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3.xml" ContentType="application/vnd.openxmlformats-officedocument.drawing+xml"/>
  <Override PartName="/xl/charts/chart43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L3aptop\Desktop\"/>
    </mc:Choice>
  </mc:AlternateContent>
  <xr:revisionPtr revIDLastSave="0" documentId="13_ncr:1_{C7A57F32-C7E2-46CE-82D6-FC182A268DD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R(t) Polska" sheetId="1" r:id="rId1"/>
    <sheet name="R(t) Województwa" sheetId="2" r:id="rId2"/>
    <sheet name="Dane MZ vs. dane MZ" sheetId="3" r:id="rId3"/>
    <sheet name="Szkoły w nauczaniu zdalnym" sheetId="4" r:id="rId4"/>
    <sheet name="WYPIERDALAĆ" sheetId="5" state="hidden" r:id="rId5"/>
    <sheet name="DANE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V299" i="6" l="1"/>
  <c r="BU299" i="6"/>
  <c r="BR299" i="6"/>
  <c r="BQ299" i="6"/>
  <c r="BN299" i="6"/>
  <c r="BM299" i="6"/>
  <c r="BJ299" i="6"/>
  <c r="BI299" i="6"/>
  <c r="BG299" i="6" s="1"/>
  <c r="BF299" i="6"/>
  <c r="BE299" i="6"/>
  <c r="BB299" i="6"/>
  <c r="BA299" i="6"/>
  <c r="AX299" i="6"/>
  <c r="AW299" i="6"/>
  <c r="AT299" i="6"/>
  <c r="AS299" i="6"/>
  <c r="AQ299" i="6" s="1"/>
  <c r="AP299" i="6"/>
  <c r="AO299" i="6"/>
  <c r="AL299" i="6"/>
  <c r="AK299" i="6"/>
  <c r="AH299" i="6"/>
  <c r="AG299" i="6"/>
  <c r="AD299" i="6"/>
  <c r="AC299" i="6"/>
  <c r="Z299" i="6"/>
  <c r="Y299" i="6"/>
  <c r="V299" i="6"/>
  <c r="U299" i="6"/>
  <c r="R299" i="6"/>
  <c r="Q299" i="6"/>
  <c r="N299" i="6"/>
  <c r="M299" i="6"/>
  <c r="J299" i="6"/>
  <c r="I299" i="6"/>
  <c r="H299" i="6"/>
  <c r="BV298" i="6"/>
  <c r="BU298" i="6"/>
  <c r="BR298" i="6"/>
  <c r="BQ298" i="6"/>
  <c r="BN298" i="6"/>
  <c r="BM298" i="6"/>
  <c r="BJ298" i="6"/>
  <c r="BI298" i="6"/>
  <c r="BF298" i="6"/>
  <c r="BE298" i="6"/>
  <c r="BB298" i="6"/>
  <c r="BA298" i="6"/>
  <c r="AX298" i="6"/>
  <c r="AW298" i="6"/>
  <c r="AT298" i="6"/>
  <c r="AS298" i="6"/>
  <c r="AP298" i="6"/>
  <c r="AO298" i="6"/>
  <c r="AM299" i="6" s="1"/>
  <c r="AL298" i="6"/>
  <c r="AK298" i="6"/>
  <c r="AH298" i="6"/>
  <c r="AG298" i="6"/>
  <c r="AD298" i="6"/>
  <c r="AC298" i="6"/>
  <c r="AA298" i="6" s="1"/>
  <c r="Z298" i="6"/>
  <c r="Y298" i="6"/>
  <c r="V298" i="6"/>
  <c r="U298" i="6"/>
  <c r="R298" i="6"/>
  <c r="Q298" i="6"/>
  <c r="N298" i="6"/>
  <c r="M298" i="6"/>
  <c r="K298" i="6" s="1"/>
  <c r="J298" i="6"/>
  <c r="I298" i="6"/>
  <c r="H298" i="6"/>
  <c r="BV297" i="6"/>
  <c r="BU297" i="6"/>
  <c r="BT297" i="6"/>
  <c r="BR297" i="6"/>
  <c r="BQ297" i="6"/>
  <c r="BN297" i="6"/>
  <c r="BM297" i="6"/>
  <c r="BJ297" i="6"/>
  <c r="BI297" i="6"/>
  <c r="BF297" i="6"/>
  <c r="BE297" i="6"/>
  <c r="BC297" i="6" s="1"/>
  <c r="BB297" i="6"/>
  <c r="BA297" i="6"/>
  <c r="AX297" i="6"/>
  <c r="AW297" i="6"/>
  <c r="AT297" i="6"/>
  <c r="AS297" i="6"/>
  <c r="AP297" i="6"/>
  <c r="AN297" i="6" s="1"/>
  <c r="AO297" i="6"/>
  <c r="AL297" i="6"/>
  <c r="AK297" i="6"/>
  <c r="AH297" i="6"/>
  <c r="AG297" i="6"/>
  <c r="AD297" i="6"/>
  <c r="AC297" i="6"/>
  <c r="Z297" i="6"/>
  <c r="Y297" i="6"/>
  <c r="V297" i="6"/>
  <c r="U297" i="6"/>
  <c r="R297" i="6"/>
  <c r="Q297" i="6"/>
  <c r="N297" i="6"/>
  <c r="M297" i="6"/>
  <c r="K297" i="6"/>
  <c r="J297" i="6"/>
  <c r="I297" i="6"/>
  <c r="H297" i="6"/>
  <c r="BV296" i="6"/>
  <c r="BU296" i="6"/>
  <c r="BR296" i="6"/>
  <c r="BQ296" i="6"/>
  <c r="BN296" i="6"/>
  <c r="BM296" i="6"/>
  <c r="BJ296" i="6"/>
  <c r="BI296" i="6"/>
  <c r="BF296" i="6"/>
  <c r="BE296" i="6"/>
  <c r="BB296" i="6"/>
  <c r="BA296" i="6"/>
  <c r="AY296" i="6" s="1"/>
  <c r="BV296" i="2" s="1"/>
  <c r="AX296" i="6"/>
  <c r="AW296" i="6"/>
  <c r="AT296" i="6"/>
  <c r="AS296" i="6"/>
  <c r="AP296" i="6"/>
  <c r="AO296" i="6"/>
  <c r="AL296" i="6"/>
  <c r="AK296" i="6"/>
  <c r="AH296" i="6"/>
  <c r="AG296" i="6"/>
  <c r="AD296" i="6"/>
  <c r="AC296" i="6"/>
  <c r="Z296" i="6"/>
  <c r="Y296" i="6"/>
  <c r="V296" i="6"/>
  <c r="U296" i="6"/>
  <c r="R296" i="6"/>
  <c r="Q296" i="6"/>
  <c r="N296" i="6"/>
  <c r="M296" i="6"/>
  <c r="J296" i="6"/>
  <c r="I296" i="6"/>
  <c r="H296" i="6"/>
  <c r="BV295" i="6"/>
  <c r="BU295" i="6"/>
  <c r="BT295" i="6"/>
  <c r="BR295" i="6"/>
  <c r="BQ295" i="6"/>
  <c r="BN295" i="6"/>
  <c r="BM295" i="6"/>
  <c r="BJ295" i="6"/>
  <c r="BH296" i="6" s="1"/>
  <c r="BI295" i="6"/>
  <c r="BG295" i="6" s="1"/>
  <c r="BF295" i="6"/>
  <c r="BE295" i="6"/>
  <c r="BB295" i="6"/>
  <c r="BA295" i="6"/>
  <c r="AX295" i="6"/>
  <c r="AW295" i="6"/>
  <c r="AT295" i="6"/>
  <c r="AR295" i="6" s="1"/>
  <c r="AS295" i="6"/>
  <c r="AP295" i="6"/>
  <c r="AO295" i="6"/>
  <c r="AM295" i="6" s="1"/>
  <c r="BA295" i="2" s="1"/>
  <c r="AL295" i="6"/>
  <c r="AK295" i="6"/>
  <c r="AH295" i="6"/>
  <c r="AF295" i="6" s="1"/>
  <c r="AG295" i="6"/>
  <c r="AD295" i="6"/>
  <c r="AC295" i="6"/>
  <c r="Z295" i="6"/>
  <c r="Y295" i="6"/>
  <c r="V295" i="6"/>
  <c r="U295" i="6"/>
  <c r="R295" i="6"/>
  <c r="P295" i="6" s="1"/>
  <c r="Q295" i="6"/>
  <c r="N295" i="6"/>
  <c r="M295" i="6"/>
  <c r="K295" i="6" s="1"/>
  <c r="D295" i="2" s="1"/>
  <c r="J295" i="6"/>
  <c r="BV294" i="6"/>
  <c r="BU294" i="6"/>
  <c r="BR294" i="6"/>
  <c r="BQ294" i="6"/>
  <c r="BO294" i="6" s="1"/>
  <c r="CX294" i="2" s="1"/>
  <c r="BN294" i="6"/>
  <c r="BM294" i="6"/>
  <c r="BJ294" i="6"/>
  <c r="BI294" i="6"/>
  <c r="BF294" i="6"/>
  <c r="BE294" i="6"/>
  <c r="BB294" i="6"/>
  <c r="AZ294" i="6" s="1"/>
  <c r="BA294" i="6"/>
  <c r="AX294" i="6"/>
  <c r="AW294" i="6"/>
  <c r="AT294" i="6"/>
  <c r="AS294" i="6"/>
  <c r="AQ294" i="6" s="1"/>
  <c r="BH294" i="2" s="1"/>
  <c r="AP294" i="6"/>
  <c r="AO294" i="6"/>
  <c r="AM294" i="6" s="1"/>
  <c r="BA294" i="2" s="1"/>
  <c r="AL294" i="6"/>
  <c r="AK294" i="6"/>
  <c r="AI295" i="6" s="1"/>
  <c r="AT295" i="2" s="1"/>
  <c r="AH294" i="6"/>
  <c r="AG294" i="6"/>
  <c r="AE294" i="6" s="1"/>
  <c r="AD294" i="6"/>
  <c r="AC294" i="6"/>
  <c r="Z294" i="6"/>
  <c r="Y294" i="6"/>
  <c r="W294" i="6" s="1"/>
  <c r="V294" i="6"/>
  <c r="U294" i="6"/>
  <c r="R294" i="6"/>
  <c r="Q294" i="6"/>
  <c r="O294" i="6" s="1"/>
  <c r="K294" i="2" s="1"/>
  <c r="N294" i="6"/>
  <c r="M294" i="6"/>
  <c r="J294" i="6"/>
  <c r="BV293" i="6"/>
  <c r="BU293" i="6"/>
  <c r="BS293" i="6" s="1"/>
  <c r="DE293" i="2" s="1"/>
  <c r="BR293" i="6"/>
  <c r="BQ293" i="6"/>
  <c r="BN293" i="6"/>
  <c r="BM293" i="6"/>
  <c r="BJ293" i="6"/>
  <c r="BI293" i="6"/>
  <c r="BF293" i="6"/>
  <c r="BD293" i="6" s="1"/>
  <c r="BE293" i="6"/>
  <c r="BB293" i="6"/>
  <c r="BA293" i="6"/>
  <c r="AX293" i="6"/>
  <c r="AV293" i="6" s="1"/>
  <c r="AW293" i="6"/>
  <c r="AU293" i="6" s="1"/>
  <c r="BO293" i="2" s="1"/>
  <c r="AT293" i="6"/>
  <c r="AS293" i="6"/>
  <c r="AQ293" i="6" s="1"/>
  <c r="BH293" i="2" s="1"/>
  <c r="AP293" i="6"/>
  <c r="AO293" i="6"/>
  <c r="AL293" i="6"/>
  <c r="AK293" i="6"/>
  <c r="AI293" i="6" s="1"/>
  <c r="AT293" i="2" s="1"/>
  <c r="AH293" i="6"/>
  <c r="AG293" i="6"/>
  <c r="AD293" i="6"/>
  <c r="AC293" i="6"/>
  <c r="Z293" i="6"/>
  <c r="Y293" i="6"/>
  <c r="V293" i="6"/>
  <c r="U293" i="6"/>
  <c r="S293" i="6" s="1"/>
  <c r="R293" i="2" s="1"/>
  <c r="R293" i="6"/>
  <c r="P293" i="6" s="1"/>
  <c r="Q293" i="6"/>
  <c r="N293" i="6"/>
  <c r="M293" i="6"/>
  <c r="J293" i="6"/>
  <c r="BV292" i="6"/>
  <c r="BU292" i="6"/>
  <c r="BR292" i="6"/>
  <c r="BQ292" i="6"/>
  <c r="BN292" i="6"/>
  <c r="BM292" i="6"/>
  <c r="BJ292" i="6"/>
  <c r="BH292" i="6" s="1"/>
  <c r="BI292" i="6"/>
  <c r="BG293" i="6" s="1"/>
  <c r="BF292" i="6"/>
  <c r="BE292" i="6"/>
  <c r="BB292" i="6"/>
  <c r="BA292" i="6"/>
  <c r="AY292" i="6" s="1"/>
  <c r="BV292" i="2" s="1"/>
  <c r="AX292" i="6"/>
  <c r="AW292" i="6"/>
  <c r="AU292" i="6" s="1"/>
  <c r="BO292" i="2" s="1"/>
  <c r="AT292" i="6"/>
  <c r="AS292" i="6"/>
  <c r="AP292" i="6"/>
  <c r="AO292" i="6"/>
  <c r="AL292" i="6"/>
  <c r="AK292" i="6"/>
  <c r="AH292" i="6"/>
  <c r="AG292" i="6"/>
  <c r="AD292" i="6"/>
  <c r="AC292" i="6"/>
  <c r="Z292" i="6"/>
  <c r="Y292" i="6"/>
  <c r="V292" i="6"/>
  <c r="T292" i="6" s="1"/>
  <c r="U292" i="6"/>
  <c r="R292" i="6"/>
  <c r="Q292" i="6"/>
  <c r="N292" i="6"/>
  <c r="M292" i="6"/>
  <c r="K293" i="6" s="1"/>
  <c r="J292" i="6"/>
  <c r="BV291" i="6"/>
  <c r="BU291" i="6"/>
  <c r="BR291" i="6"/>
  <c r="BQ291" i="6"/>
  <c r="BN291" i="6"/>
  <c r="BM291" i="6"/>
  <c r="BK292" i="6" s="1"/>
  <c r="CQ292" i="2" s="1"/>
  <c r="BJ291" i="6"/>
  <c r="BI291" i="6"/>
  <c r="BF291" i="6"/>
  <c r="BE291" i="6"/>
  <c r="BB291" i="6"/>
  <c r="BA291" i="6"/>
  <c r="AX291" i="6"/>
  <c r="AW291" i="6"/>
  <c r="AU291" i="6" s="1"/>
  <c r="BO291" i="2" s="1"/>
  <c r="AT291" i="6"/>
  <c r="AS291" i="6"/>
  <c r="AP291" i="6"/>
  <c r="AO291" i="6"/>
  <c r="AL291" i="6"/>
  <c r="AK291" i="6"/>
  <c r="AH291" i="6"/>
  <c r="AG291" i="6"/>
  <c r="AE291" i="6" s="1"/>
  <c r="AM291" i="2" s="1"/>
  <c r="AD291" i="6"/>
  <c r="AC291" i="6"/>
  <c r="Z291" i="6"/>
  <c r="X291" i="6" s="1"/>
  <c r="Y291" i="6"/>
  <c r="V291" i="6"/>
  <c r="U291" i="6"/>
  <c r="R291" i="6"/>
  <c r="Q291" i="6"/>
  <c r="O292" i="6" s="1"/>
  <c r="K292" i="2" s="1"/>
  <c r="N291" i="6"/>
  <c r="M291" i="6"/>
  <c r="J291" i="6"/>
  <c r="BV290" i="6"/>
  <c r="BU290" i="6"/>
  <c r="BR290" i="6"/>
  <c r="BQ290" i="6"/>
  <c r="BO291" i="6" s="1"/>
  <c r="BN290" i="6"/>
  <c r="BM290" i="6"/>
  <c r="BJ290" i="6"/>
  <c r="BI290" i="6"/>
  <c r="BF290" i="6"/>
  <c r="BE290" i="6"/>
  <c r="BB290" i="6"/>
  <c r="BA290" i="6"/>
  <c r="AX290" i="6"/>
  <c r="AW290" i="6"/>
  <c r="AT290" i="6"/>
  <c r="AS290" i="6"/>
  <c r="AP290" i="6"/>
  <c r="AO290" i="6"/>
  <c r="AL290" i="6"/>
  <c r="AK290" i="6"/>
  <c r="AH290" i="6"/>
  <c r="AG290" i="6"/>
  <c r="AD290" i="6"/>
  <c r="AC290" i="6"/>
  <c r="Z290" i="6"/>
  <c r="Y290" i="6"/>
  <c r="V290" i="6"/>
  <c r="U290" i="6"/>
  <c r="R290" i="6"/>
  <c r="Q290" i="6"/>
  <c r="N290" i="6"/>
  <c r="M290" i="6"/>
  <c r="J290" i="6"/>
  <c r="BV289" i="6"/>
  <c r="BT289" i="6" s="1"/>
  <c r="BU289" i="6"/>
  <c r="BS289" i="6"/>
  <c r="BR289" i="6"/>
  <c r="BP289" i="6" s="1"/>
  <c r="BQ289" i="6"/>
  <c r="BN289" i="6"/>
  <c r="BL289" i="6" s="1"/>
  <c r="BM289" i="6"/>
  <c r="BK289" i="6" s="1"/>
  <c r="CQ289" i="2" s="1"/>
  <c r="BJ289" i="6"/>
  <c r="BH289" i="6" s="1"/>
  <c r="BI289" i="6"/>
  <c r="BG289" i="6" s="1"/>
  <c r="CJ289" i="2" s="1"/>
  <c r="BF289" i="6"/>
  <c r="BE289" i="6"/>
  <c r="BC289" i="6" s="1"/>
  <c r="CC289" i="2" s="1"/>
  <c r="BD289" i="6"/>
  <c r="BB289" i="6"/>
  <c r="AZ290" i="6" s="1"/>
  <c r="BA289" i="6"/>
  <c r="AY289" i="6" s="1"/>
  <c r="BV289" i="2" s="1"/>
  <c r="AX289" i="6"/>
  <c r="AV289" i="6" s="1"/>
  <c r="AW289" i="6"/>
  <c r="AU289" i="6" s="1"/>
  <c r="AT289" i="6"/>
  <c r="AR289" i="6" s="1"/>
  <c r="AS289" i="6"/>
  <c r="AQ289" i="6"/>
  <c r="BH289" i="2" s="1"/>
  <c r="AP289" i="6"/>
  <c r="AN289" i="6" s="1"/>
  <c r="AO289" i="6"/>
  <c r="AM289" i="6" s="1"/>
  <c r="AL289" i="6"/>
  <c r="AJ289" i="6" s="1"/>
  <c r="AK289" i="6"/>
  <c r="AI289" i="6"/>
  <c r="AH289" i="6"/>
  <c r="AF289" i="6" s="1"/>
  <c r="AG289" i="6"/>
  <c r="AE289" i="6" s="1"/>
  <c r="AD289" i="6"/>
  <c r="AB289" i="6" s="1"/>
  <c r="AC289" i="6"/>
  <c r="AA289" i="6" s="1"/>
  <c r="AF289" i="2" s="1"/>
  <c r="Z289" i="6"/>
  <c r="X289" i="6" s="1"/>
  <c r="Y289" i="6"/>
  <c r="W289" i="6" s="1"/>
  <c r="V289" i="6"/>
  <c r="T289" i="6" s="1"/>
  <c r="U289" i="6"/>
  <c r="S289" i="6" s="1"/>
  <c r="R289" i="2" s="1"/>
  <c r="R289" i="6"/>
  <c r="P289" i="6" s="1"/>
  <c r="Q289" i="6"/>
  <c r="O289" i="6" s="1"/>
  <c r="N289" i="6"/>
  <c r="L290" i="6" s="1"/>
  <c r="M289" i="6"/>
  <c r="K289" i="6" s="1"/>
  <c r="D289" i="2" s="1"/>
  <c r="J289" i="6"/>
  <c r="BT288" i="6"/>
  <c r="BS288" i="6"/>
  <c r="BP288" i="6"/>
  <c r="BO288" i="6"/>
  <c r="BL288" i="6"/>
  <c r="BK288" i="6"/>
  <c r="BH288" i="6"/>
  <c r="BG288" i="6"/>
  <c r="BD288" i="6"/>
  <c r="BC288" i="6"/>
  <c r="AZ288" i="6"/>
  <c r="AY288" i="6"/>
  <c r="AV288" i="6"/>
  <c r="AU288" i="6"/>
  <c r="AR288" i="6"/>
  <c r="AQ288" i="6"/>
  <c r="AN288" i="6"/>
  <c r="AM288" i="6"/>
  <c r="AJ288" i="6"/>
  <c r="AI288" i="6"/>
  <c r="AF288" i="6"/>
  <c r="AE288" i="6"/>
  <c r="AB288" i="6"/>
  <c r="AA288" i="6"/>
  <c r="X288" i="6"/>
  <c r="W288" i="6"/>
  <c r="T288" i="6"/>
  <c r="S288" i="6"/>
  <c r="P288" i="6"/>
  <c r="O288" i="6"/>
  <c r="L288" i="6"/>
  <c r="K288" i="6"/>
  <c r="J288" i="6"/>
  <c r="BT287" i="6"/>
  <c r="BS287" i="6"/>
  <c r="BP287" i="6"/>
  <c r="BO287" i="6"/>
  <c r="BL287" i="6"/>
  <c r="BK287" i="6"/>
  <c r="BH287" i="6"/>
  <c r="BG287" i="6"/>
  <c r="BD287" i="6"/>
  <c r="BC287" i="6"/>
  <c r="AZ287" i="6"/>
  <c r="AY287" i="6"/>
  <c r="AV287" i="6"/>
  <c r="AU287" i="6"/>
  <c r="AR287" i="6"/>
  <c r="AQ287" i="6"/>
  <c r="AN287" i="6"/>
  <c r="AM287" i="6"/>
  <c r="AJ287" i="6"/>
  <c r="AI287" i="6"/>
  <c r="AF287" i="6"/>
  <c r="AE287" i="6"/>
  <c r="AB287" i="6"/>
  <c r="AA287" i="6"/>
  <c r="X287" i="6"/>
  <c r="W287" i="6"/>
  <c r="T287" i="6"/>
  <c r="S287" i="6"/>
  <c r="P287" i="6"/>
  <c r="O287" i="6"/>
  <c r="L287" i="6"/>
  <c r="K287" i="6"/>
  <c r="J287" i="6"/>
  <c r="BT286" i="6"/>
  <c r="BS286" i="6"/>
  <c r="BP286" i="6"/>
  <c r="BO286" i="6"/>
  <c r="BL286" i="6"/>
  <c r="BK286" i="6"/>
  <c r="BH286" i="6"/>
  <c r="BG286" i="6"/>
  <c r="BD286" i="6"/>
  <c r="BC286" i="6"/>
  <c r="AZ286" i="6"/>
  <c r="AY286" i="6"/>
  <c r="AV286" i="6"/>
  <c r="AU286" i="6"/>
  <c r="AR286" i="6"/>
  <c r="AQ286" i="6"/>
  <c r="AN286" i="6"/>
  <c r="AM286" i="6"/>
  <c r="AJ286" i="6"/>
  <c r="AI286" i="6"/>
  <c r="AF286" i="6"/>
  <c r="AE286" i="6"/>
  <c r="AB286" i="6"/>
  <c r="AA286" i="6"/>
  <c r="X286" i="6"/>
  <c r="W286" i="6"/>
  <c r="T286" i="6"/>
  <c r="S286" i="6"/>
  <c r="P286" i="6"/>
  <c r="O286" i="6"/>
  <c r="L286" i="6"/>
  <c r="K286" i="6"/>
  <c r="J286" i="6"/>
  <c r="BT285" i="6"/>
  <c r="BS285" i="6"/>
  <c r="BP285" i="6"/>
  <c r="BO285" i="6"/>
  <c r="BL285" i="6"/>
  <c r="BK285" i="6"/>
  <c r="BH285" i="6"/>
  <c r="BG285" i="6"/>
  <c r="BD285" i="6"/>
  <c r="BC285" i="6"/>
  <c r="AZ285" i="6"/>
  <c r="AY285" i="6"/>
  <c r="AV285" i="6"/>
  <c r="AU285" i="6"/>
  <c r="AR285" i="6"/>
  <c r="AQ285" i="6"/>
  <c r="AN285" i="6"/>
  <c r="AM285" i="6"/>
  <c r="AJ285" i="6"/>
  <c r="AI285" i="6"/>
  <c r="AF285" i="6"/>
  <c r="AE285" i="6"/>
  <c r="AB285" i="6"/>
  <c r="AA285" i="6"/>
  <c r="X285" i="6"/>
  <c r="W285" i="6"/>
  <c r="T285" i="6"/>
  <c r="S285" i="6"/>
  <c r="P285" i="6"/>
  <c r="O285" i="6"/>
  <c r="L285" i="6"/>
  <c r="K285" i="6"/>
  <c r="J285" i="6"/>
  <c r="BT284" i="6"/>
  <c r="BS284" i="6"/>
  <c r="BP284" i="6"/>
  <c r="BO284" i="6"/>
  <c r="BL284" i="6"/>
  <c r="BK284" i="6"/>
  <c r="BH284" i="6"/>
  <c r="BG284" i="6"/>
  <c r="BD284" i="6"/>
  <c r="BC284" i="6"/>
  <c r="AZ284" i="6"/>
  <c r="AY284" i="6"/>
  <c r="AV284" i="6"/>
  <c r="AU284" i="6"/>
  <c r="AR284" i="6"/>
  <c r="AQ284" i="6"/>
  <c r="AN284" i="6"/>
  <c r="AM284" i="6"/>
  <c r="AJ284" i="6"/>
  <c r="AI284" i="6"/>
  <c r="AF284" i="6"/>
  <c r="AE284" i="6"/>
  <c r="AB284" i="6"/>
  <c r="AA284" i="6"/>
  <c r="X284" i="6"/>
  <c r="W284" i="6"/>
  <c r="T284" i="6"/>
  <c r="S284" i="6"/>
  <c r="P284" i="6"/>
  <c r="O284" i="6"/>
  <c r="L284" i="6"/>
  <c r="K284" i="6"/>
  <c r="J284" i="6"/>
  <c r="BT283" i="6"/>
  <c r="BS283" i="6"/>
  <c r="BP283" i="6"/>
  <c r="BO283" i="6"/>
  <c r="BL283" i="6"/>
  <c r="BK283" i="6"/>
  <c r="BH283" i="6"/>
  <c r="BG283" i="6"/>
  <c r="BD283" i="6"/>
  <c r="BC283" i="6"/>
  <c r="AZ283" i="6"/>
  <c r="AY283" i="6"/>
  <c r="AV283" i="6"/>
  <c r="AU283" i="6"/>
  <c r="AR283" i="6"/>
  <c r="AQ283" i="6"/>
  <c r="AN283" i="6"/>
  <c r="AM283" i="6"/>
  <c r="AJ283" i="6"/>
  <c r="AI283" i="6"/>
  <c r="AF283" i="6"/>
  <c r="AE283" i="6"/>
  <c r="AB283" i="6"/>
  <c r="AA283" i="6"/>
  <c r="X283" i="6"/>
  <c r="W283" i="6"/>
  <c r="T283" i="6"/>
  <c r="S283" i="6"/>
  <c r="P283" i="6"/>
  <c r="O283" i="6"/>
  <c r="L283" i="6"/>
  <c r="K283" i="6"/>
  <c r="J283" i="6"/>
  <c r="BT282" i="6"/>
  <c r="BS282" i="6"/>
  <c r="BP282" i="6"/>
  <c r="BO282" i="6"/>
  <c r="BL282" i="6"/>
  <c r="BK282" i="6"/>
  <c r="BH282" i="6"/>
  <c r="BG282" i="6"/>
  <c r="BD282" i="6"/>
  <c r="BC282" i="6"/>
  <c r="AZ282" i="6"/>
  <c r="AY282" i="6"/>
  <c r="AV282" i="6"/>
  <c r="AU282" i="6"/>
  <c r="AR282" i="6"/>
  <c r="AQ282" i="6"/>
  <c r="AN282" i="6"/>
  <c r="AM282" i="6"/>
  <c r="AJ282" i="6"/>
  <c r="AI282" i="6"/>
  <c r="AF282" i="6"/>
  <c r="AE282" i="6"/>
  <c r="AB282" i="6"/>
  <c r="AA282" i="6"/>
  <c r="X282" i="6"/>
  <c r="W282" i="6"/>
  <c r="T282" i="6"/>
  <c r="S282" i="6"/>
  <c r="P282" i="6"/>
  <c r="O282" i="6"/>
  <c r="L282" i="6"/>
  <c r="K282" i="6"/>
  <c r="J282" i="6"/>
  <c r="BT281" i="6"/>
  <c r="BS281" i="6"/>
  <c r="BP281" i="6"/>
  <c r="BO281" i="6"/>
  <c r="BL281" i="6"/>
  <c r="BK281" i="6"/>
  <c r="BH281" i="6"/>
  <c r="BG281" i="6"/>
  <c r="BD281" i="6"/>
  <c r="BC281" i="6"/>
  <c r="AZ281" i="6"/>
  <c r="AY281" i="6"/>
  <c r="AV281" i="6"/>
  <c r="AU281" i="6"/>
  <c r="AR281" i="6"/>
  <c r="AQ281" i="6"/>
  <c r="AN281" i="6"/>
  <c r="AM281" i="6"/>
  <c r="AJ281" i="6"/>
  <c r="AI281" i="6"/>
  <c r="AF281" i="6"/>
  <c r="AE281" i="6"/>
  <c r="AB281" i="6"/>
  <c r="AA281" i="6"/>
  <c r="X281" i="6"/>
  <c r="W281" i="6"/>
  <c r="T281" i="6"/>
  <c r="S281" i="6"/>
  <c r="P281" i="6"/>
  <c r="O281" i="6"/>
  <c r="L281" i="6"/>
  <c r="K281" i="6"/>
  <c r="J281" i="6"/>
  <c r="BT280" i="6"/>
  <c r="BS280" i="6"/>
  <c r="BP280" i="6"/>
  <c r="BO280" i="6"/>
  <c r="BL280" i="6"/>
  <c r="BK280" i="6"/>
  <c r="BH280" i="6"/>
  <c r="BG280" i="6"/>
  <c r="BD280" i="6"/>
  <c r="BC280" i="6"/>
  <c r="AZ280" i="6"/>
  <c r="AY280" i="6"/>
  <c r="AV280" i="6"/>
  <c r="AU280" i="6"/>
  <c r="AR280" i="6"/>
  <c r="AQ280" i="6"/>
  <c r="AN280" i="6"/>
  <c r="AM280" i="6"/>
  <c r="AJ280" i="6"/>
  <c r="AI280" i="6"/>
  <c r="AF280" i="6"/>
  <c r="AE280" i="6"/>
  <c r="AB280" i="6"/>
  <c r="AA280" i="6"/>
  <c r="X280" i="6"/>
  <c r="W280" i="6"/>
  <c r="T280" i="6"/>
  <c r="S280" i="6"/>
  <c r="P280" i="6"/>
  <c r="O280" i="6"/>
  <c r="L280" i="6"/>
  <c r="K280" i="6"/>
  <c r="J280" i="6"/>
  <c r="BT279" i="6"/>
  <c r="BS279" i="6"/>
  <c r="BP279" i="6"/>
  <c r="BO279" i="6"/>
  <c r="BL279" i="6"/>
  <c r="BK279" i="6"/>
  <c r="BH279" i="6"/>
  <c r="BG279" i="6"/>
  <c r="BD279" i="6"/>
  <c r="BC279" i="6"/>
  <c r="AZ279" i="6"/>
  <c r="AY279" i="6"/>
  <c r="AV279" i="6"/>
  <c r="AU279" i="6"/>
  <c r="AR279" i="6"/>
  <c r="AQ279" i="6"/>
  <c r="AN279" i="6"/>
  <c r="AM279" i="6"/>
  <c r="AJ279" i="6"/>
  <c r="AI279" i="6"/>
  <c r="AF279" i="6"/>
  <c r="AE279" i="6"/>
  <c r="AB279" i="6"/>
  <c r="AA279" i="6"/>
  <c r="X279" i="6"/>
  <c r="W279" i="6"/>
  <c r="T279" i="6"/>
  <c r="S279" i="6"/>
  <c r="P279" i="6"/>
  <c r="O279" i="6"/>
  <c r="L279" i="6"/>
  <c r="K279" i="6"/>
  <c r="J279" i="6"/>
  <c r="BT278" i="6"/>
  <c r="BS278" i="6"/>
  <c r="BP278" i="6"/>
  <c r="BO278" i="6"/>
  <c r="BL278" i="6"/>
  <c r="BK278" i="6"/>
  <c r="BH278" i="6"/>
  <c r="BG278" i="6"/>
  <c r="BD278" i="6"/>
  <c r="BC278" i="6"/>
  <c r="AZ278" i="6"/>
  <c r="AY278" i="6"/>
  <c r="AV278" i="6"/>
  <c r="AU278" i="6"/>
  <c r="AR278" i="6"/>
  <c r="AQ278" i="6"/>
  <c r="AN278" i="6"/>
  <c r="AM278" i="6"/>
  <c r="AJ278" i="6"/>
  <c r="AI278" i="6"/>
  <c r="AF278" i="6"/>
  <c r="AE278" i="6"/>
  <c r="AB278" i="6"/>
  <c r="AA278" i="6"/>
  <c r="X278" i="6"/>
  <c r="W278" i="6"/>
  <c r="T278" i="6"/>
  <c r="S278" i="6"/>
  <c r="P278" i="6"/>
  <c r="O278" i="6"/>
  <c r="L278" i="6"/>
  <c r="K278" i="6"/>
  <c r="J278" i="6"/>
  <c r="BT277" i="6"/>
  <c r="BS277" i="6"/>
  <c r="BP277" i="6"/>
  <c r="BO277" i="6"/>
  <c r="BL277" i="6"/>
  <c r="BK277" i="6"/>
  <c r="BH277" i="6"/>
  <c r="BG277" i="6"/>
  <c r="BD277" i="6"/>
  <c r="BC277" i="6"/>
  <c r="AZ277" i="6"/>
  <c r="AY277" i="6"/>
  <c r="AV277" i="6"/>
  <c r="AU277" i="6"/>
  <c r="AR277" i="6"/>
  <c r="AQ277" i="6"/>
  <c r="AN277" i="6"/>
  <c r="AM277" i="6"/>
  <c r="AJ277" i="6"/>
  <c r="AI277" i="6"/>
  <c r="AF277" i="6"/>
  <c r="AE277" i="6"/>
  <c r="AB277" i="6"/>
  <c r="AA277" i="6"/>
  <c r="X277" i="6"/>
  <c r="W277" i="6"/>
  <c r="T277" i="6"/>
  <c r="S277" i="6"/>
  <c r="P277" i="6"/>
  <c r="O277" i="6"/>
  <c r="L277" i="6"/>
  <c r="K277" i="6"/>
  <c r="J277" i="6"/>
  <c r="BT276" i="6"/>
  <c r="BS276" i="6"/>
  <c r="BP276" i="6"/>
  <c r="BO276" i="6"/>
  <c r="BL276" i="6"/>
  <c r="BK276" i="6"/>
  <c r="BH276" i="6"/>
  <c r="BG276" i="6"/>
  <c r="BD276" i="6"/>
  <c r="BC276" i="6"/>
  <c r="AZ276" i="6"/>
  <c r="AY276" i="6"/>
  <c r="AV276" i="6"/>
  <c r="AU276" i="6"/>
  <c r="AR276" i="6"/>
  <c r="AQ276" i="6"/>
  <c r="AN276" i="6"/>
  <c r="AM276" i="6"/>
  <c r="AJ276" i="6"/>
  <c r="AI276" i="6"/>
  <c r="AF276" i="6"/>
  <c r="AE276" i="6"/>
  <c r="AB276" i="6"/>
  <c r="AA276" i="6"/>
  <c r="X276" i="6"/>
  <c r="W276" i="6"/>
  <c r="T276" i="6"/>
  <c r="S276" i="6"/>
  <c r="P276" i="6"/>
  <c r="O276" i="6"/>
  <c r="L276" i="6"/>
  <c r="K276" i="6"/>
  <c r="J276" i="6"/>
  <c r="B276" i="6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T275" i="6"/>
  <c r="BS275" i="6"/>
  <c r="BP275" i="6"/>
  <c r="BO275" i="6"/>
  <c r="BL275" i="6"/>
  <c r="BK275" i="6"/>
  <c r="BH275" i="6"/>
  <c r="BG275" i="6"/>
  <c r="BD275" i="6"/>
  <c r="BC275" i="6"/>
  <c r="AZ275" i="6"/>
  <c r="AY275" i="6"/>
  <c r="AV275" i="6"/>
  <c r="AU275" i="6"/>
  <c r="AR275" i="6"/>
  <c r="AQ275" i="6"/>
  <c r="AN275" i="6"/>
  <c r="AM275" i="6"/>
  <c r="AJ275" i="6"/>
  <c r="AI275" i="6"/>
  <c r="AF275" i="6"/>
  <c r="AE275" i="6"/>
  <c r="AB275" i="6"/>
  <c r="AA275" i="6"/>
  <c r="X275" i="6"/>
  <c r="W275" i="6"/>
  <c r="T275" i="6"/>
  <c r="S275" i="6"/>
  <c r="P275" i="6"/>
  <c r="O275" i="6"/>
  <c r="L275" i="6"/>
  <c r="K275" i="6"/>
  <c r="J275" i="6"/>
  <c r="BT274" i="6"/>
  <c r="BS274" i="6"/>
  <c r="BP274" i="6"/>
  <c r="BO274" i="6"/>
  <c r="BL274" i="6"/>
  <c r="BK274" i="6"/>
  <c r="BH274" i="6"/>
  <c r="BG274" i="6"/>
  <c r="BD274" i="6"/>
  <c r="BC274" i="6"/>
  <c r="AZ274" i="6"/>
  <c r="AY274" i="6"/>
  <c r="AV274" i="6"/>
  <c r="AU274" i="6"/>
  <c r="AR274" i="6"/>
  <c r="AQ274" i="6"/>
  <c r="AN274" i="6"/>
  <c r="AM274" i="6"/>
  <c r="AJ274" i="6"/>
  <c r="AI274" i="6"/>
  <c r="AF274" i="6"/>
  <c r="AE274" i="6"/>
  <c r="AB274" i="6"/>
  <c r="AA274" i="6"/>
  <c r="X274" i="6"/>
  <c r="W274" i="6"/>
  <c r="T274" i="6"/>
  <c r="S274" i="6"/>
  <c r="P274" i="6"/>
  <c r="O274" i="6"/>
  <c r="L274" i="6"/>
  <c r="K274" i="6"/>
  <c r="J274" i="6"/>
  <c r="BT273" i="6"/>
  <c r="BS273" i="6"/>
  <c r="BP273" i="6"/>
  <c r="BO273" i="6"/>
  <c r="BL273" i="6"/>
  <c r="BK273" i="6"/>
  <c r="BH273" i="6"/>
  <c r="BG273" i="6"/>
  <c r="BD273" i="6"/>
  <c r="BC273" i="6"/>
  <c r="AZ273" i="6"/>
  <c r="AY273" i="6"/>
  <c r="AV273" i="6"/>
  <c r="AU273" i="6"/>
  <c r="AR273" i="6"/>
  <c r="AQ273" i="6"/>
  <c r="AN273" i="6"/>
  <c r="AM273" i="6"/>
  <c r="AJ273" i="6"/>
  <c r="AI273" i="6"/>
  <c r="AF273" i="6"/>
  <c r="AE273" i="6"/>
  <c r="AB273" i="6"/>
  <c r="AA273" i="6"/>
  <c r="X273" i="6"/>
  <c r="W273" i="6"/>
  <c r="T273" i="6"/>
  <c r="S273" i="6"/>
  <c r="P273" i="6"/>
  <c r="O273" i="6"/>
  <c r="L273" i="6"/>
  <c r="K273" i="6"/>
  <c r="J273" i="6"/>
  <c r="BT272" i="6"/>
  <c r="BS272" i="6"/>
  <c r="BP272" i="6"/>
  <c r="BO272" i="6"/>
  <c r="BL272" i="6"/>
  <c r="BK272" i="6"/>
  <c r="BH272" i="6"/>
  <c r="BG272" i="6"/>
  <c r="BD272" i="6"/>
  <c r="BC272" i="6"/>
  <c r="AZ272" i="6"/>
  <c r="AY272" i="6"/>
  <c r="AV272" i="6"/>
  <c r="AU272" i="6"/>
  <c r="AR272" i="6"/>
  <c r="AQ272" i="6"/>
  <c r="AN272" i="6"/>
  <c r="AM272" i="6"/>
  <c r="AJ272" i="6"/>
  <c r="AI272" i="6"/>
  <c r="AF272" i="6"/>
  <c r="AE272" i="6"/>
  <c r="AB272" i="6"/>
  <c r="AA272" i="6"/>
  <c r="X272" i="6"/>
  <c r="W272" i="6"/>
  <c r="T272" i="6"/>
  <c r="S272" i="6"/>
  <c r="P272" i="6"/>
  <c r="O272" i="6"/>
  <c r="L272" i="6"/>
  <c r="K272" i="6"/>
  <c r="J272" i="6"/>
  <c r="BT271" i="6"/>
  <c r="BS271" i="6"/>
  <c r="BP271" i="6"/>
  <c r="BO271" i="6"/>
  <c r="BL271" i="6"/>
  <c r="BK271" i="6"/>
  <c r="BH271" i="6"/>
  <c r="BG271" i="6"/>
  <c r="BD271" i="6"/>
  <c r="BC271" i="6"/>
  <c r="AZ271" i="6"/>
  <c r="AY271" i="6"/>
  <c r="AV271" i="6"/>
  <c r="AU271" i="6"/>
  <c r="AR271" i="6"/>
  <c r="AQ271" i="6"/>
  <c r="AN271" i="6"/>
  <c r="AM271" i="6"/>
  <c r="AJ271" i="6"/>
  <c r="AI271" i="6"/>
  <c r="AF271" i="6"/>
  <c r="AE271" i="6"/>
  <c r="AB271" i="6"/>
  <c r="AA271" i="6"/>
  <c r="X271" i="6"/>
  <c r="W271" i="6"/>
  <c r="T271" i="6"/>
  <c r="S271" i="6"/>
  <c r="P271" i="6"/>
  <c r="O271" i="6"/>
  <c r="L271" i="6"/>
  <c r="K271" i="6"/>
  <c r="J271" i="6"/>
  <c r="BT270" i="6"/>
  <c r="BS270" i="6"/>
  <c r="BP270" i="6"/>
  <c r="BO270" i="6"/>
  <c r="BL270" i="6"/>
  <c r="BK270" i="6"/>
  <c r="BH270" i="6"/>
  <c r="BG270" i="6"/>
  <c r="BD270" i="6"/>
  <c r="BC270" i="6"/>
  <c r="AZ270" i="6"/>
  <c r="AY270" i="6"/>
  <c r="AV270" i="6"/>
  <c r="AU270" i="6"/>
  <c r="AR270" i="6"/>
  <c r="AQ270" i="6"/>
  <c r="AN270" i="6"/>
  <c r="AM270" i="6"/>
  <c r="AJ270" i="6"/>
  <c r="AI270" i="6"/>
  <c r="AF270" i="6"/>
  <c r="AE270" i="6"/>
  <c r="AB270" i="6"/>
  <c r="AA270" i="6"/>
  <c r="X270" i="6"/>
  <c r="W270" i="6"/>
  <c r="T270" i="6"/>
  <c r="S270" i="6"/>
  <c r="P270" i="6"/>
  <c r="O270" i="6"/>
  <c r="L270" i="6"/>
  <c r="K270" i="6"/>
  <c r="J270" i="6"/>
  <c r="BT269" i="6"/>
  <c r="BS269" i="6"/>
  <c r="BP269" i="6"/>
  <c r="BO269" i="6"/>
  <c r="BL269" i="6"/>
  <c r="BK269" i="6"/>
  <c r="BH269" i="6"/>
  <c r="BG269" i="6"/>
  <c r="BD269" i="6"/>
  <c r="BC269" i="6"/>
  <c r="AZ269" i="6"/>
  <c r="AY269" i="6"/>
  <c r="AV269" i="6"/>
  <c r="AU269" i="6"/>
  <c r="AR269" i="6"/>
  <c r="AQ269" i="6"/>
  <c r="AN269" i="6"/>
  <c r="AM269" i="6"/>
  <c r="AJ269" i="6"/>
  <c r="AI269" i="6"/>
  <c r="AF269" i="6"/>
  <c r="AE269" i="6"/>
  <c r="AB269" i="6"/>
  <c r="AA269" i="6"/>
  <c r="X269" i="6"/>
  <c r="W269" i="6"/>
  <c r="T269" i="6"/>
  <c r="S269" i="6"/>
  <c r="P269" i="6"/>
  <c r="O269" i="6"/>
  <c r="L269" i="6"/>
  <c r="K269" i="6"/>
  <c r="J269" i="6"/>
  <c r="BT268" i="6"/>
  <c r="BS268" i="6"/>
  <c r="BP268" i="6"/>
  <c r="BO268" i="6"/>
  <c r="BL268" i="6"/>
  <c r="BK268" i="6"/>
  <c r="BH268" i="6"/>
  <c r="BG268" i="6"/>
  <c r="BD268" i="6"/>
  <c r="BC268" i="6"/>
  <c r="AZ268" i="6"/>
  <c r="AY268" i="6"/>
  <c r="AV268" i="6"/>
  <c r="AU268" i="6"/>
  <c r="AR268" i="6"/>
  <c r="AQ268" i="6"/>
  <c r="AN268" i="6"/>
  <c r="AM268" i="6"/>
  <c r="AJ268" i="6"/>
  <c r="AI268" i="6"/>
  <c r="AF268" i="6"/>
  <c r="AE268" i="6"/>
  <c r="AB268" i="6"/>
  <c r="AA268" i="6"/>
  <c r="X268" i="6"/>
  <c r="W268" i="6"/>
  <c r="T268" i="6"/>
  <c r="S268" i="6"/>
  <c r="P268" i="6"/>
  <c r="O268" i="6"/>
  <c r="L268" i="6"/>
  <c r="K268" i="6"/>
  <c r="J268" i="6"/>
  <c r="BT267" i="6"/>
  <c r="BS267" i="6"/>
  <c r="BP267" i="6"/>
  <c r="BO267" i="6"/>
  <c r="BL267" i="6"/>
  <c r="BK267" i="6"/>
  <c r="BH267" i="6"/>
  <c r="BG267" i="6"/>
  <c r="BD267" i="6"/>
  <c r="BC267" i="6"/>
  <c r="AZ267" i="6"/>
  <c r="AY267" i="6"/>
  <c r="AV267" i="6"/>
  <c r="AU267" i="6"/>
  <c r="AR267" i="6"/>
  <c r="AQ267" i="6"/>
  <c r="AN267" i="6"/>
  <c r="AM267" i="6"/>
  <c r="AJ267" i="6"/>
  <c r="AI267" i="6"/>
  <c r="AF267" i="6"/>
  <c r="AE267" i="6"/>
  <c r="AB267" i="6"/>
  <c r="AA267" i="6"/>
  <c r="X267" i="6"/>
  <c r="W267" i="6"/>
  <c r="T267" i="6"/>
  <c r="S267" i="6"/>
  <c r="P267" i="6"/>
  <c r="O267" i="6"/>
  <c r="L267" i="6"/>
  <c r="K267" i="6"/>
  <c r="J267" i="6"/>
  <c r="BT266" i="6"/>
  <c r="BS266" i="6"/>
  <c r="BP266" i="6"/>
  <c r="BO266" i="6"/>
  <c r="BL266" i="6"/>
  <c r="BK266" i="6"/>
  <c r="BH266" i="6"/>
  <c r="BG266" i="6"/>
  <c r="BD266" i="6"/>
  <c r="BC266" i="6"/>
  <c r="AZ266" i="6"/>
  <c r="AY266" i="6"/>
  <c r="AV266" i="6"/>
  <c r="AU266" i="6"/>
  <c r="AR266" i="6"/>
  <c r="AQ266" i="6"/>
  <c r="AN266" i="6"/>
  <c r="AM266" i="6"/>
  <c r="AJ266" i="6"/>
  <c r="AI266" i="6"/>
  <c r="AF266" i="6"/>
  <c r="AE266" i="6"/>
  <c r="AB266" i="6"/>
  <c r="AA266" i="6"/>
  <c r="X266" i="6"/>
  <c r="W266" i="6"/>
  <c r="T266" i="6"/>
  <c r="S266" i="6"/>
  <c r="P266" i="6"/>
  <c r="O266" i="6"/>
  <c r="L266" i="6"/>
  <c r="K266" i="6"/>
  <c r="J266" i="6"/>
  <c r="BT265" i="6"/>
  <c r="BS265" i="6"/>
  <c r="BP265" i="6"/>
  <c r="BO265" i="6"/>
  <c r="BL265" i="6"/>
  <c r="BK265" i="6"/>
  <c r="BH265" i="6"/>
  <c r="BG265" i="6"/>
  <c r="BD265" i="6"/>
  <c r="BC265" i="6"/>
  <c r="AZ265" i="6"/>
  <c r="AY265" i="6"/>
  <c r="AV265" i="6"/>
  <c r="AU265" i="6"/>
  <c r="AR265" i="6"/>
  <c r="AQ265" i="6"/>
  <c r="AN265" i="6"/>
  <c r="AM265" i="6"/>
  <c r="AJ265" i="6"/>
  <c r="AI265" i="6"/>
  <c r="AF265" i="6"/>
  <c r="AE265" i="6"/>
  <c r="AB265" i="6"/>
  <c r="AA265" i="6"/>
  <c r="X265" i="6"/>
  <c r="W265" i="6"/>
  <c r="T265" i="6"/>
  <c r="S265" i="6"/>
  <c r="P265" i="6"/>
  <c r="O265" i="6"/>
  <c r="L265" i="6"/>
  <c r="K265" i="6"/>
  <c r="J265" i="6"/>
  <c r="BT264" i="6"/>
  <c r="BS264" i="6"/>
  <c r="BP264" i="6"/>
  <c r="BO264" i="6"/>
  <c r="BL264" i="6"/>
  <c r="BK264" i="6"/>
  <c r="BH264" i="6"/>
  <c r="BG264" i="6"/>
  <c r="BD264" i="6"/>
  <c r="BC264" i="6"/>
  <c r="AZ264" i="6"/>
  <c r="AY264" i="6"/>
  <c r="AV264" i="6"/>
  <c r="AU264" i="6"/>
  <c r="AR264" i="6"/>
  <c r="AQ264" i="6"/>
  <c r="AN264" i="6"/>
  <c r="AM264" i="6"/>
  <c r="AJ264" i="6"/>
  <c r="AI264" i="6"/>
  <c r="AF264" i="6"/>
  <c r="AE264" i="6"/>
  <c r="AB264" i="6"/>
  <c r="AA264" i="6"/>
  <c r="X264" i="6"/>
  <c r="W264" i="6"/>
  <c r="T264" i="6"/>
  <c r="S264" i="6"/>
  <c r="P264" i="6"/>
  <c r="O264" i="6"/>
  <c r="L264" i="6"/>
  <c r="K264" i="6"/>
  <c r="J264" i="6"/>
  <c r="BT263" i="6"/>
  <c r="BS263" i="6"/>
  <c r="BP263" i="6"/>
  <c r="BO263" i="6"/>
  <c r="BL263" i="6"/>
  <c r="BK263" i="6"/>
  <c r="BH263" i="6"/>
  <c r="BG263" i="6"/>
  <c r="BD263" i="6"/>
  <c r="BC263" i="6"/>
  <c r="AZ263" i="6"/>
  <c r="AY263" i="6"/>
  <c r="AV263" i="6"/>
  <c r="AU263" i="6"/>
  <c r="AR263" i="6"/>
  <c r="AQ263" i="6"/>
  <c r="AN263" i="6"/>
  <c r="AM263" i="6"/>
  <c r="AJ263" i="6"/>
  <c r="AI263" i="6"/>
  <c r="AF263" i="6"/>
  <c r="AE263" i="6"/>
  <c r="AB263" i="6"/>
  <c r="AA263" i="6"/>
  <c r="X263" i="6"/>
  <c r="W263" i="6"/>
  <c r="T263" i="6"/>
  <c r="S263" i="6"/>
  <c r="P263" i="6"/>
  <c r="O263" i="6"/>
  <c r="L263" i="6"/>
  <c r="K263" i="6"/>
  <c r="J263" i="6"/>
  <c r="BT262" i="6"/>
  <c r="BS262" i="6"/>
  <c r="BP262" i="6"/>
  <c r="BO262" i="6"/>
  <c r="BL262" i="6"/>
  <c r="BK262" i="6"/>
  <c r="BH262" i="6"/>
  <c r="BG262" i="6"/>
  <c r="BD262" i="6"/>
  <c r="BC262" i="6"/>
  <c r="AZ262" i="6"/>
  <c r="AY262" i="6"/>
  <c r="AV262" i="6"/>
  <c r="AU262" i="6"/>
  <c r="AR262" i="6"/>
  <c r="AQ262" i="6"/>
  <c r="AN262" i="6"/>
  <c r="AM262" i="6"/>
  <c r="AJ262" i="6"/>
  <c r="AI262" i="6"/>
  <c r="AF262" i="6"/>
  <c r="AE262" i="6"/>
  <c r="AB262" i="6"/>
  <c r="AA262" i="6"/>
  <c r="X262" i="6"/>
  <c r="W262" i="6"/>
  <c r="T262" i="6"/>
  <c r="S262" i="6"/>
  <c r="P262" i="6"/>
  <c r="O262" i="6"/>
  <c r="L262" i="6"/>
  <c r="K262" i="6"/>
  <c r="J262" i="6"/>
  <c r="BT261" i="6"/>
  <c r="BS261" i="6"/>
  <c r="BP261" i="6"/>
  <c r="BO261" i="6"/>
  <c r="BL261" i="6"/>
  <c r="BK261" i="6"/>
  <c r="BH261" i="6"/>
  <c r="BG261" i="6"/>
  <c r="BD261" i="6"/>
  <c r="BC261" i="6"/>
  <c r="AZ261" i="6"/>
  <c r="AY261" i="6"/>
  <c r="AV261" i="6"/>
  <c r="AU261" i="6"/>
  <c r="AR261" i="6"/>
  <c r="AQ261" i="6"/>
  <c r="AN261" i="6"/>
  <c r="AM261" i="6"/>
  <c r="AJ261" i="6"/>
  <c r="AI261" i="6"/>
  <c r="AF261" i="6"/>
  <c r="AE261" i="6"/>
  <c r="AB261" i="6"/>
  <c r="AA261" i="6"/>
  <c r="X261" i="6"/>
  <c r="W261" i="6"/>
  <c r="T261" i="6"/>
  <c r="S261" i="6"/>
  <c r="P261" i="6"/>
  <c r="O261" i="6"/>
  <c r="L261" i="6"/>
  <c r="K261" i="6"/>
  <c r="J261" i="6"/>
  <c r="BT260" i="6"/>
  <c r="BS260" i="6"/>
  <c r="BP260" i="6"/>
  <c r="BO260" i="6"/>
  <c r="BL260" i="6"/>
  <c r="BK260" i="6"/>
  <c r="BH260" i="6"/>
  <c r="BG260" i="6"/>
  <c r="BD260" i="6"/>
  <c r="BC260" i="6"/>
  <c r="AZ260" i="6"/>
  <c r="AY260" i="6"/>
  <c r="AV260" i="6"/>
  <c r="AU260" i="6"/>
  <c r="AR260" i="6"/>
  <c r="AQ260" i="6"/>
  <c r="AN260" i="6"/>
  <c r="AM260" i="6"/>
  <c r="AJ260" i="6"/>
  <c r="AI260" i="6"/>
  <c r="AF260" i="6"/>
  <c r="AE260" i="6"/>
  <c r="AB260" i="6"/>
  <c r="AA260" i="6"/>
  <c r="X260" i="6"/>
  <c r="W260" i="6"/>
  <c r="T260" i="6"/>
  <c r="S260" i="6"/>
  <c r="P260" i="6"/>
  <c r="O260" i="6"/>
  <c r="L260" i="6"/>
  <c r="K260" i="6"/>
  <c r="J260" i="6"/>
  <c r="BT259" i="6"/>
  <c r="BS259" i="6"/>
  <c r="BP259" i="6"/>
  <c r="BO259" i="6"/>
  <c r="BL259" i="6"/>
  <c r="BK259" i="6"/>
  <c r="BH259" i="6"/>
  <c r="BG259" i="6"/>
  <c r="BD259" i="6"/>
  <c r="BC259" i="6"/>
  <c r="AZ259" i="6"/>
  <c r="AY259" i="6"/>
  <c r="AV259" i="6"/>
  <c r="AU259" i="6"/>
  <c r="AR259" i="6"/>
  <c r="AQ259" i="6"/>
  <c r="AN259" i="6"/>
  <c r="AM259" i="6"/>
  <c r="AJ259" i="6"/>
  <c r="AI259" i="6"/>
  <c r="AF259" i="6"/>
  <c r="AE259" i="6"/>
  <c r="AB259" i="6"/>
  <c r="AA259" i="6"/>
  <c r="X259" i="6"/>
  <c r="W259" i="6"/>
  <c r="T259" i="6"/>
  <c r="S259" i="6"/>
  <c r="P259" i="6"/>
  <c r="O259" i="6"/>
  <c r="L259" i="6"/>
  <c r="K259" i="6"/>
  <c r="J259" i="6"/>
  <c r="BT258" i="6"/>
  <c r="BS258" i="6"/>
  <c r="BP258" i="6"/>
  <c r="BO258" i="6"/>
  <c r="BL258" i="6"/>
  <c r="BK258" i="6"/>
  <c r="BH258" i="6"/>
  <c r="BG258" i="6"/>
  <c r="BD258" i="6"/>
  <c r="BC258" i="6"/>
  <c r="AZ258" i="6"/>
  <c r="AY258" i="6"/>
  <c r="AV258" i="6"/>
  <c r="AU258" i="6"/>
  <c r="AR258" i="6"/>
  <c r="AQ258" i="6"/>
  <c r="AN258" i="6"/>
  <c r="AM258" i="6"/>
  <c r="AJ258" i="6"/>
  <c r="AI258" i="6"/>
  <c r="AF258" i="6"/>
  <c r="AE258" i="6"/>
  <c r="AB258" i="6"/>
  <c r="AA258" i="6"/>
  <c r="X258" i="6"/>
  <c r="W258" i="6"/>
  <c r="T258" i="6"/>
  <c r="S258" i="6"/>
  <c r="P258" i="6"/>
  <c r="O258" i="6"/>
  <c r="L258" i="6"/>
  <c r="K258" i="6"/>
  <c r="J258" i="6"/>
  <c r="BT257" i="6"/>
  <c r="BS257" i="6"/>
  <c r="BP257" i="6"/>
  <c r="BO257" i="6"/>
  <c r="BL257" i="6"/>
  <c r="BK257" i="6"/>
  <c r="BH257" i="6"/>
  <c r="BG257" i="6"/>
  <c r="BD257" i="6"/>
  <c r="BC257" i="6"/>
  <c r="AZ257" i="6"/>
  <c r="AY257" i="6"/>
  <c r="AV257" i="6"/>
  <c r="AU257" i="6"/>
  <c r="AR257" i="6"/>
  <c r="AQ257" i="6"/>
  <c r="AN257" i="6"/>
  <c r="AM257" i="6"/>
  <c r="AJ257" i="6"/>
  <c r="AI257" i="6"/>
  <c r="AF257" i="6"/>
  <c r="AE257" i="6"/>
  <c r="AB257" i="6"/>
  <c r="AA257" i="6"/>
  <c r="X257" i="6"/>
  <c r="W257" i="6"/>
  <c r="T257" i="6"/>
  <c r="S257" i="6"/>
  <c r="P257" i="6"/>
  <c r="O257" i="6"/>
  <c r="L257" i="6"/>
  <c r="K257" i="6"/>
  <c r="J257" i="6"/>
  <c r="BT256" i="6"/>
  <c r="BS256" i="6"/>
  <c r="BP256" i="6"/>
  <c r="BO256" i="6"/>
  <c r="BL256" i="6"/>
  <c r="BK256" i="6"/>
  <c r="BH256" i="6"/>
  <c r="BG256" i="6"/>
  <c r="BD256" i="6"/>
  <c r="BC256" i="6"/>
  <c r="AZ256" i="6"/>
  <c r="AY256" i="6"/>
  <c r="AV256" i="6"/>
  <c r="AU256" i="6"/>
  <c r="AR256" i="6"/>
  <c r="AQ256" i="6"/>
  <c r="AN256" i="6"/>
  <c r="AM256" i="6"/>
  <c r="AJ256" i="6"/>
  <c r="AI256" i="6"/>
  <c r="AF256" i="6"/>
  <c r="AE256" i="6"/>
  <c r="AB256" i="6"/>
  <c r="AA256" i="6"/>
  <c r="X256" i="6"/>
  <c r="W256" i="6"/>
  <c r="T256" i="6"/>
  <c r="S256" i="6"/>
  <c r="P256" i="6"/>
  <c r="O256" i="6"/>
  <c r="L256" i="6"/>
  <c r="K256" i="6"/>
  <c r="J256" i="6"/>
  <c r="BT255" i="6"/>
  <c r="BS255" i="6"/>
  <c r="BP255" i="6"/>
  <c r="BO255" i="6"/>
  <c r="BL255" i="6"/>
  <c r="BK255" i="6"/>
  <c r="BH255" i="6"/>
  <c r="BG255" i="6"/>
  <c r="BD255" i="6"/>
  <c r="BC255" i="6"/>
  <c r="AZ255" i="6"/>
  <c r="AY255" i="6"/>
  <c r="AV255" i="6"/>
  <c r="AU255" i="6"/>
  <c r="AR255" i="6"/>
  <c r="AQ255" i="6"/>
  <c r="AN255" i="6"/>
  <c r="AM255" i="6"/>
  <c r="AJ255" i="6"/>
  <c r="AI255" i="6"/>
  <c r="AF255" i="6"/>
  <c r="AE255" i="6"/>
  <c r="AB255" i="6"/>
  <c r="AA255" i="6"/>
  <c r="X255" i="6"/>
  <c r="W255" i="6"/>
  <c r="T255" i="6"/>
  <c r="S255" i="6"/>
  <c r="P255" i="6"/>
  <c r="O255" i="6"/>
  <c r="L255" i="6"/>
  <c r="K255" i="6"/>
  <c r="J255" i="6"/>
  <c r="BT254" i="6"/>
  <c r="BS254" i="6"/>
  <c r="BP254" i="6"/>
  <c r="BO254" i="6"/>
  <c r="BL254" i="6"/>
  <c r="BK254" i="6"/>
  <c r="BH254" i="6"/>
  <c r="BG254" i="6"/>
  <c r="BD254" i="6"/>
  <c r="BC254" i="6"/>
  <c r="AZ254" i="6"/>
  <c r="AY254" i="6"/>
  <c r="AV254" i="6"/>
  <c r="AU254" i="6"/>
  <c r="AR254" i="6"/>
  <c r="AQ254" i="6"/>
  <c r="AN254" i="6"/>
  <c r="AM254" i="6"/>
  <c r="AJ254" i="6"/>
  <c r="AI254" i="6"/>
  <c r="AF254" i="6"/>
  <c r="AE254" i="6"/>
  <c r="AB254" i="6"/>
  <c r="AA254" i="6"/>
  <c r="X254" i="6"/>
  <c r="W254" i="6"/>
  <c r="T254" i="6"/>
  <c r="S254" i="6"/>
  <c r="P254" i="6"/>
  <c r="O254" i="6"/>
  <c r="L254" i="6"/>
  <c r="K254" i="6"/>
  <c r="J254" i="6"/>
  <c r="BT253" i="6"/>
  <c r="BS253" i="6"/>
  <c r="BP253" i="6"/>
  <c r="BO253" i="6"/>
  <c r="BL253" i="6"/>
  <c r="BK253" i="6"/>
  <c r="BH253" i="6"/>
  <c r="BG253" i="6"/>
  <c r="BD253" i="6"/>
  <c r="BC253" i="6"/>
  <c r="AZ253" i="6"/>
  <c r="AY253" i="6"/>
  <c r="AV253" i="6"/>
  <c r="AU253" i="6"/>
  <c r="AR253" i="6"/>
  <c r="AQ253" i="6"/>
  <c r="AN253" i="6"/>
  <c r="AM253" i="6"/>
  <c r="AJ253" i="6"/>
  <c r="AI253" i="6"/>
  <c r="AF253" i="6"/>
  <c r="AE253" i="6"/>
  <c r="AB253" i="6"/>
  <c r="AA253" i="6"/>
  <c r="X253" i="6"/>
  <c r="W253" i="6"/>
  <c r="T253" i="6"/>
  <c r="S253" i="6"/>
  <c r="P253" i="6"/>
  <c r="O253" i="6"/>
  <c r="L253" i="6"/>
  <c r="K253" i="6"/>
  <c r="J253" i="6"/>
  <c r="BT252" i="6"/>
  <c r="BS252" i="6"/>
  <c r="BP252" i="6"/>
  <c r="BO252" i="6"/>
  <c r="BL252" i="6"/>
  <c r="BK252" i="6"/>
  <c r="BH252" i="6"/>
  <c r="BG252" i="6"/>
  <c r="BD252" i="6"/>
  <c r="BC252" i="6"/>
  <c r="AZ252" i="6"/>
  <c r="AY252" i="6"/>
  <c r="AV252" i="6"/>
  <c r="AU252" i="6"/>
  <c r="AR252" i="6"/>
  <c r="AQ252" i="6"/>
  <c r="AN252" i="6"/>
  <c r="AM252" i="6"/>
  <c r="AJ252" i="6"/>
  <c r="AI252" i="6"/>
  <c r="AF252" i="6"/>
  <c r="AE252" i="6"/>
  <c r="AB252" i="6"/>
  <c r="AA252" i="6"/>
  <c r="X252" i="6"/>
  <c r="W252" i="6"/>
  <c r="T252" i="6"/>
  <c r="S252" i="6"/>
  <c r="P252" i="6"/>
  <c r="O252" i="6"/>
  <c r="L252" i="6"/>
  <c r="K252" i="6"/>
  <c r="J252" i="6"/>
  <c r="BT251" i="6"/>
  <c r="BS251" i="6"/>
  <c r="BP251" i="6"/>
  <c r="BO251" i="6"/>
  <c r="BL251" i="6"/>
  <c r="BK251" i="6"/>
  <c r="BH251" i="6"/>
  <c r="BG251" i="6"/>
  <c r="BD251" i="6"/>
  <c r="BC251" i="6"/>
  <c r="AZ251" i="6"/>
  <c r="AY251" i="6"/>
  <c r="AV251" i="6"/>
  <c r="AU251" i="6"/>
  <c r="AR251" i="6"/>
  <c r="AQ251" i="6"/>
  <c r="AN251" i="6"/>
  <c r="AM251" i="6"/>
  <c r="AJ251" i="6"/>
  <c r="AI251" i="6"/>
  <c r="AF251" i="6"/>
  <c r="AE251" i="6"/>
  <c r="AB251" i="6"/>
  <c r="AA251" i="6"/>
  <c r="X251" i="6"/>
  <c r="W251" i="6"/>
  <c r="T251" i="6"/>
  <c r="S251" i="6"/>
  <c r="P251" i="6"/>
  <c r="O251" i="6"/>
  <c r="L251" i="6"/>
  <c r="K251" i="6"/>
  <c r="J251" i="6"/>
  <c r="BT250" i="6"/>
  <c r="BS250" i="6"/>
  <c r="BP250" i="6"/>
  <c r="BO250" i="6"/>
  <c r="BL250" i="6"/>
  <c r="BK250" i="6"/>
  <c r="BH250" i="6"/>
  <c r="BG250" i="6"/>
  <c r="BD250" i="6"/>
  <c r="BC250" i="6"/>
  <c r="AZ250" i="6"/>
  <c r="AY250" i="6"/>
  <c r="AV250" i="6"/>
  <c r="AU250" i="6"/>
  <c r="AR250" i="6"/>
  <c r="AQ250" i="6"/>
  <c r="AN250" i="6"/>
  <c r="AM250" i="6"/>
  <c r="AJ250" i="6"/>
  <c r="AI250" i="6"/>
  <c r="AF250" i="6"/>
  <c r="AE250" i="6"/>
  <c r="AB250" i="6"/>
  <c r="AA250" i="6"/>
  <c r="X250" i="6"/>
  <c r="W250" i="6"/>
  <c r="T250" i="6"/>
  <c r="S250" i="6"/>
  <c r="P250" i="6"/>
  <c r="O250" i="6"/>
  <c r="L250" i="6"/>
  <c r="K250" i="6"/>
  <c r="J250" i="6"/>
  <c r="BT249" i="6"/>
  <c r="BS249" i="6"/>
  <c r="BP249" i="6"/>
  <c r="BO249" i="6"/>
  <c r="BL249" i="6"/>
  <c r="BK249" i="6"/>
  <c r="BH249" i="6"/>
  <c r="BG249" i="6"/>
  <c r="BD249" i="6"/>
  <c r="BC249" i="6"/>
  <c r="AZ249" i="6"/>
  <c r="AY249" i="6"/>
  <c r="AV249" i="6"/>
  <c r="AU249" i="6"/>
  <c r="AR249" i="6"/>
  <c r="AQ249" i="6"/>
  <c r="AN249" i="6"/>
  <c r="AM249" i="6"/>
  <c r="AJ249" i="6"/>
  <c r="AI249" i="6"/>
  <c r="AF249" i="6"/>
  <c r="AE249" i="6"/>
  <c r="AB249" i="6"/>
  <c r="AA249" i="6"/>
  <c r="X249" i="6"/>
  <c r="W249" i="6"/>
  <c r="T249" i="6"/>
  <c r="S249" i="6"/>
  <c r="P249" i="6"/>
  <c r="O249" i="6"/>
  <c r="L249" i="6"/>
  <c r="K249" i="6"/>
  <c r="J249" i="6"/>
  <c r="BT248" i="6"/>
  <c r="BS248" i="6"/>
  <c r="BP248" i="6"/>
  <c r="BO248" i="6"/>
  <c r="BL248" i="6"/>
  <c r="BK248" i="6"/>
  <c r="BH248" i="6"/>
  <c r="BG248" i="6"/>
  <c r="BD248" i="6"/>
  <c r="BC248" i="6"/>
  <c r="AZ248" i="6"/>
  <c r="AY248" i="6"/>
  <c r="AV248" i="6"/>
  <c r="AU248" i="6"/>
  <c r="AR248" i="6"/>
  <c r="AQ248" i="6"/>
  <c r="AN248" i="6"/>
  <c r="AM248" i="6"/>
  <c r="AJ248" i="6"/>
  <c r="AI248" i="6"/>
  <c r="AF248" i="6"/>
  <c r="AE248" i="6"/>
  <c r="AB248" i="6"/>
  <c r="AA248" i="6"/>
  <c r="X248" i="6"/>
  <c r="W248" i="6"/>
  <c r="T248" i="6"/>
  <c r="S248" i="6"/>
  <c r="P248" i="6"/>
  <c r="O248" i="6"/>
  <c r="L248" i="6"/>
  <c r="K248" i="6"/>
  <c r="J248" i="6"/>
  <c r="BT247" i="6"/>
  <c r="BS247" i="6"/>
  <c r="BP247" i="6"/>
  <c r="BO247" i="6"/>
  <c r="BL247" i="6"/>
  <c r="BK247" i="6"/>
  <c r="BH247" i="6"/>
  <c r="BG247" i="6"/>
  <c r="BD247" i="6"/>
  <c r="BC247" i="6"/>
  <c r="AZ247" i="6"/>
  <c r="AY247" i="6"/>
  <c r="AV247" i="6"/>
  <c r="AU247" i="6"/>
  <c r="AR247" i="6"/>
  <c r="AQ247" i="6"/>
  <c r="AN247" i="6"/>
  <c r="AM247" i="6"/>
  <c r="AJ247" i="6"/>
  <c r="AI247" i="6"/>
  <c r="AF247" i="6"/>
  <c r="AE247" i="6"/>
  <c r="AB247" i="6"/>
  <c r="AA247" i="6"/>
  <c r="X247" i="6"/>
  <c r="W247" i="6"/>
  <c r="T247" i="6"/>
  <c r="S247" i="6"/>
  <c r="P247" i="6"/>
  <c r="O247" i="6"/>
  <c r="L247" i="6"/>
  <c r="K247" i="6"/>
  <c r="J247" i="6"/>
  <c r="BT246" i="6"/>
  <c r="BS246" i="6"/>
  <c r="BP246" i="6"/>
  <c r="BO246" i="6"/>
  <c r="BL246" i="6"/>
  <c r="BK246" i="6"/>
  <c r="BH246" i="6"/>
  <c r="BG246" i="6"/>
  <c r="BD246" i="6"/>
  <c r="BC246" i="6"/>
  <c r="AZ246" i="6"/>
  <c r="AY246" i="6"/>
  <c r="AV246" i="6"/>
  <c r="AU246" i="6"/>
  <c r="AR246" i="6"/>
  <c r="AQ246" i="6"/>
  <c r="AN246" i="6"/>
  <c r="AM246" i="6"/>
  <c r="AJ246" i="6"/>
  <c r="AI246" i="6"/>
  <c r="AF246" i="6"/>
  <c r="AE246" i="6"/>
  <c r="AB246" i="6"/>
  <c r="AA246" i="6"/>
  <c r="X246" i="6"/>
  <c r="W246" i="6"/>
  <c r="T246" i="6"/>
  <c r="S246" i="6"/>
  <c r="P246" i="6"/>
  <c r="O246" i="6"/>
  <c r="L246" i="6"/>
  <c r="K246" i="6"/>
  <c r="J246" i="6"/>
  <c r="BT245" i="6"/>
  <c r="BS245" i="6"/>
  <c r="BP245" i="6"/>
  <c r="BO245" i="6"/>
  <c r="BL245" i="6"/>
  <c r="BK245" i="6"/>
  <c r="BH245" i="6"/>
  <c r="BG245" i="6"/>
  <c r="BD245" i="6"/>
  <c r="BC245" i="6"/>
  <c r="AZ245" i="6"/>
  <c r="AY245" i="6"/>
  <c r="AV245" i="6"/>
  <c r="AU245" i="6"/>
  <c r="AR245" i="6"/>
  <c r="AQ245" i="6"/>
  <c r="AN245" i="6"/>
  <c r="AM245" i="6"/>
  <c r="AJ245" i="6"/>
  <c r="AI245" i="6"/>
  <c r="AF245" i="6"/>
  <c r="AE245" i="6"/>
  <c r="AB245" i="6"/>
  <c r="AA245" i="6"/>
  <c r="X245" i="6"/>
  <c r="W245" i="6"/>
  <c r="T245" i="6"/>
  <c r="S245" i="6"/>
  <c r="P245" i="6"/>
  <c r="O245" i="6"/>
  <c r="L245" i="6"/>
  <c r="K245" i="6"/>
  <c r="J245" i="6"/>
  <c r="BT244" i="6"/>
  <c r="BS244" i="6"/>
  <c r="BP244" i="6"/>
  <c r="BO244" i="6"/>
  <c r="BL244" i="6"/>
  <c r="BK244" i="6"/>
  <c r="BH244" i="6"/>
  <c r="BG244" i="6"/>
  <c r="BD244" i="6"/>
  <c r="BC244" i="6"/>
  <c r="AZ244" i="6"/>
  <c r="AY244" i="6"/>
  <c r="AV244" i="6"/>
  <c r="AU244" i="6"/>
  <c r="AR244" i="6"/>
  <c r="AQ244" i="6"/>
  <c r="AN244" i="6"/>
  <c r="AM244" i="6"/>
  <c r="AJ244" i="6"/>
  <c r="AI244" i="6"/>
  <c r="AF244" i="6"/>
  <c r="AE244" i="6"/>
  <c r="AB244" i="6"/>
  <c r="AA244" i="6"/>
  <c r="X244" i="6"/>
  <c r="W244" i="6"/>
  <c r="T244" i="6"/>
  <c r="S244" i="6"/>
  <c r="P244" i="6"/>
  <c r="O244" i="6"/>
  <c r="L244" i="6"/>
  <c r="K244" i="6"/>
  <c r="J244" i="6"/>
  <c r="BT243" i="6"/>
  <c r="BS243" i="6"/>
  <c r="BP243" i="6"/>
  <c r="BO243" i="6"/>
  <c r="BL243" i="6"/>
  <c r="BK243" i="6"/>
  <c r="BH243" i="6"/>
  <c r="BG243" i="6"/>
  <c r="BD243" i="6"/>
  <c r="BC243" i="6"/>
  <c r="AZ243" i="6"/>
  <c r="AY243" i="6"/>
  <c r="AV243" i="6"/>
  <c r="AU243" i="6"/>
  <c r="AR243" i="6"/>
  <c r="AQ243" i="6"/>
  <c r="AN243" i="6"/>
  <c r="AM243" i="6"/>
  <c r="AJ243" i="6"/>
  <c r="AI243" i="6"/>
  <c r="AF243" i="6"/>
  <c r="AE243" i="6"/>
  <c r="AB243" i="6"/>
  <c r="AA243" i="6"/>
  <c r="X243" i="6"/>
  <c r="W243" i="6"/>
  <c r="T243" i="6"/>
  <c r="S243" i="6"/>
  <c r="P243" i="6"/>
  <c r="O243" i="6"/>
  <c r="L243" i="6"/>
  <c r="K243" i="6"/>
  <c r="J243" i="6"/>
  <c r="BT242" i="6"/>
  <c r="BS242" i="6"/>
  <c r="BP242" i="6"/>
  <c r="BO242" i="6"/>
  <c r="BL242" i="6"/>
  <c r="BK242" i="6"/>
  <c r="BH242" i="6"/>
  <c r="BG242" i="6"/>
  <c r="BD242" i="6"/>
  <c r="BC242" i="6"/>
  <c r="AZ242" i="6"/>
  <c r="AY242" i="6"/>
  <c r="AV242" i="6"/>
  <c r="AU242" i="6"/>
  <c r="AR242" i="6"/>
  <c r="AQ242" i="6"/>
  <c r="AN242" i="6"/>
  <c r="AM242" i="6"/>
  <c r="AJ242" i="6"/>
  <c r="AI242" i="6"/>
  <c r="AF242" i="6"/>
  <c r="AE242" i="6"/>
  <c r="AB242" i="6"/>
  <c r="AA242" i="6"/>
  <c r="X242" i="6"/>
  <c r="W242" i="6"/>
  <c r="T242" i="6"/>
  <c r="S242" i="6"/>
  <c r="P242" i="6"/>
  <c r="O242" i="6"/>
  <c r="L242" i="6"/>
  <c r="K242" i="6"/>
  <c r="J242" i="6"/>
  <c r="BT241" i="6"/>
  <c r="BS241" i="6"/>
  <c r="BP241" i="6"/>
  <c r="BO241" i="6"/>
  <c r="BL241" i="6"/>
  <c r="BK241" i="6"/>
  <c r="BH241" i="6"/>
  <c r="BG241" i="6"/>
  <c r="BD241" i="6"/>
  <c r="BC241" i="6"/>
  <c r="AZ241" i="6"/>
  <c r="AY241" i="6"/>
  <c r="AV241" i="6"/>
  <c r="AU241" i="6"/>
  <c r="AR241" i="6"/>
  <c r="AQ241" i="6"/>
  <c r="AN241" i="6"/>
  <c r="AM241" i="6"/>
  <c r="AJ241" i="6"/>
  <c r="AI241" i="6"/>
  <c r="AF241" i="6"/>
  <c r="AE241" i="6"/>
  <c r="AB241" i="6"/>
  <c r="AA241" i="6"/>
  <c r="X241" i="6"/>
  <c r="W241" i="6"/>
  <c r="T241" i="6"/>
  <c r="S241" i="6"/>
  <c r="P241" i="6"/>
  <c r="O241" i="6"/>
  <c r="L241" i="6"/>
  <c r="K241" i="6"/>
  <c r="J241" i="6"/>
  <c r="BT240" i="6"/>
  <c r="BS240" i="6"/>
  <c r="BP240" i="6"/>
  <c r="BO240" i="6"/>
  <c r="BL240" i="6"/>
  <c r="BK240" i="6"/>
  <c r="BH240" i="6"/>
  <c r="BG240" i="6"/>
  <c r="BD240" i="6"/>
  <c r="BC240" i="6"/>
  <c r="AZ240" i="6"/>
  <c r="AY240" i="6"/>
  <c r="AV240" i="6"/>
  <c r="AU240" i="6"/>
  <c r="AR240" i="6"/>
  <c r="AQ240" i="6"/>
  <c r="AN240" i="6"/>
  <c r="AM240" i="6"/>
  <c r="AJ240" i="6"/>
  <c r="AI240" i="6"/>
  <c r="AF240" i="6"/>
  <c r="AE240" i="6"/>
  <c r="AB240" i="6"/>
  <c r="AA240" i="6"/>
  <c r="X240" i="6"/>
  <c r="W240" i="6"/>
  <c r="T240" i="6"/>
  <c r="S240" i="6"/>
  <c r="P240" i="6"/>
  <c r="O240" i="6"/>
  <c r="L240" i="6"/>
  <c r="K240" i="6"/>
  <c r="J240" i="6"/>
  <c r="BT239" i="6"/>
  <c r="BS239" i="6"/>
  <c r="BP239" i="6"/>
  <c r="BO239" i="6"/>
  <c r="BL239" i="6"/>
  <c r="BK239" i="6"/>
  <c r="BH239" i="6"/>
  <c r="BG239" i="6"/>
  <c r="BD239" i="6"/>
  <c r="BC239" i="6"/>
  <c r="AZ239" i="6"/>
  <c r="AY239" i="6"/>
  <c r="AV239" i="6"/>
  <c r="AU239" i="6"/>
  <c r="AR239" i="6"/>
  <c r="AQ239" i="6"/>
  <c r="AN239" i="6"/>
  <c r="AM239" i="6"/>
  <c r="AJ239" i="6"/>
  <c r="AI239" i="6"/>
  <c r="AF239" i="6"/>
  <c r="AE239" i="6"/>
  <c r="AB239" i="6"/>
  <c r="AA239" i="6"/>
  <c r="X239" i="6"/>
  <c r="W239" i="6"/>
  <c r="T239" i="6"/>
  <c r="S239" i="6"/>
  <c r="P239" i="6"/>
  <c r="O239" i="6"/>
  <c r="L239" i="6"/>
  <c r="K239" i="6"/>
  <c r="J239" i="6"/>
  <c r="BT238" i="6"/>
  <c r="BS238" i="6"/>
  <c r="BP238" i="6"/>
  <c r="BO238" i="6"/>
  <c r="BL238" i="6"/>
  <c r="BK238" i="6"/>
  <c r="BH238" i="6"/>
  <c r="BG238" i="6"/>
  <c r="BD238" i="6"/>
  <c r="BC238" i="6"/>
  <c r="AZ238" i="6"/>
  <c r="AY238" i="6"/>
  <c r="AV238" i="6"/>
  <c r="AU238" i="6"/>
  <c r="AR238" i="6"/>
  <c r="AQ238" i="6"/>
  <c r="AN238" i="6"/>
  <c r="AM238" i="6"/>
  <c r="AJ238" i="6"/>
  <c r="AI238" i="6"/>
  <c r="AF238" i="6"/>
  <c r="AE238" i="6"/>
  <c r="AB238" i="6"/>
  <c r="AA238" i="6"/>
  <c r="X238" i="6"/>
  <c r="W238" i="6"/>
  <c r="T238" i="6"/>
  <c r="S238" i="6"/>
  <c r="P238" i="6"/>
  <c r="O238" i="6"/>
  <c r="L238" i="6"/>
  <c r="K238" i="6"/>
  <c r="J238" i="6"/>
  <c r="BT237" i="6"/>
  <c r="BS237" i="6"/>
  <c r="BP237" i="6"/>
  <c r="BO237" i="6"/>
  <c r="BL237" i="6"/>
  <c r="BK237" i="6"/>
  <c r="BH237" i="6"/>
  <c r="BG237" i="6"/>
  <c r="BD237" i="6"/>
  <c r="BC237" i="6"/>
  <c r="AZ237" i="6"/>
  <c r="AY237" i="6"/>
  <c r="AV237" i="6"/>
  <c r="AU237" i="6"/>
  <c r="AR237" i="6"/>
  <c r="AQ237" i="6"/>
  <c r="AN237" i="6"/>
  <c r="AM237" i="6"/>
  <c r="AJ237" i="6"/>
  <c r="AI237" i="6"/>
  <c r="AF237" i="6"/>
  <c r="AE237" i="6"/>
  <c r="AB237" i="6"/>
  <c r="AA237" i="6"/>
  <c r="X237" i="6"/>
  <c r="W237" i="6"/>
  <c r="T237" i="6"/>
  <c r="S237" i="6"/>
  <c r="P237" i="6"/>
  <c r="O237" i="6"/>
  <c r="L237" i="6"/>
  <c r="K237" i="6"/>
  <c r="J237" i="6"/>
  <c r="BT236" i="6"/>
  <c r="BS236" i="6"/>
  <c r="BP236" i="6"/>
  <c r="BO236" i="6"/>
  <c r="BL236" i="6"/>
  <c r="BK236" i="6"/>
  <c r="BH236" i="6"/>
  <c r="BG236" i="6"/>
  <c r="BD236" i="6"/>
  <c r="BC236" i="6"/>
  <c r="AZ236" i="6"/>
  <c r="AY236" i="6"/>
  <c r="AV236" i="6"/>
  <c r="AU236" i="6"/>
  <c r="AR236" i="6"/>
  <c r="AQ236" i="6"/>
  <c r="AN236" i="6"/>
  <c r="AM236" i="6"/>
  <c r="AJ236" i="6"/>
  <c r="AI236" i="6"/>
  <c r="AF236" i="6"/>
  <c r="AE236" i="6"/>
  <c r="AB236" i="6"/>
  <c r="AA236" i="6"/>
  <c r="X236" i="6"/>
  <c r="W236" i="6"/>
  <c r="T236" i="6"/>
  <c r="S236" i="6"/>
  <c r="P236" i="6"/>
  <c r="O236" i="6"/>
  <c r="L236" i="6"/>
  <c r="K236" i="6"/>
  <c r="J236" i="6"/>
  <c r="BT235" i="6"/>
  <c r="BS235" i="6"/>
  <c r="BP235" i="6"/>
  <c r="BO235" i="6"/>
  <c r="BL235" i="6"/>
  <c r="BK235" i="6"/>
  <c r="BH235" i="6"/>
  <c r="BG235" i="6"/>
  <c r="BD235" i="6"/>
  <c r="BC235" i="6"/>
  <c r="AZ235" i="6"/>
  <c r="AY235" i="6"/>
  <c r="AV235" i="6"/>
  <c r="AU235" i="6"/>
  <c r="AR235" i="6"/>
  <c r="AQ235" i="6"/>
  <c r="AN235" i="6"/>
  <c r="AM235" i="6"/>
  <c r="AJ235" i="6"/>
  <c r="AI235" i="6"/>
  <c r="AF235" i="6"/>
  <c r="AE235" i="6"/>
  <c r="AB235" i="6"/>
  <c r="AA235" i="6"/>
  <c r="X235" i="6"/>
  <c r="W235" i="6"/>
  <c r="T235" i="6"/>
  <c r="S235" i="6"/>
  <c r="P235" i="6"/>
  <c r="O235" i="6"/>
  <c r="L235" i="6"/>
  <c r="K235" i="6"/>
  <c r="J235" i="6"/>
  <c r="BT234" i="6"/>
  <c r="BS234" i="6"/>
  <c r="BP234" i="6"/>
  <c r="BO234" i="6"/>
  <c r="BL234" i="6"/>
  <c r="BK234" i="6"/>
  <c r="BH234" i="6"/>
  <c r="BG234" i="6"/>
  <c r="BD234" i="6"/>
  <c r="BC234" i="6"/>
  <c r="AZ234" i="6"/>
  <c r="AY234" i="6"/>
  <c r="AV234" i="6"/>
  <c r="AU234" i="6"/>
  <c r="AR234" i="6"/>
  <c r="AQ234" i="6"/>
  <c r="AN234" i="6"/>
  <c r="AM234" i="6"/>
  <c r="AJ234" i="6"/>
  <c r="AI234" i="6"/>
  <c r="AF234" i="6"/>
  <c r="AE234" i="6"/>
  <c r="AB234" i="6"/>
  <c r="AA234" i="6"/>
  <c r="X234" i="6"/>
  <c r="W234" i="6"/>
  <c r="T234" i="6"/>
  <c r="S234" i="6"/>
  <c r="P234" i="6"/>
  <c r="O234" i="6"/>
  <c r="L234" i="6"/>
  <c r="K234" i="6"/>
  <c r="J234" i="6"/>
  <c r="BT233" i="6"/>
  <c r="BS233" i="6"/>
  <c r="BP233" i="6"/>
  <c r="BO233" i="6"/>
  <c r="BL233" i="6"/>
  <c r="BK233" i="6"/>
  <c r="BH233" i="6"/>
  <c r="BG233" i="6"/>
  <c r="BD233" i="6"/>
  <c r="BC233" i="6"/>
  <c r="AZ233" i="6"/>
  <c r="AY233" i="6"/>
  <c r="AV233" i="6"/>
  <c r="AU233" i="6"/>
  <c r="AR233" i="6"/>
  <c r="AQ233" i="6"/>
  <c r="AN233" i="6"/>
  <c r="AM233" i="6"/>
  <c r="AJ233" i="6"/>
  <c r="AI233" i="6"/>
  <c r="AF233" i="6"/>
  <c r="AE233" i="6"/>
  <c r="AB233" i="6"/>
  <c r="AA233" i="6"/>
  <c r="X233" i="6"/>
  <c r="W233" i="6"/>
  <c r="T233" i="6"/>
  <c r="S233" i="6"/>
  <c r="P233" i="6"/>
  <c r="O233" i="6"/>
  <c r="L233" i="6"/>
  <c r="K233" i="6"/>
  <c r="J233" i="6"/>
  <c r="BT232" i="6"/>
  <c r="BS232" i="6"/>
  <c r="BP232" i="6"/>
  <c r="BO232" i="6"/>
  <c r="BL232" i="6"/>
  <c r="BK232" i="6"/>
  <c r="BH232" i="6"/>
  <c r="BG232" i="6"/>
  <c r="BD232" i="6"/>
  <c r="BC232" i="6"/>
  <c r="AZ232" i="6"/>
  <c r="AY232" i="6"/>
  <c r="AV232" i="6"/>
  <c r="AU232" i="6"/>
  <c r="AR232" i="6"/>
  <c r="AQ232" i="6"/>
  <c r="AN232" i="6"/>
  <c r="AM232" i="6"/>
  <c r="AJ232" i="6"/>
  <c r="AI232" i="6"/>
  <c r="AF232" i="6"/>
  <c r="AE232" i="6"/>
  <c r="AB232" i="6"/>
  <c r="AA232" i="6"/>
  <c r="X232" i="6"/>
  <c r="W232" i="6"/>
  <c r="T232" i="6"/>
  <c r="S232" i="6"/>
  <c r="P232" i="6"/>
  <c r="O232" i="6"/>
  <c r="L232" i="6"/>
  <c r="K232" i="6"/>
  <c r="J232" i="6"/>
  <c r="BT231" i="6"/>
  <c r="BS231" i="6"/>
  <c r="BP231" i="6"/>
  <c r="BO231" i="6"/>
  <c r="BL231" i="6"/>
  <c r="BK231" i="6"/>
  <c r="BH231" i="6"/>
  <c r="BG231" i="6"/>
  <c r="BD231" i="6"/>
  <c r="BC231" i="6"/>
  <c r="AZ231" i="6"/>
  <c r="AY231" i="6"/>
  <c r="AV231" i="6"/>
  <c r="AU231" i="6"/>
  <c r="AR231" i="6"/>
  <c r="AQ231" i="6"/>
  <c r="AN231" i="6"/>
  <c r="AM231" i="6"/>
  <c r="AJ231" i="6"/>
  <c r="AI231" i="6"/>
  <c r="AF231" i="6"/>
  <c r="AE231" i="6"/>
  <c r="AB231" i="6"/>
  <c r="AA231" i="6"/>
  <c r="X231" i="6"/>
  <c r="W231" i="6"/>
  <c r="T231" i="6"/>
  <c r="S231" i="6"/>
  <c r="P231" i="6"/>
  <c r="O231" i="6"/>
  <c r="L231" i="6"/>
  <c r="K231" i="6"/>
  <c r="J231" i="6"/>
  <c r="BT230" i="6"/>
  <c r="BS230" i="6"/>
  <c r="BP230" i="6"/>
  <c r="BO230" i="6"/>
  <c r="BL230" i="6"/>
  <c r="BK230" i="6"/>
  <c r="BH230" i="6"/>
  <c r="BG230" i="6"/>
  <c r="BD230" i="6"/>
  <c r="BC230" i="6"/>
  <c r="AZ230" i="6"/>
  <c r="AY230" i="6"/>
  <c r="AV230" i="6"/>
  <c r="AU230" i="6"/>
  <c r="AR230" i="6"/>
  <c r="AQ230" i="6"/>
  <c r="AN230" i="6"/>
  <c r="AM230" i="6"/>
  <c r="AJ230" i="6"/>
  <c r="AI230" i="6"/>
  <c r="AF230" i="6"/>
  <c r="AE230" i="6"/>
  <c r="AB230" i="6"/>
  <c r="AA230" i="6"/>
  <c r="X230" i="6"/>
  <c r="W230" i="6"/>
  <c r="T230" i="6"/>
  <c r="S230" i="6"/>
  <c r="P230" i="6"/>
  <c r="O230" i="6"/>
  <c r="L230" i="6"/>
  <c r="K230" i="6"/>
  <c r="J230" i="6"/>
  <c r="BT229" i="6"/>
  <c r="BS229" i="6"/>
  <c r="BP229" i="6"/>
  <c r="BO229" i="6"/>
  <c r="BL229" i="6"/>
  <c r="BK229" i="6"/>
  <c r="BH229" i="6"/>
  <c r="BG229" i="6"/>
  <c r="BD229" i="6"/>
  <c r="BC229" i="6"/>
  <c r="AZ229" i="6"/>
  <c r="AY229" i="6"/>
  <c r="AV229" i="6"/>
  <c r="AU229" i="6"/>
  <c r="AR229" i="6"/>
  <c r="AQ229" i="6"/>
  <c r="AN229" i="6"/>
  <c r="AM229" i="6"/>
  <c r="AJ229" i="6"/>
  <c r="AI229" i="6"/>
  <c r="AF229" i="6"/>
  <c r="AE229" i="6"/>
  <c r="AB229" i="6"/>
  <c r="AA229" i="6"/>
  <c r="X229" i="6"/>
  <c r="W229" i="6"/>
  <c r="T229" i="6"/>
  <c r="S229" i="6"/>
  <c r="P229" i="6"/>
  <c r="O229" i="6"/>
  <c r="L229" i="6"/>
  <c r="K229" i="6"/>
  <c r="J229" i="6"/>
  <c r="BT228" i="6"/>
  <c r="BS228" i="6"/>
  <c r="BP228" i="6"/>
  <c r="BO228" i="6"/>
  <c r="BL228" i="6"/>
  <c r="BK228" i="6"/>
  <c r="BH228" i="6"/>
  <c r="BG228" i="6"/>
  <c r="BD228" i="6"/>
  <c r="BC228" i="6"/>
  <c r="AZ228" i="6"/>
  <c r="AY228" i="6"/>
  <c r="AV228" i="6"/>
  <c r="AU228" i="6"/>
  <c r="AR228" i="6"/>
  <c r="AQ228" i="6"/>
  <c r="AN228" i="6"/>
  <c r="AM228" i="6"/>
  <c r="AJ228" i="6"/>
  <c r="AI228" i="6"/>
  <c r="AF228" i="6"/>
  <c r="AE228" i="6"/>
  <c r="AB228" i="6"/>
  <c r="AA228" i="6"/>
  <c r="X228" i="6"/>
  <c r="W228" i="6"/>
  <c r="T228" i="6"/>
  <c r="S228" i="6"/>
  <c r="P228" i="6"/>
  <c r="O228" i="6"/>
  <c r="L228" i="6"/>
  <c r="K228" i="6"/>
  <c r="J228" i="6"/>
  <c r="BT227" i="6"/>
  <c r="BS227" i="6"/>
  <c r="BP227" i="6"/>
  <c r="BO227" i="6"/>
  <c r="BL227" i="6"/>
  <c r="BK227" i="6"/>
  <c r="BH227" i="6"/>
  <c r="BG227" i="6"/>
  <c r="BD227" i="6"/>
  <c r="BC227" i="6"/>
  <c r="AZ227" i="6"/>
  <c r="AY227" i="6"/>
  <c r="AV227" i="6"/>
  <c r="AU227" i="6"/>
  <c r="AR227" i="6"/>
  <c r="AQ227" i="6"/>
  <c r="AN227" i="6"/>
  <c r="AM227" i="6"/>
  <c r="AJ227" i="6"/>
  <c r="AI227" i="6"/>
  <c r="AF227" i="6"/>
  <c r="AE227" i="6"/>
  <c r="AB227" i="6"/>
  <c r="AA227" i="6"/>
  <c r="X227" i="6"/>
  <c r="W227" i="6"/>
  <c r="T227" i="6"/>
  <c r="S227" i="6"/>
  <c r="P227" i="6"/>
  <c r="O227" i="6"/>
  <c r="L227" i="6"/>
  <c r="K227" i="6"/>
  <c r="J227" i="6"/>
  <c r="BT226" i="6"/>
  <c r="BS226" i="6"/>
  <c r="BP226" i="6"/>
  <c r="BO226" i="6"/>
  <c r="BL226" i="6"/>
  <c r="BK226" i="6"/>
  <c r="BH226" i="6"/>
  <c r="BG226" i="6"/>
  <c r="BD226" i="6"/>
  <c r="BC226" i="6"/>
  <c r="AZ226" i="6"/>
  <c r="AY226" i="6"/>
  <c r="AV226" i="6"/>
  <c r="AU226" i="6"/>
  <c r="AR226" i="6"/>
  <c r="AQ226" i="6"/>
  <c r="AN226" i="6"/>
  <c r="AM226" i="6"/>
  <c r="AJ226" i="6"/>
  <c r="AI226" i="6"/>
  <c r="AF226" i="6"/>
  <c r="AE226" i="6"/>
  <c r="AB226" i="6"/>
  <c r="AA226" i="6"/>
  <c r="X226" i="6"/>
  <c r="W226" i="6"/>
  <c r="T226" i="6"/>
  <c r="S226" i="6"/>
  <c r="P226" i="6"/>
  <c r="O226" i="6"/>
  <c r="L226" i="6"/>
  <c r="K226" i="6"/>
  <c r="J226" i="6"/>
  <c r="BT225" i="6"/>
  <c r="BS225" i="6"/>
  <c r="BP225" i="6"/>
  <c r="BO225" i="6"/>
  <c r="BL225" i="6"/>
  <c r="BK225" i="6"/>
  <c r="BH225" i="6"/>
  <c r="BG225" i="6"/>
  <c r="BD225" i="6"/>
  <c r="BC225" i="6"/>
  <c r="AZ225" i="6"/>
  <c r="AY225" i="6"/>
  <c r="AV225" i="6"/>
  <c r="AU225" i="6"/>
  <c r="AR225" i="6"/>
  <c r="AQ225" i="6"/>
  <c r="AN225" i="6"/>
  <c r="AM225" i="6"/>
  <c r="AJ225" i="6"/>
  <c r="AI225" i="6"/>
  <c r="AF225" i="6"/>
  <c r="AE225" i="6"/>
  <c r="AB225" i="6"/>
  <c r="AA225" i="6"/>
  <c r="X225" i="6"/>
  <c r="W225" i="6"/>
  <c r="T225" i="6"/>
  <c r="S225" i="6"/>
  <c r="P225" i="6"/>
  <c r="O225" i="6"/>
  <c r="L225" i="6"/>
  <c r="K225" i="6"/>
  <c r="J225" i="6"/>
  <c r="BT224" i="6"/>
  <c r="BS224" i="6"/>
  <c r="BP224" i="6"/>
  <c r="BO224" i="6"/>
  <c r="BL224" i="6"/>
  <c r="BK224" i="6"/>
  <c r="BH224" i="6"/>
  <c r="BG224" i="6"/>
  <c r="BD224" i="6"/>
  <c r="BC224" i="6"/>
  <c r="AZ224" i="6"/>
  <c r="AY224" i="6"/>
  <c r="AV224" i="6"/>
  <c r="AU224" i="6"/>
  <c r="AR224" i="6"/>
  <c r="AQ224" i="6"/>
  <c r="AN224" i="6"/>
  <c r="AM224" i="6"/>
  <c r="AJ224" i="6"/>
  <c r="AI224" i="6"/>
  <c r="AF224" i="6"/>
  <c r="AE224" i="6"/>
  <c r="AB224" i="6"/>
  <c r="AA224" i="6"/>
  <c r="X224" i="6"/>
  <c r="W224" i="6"/>
  <c r="T224" i="6"/>
  <c r="S224" i="6"/>
  <c r="P224" i="6"/>
  <c r="O224" i="6"/>
  <c r="L224" i="6"/>
  <c r="K224" i="6"/>
  <c r="J224" i="6"/>
  <c r="BT223" i="6"/>
  <c r="BS223" i="6"/>
  <c r="BP223" i="6"/>
  <c r="BO223" i="6"/>
  <c r="BL223" i="6"/>
  <c r="BK223" i="6"/>
  <c r="BH223" i="6"/>
  <c r="BG223" i="6"/>
  <c r="BD223" i="6"/>
  <c r="BC223" i="6"/>
  <c r="AZ223" i="6"/>
  <c r="AY223" i="6"/>
  <c r="AV223" i="6"/>
  <c r="AU223" i="6"/>
  <c r="AR223" i="6"/>
  <c r="AQ223" i="6"/>
  <c r="AN223" i="6"/>
  <c r="AM223" i="6"/>
  <c r="AJ223" i="6"/>
  <c r="AI223" i="6"/>
  <c r="AF223" i="6"/>
  <c r="AE223" i="6"/>
  <c r="AB223" i="6"/>
  <c r="AA223" i="6"/>
  <c r="X223" i="6"/>
  <c r="W223" i="6"/>
  <c r="T223" i="6"/>
  <c r="S223" i="6"/>
  <c r="P223" i="6"/>
  <c r="O223" i="6"/>
  <c r="L223" i="6"/>
  <c r="K223" i="6"/>
  <c r="J223" i="6"/>
  <c r="BT222" i="6"/>
  <c r="BS222" i="6"/>
  <c r="BP222" i="6"/>
  <c r="BO222" i="6"/>
  <c r="BL222" i="6"/>
  <c r="BK222" i="6"/>
  <c r="BH222" i="6"/>
  <c r="BG222" i="6"/>
  <c r="BD222" i="6"/>
  <c r="BC222" i="6"/>
  <c r="AZ222" i="6"/>
  <c r="AY222" i="6"/>
  <c r="AV222" i="6"/>
  <c r="AU222" i="6"/>
  <c r="AR222" i="6"/>
  <c r="AQ222" i="6"/>
  <c r="AN222" i="6"/>
  <c r="AM222" i="6"/>
  <c r="AJ222" i="6"/>
  <c r="AI222" i="6"/>
  <c r="AF222" i="6"/>
  <c r="AE222" i="6"/>
  <c r="AB222" i="6"/>
  <c r="AA222" i="6"/>
  <c r="X222" i="6"/>
  <c r="W222" i="6"/>
  <c r="T222" i="6"/>
  <c r="S222" i="6"/>
  <c r="P222" i="6"/>
  <c r="O222" i="6"/>
  <c r="L222" i="6"/>
  <c r="K222" i="6"/>
  <c r="J222" i="6"/>
  <c r="BT221" i="6"/>
  <c r="BS221" i="6"/>
  <c r="BP221" i="6"/>
  <c r="BO221" i="6"/>
  <c r="BL221" i="6"/>
  <c r="BK221" i="6"/>
  <c r="BH221" i="6"/>
  <c r="BG221" i="6"/>
  <c r="BD221" i="6"/>
  <c r="BC221" i="6"/>
  <c r="AZ221" i="6"/>
  <c r="AY221" i="6"/>
  <c r="AV221" i="6"/>
  <c r="AU221" i="6"/>
  <c r="AR221" i="6"/>
  <c r="AQ221" i="6"/>
  <c r="AN221" i="6"/>
  <c r="AM221" i="6"/>
  <c r="AJ221" i="6"/>
  <c r="AI221" i="6"/>
  <c r="AF221" i="6"/>
  <c r="AE221" i="6"/>
  <c r="AB221" i="6"/>
  <c r="AA221" i="6"/>
  <c r="X221" i="6"/>
  <c r="W221" i="6"/>
  <c r="T221" i="6"/>
  <c r="S221" i="6"/>
  <c r="P221" i="6"/>
  <c r="O221" i="6"/>
  <c r="L221" i="6"/>
  <c r="K221" i="6"/>
  <c r="J221" i="6"/>
  <c r="BT220" i="6"/>
  <c r="BS220" i="6"/>
  <c r="BP220" i="6"/>
  <c r="BO220" i="6"/>
  <c r="BL220" i="6"/>
  <c r="BK220" i="6"/>
  <c r="BH220" i="6"/>
  <c r="BG220" i="6"/>
  <c r="BD220" i="6"/>
  <c r="BC220" i="6"/>
  <c r="AZ220" i="6"/>
  <c r="AY220" i="6"/>
  <c r="AV220" i="6"/>
  <c r="AU220" i="6"/>
  <c r="AR220" i="6"/>
  <c r="AQ220" i="6"/>
  <c r="AN220" i="6"/>
  <c r="AM220" i="6"/>
  <c r="AJ220" i="6"/>
  <c r="AI220" i="6"/>
  <c r="AF220" i="6"/>
  <c r="AE220" i="6"/>
  <c r="AB220" i="6"/>
  <c r="AA220" i="6"/>
  <c r="X220" i="6"/>
  <c r="W220" i="6"/>
  <c r="T220" i="6"/>
  <c r="S220" i="6"/>
  <c r="P220" i="6"/>
  <c r="O220" i="6"/>
  <c r="L220" i="6"/>
  <c r="K220" i="6"/>
  <c r="J220" i="6"/>
  <c r="BT219" i="6"/>
  <c r="BS219" i="6"/>
  <c r="BP219" i="6"/>
  <c r="BO219" i="6"/>
  <c r="BL219" i="6"/>
  <c r="BK219" i="6"/>
  <c r="BH219" i="6"/>
  <c r="BG219" i="6"/>
  <c r="BD219" i="6"/>
  <c r="BC219" i="6"/>
  <c r="AZ219" i="6"/>
  <c r="AY219" i="6"/>
  <c r="AV219" i="6"/>
  <c r="AU219" i="6"/>
  <c r="AR219" i="6"/>
  <c r="AQ219" i="6"/>
  <c r="AN219" i="6"/>
  <c r="AM219" i="6"/>
  <c r="AJ219" i="6"/>
  <c r="AI219" i="6"/>
  <c r="AF219" i="6"/>
  <c r="AE219" i="6"/>
  <c r="AB219" i="6"/>
  <c r="AA219" i="6"/>
  <c r="X219" i="6"/>
  <c r="W219" i="6"/>
  <c r="T219" i="6"/>
  <c r="S219" i="6"/>
  <c r="P219" i="6"/>
  <c r="O219" i="6"/>
  <c r="L219" i="6"/>
  <c r="K219" i="6"/>
  <c r="J219" i="6"/>
  <c r="BT218" i="6"/>
  <c r="BS218" i="6"/>
  <c r="BP218" i="6"/>
  <c r="BO218" i="6"/>
  <c r="BL218" i="6"/>
  <c r="BK218" i="6"/>
  <c r="BH218" i="6"/>
  <c r="BG218" i="6"/>
  <c r="BD218" i="6"/>
  <c r="BC218" i="6"/>
  <c r="AZ218" i="6"/>
  <c r="AY218" i="6"/>
  <c r="AV218" i="6"/>
  <c r="AU218" i="6"/>
  <c r="AR218" i="6"/>
  <c r="AQ218" i="6"/>
  <c r="AN218" i="6"/>
  <c r="AM218" i="6"/>
  <c r="AJ218" i="6"/>
  <c r="AI218" i="6"/>
  <c r="AF218" i="6"/>
  <c r="AE218" i="6"/>
  <c r="AB218" i="6"/>
  <c r="AA218" i="6"/>
  <c r="X218" i="6"/>
  <c r="W218" i="6"/>
  <c r="T218" i="6"/>
  <c r="S218" i="6"/>
  <c r="P218" i="6"/>
  <c r="O218" i="6"/>
  <c r="L218" i="6"/>
  <c r="K218" i="6"/>
  <c r="J218" i="6"/>
  <c r="BT217" i="6"/>
  <c r="BS217" i="6"/>
  <c r="BP217" i="6"/>
  <c r="BO217" i="6"/>
  <c r="BL217" i="6"/>
  <c r="BK217" i="6"/>
  <c r="BH217" i="6"/>
  <c r="BG217" i="6"/>
  <c r="BD217" i="6"/>
  <c r="BC217" i="6"/>
  <c r="AZ217" i="6"/>
  <c r="AY217" i="6"/>
  <c r="AV217" i="6"/>
  <c r="AU217" i="6"/>
  <c r="AR217" i="6"/>
  <c r="AQ217" i="6"/>
  <c r="AN217" i="6"/>
  <c r="AM217" i="6"/>
  <c r="AJ217" i="6"/>
  <c r="AI217" i="6"/>
  <c r="AF217" i="6"/>
  <c r="AE217" i="6"/>
  <c r="AB217" i="6"/>
  <c r="AA217" i="6"/>
  <c r="X217" i="6"/>
  <c r="W217" i="6"/>
  <c r="T217" i="6"/>
  <c r="S217" i="6"/>
  <c r="P217" i="6"/>
  <c r="O217" i="6"/>
  <c r="L217" i="6"/>
  <c r="K217" i="6"/>
  <c r="J217" i="6"/>
  <c r="BT216" i="6"/>
  <c r="BS216" i="6"/>
  <c r="BP216" i="6"/>
  <c r="BO216" i="6"/>
  <c r="BL216" i="6"/>
  <c r="BK216" i="6"/>
  <c r="BH216" i="6"/>
  <c r="BG216" i="6"/>
  <c r="BD216" i="6"/>
  <c r="BC216" i="6"/>
  <c r="AZ216" i="6"/>
  <c r="AY216" i="6"/>
  <c r="AV216" i="6"/>
  <c r="AU216" i="6"/>
  <c r="AR216" i="6"/>
  <c r="AQ216" i="6"/>
  <c r="AN216" i="6"/>
  <c r="AM216" i="6"/>
  <c r="AJ216" i="6"/>
  <c r="AI216" i="6"/>
  <c r="AF216" i="6"/>
  <c r="AE216" i="6"/>
  <c r="AB216" i="6"/>
  <c r="AA216" i="6"/>
  <c r="X216" i="6"/>
  <c r="W216" i="6"/>
  <c r="T216" i="6"/>
  <c r="S216" i="6"/>
  <c r="P216" i="6"/>
  <c r="O216" i="6"/>
  <c r="L216" i="6"/>
  <c r="K216" i="6"/>
  <c r="J216" i="6"/>
  <c r="BT215" i="6"/>
  <c r="BS215" i="6"/>
  <c r="BP215" i="6"/>
  <c r="BO215" i="6"/>
  <c r="BL215" i="6"/>
  <c r="BK215" i="6"/>
  <c r="BH215" i="6"/>
  <c r="BG215" i="6"/>
  <c r="BD215" i="6"/>
  <c r="BC215" i="6"/>
  <c r="AZ215" i="6"/>
  <c r="AY215" i="6"/>
  <c r="AV215" i="6"/>
  <c r="AU215" i="6"/>
  <c r="AR215" i="6"/>
  <c r="AQ215" i="6"/>
  <c r="AN215" i="6"/>
  <c r="AM215" i="6"/>
  <c r="AJ215" i="6"/>
  <c r="AI215" i="6"/>
  <c r="AF215" i="6"/>
  <c r="AE215" i="6"/>
  <c r="AB215" i="6"/>
  <c r="AA215" i="6"/>
  <c r="X215" i="6"/>
  <c r="W215" i="6"/>
  <c r="T215" i="6"/>
  <c r="S215" i="6"/>
  <c r="P215" i="6"/>
  <c r="O215" i="6"/>
  <c r="L215" i="6"/>
  <c r="K215" i="6"/>
  <c r="J215" i="6"/>
  <c r="BT214" i="6"/>
  <c r="BS214" i="6"/>
  <c r="BP214" i="6"/>
  <c r="BO214" i="6"/>
  <c r="BL214" i="6"/>
  <c r="BK214" i="6"/>
  <c r="BH214" i="6"/>
  <c r="BG214" i="6"/>
  <c r="BD214" i="6"/>
  <c r="BC214" i="6"/>
  <c r="AZ214" i="6"/>
  <c r="AY214" i="6"/>
  <c r="AV214" i="6"/>
  <c r="AU214" i="6"/>
  <c r="AR214" i="6"/>
  <c r="AQ214" i="6"/>
  <c r="AN214" i="6"/>
  <c r="AM214" i="6"/>
  <c r="AJ214" i="6"/>
  <c r="AI214" i="6"/>
  <c r="AF214" i="6"/>
  <c r="AE214" i="6"/>
  <c r="AB214" i="6"/>
  <c r="AA214" i="6"/>
  <c r="X214" i="6"/>
  <c r="W214" i="6"/>
  <c r="T214" i="6"/>
  <c r="S214" i="6"/>
  <c r="P214" i="6"/>
  <c r="O214" i="6"/>
  <c r="L214" i="6"/>
  <c r="K214" i="6"/>
  <c r="J214" i="6"/>
  <c r="BT213" i="6"/>
  <c r="BS213" i="6"/>
  <c r="BP213" i="6"/>
  <c r="BO213" i="6"/>
  <c r="BL213" i="6"/>
  <c r="BK213" i="6"/>
  <c r="BH213" i="6"/>
  <c r="BG213" i="6"/>
  <c r="BD213" i="6"/>
  <c r="BC213" i="6"/>
  <c r="AZ213" i="6"/>
  <c r="AY213" i="6"/>
  <c r="AV213" i="6"/>
  <c r="AU213" i="6"/>
  <c r="AR213" i="6"/>
  <c r="AQ213" i="6"/>
  <c r="AN213" i="6"/>
  <c r="AM213" i="6"/>
  <c r="AJ213" i="6"/>
  <c r="AI213" i="6"/>
  <c r="AF213" i="6"/>
  <c r="AE213" i="6"/>
  <c r="AB213" i="6"/>
  <c r="AA213" i="6"/>
  <c r="X213" i="6"/>
  <c r="W213" i="6"/>
  <c r="T213" i="6"/>
  <c r="S213" i="6"/>
  <c r="P213" i="6"/>
  <c r="O213" i="6"/>
  <c r="L213" i="6"/>
  <c r="K213" i="6"/>
  <c r="J213" i="6"/>
  <c r="BT212" i="6"/>
  <c r="BS212" i="6"/>
  <c r="BP212" i="6"/>
  <c r="BO212" i="6"/>
  <c r="BL212" i="6"/>
  <c r="BK212" i="6"/>
  <c r="BH212" i="6"/>
  <c r="BG212" i="6"/>
  <c r="BD212" i="6"/>
  <c r="BC212" i="6"/>
  <c r="AZ212" i="6"/>
  <c r="AY212" i="6"/>
  <c r="AV212" i="6"/>
  <c r="AU212" i="6"/>
  <c r="AR212" i="6"/>
  <c r="AQ212" i="6"/>
  <c r="AN212" i="6"/>
  <c r="AM212" i="6"/>
  <c r="AJ212" i="6"/>
  <c r="AI212" i="6"/>
  <c r="AF212" i="6"/>
  <c r="AE212" i="6"/>
  <c r="AB212" i="6"/>
  <c r="AA212" i="6"/>
  <c r="X212" i="6"/>
  <c r="W212" i="6"/>
  <c r="T212" i="6"/>
  <c r="S212" i="6"/>
  <c r="P212" i="6"/>
  <c r="O212" i="6"/>
  <c r="L212" i="6"/>
  <c r="K212" i="6"/>
  <c r="J212" i="6"/>
  <c r="BT211" i="6"/>
  <c r="BS211" i="6"/>
  <c r="BP211" i="6"/>
  <c r="BO211" i="6"/>
  <c r="BL211" i="6"/>
  <c r="BK211" i="6"/>
  <c r="BH211" i="6"/>
  <c r="BG211" i="6"/>
  <c r="BD211" i="6"/>
  <c r="BC211" i="6"/>
  <c r="AZ211" i="6"/>
  <c r="AY211" i="6"/>
  <c r="AV211" i="6"/>
  <c r="AU211" i="6"/>
  <c r="AR211" i="6"/>
  <c r="AQ211" i="6"/>
  <c r="AN211" i="6"/>
  <c r="AM211" i="6"/>
  <c r="AJ211" i="6"/>
  <c r="AI211" i="6"/>
  <c r="AF211" i="6"/>
  <c r="AE211" i="6"/>
  <c r="AB211" i="6"/>
  <c r="AA211" i="6"/>
  <c r="X211" i="6"/>
  <c r="W211" i="6"/>
  <c r="T211" i="6"/>
  <c r="S211" i="6"/>
  <c r="P211" i="6"/>
  <c r="O211" i="6"/>
  <c r="L211" i="6"/>
  <c r="K211" i="6"/>
  <c r="J211" i="6"/>
  <c r="BT210" i="6"/>
  <c r="BS210" i="6"/>
  <c r="BP210" i="6"/>
  <c r="BO210" i="6"/>
  <c r="BL210" i="6"/>
  <c r="BK210" i="6"/>
  <c r="BH210" i="6"/>
  <c r="BG210" i="6"/>
  <c r="BD210" i="6"/>
  <c r="BC210" i="6"/>
  <c r="AZ210" i="6"/>
  <c r="AY210" i="6"/>
  <c r="AV210" i="6"/>
  <c r="AU210" i="6"/>
  <c r="AR210" i="6"/>
  <c r="AQ210" i="6"/>
  <c r="AN210" i="6"/>
  <c r="AM210" i="6"/>
  <c r="AJ210" i="6"/>
  <c r="AI210" i="6"/>
  <c r="AF210" i="6"/>
  <c r="AE210" i="6"/>
  <c r="AB210" i="6"/>
  <c r="AA210" i="6"/>
  <c r="X210" i="6"/>
  <c r="W210" i="6"/>
  <c r="T210" i="6"/>
  <c r="S210" i="6"/>
  <c r="P210" i="6"/>
  <c r="O210" i="6"/>
  <c r="L210" i="6"/>
  <c r="K210" i="6"/>
  <c r="J210" i="6"/>
  <c r="BT209" i="6"/>
  <c r="BS209" i="6"/>
  <c r="BP209" i="6"/>
  <c r="BO209" i="6"/>
  <c r="BL209" i="6"/>
  <c r="BK209" i="6"/>
  <c r="BH209" i="6"/>
  <c r="BG209" i="6"/>
  <c r="BD209" i="6"/>
  <c r="BC209" i="6"/>
  <c r="AZ209" i="6"/>
  <c r="AY209" i="6"/>
  <c r="AV209" i="6"/>
  <c r="AU209" i="6"/>
  <c r="AR209" i="6"/>
  <c r="AQ209" i="6"/>
  <c r="AN209" i="6"/>
  <c r="AM209" i="6"/>
  <c r="AJ209" i="6"/>
  <c r="AI209" i="6"/>
  <c r="AF209" i="6"/>
  <c r="AE209" i="6"/>
  <c r="AB209" i="6"/>
  <c r="AA209" i="6"/>
  <c r="X209" i="6"/>
  <c r="W209" i="6"/>
  <c r="T209" i="6"/>
  <c r="S209" i="6"/>
  <c r="P209" i="6"/>
  <c r="O209" i="6"/>
  <c r="L209" i="6"/>
  <c r="K209" i="6"/>
  <c r="J209" i="6"/>
  <c r="BT208" i="6"/>
  <c r="BS208" i="6"/>
  <c r="BP208" i="6"/>
  <c r="BO208" i="6"/>
  <c r="BL208" i="6"/>
  <c r="BK208" i="6"/>
  <c r="BH208" i="6"/>
  <c r="BG208" i="6"/>
  <c r="BD208" i="6"/>
  <c r="BC208" i="6"/>
  <c r="AZ208" i="6"/>
  <c r="AY208" i="6"/>
  <c r="AV208" i="6"/>
  <c r="AU208" i="6"/>
  <c r="AR208" i="6"/>
  <c r="AQ208" i="6"/>
  <c r="AN208" i="6"/>
  <c r="AM208" i="6"/>
  <c r="AJ208" i="6"/>
  <c r="AI208" i="6"/>
  <c r="AF208" i="6"/>
  <c r="AE208" i="6"/>
  <c r="AB208" i="6"/>
  <c r="AA208" i="6"/>
  <c r="X208" i="6"/>
  <c r="W208" i="6"/>
  <c r="T208" i="6"/>
  <c r="S208" i="6"/>
  <c r="P208" i="6"/>
  <c r="O208" i="6"/>
  <c r="L208" i="6"/>
  <c r="K208" i="6"/>
  <c r="J208" i="6"/>
  <c r="BT207" i="6"/>
  <c r="BS207" i="6"/>
  <c r="BP207" i="6"/>
  <c r="BO207" i="6"/>
  <c r="BL207" i="6"/>
  <c r="BK207" i="6"/>
  <c r="BH207" i="6"/>
  <c r="BG207" i="6"/>
  <c r="BD207" i="6"/>
  <c r="BC207" i="6"/>
  <c r="AZ207" i="6"/>
  <c r="AY207" i="6"/>
  <c r="AV207" i="6"/>
  <c r="AU207" i="6"/>
  <c r="AR207" i="6"/>
  <c r="AQ207" i="6"/>
  <c r="AN207" i="6"/>
  <c r="AM207" i="6"/>
  <c r="AJ207" i="6"/>
  <c r="AI207" i="6"/>
  <c r="AF207" i="6"/>
  <c r="AE207" i="6"/>
  <c r="AB207" i="6"/>
  <c r="AA207" i="6"/>
  <c r="X207" i="6"/>
  <c r="W207" i="6"/>
  <c r="T207" i="6"/>
  <c r="S207" i="6"/>
  <c r="P207" i="6"/>
  <c r="O207" i="6"/>
  <c r="L207" i="6"/>
  <c r="K207" i="6"/>
  <c r="J207" i="6"/>
  <c r="BT206" i="6"/>
  <c r="BS206" i="6"/>
  <c r="BP206" i="6"/>
  <c r="BO206" i="6"/>
  <c r="BL206" i="6"/>
  <c r="BK206" i="6"/>
  <c r="BH206" i="6"/>
  <c r="BG206" i="6"/>
  <c r="BD206" i="6"/>
  <c r="BC206" i="6"/>
  <c r="AZ206" i="6"/>
  <c r="AY206" i="6"/>
  <c r="AV206" i="6"/>
  <c r="AU206" i="6"/>
  <c r="AR206" i="6"/>
  <c r="AQ206" i="6"/>
  <c r="AN206" i="6"/>
  <c r="AM206" i="6"/>
  <c r="AJ206" i="6"/>
  <c r="AI206" i="6"/>
  <c r="AF206" i="6"/>
  <c r="AE206" i="6"/>
  <c r="AB206" i="6"/>
  <c r="AA206" i="6"/>
  <c r="X206" i="6"/>
  <c r="W206" i="6"/>
  <c r="T206" i="6"/>
  <c r="S206" i="6"/>
  <c r="P206" i="6"/>
  <c r="O206" i="6"/>
  <c r="L206" i="6"/>
  <c r="K206" i="6"/>
  <c r="J206" i="6"/>
  <c r="BT205" i="6"/>
  <c r="BS205" i="6"/>
  <c r="BP205" i="6"/>
  <c r="BO205" i="6"/>
  <c r="BL205" i="6"/>
  <c r="BK205" i="6"/>
  <c r="BH205" i="6"/>
  <c r="BG205" i="6"/>
  <c r="BD205" i="6"/>
  <c r="BC205" i="6"/>
  <c r="AZ205" i="6"/>
  <c r="AY205" i="6"/>
  <c r="AV205" i="6"/>
  <c r="AU205" i="6"/>
  <c r="AR205" i="6"/>
  <c r="AQ205" i="6"/>
  <c r="AN205" i="6"/>
  <c r="AM205" i="6"/>
  <c r="AJ205" i="6"/>
  <c r="AI205" i="6"/>
  <c r="AF205" i="6"/>
  <c r="AE205" i="6"/>
  <c r="AB205" i="6"/>
  <c r="AA205" i="6"/>
  <c r="X205" i="6"/>
  <c r="W205" i="6"/>
  <c r="T205" i="6"/>
  <c r="S205" i="6"/>
  <c r="P205" i="6"/>
  <c r="O205" i="6"/>
  <c r="L205" i="6"/>
  <c r="K205" i="6"/>
  <c r="J205" i="6"/>
  <c r="BT204" i="6"/>
  <c r="BS204" i="6"/>
  <c r="BP204" i="6"/>
  <c r="BO204" i="6"/>
  <c r="BL204" i="6"/>
  <c r="BK204" i="6"/>
  <c r="BH204" i="6"/>
  <c r="BG204" i="6"/>
  <c r="BD204" i="6"/>
  <c r="BC204" i="6"/>
  <c r="AZ204" i="6"/>
  <c r="AY204" i="6"/>
  <c r="AV204" i="6"/>
  <c r="AU204" i="6"/>
  <c r="AR204" i="6"/>
  <c r="AQ204" i="6"/>
  <c r="AN204" i="6"/>
  <c r="AM204" i="6"/>
  <c r="AJ204" i="6"/>
  <c r="AI204" i="6"/>
  <c r="AF204" i="6"/>
  <c r="AE204" i="6"/>
  <c r="AB204" i="6"/>
  <c r="AA204" i="6"/>
  <c r="X204" i="6"/>
  <c r="W204" i="6"/>
  <c r="T204" i="6"/>
  <c r="S204" i="6"/>
  <c r="P204" i="6"/>
  <c r="O204" i="6"/>
  <c r="L204" i="6"/>
  <c r="K204" i="6"/>
  <c r="J204" i="6"/>
  <c r="BT203" i="6"/>
  <c r="BS203" i="6"/>
  <c r="BP203" i="6"/>
  <c r="BO203" i="6"/>
  <c r="BL203" i="6"/>
  <c r="BK203" i="6"/>
  <c r="BH203" i="6"/>
  <c r="BG203" i="6"/>
  <c r="BD203" i="6"/>
  <c r="BC203" i="6"/>
  <c r="AZ203" i="6"/>
  <c r="AY203" i="6"/>
  <c r="AV203" i="6"/>
  <c r="AU203" i="6"/>
  <c r="AR203" i="6"/>
  <c r="AQ203" i="6"/>
  <c r="AN203" i="6"/>
  <c r="AM203" i="6"/>
  <c r="AJ203" i="6"/>
  <c r="AI203" i="6"/>
  <c r="AF203" i="6"/>
  <c r="AE203" i="6"/>
  <c r="AB203" i="6"/>
  <c r="AA203" i="6"/>
  <c r="X203" i="6"/>
  <c r="W203" i="6"/>
  <c r="T203" i="6"/>
  <c r="S203" i="6"/>
  <c r="P203" i="6"/>
  <c r="O203" i="6"/>
  <c r="L203" i="6"/>
  <c r="K203" i="6"/>
  <c r="J203" i="6"/>
  <c r="BT202" i="6"/>
  <c r="BS202" i="6"/>
  <c r="BP202" i="6"/>
  <c r="BO202" i="6"/>
  <c r="BL202" i="6"/>
  <c r="BK202" i="6"/>
  <c r="BH202" i="6"/>
  <c r="BG202" i="6"/>
  <c r="BD202" i="6"/>
  <c r="BC202" i="6"/>
  <c r="AZ202" i="6"/>
  <c r="AY202" i="6"/>
  <c r="AV202" i="6"/>
  <c r="AU202" i="6"/>
  <c r="AR202" i="6"/>
  <c r="AQ202" i="6"/>
  <c r="AN202" i="6"/>
  <c r="AM202" i="6"/>
  <c r="AJ202" i="6"/>
  <c r="AI202" i="6"/>
  <c r="AF202" i="6"/>
  <c r="AE202" i="6"/>
  <c r="AB202" i="6"/>
  <c r="AA202" i="6"/>
  <c r="X202" i="6"/>
  <c r="W202" i="6"/>
  <c r="T202" i="6"/>
  <c r="S202" i="6"/>
  <c r="P202" i="6"/>
  <c r="O202" i="6"/>
  <c r="L202" i="6"/>
  <c r="K202" i="6"/>
  <c r="J202" i="6"/>
  <c r="BT201" i="6"/>
  <c r="BS201" i="6"/>
  <c r="BP201" i="6"/>
  <c r="BO201" i="6"/>
  <c r="BL201" i="6"/>
  <c r="BK201" i="6"/>
  <c r="BH201" i="6"/>
  <c r="BG201" i="6"/>
  <c r="BD201" i="6"/>
  <c r="BC201" i="6"/>
  <c r="AZ201" i="6"/>
  <c r="AY201" i="6"/>
  <c r="AV201" i="6"/>
  <c r="AU201" i="6"/>
  <c r="AR201" i="6"/>
  <c r="AQ201" i="6"/>
  <c r="AN201" i="6"/>
  <c r="AM201" i="6"/>
  <c r="AJ201" i="6"/>
  <c r="AI201" i="6"/>
  <c r="AF201" i="6"/>
  <c r="AE201" i="6"/>
  <c r="AB201" i="6"/>
  <c r="AA201" i="6"/>
  <c r="X201" i="6"/>
  <c r="W201" i="6"/>
  <c r="T201" i="6"/>
  <c r="S201" i="6"/>
  <c r="P201" i="6"/>
  <c r="O201" i="6"/>
  <c r="L201" i="6"/>
  <c r="K201" i="6"/>
  <c r="J201" i="6"/>
  <c r="BT200" i="6"/>
  <c r="BS200" i="6"/>
  <c r="BP200" i="6"/>
  <c r="BO200" i="6"/>
  <c r="BL200" i="6"/>
  <c r="BK200" i="6"/>
  <c r="BH200" i="6"/>
  <c r="BG200" i="6"/>
  <c r="BD200" i="6"/>
  <c r="BC200" i="6"/>
  <c r="AZ200" i="6"/>
  <c r="AY200" i="6"/>
  <c r="AV200" i="6"/>
  <c r="AU200" i="6"/>
  <c r="AR200" i="6"/>
  <c r="AQ200" i="6"/>
  <c r="AN200" i="6"/>
  <c r="AM200" i="6"/>
  <c r="AJ200" i="6"/>
  <c r="AI200" i="6"/>
  <c r="AF200" i="6"/>
  <c r="AE200" i="6"/>
  <c r="AB200" i="6"/>
  <c r="AA200" i="6"/>
  <c r="X200" i="6"/>
  <c r="W200" i="6"/>
  <c r="T200" i="6"/>
  <c r="S200" i="6"/>
  <c r="P200" i="6"/>
  <c r="O200" i="6"/>
  <c r="L200" i="6"/>
  <c r="K200" i="6"/>
  <c r="J200" i="6"/>
  <c r="BT199" i="6"/>
  <c r="BS199" i="6"/>
  <c r="BP199" i="6"/>
  <c r="BO199" i="6"/>
  <c r="BL199" i="6"/>
  <c r="BK199" i="6"/>
  <c r="BH199" i="6"/>
  <c r="BG199" i="6"/>
  <c r="BD199" i="6"/>
  <c r="BC199" i="6"/>
  <c r="AZ199" i="6"/>
  <c r="AY199" i="6"/>
  <c r="AV199" i="6"/>
  <c r="AU199" i="6"/>
  <c r="AR199" i="6"/>
  <c r="AQ199" i="6"/>
  <c r="AN199" i="6"/>
  <c r="AM199" i="6"/>
  <c r="AJ199" i="6"/>
  <c r="AI199" i="6"/>
  <c r="AF199" i="6"/>
  <c r="AE199" i="6"/>
  <c r="AB199" i="6"/>
  <c r="AA199" i="6"/>
  <c r="X199" i="6"/>
  <c r="W199" i="6"/>
  <c r="T199" i="6"/>
  <c r="S199" i="6"/>
  <c r="P199" i="6"/>
  <c r="O199" i="6"/>
  <c r="L199" i="6"/>
  <c r="K199" i="6"/>
  <c r="J199" i="6"/>
  <c r="BT198" i="6"/>
  <c r="BS198" i="6"/>
  <c r="BP198" i="6"/>
  <c r="BO198" i="6"/>
  <c r="BL198" i="6"/>
  <c r="BK198" i="6"/>
  <c r="BH198" i="6"/>
  <c r="BG198" i="6"/>
  <c r="BD198" i="6"/>
  <c r="BC198" i="6"/>
  <c r="AZ198" i="6"/>
  <c r="AY198" i="6"/>
  <c r="AV198" i="6"/>
  <c r="AU198" i="6"/>
  <c r="AR198" i="6"/>
  <c r="AQ198" i="6"/>
  <c r="AN198" i="6"/>
  <c r="AM198" i="6"/>
  <c r="AJ198" i="6"/>
  <c r="AI198" i="6"/>
  <c r="AF198" i="6"/>
  <c r="AE198" i="6"/>
  <c r="AB198" i="6"/>
  <c r="AA198" i="6"/>
  <c r="X198" i="6"/>
  <c r="W198" i="6"/>
  <c r="T198" i="6"/>
  <c r="S198" i="6"/>
  <c r="P198" i="6"/>
  <c r="O198" i="6"/>
  <c r="L198" i="6"/>
  <c r="K198" i="6"/>
  <c r="J198" i="6"/>
  <c r="BT197" i="6"/>
  <c r="BS197" i="6"/>
  <c r="BP197" i="6"/>
  <c r="BO197" i="6"/>
  <c r="BL197" i="6"/>
  <c r="BK197" i="6"/>
  <c r="BH197" i="6"/>
  <c r="BG197" i="6"/>
  <c r="BD197" i="6"/>
  <c r="BC197" i="6"/>
  <c r="AZ197" i="6"/>
  <c r="AY197" i="6"/>
  <c r="AV197" i="6"/>
  <c r="AU197" i="6"/>
  <c r="AR197" i="6"/>
  <c r="AQ197" i="6"/>
  <c r="AN197" i="6"/>
  <c r="AM197" i="6"/>
  <c r="AJ197" i="6"/>
  <c r="AI197" i="6"/>
  <c r="AF197" i="6"/>
  <c r="AE197" i="6"/>
  <c r="AB197" i="6"/>
  <c r="AA197" i="6"/>
  <c r="X197" i="6"/>
  <c r="W197" i="6"/>
  <c r="T197" i="6"/>
  <c r="S197" i="6"/>
  <c r="P197" i="6"/>
  <c r="O197" i="6"/>
  <c r="L197" i="6"/>
  <c r="K197" i="6"/>
  <c r="J197" i="6"/>
  <c r="BT196" i="6"/>
  <c r="BS196" i="6"/>
  <c r="BP196" i="6"/>
  <c r="BO196" i="6"/>
  <c r="BL196" i="6"/>
  <c r="BK196" i="6"/>
  <c r="BH196" i="6"/>
  <c r="BG196" i="6"/>
  <c r="BD196" i="6"/>
  <c r="BC196" i="6"/>
  <c r="AZ196" i="6"/>
  <c r="AY196" i="6"/>
  <c r="AV196" i="6"/>
  <c r="AU196" i="6"/>
  <c r="AR196" i="6"/>
  <c r="AQ196" i="6"/>
  <c r="AN196" i="6"/>
  <c r="AM196" i="6"/>
  <c r="AJ196" i="6"/>
  <c r="AI196" i="6"/>
  <c r="AF196" i="6"/>
  <c r="AE196" i="6"/>
  <c r="AB196" i="6"/>
  <c r="AA196" i="6"/>
  <c r="X196" i="6"/>
  <c r="W196" i="6"/>
  <c r="T196" i="6"/>
  <c r="S196" i="6"/>
  <c r="P196" i="6"/>
  <c r="O196" i="6"/>
  <c r="L196" i="6"/>
  <c r="K196" i="6"/>
  <c r="J196" i="6"/>
  <c r="BT195" i="6"/>
  <c r="BS195" i="6"/>
  <c r="BP195" i="6"/>
  <c r="BO195" i="6"/>
  <c r="BL195" i="6"/>
  <c r="BK195" i="6"/>
  <c r="BH195" i="6"/>
  <c r="BG195" i="6"/>
  <c r="BD195" i="6"/>
  <c r="BC195" i="6"/>
  <c r="AZ195" i="6"/>
  <c r="AY195" i="6"/>
  <c r="AV195" i="6"/>
  <c r="AU195" i="6"/>
  <c r="AR195" i="6"/>
  <c r="AQ195" i="6"/>
  <c r="AN195" i="6"/>
  <c r="AM195" i="6"/>
  <c r="AJ195" i="6"/>
  <c r="AI195" i="6"/>
  <c r="AF195" i="6"/>
  <c r="AE195" i="6"/>
  <c r="AB195" i="6"/>
  <c r="AA195" i="6"/>
  <c r="X195" i="6"/>
  <c r="W195" i="6"/>
  <c r="T195" i="6"/>
  <c r="S195" i="6"/>
  <c r="P195" i="6"/>
  <c r="O195" i="6"/>
  <c r="L195" i="6"/>
  <c r="K195" i="6"/>
  <c r="J195" i="6"/>
  <c r="BT194" i="6"/>
  <c r="BS194" i="6"/>
  <c r="BP194" i="6"/>
  <c r="BO194" i="6"/>
  <c r="BL194" i="6"/>
  <c r="BK194" i="6"/>
  <c r="BH194" i="6"/>
  <c r="BG194" i="6"/>
  <c r="BD194" i="6"/>
  <c r="BC194" i="6"/>
  <c r="AZ194" i="6"/>
  <c r="AY194" i="6"/>
  <c r="AV194" i="6"/>
  <c r="AU194" i="6"/>
  <c r="AR194" i="6"/>
  <c r="AQ194" i="6"/>
  <c r="AN194" i="6"/>
  <c r="AM194" i="6"/>
  <c r="AJ194" i="6"/>
  <c r="AI194" i="6"/>
  <c r="AF194" i="6"/>
  <c r="AE194" i="6"/>
  <c r="AB194" i="6"/>
  <c r="AA194" i="6"/>
  <c r="X194" i="6"/>
  <c r="W194" i="6"/>
  <c r="T194" i="6"/>
  <c r="S194" i="6"/>
  <c r="P194" i="6"/>
  <c r="O194" i="6"/>
  <c r="L194" i="6"/>
  <c r="K194" i="6"/>
  <c r="J194" i="6"/>
  <c r="BT193" i="6"/>
  <c r="BS193" i="6"/>
  <c r="BP193" i="6"/>
  <c r="BO193" i="6"/>
  <c r="BL193" i="6"/>
  <c r="BK193" i="6"/>
  <c r="BH193" i="6"/>
  <c r="BG193" i="6"/>
  <c r="BD193" i="6"/>
  <c r="BC193" i="6"/>
  <c r="AZ193" i="6"/>
  <c r="AY193" i="6"/>
  <c r="AV193" i="6"/>
  <c r="AU193" i="6"/>
  <c r="AR193" i="6"/>
  <c r="AQ193" i="6"/>
  <c r="AN193" i="6"/>
  <c r="AM193" i="6"/>
  <c r="AJ193" i="6"/>
  <c r="AI193" i="6"/>
  <c r="AF193" i="6"/>
  <c r="AE193" i="6"/>
  <c r="AB193" i="6"/>
  <c r="AA193" i="6"/>
  <c r="X193" i="6"/>
  <c r="W193" i="6"/>
  <c r="T193" i="6"/>
  <c r="S193" i="6"/>
  <c r="P193" i="6"/>
  <c r="O193" i="6"/>
  <c r="L193" i="6"/>
  <c r="K193" i="6"/>
  <c r="J193" i="6"/>
  <c r="BT192" i="6"/>
  <c r="BS192" i="6"/>
  <c r="BP192" i="6"/>
  <c r="BO192" i="6"/>
  <c r="BL192" i="6"/>
  <c r="BK192" i="6"/>
  <c r="BH192" i="6"/>
  <c r="BG192" i="6"/>
  <c r="BD192" i="6"/>
  <c r="BC192" i="6"/>
  <c r="AZ192" i="6"/>
  <c r="AY192" i="6"/>
  <c r="AV192" i="6"/>
  <c r="AU192" i="6"/>
  <c r="AR192" i="6"/>
  <c r="AQ192" i="6"/>
  <c r="AN192" i="6"/>
  <c r="AM192" i="6"/>
  <c r="AJ192" i="6"/>
  <c r="AI192" i="6"/>
  <c r="AF192" i="6"/>
  <c r="AE192" i="6"/>
  <c r="AB192" i="6"/>
  <c r="AA192" i="6"/>
  <c r="X192" i="6"/>
  <c r="W192" i="6"/>
  <c r="T192" i="6"/>
  <c r="S192" i="6"/>
  <c r="P192" i="6"/>
  <c r="O192" i="6"/>
  <c r="L192" i="6"/>
  <c r="K192" i="6"/>
  <c r="J192" i="6"/>
  <c r="BT191" i="6"/>
  <c r="BS191" i="6"/>
  <c r="BP191" i="6"/>
  <c r="BO191" i="6"/>
  <c r="BL191" i="6"/>
  <c r="BK191" i="6"/>
  <c r="BH191" i="6"/>
  <c r="BG191" i="6"/>
  <c r="BD191" i="6"/>
  <c r="BC191" i="6"/>
  <c r="AZ191" i="6"/>
  <c r="AY191" i="6"/>
  <c r="AV191" i="6"/>
  <c r="AU191" i="6"/>
  <c r="AR191" i="6"/>
  <c r="AQ191" i="6"/>
  <c r="AN191" i="6"/>
  <c r="AM191" i="6"/>
  <c r="AJ191" i="6"/>
  <c r="AI191" i="6"/>
  <c r="AF191" i="6"/>
  <c r="AE191" i="6"/>
  <c r="AB191" i="6"/>
  <c r="AA191" i="6"/>
  <c r="X191" i="6"/>
  <c r="W191" i="6"/>
  <c r="T191" i="6"/>
  <c r="S191" i="6"/>
  <c r="P191" i="6"/>
  <c r="O191" i="6"/>
  <c r="L191" i="6"/>
  <c r="K191" i="6"/>
  <c r="J191" i="6"/>
  <c r="B191" i="6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T190" i="6"/>
  <c r="BS190" i="6"/>
  <c r="BP190" i="6"/>
  <c r="BO190" i="6"/>
  <c r="BL190" i="6"/>
  <c r="BK190" i="6"/>
  <c r="BH190" i="6"/>
  <c r="BG190" i="6"/>
  <c r="BD190" i="6"/>
  <c r="BC190" i="6"/>
  <c r="AZ190" i="6"/>
  <c r="AY190" i="6"/>
  <c r="AV190" i="6"/>
  <c r="AU190" i="6"/>
  <c r="AR190" i="6"/>
  <c r="AQ190" i="6"/>
  <c r="AN190" i="6"/>
  <c r="AM190" i="6"/>
  <c r="AJ190" i="6"/>
  <c r="AI190" i="6"/>
  <c r="AF190" i="6"/>
  <c r="AE190" i="6"/>
  <c r="AB190" i="6"/>
  <c r="AA190" i="6"/>
  <c r="X190" i="6"/>
  <c r="W190" i="6"/>
  <c r="T190" i="6"/>
  <c r="S190" i="6"/>
  <c r="P190" i="6"/>
  <c r="O190" i="6"/>
  <c r="L190" i="6"/>
  <c r="K190" i="6"/>
  <c r="J190" i="6"/>
  <c r="BT189" i="6"/>
  <c r="BS189" i="6"/>
  <c r="BP189" i="6"/>
  <c r="BO189" i="6"/>
  <c r="BL189" i="6"/>
  <c r="BK189" i="6"/>
  <c r="BH189" i="6"/>
  <c r="BG189" i="6"/>
  <c r="BD189" i="6"/>
  <c r="BC189" i="6"/>
  <c r="AZ189" i="6"/>
  <c r="AY189" i="6"/>
  <c r="AV189" i="6"/>
  <c r="AU189" i="6"/>
  <c r="AR189" i="6"/>
  <c r="AQ189" i="6"/>
  <c r="AN189" i="6"/>
  <c r="AM189" i="6"/>
  <c r="AJ189" i="6"/>
  <c r="AI189" i="6"/>
  <c r="AF189" i="6"/>
  <c r="AE189" i="6"/>
  <c r="AB189" i="6"/>
  <c r="AA189" i="6"/>
  <c r="X189" i="6"/>
  <c r="W189" i="6"/>
  <c r="T189" i="6"/>
  <c r="S189" i="6"/>
  <c r="P189" i="6"/>
  <c r="O189" i="6"/>
  <c r="L189" i="6"/>
  <c r="K189" i="6"/>
  <c r="J189" i="6"/>
  <c r="BT188" i="6"/>
  <c r="BS188" i="6"/>
  <c r="BP188" i="6"/>
  <c r="BO188" i="6"/>
  <c r="BL188" i="6"/>
  <c r="BK188" i="6"/>
  <c r="BH188" i="6"/>
  <c r="BG188" i="6"/>
  <c r="BD188" i="6"/>
  <c r="BC188" i="6"/>
  <c r="AZ188" i="6"/>
  <c r="AY188" i="6"/>
  <c r="AV188" i="6"/>
  <c r="AU188" i="6"/>
  <c r="AR188" i="6"/>
  <c r="AQ188" i="6"/>
  <c r="AN188" i="6"/>
  <c r="AM188" i="6"/>
  <c r="AJ188" i="6"/>
  <c r="AI188" i="6"/>
  <c r="AF188" i="6"/>
  <c r="AE188" i="6"/>
  <c r="AB188" i="6"/>
  <c r="AA188" i="6"/>
  <c r="X188" i="6"/>
  <c r="W188" i="6"/>
  <c r="T188" i="6"/>
  <c r="S188" i="6"/>
  <c r="P188" i="6"/>
  <c r="O188" i="6"/>
  <c r="L188" i="6"/>
  <c r="K188" i="6"/>
  <c r="J188" i="6"/>
  <c r="BT187" i="6"/>
  <c r="BS187" i="6"/>
  <c r="BP187" i="6"/>
  <c r="BO187" i="6"/>
  <c r="BL187" i="6"/>
  <c r="BK187" i="6"/>
  <c r="BH187" i="6"/>
  <c r="BG187" i="6"/>
  <c r="BD187" i="6"/>
  <c r="BC187" i="6"/>
  <c r="AZ187" i="6"/>
  <c r="AY187" i="6"/>
  <c r="AV187" i="6"/>
  <c r="AU187" i="6"/>
  <c r="AR187" i="6"/>
  <c r="AQ187" i="6"/>
  <c r="AN187" i="6"/>
  <c r="AM187" i="6"/>
  <c r="AJ187" i="6"/>
  <c r="AI187" i="6"/>
  <c r="AF187" i="6"/>
  <c r="AE187" i="6"/>
  <c r="AB187" i="6"/>
  <c r="AA187" i="6"/>
  <c r="X187" i="6"/>
  <c r="W187" i="6"/>
  <c r="T187" i="6"/>
  <c r="S187" i="6"/>
  <c r="P187" i="6"/>
  <c r="O187" i="6"/>
  <c r="L187" i="6"/>
  <c r="K187" i="6"/>
  <c r="J187" i="6"/>
  <c r="BT186" i="6"/>
  <c r="BS186" i="6"/>
  <c r="BP186" i="6"/>
  <c r="BO186" i="6"/>
  <c r="BL186" i="6"/>
  <c r="BK186" i="6"/>
  <c r="BH186" i="6"/>
  <c r="BG186" i="6"/>
  <c r="BD186" i="6"/>
  <c r="BC186" i="6"/>
  <c r="AZ186" i="6"/>
  <c r="AY186" i="6"/>
  <c r="AV186" i="6"/>
  <c r="AU186" i="6"/>
  <c r="AR186" i="6"/>
  <c r="AQ186" i="6"/>
  <c r="AN186" i="6"/>
  <c r="AM186" i="6"/>
  <c r="AJ186" i="6"/>
  <c r="AI186" i="6"/>
  <c r="AF186" i="6"/>
  <c r="AE186" i="6"/>
  <c r="AB186" i="6"/>
  <c r="AA186" i="6"/>
  <c r="X186" i="6"/>
  <c r="W186" i="6"/>
  <c r="T186" i="6"/>
  <c r="S186" i="6"/>
  <c r="P186" i="6"/>
  <c r="O186" i="6"/>
  <c r="L186" i="6"/>
  <c r="K186" i="6"/>
  <c r="J186" i="6"/>
  <c r="BT185" i="6"/>
  <c r="BS185" i="6"/>
  <c r="BP185" i="6"/>
  <c r="BO185" i="6"/>
  <c r="BL185" i="6"/>
  <c r="BK185" i="6"/>
  <c r="BH185" i="6"/>
  <c r="BG185" i="6"/>
  <c r="BD185" i="6"/>
  <c r="BC185" i="6"/>
  <c r="AZ185" i="6"/>
  <c r="AY185" i="6"/>
  <c r="AV185" i="6"/>
  <c r="AU185" i="6"/>
  <c r="AR185" i="6"/>
  <c r="AQ185" i="6"/>
  <c r="AN185" i="6"/>
  <c r="AM185" i="6"/>
  <c r="AJ185" i="6"/>
  <c r="AI185" i="6"/>
  <c r="AF185" i="6"/>
  <c r="AE185" i="6"/>
  <c r="AB185" i="6"/>
  <c r="AA185" i="6"/>
  <c r="X185" i="6"/>
  <c r="W185" i="6"/>
  <c r="T185" i="6"/>
  <c r="S185" i="6"/>
  <c r="P185" i="6"/>
  <c r="O185" i="6"/>
  <c r="L185" i="6"/>
  <c r="K185" i="6"/>
  <c r="J185" i="6"/>
  <c r="BT184" i="6"/>
  <c r="BS184" i="6"/>
  <c r="BP184" i="6"/>
  <c r="BO184" i="6"/>
  <c r="BL184" i="6"/>
  <c r="BK184" i="6"/>
  <c r="BH184" i="6"/>
  <c r="BG184" i="6"/>
  <c r="BD184" i="6"/>
  <c r="BC184" i="6"/>
  <c r="AZ184" i="6"/>
  <c r="AY184" i="6"/>
  <c r="AV184" i="6"/>
  <c r="AU184" i="6"/>
  <c r="AR184" i="6"/>
  <c r="AQ184" i="6"/>
  <c r="AN184" i="6"/>
  <c r="AM184" i="6"/>
  <c r="AJ184" i="6"/>
  <c r="AI184" i="6"/>
  <c r="AF184" i="6"/>
  <c r="AE184" i="6"/>
  <c r="AB184" i="6"/>
  <c r="AA184" i="6"/>
  <c r="X184" i="6"/>
  <c r="W184" i="6"/>
  <c r="T184" i="6"/>
  <c r="S184" i="6"/>
  <c r="P184" i="6"/>
  <c r="O184" i="6"/>
  <c r="L184" i="6"/>
  <c r="K184" i="6"/>
  <c r="J184" i="6"/>
  <c r="BT183" i="6"/>
  <c r="BS183" i="6"/>
  <c r="BP183" i="6"/>
  <c r="BO183" i="6"/>
  <c r="BL183" i="6"/>
  <c r="BK183" i="6"/>
  <c r="BH183" i="6"/>
  <c r="BG183" i="6"/>
  <c r="BD183" i="6"/>
  <c r="BC183" i="6"/>
  <c r="AZ183" i="6"/>
  <c r="AY183" i="6"/>
  <c r="AV183" i="6"/>
  <c r="AU183" i="6"/>
  <c r="AR183" i="6"/>
  <c r="AQ183" i="6"/>
  <c r="AN183" i="6"/>
  <c r="AM183" i="6"/>
  <c r="AJ183" i="6"/>
  <c r="AI183" i="6"/>
  <c r="AF183" i="6"/>
  <c r="AE183" i="6"/>
  <c r="AB183" i="6"/>
  <c r="AA183" i="6"/>
  <c r="X183" i="6"/>
  <c r="W183" i="6"/>
  <c r="T183" i="6"/>
  <c r="S183" i="6"/>
  <c r="P183" i="6"/>
  <c r="O183" i="6"/>
  <c r="L183" i="6"/>
  <c r="K183" i="6"/>
  <c r="J183" i="6"/>
  <c r="BT182" i="6"/>
  <c r="BS182" i="6"/>
  <c r="BP182" i="6"/>
  <c r="BO182" i="6"/>
  <c r="BL182" i="6"/>
  <c r="BK182" i="6"/>
  <c r="BH182" i="6"/>
  <c r="BG182" i="6"/>
  <c r="BD182" i="6"/>
  <c r="BC182" i="6"/>
  <c r="AZ182" i="6"/>
  <c r="AY182" i="6"/>
  <c r="AV182" i="6"/>
  <c r="AU182" i="6"/>
  <c r="AR182" i="6"/>
  <c r="AQ182" i="6"/>
  <c r="AN182" i="6"/>
  <c r="AM182" i="6"/>
  <c r="AJ182" i="6"/>
  <c r="AI182" i="6"/>
  <c r="AF182" i="6"/>
  <c r="AE182" i="6"/>
  <c r="AB182" i="6"/>
  <c r="AA182" i="6"/>
  <c r="X182" i="6"/>
  <c r="W182" i="6"/>
  <c r="T182" i="6"/>
  <c r="S182" i="6"/>
  <c r="P182" i="6"/>
  <c r="O182" i="6"/>
  <c r="L182" i="6"/>
  <c r="K182" i="6"/>
  <c r="J182" i="6"/>
  <c r="BT181" i="6"/>
  <c r="BS181" i="6"/>
  <c r="BP181" i="6"/>
  <c r="BO181" i="6"/>
  <c r="BL181" i="6"/>
  <c r="BK181" i="6"/>
  <c r="BH181" i="6"/>
  <c r="BG181" i="6"/>
  <c r="BD181" i="6"/>
  <c r="BC181" i="6"/>
  <c r="AZ181" i="6"/>
  <c r="AY181" i="6"/>
  <c r="AV181" i="6"/>
  <c r="AU181" i="6"/>
  <c r="AR181" i="6"/>
  <c r="AQ181" i="6"/>
  <c r="AN181" i="6"/>
  <c r="AM181" i="6"/>
  <c r="AJ181" i="6"/>
  <c r="AI181" i="6"/>
  <c r="AF181" i="6"/>
  <c r="AE181" i="6"/>
  <c r="AB181" i="6"/>
  <c r="AA181" i="6"/>
  <c r="X181" i="6"/>
  <c r="W181" i="6"/>
  <c r="T181" i="6"/>
  <c r="S181" i="6"/>
  <c r="P181" i="6"/>
  <c r="O181" i="6"/>
  <c r="L181" i="6"/>
  <c r="K181" i="6"/>
  <c r="J181" i="6"/>
  <c r="BT180" i="6"/>
  <c r="BS180" i="6"/>
  <c r="BP180" i="6"/>
  <c r="BO180" i="6"/>
  <c r="BL180" i="6"/>
  <c r="BK180" i="6"/>
  <c r="BH180" i="6"/>
  <c r="BG180" i="6"/>
  <c r="BD180" i="6"/>
  <c r="BC180" i="6"/>
  <c r="AZ180" i="6"/>
  <c r="AY180" i="6"/>
  <c r="AV180" i="6"/>
  <c r="AU180" i="6"/>
  <c r="AR180" i="6"/>
  <c r="AQ180" i="6"/>
  <c r="AN180" i="6"/>
  <c r="AM180" i="6"/>
  <c r="AJ180" i="6"/>
  <c r="AI180" i="6"/>
  <c r="AF180" i="6"/>
  <c r="AE180" i="6"/>
  <c r="AB180" i="6"/>
  <c r="AA180" i="6"/>
  <c r="X180" i="6"/>
  <c r="W180" i="6"/>
  <c r="T180" i="6"/>
  <c r="S180" i="6"/>
  <c r="P180" i="6"/>
  <c r="O180" i="6"/>
  <c r="L180" i="6"/>
  <c r="K180" i="6"/>
  <c r="J180" i="6"/>
  <c r="BT179" i="6"/>
  <c r="BS179" i="6"/>
  <c r="BP179" i="6"/>
  <c r="BO179" i="6"/>
  <c r="BL179" i="6"/>
  <c r="BK179" i="6"/>
  <c r="BH179" i="6"/>
  <c r="BG179" i="6"/>
  <c r="BD179" i="6"/>
  <c r="BC179" i="6"/>
  <c r="AZ179" i="6"/>
  <c r="AY179" i="6"/>
  <c r="AV179" i="6"/>
  <c r="AU179" i="6"/>
  <c r="AR179" i="6"/>
  <c r="AQ179" i="6"/>
  <c r="AN179" i="6"/>
  <c r="AM179" i="6"/>
  <c r="AJ179" i="6"/>
  <c r="AI179" i="6"/>
  <c r="AF179" i="6"/>
  <c r="AE179" i="6"/>
  <c r="AB179" i="6"/>
  <c r="AA179" i="6"/>
  <c r="X179" i="6"/>
  <c r="W179" i="6"/>
  <c r="T179" i="6"/>
  <c r="S179" i="6"/>
  <c r="P179" i="6"/>
  <c r="O179" i="6"/>
  <c r="L179" i="6"/>
  <c r="K179" i="6"/>
  <c r="J179" i="6"/>
  <c r="BT178" i="6"/>
  <c r="BS178" i="6"/>
  <c r="BP178" i="6"/>
  <c r="BO178" i="6"/>
  <c r="BL178" i="6"/>
  <c r="BK178" i="6"/>
  <c r="BH178" i="6"/>
  <c r="BG178" i="6"/>
  <c r="BD178" i="6"/>
  <c r="BC178" i="6"/>
  <c r="AZ178" i="6"/>
  <c r="AY178" i="6"/>
  <c r="AV178" i="6"/>
  <c r="AU178" i="6"/>
  <c r="AR178" i="6"/>
  <c r="AQ178" i="6"/>
  <c r="AN178" i="6"/>
  <c r="AM178" i="6"/>
  <c r="AJ178" i="6"/>
  <c r="AI178" i="6"/>
  <c r="AF178" i="6"/>
  <c r="AE178" i="6"/>
  <c r="AB178" i="6"/>
  <c r="AA178" i="6"/>
  <c r="X178" i="6"/>
  <c r="W178" i="6"/>
  <c r="T178" i="6"/>
  <c r="S178" i="6"/>
  <c r="P178" i="6"/>
  <c r="O178" i="6"/>
  <c r="L178" i="6"/>
  <c r="K178" i="6"/>
  <c r="J178" i="6"/>
  <c r="BT177" i="6"/>
  <c r="BS177" i="6"/>
  <c r="BP177" i="6"/>
  <c r="BO177" i="6"/>
  <c r="BL177" i="6"/>
  <c r="BK177" i="6"/>
  <c r="BH177" i="6"/>
  <c r="BG177" i="6"/>
  <c r="BD177" i="6"/>
  <c r="BC177" i="6"/>
  <c r="AZ177" i="6"/>
  <c r="AY177" i="6"/>
  <c r="AV177" i="6"/>
  <c r="AU177" i="6"/>
  <c r="AR177" i="6"/>
  <c r="AQ177" i="6"/>
  <c r="AN177" i="6"/>
  <c r="AM177" i="6"/>
  <c r="AJ177" i="6"/>
  <c r="AI177" i="6"/>
  <c r="AF177" i="6"/>
  <c r="AE177" i="6"/>
  <c r="AB177" i="6"/>
  <c r="AA177" i="6"/>
  <c r="X177" i="6"/>
  <c r="W177" i="6"/>
  <c r="T177" i="6"/>
  <c r="S177" i="6"/>
  <c r="P177" i="6"/>
  <c r="O177" i="6"/>
  <c r="L177" i="6"/>
  <c r="K177" i="6"/>
  <c r="J177" i="6"/>
  <c r="BT176" i="6"/>
  <c r="BS176" i="6"/>
  <c r="BP176" i="6"/>
  <c r="BO176" i="6"/>
  <c r="BL176" i="6"/>
  <c r="BK176" i="6"/>
  <c r="BH176" i="6"/>
  <c r="BG176" i="6"/>
  <c r="BD176" i="6"/>
  <c r="BC176" i="6"/>
  <c r="AZ176" i="6"/>
  <c r="AY176" i="6"/>
  <c r="AV176" i="6"/>
  <c r="AU176" i="6"/>
  <c r="AR176" i="6"/>
  <c r="AQ176" i="6"/>
  <c r="AN176" i="6"/>
  <c r="AM176" i="6"/>
  <c r="AJ176" i="6"/>
  <c r="AI176" i="6"/>
  <c r="AF176" i="6"/>
  <c r="AE176" i="6"/>
  <c r="AB176" i="6"/>
  <c r="AA176" i="6"/>
  <c r="X176" i="6"/>
  <c r="W176" i="6"/>
  <c r="T176" i="6"/>
  <c r="S176" i="6"/>
  <c r="P176" i="6"/>
  <c r="O176" i="6"/>
  <c r="L176" i="6"/>
  <c r="K176" i="6"/>
  <c r="J176" i="6"/>
  <c r="BT175" i="6"/>
  <c r="BS175" i="6"/>
  <c r="BP175" i="6"/>
  <c r="BO175" i="6"/>
  <c r="BL175" i="6"/>
  <c r="BK175" i="6"/>
  <c r="BH175" i="6"/>
  <c r="BG175" i="6"/>
  <c r="BD175" i="6"/>
  <c r="BC175" i="6"/>
  <c r="AZ175" i="6"/>
  <c r="AY175" i="6"/>
  <c r="AV175" i="6"/>
  <c r="AU175" i="6"/>
  <c r="AR175" i="6"/>
  <c r="AQ175" i="6"/>
  <c r="AN175" i="6"/>
  <c r="AM175" i="6"/>
  <c r="AJ175" i="6"/>
  <c r="AI175" i="6"/>
  <c r="AF175" i="6"/>
  <c r="AE175" i="6"/>
  <c r="AB175" i="6"/>
  <c r="AA175" i="6"/>
  <c r="X175" i="6"/>
  <c r="W175" i="6"/>
  <c r="T175" i="6"/>
  <c r="S175" i="6"/>
  <c r="P175" i="6"/>
  <c r="O175" i="6"/>
  <c r="L175" i="6"/>
  <c r="K175" i="6"/>
  <c r="J175" i="6"/>
  <c r="BT174" i="6"/>
  <c r="BS174" i="6"/>
  <c r="BP174" i="6"/>
  <c r="BO174" i="6"/>
  <c r="BL174" i="6"/>
  <c r="BK174" i="6"/>
  <c r="BH174" i="6"/>
  <c r="BG174" i="6"/>
  <c r="BD174" i="6"/>
  <c r="BC174" i="6"/>
  <c r="AZ174" i="6"/>
  <c r="AY174" i="6"/>
  <c r="AV174" i="6"/>
  <c r="AU174" i="6"/>
  <c r="AR174" i="6"/>
  <c r="AQ174" i="6"/>
  <c r="AN174" i="6"/>
  <c r="AM174" i="6"/>
  <c r="AJ174" i="6"/>
  <c r="AI174" i="6"/>
  <c r="AF174" i="6"/>
  <c r="AE174" i="6"/>
  <c r="AB174" i="6"/>
  <c r="AA174" i="6"/>
  <c r="X174" i="6"/>
  <c r="W174" i="6"/>
  <c r="T174" i="6"/>
  <c r="S174" i="6"/>
  <c r="P174" i="6"/>
  <c r="O174" i="6"/>
  <c r="L174" i="6"/>
  <c r="K174" i="6"/>
  <c r="J174" i="6"/>
  <c r="BT173" i="6"/>
  <c r="BS173" i="6"/>
  <c r="BP173" i="6"/>
  <c r="BO173" i="6"/>
  <c r="BL173" i="6"/>
  <c r="BK173" i="6"/>
  <c r="BH173" i="6"/>
  <c r="BG173" i="6"/>
  <c r="BD173" i="6"/>
  <c r="BC173" i="6"/>
  <c r="AZ173" i="6"/>
  <c r="AY173" i="6"/>
  <c r="AV173" i="6"/>
  <c r="AU173" i="6"/>
  <c r="AR173" i="6"/>
  <c r="AQ173" i="6"/>
  <c r="AN173" i="6"/>
  <c r="AM173" i="6"/>
  <c r="AJ173" i="6"/>
  <c r="AI173" i="6"/>
  <c r="AF173" i="6"/>
  <c r="AE173" i="6"/>
  <c r="AB173" i="6"/>
  <c r="AA173" i="6"/>
  <c r="X173" i="6"/>
  <c r="W173" i="6"/>
  <c r="T173" i="6"/>
  <c r="S173" i="6"/>
  <c r="P173" i="6"/>
  <c r="O173" i="6"/>
  <c r="L173" i="6"/>
  <c r="K173" i="6"/>
  <c r="J173" i="6"/>
  <c r="BT172" i="6"/>
  <c r="BS172" i="6"/>
  <c r="BP172" i="6"/>
  <c r="BO172" i="6"/>
  <c r="BL172" i="6"/>
  <c r="BK172" i="6"/>
  <c r="BH172" i="6"/>
  <c r="BG172" i="6"/>
  <c r="BD172" i="6"/>
  <c r="BC172" i="6"/>
  <c r="AZ172" i="6"/>
  <c r="AY172" i="6"/>
  <c r="AV172" i="6"/>
  <c r="AU172" i="6"/>
  <c r="AR172" i="6"/>
  <c r="AQ172" i="6"/>
  <c r="AN172" i="6"/>
  <c r="AM172" i="6"/>
  <c r="AJ172" i="6"/>
  <c r="AI172" i="6"/>
  <c r="AF172" i="6"/>
  <c r="AE172" i="6"/>
  <c r="AB172" i="6"/>
  <c r="AA172" i="6"/>
  <c r="X172" i="6"/>
  <c r="W172" i="6"/>
  <c r="T172" i="6"/>
  <c r="S172" i="6"/>
  <c r="P172" i="6"/>
  <c r="O172" i="6"/>
  <c r="L172" i="6"/>
  <c r="K172" i="6"/>
  <c r="J172" i="6"/>
  <c r="BT171" i="6"/>
  <c r="BS171" i="6"/>
  <c r="BP171" i="6"/>
  <c r="BO171" i="6"/>
  <c r="BL171" i="6"/>
  <c r="BK171" i="6"/>
  <c r="BH171" i="6"/>
  <c r="BG171" i="6"/>
  <c r="BD171" i="6"/>
  <c r="BC171" i="6"/>
  <c r="AZ171" i="6"/>
  <c r="AY171" i="6"/>
  <c r="AV171" i="6"/>
  <c r="AU171" i="6"/>
  <c r="AR171" i="6"/>
  <c r="AQ171" i="6"/>
  <c r="AN171" i="6"/>
  <c r="AM171" i="6"/>
  <c r="AJ171" i="6"/>
  <c r="AI171" i="6"/>
  <c r="AF171" i="6"/>
  <c r="AE171" i="6"/>
  <c r="AB171" i="6"/>
  <c r="AA171" i="6"/>
  <c r="X171" i="6"/>
  <c r="W171" i="6"/>
  <c r="T171" i="6"/>
  <c r="S171" i="6"/>
  <c r="P171" i="6"/>
  <c r="O171" i="6"/>
  <c r="L171" i="6"/>
  <c r="K171" i="6"/>
  <c r="J171" i="6"/>
  <c r="BT170" i="6"/>
  <c r="BS170" i="6"/>
  <c r="BP170" i="6"/>
  <c r="BO170" i="6"/>
  <c r="BL170" i="6"/>
  <c r="BK170" i="6"/>
  <c r="BH170" i="6"/>
  <c r="BG170" i="6"/>
  <c r="BD170" i="6"/>
  <c r="BC170" i="6"/>
  <c r="AZ170" i="6"/>
  <c r="AY170" i="6"/>
  <c r="AV170" i="6"/>
  <c r="AU170" i="6"/>
  <c r="AR170" i="6"/>
  <c r="AQ170" i="6"/>
  <c r="AN170" i="6"/>
  <c r="AM170" i="6"/>
  <c r="AJ170" i="6"/>
  <c r="AI170" i="6"/>
  <c r="AF170" i="6"/>
  <c r="AE170" i="6"/>
  <c r="AB170" i="6"/>
  <c r="AA170" i="6"/>
  <c r="X170" i="6"/>
  <c r="W170" i="6"/>
  <c r="T170" i="6"/>
  <c r="S170" i="6"/>
  <c r="P170" i="6"/>
  <c r="O170" i="6"/>
  <c r="L170" i="6"/>
  <c r="K170" i="6"/>
  <c r="J170" i="6"/>
  <c r="BT169" i="6"/>
  <c r="BS169" i="6"/>
  <c r="BP169" i="6"/>
  <c r="BO169" i="6"/>
  <c r="BL169" i="6"/>
  <c r="BK169" i="6"/>
  <c r="BH169" i="6"/>
  <c r="BG169" i="6"/>
  <c r="BD169" i="6"/>
  <c r="BC169" i="6"/>
  <c r="AZ169" i="6"/>
  <c r="AY169" i="6"/>
  <c r="AV169" i="6"/>
  <c r="AU169" i="6"/>
  <c r="AR169" i="6"/>
  <c r="AQ169" i="6"/>
  <c r="AN169" i="6"/>
  <c r="AM169" i="6"/>
  <c r="AJ169" i="6"/>
  <c r="AI169" i="6"/>
  <c r="AF169" i="6"/>
  <c r="AE169" i="6"/>
  <c r="AB169" i="6"/>
  <c r="AA169" i="6"/>
  <c r="X169" i="6"/>
  <c r="W169" i="6"/>
  <c r="T169" i="6"/>
  <c r="S169" i="6"/>
  <c r="P169" i="6"/>
  <c r="O169" i="6"/>
  <c r="L169" i="6"/>
  <c r="K169" i="6"/>
  <c r="J169" i="6"/>
  <c r="BT168" i="6"/>
  <c r="BS168" i="6"/>
  <c r="BP168" i="6"/>
  <c r="BO168" i="6"/>
  <c r="BL168" i="6"/>
  <c r="BK168" i="6"/>
  <c r="BH168" i="6"/>
  <c r="BG168" i="6"/>
  <c r="BD168" i="6"/>
  <c r="BC168" i="6"/>
  <c r="AZ168" i="6"/>
  <c r="AY168" i="6"/>
  <c r="AV168" i="6"/>
  <c r="AU168" i="6"/>
  <c r="AR168" i="6"/>
  <c r="AQ168" i="6"/>
  <c r="AN168" i="6"/>
  <c r="AM168" i="6"/>
  <c r="AJ168" i="6"/>
  <c r="AI168" i="6"/>
  <c r="AF168" i="6"/>
  <c r="AE168" i="6"/>
  <c r="AB168" i="6"/>
  <c r="AA168" i="6"/>
  <c r="X168" i="6"/>
  <c r="W168" i="6"/>
  <c r="T168" i="6"/>
  <c r="S168" i="6"/>
  <c r="P168" i="6"/>
  <c r="O168" i="6"/>
  <c r="L168" i="6"/>
  <c r="K168" i="6"/>
  <c r="J168" i="6"/>
  <c r="BT167" i="6"/>
  <c r="BS167" i="6"/>
  <c r="BP167" i="6"/>
  <c r="BO167" i="6"/>
  <c r="BL167" i="6"/>
  <c r="BK167" i="6"/>
  <c r="BH167" i="6"/>
  <c r="BG167" i="6"/>
  <c r="BD167" i="6"/>
  <c r="BC167" i="6"/>
  <c r="AZ167" i="6"/>
  <c r="AY167" i="6"/>
  <c r="AV167" i="6"/>
  <c r="AU167" i="6"/>
  <c r="AR167" i="6"/>
  <c r="AQ167" i="6"/>
  <c r="AN167" i="6"/>
  <c r="AM167" i="6"/>
  <c r="AJ167" i="6"/>
  <c r="AI167" i="6"/>
  <c r="AF167" i="6"/>
  <c r="AE167" i="6"/>
  <c r="AB167" i="6"/>
  <c r="AA167" i="6"/>
  <c r="X167" i="6"/>
  <c r="W167" i="6"/>
  <c r="T167" i="6"/>
  <c r="S167" i="6"/>
  <c r="P167" i="6"/>
  <c r="O167" i="6"/>
  <c r="L167" i="6"/>
  <c r="K167" i="6"/>
  <c r="J167" i="6"/>
  <c r="BT166" i="6"/>
  <c r="BS166" i="6"/>
  <c r="BP166" i="6"/>
  <c r="BO166" i="6"/>
  <c r="BL166" i="6"/>
  <c r="BK166" i="6"/>
  <c r="BH166" i="6"/>
  <c r="BG166" i="6"/>
  <c r="BD166" i="6"/>
  <c r="BC166" i="6"/>
  <c r="AZ166" i="6"/>
  <c r="AY166" i="6"/>
  <c r="AV166" i="6"/>
  <c r="AU166" i="6"/>
  <c r="AR166" i="6"/>
  <c r="AQ166" i="6"/>
  <c r="AN166" i="6"/>
  <c r="AM166" i="6"/>
  <c r="AJ166" i="6"/>
  <c r="AI166" i="6"/>
  <c r="AF166" i="6"/>
  <c r="AE166" i="6"/>
  <c r="AB166" i="6"/>
  <c r="AA166" i="6"/>
  <c r="X166" i="6"/>
  <c r="W166" i="6"/>
  <c r="T166" i="6"/>
  <c r="S166" i="6"/>
  <c r="P166" i="6"/>
  <c r="O166" i="6"/>
  <c r="L166" i="6"/>
  <c r="K166" i="6"/>
  <c r="J166" i="6"/>
  <c r="BT165" i="6"/>
  <c r="BS165" i="6"/>
  <c r="BP165" i="6"/>
  <c r="BO165" i="6"/>
  <c r="BL165" i="6"/>
  <c r="BK165" i="6"/>
  <c r="BH165" i="6"/>
  <c r="BG165" i="6"/>
  <c r="BD165" i="6"/>
  <c r="BC165" i="6"/>
  <c r="AZ165" i="6"/>
  <c r="AY165" i="6"/>
  <c r="AV165" i="6"/>
  <c r="AU165" i="6"/>
  <c r="AR165" i="6"/>
  <c r="AQ165" i="6"/>
  <c r="AN165" i="6"/>
  <c r="AM165" i="6"/>
  <c r="AJ165" i="6"/>
  <c r="AI165" i="6"/>
  <c r="AF165" i="6"/>
  <c r="AE165" i="6"/>
  <c r="AB165" i="6"/>
  <c r="AA165" i="6"/>
  <c r="X165" i="6"/>
  <c r="W165" i="6"/>
  <c r="T165" i="6"/>
  <c r="S165" i="6"/>
  <c r="P165" i="6"/>
  <c r="O165" i="6"/>
  <c r="L165" i="6"/>
  <c r="K165" i="6"/>
  <c r="J165" i="6"/>
  <c r="BT164" i="6"/>
  <c r="BS164" i="6"/>
  <c r="BP164" i="6"/>
  <c r="BO164" i="6"/>
  <c r="BL164" i="6"/>
  <c r="BK164" i="6"/>
  <c r="BH164" i="6"/>
  <c r="BG164" i="6"/>
  <c r="BD164" i="6"/>
  <c r="BC164" i="6"/>
  <c r="AZ164" i="6"/>
  <c r="AY164" i="6"/>
  <c r="AV164" i="6"/>
  <c r="AU164" i="6"/>
  <c r="AR164" i="6"/>
  <c r="AQ164" i="6"/>
  <c r="AN164" i="6"/>
  <c r="AM164" i="6"/>
  <c r="AJ164" i="6"/>
  <c r="AI164" i="6"/>
  <c r="AF164" i="6"/>
  <c r="AE164" i="6"/>
  <c r="AB164" i="6"/>
  <c r="AA164" i="6"/>
  <c r="X164" i="6"/>
  <c r="W164" i="6"/>
  <c r="T164" i="6"/>
  <c r="S164" i="6"/>
  <c r="P164" i="6"/>
  <c r="O164" i="6"/>
  <c r="L164" i="6"/>
  <c r="K164" i="6"/>
  <c r="J164" i="6"/>
  <c r="BT163" i="6"/>
  <c r="BS163" i="6"/>
  <c r="BP163" i="6"/>
  <c r="BO163" i="6"/>
  <c r="BL163" i="6"/>
  <c r="BK163" i="6"/>
  <c r="BH163" i="6"/>
  <c r="BG163" i="6"/>
  <c r="BD163" i="6"/>
  <c r="BC163" i="6"/>
  <c r="AZ163" i="6"/>
  <c r="AY163" i="6"/>
  <c r="AV163" i="6"/>
  <c r="AU163" i="6"/>
  <c r="AR163" i="6"/>
  <c r="AQ163" i="6"/>
  <c r="AN163" i="6"/>
  <c r="AM163" i="6"/>
  <c r="AJ163" i="6"/>
  <c r="AI163" i="6"/>
  <c r="AF163" i="6"/>
  <c r="AE163" i="6"/>
  <c r="AB163" i="6"/>
  <c r="AA163" i="6"/>
  <c r="X163" i="6"/>
  <c r="W163" i="6"/>
  <c r="T163" i="6"/>
  <c r="S163" i="6"/>
  <c r="P163" i="6"/>
  <c r="O163" i="6"/>
  <c r="L163" i="6"/>
  <c r="K163" i="6"/>
  <c r="J163" i="6"/>
  <c r="BT162" i="6"/>
  <c r="BS162" i="6"/>
  <c r="BP162" i="6"/>
  <c r="BO162" i="6"/>
  <c r="BL162" i="6"/>
  <c r="BK162" i="6"/>
  <c r="BH162" i="6"/>
  <c r="BG162" i="6"/>
  <c r="BD162" i="6"/>
  <c r="BC162" i="6"/>
  <c r="AZ162" i="6"/>
  <c r="AY162" i="6"/>
  <c r="AV162" i="6"/>
  <c r="AU162" i="6"/>
  <c r="AR162" i="6"/>
  <c r="AQ162" i="6"/>
  <c r="AN162" i="6"/>
  <c r="AM162" i="6"/>
  <c r="AJ162" i="6"/>
  <c r="AI162" i="6"/>
  <c r="AF162" i="6"/>
  <c r="AE162" i="6"/>
  <c r="AB162" i="6"/>
  <c r="AA162" i="6"/>
  <c r="X162" i="6"/>
  <c r="W162" i="6"/>
  <c r="T162" i="6"/>
  <c r="S162" i="6"/>
  <c r="P162" i="6"/>
  <c r="O162" i="6"/>
  <c r="L162" i="6"/>
  <c r="K162" i="6"/>
  <c r="J162" i="6"/>
  <c r="BT161" i="6"/>
  <c r="BS161" i="6"/>
  <c r="BP161" i="6"/>
  <c r="BO161" i="6"/>
  <c r="BL161" i="6"/>
  <c r="BK161" i="6"/>
  <c r="BH161" i="6"/>
  <c r="BG161" i="6"/>
  <c r="BD161" i="6"/>
  <c r="BC161" i="6"/>
  <c r="AZ161" i="6"/>
  <c r="AY161" i="6"/>
  <c r="AV161" i="6"/>
  <c r="AU161" i="6"/>
  <c r="AR161" i="6"/>
  <c r="AQ161" i="6"/>
  <c r="AN161" i="6"/>
  <c r="AM161" i="6"/>
  <c r="AJ161" i="6"/>
  <c r="AI161" i="6"/>
  <c r="AF161" i="6"/>
  <c r="AE161" i="6"/>
  <c r="AB161" i="6"/>
  <c r="AA161" i="6"/>
  <c r="X161" i="6"/>
  <c r="W161" i="6"/>
  <c r="T161" i="6"/>
  <c r="S161" i="6"/>
  <c r="P161" i="6"/>
  <c r="O161" i="6"/>
  <c r="L161" i="6"/>
  <c r="K161" i="6"/>
  <c r="J161" i="6"/>
  <c r="BT160" i="6"/>
  <c r="BS160" i="6"/>
  <c r="BP160" i="6"/>
  <c r="BO160" i="6"/>
  <c r="BL160" i="6"/>
  <c r="BK160" i="6"/>
  <c r="BH160" i="6"/>
  <c r="BG160" i="6"/>
  <c r="BD160" i="6"/>
  <c r="BC160" i="6"/>
  <c r="AZ160" i="6"/>
  <c r="AY160" i="6"/>
  <c r="AV160" i="6"/>
  <c r="AU160" i="6"/>
  <c r="AR160" i="6"/>
  <c r="AQ160" i="6"/>
  <c r="AN160" i="6"/>
  <c r="AM160" i="6"/>
  <c r="AJ160" i="6"/>
  <c r="AI160" i="6"/>
  <c r="AF160" i="6"/>
  <c r="AE160" i="6"/>
  <c r="AB160" i="6"/>
  <c r="AA160" i="6"/>
  <c r="X160" i="6"/>
  <c r="W160" i="6"/>
  <c r="T160" i="6"/>
  <c r="S160" i="6"/>
  <c r="P160" i="6"/>
  <c r="O160" i="6"/>
  <c r="L160" i="6"/>
  <c r="K160" i="6"/>
  <c r="J160" i="6"/>
  <c r="BT159" i="6"/>
  <c r="BS159" i="6"/>
  <c r="BP159" i="6"/>
  <c r="BO159" i="6"/>
  <c r="BL159" i="6"/>
  <c r="BK159" i="6"/>
  <c r="BH159" i="6"/>
  <c r="BG159" i="6"/>
  <c r="BD159" i="6"/>
  <c r="BC159" i="6"/>
  <c r="AZ159" i="6"/>
  <c r="AY159" i="6"/>
  <c r="AV159" i="6"/>
  <c r="AU159" i="6"/>
  <c r="AR159" i="6"/>
  <c r="AQ159" i="6"/>
  <c r="AN159" i="6"/>
  <c r="AM159" i="6"/>
  <c r="AJ159" i="6"/>
  <c r="AI159" i="6"/>
  <c r="AF159" i="6"/>
  <c r="AE159" i="6"/>
  <c r="AB159" i="6"/>
  <c r="AA159" i="6"/>
  <c r="X159" i="6"/>
  <c r="W159" i="6"/>
  <c r="T159" i="6"/>
  <c r="S159" i="6"/>
  <c r="P159" i="6"/>
  <c r="O159" i="6"/>
  <c r="L159" i="6"/>
  <c r="K159" i="6"/>
  <c r="J159" i="6"/>
  <c r="BT158" i="6"/>
  <c r="BS158" i="6"/>
  <c r="BP158" i="6"/>
  <c r="BO158" i="6"/>
  <c r="BL158" i="6"/>
  <c r="BK158" i="6"/>
  <c r="BH158" i="6"/>
  <c r="BG158" i="6"/>
  <c r="BD158" i="6"/>
  <c r="BC158" i="6"/>
  <c r="AZ158" i="6"/>
  <c r="AY158" i="6"/>
  <c r="AV158" i="6"/>
  <c r="AU158" i="6"/>
  <c r="AR158" i="6"/>
  <c r="AQ158" i="6"/>
  <c r="AN158" i="6"/>
  <c r="AM158" i="6"/>
  <c r="AJ158" i="6"/>
  <c r="AI158" i="6"/>
  <c r="AF158" i="6"/>
  <c r="AE158" i="6"/>
  <c r="AB158" i="6"/>
  <c r="AA158" i="6"/>
  <c r="X158" i="6"/>
  <c r="W158" i="6"/>
  <c r="T158" i="6"/>
  <c r="S158" i="6"/>
  <c r="P158" i="6"/>
  <c r="O158" i="6"/>
  <c r="L158" i="6"/>
  <c r="K158" i="6"/>
  <c r="J158" i="6"/>
  <c r="BT157" i="6"/>
  <c r="BS157" i="6"/>
  <c r="BP157" i="6"/>
  <c r="BO157" i="6"/>
  <c r="BL157" i="6"/>
  <c r="BK157" i="6"/>
  <c r="BH157" i="6"/>
  <c r="BG157" i="6"/>
  <c r="BD157" i="6"/>
  <c r="BC157" i="6"/>
  <c r="AZ157" i="6"/>
  <c r="AY157" i="6"/>
  <c r="AV157" i="6"/>
  <c r="AU157" i="6"/>
  <c r="AR157" i="6"/>
  <c r="AQ157" i="6"/>
  <c r="AN157" i="6"/>
  <c r="AM157" i="6"/>
  <c r="AJ157" i="6"/>
  <c r="AI157" i="6"/>
  <c r="AF157" i="6"/>
  <c r="AE157" i="6"/>
  <c r="AB157" i="6"/>
  <c r="AA157" i="6"/>
  <c r="X157" i="6"/>
  <c r="W157" i="6"/>
  <c r="T157" i="6"/>
  <c r="S157" i="6"/>
  <c r="P157" i="6"/>
  <c r="O157" i="6"/>
  <c r="L157" i="6"/>
  <c r="K157" i="6"/>
  <c r="J157" i="6"/>
  <c r="BT156" i="6"/>
  <c r="BS156" i="6"/>
  <c r="BP156" i="6"/>
  <c r="BO156" i="6"/>
  <c r="BL156" i="6"/>
  <c r="BK156" i="6"/>
  <c r="BH156" i="6"/>
  <c r="BG156" i="6"/>
  <c r="BD156" i="6"/>
  <c r="BC156" i="6"/>
  <c r="AZ156" i="6"/>
  <c r="AY156" i="6"/>
  <c r="AV156" i="6"/>
  <c r="AU156" i="6"/>
  <c r="AR156" i="6"/>
  <c r="AQ156" i="6"/>
  <c r="AN156" i="6"/>
  <c r="AM156" i="6"/>
  <c r="AJ156" i="6"/>
  <c r="AI156" i="6"/>
  <c r="AF156" i="6"/>
  <c r="AE156" i="6"/>
  <c r="AB156" i="6"/>
  <c r="AA156" i="6"/>
  <c r="X156" i="6"/>
  <c r="W156" i="6"/>
  <c r="T156" i="6"/>
  <c r="S156" i="6"/>
  <c r="P156" i="6"/>
  <c r="O156" i="6"/>
  <c r="L156" i="6"/>
  <c r="K156" i="6"/>
  <c r="J156" i="6"/>
  <c r="BT155" i="6"/>
  <c r="BS155" i="6"/>
  <c r="BP155" i="6"/>
  <c r="BO155" i="6"/>
  <c r="BL155" i="6"/>
  <c r="BK155" i="6"/>
  <c r="BH155" i="6"/>
  <c r="BG155" i="6"/>
  <c r="BD155" i="6"/>
  <c r="BC155" i="6"/>
  <c r="AZ155" i="6"/>
  <c r="AY155" i="6"/>
  <c r="AV155" i="6"/>
  <c r="AU155" i="6"/>
  <c r="AR155" i="6"/>
  <c r="AQ155" i="6"/>
  <c r="AN155" i="6"/>
  <c r="AM155" i="6"/>
  <c r="AJ155" i="6"/>
  <c r="AI155" i="6"/>
  <c r="AF155" i="6"/>
  <c r="AE155" i="6"/>
  <c r="AB155" i="6"/>
  <c r="AA155" i="6"/>
  <c r="X155" i="6"/>
  <c r="W155" i="6"/>
  <c r="T155" i="6"/>
  <c r="S155" i="6"/>
  <c r="P155" i="6"/>
  <c r="O155" i="6"/>
  <c r="L155" i="6"/>
  <c r="K155" i="6"/>
  <c r="J155" i="6"/>
  <c r="BT154" i="6"/>
  <c r="BS154" i="6"/>
  <c r="BP154" i="6"/>
  <c r="BO154" i="6"/>
  <c r="BL154" i="6"/>
  <c r="BK154" i="6"/>
  <c r="BH154" i="6"/>
  <c r="BG154" i="6"/>
  <c r="BD154" i="6"/>
  <c r="BC154" i="6"/>
  <c r="AZ154" i="6"/>
  <c r="AY154" i="6"/>
  <c r="AV154" i="6"/>
  <c r="AU154" i="6"/>
  <c r="AR154" i="6"/>
  <c r="AQ154" i="6"/>
  <c r="AN154" i="6"/>
  <c r="AM154" i="6"/>
  <c r="AJ154" i="6"/>
  <c r="AI154" i="6"/>
  <c r="AF154" i="6"/>
  <c r="AE154" i="6"/>
  <c r="AB154" i="6"/>
  <c r="AA154" i="6"/>
  <c r="X154" i="6"/>
  <c r="W154" i="6"/>
  <c r="T154" i="6"/>
  <c r="S154" i="6"/>
  <c r="P154" i="6"/>
  <c r="O154" i="6"/>
  <c r="L154" i="6"/>
  <c r="K154" i="6"/>
  <c r="J154" i="6"/>
  <c r="BT153" i="6"/>
  <c r="BS153" i="6"/>
  <c r="BP153" i="6"/>
  <c r="BO153" i="6"/>
  <c r="BL153" i="6"/>
  <c r="BK153" i="6"/>
  <c r="BH153" i="6"/>
  <c r="BG153" i="6"/>
  <c r="BD153" i="6"/>
  <c r="BC153" i="6"/>
  <c r="AZ153" i="6"/>
  <c r="AY153" i="6"/>
  <c r="AV153" i="6"/>
  <c r="AU153" i="6"/>
  <c r="AR153" i="6"/>
  <c r="AQ153" i="6"/>
  <c r="AN153" i="6"/>
  <c r="AM153" i="6"/>
  <c r="AJ153" i="6"/>
  <c r="AI153" i="6"/>
  <c r="AF153" i="6"/>
  <c r="AE153" i="6"/>
  <c r="AB153" i="6"/>
  <c r="AA153" i="6"/>
  <c r="X153" i="6"/>
  <c r="W153" i="6"/>
  <c r="T153" i="6"/>
  <c r="S153" i="6"/>
  <c r="P153" i="6"/>
  <c r="O153" i="6"/>
  <c r="L153" i="6"/>
  <c r="K153" i="6"/>
  <c r="J153" i="6"/>
  <c r="BT152" i="6"/>
  <c r="BS152" i="6"/>
  <c r="BP152" i="6"/>
  <c r="BO152" i="6"/>
  <c r="BL152" i="6"/>
  <c r="BK152" i="6"/>
  <c r="BH152" i="6"/>
  <c r="BG152" i="6"/>
  <c r="BD152" i="6"/>
  <c r="BC152" i="6"/>
  <c r="AZ152" i="6"/>
  <c r="AY152" i="6"/>
  <c r="AV152" i="6"/>
  <c r="AU152" i="6"/>
  <c r="AR152" i="6"/>
  <c r="AQ152" i="6"/>
  <c r="AN152" i="6"/>
  <c r="AM152" i="6"/>
  <c r="AJ152" i="6"/>
  <c r="AI152" i="6"/>
  <c r="AF152" i="6"/>
  <c r="AE152" i="6"/>
  <c r="AB152" i="6"/>
  <c r="AA152" i="6"/>
  <c r="X152" i="6"/>
  <c r="W152" i="6"/>
  <c r="T152" i="6"/>
  <c r="S152" i="6"/>
  <c r="P152" i="6"/>
  <c r="O152" i="6"/>
  <c r="L152" i="6"/>
  <c r="K152" i="6"/>
  <c r="J152" i="6"/>
  <c r="BT151" i="6"/>
  <c r="BS151" i="6"/>
  <c r="BP151" i="6"/>
  <c r="BO151" i="6"/>
  <c r="BL151" i="6"/>
  <c r="BK151" i="6"/>
  <c r="BH151" i="6"/>
  <c r="BG151" i="6"/>
  <c r="BD151" i="6"/>
  <c r="BC151" i="6"/>
  <c r="AZ151" i="6"/>
  <c r="AY151" i="6"/>
  <c r="AV151" i="6"/>
  <c r="AU151" i="6"/>
  <c r="AR151" i="6"/>
  <c r="AQ151" i="6"/>
  <c r="AN151" i="6"/>
  <c r="AM151" i="6"/>
  <c r="AJ151" i="6"/>
  <c r="AI151" i="6"/>
  <c r="AF151" i="6"/>
  <c r="AE151" i="6"/>
  <c r="AB151" i="6"/>
  <c r="AA151" i="6"/>
  <c r="X151" i="6"/>
  <c r="W151" i="6"/>
  <c r="T151" i="6"/>
  <c r="S151" i="6"/>
  <c r="P151" i="6"/>
  <c r="O151" i="6"/>
  <c r="L151" i="6"/>
  <c r="K151" i="6"/>
  <c r="J151" i="6"/>
  <c r="BT150" i="6"/>
  <c r="BS150" i="6"/>
  <c r="BP150" i="6"/>
  <c r="BO150" i="6"/>
  <c r="BL150" i="6"/>
  <c r="BK150" i="6"/>
  <c r="BH150" i="6"/>
  <c r="BG150" i="6"/>
  <c r="BD150" i="6"/>
  <c r="BC150" i="6"/>
  <c r="AZ150" i="6"/>
  <c r="AY150" i="6"/>
  <c r="AV150" i="6"/>
  <c r="AU150" i="6"/>
  <c r="AR150" i="6"/>
  <c r="AQ150" i="6"/>
  <c r="AN150" i="6"/>
  <c r="AM150" i="6"/>
  <c r="AJ150" i="6"/>
  <c r="AI150" i="6"/>
  <c r="AF150" i="6"/>
  <c r="AE150" i="6"/>
  <c r="AB150" i="6"/>
  <c r="AA150" i="6"/>
  <c r="X150" i="6"/>
  <c r="W150" i="6"/>
  <c r="T150" i="6"/>
  <c r="S150" i="6"/>
  <c r="P150" i="6"/>
  <c r="O150" i="6"/>
  <c r="L150" i="6"/>
  <c r="K150" i="6"/>
  <c r="J150" i="6"/>
  <c r="BT149" i="6"/>
  <c r="BS149" i="6"/>
  <c r="BP149" i="6"/>
  <c r="BO149" i="6"/>
  <c r="BL149" i="6"/>
  <c r="BK149" i="6"/>
  <c r="BH149" i="6"/>
  <c r="BG149" i="6"/>
  <c r="BD149" i="6"/>
  <c r="BC149" i="6"/>
  <c r="AZ149" i="6"/>
  <c r="AY149" i="6"/>
  <c r="AV149" i="6"/>
  <c r="AU149" i="6"/>
  <c r="AR149" i="6"/>
  <c r="AQ149" i="6"/>
  <c r="AN149" i="6"/>
  <c r="AM149" i="6"/>
  <c r="AJ149" i="6"/>
  <c r="AI149" i="6"/>
  <c r="AF149" i="6"/>
  <c r="AE149" i="6"/>
  <c r="AB149" i="6"/>
  <c r="AA149" i="6"/>
  <c r="X149" i="6"/>
  <c r="W149" i="6"/>
  <c r="T149" i="6"/>
  <c r="S149" i="6"/>
  <c r="P149" i="6"/>
  <c r="O149" i="6"/>
  <c r="L149" i="6"/>
  <c r="K149" i="6"/>
  <c r="J149" i="6"/>
  <c r="BT148" i="6"/>
  <c r="BS148" i="6"/>
  <c r="BP148" i="6"/>
  <c r="BO148" i="6"/>
  <c r="BL148" i="6"/>
  <c r="BK148" i="6"/>
  <c r="BH148" i="6"/>
  <c r="BG148" i="6"/>
  <c r="BD148" i="6"/>
  <c r="BC148" i="6"/>
  <c r="AZ148" i="6"/>
  <c r="AY148" i="6"/>
  <c r="AV148" i="6"/>
  <c r="AU148" i="6"/>
  <c r="AR148" i="6"/>
  <c r="AQ148" i="6"/>
  <c r="AN148" i="6"/>
  <c r="AM148" i="6"/>
  <c r="AJ148" i="6"/>
  <c r="AI148" i="6"/>
  <c r="AF148" i="6"/>
  <c r="AE148" i="6"/>
  <c r="AB148" i="6"/>
  <c r="AA148" i="6"/>
  <c r="X148" i="6"/>
  <c r="W148" i="6"/>
  <c r="T148" i="6"/>
  <c r="S148" i="6"/>
  <c r="P148" i="6"/>
  <c r="O148" i="6"/>
  <c r="L148" i="6"/>
  <c r="K148" i="6"/>
  <c r="J148" i="6"/>
  <c r="BT147" i="6"/>
  <c r="BS147" i="6"/>
  <c r="BP147" i="6"/>
  <c r="BO147" i="6"/>
  <c r="BL147" i="6"/>
  <c r="BK147" i="6"/>
  <c r="BH147" i="6"/>
  <c r="BG147" i="6"/>
  <c r="BD147" i="6"/>
  <c r="BC147" i="6"/>
  <c r="AZ147" i="6"/>
  <c r="AY147" i="6"/>
  <c r="AV147" i="6"/>
  <c r="AU147" i="6"/>
  <c r="AR147" i="6"/>
  <c r="AQ147" i="6"/>
  <c r="AN147" i="6"/>
  <c r="AM147" i="6"/>
  <c r="AJ147" i="6"/>
  <c r="AI147" i="6"/>
  <c r="AF147" i="6"/>
  <c r="AE147" i="6"/>
  <c r="AB147" i="6"/>
  <c r="AA147" i="6"/>
  <c r="X147" i="6"/>
  <c r="W147" i="6"/>
  <c r="T147" i="6"/>
  <c r="S147" i="6"/>
  <c r="P147" i="6"/>
  <c r="O147" i="6"/>
  <c r="L147" i="6"/>
  <c r="K147" i="6"/>
  <c r="J147" i="6"/>
  <c r="BT146" i="6"/>
  <c r="BS146" i="6"/>
  <c r="BP146" i="6"/>
  <c r="BO146" i="6"/>
  <c r="BL146" i="6"/>
  <c r="BK146" i="6"/>
  <c r="BH146" i="6"/>
  <c r="BG146" i="6"/>
  <c r="BD146" i="6"/>
  <c r="BC146" i="6"/>
  <c r="AZ146" i="6"/>
  <c r="AY146" i="6"/>
  <c r="AV146" i="6"/>
  <c r="AU146" i="6"/>
  <c r="AR146" i="6"/>
  <c r="AQ146" i="6"/>
  <c r="AN146" i="6"/>
  <c r="AM146" i="6"/>
  <c r="AJ146" i="6"/>
  <c r="AI146" i="6"/>
  <c r="AF146" i="6"/>
  <c r="AE146" i="6"/>
  <c r="AB146" i="6"/>
  <c r="AA146" i="6"/>
  <c r="X146" i="6"/>
  <c r="W146" i="6"/>
  <c r="T146" i="6"/>
  <c r="S146" i="6"/>
  <c r="P146" i="6"/>
  <c r="O146" i="6"/>
  <c r="L146" i="6"/>
  <c r="K146" i="6"/>
  <c r="J146" i="6"/>
  <c r="BT145" i="6"/>
  <c r="BS145" i="6"/>
  <c r="BP145" i="6"/>
  <c r="BO145" i="6"/>
  <c r="BL145" i="6"/>
  <c r="BK145" i="6"/>
  <c r="BH145" i="6"/>
  <c r="BG145" i="6"/>
  <c r="BD145" i="6"/>
  <c r="BC145" i="6"/>
  <c r="AZ145" i="6"/>
  <c r="AY145" i="6"/>
  <c r="AV145" i="6"/>
  <c r="AU145" i="6"/>
  <c r="AR145" i="6"/>
  <c r="AQ145" i="6"/>
  <c r="AN145" i="6"/>
  <c r="AM145" i="6"/>
  <c r="AJ145" i="6"/>
  <c r="AI145" i="6"/>
  <c r="AF145" i="6"/>
  <c r="AE145" i="6"/>
  <c r="AB145" i="6"/>
  <c r="AA145" i="6"/>
  <c r="X145" i="6"/>
  <c r="W145" i="6"/>
  <c r="T145" i="6"/>
  <c r="S145" i="6"/>
  <c r="P145" i="6"/>
  <c r="O145" i="6"/>
  <c r="L145" i="6"/>
  <c r="K145" i="6"/>
  <c r="J145" i="6"/>
  <c r="BT144" i="6"/>
  <c r="BS144" i="6"/>
  <c r="BP144" i="6"/>
  <c r="BO144" i="6"/>
  <c r="BL144" i="6"/>
  <c r="BK144" i="6"/>
  <c r="BH144" i="6"/>
  <c r="BG144" i="6"/>
  <c r="BD144" i="6"/>
  <c r="BC144" i="6"/>
  <c r="AZ144" i="6"/>
  <c r="AY144" i="6"/>
  <c r="AV144" i="6"/>
  <c r="AU144" i="6"/>
  <c r="AR144" i="6"/>
  <c r="AQ144" i="6"/>
  <c r="AN144" i="6"/>
  <c r="AM144" i="6"/>
  <c r="AJ144" i="6"/>
  <c r="AI144" i="6"/>
  <c r="AF144" i="6"/>
  <c r="AE144" i="6"/>
  <c r="AB144" i="6"/>
  <c r="AA144" i="6"/>
  <c r="X144" i="6"/>
  <c r="W144" i="6"/>
  <c r="T144" i="6"/>
  <c r="S144" i="6"/>
  <c r="P144" i="6"/>
  <c r="O144" i="6"/>
  <c r="L144" i="6"/>
  <c r="K144" i="6"/>
  <c r="J144" i="6"/>
  <c r="BT143" i="6"/>
  <c r="BS143" i="6"/>
  <c r="BP143" i="6"/>
  <c r="BO143" i="6"/>
  <c r="BL143" i="6"/>
  <c r="BK143" i="6"/>
  <c r="BH143" i="6"/>
  <c r="BG143" i="6"/>
  <c r="BD143" i="6"/>
  <c r="BC143" i="6"/>
  <c r="AZ143" i="6"/>
  <c r="AY143" i="6"/>
  <c r="AV143" i="6"/>
  <c r="AU143" i="6"/>
  <c r="AR143" i="6"/>
  <c r="AQ143" i="6"/>
  <c r="AN143" i="6"/>
  <c r="AM143" i="6"/>
  <c r="AJ143" i="6"/>
  <c r="AI143" i="6"/>
  <c r="AF143" i="6"/>
  <c r="AE143" i="6"/>
  <c r="AB143" i="6"/>
  <c r="AA143" i="6"/>
  <c r="X143" i="6"/>
  <c r="W143" i="6"/>
  <c r="T143" i="6"/>
  <c r="S143" i="6"/>
  <c r="P143" i="6"/>
  <c r="O143" i="6"/>
  <c r="L143" i="6"/>
  <c r="K143" i="6"/>
  <c r="J143" i="6"/>
  <c r="BT142" i="6"/>
  <c r="BS142" i="6"/>
  <c r="BP142" i="6"/>
  <c r="BO142" i="6"/>
  <c r="BL142" i="6"/>
  <c r="BK142" i="6"/>
  <c r="BH142" i="6"/>
  <c r="BG142" i="6"/>
  <c r="BD142" i="6"/>
  <c r="BC142" i="6"/>
  <c r="AZ142" i="6"/>
  <c r="AY142" i="6"/>
  <c r="AV142" i="6"/>
  <c r="AU142" i="6"/>
  <c r="AR142" i="6"/>
  <c r="AQ142" i="6"/>
  <c r="AN142" i="6"/>
  <c r="AM142" i="6"/>
  <c r="AJ142" i="6"/>
  <c r="AI142" i="6"/>
  <c r="AF142" i="6"/>
  <c r="AE142" i="6"/>
  <c r="AB142" i="6"/>
  <c r="AA142" i="6"/>
  <c r="X142" i="6"/>
  <c r="W142" i="6"/>
  <c r="T142" i="6"/>
  <c r="S142" i="6"/>
  <c r="P142" i="6"/>
  <c r="O142" i="6"/>
  <c r="L142" i="6"/>
  <c r="K142" i="6"/>
  <c r="J142" i="6"/>
  <c r="BT141" i="6"/>
  <c r="BS141" i="6"/>
  <c r="BP141" i="6"/>
  <c r="BO141" i="6"/>
  <c r="BL141" i="6"/>
  <c r="BK141" i="6"/>
  <c r="BH141" i="6"/>
  <c r="BG141" i="6"/>
  <c r="BD141" i="6"/>
  <c r="BC141" i="6"/>
  <c r="AZ141" i="6"/>
  <c r="AY141" i="6"/>
  <c r="AV141" i="6"/>
  <c r="AU141" i="6"/>
  <c r="AR141" i="6"/>
  <c r="AQ141" i="6"/>
  <c r="AN141" i="6"/>
  <c r="AM141" i="6"/>
  <c r="AJ141" i="6"/>
  <c r="AI141" i="6"/>
  <c r="AF141" i="6"/>
  <c r="AE141" i="6"/>
  <c r="AB141" i="6"/>
  <c r="AA141" i="6"/>
  <c r="X141" i="6"/>
  <c r="W141" i="6"/>
  <c r="T141" i="6"/>
  <c r="S141" i="6"/>
  <c r="P141" i="6"/>
  <c r="O141" i="6"/>
  <c r="L141" i="6"/>
  <c r="K141" i="6"/>
  <c r="J141" i="6"/>
  <c r="BT140" i="6"/>
  <c r="BS140" i="6"/>
  <c r="BP140" i="6"/>
  <c r="BO140" i="6"/>
  <c r="BL140" i="6"/>
  <c r="BK140" i="6"/>
  <c r="BH140" i="6"/>
  <c r="BG140" i="6"/>
  <c r="BD140" i="6"/>
  <c r="BC140" i="6"/>
  <c r="AZ140" i="6"/>
  <c r="AY140" i="6"/>
  <c r="AV140" i="6"/>
  <c r="AU140" i="6"/>
  <c r="AR140" i="6"/>
  <c r="AQ140" i="6"/>
  <c r="AN140" i="6"/>
  <c r="AM140" i="6"/>
  <c r="AJ140" i="6"/>
  <c r="AI140" i="6"/>
  <c r="AF140" i="6"/>
  <c r="AE140" i="6"/>
  <c r="AB140" i="6"/>
  <c r="AA140" i="6"/>
  <c r="X140" i="6"/>
  <c r="W140" i="6"/>
  <c r="T140" i="6"/>
  <c r="S140" i="6"/>
  <c r="P140" i="6"/>
  <c r="O140" i="6"/>
  <c r="L140" i="6"/>
  <c r="K140" i="6"/>
  <c r="J140" i="6"/>
  <c r="BT139" i="6"/>
  <c r="BS139" i="6"/>
  <c r="BP139" i="6"/>
  <c r="BO139" i="6"/>
  <c r="BL139" i="6"/>
  <c r="BK139" i="6"/>
  <c r="BH139" i="6"/>
  <c r="BG139" i="6"/>
  <c r="BD139" i="6"/>
  <c r="BC139" i="6"/>
  <c r="AZ139" i="6"/>
  <c r="AY139" i="6"/>
  <c r="AV139" i="6"/>
  <c r="AU139" i="6"/>
  <c r="AR139" i="6"/>
  <c r="AQ139" i="6"/>
  <c r="AN139" i="6"/>
  <c r="AM139" i="6"/>
  <c r="AJ139" i="6"/>
  <c r="AI139" i="6"/>
  <c r="AF139" i="6"/>
  <c r="AE139" i="6"/>
  <c r="AB139" i="6"/>
  <c r="AA139" i="6"/>
  <c r="X139" i="6"/>
  <c r="W139" i="6"/>
  <c r="T139" i="6"/>
  <c r="S139" i="6"/>
  <c r="P139" i="6"/>
  <c r="O139" i="6"/>
  <c r="L139" i="6"/>
  <c r="K139" i="6"/>
  <c r="J139" i="6"/>
  <c r="BT138" i="6"/>
  <c r="BS138" i="6"/>
  <c r="BP138" i="6"/>
  <c r="BO138" i="6"/>
  <c r="BL138" i="6"/>
  <c r="BK138" i="6"/>
  <c r="BH138" i="6"/>
  <c r="BG138" i="6"/>
  <c r="BD138" i="6"/>
  <c r="BC138" i="6"/>
  <c r="AZ138" i="6"/>
  <c r="AY138" i="6"/>
  <c r="AV138" i="6"/>
  <c r="AU138" i="6"/>
  <c r="AR138" i="6"/>
  <c r="AQ138" i="6"/>
  <c r="AN138" i="6"/>
  <c r="AM138" i="6"/>
  <c r="AJ138" i="6"/>
  <c r="AI138" i="6"/>
  <c r="AF138" i="6"/>
  <c r="AE138" i="6"/>
  <c r="AB138" i="6"/>
  <c r="AA138" i="6"/>
  <c r="X138" i="6"/>
  <c r="W138" i="6"/>
  <c r="T138" i="6"/>
  <c r="S138" i="6"/>
  <c r="P138" i="6"/>
  <c r="O138" i="6"/>
  <c r="L138" i="6"/>
  <c r="K138" i="6"/>
  <c r="J138" i="6"/>
  <c r="BT137" i="6"/>
  <c r="BS137" i="6"/>
  <c r="BP137" i="6"/>
  <c r="BO137" i="6"/>
  <c r="BL137" i="6"/>
  <c r="BK137" i="6"/>
  <c r="BH137" i="6"/>
  <c r="BG137" i="6"/>
  <c r="BD137" i="6"/>
  <c r="BC137" i="6"/>
  <c r="AZ137" i="6"/>
  <c r="AY137" i="6"/>
  <c r="AV137" i="6"/>
  <c r="AU137" i="6"/>
  <c r="AR137" i="6"/>
  <c r="AQ137" i="6"/>
  <c r="AN137" i="6"/>
  <c r="AM137" i="6"/>
  <c r="AJ137" i="6"/>
  <c r="AI137" i="6"/>
  <c r="AF137" i="6"/>
  <c r="AE137" i="6"/>
  <c r="AB137" i="6"/>
  <c r="AA137" i="6"/>
  <c r="X137" i="6"/>
  <c r="W137" i="6"/>
  <c r="T137" i="6"/>
  <c r="S137" i="6"/>
  <c r="P137" i="6"/>
  <c r="O137" i="6"/>
  <c r="L137" i="6"/>
  <c r="K137" i="6"/>
  <c r="J137" i="6"/>
  <c r="BT136" i="6"/>
  <c r="BS136" i="6"/>
  <c r="BP136" i="6"/>
  <c r="BO136" i="6"/>
  <c r="BL136" i="6"/>
  <c r="BK136" i="6"/>
  <c r="BH136" i="6"/>
  <c r="BG136" i="6"/>
  <c r="BD136" i="6"/>
  <c r="BC136" i="6"/>
  <c r="AZ136" i="6"/>
  <c r="AY136" i="6"/>
  <c r="AV136" i="6"/>
  <c r="AU136" i="6"/>
  <c r="AR136" i="6"/>
  <c r="AQ136" i="6"/>
  <c r="AN136" i="6"/>
  <c r="AM136" i="6"/>
  <c r="AJ136" i="6"/>
  <c r="AI136" i="6"/>
  <c r="AF136" i="6"/>
  <c r="AE136" i="6"/>
  <c r="AB136" i="6"/>
  <c r="AA136" i="6"/>
  <c r="X136" i="6"/>
  <c r="W136" i="6"/>
  <c r="T136" i="6"/>
  <c r="S136" i="6"/>
  <c r="P136" i="6"/>
  <c r="O136" i="6"/>
  <c r="L136" i="6"/>
  <c r="K136" i="6"/>
  <c r="J136" i="6"/>
  <c r="BT135" i="6"/>
  <c r="BS135" i="6"/>
  <c r="BP135" i="6"/>
  <c r="BO135" i="6"/>
  <c r="BL135" i="6"/>
  <c r="BK135" i="6"/>
  <c r="BH135" i="6"/>
  <c r="BG135" i="6"/>
  <c r="BD135" i="6"/>
  <c r="BC135" i="6"/>
  <c r="AZ135" i="6"/>
  <c r="AY135" i="6"/>
  <c r="AV135" i="6"/>
  <c r="AU135" i="6"/>
  <c r="AR135" i="6"/>
  <c r="AQ135" i="6"/>
  <c r="AN135" i="6"/>
  <c r="AM135" i="6"/>
  <c r="AJ135" i="6"/>
  <c r="AI135" i="6"/>
  <c r="AF135" i="6"/>
  <c r="AE135" i="6"/>
  <c r="AB135" i="6"/>
  <c r="AA135" i="6"/>
  <c r="X135" i="6"/>
  <c r="W135" i="6"/>
  <c r="T135" i="6"/>
  <c r="S135" i="6"/>
  <c r="P135" i="6"/>
  <c r="O135" i="6"/>
  <c r="L135" i="6"/>
  <c r="K135" i="6"/>
  <c r="J135" i="6"/>
  <c r="BT134" i="6"/>
  <c r="BS134" i="6"/>
  <c r="BP134" i="6"/>
  <c r="BO134" i="6"/>
  <c r="BL134" i="6"/>
  <c r="BK134" i="6"/>
  <c r="BH134" i="6"/>
  <c r="BG134" i="6"/>
  <c r="BD134" i="6"/>
  <c r="BC134" i="6"/>
  <c r="AZ134" i="6"/>
  <c r="AY134" i="6"/>
  <c r="AV134" i="6"/>
  <c r="AU134" i="6"/>
  <c r="AR134" i="6"/>
  <c r="AQ134" i="6"/>
  <c r="AN134" i="6"/>
  <c r="AM134" i="6"/>
  <c r="AJ134" i="6"/>
  <c r="AI134" i="6"/>
  <c r="AF134" i="6"/>
  <c r="AE134" i="6"/>
  <c r="AB134" i="6"/>
  <c r="AA134" i="6"/>
  <c r="X134" i="6"/>
  <c r="W134" i="6"/>
  <c r="T134" i="6"/>
  <c r="S134" i="6"/>
  <c r="P134" i="6"/>
  <c r="O134" i="6"/>
  <c r="L134" i="6"/>
  <c r="K134" i="6"/>
  <c r="J134" i="6"/>
  <c r="BT133" i="6"/>
  <c r="BS133" i="6"/>
  <c r="BP133" i="6"/>
  <c r="BO133" i="6"/>
  <c r="BL133" i="6"/>
  <c r="BK133" i="6"/>
  <c r="BH133" i="6"/>
  <c r="BG133" i="6"/>
  <c r="BD133" i="6"/>
  <c r="BC133" i="6"/>
  <c r="AZ133" i="6"/>
  <c r="AY133" i="6"/>
  <c r="AV133" i="6"/>
  <c r="AU133" i="6"/>
  <c r="AR133" i="6"/>
  <c r="AQ133" i="6"/>
  <c r="AN133" i="6"/>
  <c r="AM133" i="6"/>
  <c r="AJ133" i="6"/>
  <c r="AI133" i="6"/>
  <c r="AF133" i="6"/>
  <c r="AE133" i="6"/>
  <c r="AB133" i="6"/>
  <c r="AA133" i="6"/>
  <c r="X133" i="6"/>
  <c r="W133" i="6"/>
  <c r="T133" i="6"/>
  <c r="S133" i="6"/>
  <c r="P133" i="6"/>
  <c r="O133" i="6"/>
  <c r="L133" i="6"/>
  <c r="K133" i="6"/>
  <c r="J133" i="6"/>
  <c r="BT132" i="6"/>
  <c r="BS132" i="6"/>
  <c r="BP132" i="6"/>
  <c r="BO132" i="6"/>
  <c r="BL132" i="6"/>
  <c r="BK132" i="6"/>
  <c r="BH132" i="6"/>
  <c r="BG132" i="6"/>
  <c r="BD132" i="6"/>
  <c r="BC132" i="6"/>
  <c r="AZ132" i="6"/>
  <c r="AY132" i="6"/>
  <c r="AV132" i="6"/>
  <c r="AU132" i="6"/>
  <c r="AR132" i="6"/>
  <c r="AQ132" i="6"/>
  <c r="AN132" i="6"/>
  <c r="AM132" i="6"/>
  <c r="AJ132" i="6"/>
  <c r="AI132" i="6"/>
  <c r="AF132" i="6"/>
  <c r="AE132" i="6"/>
  <c r="AB132" i="6"/>
  <c r="AA132" i="6"/>
  <c r="X132" i="6"/>
  <c r="W132" i="6"/>
  <c r="T132" i="6"/>
  <c r="S132" i="6"/>
  <c r="P132" i="6"/>
  <c r="O132" i="6"/>
  <c r="L132" i="6"/>
  <c r="K132" i="6"/>
  <c r="J132" i="6"/>
  <c r="BT131" i="6"/>
  <c r="BS131" i="6"/>
  <c r="BP131" i="6"/>
  <c r="BO131" i="6"/>
  <c r="BL131" i="6"/>
  <c r="BK131" i="6"/>
  <c r="BH131" i="6"/>
  <c r="BG131" i="6"/>
  <c r="BD131" i="6"/>
  <c r="BC131" i="6"/>
  <c r="AZ131" i="6"/>
  <c r="AY131" i="6"/>
  <c r="AV131" i="6"/>
  <c r="AU131" i="6"/>
  <c r="AR131" i="6"/>
  <c r="AQ131" i="6"/>
  <c r="AN131" i="6"/>
  <c r="AM131" i="6"/>
  <c r="AJ131" i="6"/>
  <c r="AI131" i="6"/>
  <c r="AF131" i="6"/>
  <c r="AE131" i="6"/>
  <c r="AB131" i="6"/>
  <c r="AA131" i="6"/>
  <c r="X131" i="6"/>
  <c r="W131" i="6"/>
  <c r="T131" i="6"/>
  <c r="S131" i="6"/>
  <c r="P131" i="6"/>
  <c r="O131" i="6"/>
  <c r="L131" i="6"/>
  <c r="K131" i="6"/>
  <c r="J131" i="6"/>
  <c r="BT130" i="6"/>
  <c r="BS130" i="6"/>
  <c r="BP130" i="6"/>
  <c r="BO130" i="6"/>
  <c r="BL130" i="6"/>
  <c r="BK130" i="6"/>
  <c r="BH130" i="6"/>
  <c r="BG130" i="6"/>
  <c r="BD130" i="6"/>
  <c r="BC130" i="6"/>
  <c r="AZ130" i="6"/>
  <c r="AY130" i="6"/>
  <c r="AV130" i="6"/>
  <c r="AU130" i="6"/>
  <c r="AR130" i="6"/>
  <c r="AQ130" i="6"/>
  <c r="AN130" i="6"/>
  <c r="AM130" i="6"/>
  <c r="AJ130" i="6"/>
  <c r="AI130" i="6"/>
  <c r="AF130" i="6"/>
  <c r="AE130" i="6"/>
  <c r="AB130" i="6"/>
  <c r="AA130" i="6"/>
  <c r="X130" i="6"/>
  <c r="W130" i="6"/>
  <c r="T130" i="6"/>
  <c r="S130" i="6"/>
  <c r="P130" i="6"/>
  <c r="O130" i="6"/>
  <c r="L130" i="6"/>
  <c r="K130" i="6"/>
  <c r="J130" i="6"/>
  <c r="BT129" i="6"/>
  <c r="BS129" i="6"/>
  <c r="BP129" i="6"/>
  <c r="BO129" i="6"/>
  <c r="BL129" i="6"/>
  <c r="BK129" i="6"/>
  <c r="BH129" i="6"/>
  <c r="BG129" i="6"/>
  <c r="BD129" i="6"/>
  <c r="BC129" i="6"/>
  <c r="AZ129" i="6"/>
  <c r="AY129" i="6"/>
  <c r="AV129" i="6"/>
  <c r="AU129" i="6"/>
  <c r="AR129" i="6"/>
  <c r="AQ129" i="6"/>
  <c r="AN129" i="6"/>
  <c r="AM129" i="6"/>
  <c r="AJ129" i="6"/>
  <c r="AI129" i="6"/>
  <c r="AF129" i="6"/>
  <c r="AE129" i="6"/>
  <c r="AB129" i="6"/>
  <c r="AA129" i="6"/>
  <c r="X129" i="6"/>
  <c r="W129" i="6"/>
  <c r="T129" i="6"/>
  <c r="S129" i="6"/>
  <c r="P129" i="6"/>
  <c r="O129" i="6"/>
  <c r="L129" i="6"/>
  <c r="K129" i="6"/>
  <c r="J129" i="6"/>
  <c r="BT128" i="6"/>
  <c r="BS128" i="6"/>
  <c r="BP128" i="6"/>
  <c r="BO128" i="6"/>
  <c r="BL128" i="6"/>
  <c r="BK128" i="6"/>
  <c r="BH128" i="6"/>
  <c r="BG128" i="6"/>
  <c r="BD128" i="6"/>
  <c r="BC128" i="6"/>
  <c r="AZ128" i="6"/>
  <c r="AY128" i="6"/>
  <c r="AV128" i="6"/>
  <c r="AU128" i="6"/>
  <c r="AR128" i="6"/>
  <c r="AQ128" i="6"/>
  <c r="AN128" i="6"/>
  <c r="AM128" i="6"/>
  <c r="AJ128" i="6"/>
  <c r="AI128" i="6"/>
  <c r="AF128" i="6"/>
  <c r="AE128" i="6"/>
  <c r="AB128" i="6"/>
  <c r="AA128" i="6"/>
  <c r="X128" i="6"/>
  <c r="W128" i="6"/>
  <c r="T128" i="6"/>
  <c r="S128" i="6"/>
  <c r="P128" i="6"/>
  <c r="O128" i="6"/>
  <c r="L128" i="6"/>
  <c r="K128" i="6"/>
  <c r="J128" i="6"/>
  <c r="BT127" i="6"/>
  <c r="BS127" i="6"/>
  <c r="BP127" i="6"/>
  <c r="BO127" i="6"/>
  <c r="BL127" i="6"/>
  <c r="BK127" i="6"/>
  <c r="BH127" i="6"/>
  <c r="BG127" i="6"/>
  <c r="BD127" i="6"/>
  <c r="BC127" i="6"/>
  <c r="AZ127" i="6"/>
  <c r="AY127" i="6"/>
  <c r="AV127" i="6"/>
  <c r="AU127" i="6"/>
  <c r="AR127" i="6"/>
  <c r="AQ127" i="6"/>
  <c r="AN127" i="6"/>
  <c r="AM127" i="6"/>
  <c r="AJ127" i="6"/>
  <c r="AI127" i="6"/>
  <c r="AF127" i="6"/>
  <c r="AE127" i="6"/>
  <c r="AB127" i="6"/>
  <c r="AA127" i="6"/>
  <c r="X127" i="6"/>
  <c r="W127" i="6"/>
  <c r="T127" i="6"/>
  <c r="S127" i="6"/>
  <c r="P127" i="6"/>
  <c r="O127" i="6"/>
  <c r="L127" i="6"/>
  <c r="K127" i="6"/>
  <c r="J127" i="6"/>
  <c r="BT126" i="6"/>
  <c r="BS126" i="6"/>
  <c r="BP126" i="6"/>
  <c r="BO126" i="6"/>
  <c r="BL126" i="6"/>
  <c r="BK126" i="6"/>
  <c r="BH126" i="6"/>
  <c r="BG126" i="6"/>
  <c r="BD126" i="6"/>
  <c r="BC126" i="6"/>
  <c r="AZ126" i="6"/>
  <c r="AY126" i="6"/>
  <c r="AV126" i="6"/>
  <c r="AU126" i="6"/>
  <c r="AR126" i="6"/>
  <c r="AQ126" i="6"/>
  <c r="AN126" i="6"/>
  <c r="AM126" i="6"/>
  <c r="AJ126" i="6"/>
  <c r="AI126" i="6"/>
  <c r="AF126" i="6"/>
  <c r="AE126" i="6"/>
  <c r="AB126" i="6"/>
  <c r="AA126" i="6"/>
  <c r="X126" i="6"/>
  <c r="W126" i="6"/>
  <c r="T126" i="6"/>
  <c r="S126" i="6"/>
  <c r="P126" i="6"/>
  <c r="O126" i="6"/>
  <c r="L126" i="6"/>
  <c r="K126" i="6"/>
  <c r="J126" i="6"/>
  <c r="BT125" i="6"/>
  <c r="BS125" i="6"/>
  <c r="BP125" i="6"/>
  <c r="BO125" i="6"/>
  <c r="BL125" i="6"/>
  <c r="BK125" i="6"/>
  <c r="BH125" i="6"/>
  <c r="BG125" i="6"/>
  <c r="BD125" i="6"/>
  <c r="BC125" i="6"/>
  <c r="AZ125" i="6"/>
  <c r="AY125" i="6"/>
  <c r="AV125" i="6"/>
  <c r="AU125" i="6"/>
  <c r="AR125" i="6"/>
  <c r="AQ125" i="6"/>
  <c r="AN125" i="6"/>
  <c r="AM125" i="6"/>
  <c r="AJ125" i="6"/>
  <c r="AI125" i="6"/>
  <c r="AF125" i="6"/>
  <c r="AE125" i="6"/>
  <c r="AB125" i="6"/>
  <c r="AA125" i="6"/>
  <c r="X125" i="6"/>
  <c r="W125" i="6"/>
  <c r="T125" i="6"/>
  <c r="S125" i="6"/>
  <c r="P125" i="6"/>
  <c r="O125" i="6"/>
  <c r="L125" i="6"/>
  <c r="K125" i="6"/>
  <c r="J125" i="6"/>
  <c r="BT124" i="6"/>
  <c r="BS124" i="6"/>
  <c r="BP124" i="6"/>
  <c r="BO124" i="6"/>
  <c r="BL124" i="6"/>
  <c r="BK124" i="6"/>
  <c r="BH124" i="6"/>
  <c r="BG124" i="6"/>
  <c r="BD124" i="6"/>
  <c r="BC124" i="6"/>
  <c r="AZ124" i="6"/>
  <c r="AY124" i="6"/>
  <c r="AV124" i="6"/>
  <c r="AU124" i="6"/>
  <c r="AR124" i="6"/>
  <c r="AQ124" i="6"/>
  <c r="AN124" i="6"/>
  <c r="AM124" i="6"/>
  <c r="AJ124" i="6"/>
  <c r="AI124" i="6"/>
  <c r="AF124" i="6"/>
  <c r="AE124" i="6"/>
  <c r="AB124" i="6"/>
  <c r="AA124" i="6"/>
  <c r="X124" i="6"/>
  <c r="W124" i="6"/>
  <c r="T124" i="6"/>
  <c r="S124" i="6"/>
  <c r="P124" i="6"/>
  <c r="O124" i="6"/>
  <c r="L124" i="6"/>
  <c r="K124" i="6"/>
  <c r="J124" i="6"/>
  <c r="BT123" i="6"/>
  <c r="BS123" i="6"/>
  <c r="BP123" i="6"/>
  <c r="BO123" i="6"/>
  <c r="BL123" i="6"/>
  <c r="BK123" i="6"/>
  <c r="BH123" i="6"/>
  <c r="BG123" i="6"/>
  <c r="BD123" i="6"/>
  <c r="BC123" i="6"/>
  <c r="AZ123" i="6"/>
  <c r="AY123" i="6"/>
  <c r="AV123" i="6"/>
  <c r="AU123" i="6"/>
  <c r="AR123" i="6"/>
  <c r="AQ123" i="6"/>
  <c r="AN123" i="6"/>
  <c r="AM123" i="6"/>
  <c r="AJ123" i="6"/>
  <c r="AI123" i="6"/>
  <c r="AF123" i="6"/>
  <c r="AE123" i="6"/>
  <c r="AB123" i="6"/>
  <c r="AA123" i="6"/>
  <c r="X123" i="6"/>
  <c r="W123" i="6"/>
  <c r="T123" i="6"/>
  <c r="S123" i="6"/>
  <c r="P123" i="6"/>
  <c r="O123" i="6"/>
  <c r="L123" i="6"/>
  <c r="K123" i="6"/>
  <c r="J123" i="6"/>
  <c r="BT122" i="6"/>
  <c r="BS122" i="6"/>
  <c r="BP122" i="6"/>
  <c r="BO122" i="6"/>
  <c r="BL122" i="6"/>
  <c r="BK122" i="6"/>
  <c r="BH122" i="6"/>
  <c r="BG122" i="6"/>
  <c r="BD122" i="6"/>
  <c r="BC122" i="6"/>
  <c r="AZ122" i="6"/>
  <c r="AY122" i="6"/>
  <c r="AV122" i="6"/>
  <c r="AU122" i="6"/>
  <c r="AR122" i="6"/>
  <c r="AQ122" i="6"/>
  <c r="AN122" i="6"/>
  <c r="AM122" i="6"/>
  <c r="AJ122" i="6"/>
  <c r="AI122" i="6"/>
  <c r="AF122" i="6"/>
  <c r="AE122" i="6"/>
  <c r="AB122" i="6"/>
  <c r="AA122" i="6"/>
  <c r="X122" i="6"/>
  <c r="W122" i="6"/>
  <c r="T122" i="6"/>
  <c r="S122" i="6"/>
  <c r="P122" i="6"/>
  <c r="O122" i="6"/>
  <c r="L122" i="6"/>
  <c r="K122" i="6"/>
  <c r="J122" i="6"/>
  <c r="BT121" i="6"/>
  <c r="BS121" i="6"/>
  <c r="BP121" i="6"/>
  <c r="BO121" i="6"/>
  <c r="BL121" i="6"/>
  <c r="BK121" i="6"/>
  <c r="BH121" i="6"/>
  <c r="BG121" i="6"/>
  <c r="BD121" i="6"/>
  <c r="BC121" i="6"/>
  <c r="AZ121" i="6"/>
  <c r="AY121" i="6"/>
  <c r="AV121" i="6"/>
  <c r="AU121" i="6"/>
  <c r="AR121" i="6"/>
  <c r="AQ121" i="6"/>
  <c r="AN121" i="6"/>
  <c r="AM121" i="6"/>
  <c r="AJ121" i="6"/>
  <c r="AI121" i="6"/>
  <c r="AF121" i="6"/>
  <c r="AE121" i="6"/>
  <c r="AB121" i="6"/>
  <c r="AA121" i="6"/>
  <c r="X121" i="6"/>
  <c r="W121" i="6"/>
  <c r="T121" i="6"/>
  <c r="S121" i="6"/>
  <c r="P121" i="6"/>
  <c r="O121" i="6"/>
  <c r="L121" i="6"/>
  <c r="K121" i="6"/>
  <c r="J121" i="6"/>
  <c r="BT120" i="6"/>
  <c r="BS120" i="6"/>
  <c r="BP120" i="6"/>
  <c r="BO120" i="6"/>
  <c r="BL120" i="6"/>
  <c r="BK120" i="6"/>
  <c r="BH120" i="6"/>
  <c r="BG120" i="6"/>
  <c r="BD120" i="6"/>
  <c r="BC120" i="6"/>
  <c r="AZ120" i="6"/>
  <c r="AY120" i="6"/>
  <c r="AV120" i="6"/>
  <c r="AU120" i="6"/>
  <c r="AR120" i="6"/>
  <c r="AQ120" i="6"/>
  <c r="AN120" i="6"/>
  <c r="AM120" i="6"/>
  <c r="AJ120" i="6"/>
  <c r="AI120" i="6"/>
  <c r="AF120" i="6"/>
  <c r="AE120" i="6"/>
  <c r="AB120" i="6"/>
  <c r="AA120" i="6"/>
  <c r="X120" i="6"/>
  <c r="W120" i="6"/>
  <c r="T120" i="6"/>
  <c r="S120" i="6"/>
  <c r="P120" i="6"/>
  <c r="O120" i="6"/>
  <c r="L120" i="6"/>
  <c r="K120" i="6"/>
  <c r="J120" i="6"/>
  <c r="BT119" i="6"/>
  <c r="BS119" i="6"/>
  <c r="BP119" i="6"/>
  <c r="BO119" i="6"/>
  <c r="BL119" i="6"/>
  <c r="BK119" i="6"/>
  <c r="BH119" i="6"/>
  <c r="BG119" i="6"/>
  <c r="BD119" i="6"/>
  <c r="BC119" i="6"/>
  <c r="AZ119" i="6"/>
  <c r="AY119" i="6"/>
  <c r="AV119" i="6"/>
  <c r="AU119" i="6"/>
  <c r="AR119" i="6"/>
  <c r="AQ119" i="6"/>
  <c r="AN119" i="6"/>
  <c r="AM119" i="6"/>
  <c r="AJ119" i="6"/>
  <c r="AI119" i="6"/>
  <c r="AF119" i="6"/>
  <c r="AE119" i="6"/>
  <c r="AB119" i="6"/>
  <c r="AA119" i="6"/>
  <c r="X119" i="6"/>
  <c r="W119" i="6"/>
  <c r="T119" i="6"/>
  <c r="S119" i="6"/>
  <c r="P119" i="6"/>
  <c r="O119" i="6"/>
  <c r="L119" i="6"/>
  <c r="K119" i="6"/>
  <c r="J119" i="6"/>
  <c r="BT118" i="6"/>
  <c r="BS118" i="6"/>
  <c r="BP118" i="6"/>
  <c r="BO118" i="6"/>
  <c r="BL118" i="6"/>
  <c r="BK118" i="6"/>
  <c r="BH118" i="6"/>
  <c r="BG118" i="6"/>
  <c r="BD118" i="6"/>
  <c r="BC118" i="6"/>
  <c r="AZ118" i="6"/>
  <c r="AY118" i="6"/>
  <c r="AV118" i="6"/>
  <c r="AU118" i="6"/>
  <c r="AR118" i="6"/>
  <c r="AQ118" i="6"/>
  <c r="AN118" i="6"/>
  <c r="AM118" i="6"/>
  <c r="AJ118" i="6"/>
  <c r="AI118" i="6"/>
  <c r="AF118" i="6"/>
  <c r="AE118" i="6"/>
  <c r="AB118" i="6"/>
  <c r="AA118" i="6"/>
  <c r="X118" i="6"/>
  <c r="W118" i="6"/>
  <c r="T118" i="6"/>
  <c r="S118" i="6"/>
  <c r="P118" i="6"/>
  <c r="O118" i="6"/>
  <c r="L118" i="6"/>
  <c r="K118" i="6"/>
  <c r="J118" i="6"/>
  <c r="BT117" i="6"/>
  <c r="BS117" i="6"/>
  <c r="BP117" i="6"/>
  <c r="BO117" i="6"/>
  <c r="BL117" i="6"/>
  <c r="BK117" i="6"/>
  <c r="BH117" i="6"/>
  <c r="BG117" i="6"/>
  <c r="BD117" i="6"/>
  <c r="BC117" i="6"/>
  <c r="AZ117" i="6"/>
  <c r="AY117" i="6"/>
  <c r="AV117" i="6"/>
  <c r="AU117" i="6"/>
  <c r="AR117" i="6"/>
  <c r="AQ117" i="6"/>
  <c r="AN117" i="6"/>
  <c r="AM117" i="6"/>
  <c r="AJ117" i="6"/>
  <c r="AI117" i="6"/>
  <c r="AF117" i="6"/>
  <c r="AE117" i="6"/>
  <c r="AB117" i="6"/>
  <c r="AA117" i="6"/>
  <c r="X117" i="6"/>
  <c r="W117" i="6"/>
  <c r="T117" i="6"/>
  <c r="S117" i="6"/>
  <c r="P117" i="6"/>
  <c r="O117" i="6"/>
  <c r="L117" i="6"/>
  <c r="K117" i="6"/>
  <c r="J117" i="6"/>
  <c r="BT116" i="6"/>
  <c r="BS116" i="6"/>
  <c r="BP116" i="6"/>
  <c r="BO116" i="6"/>
  <c r="BL116" i="6"/>
  <c r="BK116" i="6"/>
  <c r="BH116" i="6"/>
  <c r="BG116" i="6"/>
  <c r="BD116" i="6"/>
  <c r="BC116" i="6"/>
  <c r="AZ116" i="6"/>
  <c r="AY116" i="6"/>
  <c r="AV116" i="6"/>
  <c r="AU116" i="6"/>
  <c r="AR116" i="6"/>
  <c r="AQ116" i="6"/>
  <c r="AN116" i="6"/>
  <c r="AM116" i="6"/>
  <c r="AJ116" i="6"/>
  <c r="AI116" i="6"/>
  <c r="AF116" i="6"/>
  <c r="AE116" i="6"/>
  <c r="AB116" i="6"/>
  <c r="AA116" i="6"/>
  <c r="X116" i="6"/>
  <c r="W116" i="6"/>
  <c r="T116" i="6"/>
  <c r="S116" i="6"/>
  <c r="P116" i="6"/>
  <c r="O116" i="6"/>
  <c r="L116" i="6"/>
  <c r="K116" i="6"/>
  <c r="J116" i="6"/>
  <c r="BT115" i="6"/>
  <c r="BS115" i="6"/>
  <c r="BP115" i="6"/>
  <c r="BO115" i="6"/>
  <c r="BL115" i="6"/>
  <c r="BK115" i="6"/>
  <c r="BH115" i="6"/>
  <c r="BG115" i="6"/>
  <c r="BD115" i="6"/>
  <c r="BC115" i="6"/>
  <c r="AZ115" i="6"/>
  <c r="AY115" i="6"/>
  <c r="AV115" i="6"/>
  <c r="AU115" i="6"/>
  <c r="AR115" i="6"/>
  <c r="AQ115" i="6"/>
  <c r="AN115" i="6"/>
  <c r="AM115" i="6"/>
  <c r="AJ115" i="6"/>
  <c r="AI115" i="6"/>
  <c r="AF115" i="6"/>
  <c r="AE115" i="6"/>
  <c r="AB115" i="6"/>
  <c r="AA115" i="6"/>
  <c r="X115" i="6"/>
  <c r="W115" i="6"/>
  <c r="T115" i="6"/>
  <c r="S115" i="6"/>
  <c r="P115" i="6"/>
  <c r="O115" i="6"/>
  <c r="L115" i="6"/>
  <c r="K115" i="6"/>
  <c r="J115" i="6"/>
  <c r="BT114" i="6"/>
  <c r="BS114" i="6"/>
  <c r="BP114" i="6"/>
  <c r="BO114" i="6"/>
  <c r="BL114" i="6"/>
  <c r="BK114" i="6"/>
  <c r="BH114" i="6"/>
  <c r="BG114" i="6"/>
  <c r="BD114" i="6"/>
  <c r="BC114" i="6"/>
  <c r="AZ114" i="6"/>
  <c r="AY114" i="6"/>
  <c r="AV114" i="6"/>
  <c r="AU114" i="6"/>
  <c r="AR114" i="6"/>
  <c r="AQ114" i="6"/>
  <c r="AN114" i="6"/>
  <c r="AM114" i="6"/>
  <c r="AJ114" i="6"/>
  <c r="AI114" i="6"/>
  <c r="AF114" i="6"/>
  <c r="AE114" i="6"/>
  <c r="AB114" i="6"/>
  <c r="AA114" i="6"/>
  <c r="X114" i="6"/>
  <c r="W114" i="6"/>
  <c r="T114" i="6"/>
  <c r="S114" i="6"/>
  <c r="P114" i="6"/>
  <c r="O114" i="6"/>
  <c r="L114" i="6"/>
  <c r="K114" i="6"/>
  <c r="J114" i="6"/>
  <c r="BT113" i="6"/>
  <c r="BS113" i="6"/>
  <c r="BP113" i="6"/>
  <c r="BO113" i="6"/>
  <c r="BL113" i="6"/>
  <c r="BK113" i="6"/>
  <c r="BH113" i="6"/>
  <c r="BG113" i="6"/>
  <c r="BD113" i="6"/>
  <c r="BC113" i="6"/>
  <c r="AZ113" i="6"/>
  <c r="AY113" i="6"/>
  <c r="AV113" i="6"/>
  <c r="AU113" i="6"/>
  <c r="AR113" i="6"/>
  <c r="AQ113" i="6"/>
  <c r="AN113" i="6"/>
  <c r="AM113" i="6"/>
  <c r="AJ113" i="6"/>
  <c r="AI113" i="6"/>
  <c r="AF113" i="6"/>
  <c r="AE113" i="6"/>
  <c r="AB113" i="6"/>
  <c r="AA113" i="6"/>
  <c r="X113" i="6"/>
  <c r="W113" i="6"/>
  <c r="T113" i="6"/>
  <c r="S113" i="6"/>
  <c r="P113" i="6"/>
  <c r="O113" i="6"/>
  <c r="L113" i="6"/>
  <c r="K113" i="6"/>
  <c r="J113" i="6"/>
  <c r="BT112" i="6"/>
  <c r="BS112" i="6"/>
  <c r="BP112" i="6"/>
  <c r="BO112" i="6"/>
  <c r="BL112" i="6"/>
  <c r="BK112" i="6"/>
  <c r="BH112" i="6"/>
  <c r="BG112" i="6"/>
  <c r="BD112" i="6"/>
  <c r="BC112" i="6"/>
  <c r="AZ112" i="6"/>
  <c r="AY112" i="6"/>
  <c r="AV112" i="6"/>
  <c r="AU112" i="6"/>
  <c r="AR112" i="6"/>
  <c r="AQ112" i="6"/>
  <c r="AN112" i="6"/>
  <c r="AM112" i="6"/>
  <c r="AJ112" i="6"/>
  <c r="AI112" i="6"/>
  <c r="AF112" i="6"/>
  <c r="AE112" i="6"/>
  <c r="AB112" i="6"/>
  <c r="AA112" i="6"/>
  <c r="X112" i="6"/>
  <c r="W112" i="6"/>
  <c r="T112" i="6"/>
  <c r="S112" i="6"/>
  <c r="P112" i="6"/>
  <c r="O112" i="6"/>
  <c r="L112" i="6"/>
  <c r="K112" i="6"/>
  <c r="J112" i="6"/>
  <c r="BT111" i="6"/>
  <c r="BS111" i="6"/>
  <c r="BP111" i="6"/>
  <c r="BO111" i="6"/>
  <c r="BL111" i="6"/>
  <c r="BK111" i="6"/>
  <c r="BH111" i="6"/>
  <c r="BG111" i="6"/>
  <c r="BD111" i="6"/>
  <c r="BC111" i="6"/>
  <c r="AZ111" i="6"/>
  <c r="AY111" i="6"/>
  <c r="AV111" i="6"/>
  <c r="AU111" i="6"/>
  <c r="AR111" i="6"/>
  <c r="AQ111" i="6"/>
  <c r="AN111" i="6"/>
  <c r="AM111" i="6"/>
  <c r="AJ111" i="6"/>
  <c r="AI111" i="6"/>
  <c r="AF111" i="6"/>
  <c r="AE111" i="6"/>
  <c r="AB111" i="6"/>
  <c r="AA111" i="6"/>
  <c r="X111" i="6"/>
  <c r="W111" i="6"/>
  <c r="T111" i="6"/>
  <c r="S111" i="6"/>
  <c r="P111" i="6"/>
  <c r="O111" i="6"/>
  <c r="L111" i="6"/>
  <c r="K111" i="6"/>
  <c r="J111" i="6"/>
  <c r="B111" i="6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T110" i="6"/>
  <c r="BS110" i="6"/>
  <c r="BP110" i="6"/>
  <c r="BO110" i="6"/>
  <c r="BL110" i="6"/>
  <c r="BK110" i="6"/>
  <c r="BH110" i="6"/>
  <c r="BG110" i="6"/>
  <c r="BD110" i="6"/>
  <c r="BC110" i="6"/>
  <c r="AZ110" i="6"/>
  <c r="AY110" i="6"/>
  <c r="AV110" i="6"/>
  <c r="AU110" i="6"/>
  <c r="AR110" i="6"/>
  <c r="AQ110" i="6"/>
  <c r="AN110" i="6"/>
  <c r="AM110" i="6"/>
  <c r="AJ110" i="6"/>
  <c r="AI110" i="6"/>
  <c r="AF110" i="6"/>
  <c r="AE110" i="6"/>
  <c r="AB110" i="6"/>
  <c r="AA110" i="6"/>
  <c r="X110" i="6"/>
  <c r="W110" i="6"/>
  <c r="T110" i="6"/>
  <c r="S110" i="6"/>
  <c r="P110" i="6"/>
  <c r="O110" i="6"/>
  <c r="L110" i="6"/>
  <c r="K110" i="6"/>
  <c r="J110" i="6"/>
  <c r="BT109" i="6"/>
  <c r="BS109" i="6"/>
  <c r="BP109" i="6"/>
  <c r="BO109" i="6"/>
  <c r="BL109" i="6"/>
  <c r="BK109" i="6"/>
  <c r="BH109" i="6"/>
  <c r="BG109" i="6"/>
  <c r="BD109" i="6"/>
  <c r="BC109" i="6"/>
  <c r="AZ109" i="6"/>
  <c r="AY109" i="6"/>
  <c r="AV109" i="6"/>
  <c r="AU109" i="6"/>
  <c r="AR109" i="6"/>
  <c r="AQ109" i="6"/>
  <c r="AN109" i="6"/>
  <c r="AM109" i="6"/>
  <c r="AJ109" i="6"/>
  <c r="AI109" i="6"/>
  <c r="AF109" i="6"/>
  <c r="AE109" i="6"/>
  <c r="AB109" i="6"/>
  <c r="AA109" i="6"/>
  <c r="X109" i="6"/>
  <c r="W109" i="6"/>
  <c r="T109" i="6"/>
  <c r="S109" i="6"/>
  <c r="P109" i="6"/>
  <c r="O109" i="6"/>
  <c r="L109" i="6"/>
  <c r="K109" i="6"/>
  <c r="J109" i="6"/>
  <c r="BT108" i="6"/>
  <c r="BS108" i="6"/>
  <c r="BP108" i="6"/>
  <c r="BO108" i="6"/>
  <c r="BL108" i="6"/>
  <c r="BK108" i="6"/>
  <c r="BH108" i="6"/>
  <c r="BG108" i="6"/>
  <c r="BD108" i="6"/>
  <c r="BC108" i="6"/>
  <c r="AZ108" i="6"/>
  <c r="AY108" i="6"/>
  <c r="AV108" i="6"/>
  <c r="AU108" i="6"/>
  <c r="AR108" i="6"/>
  <c r="AQ108" i="6"/>
  <c r="AN108" i="6"/>
  <c r="AM108" i="6"/>
  <c r="AJ108" i="6"/>
  <c r="AI108" i="6"/>
  <c r="AF108" i="6"/>
  <c r="AE108" i="6"/>
  <c r="AB108" i="6"/>
  <c r="AA108" i="6"/>
  <c r="X108" i="6"/>
  <c r="W108" i="6"/>
  <c r="T108" i="6"/>
  <c r="S108" i="6"/>
  <c r="P108" i="6"/>
  <c r="O108" i="6"/>
  <c r="L108" i="6"/>
  <c r="K108" i="6"/>
  <c r="J108" i="6"/>
  <c r="BT107" i="6"/>
  <c r="BS107" i="6"/>
  <c r="BP107" i="6"/>
  <c r="BO107" i="6"/>
  <c r="BL107" i="6"/>
  <c r="BK107" i="6"/>
  <c r="BH107" i="6"/>
  <c r="BG107" i="6"/>
  <c r="BD107" i="6"/>
  <c r="BC107" i="6"/>
  <c r="AZ107" i="6"/>
  <c r="AY107" i="6"/>
  <c r="AV107" i="6"/>
  <c r="AU107" i="6"/>
  <c r="AR107" i="6"/>
  <c r="AQ107" i="6"/>
  <c r="AN107" i="6"/>
  <c r="AM107" i="6"/>
  <c r="AJ107" i="6"/>
  <c r="AI107" i="6"/>
  <c r="AF107" i="6"/>
  <c r="AE107" i="6"/>
  <c r="AB107" i="6"/>
  <c r="AA107" i="6"/>
  <c r="X107" i="6"/>
  <c r="W107" i="6"/>
  <c r="T107" i="6"/>
  <c r="S107" i="6"/>
  <c r="P107" i="6"/>
  <c r="O107" i="6"/>
  <c r="L107" i="6"/>
  <c r="K107" i="6"/>
  <c r="J107" i="6"/>
  <c r="BT106" i="6"/>
  <c r="BS106" i="6"/>
  <c r="BP106" i="6"/>
  <c r="BO106" i="6"/>
  <c r="BL106" i="6"/>
  <c r="BK106" i="6"/>
  <c r="BH106" i="6"/>
  <c r="BG106" i="6"/>
  <c r="BD106" i="6"/>
  <c r="BC106" i="6"/>
  <c r="AZ106" i="6"/>
  <c r="AY106" i="6"/>
  <c r="AV106" i="6"/>
  <c r="AU106" i="6"/>
  <c r="AR106" i="6"/>
  <c r="AQ106" i="6"/>
  <c r="AN106" i="6"/>
  <c r="AM106" i="6"/>
  <c r="AJ106" i="6"/>
  <c r="AI106" i="6"/>
  <c r="AF106" i="6"/>
  <c r="AE106" i="6"/>
  <c r="AB106" i="6"/>
  <c r="AA106" i="6"/>
  <c r="X106" i="6"/>
  <c r="W106" i="6"/>
  <c r="T106" i="6"/>
  <c r="S106" i="6"/>
  <c r="P106" i="6"/>
  <c r="O106" i="6"/>
  <c r="L106" i="6"/>
  <c r="K106" i="6"/>
  <c r="J106" i="6"/>
  <c r="BT105" i="6"/>
  <c r="BS105" i="6"/>
  <c r="BP105" i="6"/>
  <c r="BO105" i="6"/>
  <c r="BL105" i="6"/>
  <c r="BK105" i="6"/>
  <c r="BH105" i="6"/>
  <c r="BG105" i="6"/>
  <c r="BD105" i="6"/>
  <c r="BC105" i="6"/>
  <c r="AZ105" i="6"/>
  <c r="AY105" i="6"/>
  <c r="AV105" i="6"/>
  <c r="AU105" i="6"/>
  <c r="AR105" i="6"/>
  <c r="AQ105" i="6"/>
  <c r="AN105" i="6"/>
  <c r="AM105" i="6"/>
  <c r="AJ105" i="6"/>
  <c r="AI105" i="6"/>
  <c r="AF105" i="6"/>
  <c r="AE105" i="6"/>
  <c r="AB105" i="6"/>
  <c r="AA105" i="6"/>
  <c r="X105" i="6"/>
  <c r="W105" i="6"/>
  <c r="T105" i="6"/>
  <c r="S105" i="6"/>
  <c r="P105" i="6"/>
  <c r="O105" i="6"/>
  <c r="L105" i="6"/>
  <c r="K105" i="6"/>
  <c r="J105" i="6"/>
  <c r="BT104" i="6"/>
  <c r="BS104" i="6"/>
  <c r="BP104" i="6"/>
  <c r="BO104" i="6"/>
  <c r="BL104" i="6"/>
  <c r="BK104" i="6"/>
  <c r="BH104" i="6"/>
  <c r="BG104" i="6"/>
  <c r="BD104" i="6"/>
  <c r="BC104" i="6"/>
  <c r="AZ104" i="6"/>
  <c r="AY104" i="6"/>
  <c r="AV104" i="6"/>
  <c r="AU104" i="6"/>
  <c r="AR104" i="6"/>
  <c r="AQ104" i="6"/>
  <c r="AN104" i="6"/>
  <c r="AM104" i="6"/>
  <c r="AJ104" i="6"/>
  <c r="AI104" i="6"/>
  <c r="AF104" i="6"/>
  <c r="AE104" i="6"/>
  <c r="AB104" i="6"/>
  <c r="AA104" i="6"/>
  <c r="X104" i="6"/>
  <c r="W104" i="6"/>
  <c r="T104" i="6"/>
  <c r="S104" i="6"/>
  <c r="P104" i="6"/>
  <c r="O104" i="6"/>
  <c r="L104" i="6"/>
  <c r="K104" i="6"/>
  <c r="J104" i="6"/>
  <c r="BT103" i="6"/>
  <c r="BS103" i="6"/>
  <c r="BP103" i="6"/>
  <c r="BO103" i="6"/>
  <c r="BL103" i="6"/>
  <c r="BK103" i="6"/>
  <c r="BH103" i="6"/>
  <c r="BG103" i="6"/>
  <c r="BD103" i="6"/>
  <c r="BC103" i="6"/>
  <c r="AZ103" i="6"/>
  <c r="AY103" i="6"/>
  <c r="AV103" i="6"/>
  <c r="AU103" i="6"/>
  <c r="AR103" i="6"/>
  <c r="AQ103" i="6"/>
  <c r="AN103" i="6"/>
  <c r="AM103" i="6"/>
  <c r="AJ103" i="6"/>
  <c r="AI103" i="6"/>
  <c r="AF103" i="6"/>
  <c r="AE103" i="6"/>
  <c r="AB103" i="6"/>
  <c r="AA103" i="6"/>
  <c r="X103" i="6"/>
  <c r="W103" i="6"/>
  <c r="T103" i="6"/>
  <c r="S103" i="6"/>
  <c r="P103" i="6"/>
  <c r="O103" i="6"/>
  <c r="L103" i="6"/>
  <c r="K103" i="6"/>
  <c r="J103" i="6"/>
  <c r="BT102" i="6"/>
  <c r="BS102" i="6"/>
  <c r="BP102" i="6"/>
  <c r="BO102" i="6"/>
  <c r="BL102" i="6"/>
  <c r="BK102" i="6"/>
  <c r="BH102" i="6"/>
  <c r="BG102" i="6"/>
  <c r="BD102" i="6"/>
  <c r="BC102" i="6"/>
  <c r="AZ102" i="6"/>
  <c r="AY102" i="6"/>
  <c r="AV102" i="6"/>
  <c r="AU102" i="6"/>
  <c r="AR102" i="6"/>
  <c r="AQ102" i="6"/>
  <c r="AN102" i="6"/>
  <c r="AM102" i="6"/>
  <c r="AJ102" i="6"/>
  <c r="AI102" i="6"/>
  <c r="AF102" i="6"/>
  <c r="AE102" i="6"/>
  <c r="AB102" i="6"/>
  <c r="AA102" i="6"/>
  <c r="X102" i="6"/>
  <c r="W102" i="6"/>
  <c r="T102" i="6"/>
  <c r="S102" i="6"/>
  <c r="P102" i="6"/>
  <c r="O102" i="6"/>
  <c r="L102" i="6"/>
  <c r="K102" i="6"/>
  <c r="J102" i="6"/>
  <c r="BT101" i="6"/>
  <c r="BS101" i="6"/>
  <c r="BP101" i="6"/>
  <c r="BO101" i="6"/>
  <c r="BL101" i="6"/>
  <c r="BK101" i="6"/>
  <c r="BH101" i="6"/>
  <c r="BG101" i="6"/>
  <c r="BD101" i="6"/>
  <c r="BC101" i="6"/>
  <c r="AZ101" i="6"/>
  <c r="AY101" i="6"/>
  <c r="AV101" i="6"/>
  <c r="AU101" i="6"/>
  <c r="AR101" i="6"/>
  <c r="AQ101" i="6"/>
  <c r="AN101" i="6"/>
  <c r="AM101" i="6"/>
  <c r="AJ101" i="6"/>
  <c r="AI101" i="6"/>
  <c r="AF101" i="6"/>
  <c r="AE101" i="6"/>
  <c r="AB101" i="6"/>
  <c r="AA101" i="6"/>
  <c r="X101" i="6"/>
  <c r="W101" i="6"/>
  <c r="T101" i="6"/>
  <c r="S101" i="6"/>
  <c r="P101" i="6"/>
  <c r="O101" i="6"/>
  <c r="L101" i="6"/>
  <c r="K101" i="6"/>
  <c r="J101" i="6"/>
  <c r="BT100" i="6"/>
  <c r="BS100" i="6"/>
  <c r="BP100" i="6"/>
  <c r="BO100" i="6"/>
  <c r="BL100" i="6"/>
  <c r="BK100" i="6"/>
  <c r="BH100" i="6"/>
  <c r="BG100" i="6"/>
  <c r="BD100" i="6"/>
  <c r="BC100" i="6"/>
  <c r="AZ100" i="6"/>
  <c r="AY100" i="6"/>
  <c r="AV100" i="6"/>
  <c r="AU100" i="6"/>
  <c r="AR100" i="6"/>
  <c r="AQ100" i="6"/>
  <c r="AN100" i="6"/>
  <c r="AM100" i="6"/>
  <c r="AJ100" i="6"/>
  <c r="AI100" i="6"/>
  <c r="AF100" i="6"/>
  <c r="AE100" i="6"/>
  <c r="AB100" i="6"/>
  <c r="AA100" i="6"/>
  <c r="X100" i="6"/>
  <c r="W100" i="6"/>
  <c r="T100" i="6"/>
  <c r="S100" i="6"/>
  <c r="P100" i="6"/>
  <c r="O100" i="6"/>
  <c r="L100" i="6"/>
  <c r="K100" i="6"/>
  <c r="J100" i="6"/>
  <c r="BT99" i="6"/>
  <c r="BS99" i="6"/>
  <c r="BP99" i="6"/>
  <c r="BO99" i="6"/>
  <c r="BL99" i="6"/>
  <c r="BK99" i="6"/>
  <c r="BH99" i="6"/>
  <c r="BG99" i="6"/>
  <c r="BD99" i="6"/>
  <c r="BC99" i="6"/>
  <c r="AZ99" i="6"/>
  <c r="AY99" i="6"/>
  <c r="AV99" i="6"/>
  <c r="AU99" i="6"/>
  <c r="AR99" i="6"/>
  <c r="AQ99" i="6"/>
  <c r="AN99" i="6"/>
  <c r="AM99" i="6"/>
  <c r="AJ99" i="6"/>
  <c r="AI99" i="6"/>
  <c r="AF99" i="6"/>
  <c r="AE99" i="6"/>
  <c r="AB99" i="6"/>
  <c r="AA99" i="6"/>
  <c r="X99" i="6"/>
  <c r="W99" i="6"/>
  <c r="T99" i="6"/>
  <c r="S99" i="6"/>
  <c r="P99" i="6"/>
  <c r="O99" i="6"/>
  <c r="L99" i="6"/>
  <c r="K99" i="6"/>
  <c r="J99" i="6"/>
  <c r="BT98" i="6"/>
  <c r="BS98" i="6"/>
  <c r="BP98" i="6"/>
  <c r="BO98" i="6"/>
  <c r="BL98" i="6"/>
  <c r="BK98" i="6"/>
  <c r="BH98" i="6"/>
  <c r="BG98" i="6"/>
  <c r="BD98" i="6"/>
  <c r="BC98" i="6"/>
  <c r="AZ98" i="6"/>
  <c r="AY98" i="6"/>
  <c r="AV98" i="6"/>
  <c r="AU98" i="6"/>
  <c r="AR98" i="6"/>
  <c r="AQ98" i="6"/>
  <c r="AN98" i="6"/>
  <c r="AM98" i="6"/>
  <c r="AJ98" i="6"/>
  <c r="AI98" i="6"/>
  <c r="AF98" i="6"/>
  <c r="AE98" i="6"/>
  <c r="AB98" i="6"/>
  <c r="AA98" i="6"/>
  <c r="X98" i="6"/>
  <c r="W98" i="6"/>
  <c r="T98" i="6"/>
  <c r="S98" i="6"/>
  <c r="P98" i="6"/>
  <c r="O98" i="6"/>
  <c r="L98" i="6"/>
  <c r="K98" i="6"/>
  <c r="J98" i="6"/>
  <c r="BT97" i="6"/>
  <c r="BS97" i="6"/>
  <c r="BP97" i="6"/>
  <c r="BO97" i="6"/>
  <c r="BL97" i="6"/>
  <c r="BK97" i="6"/>
  <c r="BH97" i="6"/>
  <c r="BG97" i="6"/>
  <c r="BD97" i="6"/>
  <c r="BC97" i="6"/>
  <c r="AZ97" i="6"/>
  <c r="AY97" i="6"/>
  <c r="AV97" i="6"/>
  <c r="AU97" i="6"/>
  <c r="AR97" i="6"/>
  <c r="AQ97" i="6"/>
  <c r="AN97" i="6"/>
  <c r="AM97" i="6"/>
  <c r="AJ97" i="6"/>
  <c r="AI97" i="6"/>
  <c r="AF97" i="6"/>
  <c r="AE97" i="6"/>
  <c r="AB97" i="6"/>
  <c r="AA97" i="6"/>
  <c r="X97" i="6"/>
  <c r="W97" i="6"/>
  <c r="T97" i="6"/>
  <c r="S97" i="6"/>
  <c r="P97" i="6"/>
  <c r="O97" i="6"/>
  <c r="L97" i="6"/>
  <c r="K97" i="6"/>
  <c r="J97" i="6"/>
  <c r="BT96" i="6"/>
  <c r="BS96" i="6"/>
  <c r="BP96" i="6"/>
  <c r="BO96" i="6"/>
  <c r="BL96" i="6"/>
  <c r="BK96" i="6"/>
  <c r="BH96" i="6"/>
  <c r="BG96" i="6"/>
  <c r="BD96" i="6"/>
  <c r="BC96" i="6"/>
  <c r="AZ96" i="6"/>
  <c r="AY96" i="6"/>
  <c r="AV96" i="6"/>
  <c r="AU96" i="6"/>
  <c r="AR96" i="6"/>
  <c r="AQ96" i="6"/>
  <c r="AN96" i="6"/>
  <c r="AM96" i="6"/>
  <c r="AJ96" i="6"/>
  <c r="AI96" i="6"/>
  <c r="AF96" i="6"/>
  <c r="AE96" i="6"/>
  <c r="AB96" i="6"/>
  <c r="AA96" i="6"/>
  <c r="X96" i="6"/>
  <c r="W96" i="6"/>
  <c r="T96" i="6"/>
  <c r="S96" i="6"/>
  <c r="P96" i="6"/>
  <c r="O96" i="6"/>
  <c r="L96" i="6"/>
  <c r="K96" i="6"/>
  <c r="J96" i="6"/>
  <c r="BT95" i="6"/>
  <c r="BS95" i="6"/>
  <c r="BP95" i="6"/>
  <c r="BO95" i="6"/>
  <c r="BL95" i="6"/>
  <c r="BK95" i="6"/>
  <c r="BH95" i="6"/>
  <c r="BG95" i="6"/>
  <c r="BD95" i="6"/>
  <c r="BC95" i="6"/>
  <c r="AZ95" i="6"/>
  <c r="AY95" i="6"/>
  <c r="AV95" i="6"/>
  <c r="AU95" i="6"/>
  <c r="AR95" i="6"/>
  <c r="AQ95" i="6"/>
  <c r="AN95" i="6"/>
  <c r="AM95" i="6"/>
  <c r="AJ95" i="6"/>
  <c r="AI95" i="6"/>
  <c r="AF95" i="6"/>
  <c r="AE95" i="6"/>
  <c r="AB95" i="6"/>
  <c r="AA95" i="6"/>
  <c r="X95" i="6"/>
  <c r="W95" i="6"/>
  <c r="T95" i="6"/>
  <c r="S95" i="6"/>
  <c r="P95" i="6"/>
  <c r="O95" i="6"/>
  <c r="L95" i="6"/>
  <c r="K95" i="6"/>
  <c r="J95" i="6"/>
  <c r="BT94" i="6"/>
  <c r="BS94" i="6"/>
  <c r="BP94" i="6"/>
  <c r="BO94" i="6"/>
  <c r="BL94" i="6"/>
  <c r="BK94" i="6"/>
  <c r="BH94" i="6"/>
  <c r="BG94" i="6"/>
  <c r="BD94" i="6"/>
  <c r="BC94" i="6"/>
  <c r="AZ94" i="6"/>
  <c r="AY94" i="6"/>
  <c r="AV94" i="6"/>
  <c r="AU94" i="6"/>
  <c r="AR94" i="6"/>
  <c r="AQ94" i="6"/>
  <c r="AN94" i="6"/>
  <c r="AM94" i="6"/>
  <c r="AJ94" i="6"/>
  <c r="AI94" i="6"/>
  <c r="AF94" i="6"/>
  <c r="AE94" i="6"/>
  <c r="AB94" i="6"/>
  <c r="AA94" i="6"/>
  <c r="X94" i="6"/>
  <c r="W94" i="6"/>
  <c r="T94" i="6"/>
  <c r="S94" i="6"/>
  <c r="P94" i="6"/>
  <c r="O94" i="6"/>
  <c r="L94" i="6"/>
  <c r="K94" i="6"/>
  <c r="J94" i="6"/>
  <c r="BT93" i="6"/>
  <c r="BS93" i="6"/>
  <c r="BP93" i="6"/>
  <c r="BO93" i="6"/>
  <c r="BL93" i="6"/>
  <c r="BK93" i="6"/>
  <c r="BH93" i="6"/>
  <c r="BG93" i="6"/>
  <c r="BD93" i="6"/>
  <c r="BC93" i="6"/>
  <c r="AZ93" i="6"/>
  <c r="AY93" i="6"/>
  <c r="AV93" i="6"/>
  <c r="AU93" i="6"/>
  <c r="AR93" i="6"/>
  <c r="AQ93" i="6"/>
  <c r="AN93" i="6"/>
  <c r="AM93" i="6"/>
  <c r="AJ93" i="6"/>
  <c r="AI93" i="6"/>
  <c r="AF93" i="6"/>
  <c r="AE93" i="6"/>
  <c r="AB93" i="6"/>
  <c r="AA93" i="6"/>
  <c r="X93" i="6"/>
  <c r="W93" i="6"/>
  <c r="T93" i="6"/>
  <c r="S93" i="6"/>
  <c r="P93" i="6"/>
  <c r="O93" i="6"/>
  <c r="L93" i="6"/>
  <c r="K93" i="6"/>
  <c r="J93" i="6"/>
  <c r="BT92" i="6"/>
  <c r="BS92" i="6"/>
  <c r="BP92" i="6"/>
  <c r="BO92" i="6"/>
  <c r="BL92" i="6"/>
  <c r="BK92" i="6"/>
  <c r="BH92" i="6"/>
  <c r="BG92" i="6"/>
  <c r="BD92" i="6"/>
  <c r="BC92" i="6"/>
  <c r="AZ92" i="6"/>
  <c r="AY92" i="6"/>
  <c r="AV92" i="6"/>
  <c r="AU92" i="6"/>
  <c r="AR92" i="6"/>
  <c r="AQ92" i="6"/>
  <c r="AN92" i="6"/>
  <c r="AM92" i="6"/>
  <c r="AJ92" i="6"/>
  <c r="AI92" i="6"/>
  <c r="AF92" i="6"/>
  <c r="AE92" i="6"/>
  <c r="AB92" i="6"/>
  <c r="AA92" i="6"/>
  <c r="X92" i="6"/>
  <c r="W92" i="6"/>
  <c r="T92" i="6"/>
  <c r="S92" i="6"/>
  <c r="P92" i="6"/>
  <c r="O92" i="6"/>
  <c r="L92" i="6"/>
  <c r="K92" i="6"/>
  <c r="J92" i="6"/>
  <c r="BT91" i="6"/>
  <c r="BS91" i="6"/>
  <c r="BP91" i="6"/>
  <c r="BO91" i="6"/>
  <c r="BL91" i="6"/>
  <c r="BK91" i="6"/>
  <c r="BH91" i="6"/>
  <c r="BG91" i="6"/>
  <c r="BD91" i="6"/>
  <c r="BC91" i="6"/>
  <c r="AZ91" i="6"/>
  <c r="AY91" i="6"/>
  <c r="AV91" i="6"/>
  <c r="AU91" i="6"/>
  <c r="AR91" i="6"/>
  <c r="AQ91" i="6"/>
  <c r="AN91" i="6"/>
  <c r="AM91" i="6"/>
  <c r="AJ91" i="6"/>
  <c r="AI91" i="6"/>
  <c r="AF91" i="6"/>
  <c r="AE91" i="6"/>
  <c r="AB91" i="6"/>
  <c r="AA91" i="6"/>
  <c r="X91" i="6"/>
  <c r="W91" i="6"/>
  <c r="T91" i="6"/>
  <c r="S91" i="6"/>
  <c r="P91" i="6"/>
  <c r="O91" i="6"/>
  <c r="L91" i="6"/>
  <c r="K91" i="6"/>
  <c r="J91" i="6"/>
  <c r="BT90" i="6"/>
  <c r="BS90" i="6"/>
  <c r="BP90" i="6"/>
  <c r="BO90" i="6"/>
  <c r="BL90" i="6"/>
  <c r="BK90" i="6"/>
  <c r="BH90" i="6"/>
  <c r="BG90" i="6"/>
  <c r="BD90" i="6"/>
  <c r="BC90" i="6"/>
  <c r="AZ90" i="6"/>
  <c r="AY90" i="6"/>
  <c r="AV90" i="6"/>
  <c r="AU90" i="6"/>
  <c r="AR90" i="6"/>
  <c r="AQ90" i="6"/>
  <c r="AN90" i="6"/>
  <c r="AM90" i="6"/>
  <c r="AJ90" i="6"/>
  <c r="AI90" i="6"/>
  <c r="AF90" i="6"/>
  <c r="AE90" i="6"/>
  <c r="AB90" i="6"/>
  <c r="AA90" i="6"/>
  <c r="X90" i="6"/>
  <c r="W90" i="6"/>
  <c r="T90" i="6"/>
  <c r="S90" i="6"/>
  <c r="P90" i="6"/>
  <c r="O90" i="6"/>
  <c r="L90" i="6"/>
  <c r="K90" i="6"/>
  <c r="J90" i="6"/>
  <c r="BT89" i="6"/>
  <c r="BS89" i="6"/>
  <c r="BP89" i="6"/>
  <c r="BO89" i="6"/>
  <c r="BL89" i="6"/>
  <c r="BK89" i="6"/>
  <c r="BH89" i="6"/>
  <c r="BG89" i="6"/>
  <c r="BD89" i="6"/>
  <c r="BC89" i="6"/>
  <c r="AZ89" i="6"/>
  <c r="AY89" i="6"/>
  <c r="AV89" i="6"/>
  <c r="AU89" i="6"/>
  <c r="AR89" i="6"/>
  <c r="AQ89" i="6"/>
  <c r="AN89" i="6"/>
  <c r="AM89" i="6"/>
  <c r="AJ89" i="6"/>
  <c r="AI89" i="6"/>
  <c r="AF89" i="6"/>
  <c r="AE89" i="6"/>
  <c r="AB89" i="6"/>
  <c r="AA89" i="6"/>
  <c r="X89" i="6"/>
  <c r="W89" i="6"/>
  <c r="T89" i="6"/>
  <c r="S89" i="6"/>
  <c r="P89" i="6"/>
  <c r="O89" i="6"/>
  <c r="L89" i="6"/>
  <c r="K89" i="6"/>
  <c r="J89" i="6"/>
  <c r="BT88" i="6"/>
  <c r="BS88" i="6"/>
  <c r="BP88" i="6"/>
  <c r="BO88" i="6"/>
  <c r="BL88" i="6"/>
  <c r="BK88" i="6"/>
  <c r="BH88" i="6"/>
  <c r="BG88" i="6"/>
  <c r="BD88" i="6"/>
  <c r="BC88" i="6"/>
  <c r="AZ88" i="6"/>
  <c r="AY88" i="6"/>
  <c r="AV88" i="6"/>
  <c r="AU88" i="6"/>
  <c r="AR88" i="6"/>
  <c r="AQ88" i="6"/>
  <c r="AN88" i="6"/>
  <c r="AM88" i="6"/>
  <c r="AJ88" i="6"/>
  <c r="AI88" i="6"/>
  <c r="AF88" i="6"/>
  <c r="AE88" i="6"/>
  <c r="AB88" i="6"/>
  <c r="AA88" i="6"/>
  <c r="X88" i="6"/>
  <c r="W88" i="6"/>
  <c r="T88" i="6"/>
  <c r="S88" i="6"/>
  <c r="P88" i="6"/>
  <c r="O88" i="6"/>
  <c r="L88" i="6"/>
  <c r="K88" i="6"/>
  <c r="J88" i="6"/>
  <c r="BT87" i="6"/>
  <c r="BS87" i="6"/>
  <c r="BP87" i="6"/>
  <c r="BO87" i="6"/>
  <c r="BL87" i="6"/>
  <c r="BK87" i="6"/>
  <c r="BH87" i="6"/>
  <c r="BG87" i="6"/>
  <c r="BD87" i="6"/>
  <c r="BC87" i="6"/>
  <c r="AZ87" i="6"/>
  <c r="AY87" i="6"/>
  <c r="AV87" i="6"/>
  <c r="AU87" i="6"/>
  <c r="AR87" i="6"/>
  <c r="AQ87" i="6"/>
  <c r="AN87" i="6"/>
  <c r="AM87" i="6"/>
  <c r="AJ87" i="6"/>
  <c r="AI87" i="6"/>
  <c r="AF87" i="6"/>
  <c r="AE87" i="6"/>
  <c r="AB87" i="6"/>
  <c r="AA87" i="6"/>
  <c r="X87" i="6"/>
  <c r="W87" i="6"/>
  <c r="T87" i="6"/>
  <c r="S87" i="6"/>
  <c r="P87" i="6"/>
  <c r="O87" i="6"/>
  <c r="L87" i="6"/>
  <c r="K87" i="6"/>
  <c r="J87" i="6"/>
  <c r="BT86" i="6"/>
  <c r="BS86" i="6"/>
  <c r="BP86" i="6"/>
  <c r="BO86" i="6"/>
  <c r="BL86" i="6"/>
  <c r="BK86" i="6"/>
  <c r="BH86" i="6"/>
  <c r="BG86" i="6"/>
  <c r="BD86" i="6"/>
  <c r="BC86" i="6"/>
  <c r="AZ86" i="6"/>
  <c r="AY86" i="6"/>
  <c r="AV86" i="6"/>
  <c r="AU86" i="6"/>
  <c r="AR86" i="6"/>
  <c r="AQ86" i="6"/>
  <c r="AN86" i="6"/>
  <c r="AM86" i="6"/>
  <c r="AJ86" i="6"/>
  <c r="AI86" i="6"/>
  <c r="AF86" i="6"/>
  <c r="AE86" i="6"/>
  <c r="AB86" i="6"/>
  <c r="AA86" i="6"/>
  <c r="X86" i="6"/>
  <c r="W86" i="6"/>
  <c r="T86" i="6"/>
  <c r="S86" i="6"/>
  <c r="P86" i="6"/>
  <c r="O86" i="6"/>
  <c r="L86" i="6"/>
  <c r="K86" i="6"/>
  <c r="J86" i="6"/>
  <c r="BT85" i="6"/>
  <c r="BS85" i="6"/>
  <c r="BP85" i="6"/>
  <c r="BO85" i="6"/>
  <c r="BL85" i="6"/>
  <c r="BK85" i="6"/>
  <c r="BH85" i="6"/>
  <c r="BG85" i="6"/>
  <c r="BD85" i="6"/>
  <c r="BC85" i="6"/>
  <c r="AZ85" i="6"/>
  <c r="AY85" i="6"/>
  <c r="AV85" i="6"/>
  <c r="AU85" i="6"/>
  <c r="AR85" i="6"/>
  <c r="AQ85" i="6"/>
  <c r="AN85" i="6"/>
  <c r="AM85" i="6"/>
  <c r="AJ85" i="6"/>
  <c r="AI85" i="6"/>
  <c r="AF85" i="6"/>
  <c r="AE85" i="6"/>
  <c r="AB85" i="6"/>
  <c r="AA85" i="6"/>
  <c r="X85" i="6"/>
  <c r="W85" i="6"/>
  <c r="T85" i="6"/>
  <c r="S85" i="6"/>
  <c r="P85" i="6"/>
  <c r="O85" i="6"/>
  <c r="L85" i="6"/>
  <c r="K85" i="6"/>
  <c r="J85" i="6"/>
  <c r="BT84" i="6"/>
  <c r="BS84" i="6"/>
  <c r="BP84" i="6"/>
  <c r="BO84" i="6"/>
  <c r="BL84" i="6"/>
  <c r="BK84" i="6"/>
  <c r="BH84" i="6"/>
  <c r="BG84" i="6"/>
  <c r="BD84" i="6"/>
  <c r="BC84" i="6"/>
  <c r="AZ84" i="6"/>
  <c r="AY84" i="6"/>
  <c r="AV84" i="6"/>
  <c r="AU84" i="6"/>
  <c r="AR84" i="6"/>
  <c r="AQ84" i="6"/>
  <c r="AN84" i="6"/>
  <c r="AM84" i="6"/>
  <c r="AJ84" i="6"/>
  <c r="AI84" i="6"/>
  <c r="AF84" i="6"/>
  <c r="AE84" i="6"/>
  <c r="AB84" i="6"/>
  <c r="AA84" i="6"/>
  <c r="X84" i="6"/>
  <c r="W84" i="6"/>
  <c r="T84" i="6"/>
  <c r="S84" i="6"/>
  <c r="P84" i="6"/>
  <c r="O84" i="6"/>
  <c r="L84" i="6"/>
  <c r="K84" i="6"/>
  <c r="J84" i="6"/>
  <c r="BT83" i="6"/>
  <c r="BS83" i="6"/>
  <c r="BP83" i="6"/>
  <c r="BO83" i="6"/>
  <c r="BL83" i="6"/>
  <c r="BK83" i="6"/>
  <c r="BH83" i="6"/>
  <c r="BG83" i="6"/>
  <c r="BD83" i="6"/>
  <c r="BC83" i="6"/>
  <c r="AZ83" i="6"/>
  <c r="AY83" i="6"/>
  <c r="AV83" i="6"/>
  <c r="AU83" i="6"/>
  <c r="AR83" i="6"/>
  <c r="AQ83" i="6"/>
  <c r="AN83" i="6"/>
  <c r="AM83" i="6"/>
  <c r="AJ83" i="6"/>
  <c r="AI83" i="6"/>
  <c r="AF83" i="6"/>
  <c r="AE83" i="6"/>
  <c r="AB83" i="6"/>
  <c r="AA83" i="6"/>
  <c r="X83" i="6"/>
  <c r="W83" i="6"/>
  <c r="T83" i="6"/>
  <c r="S83" i="6"/>
  <c r="P83" i="6"/>
  <c r="O83" i="6"/>
  <c r="L83" i="6"/>
  <c r="K83" i="6"/>
  <c r="J83" i="6"/>
  <c r="BT82" i="6"/>
  <c r="BS82" i="6"/>
  <c r="BP82" i="6"/>
  <c r="BO82" i="6"/>
  <c r="BL82" i="6"/>
  <c r="BK82" i="6"/>
  <c r="BH82" i="6"/>
  <c r="BG82" i="6"/>
  <c r="BD82" i="6"/>
  <c r="BC82" i="6"/>
  <c r="AZ82" i="6"/>
  <c r="AY82" i="6"/>
  <c r="AV82" i="6"/>
  <c r="AU82" i="6"/>
  <c r="AR82" i="6"/>
  <c r="AQ82" i="6"/>
  <c r="AN82" i="6"/>
  <c r="AM82" i="6"/>
  <c r="AJ82" i="6"/>
  <c r="AI82" i="6"/>
  <c r="AF82" i="6"/>
  <c r="AE82" i="6"/>
  <c r="AB82" i="6"/>
  <c r="AA82" i="6"/>
  <c r="X82" i="6"/>
  <c r="W82" i="6"/>
  <c r="T82" i="6"/>
  <c r="S82" i="6"/>
  <c r="P82" i="6"/>
  <c r="O82" i="6"/>
  <c r="L82" i="6"/>
  <c r="K82" i="6"/>
  <c r="J82" i="6"/>
  <c r="BT81" i="6"/>
  <c r="BS81" i="6"/>
  <c r="BP81" i="6"/>
  <c r="BO81" i="6"/>
  <c r="BL81" i="6"/>
  <c r="BK81" i="6"/>
  <c r="BH81" i="6"/>
  <c r="BG81" i="6"/>
  <c r="BD81" i="6"/>
  <c r="BC81" i="6"/>
  <c r="AZ81" i="6"/>
  <c r="AY81" i="6"/>
  <c r="AV81" i="6"/>
  <c r="AU81" i="6"/>
  <c r="AR81" i="6"/>
  <c r="AQ81" i="6"/>
  <c r="AN81" i="6"/>
  <c r="AM81" i="6"/>
  <c r="AJ81" i="6"/>
  <c r="AI81" i="6"/>
  <c r="AF81" i="6"/>
  <c r="AE81" i="6"/>
  <c r="AB81" i="6"/>
  <c r="AA81" i="6"/>
  <c r="X81" i="6"/>
  <c r="W81" i="6"/>
  <c r="T81" i="6"/>
  <c r="S81" i="6"/>
  <c r="P81" i="6"/>
  <c r="O81" i="6"/>
  <c r="L81" i="6"/>
  <c r="K81" i="6"/>
  <c r="J81" i="6"/>
  <c r="BT80" i="6"/>
  <c r="BS80" i="6"/>
  <c r="BP80" i="6"/>
  <c r="BO80" i="6"/>
  <c r="BL80" i="6"/>
  <c r="BK80" i="6"/>
  <c r="BH80" i="6"/>
  <c r="BG80" i="6"/>
  <c r="BD80" i="6"/>
  <c r="BC80" i="6"/>
  <c r="AZ80" i="6"/>
  <c r="AY80" i="6"/>
  <c r="AV80" i="6"/>
  <c r="AU80" i="6"/>
  <c r="AR80" i="6"/>
  <c r="AQ80" i="6"/>
  <c r="AN80" i="6"/>
  <c r="AM80" i="6"/>
  <c r="AJ80" i="6"/>
  <c r="AI80" i="6"/>
  <c r="AF80" i="6"/>
  <c r="AE80" i="6"/>
  <c r="AB80" i="6"/>
  <c r="AA80" i="6"/>
  <c r="X80" i="6"/>
  <c r="W80" i="6"/>
  <c r="T80" i="6"/>
  <c r="S80" i="6"/>
  <c r="P80" i="6"/>
  <c r="O80" i="6"/>
  <c r="L80" i="6"/>
  <c r="K80" i="6"/>
  <c r="J80" i="6"/>
  <c r="BT79" i="6"/>
  <c r="BS79" i="6"/>
  <c r="BP79" i="6"/>
  <c r="BO79" i="6"/>
  <c r="BL79" i="6"/>
  <c r="BK79" i="6"/>
  <c r="BH79" i="6"/>
  <c r="BG79" i="6"/>
  <c r="BD79" i="6"/>
  <c r="BC79" i="6"/>
  <c r="AZ79" i="6"/>
  <c r="AY79" i="6"/>
  <c r="AV79" i="6"/>
  <c r="AU79" i="6"/>
  <c r="AR79" i="6"/>
  <c r="AQ79" i="6"/>
  <c r="AN79" i="6"/>
  <c r="AM79" i="6"/>
  <c r="AJ79" i="6"/>
  <c r="AI79" i="6"/>
  <c r="AF79" i="6"/>
  <c r="AE79" i="6"/>
  <c r="AB79" i="6"/>
  <c r="AA79" i="6"/>
  <c r="X79" i="6"/>
  <c r="W79" i="6"/>
  <c r="T79" i="6"/>
  <c r="S79" i="6"/>
  <c r="P79" i="6"/>
  <c r="O79" i="6"/>
  <c r="L79" i="6"/>
  <c r="K79" i="6"/>
  <c r="J79" i="6"/>
  <c r="B79" i="6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T78" i="6"/>
  <c r="BS78" i="6"/>
  <c r="BP78" i="6"/>
  <c r="BO78" i="6"/>
  <c r="BL78" i="6"/>
  <c r="BK78" i="6"/>
  <c r="BH78" i="6"/>
  <c r="BG78" i="6"/>
  <c r="BD78" i="6"/>
  <c r="BC78" i="6"/>
  <c r="AZ78" i="6"/>
  <c r="AY78" i="6"/>
  <c r="AV78" i="6"/>
  <c r="AU78" i="6"/>
  <c r="AR78" i="6"/>
  <c r="AQ78" i="6"/>
  <c r="AN78" i="6"/>
  <c r="AM78" i="6"/>
  <c r="AJ78" i="6"/>
  <c r="AI78" i="6"/>
  <c r="AF78" i="6"/>
  <c r="AE78" i="6"/>
  <c r="AB78" i="6"/>
  <c r="AA78" i="6"/>
  <c r="X78" i="6"/>
  <c r="W78" i="6"/>
  <c r="T78" i="6"/>
  <c r="S78" i="6"/>
  <c r="P78" i="6"/>
  <c r="O78" i="6"/>
  <c r="L78" i="6"/>
  <c r="K78" i="6"/>
  <c r="J78" i="6"/>
  <c r="BT77" i="6"/>
  <c r="BS77" i="6"/>
  <c r="BP77" i="6"/>
  <c r="BO77" i="6"/>
  <c r="BL77" i="6"/>
  <c r="BK77" i="6"/>
  <c r="BH77" i="6"/>
  <c r="BG77" i="6"/>
  <c r="BD77" i="6"/>
  <c r="BC77" i="6"/>
  <c r="AZ77" i="6"/>
  <c r="AY77" i="6"/>
  <c r="AV77" i="6"/>
  <c r="AU77" i="6"/>
  <c r="AR77" i="6"/>
  <c r="AQ77" i="6"/>
  <c r="AN77" i="6"/>
  <c r="AM77" i="6"/>
  <c r="AJ77" i="6"/>
  <c r="AI77" i="6"/>
  <c r="AF77" i="6"/>
  <c r="AE77" i="6"/>
  <c r="AB77" i="6"/>
  <c r="AA77" i="6"/>
  <c r="X77" i="6"/>
  <c r="W77" i="6"/>
  <c r="T77" i="6"/>
  <c r="S77" i="6"/>
  <c r="P77" i="6"/>
  <c r="O77" i="6"/>
  <c r="L77" i="6"/>
  <c r="K77" i="6"/>
  <c r="J77" i="6"/>
  <c r="BT76" i="6"/>
  <c r="BS76" i="6"/>
  <c r="BP76" i="6"/>
  <c r="BO76" i="6"/>
  <c r="BL76" i="6"/>
  <c r="BK76" i="6"/>
  <c r="BH76" i="6"/>
  <c r="BG76" i="6"/>
  <c r="BD76" i="6"/>
  <c r="BC76" i="6"/>
  <c r="AZ76" i="6"/>
  <c r="AY76" i="6"/>
  <c r="AV76" i="6"/>
  <c r="AU76" i="6"/>
  <c r="AR76" i="6"/>
  <c r="AQ76" i="6"/>
  <c r="AN76" i="6"/>
  <c r="AM76" i="6"/>
  <c r="AJ76" i="6"/>
  <c r="AI76" i="6"/>
  <c r="AF76" i="6"/>
  <c r="AE76" i="6"/>
  <c r="AB76" i="6"/>
  <c r="AA76" i="6"/>
  <c r="X76" i="6"/>
  <c r="W76" i="6"/>
  <c r="T76" i="6"/>
  <c r="S76" i="6"/>
  <c r="P76" i="6"/>
  <c r="O76" i="6"/>
  <c r="L76" i="6"/>
  <c r="K76" i="6"/>
  <c r="J76" i="6"/>
  <c r="BT75" i="6"/>
  <c r="BS75" i="6"/>
  <c r="BP75" i="6"/>
  <c r="BO75" i="6"/>
  <c r="BL75" i="6"/>
  <c r="BK75" i="6"/>
  <c r="BH75" i="6"/>
  <c r="BG75" i="6"/>
  <c r="BD75" i="6"/>
  <c r="BC75" i="6"/>
  <c r="AZ75" i="6"/>
  <c r="AY75" i="6"/>
  <c r="AV75" i="6"/>
  <c r="AU75" i="6"/>
  <c r="AR75" i="6"/>
  <c r="AQ75" i="6"/>
  <c r="AN75" i="6"/>
  <c r="AM75" i="6"/>
  <c r="AJ75" i="6"/>
  <c r="AI75" i="6"/>
  <c r="AF75" i="6"/>
  <c r="AE75" i="6"/>
  <c r="AB75" i="6"/>
  <c r="AA75" i="6"/>
  <c r="X75" i="6"/>
  <c r="W75" i="6"/>
  <c r="T75" i="6"/>
  <c r="S75" i="6"/>
  <c r="P75" i="6"/>
  <c r="O75" i="6"/>
  <c r="L75" i="6"/>
  <c r="K75" i="6"/>
  <c r="J75" i="6"/>
  <c r="BT74" i="6"/>
  <c r="BS74" i="6"/>
  <c r="BP74" i="6"/>
  <c r="BO74" i="6"/>
  <c r="BL74" i="6"/>
  <c r="BK74" i="6"/>
  <c r="BH74" i="6"/>
  <c r="BG74" i="6"/>
  <c r="BD74" i="6"/>
  <c r="BC74" i="6"/>
  <c r="AZ74" i="6"/>
  <c r="AY74" i="6"/>
  <c r="AV74" i="6"/>
  <c r="AU74" i="6"/>
  <c r="AR74" i="6"/>
  <c r="AQ74" i="6"/>
  <c r="AN74" i="6"/>
  <c r="AM74" i="6"/>
  <c r="AJ74" i="6"/>
  <c r="AI74" i="6"/>
  <c r="AF74" i="6"/>
  <c r="AE74" i="6"/>
  <c r="AB74" i="6"/>
  <c r="AA74" i="6"/>
  <c r="X74" i="6"/>
  <c r="W74" i="6"/>
  <c r="T74" i="6"/>
  <c r="S74" i="6"/>
  <c r="P74" i="6"/>
  <c r="O74" i="6"/>
  <c r="L74" i="6"/>
  <c r="K74" i="6"/>
  <c r="J74" i="6"/>
  <c r="BT73" i="6"/>
  <c r="BS73" i="6"/>
  <c r="BP73" i="6"/>
  <c r="BO73" i="6"/>
  <c r="BL73" i="6"/>
  <c r="BK73" i="6"/>
  <c r="BH73" i="6"/>
  <c r="BG73" i="6"/>
  <c r="BD73" i="6"/>
  <c r="BC73" i="6"/>
  <c r="AZ73" i="6"/>
  <c r="AY73" i="6"/>
  <c r="AV73" i="6"/>
  <c r="AU73" i="6"/>
  <c r="AR73" i="6"/>
  <c r="AQ73" i="6"/>
  <c r="AN73" i="6"/>
  <c r="AM73" i="6"/>
  <c r="AJ73" i="6"/>
  <c r="AI73" i="6"/>
  <c r="AF73" i="6"/>
  <c r="AE73" i="6"/>
  <c r="AB73" i="6"/>
  <c r="AA73" i="6"/>
  <c r="X73" i="6"/>
  <c r="W73" i="6"/>
  <c r="T73" i="6"/>
  <c r="S73" i="6"/>
  <c r="P73" i="6"/>
  <c r="O73" i="6"/>
  <c r="L73" i="6"/>
  <c r="K73" i="6"/>
  <c r="J73" i="6"/>
  <c r="BT72" i="6"/>
  <c r="BS72" i="6"/>
  <c r="BP72" i="6"/>
  <c r="BO72" i="6"/>
  <c r="BL72" i="6"/>
  <c r="BK72" i="6"/>
  <c r="BH72" i="6"/>
  <c r="BG72" i="6"/>
  <c r="BD72" i="6"/>
  <c r="BC72" i="6"/>
  <c r="AZ72" i="6"/>
  <c r="AY72" i="6"/>
  <c r="AV72" i="6"/>
  <c r="AU72" i="6"/>
  <c r="AR72" i="6"/>
  <c r="AQ72" i="6"/>
  <c r="AN72" i="6"/>
  <c r="AM72" i="6"/>
  <c r="AJ72" i="6"/>
  <c r="AI72" i="6"/>
  <c r="AF72" i="6"/>
  <c r="AE72" i="6"/>
  <c r="AB72" i="6"/>
  <c r="AA72" i="6"/>
  <c r="X72" i="6"/>
  <c r="W72" i="6"/>
  <c r="T72" i="6"/>
  <c r="S72" i="6"/>
  <c r="P72" i="6"/>
  <c r="O72" i="6"/>
  <c r="L72" i="6"/>
  <c r="K72" i="6"/>
  <c r="J72" i="6"/>
  <c r="BT71" i="6"/>
  <c r="BS71" i="6"/>
  <c r="BP71" i="6"/>
  <c r="BO71" i="6"/>
  <c r="BL71" i="6"/>
  <c r="BK71" i="6"/>
  <c r="BH71" i="6"/>
  <c r="BG71" i="6"/>
  <c r="BD71" i="6"/>
  <c r="BC71" i="6"/>
  <c r="AZ71" i="6"/>
  <c r="AY71" i="6"/>
  <c r="AV71" i="6"/>
  <c r="AU71" i="6"/>
  <c r="AR71" i="6"/>
  <c r="AQ71" i="6"/>
  <c r="AN71" i="6"/>
  <c r="AM71" i="6"/>
  <c r="AJ71" i="6"/>
  <c r="AI71" i="6"/>
  <c r="AF71" i="6"/>
  <c r="AE71" i="6"/>
  <c r="AB71" i="6"/>
  <c r="AA71" i="6"/>
  <c r="X71" i="6"/>
  <c r="W71" i="6"/>
  <c r="T71" i="6"/>
  <c r="S71" i="6"/>
  <c r="P71" i="6"/>
  <c r="O71" i="6"/>
  <c r="L71" i="6"/>
  <c r="K71" i="6"/>
  <c r="J71" i="6"/>
  <c r="BT70" i="6"/>
  <c r="BS70" i="6"/>
  <c r="BP70" i="6"/>
  <c r="BO70" i="6"/>
  <c r="BL70" i="6"/>
  <c r="BK70" i="6"/>
  <c r="BH70" i="6"/>
  <c r="BG70" i="6"/>
  <c r="BD70" i="6"/>
  <c r="BC70" i="6"/>
  <c r="AZ70" i="6"/>
  <c r="AY70" i="6"/>
  <c r="AV70" i="6"/>
  <c r="AU70" i="6"/>
  <c r="AR70" i="6"/>
  <c r="AQ70" i="6"/>
  <c r="AN70" i="6"/>
  <c r="AM70" i="6"/>
  <c r="AJ70" i="6"/>
  <c r="AI70" i="6"/>
  <c r="AF70" i="6"/>
  <c r="AE70" i="6"/>
  <c r="AB70" i="6"/>
  <c r="AA70" i="6"/>
  <c r="X70" i="6"/>
  <c r="W70" i="6"/>
  <c r="T70" i="6"/>
  <c r="S70" i="6"/>
  <c r="P70" i="6"/>
  <c r="O70" i="6"/>
  <c r="L70" i="6"/>
  <c r="K70" i="6"/>
  <c r="J70" i="6"/>
  <c r="BT69" i="6"/>
  <c r="BS69" i="6"/>
  <c r="BP69" i="6"/>
  <c r="BO69" i="6"/>
  <c r="BL69" i="6"/>
  <c r="BK69" i="6"/>
  <c r="BH69" i="6"/>
  <c r="BG69" i="6"/>
  <c r="BD69" i="6"/>
  <c r="BC69" i="6"/>
  <c r="AZ69" i="6"/>
  <c r="AY69" i="6"/>
  <c r="AV69" i="6"/>
  <c r="AU69" i="6"/>
  <c r="AR69" i="6"/>
  <c r="AQ69" i="6"/>
  <c r="AN69" i="6"/>
  <c r="AM69" i="6"/>
  <c r="AJ69" i="6"/>
  <c r="AI69" i="6"/>
  <c r="AF69" i="6"/>
  <c r="AE69" i="6"/>
  <c r="AB69" i="6"/>
  <c r="AA69" i="6"/>
  <c r="X69" i="6"/>
  <c r="W69" i="6"/>
  <c r="T69" i="6"/>
  <c r="S69" i="6"/>
  <c r="P69" i="6"/>
  <c r="O69" i="6"/>
  <c r="L69" i="6"/>
  <c r="K69" i="6"/>
  <c r="J69" i="6"/>
  <c r="BT68" i="6"/>
  <c r="BS68" i="6"/>
  <c r="BP68" i="6"/>
  <c r="BO68" i="6"/>
  <c r="BL68" i="6"/>
  <c r="BK68" i="6"/>
  <c r="BH68" i="6"/>
  <c r="BG68" i="6"/>
  <c r="BD68" i="6"/>
  <c r="BC68" i="6"/>
  <c r="AZ68" i="6"/>
  <c r="AY68" i="6"/>
  <c r="AV68" i="6"/>
  <c r="AU68" i="6"/>
  <c r="AR68" i="6"/>
  <c r="AQ68" i="6"/>
  <c r="AN68" i="6"/>
  <c r="AM68" i="6"/>
  <c r="AJ68" i="6"/>
  <c r="AI68" i="6"/>
  <c r="AF68" i="6"/>
  <c r="AE68" i="6"/>
  <c r="AB68" i="6"/>
  <c r="AA68" i="6"/>
  <c r="X68" i="6"/>
  <c r="W68" i="6"/>
  <c r="T68" i="6"/>
  <c r="S68" i="6"/>
  <c r="P68" i="6"/>
  <c r="O68" i="6"/>
  <c r="L68" i="6"/>
  <c r="K68" i="6"/>
  <c r="J68" i="6"/>
  <c r="BT67" i="6"/>
  <c r="BS67" i="6"/>
  <c r="BP67" i="6"/>
  <c r="BO67" i="6"/>
  <c r="BL67" i="6"/>
  <c r="BK67" i="6"/>
  <c r="BH67" i="6"/>
  <c r="BG67" i="6"/>
  <c r="BD67" i="6"/>
  <c r="BC67" i="6"/>
  <c r="AZ67" i="6"/>
  <c r="AY67" i="6"/>
  <c r="AV67" i="6"/>
  <c r="AU67" i="6"/>
  <c r="AR67" i="6"/>
  <c r="AQ67" i="6"/>
  <c r="AN67" i="6"/>
  <c r="AM67" i="6"/>
  <c r="AJ67" i="6"/>
  <c r="AI67" i="6"/>
  <c r="AF67" i="6"/>
  <c r="AE67" i="6"/>
  <c r="AB67" i="6"/>
  <c r="AA67" i="6"/>
  <c r="X67" i="6"/>
  <c r="W67" i="6"/>
  <c r="T67" i="6"/>
  <c r="S67" i="6"/>
  <c r="P67" i="6"/>
  <c r="O67" i="6"/>
  <c r="L67" i="6"/>
  <c r="K67" i="6"/>
  <c r="J67" i="6"/>
  <c r="BT66" i="6"/>
  <c r="BS66" i="6"/>
  <c r="BP66" i="6"/>
  <c r="BO66" i="6"/>
  <c r="BL66" i="6"/>
  <c r="BK66" i="6"/>
  <c r="BH66" i="6"/>
  <c r="BG66" i="6"/>
  <c r="BD66" i="6"/>
  <c r="BC66" i="6"/>
  <c r="AZ66" i="6"/>
  <c r="AY66" i="6"/>
  <c r="AV66" i="6"/>
  <c r="AU66" i="6"/>
  <c r="AR66" i="6"/>
  <c r="AQ66" i="6"/>
  <c r="AN66" i="6"/>
  <c r="AM66" i="6"/>
  <c r="AJ66" i="6"/>
  <c r="AI66" i="6"/>
  <c r="AF66" i="6"/>
  <c r="AE66" i="6"/>
  <c r="AB66" i="6"/>
  <c r="AA66" i="6"/>
  <c r="X66" i="6"/>
  <c r="W66" i="6"/>
  <c r="T66" i="6"/>
  <c r="S66" i="6"/>
  <c r="P66" i="6"/>
  <c r="O66" i="6"/>
  <c r="L66" i="6"/>
  <c r="K66" i="6"/>
  <c r="J66" i="6"/>
  <c r="BT65" i="6"/>
  <c r="BS65" i="6"/>
  <c r="BP65" i="6"/>
  <c r="BO65" i="6"/>
  <c r="BL65" i="6"/>
  <c r="BK65" i="6"/>
  <c r="BH65" i="6"/>
  <c r="BG65" i="6"/>
  <c r="BD65" i="6"/>
  <c r="BC65" i="6"/>
  <c r="AZ65" i="6"/>
  <c r="AY65" i="6"/>
  <c r="AV65" i="6"/>
  <c r="AU65" i="6"/>
  <c r="AR65" i="6"/>
  <c r="AQ65" i="6"/>
  <c r="AN65" i="6"/>
  <c r="AM65" i="6"/>
  <c r="AJ65" i="6"/>
  <c r="AI65" i="6"/>
  <c r="AF65" i="6"/>
  <c r="AE65" i="6"/>
  <c r="AB65" i="6"/>
  <c r="AA65" i="6"/>
  <c r="X65" i="6"/>
  <c r="W65" i="6"/>
  <c r="T65" i="6"/>
  <c r="S65" i="6"/>
  <c r="P65" i="6"/>
  <c r="O65" i="6"/>
  <c r="L65" i="6"/>
  <c r="K65" i="6"/>
  <c r="J65" i="6"/>
  <c r="BT64" i="6"/>
  <c r="BS64" i="6"/>
  <c r="BP64" i="6"/>
  <c r="BO64" i="6"/>
  <c r="BL64" i="6"/>
  <c r="BK64" i="6"/>
  <c r="BH64" i="6"/>
  <c r="BG64" i="6"/>
  <c r="BD64" i="6"/>
  <c r="BC64" i="6"/>
  <c r="AZ64" i="6"/>
  <c r="AY64" i="6"/>
  <c r="AV64" i="6"/>
  <c r="AU64" i="6"/>
  <c r="AR64" i="6"/>
  <c r="AQ64" i="6"/>
  <c r="AN64" i="6"/>
  <c r="AM64" i="6"/>
  <c r="AJ64" i="6"/>
  <c r="AI64" i="6"/>
  <c r="AF64" i="6"/>
  <c r="AE64" i="6"/>
  <c r="AB64" i="6"/>
  <c r="AA64" i="6"/>
  <c r="X64" i="6"/>
  <c r="W64" i="6"/>
  <c r="T64" i="6"/>
  <c r="S64" i="6"/>
  <c r="P64" i="6"/>
  <c r="O64" i="6"/>
  <c r="L64" i="6"/>
  <c r="K64" i="6"/>
  <c r="J64" i="6"/>
  <c r="BT63" i="6"/>
  <c r="BS63" i="6"/>
  <c r="BP63" i="6"/>
  <c r="BO63" i="6"/>
  <c r="BL63" i="6"/>
  <c r="BK63" i="6"/>
  <c r="BH63" i="6"/>
  <c r="BG63" i="6"/>
  <c r="BD63" i="6"/>
  <c r="BC63" i="6"/>
  <c r="AZ63" i="6"/>
  <c r="AY63" i="6"/>
  <c r="AV63" i="6"/>
  <c r="AU63" i="6"/>
  <c r="AR63" i="6"/>
  <c r="AQ63" i="6"/>
  <c r="AN63" i="6"/>
  <c r="AM63" i="6"/>
  <c r="AJ63" i="6"/>
  <c r="AI63" i="6"/>
  <c r="AF63" i="6"/>
  <c r="AE63" i="6"/>
  <c r="AB63" i="6"/>
  <c r="AA63" i="6"/>
  <c r="X63" i="6"/>
  <c r="W63" i="6"/>
  <c r="T63" i="6"/>
  <c r="S63" i="6"/>
  <c r="P63" i="6"/>
  <c r="O63" i="6"/>
  <c r="L63" i="6"/>
  <c r="K63" i="6"/>
  <c r="J63" i="6"/>
  <c r="BT62" i="6"/>
  <c r="BS62" i="6"/>
  <c r="BP62" i="6"/>
  <c r="BO62" i="6"/>
  <c r="BL62" i="6"/>
  <c r="BK62" i="6"/>
  <c r="BH62" i="6"/>
  <c r="BG62" i="6"/>
  <c r="BD62" i="6"/>
  <c r="BC62" i="6"/>
  <c r="AZ62" i="6"/>
  <c r="AY62" i="6"/>
  <c r="AV62" i="6"/>
  <c r="AU62" i="6"/>
  <c r="AR62" i="6"/>
  <c r="AQ62" i="6"/>
  <c r="AN62" i="6"/>
  <c r="AM62" i="6"/>
  <c r="AJ62" i="6"/>
  <c r="AI62" i="6"/>
  <c r="AF62" i="6"/>
  <c r="AE62" i="6"/>
  <c r="AB62" i="6"/>
  <c r="AA62" i="6"/>
  <c r="X62" i="6"/>
  <c r="W62" i="6"/>
  <c r="T62" i="6"/>
  <c r="S62" i="6"/>
  <c r="P62" i="6"/>
  <c r="O62" i="6"/>
  <c r="L62" i="6"/>
  <c r="K62" i="6"/>
  <c r="J62" i="6"/>
  <c r="BT61" i="6"/>
  <c r="BS61" i="6"/>
  <c r="BP61" i="6"/>
  <c r="BO61" i="6"/>
  <c r="BL61" i="6"/>
  <c r="BK61" i="6"/>
  <c r="BH61" i="6"/>
  <c r="BG61" i="6"/>
  <c r="BD61" i="6"/>
  <c r="BC61" i="6"/>
  <c r="AZ61" i="6"/>
  <c r="AY61" i="6"/>
  <c r="AV61" i="6"/>
  <c r="AU61" i="6"/>
  <c r="AR61" i="6"/>
  <c r="AQ61" i="6"/>
  <c r="AN61" i="6"/>
  <c r="AM61" i="6"/>
  <c r="AJ61" i="6"/>
  <c r="AI61" i="6"/>
  <c r="AF61" i="6"/>
  <c r="AE61" i="6"/>
  <c r="AB61" i="6"/>
  <c r="AA61" i="6"/>
  <c r="X61" i="6"/>
  <c r="W61" i="6"/>
  <c r="T61" i="6"/>
  <c r="S61" i="6"/>
  <c r="P61" i="6"/>
  <c r="O61" i="6"/>
  <c r="L61" i="6"/>
  <c r="K61" i="6"/>
  <c r="J61" i="6"/>
  <c r="BT60" i="6"/>
  <c r="BS60" i="6"/>
  <c r="BP60" i="6"/>
  <c r="BO60" i="6"/>
  <c r="BL60" i="6"/>
  <c r="BK60" i="6"/>
  <c r="BH60" i="6"/>
  <c r="BG60" i="6"/>
  <c r="BD60" i="6"/>
  <c r="BC60" i="6"/>
  <c r="AZ60" i="6"/>
  <c r="AY60" i="6"/>
  <c r="AV60" i="6"/>
  <c r="AU60" i="6"/>
  <c r="AR60" i="6"/>
  <c r="AQ60" i="6"/>
  <c r="AN60" i="6"/>
  <c r="AM60" i="6"/>
  <c r="AJ60" i="6"/>
  <c r="AI60" i="6"/>
  <c r="AF60" i="6"/>
  <c r="AE60" i="6"/>
  <c r="AB60" i="6"/>
  <c r="AA60" i="6"/>
  <c r="X60" i="6"/>
  <c r="W60" i="6"/>
  <c r="T60" i="6"/>
  <c r="S60" i="6"/>
  <c r="P60" i="6"/>
  <c r="O60" i="6"/>
  <c r="L60" i="6"/>
  <c r="K60" i="6"/>
  <c r="J60" i="6"/>
  <c r="BT59" i="6"/>
  <c r="BS59" i="6"/>
  <c r="BP59" i="6"/>
  <c r="BO59" i="6"/>
  <c r="BL59" i="6"/>
  <c r="BK59" i="6"/>
  <c r="BH59" i="6"/>
  <c r="BG59" i="6"/>
  <c r="BD59" i="6"/>
  <c r="BC59" i="6"/>
  <c r="AZ59" i="6"/>
  <c r="AY59" i="6"/>
  <c r="AV59" i="6"/>
  <c r="AU59" i="6"/>
  <c r="AR59" i="6"/>
  <c r="AQ59" i="6"/>
  <c r="AN59" i="6"/>
  <c r="AM59" i="6"/>
  <c r="AJ59" i="6"/>
  <c r="AI59" i="6"/>
  <c r="AF59" i="6"/>
  <c r="AE59" i="6"/>
  <c r="AB59" i="6"/>
  <c r="AA59" i="6"/>
  <c r="X59" i="6"/>
  <c r="W59" i="6"/>
  <c r="T59" i="6"/>
  <c r="S59" i="6"/>
  <c r="P59" i="6"/>
  <c r="O59" i="6"/>
  <c r="L59" i="6"/>
  <c r="K59" i="6"/>
  <c r="J59" i="6"/>
  <c r="BT58" i="6"/>
  <c r="BS58" i="6"/>
  <c r="BP58" i="6"/>
  <c r="BO58" i="6"/>
  <c r="BL58" i="6"/>
  <c r="BK58" i="6"/>
  <c r="BH58" i="6"/>
  <c r="BG58" i="6"/>
  <c r="BD58" i="6"/>
  <c r="BC58" i="6"/>
  <c r="AZ58" i="6"/>
  <c r="AY58" i="6"/>
  <c r="AV58" i="6"/>
  <c r="AU58" i="6"/>
  <c r="AR58" i="6"/>
  <c r="AQ58" i="6"/>
  <c r="AN58" i="6"/>
  <c r="AM58" i="6"/>
  <c r="AJ58" i="6"/>
  <c r="AI58" i="6"/>
  <c r="AF58" i="6"/>
  <c r="AE58" i="6"/>
  <c r="AB58" i="6"/>
  <c r="AA58" i="6"/>
  <c r="X58" i="6"/>
  <c r="W58" i="6"/>
  <c r="T58" i="6"/>
  <c r="S58" i="6"/>
  <c r="P58" i="6"/>
  <c r="O58" i="6"/>
  <c r="L58" i="6"/>
  <c r="K58" i="6"/>
  <c r="J58" i="6"/>
  <c r="BT57" i="6"/>
  <c r="BS57" i="6"/>
  <c r="BP57" i="6"/>
  <c r="BO57" i="6"/>
  <c r="BL57" i="6"/>
  <c r="BK57" i="6"/>
  <c r="BH57" i="6"/>
  <c r="BG57" i="6"/>
  <c r="BD57" i="6"/>
  <c r="BC57" i="6"/>
  <c r="AZ57" i="6"/>
  <c r="AY57" i="6"/>
  <c r="AV57" i="6"/>
  <c r="AU57" i="6"/>
  <c r="AR57" i="6"/>
  <c r="AQ57" i="6"/>
  <c r="AN57" i="6"/>
  <c r="AM57" i="6"/>
  <c r="AJ57" i="6"/>
  <c r="AI57" i="6"/>
  <c r="AF57" i="6"/>
  <c r="AE57" i="6"/>
  <c r="AB57" i="6"/>
  <c r="AA57" i="6"/>
  <c r="X57" i="6"/>
  <c r="W57" i="6"/>
  <c r="T57" i="6"/>
  <c r="S57" i="6"/>
  <c r="P57" i="6"/>
  <c r="O57" i="6"/>
  <c r="L57" i="6"/>
  <c r="K57" i="6"/>
  <c r="J57" i="6"/>
  <c r="BT56" i="6"/>
  <c r="BS56" i="6"/>
  <c r="BP56" i="6"/>
  <c r="BO56" i="6"/>
  <c r="BL56" i="6"/>
  <c r="BK56" i="6"/>
  <c r="BH56" i="6"/>
  <c r="BG56" i="6"/>
  <c r="BD56" i="6"/>
  <c r="BC56" i="6"/>
  <c r="AZ56" i="6"/>
  <c r="AY56" i="6"/>
  <c r="AV56" i="6"/>
  <c r="AU56" i="6"/>
  <c r="AR56" i="6"/>
  <c r="AQ56" i="6"/>
  <c r="AN56" i="6"/>
  <c r="AM56" i="6"/>
  <c r="AJ56" i="6"/>
  <c r="AI56" i="6"/>
  <c r="AF56" i="6"/>
  <c r="AE56" i="6"/>
  <c r="AB56" i="6"/>
  <c r="AA56" i="6"/>
  <c r="X56" i="6"/>
  <c r="W56" i="6"/>
  <c r="T56" i="6"/>
  <c r="S56" i="6"/>
  <c r="P56" i="6"/>
  <c r="O56" i="6"/>
  <c r="L56" i="6"/>
  <c r="K56" i="6"/>
  <c r="J56" i="6"/>
  <c r="BT55" i="6"/>
  <c r="BS55" i="6"/>
  <c r="BP55" i="6"/>
  <c r="BO55" i="6"/>
  <c r="BL55" i="6"/>
  <c r="BK55" i="6"/>
  <c r="BH55" i="6"/>
  <c r="BG55" i="6"/>
  <c r="BD55" i="6"/>
  <c r="BC55" i="6"/>
  <c r="AZ55" i="6"/>
  <c r="AY55" i="6"/>
  <c r="AV55" i="6"/>
  <c r="AU55" i="6"/>
  <c r="AR55" i="6"/>
  <c r="AQ55" i="6"/>
  <c r="AN55" i="6"/>
  <c r="AM55" i="6"/>
  <c r="AJ55" i="6"/>
  <c r="AI55" i="6"/>
  <c r="AF55" i="6"/>
  <c r="AE55" i="6"/>
  <c r="AB55" i="6"/>
  <c r="AA55" i="6"/>
  <c r="X55" i="6"/>
  <c r="W55" i="6"/>
  <c r="T55" i="6"/>
  <c r="S55" i="6"/>
  <c r="P55" i="6"/>
  <c r="O55" i="6"/>
  <c r="L55" i="6"/>
  <c r="K55" i="6"/>
  <c r="J55" i="6"/>
  <c r="BT54" i="6"/>
  <c r="BS54" i="6"/>
  <c r="BP54" i="6"/>
  <c r="BO54" i="6"/>
  <c r="BL54" i="6"/>
  <c r="BK54" i="6"/>
  <c r="BH54" i="6"/>
  <c r="BG54" i="6"/>
  <c r="BD54" i="6"/>
  <c r="BC54" i="6"/>
  <c r="AZ54" i="6"/>
  <c r="AY54" i="6"/>
  <c r="AV54" i="6"/>
  <c r="AU54" i="6"/>
  <c r="AR54" i="6"/>
  <c r="AQ54" i="6"/>
  <c r="AN54" i="6"/>
  <c r="AM54" i="6"/>
  <c r="AJ54" i="6"/>
  <c r="AI54" i="6"/>
  <c r="AF54" i="6"/>
  <c r="AE54" i="6"/>
  <c r="AB54" i="6"/>
  <c r="AA54" i="6"/>
  <c r="X54" i="6"/>
  <c r="W54" i="6"/>
  <c r="T54" i="6"/>
  <c r="S54" i="6"/>
  <c r="P54" i="6"/>
  <c r="O54" i="6"/>
  <c r="L54" i="6"/>
  <c r="K54" i="6"/>
  <c r="J54" i="6"/>
  <c r="BT53" i="6"/>
  <c r="BS53" i="6"/>
  <c r="BP53" i="6"/>
  <c r="BO53" i="6"/>
  <c r="BL53" i="6"/>
  <c r="BK53" i="6"/>
  <c r="BH53" i="6"/>
  <c r="BG53" i="6"/>
  <c r="BD53" i="6"/>
  <c r="BC53" i="6"/>
  <c r="AZ53" i="6"/>
  <c r="AY53" i="6"/>
  <c r="AV53" i="6"/>
  <c r="AU53" i="6"/>
  <c r="AR53" i="6"/>
  <c r="AQ53" i="6"/>
  <c r="AN53" i="6"/>
  <c r="AM53" i="6"/>
  <c r="AJ53" i="6"/>
  <c r="AI53" i="6"/>
  <c r="AF53" i="6"/>
  <c r="AE53" i="6"/>
  <c r="AB53" i="6"/>
  <c r="AA53" i="6"/>
  <c r="X53" i="6"/>
  <c r="W53" i="6"/>
  <c r="T53" i="6"/>
  <c r="S53" i="6"/>
  <c r="P53" i="6"/>
  <c r="O53" i="6"/>
  <c r="L53" i="6"/>
  <c r="K53" i="6"/>
  <c r="J53" i="6"/>
  <c r="BT52" i="6"/>
  <c r="BS52" i="6"/>
  <c r="BP52" i="6"/>
  <c r="BO52" i="6"/>
  <c r="BL52" i="6"/>
  <c r="BK52" i="6"/>
  <c r="BH52" i="6"/>
  <c r="BG52" i="6"/>
  <c r="BD52" i="6"/>
  <c r="BC52" i="6"/>
  <c r="AZ52" i="6"/>
  <c r="AY52" i="6"/>
  <c r="AV52" i="6"/>
  <c r="AU52" i="6"/>
  <c r="AR52" i="6"/>
  <c r="AQ52" i="6"/>
  <c r="AN52" i="6"/>
  <c r="AM52" i="6"/>
  <c r="AJ52" i="6"/>
  <c r="AI52" i="6"/>
  <c r="AF52" i="6"/>
  <c r="AE52" i="6"/>
  <c r="AB52" i="6"/>
  <c r="AA52" i="6"/>
  <c r="X52" i="6"/>
  <c r="W52" i="6"/>
  <c r="T52" i="6"/>
  <c r="S52" i="6"/>
  <c r="P52" i="6"/>
  <c r="O52" i="6"/>
  <c r="L52" i="6"/>
  <c r="K52" i="6"/>
  <c r="J52" i="6"/>
  <c r="BT51" i="6"/>
  <c r="BS51" i="6"/>
  <c r="BP51" i="6"/>
  <c r="BO51" i="6"/>
  <c r="BL51" i="6"/>
  <c r="BK51" i="6"/>
  <c r="BH51" i="6"/>
  <c r="BG51" i="6"/>
  <c r="BD51" i="6"/>
  <c r="BC51" i="6"/>
  <c r="AZ51" i="6"/>
  <c r="AY51" i="6"/>
  <c r="AV51" i="6"/>
  <c r="AU51" i="6"/>
  <c r="AR51" i="6"/>
  <c r="AQ51" i="6"/>
  <c r="AN51" i="6"/>
  <c r="AM51" i="6"/>
  <c r="AJ51" i="6"/>
  <c r="AI51" i="6"/>
  <c r="AF51" i="6"/>
  <c r="AE51" i="6"/>
  <c r="AB51" i="6"/>
  <c r="AA51" i="6"/>
  <c r="X51" i="6"/>
  <c r="W51" i="6"/>
  <c r="T51" i="6"/>
  <c r="S51" i="6"/>
  <c r="P51" i="6"/>
  <c r="O51" i="6"/>
  <c r="L51" i="6"/>
  <c r="K51" i="6"/>
  <c r="J51" i="6"/>
  <c r="BT50" i="6"/>
  <c r="BS50" i="6"/>
  <c r="BP50" i="6"/>
  <c r="BO50" i="6"/>
  <c r="BL50" i="6"/>
  <c r="BK50" i="6"/>
  <c r="BH50" i="6"/>
  <c r="BG50" i="6"/>
  <c r="BD50" i="6"/>
  <c r="BC50" i="6"/>
  <c r="AZ50" i="6"/>
  <c r="AY50" i="6"/>
  <c r="AV50" i="6"/>
  <c r="AU50" i="6"/>
  <c r="AR50" i="6"/>
  <c r="AQ50" i="6"/>
  <c r="AN50" i="6"/>
  <c r="AM50" i="6"/>
  <c r="AJ50" i="6"/>
  <c r="AI50" i="6"/>
  <c r="AF50" i="6"/>
  <c r="AE50" i="6"/>
  <c r="AB50" i="6"/>
  <c r="AA50" i="6"/>
  <c r="X50" i="6"/>
  <c r="W50" i="6"/>
  <c r="T50" i="6"/>
  <c r="S50" i="6"/>
  <c r="P50" i="6"/>
  <c r="O50" i="6"/>
  <c r="L50" i="6"/>
  <c r="K50" i="6"/>
  <c r="J50" i="6"/>
  <c r="BT49" i="6"/>
  <c r="BS49" i="6"/>
  <c r="BP49" i="6"/>
  <c r="BO49" i="6"/>
  <c r="BL49" i="6"/>
  <c r="BK49" i="6"/>
  <c r="BH49" i="6"/>
  <c r="BG49" i="6"/>
  <c r="BD49" i="6"/>
  <c r="BC49" i="6"/>
  <c r="AZ49" i="6"/>
  <c r="AY49" i="6"/>
  <c r="AV49" i="6"/>
  <c r="AU49" i="6"/>
  <c r="AR49" i="6"/>
  <c r="AQ49" i="6"/>
  <c r="AN49" i="6"/>
  <c r="AM49" i="6"/>
  <c r="AJ49" i="6"/>
  <c r="AI49" i="6"/>
  <c r="AF49" i="6"/>
  <c r="AE49" i="6"/>
  <c r="AB49" i="6"/>
  <c r="AA49" i="6"/>
  <c r="X49" i="6"/>
  <c r="W49" i="6"/>
  <c r="T49" i="6"/>
  <c r="S49" i="6"/>
  <c r="P49" i="6"/>
  <c r="O49" i="6"/>
  <c r="L49" i="6"/>
  <c r="K49" i="6"/>
  <c r="J49" i="6"/>
  <c r="BT48" i="6"/>
  <c r="BS48" i="6"/>
  <c r="BP48" i="6"/>
  <c r="BO48" i="6"/>
  <c r="BL48" i="6"/>
  <c r="BK48" i="6"/>
  <c r="BH48" i="6"/>
  <c r="BG48" i="6"/>
  <c r="BD48" i="6"/>
  <c r="BC48" i="6"/>
  <c r="AZ48" i="6"/>
  <c r="AY48" i="6"/>
  <c r="AV48" i="6"/>
  <c r="AU48" i="6"/>
  <c r="AR48" i="6"/>
  <c r="AQ48" i="6"/>
  <c r="AN48" i="6"/>
  <c r="AM48" i="6"/>
  <c r="AJ48" i="6"/>
  <c r="AI48" i="6"/>
  <c r="AF48" i="6"/>
  <c r="AE48" i="6"/>
  <c r="AB48" i="6"/>
  <c r="AA48" i="6"/>
  <c r="X48" i="6"/>
  <c r="W48" i="6"/>
  <c r="T48" i="6"/>
  <c r="S48" i="6"/>
  <c r="P48" i="6"/>
  <c r="O48" i="6"/>
  <c r="L48" i="6"/>
  <c r="K48" i="6"/>
  <c r="J48" i="6"/>
  <c r="BT47" i="6"/>
  <c r="BS47" i="6"/>
  <c r="BP47" i="6"/>
  <c r="BO47" i="6"/>
  <c r="BL47" i="6"/>
  <c r="BK47" i="6"/>
  <c r="BH47" i="6"/>
  <c r="BG47" i="6"/>
  <c r="BD47" i="6"/>
  <c r="BC47" i="6"/>
  <c r="AZ47" i="6"/>
  <c r="AY47" i="6"/>
  <c r="AV47" i="6"/>
  <c r="AU47" i="6"/>
  <c r="AR47" i="6"/>
  <c r="AQ47" i="6"/>
  <c r="AN47" i="6"/>
  <c r="AM47" i="6"/>
  <c r="AJ47" i="6"/>
  <c r="AI47" i="6"/>
  <c r="AF47" i="6"/>
  <c r="AE47" i="6"/>
  <c r="AB47" i="6"/>
  <c r="AA47" i="6"/>
  <c r="X47" i="6"/>
  <c r="W47" i="6"/>
  <c r="T47" i="6"/>
  <c r="S47" i="6"/>
  <c r="P47" i="6"/>
  <c r="O47" i="6"/>
  <c r="L47" i="6"/>
  <c r="K47" i="6"/>
  <c r="J47" i="6"/>
  <c r="BT46" i="6"/>
  <c r="BS46" i="6"/>
  <c r="BP46" i="6"/>
  <c r="BO46" i="6"/>
  <c r="BL46" i="6"/>
  <c r="BK46" i="6"/>
  <c r="BH46" i="6"/>
  <c r="BG46" i="6"/>
  <c r="BD46" i="6"/>
  <c r="BC46" i="6"/>
  <c r="AZ46" i="6"/>
  <c r="AY46" i="6"/>
  <c r="AV46" i="6"/>
  <c r="AU46" i="6"/>
  <c r="AR46" i="6"/>
  <c r="AQ46" i="6"/>
  <c r="AN46" i="6"/>
  <c r="AM46" i="6"/>
  <c r="AJ46" i="6"/>
  <c r="AI46" i="6"/>
  <c r="AF46" i="6"/>
  <c r="AE46" i="6"/>
  <c r="AB46" i="6"/>
  <c r="AA46" i="6"/>
  <c r="X46" i="6"/>
  <c r="W46" i="6"/>
  <c r="T46" i="6"/>
  <c r="S46" i="6"/>
  <c r="P46" i="6"/>
  <c r="O46" i="6"/>
  <c r="L46" i="6"/>
  <c r="K46" i="6"/>
  <c r="J46" i="6"/>
  <c r="BT45" i="6"/>
  <c r="BS45" i="6"/>
  <c r="BP45" i="6"/>
  <c r="BO45" i="6"/>
  <c r="BL45" i="6"/>
  <c r="BK45" i="6"/>
  <c r="BH45" i="6"/>
  <c r="BG45" i="6"/>
  <c r="BD45" i="6"/>
  <c r="BC45" i="6"/>
  <c r="AZ45" i="6"/>
  <c r="AY45" i="6"/>
  <c r="AV45" i="6"/>
  <c r="AU45" i="6"/>
  <c r="AR45" i="6"/>
  <c r="AQ45" i="6"/>
  <c r="AN45" i="6"/>
  <c r="AM45" i="6"/>
  <c r="AJ45" i="6"/>
  <c r="AI45" i="6"/>
  <c r="AF45" i="6"/>
  <c r="AE45" i="6"/>
  <c r="AB45" i="6"/>
  <c r="AA45" i="6"/>
  <c r="X45" i="6"/>
  <c r="W45" i="6"/>
  <c r="T45" i="6"/>
  <c r="S45" i="6"/>
  <c r="P45" i="6"/>
  <c r="O45" i="6"/>
  <c r="L45" i="6"/>
  <c r="K45" i="6"/>
  <c r="J45" i="6"/>
  <c r="BT44" i="6"/>
  <c r="BS44" i="6"/>
  <c r="BP44" i="6"/>
  <c r="BO44" i="6"/>
  <c r="BL44" i="6"/>
  <c r="BK44" i="6"/>
  <c r="BH44" i="6"/>
  <c r="BG44" i="6"/>
  <c r="BD44" i="6"/>
  <c r="BC44" i="6"/>
  <c r="AZ44" i="6"/>
  <c r="AY44" i="6"/>
  <c r="AV44" i="6"/>
  <c r="AU44" i="6"/>
  <c r="AR44" i="6"/>
  <c r="AQ44" i="6"/>
  <c r="AN44" i="6"/>
  <c r="AM44" i="6"/>
  <c r="AJ44" i="6"/>
  <c r="AI44" i="6"/>
  <c r="AF44" i="6"/>
  <c r="AE44" i="6"/>
  <c r="AB44" i="6"/>
  <c r="AA44" i="6"/>
  <c r="X44" i="6"/>
  <c r="W44" i="6"/>
  <c r="T44" i="6"/>
  <c r="S44" i="6"/>
  <c r="P44" i="6"/>
  <c r="O44" i="6"/>
  <c r="L44" i="6"/>
  <c r="K44" i="6"/>
  <c r="J44" i="6"/>
  <c r="BT43" i="6"/>
  <c r="BS43" i="6"/>
  <c r="BP43" i="6"/>
  <c r="BO43" i="6"/>
  <c r="BL43" i="6"/>
  <c r="BK43" i="6"/>
  <c r="BH43" i="6"/>
  <c r="BG43" i="6"/>
  <c r="BD43" i="6"/>
  <c r="BC43" i="6"/>
  <c r="AZ43" i="6"/>
  <c r="AY43" i="6"/>
  <c r="AV43" i="6"/>
  <c r="AU43" i="6"/>
  <c r="AR43" i="6"/>
  <c r="AQ43" i="6"/>
  <c r="AN43" i="6"/>
  <c r="AM43" i="6"/>
  <c r="AJ43" i="6"/>
  <c r="AI43" i="6"/>
  <c r="AF43" i="6"/>
  <c r="AE43" i="6"/>
  <c r="AB43" i="6"/>
  <c r="AA43" i="6"/>
  <c r="X43" i="6"/>
  <c r="W43" i="6"/>
  <c r="T43" i="6"/>
  <c r="S43" i="6"/>
  <c r="P43" i="6"/>
  <c r="O43" i="6"/>
  <c r="L43" i="6"/>
  <c r="K43" i="6"/>
  <c r="J43" i="6"/>
  <c r="BT42" i="6"/>
  <c r="BS42" i="6"/>
  <c r="BP42" i="6"/>
  <c r="BO42" i="6"/>
  <c r="BL42" i="6"/>
  <c r="BK42" i="6"/>
  <c r="BH42" i="6"/>
  <c r="BG42" i="6"/>
  <c r="BD42" i="6"/>
  <c r="BC42" i="6"/>
  <c r="AZ42" i="6"/>
  <c r="AY42" i="6"/>
  <c r="AV42" i="6"/>
  <c r="AU42" i="6"/>
  <c r="AR42" i="6"/>
  <c r="AQ42" i="6"/>
  <c r="AN42" i="6"/>
  <c r="AM42" i="6"/>
  <c r="AJ42" i="6"/>
  <c r="AI42" i="6"/>
  <c r="AF42" i="6"/>
  <c r="AE42" i="6"/>
  <c r="AB42" i="6"/>
  <c r="AA42" i="6"/>
  <c r="X42" i="6"/>
  <c r="W42" i="6"/>
  <c r="T42" i="6"/>
  <c r="S42" i="6"/>
  <c r="P42" i="6"/>
  <c r="O42" i="6"/>
  <c r="L42" i="6"/>
  <c r="K42" i="6"/>
  <c r="J42" i="6"/>
  <c r="BT41" i="6"/>
  <c r="BS41" i="6"/>
  <c r="BP41" i="6"/>
  <c r="BO41" i="6"/>
  <c r="BL41" i="6"/>
  <c r="BK41" i="6"/>
  <c r="BH41" i="6"/>
  <c r="BG41" i="6"/>
  <c r="BD41" i="6"/>
  <c r="BC41" i="6"/>
  <c r="AZ41" i="6"/>
  <c r="AY41" i="6"/>
  <c r="AV41" i="6"/>
  <c r="AU41" i="6"/>
  <c r="AR41" i="6"/>
  <c r="AQ41" i="6"/>
  <c r="AN41" i="6"/>
  <c r="AM41" i="6"/>
  <c r="AJ41" i="6"/>
  <c r="AI41" i="6"/>
  <c r="AF41" i="6"/>
  <c r="AE41" i="6"/>
  <c r="AB41" i="6"/>
  <c r="AA41" i="6"/>
  <c r="X41" i="6"/>
  <c r="W41" i="6"/>
  <c r="T41" i="6"/>
  <c r="S41" i="6"/>
  <c r="P41" i="6"/>
  <c r="O41" i="6"/>
  <c r="L41" i="6"/>
  <c r="K41" i="6"/>
  <c r="J41" i="6"/>
  <c r="BT40" i="6"/>
  <c r="BS40" i="6"/>
  <c r="BP40" i="6"/>
  <c r="BO40" i="6"/>
  <c r="BL40" i="6"/>
  <c r="BK40" i="6"/>
  <c r="BH40" i="6"/>
  <c r="BG40" i="6"/>
  <c r="BD40" i="6"/>
  <c r="BC40" i="6"/>
  <c r="AZ40" i="6"/>
  <c r="AY40" i="6"/>
  <c r="AV40" i="6"/>
  <c r="AU40" i="6"/>
  <c r="AR40" i="6"/>
  <c r="AQ40" i="6"/>
  <c r="AN40" i="6"/>
  <c r="AM40" i="6"/>
  <c r="AJ40" i="6"/>
  <c r="AI40" i="6"/>
  <c r="AF40" i="6"/>
  <c r="AE40" i="6"/>
  <c r="AB40" i="6"/>
  <c r="AA40" i="6"/>
  <c r="X40" i="6"/>
  <c r="W40" i="6"/>
  <c r="T40" i="6"/>
  <c r="S40" i="6"/>
  <c r="P40" i="6"/>
  <c r="O40" i="6"/>
  <c r="L40" i="6"/>
  <c r="K40" i="6"/>
  <c r="J40" i="6"/>
  <c r="BT39" i="6"/>
  <c r="BS39" i="6"/>
  <c r="BP39" i="6"/>
  <c r="BO39" i="6"/>
  <c r="BL39" i="6"/>
  <c r="BK39" i="6"/>
  <c r="BH39" i="6"/>
  <c r="BG39" i="6"/>
  <c r="BD39" i="6"/>
  <c r="BC39" i="6"/>
  <c r="AZ39" i="6"/>
  <c r="AY39" i="6"/>
  <c r="AV39" i="6"/>
  <c r="AU39" i="6"/>
  <c r="AR39" i="6"/>
  <c r="AQ39" i="6"/>
  <c r="AN39" i="6"/>
  <c r="AM39" i="6"/>
  <c r="AJ39" i="6"/>
  <c r="AI39" i="6"/>
  <c r="AF39" i="6"/>
  <c r="AE39" i="6"/>
  <c r="AB39" i="6"/>
  <c r="AA39" i="6"/>
  <c r="X39" i="6"/>
  <c r="W39" i="6"/>
  <c r="T39" i="6"/>
  <c r="S39" i="6"/>
  <c r="P39" i="6"/>
  <c r="O39" i="6"/>
  <c r="L39" i="6"/>
  <c r="K39" i="6"/>
  <c r="J39" i="6"/>
  <c r="BT38" i="6"/>
  <c r="BS38" i="6"/>
  <c r="BP38" i="6"/>
  <c r="BO38" i="6"/>
  <c r="BL38" i="6"/>
  <c r="BK38" i="6"/>
  <c r="BH38" i="6"/>
  <c r="BG38" i="6"/>
  <c r="BD38" i="6"/>
  <c r="BC38" i="6"/>
  <c r="AZ38" i="6"/>
  <c r="AY38" i="6"/>
  <c r="AV38" i="6"/>
  <c r="AU38" i="6"/>
  <c r="AR38" i="6"/>
  <c r="AQ38" i="6"/>
  <c r="AN38" i="6"/>
  <c r="AM38" i="6"/>
  <c r="AJ38" i="6"/>
  <c r="AI38" i="6"/>
  <c r="AF38" i="6"/>
  <c r="AE38" i="6"/>
  <c r="AB38" i="6"/>
  <c r="AA38" i="6"/>
  <c r="X38" i="6"/>
  <c r="W38" i="6"/>
  <c r="T38" i="6"/>
  <c r="S38" i="6"/>
  <c r="P38" i="6"/>
  <c r="O38" i="6"/>
  <c r="L38" i="6"/>
  <c r="K38" i="6"/>
  <c r="J38" i="6"/>
  <c r="BT37" i="6"/>
  <c r="BS37" i="6"/>
  <c r="BP37" i="6"/>
  <c r="BO37" i="6"/>
  <c r="BL37" i="6"/>
  <c r="BK37" i="6"/>
  <c r="BH37" i="6"/>
  <c r="BG37" i="6"/>
  <c r="BD37" i="6"/>
  <c r="BC37" i="6"/>
  <c r="AZ37" i="6"/>
  <c r="AY37" i="6"/>
  <c r="AV37" i="6"/>
  <c r="AU37" i="6"/>
  <c r="AR37" i="6"/>
  <c r="AQ37" i="6"/>
  <c r="AN37" i="6"/>
  <c r="AM37" i="6"/>
  <c r="AJ37" i="6"/>
  <c r="AI37" i="6"/>
  <c r="AF37" i="6"/>
  <c r="AE37" i="6"/>
  <c r="AB37" i="6"/>
  <c r="AA37" i="6"/>
  <c r="X37" i="6"/>
  <c r="W37" i="6"/>
  <c r="T37" i="6"/>
  <c r="S37" i="6"/>
  <c r="P37" i="6"/>
  <c r="O37" i="6"/>
  <c r="L37" i="6"/>
  <c r="K37" i="6"/>
  <c r="J37" i="6"/>
  <c r="BT36" i="6"/>
  <c r="BS36" i="6"/>
  <c r="BP36" i="6"/>
  <c r="BO36" i="6"/>
  <c r="BL36" i="6"/>
  <c r="BK36" i="6"/>
  <c r="BH36" i="6"/>
  <c r="BG36" i="6"/>
  <c r="BD36" i="6"/>
  <c r="BC36" i="6"/>
  <c r="AZ36" i="6"/>
  <c r="AY36" i="6"/>
  <c r="AV36" i="6"/>
  <c r="AU36" i="6"/>
  <c r="AR36" i="6"/>
  <c r="AQ36" i="6"/>
  <c r="AN36" i="6"/>
  <c r="AM36" i="6"/>
  <c r="AJ36" i="6"/>
  <c r="AI36" i="6"/>
  <c r="AF36" i="6"/>
  <c r="AE36" i="6"/>
  <c r="AB36" i="6"/>
  <c r="AA36" i="6"/>
  <c r="X36" i="6"/>
  <c r="W36" i="6"/>
  <c r="T36" i="6"/>
  <c r="S36" i="6"/>
  <c r="P36" i="6"/>
  <c r="O36" i="6"/>
  <c r="L36" i="6"/>
  <c r="K36" i="6"/>
  <c r="J36" i="6"/>
  <c r="BT35" i="6"/>
  <c r="BS35" i="6"/>
  <c r="BP35" i="6"/>
  <c r="BO35" i="6"/>
  <c r="BL35" i="6"/>
  <c r="BK35" i="6"/>
  <c r="BH35" i="6"/>
  <c r="BG35" i="6"/>
  <c r="BD35" i="6"/>
  <c r="BC35" i="6"/>
  <c r="AZ35" i="6"/>
  <c r="AY35" i="6"/>
  <c r="AV35" i="6"/>
  <c r="AU35" i="6"/>
  <c r="AR35" i="6"/>
  <c r="AQ35" i="6"/>
  <c r="AN35" i="6"/>
  <c r="AM35" i="6"/>
  <c r="AJ35" i="6"/>
  <c r="AI35" i="6"/>
  <c r="AF35" i="6"/>
  <c r="AE35" i="6"/>
  <c r="AB35" i="6"/>
  <c r="AA35" i="6"/>
  <c r="X35" i="6"/>
  <c r="W35" i="6"/>
  <c r="T35" i="6"/>
  <c r="S35" i="6"/>
  <c r="P35" i="6"/>
  <c r="O35" i="6"/>
  <c r="L35" i="6"/>
  <c r="K35" i="6"/>
  <c r="J35" i="6"/>
  <c r="BT34" i="6"/>
  <c r="BS34" i="6"/>
  <c r="BP34" i="6"/>
  <c r="BO34" i="6"/>
  <c r="BL34" i="6"/>
  <c r="BK34" i="6"/>
  <c r="BH34" i="6"/>
  <c r="BG34" i="6"/>
  <c r="BD34" i="6"/>
  <c r="BC34" i="6"/>
  <c r="AZ34" i="6"/>
  <c r="AY34" i="6"/>
  <c r="AV34" i="6"/>
  <c r="AU34" i="6"/>
  <c r="AR34" i="6"/>
  <c r="AQ34" i="6"/>
  <c r="AN34" i="6"/>
  <c r="AM34" i="6"/>
  <c r="AJ34" i="6"/>
  <c r="AI34" i="6"/>
  <c r="AF34" i="6"/>
  <c r="AE34" i="6"/>
  <c r="AB34" i="6"/>
  <c r="AA34" i="6"/>
  <c r="X34" i="6"/>
  <c r="W34" i="6"/>
  <c r="T34" i="6"/>
  <c r="S34" i="6"/>
  <c r="P34" i="6"/>
  <c r="O34" i="6"/>
  <c r="L34" i="6"/>
  <c r="K34" i="6"/>
  <c r="J34" i="6"/>
  <c r="BT33" i="6"/>
  <c r="BS33" i="6"/>
  <c r="BP33" i="6"/>
  <c r="BO33" i="6"/>
  <c r="BL33" i="6"/>
  <c r="BK33" i="6"/>
  <c r="BH33" i="6"/>
  <c r="BG33" i="6"/>
  <c r="BD33" i="6"/>
  <c r="BC33" i="6"/>
  <c r="AZ33" i="6"/>
  <c r="AY33" i="6"/>
  <c r="AV33" i="6"/>
  <c r="AU33" i="6"/>
  <c r="AR33" i="6"/>
  <c r="AQ33" i="6"/>
  <c r="AN33" i="6"/>
  <c r="AM33" i="6"/>
  <c r="AJ33" i="6"/>
  <c r="AI33" i="6"/>
  <c r="AF33" i="6"/>
  <c r="AE33" i="6"/>
  <c r="AB33" i="6"/>
  <c r="AA33" i="6"/>
  <c r="X33" i="6"/>
  <c r="W33" i="6"/>
  <c r="T33" i="6"/>
  <c r="S33" i="6"/>
  <c r="P33" i="6"/>
  <c r="O33" i="6"/>
  <c r="L33" i="6"/>
  <c r="K33" i="6"/>
  <c r="J33" i="6"/>
  <c r="BT32" i="6"/>
  <c r="BS32" i="6"/>
  <c r="BP32" i="6"/>
  <c r="BO32" i="6"/>
  <c r="BL32" i="6"/>
  <c r="BK32" i="6"/>
  <c r="BH32" i="6"/>
  <c r="BG32" i="6"/>
  <c r="BD32" i="6"/>
  <c r="BC32" i="6"/>
  <c r="AZ32" i="6"/>
  <c r="AY32" i="6"/>
  <c r="AV32" i="6"/>
  <c r="AU32" i="6"/>
  <c r="AR32" i="6"/>
  <c r="AQ32" i="6"/>
  <c r="AN32" i="6"/>
  <c r="AM32" i="6"/>
  <c r="AJ32" i="6"/>
  <c r="AI32" i="6"/>
  <c r="AF32" i="6"/>
  <c r="AE32" i="6"/>
  <c r="AB32" i="6"/>
  <c r="AA32" i="6"/>
  <c r="X32" i="6"/>
  <c r="W32" i="6"/>
  <c r="T32" i="6"/>
  <c r="S32" i="6"/>
  <c r="P32" i="6"/>
  <c r="O32" i="6"/>
  <c r="L32" i="6"/>
  <c r="K32" i="6"/>
  <c r="J32" i="6"/>
  <c r="BT31" i="6"/>
  <c r="BS31" i="6"/>
  <c r="BP31" i="6"/>
  <c r="BO31" i="6"/>
  <c r="BL31" i="6"/>
  <c r="BK31" i="6"/>
  <c r="BH31" i="6"/>
  <c r="BG31" i="6"/>
  <c r="BD31" i="6"/>
  <c r="BC31" i="6"/>
  <c r="AZ31" i="6"/>
  <c r="AY31" i="6"/>
  <c r="AV31" i="6"/>
  <c r="AU31" i="6"/>
  <c r="AR31" i="6"/>
  <c r="AQ31" i="6"/>
  <c r="AN31" i="6"/>
  <c r="AM31" i="6"/>
  <c r="AJ31" i="6"/>
  <c r="AI31" i="6"/>
  <c r="AF31" i="6"/>
  <c r="AE31" i="6"/>
  <c r="AB31" i="6"/>
  <c r="AA31" i="6"/>
  <c r="X31" i="6"/>
  <c r="W31" i="6"/>
  <c r="T31" i="6"/>
  <c r="S31" i="6"/>
  <c r="P31" i="6"/>
  <c r="O31" i="6"/>
  <c r="L31" i="6"/>
  <c r="K31" i="6"/>
  <c r="J31" i="6"/>
  <c r="BT30" i="6"/>
  <c r="BS30" i="6"/>
  <c r="BP30" i="6"/>
  <c r="BO30" i="6"/>
  <c r="BL30" i="6"/>
  <c r="BK30" i="6"/>
  <c r="BH30" i="6"/>
  <c r="BG30" i="6"/>
  <c r="BD30" i="6"/>
  <c r="BC30" i="6"/>
  <c r="AZ30" i="6"/>
  <c r="AY30" i="6"/>
  <c r="AV30" i="6"/>
  <c r="AU30" i="6"/>
  <c r="AR30" i="6"/>
  <c r="AQ30" i="6"/>
  <c r="AN30" i="6"/>
  <c r="AM30" i="6"/>
  <c r="AJ30" i="6"/>
  <c r="AI30" i="6"/>
  <c r="AF30" i="6"/>
  <c r="AE30" i="6"/>
  <c r="AB30" i="6"/>
  <c r="AA30" i="6"/>
  <c r="X30" i="6"/>
  <c r="W30" i="6"/>
  <c r="T30" i="6"/>
  <c r="S30" i="6"/>
  <c r="P30" i="6"/>
  <c r="O30" i="6"/>
  <c r="L30" i="6"/>
  <c r="K30" i="6"/>
  <c r="J30" i="6"/>
  <c r="BT29" i="6"/>
  <c r="BS29" i="6"/>
  <c r="BP29" i="6"/>
  <c r="BO29" i="6"/>
  <c r="BL29" i="6"/>
  <c r="BK29" i="6"/>
  <c r="BH29" i="6"/>
  <c r="BG29" i="6"/>
  <c r="BD29" i="6"/>
  <c r="BC29" i="6"/>
  <c r="AZ29" i="6"/>
  <c r="AY29" i="6"/>
  <c r="AV29" i="6"/>
  <c r="AU29" i="6"/>
  <c r="AR29" i="6"/>
  <c r="AQ29" i="6"/>
  <c r="AN29" i="6"/>
  <c r="AM29" i="6"/>
  <c r="AJ29" i="6"/>
  <c r="AI29" i="6"/>
  <c r="AF29" i="6"/>
  <c r="AE29" i="6"/>
  <c r="AB29" i="6"/>
  <c r="AA29" i="6"/>
  <c r="X29" i="6"/>
  <c r="W29" i="6"/>
  <c r="T29" i="6"/>
  <c r="S29" i="6"/>
  <c r="P29" i="6"/>
  <c r="O29" i="6"/>
  <c r="L29" i="6"/>
  <c r="K29" i="6"/>
  <c r="J29" i="6"/>
  <c r="BT28" i="6"/>
  <c r="BS28" i="6"/>
  <c r="BP28" i="6"/>
  <c r="BO28" i="6"/>
  <c r="BL28" i="6"/>
  <c r="BK28" i="6"/>
  <c r="BH28" i="6"/>
  <c r="BG28" i="6"/>
  <c r="BD28" i="6"/>
  <c r="BC28" i="6"/>
  <c r="AZ28" i="6"/>
  <c r="AY28" i="6"/>
  <c r="AV28" i="6"/>
  <c r="AU28" i="6"/>
  <c r="AR28" i="6"/>
  <c r="AQ28" i="6"/>
  <c r="AN28" i="6"/>
  <c r="AM28" i="6"/>
  <c r="AJ28" i="6"/>
  <c r="AI28" i="6"/>
  <c r="AF28" i="6"/>
  <c r="AE28" i="6"/>
  <c r="AB28" i="6"/>
  <c r="AA28" i="6"/>
  <c r="X28" i="6"/>
  <c r="W28" i="6"/>
  <c r="T28" i="6"/>
  <c r="S28" i="6"/>
  <c r="P28" i="6"/>
  <c r="O28" i="6"/>
  <c r="L28" i="6"/>
  <c r="K28" i="6"/>
  <c r="J28" i="6"/>
  <c r="BT27" i="6"/>
  <c r="BS27" i="6"/>
  <c r="BP27" i="6"/>
  <c r="BO27" i="6"/>
  <c r="BL27" i="6"/>
  <c r="BK27" i="6"/>
  <c r="BH27" i="6"/>
  <c r="BG27" i="6"/>
  <c r="BD27" i="6"/>
  <c r="BC27" i="6"/>
  <c r="AZ27" i="6"/>
  <c r="AY27" i="6"/>
  <c r="AV27" i="6"/>
  <c r="AU27" i="6"/>
  <c r="AR27" i="6"/>
  <c r="AQ27" i="6"/>
  <c r="AN27" i="6"/>
  <c r="AM27" i="6"/>
  <c r="AJ27" i="6"/>
  <c r="AI27" i="6"/>
  <c r="AF27" i="6"/>
  <c r="AE27" i="6"/>
  <c r="AB27" i="6"/>
  <c r="AA27" i="6"/>
  <c r="X27" i="6"/>
  <c r="W27" i="6"/>
  <c r="T27" i="6"/>
  <c r="S27" i="6"/>
  <c r="P27" i="6"/>
  <c r="O27" i="6"/>
  <c r="L27" i="6"/>
  <c r="K27" i="6"/>
  <c r="J27" i="6"/>
  <c r="BT26" i="6"/>
  <c r="BS26" i="6"/>
  <c r="BP26" i="6"/>
  <c r="BO26" i="6"/>
  <c r="BL26" i="6"/>
  <c r="BK26" i="6"/>
  <c r="BH26" i="6"/>
  <c r="BG26" i="6"/>
  <c r="BD26" i="6"/>
  <c r="BC26" i="6"/>
  <c r="AZ26" i="6"/>
  <c r="AY26" i="6"/>
  <c r="AV26" i="6"/>
  <c r="AU26" i="6"/>
  <c r="AR26" i="6"/>
  <c r="AQ26" i="6"/>
  <c r="AN26" i="6"/>
  <c r="AM26" i="6"/>
  <c r="AJ26" i="6"/>
  <c r="AI26" i="6"/>
  <c r="AF26" i="6"/>
  <c r="AE26" i="6"/>
  <c r="AB26" i="6"/>
  <c r="AA26" i="6"/>
  <c r="X26" i="6"/>
  <c r="W26" i="6"/>
  <c r="T26" i="6"/>
  <c r="S26" i="6"/>
  <c r="P26" i="6"/>
  <c r="O26" i="6"/>
  <c r="L26" i="6"/>
  <c r="K26" i="6"/>
  <c r="J26" i="6"/>
  <c r="BT25" i="6"/>
  <c r="BS25" i="6"/>
  <c r="BP25" i="6"/>
  <c r="BO25" i="6"/>
  <c r="BL25" i="6"/>
  <c r="BK25" i="6"/>
  <c r="BH25" i="6"/>
  <c r="BG25" i="6"/>
  <c r="BD25" i="6"/>
  <c r="BC25" i="6"/>
  <c r="AZ25" i="6"/>
  <c r="AY25" i="6"/>
  <c r="AV25" i="6"/>
  <c r="AU25" i="6"/>
  <c r="AR25" i="6"/>
  <c r="AQ25" i="6"/>
  <c r="AN25" i="6"/>
  <c r="AM25" i="6"/>
  <c r="AJ25" i="6"/>
  <c r="AI25" i="6"/>
  <c r="AF25" i="6"/>
  <c r="AE25" i="6"/>
  <c r="AB25" i="6"/>
  <c r="AA25" i="6"/>
  <c r="X25" i="6"/>
  <c r="W25" i="6"/>
  <c r="T25" i="6"/>
  <c r="S25" i="6"/>
  <c r="P25" i="6"/>
  <c r="O25" i="6"/>
  <c r="L25" i="6"/>
  <c r="K25" i="6"/>
  <c r="J25" i="6"/>
  <c r="BT24" i="6"/>
  <c r="BS24" i="6"/>
  <c r="BP24" i="6"/>
  <c r="BO24" i="6"/>
  <c r="BL24" i="6"/>
  <c r="BK24" i="6"/>
  <c r="BH24" i="6"/>
  <c r="BG24" i="6"/>
  <c r="BD24" i="6"/>
  <c r="BC24" i="6"/>
  <c r="AZ24" i="6"/>
  <c r="AY24" i="6"/>
  <c r="AV24" i="6"/>
  <c r="AU24" i="6"/>
  <c r="AR24" i="6"/>
  <c r="AQ24" i="6"/>
  <c r="AN24" i="6"/>
  <c r="AM24" i="6"/>
  <c r="AJ24" i="6"/>
  <c r="AI24" i="6"/>
  <c r="AF24" i="6"/>
  <c r="AE24" i="6"/>
  <c r="AB24" i="6"/>
  <c r="AA24" i="6"/>
  <c r="X24" i="6"/>
  <c r="W24" i="6"/>
  <c r="T24" i="6"/>
  <c r="S24" i="6"/>
  <c r="P24" i="6"/>
  <c r="O24" i="6"/>
  <c r="L24" i="6"/>
  <c r="K24" i="6"/>
  <c r="J24" i="6"/>
  <c r="BT23" i="6"/>
  <c r="BS23" i="6"/>
  <c r="BP23" i="6"/>
  <c r="BO23" i="6"/>
  <c r="BL23" i="6"/>
  <c r="BK23" i="6"/>
  <c r="BH23" i="6"/>
  <c r="BG23" i="6"/>
  <c r="BD23" i="6"/>
  <c r="BC23" i="6"/>
  <c r="AZ23" i="6"/>
  <c r="AY23" i="6"/>
  <c r="AV23" i="6"/>
  <c r="AU23" i="6"/>
  <c r="AR23" i="6"/>
  <c r="AQ23" i="6"/>
  <c r="AN23" i="6"/>
  <c r="AM23" i="6"/>
  <c r="AJ23" i="6"/>
  <c r="AI23" i="6"/>
  <c r="AF23" i="6"/>
  <c r="AE23" i="6"/>
  <c r="AB23" i="6"/>
  <c r="AA23" i="6"/>
  <c r="X23" i="6"/>
  <c r="W23" i="6"/>
  <c r="T23" i="6"/>
  <c r="S23" i="6"/>
  <c r="P23" i="6"/>
  <c r="O23" i="6"/>
  <c r="L23" i="6"/>
  <c r="K23" i="6"/>
  <c r="J23" i="6"/>
  <c r="BT22" i="6"/>
  <c r="BS22" i="6"/>
  <c r="BP22" i="6"/>
  <c r="BO22" i="6"/>
  <c r="BL22" i="6"/>
  <c r="BK22" i="6"/>
  <c r="BH22" i="6"/>
  <c r="BG22" i="6"/>
  <c r="BD22" i="6"/>
  <c r="BC22" i="6"/>
  <c r="AZ22" i="6"/>
  <c r="AY22" i="6"/>
  <c r="AV22" i="6"/>
  <c r="AU22" i="6"/>
  <c r="AR22" i="6"/>
  <c r="AQ22" i="6"/>
  <c r="AN22" i="6"/>
  <c r="AM22" i="6"/>
  <c r="AJ22" i="6"/>
  <c r="AI22" i="6"/>
  <c r="AF22" i="6"/>
  <c r="AE22" i="6"/>
  <c r="AB22" i="6"/>
  <c r="AA22" i="6"/>
  <c r="X22" i="6"/>
  <c r="W22" i="6"/>
  <c r="T22" i="6"/>
  <c r="S22" i="6"/>
  <c r="P22" i="6"/>
  <c r="O22" i="6"/>
  <c r="L22" i="6"/>
  <c r="K22" i="6"/>
  <c r="J22" i="6"/>
  <c r="BT21" i="6"/>
  <c r="BS21" i="6"/>
  <c r="BP21" i="6"/>
  <c r="BO21" i="6"/>
  <c r="BL21" i="6"/>
  <c r="BK21" i="6"/>
  <c r="BH21" i="6"/>
  <c r="BG21" i="6"/>
  <c r="BD21" i="6"/>
  <c r="BC21" i="6"/>
  <c r="AZ21" i="6"/>
  <c r="AY21" i="6"/>
  <c r="AV21" i="6"/>
  <c r="AU21" i="6"/>
  <c r="AR21" i="6"/>
  <c r="AQ21" i="6"/>
  <c r="AN21" i="6"/>
  <c r="AM21" i="6"/>
  <c r="AJ21" i="6"/>
  <c r="AI21" i="6"/>
  <c r="AF21" i="6"/>
  <c r="AE21" i="6"/>
  <c r="AB21" i="6"/>
  <c r="AA21" i="6"/>
  <c r="X21" i="6"/>
  <c r="W21" i="6"/>
  <c r="T21" i="6"/>
  <c r="S21" i="6"/>
  <c r="P21" i="6"/>
  <c r="O21" i="6"/>
  <c r="L21" i="6"/>
  <c r="K21" i="6"/>
  <c r="J21" i="6"/>
  <c r="BT20" i="6"/>
  <c r="BS20" i="6"/>
  <c r="BP20" i="6"/>
  <c r="BO20" i="6"/>
  <c r="BL20" i="6"/>
  <c r="BK20" i="6"/>
  <c r="BH20" i="6"/>
  <c r="BG20" i="6"/>
  <c r="BD20" i="6"/>
  <c r="BC20" i="6"/>
  <c r="AZ20" i="6"/>
  <c r="AY20" i="6"/>
  <c r="AV20" i="6"/>
  <c r="AU20" i="6"/>
  <c r="AR20" i="6"/>
  <c r="AQ20" i="6"/>
  <c r="AN20" i="6"/>
  <c r="AM20" i="6"/>
  <c r="AJ20" i="6"/>
  <c r="AI20" i="6"/>
  <c r="AF20" i="6"/>
  <c r="AE20" i="6"/>
  <c r="AB20" i="6"/>
  <c r="AA20" i="6"/>
  <c r="X20" i="6"/>
  <c r="W20" i="6"/>
  <c r="T20" i="6"/>
  <c r="S20" i="6"/>
  <c r="P20" i="6"/>
  <c r="O20" i="6"/>
  <c r="L20" i="6"/>
  <c r="K20" i="6"/>
  <c r="J20" i="6"/>
  <c r="BT19" i="6"/>
  <c r="BS19" i="6"/>
  <c r="BP19" i="6"/>
  <c r="BO19" i="6"/>
  <c r="BL19" i="6"/>
  <c r="BK19" i="6"/>
  <c r="BH19" i="6"/>
  <c r="BG19" i="6"/>
  <c r="BD19" i="6"/>
  <c r="BC19" i="6"/>
  <c r="AZ19" i="6"/>
  <c r="AY19" i="6"/>
  <c r="AV19" i="6"/>
  <c r="AU19" i="6"/>
  <c r="AR19" i="6"/>
  <c r="AQ19" i="6"/>
  <c r="AN19" i="6"/>
  <c r="AM19" i="6"/>
  <c r="AJ19" i="6"/>
  <c r="AI19" i="6"/>
  <c r="AF19" i="6"/>
  <c r="AE19" i="6"/>
  <c r="AB19" i="6"/>
  <c r="AA19" i="6"/>
  <c r="X19" i="6"/>
  <c r="W19" i="6"/>
  <c r="T19" i="6"/>
  <c r="S19" i="6"/>
  <c r="P19" i="6"/>
  <c r="O19" i="6"/>
  <c r="L19" i="6"/>
  <c r="K19" i="6"/>
  <c r="J19" i="6"/>
  <c r="BT18" i="6"/>
  <c r="BS18" i="6"/>
  <c r="BP18" i="6"/>
  <c r="BO18" i="6"/>
  <c r="BL18" i="6"/>
  <c r="BK18" i="6"/>
  <c r="BH18" i="6"/>
  <c r="BG18" i="6"/>
  <c r="BD18" i="6"/>
  <c r="BC18" i="6"/>
  <c r="AZ18" i="6"/>
  <c r="AY18" i="6"/>
  <c r="AV18" i="6"/>
  <c r="AU18" i="6"/>
  <c r="AR18" i="6"/>
  <c r="AQ18" i="6"/>
  <c r="AN18" i="6"/>
  <c r="AM18" i="6"/>
  <c r="AJ18" i="6"/>
  <c r="AI18" i="6"/>
  <c r="AF18" i="6"/>
  <c r="AE18" i="6"/>
  <c r="AB18" i="6"/>
  <c r="AA18" i="6"/>
  <c r="X18" i="6"/>
  <c r="W18" i="6"/>
  <c r="T18" i="6"/>
  <c r="S18" i="6"/>
  <c r="P18" i="6"/>
  <c r="O18" i="6"/>
  <c r="L18" i="6"/>
  <c r="K18" i="6"/>
  <c r="J18" i="6"/>
  <c r="BT17" i="6"/>
  <c r="BS17" i="6"/>
  <c r="BP17" i="6"/>
  <c r="BO17" i="6"/>
  <c r="BL17" i="6"/>
  <c r="BK17" i="6"/>
  <c r="BH17" i="6"/>
  <c r="BG17" i="6"/>
  <c r="BD17" i="6"/>
  <c r="BC17" i="6"/>
  <c r="AZ17" i="6"/>
  <c r="AY17" i="6"/>
  <c r="AV17" i="6"/>
  <c r="AU17" i="6"/>
  <c r="AR17" i="6"/>
  <c r="AQ17" i="6"/>
  <c r="AN17" i="6"/>
  <c r="AM17" i="6"/>
  <c r="AJ17" i="6"/>
  <c r="AI17" i="6"/>
  <c r="AF17" i="6"/>
  <c r="AE17" i="6"/>
  <c r="AB17" i="6"/>
  <c r="AA17" i="6"/>
  <c r="X17" i="6"/>
  <c r="W17" i="6"/>
  <c r="T17" i="6"/>
  <c r="S17" i="6"/>
  <c r="P17" i="6"/>
  <c r="O17" i="6"/>
  <c r="L17" i="6"/>
  <c r="K17" i="6"/>
  <c r="J17" i="6"/>
  <c r="BT16" i="6"/>
  <c r="BS16" i="6"/>
  <c r="BP16" i="6"/>
  <c r="BO16" i="6"/>
  <c r="BL16" i="6"/>
  <c r="BK16" i="6"/>
  <c r="BH16" i="6"/>
  <c r="BG16" i="6"/>
  <c r="BD16" i="6"/>
  <c r="BC16" i="6"/>
  <c r="AZ16" i="6"/>
  <c r="AY16" i="6"/>
  <c r="AV16" i="6"/>
  <c r="AU16" i="6"/>
  <c r="AR16" i="6"/>
  <c r="AQ16" i="6"/>
  <c r="AN16" i="6"/>
  <c r="AM16" i="6"/>
  <c r="AJ16" i="6"/>
  <c r="AI16" i="6"/>
  <c r="AF16" i="6"/>
  <c r="AE16" i="6"/>
  <c r="AB16" i="6"/>
  <c r="AA16" i="6"/>
  <c r="X16" i="6"/>
  <c r="W16" i="6"/>
  <c r="T16" i="6"/>
  <c r="S16" i="6"/>
  <c r="P16" i="6"/>
  <c r="O16" i="6"/>
  <c r="L16" i="6"/>
  <c r="K16" i="6"/>
  <c r="J16" i="6"/>
  <c r="BT15" i="6"/>
  <c r="BS15" i="6"/>
  <c r="BP15" i="6"/>
  <c r="BO15" i="6"/>
  <c r="BL15" i="6"/>
  <c r="BK15" i="6"/>
  <c r="BH15" i="6"/>
  <c r="BG15" i="6"/>
  <c r="BD15" i="6"/>
  <c r="BC15" i="6"/>
  <c r="AZ15" i="6"/>
  <c r="AY15" i="6"/>
  <c r="AV15" i="6"/>
  <c r="AU15" i="6"/>
  <c r="AR15" i="6"/>
  <c r="AQ15" i="6"/>
  <c r="AN15" i="6"/>
  <c r="AM15" i="6"/>
  <c r="AJ15" i="6"/>
  <c r="AI15" i="6"/>
  <c r="AF15" i="6"/>
  <c r="AE15" i="6"/>
  <c r="AB15" i="6"/>
  <c r="AA15" i="6"/>
  <c r="X15" i="6"/>
  <c r="W15" i="6"/>
  <c r="T15" i="6"/>
  <c r="S15" i="6"/>
  <c r="P15" i="6"/>
  <c r="O15" i="6"/>
  <c r="L15" i="6"/>
  <c r="K15" i="6"/>
  <c r="J15" i="6"/>
  <c r="BT14" i="6"/>
  <c r="BS14" i="6"/>
  <c r="BP14" i="6"/>
  <c r="BO14" i="6"/>
  <c r="BL14" i="6"/>
  <c r="BK14" i="6"/>
  <c r="BH14" i="6"/>
  <c r="BG14" i="6"/>
  <c r="BD14" i="6"/>
  <c r="BC14" i="6"/>
  <c r="AZ14" i="6"/>
  <c r="AY14" i="6"/>
  <c r="AV14" i="6"/>
  <c r="AU14" i="6"/>
  <c r="AR14" i="6"/>
  <c r="AQ14" i="6"/>
  <c r="AN14" i="6"/>
  <c r="AM14" i="6"/>
  <c r="AJ14" i="6"/>
  <c r="AI14" i="6"/>
  <c r="AF14" i="6"/>
  <c r="AE14" i="6"/>
  <c r="AB14" i="6"/>
  <c r="AA14" i="6"/>
  <c r="X14" i="6"/>
  <c r="W14" i="6"/>
  <c r="T14" i="6"/>
  <c r="S14" i="6"/>
  <c r="P14" i="6"/>
  <c r="O14" i="6"/>
  <c r="L14" i="6"/>
  <c r="K14" i="6"/>
  <c r="J14" i="6"/>
  <c r="BT13" i="6"/>
  <c r="BS13" i="6"/>
  <c r="BP13" i="6"/>
  <c r="BO13" i="6"/>
  <c r="BL13" i="6"/>
  <c r="BK13" i="6"/>
  <c r="BH13" i="6"/>
  <c r="BG13" i="6"/>
  <c r="BD13" i="6"/>
  <c r="BC13" i="6"/>
  <c r="AZ13" i="6"/>
  <c r="AY13" i="6"/>
  <c r="AV13" i="6"/>
  <c r="AU13" i="6"/>
  <c r="AR13" i="6"/>
  <c r="AQ13" i="6"/>
  <c r="AN13" i="6"/>
  <c r="AM13" i="6"/>
  <c r="AJ13" i="6"/>
  <c r="AI13" i="6"/>
  <c r="AF13" i="6"/>
  <c r="AE13" i="6"/>
  <c r="AB13" i="6"/>
  <c r="AA13" i="6"/>
  <c r="X13" i="6"/>
  <c r="W13" i="6"/>
  <c r="T13" i="6"/>
  <c r="S13" i="6"/>
  <c r="P13" i="6"/>
  <c r="O13" i="6"/>
  <c r="L13" i="6"/>
  <c r="K13" i="6"/>
  <c r="J13" i="6"/>
  <c r="BT12" i="6"/>
  <c r="BS12" i="6"/>
  <c r="BP12" i="6"/>
  <c r="BO12" i="6"/>
  <c r="BL12" i="6"/>
  <c r="BK12" i="6"/>
  <c r="BH12" i="6"/>
  <c r="BG12" i="6"/>
  <c r="BD12" i="6"/>
  <c r="BC12" i="6"/>
  <c r="AZ12" i="6"/>
  <c r="AY12" i="6"/>
  <c r="AV12" i="6"/>
  <c r="AU12" i="6"/>
  <c r="AR12" i="6"/>
  <c r="AQ12" i="6"/>
  <c r="AN12" i="6"/>
  <c r="AM12" i="6"/>
  <c r="AJ12" i="6"/>
  <c r="AI12" i="6"/>
  <c r="AF12" i="6"/>
  <c r="AE12" i="6"/>
  <c r="AB12" i="6"/>
  <c r="AA12" i="6"/>
  <c r="X12" i="6"/>
  <c r="W12" i="6"/>
  <c r="T12" i="6"/>
  <c r="S12" i="6"/>
  <c r="P12" i="6"/>
  <c r="O12" i="6"/>
  <c r="L12" i="6"/>
  <c r="K12" i="6"/>
  <c r="J12" i="6"/>
  <c r="BT11" i="6"/>
  <c r="BS11" i="6"/>
  <c r="BP11" i="6"/>
  <c r="BO11" i="6"/>
  <c r="BL11" i="6"/>
  <c r="BK11" i="6"/>
  <c r="BH11" i="6"/>
  <c r="BG11" i="6"/>
  <c r="BD11" i="6"/>
  <c r="BC11" i="6"/>
  <c r="AZ11" i="6"/>
  <c r="AY11" i="6"/>
  <c r="AV11" i="6"/>
  <c r="AU11" i="6"/>
  <c r="AR11" i="6"/>
  <c r="AQ11" i="6"/>
  <c r="AN11" i="6"/>
  <c r="AM11" i="6"/>
  <c r="AJ11" i="6"/>
  <c r="AI11" i="6"/>
  <c r="AF11" i="6"/>
  <c r="AE11" i="6"/>
  <c r="AB11" i="6"/>
  <c r="AA11" i="6"/>
  <c r="X11" i="6"/>
  <c r="W11" i="6"/>
  <c r="T11" i="6"/>
  <c r="S11" i="6"/>
  <c r="P11" i="6"/>
  <c r="O11" i="6"/>
  <c r="L11" i="6"/>
  <c r="K11" i="6"/>
  <c r="J11" i="6"/>
  <c r="BT10" i="6"/>
  <c r="BS10" i="6"/>
  <c r="BP10" i="6"/>
  <c r="BO10" i="6"/>
  <c r="BL10" i="6"/>
  <c r="BK10" i="6"/>
  <c r="BH10" i="6"/>
  <c r="BG10" i="6"/>
  <c r="BD10" i="6"/>
  <c r="BC10" i="6"/>
  <c r="AZ10" i="6"/>
  <c r="AY10" i="6"/>
  <c r="AV10" i="6"/>
  <c r="AU10" i="6"/>
  <c r="AR10" i="6"/>
  <c r="AQ10" i="6"/>
  <c r="AN10" i="6"/>
  <c r="AM10" i="6"/>
  <c r="AJ10" i="6"/>
  <c r="AI10" i="6"/>
  <c r="AF10" i="6"/>
  <c r="AE10" i="6"/>
  <c r="AB10" i="6"/>
  <c r="AA10" i="6"/>
  <c r="X10" i="6"/>
  <c r="W10" i="6"/>
  <c r="T10" i="6"/>
  <c r="S10" i="6"/>
  <c r="P10" i="6"/>
  <c r="O10" i="6"/>
  <c r="L10" i="6"/>
  <c r="K10" i="6"/>
  <c r="J10" i="6"/>
  <c r="BT9" i="6"/>
  <c r="BS9" i="6"/>
  <c r="BP9" i="6"/>
  <c r="BO9" i="6"/>
  <c r="BL9" i="6"/>
  <c r="BK9" i="6"/>
  <c r="BH9" i="6"/>
  <c r="BG9" i="6"/>
  <c r="BD9" i="6"/>
  <c r="BC9" i="6"/>
  <c r="AZ9" i="6"/>
  <c r="AY9" i="6"/>
  <c r="AV9" i="6"/>
  <c r="AU9" i="6"/>
  <c r="AR9" i="6"/>
  <c r="AQ9" i="6"/>
  <c r="AN9" i="6"/>
  <c r="AM9" i="6"/>
  <c r="AJ9" i="6"/>
  <c r="AI9" i="6"/>
  <c r="AF9" i="6"/>
  <c r="AE9" i="6"/>
  <c r="AB9" i="6"/>
  <c r="AA9" i="6"/>
  <c r="X9" i="6"/>
  <c r="W9" i="6"/>
  <c r="T9" i="6"/>
  <c r="S9" i="6"/>
  <c r="P9" i="6"/>
  <c r="O9" i="6"/>
  <c r="L9" i="6"/>
  <c r="K9" i="6"/>
  <c r="J9" i="6"/>
  <c r="BT8" i="6"/>
  <c r="BS8" i="6"/>
  <c r="BP8" i="6"/>
  <c r="BO8" i="6"/>
  <c r="BL8" i="6"/>
  <c r="BK8" i="6"/>
  <c r="BH8" i="6"/>
  <c r="BG8" i="6"/>
  <c r="BD8" i="6"/>
  <c r="BC8" i="6"/>
  <c r="AZ8" i="6"/>
  <c r="AY8" i="6"/>
  <c r="AV8" i="6"/>
  <c r="AU8" i="6"/>
  <c r="AR8" i="6"/>
  <c r="AQ8" i="6"/>
  <c r="AN8" i="6"/>
  <c r="AM8" i="6"/>
  <c r="AJ8" i="6"/>
  <c r="AI8" i="6"/>
  <c r="AF8" i="6"/>
  <c r="AE8" i="6"/>
  <c r="AB8" i="6"/>
  <c r="AA8" i="6"/>
  <c r="X8" i="6"/>
  <c r="W8" i="6"/>
  <c r="T8" i="6"/>
  <c r="S8" i="6"/>
  <c r="P8" i="6"/>
  <c r="O8" i="6"/>
  <c r="L8" i="6"/>
  <c r="K8" i="6"/>
  <c r="J8" i="6"/>
  <c r="BT7" i="6"/>
  <c r="BS7" i="6"/>
  <c r="BP7" i="6"/>
  <c r="BO7" i="6"/>
  <c r="BL7" i="6"/>
  <c r="BK7" i="6"/>
  <c r="BH7" i="6"/>
  <c r="BG7" i="6"/>
  <c r="BD7" i="6"/>
  <c r="BC7" i="6"/>
  <c r="AZ7" i="6"/>
  <c r="AY7" i="6"/>
  <c r="AV7" i="6"/>
  <c r="AU7" i="6"/>
  <c r="AR7" i="6"/>
  <c r="AQ7" i="6"/>
  <c r="AN7" i="6"/>
  <c r="AM7" i="6"/>
  <c r="AJ7" i="6"/>
  <c r="AI7" i="6"/>
  <c r="AF7" i="6"/>
  <c r="AE7" i="6"/>
  <c r="AB7" i="6"/>
  <c r="AA7" i="6"/>
  <c r="X7" i="6"/>
  <c r="W7" i="6"/>
  <c r="T7" i="6"/>
  <c r="S7" i="6"/>
  <c r="P7" i="6"/>
  <c r="O7" i="6"/>
  <c r="L7" i="6"/>
  <c r="K7" i="6"/>
  <c r="J7" i="6"/>
  <c r="BT6" i="6"/>
  <c r="BS6" i="6"/>
  <c r="BP6" i="6"/>
  <c r="BO6" i="6"/>
  <c r="BL6" i="6"/>
  <c r="BK6" i="6"/>
  <c r="BH6" i="6"/>
  <c r="BG6" i="6"/>
  <c r="BD6" i="6"/>
  <c r="BC6" i="6"/>
  <c r="AZ6" i="6"/>
  <c r="AY6" i="6"/>
  <c r="AV6" i="6"/>
  <c r="AU6" i="6"/>
  <c r="AR6" i="6"/>
  <c r="AQ6" i="6"/>
  <c r="AN6" i="6"/>
  <c r="AM6" i="6"/>
  <c r="AJ6" i="6"/>
  <c r="AI6" i="6"/>
  <c r="AF6" i="6"/>
  <c r="AE6" i="6"/>
  <c r="AB6" i="6"/>
  <c r="AA6" i="6"/>
  <c r="X6" i="6"/>
  <c r="W6" i="6"/>
  <c r="T6" i="6"/>
  <c r="S6" i="6"/>
  <c r="P6" i="6"/>
  <c r="O6" i="6"/>
  <c r="L6" i="6"/>
  <c r="K6" i="6"/>
  <c r="J6" i="6"/>
  <c r="BT5" i="6"/>
  <c r="BS5" i="6"/>
  <c r="BP5" i="6"/>
  <c r="BO5" i="6"/>
  <c r="BL5" i="6"/>
  <c r="BK5" i="6"/>
  <c r="BH5" i="6"/>
  <c r="BG5" i="6"/>
  <c r="BD5" i="6"/>
  <c r="BC5" i="6"/>
  <c r="AZ5" i="6"/>
  <c r="AY5" i="6"/>
  <c r="AV5" i="6"/>
  <c r="AU5" i="6"/>
  <c r="AR5" i="6"/>
  <c r="AQ5" i="6"/>
  <c r="AN5" i="6"/>
  <c r="AM5" i="6"/>
  <c r="AJ5" i="6"/>
  <c r="AI5" i="6"/>
  <c r="AF5" i="6"/>
  <c r="AE5" i="6"/>
  <c r="AB5" i="6"/>
  <c r="AA5" i="6"/>
  <c r="X5" i="6"/>
  <c r="W5" i="6"/>
  <c r="T5" i="6"/>
  <c r="S5" i="6"/>
  <c r="P5" i="6"/>
  <c r="O5" i="6"/>
  <c r="L5" i="6"/>
  <c r="K5" i="6"/>
  <c r="J5" i="6"/>
  <c r="I5" i="6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I132" i="6" s="1"/>
  <c r="I133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I169" i="6" s="1"/>
  <c r="I170" i="6" s="1"/>
  <c r="I171" i="6" s="1"/>
  <c r="I172" i="6" s="1"/>
  <c r="I173" i="6" s="1"/>
  <c r="I174" i="6" s="1"/>
  <c r="I175" i="6" s="1"/>
  <c r="I176" i="6" s="1"/>
  <c r="I177" i="6" s="1"/>
  <c r="I178" i="6" s="1"/>
  <c r="I179" i="6" s="1"/>
  <c r="I180" i="6" s="1"/>
  <c r="I181" i="6" s="1"/>
  <c r="I182" i="6" s="1"/>
  <c r="I183" i="6" s="1"/>
  <c r="I184" i="6" s="1"/>
  <c r="I185" i="6" s="1"/>
  <c r="I186" i="6" s="1"/>
  <c r="I187" i="6" s="1"/>
  <c r="I188" i="6" s="1"/>
  <c r="I189" i="6" s="1"/>
  <c r="I190" i="6" s="1"/>
  <c r="I191" i="6" s="1"/>
  <c r="I192" i="6" s="1"/>
  <c r="I193" i="6" s="1"/>
  <c r="I194" i="6" s="1"/>
  <c r="I195" i="6" s="1"/>
  <c r="I196" i="6" s="1"/>
  <c r="I197" i="6" s="1"/>
  <c r="I198" i="6" s="1"/>
  <c r="I199" i="6" s="1"/>
  <c r="I200" i="6" s="1"/>
  <c r="I201" i="6" s="1"/>
  <c r="I202" i="6" s="1"/>
  <c r="I203" i="6" s="1"/>
  <c r="I204" i="6" s="1"/>
  <c r="I205" i="6" s="1"/>
  <c r="I206" i="6" s="1"/>
  <c r="I207" i="6" s="1"/>
  <c r="I208" i="6" s="1"/>
  <c r="I209" i="6" s="1"/>
  <c r="I210" i="6" s="1"/>
  <c r="I211" i="6" s="1"/>
  <c r="I212" i="6" s="1"/>
  <c r="I213" i="6" s="1"/>
  <c r="I214" i="6" s="1"/>
  <c r="I215" i="6" s="1"/>
  <c r="I216" i="6" s="1"/>
  <c r="I217" i="6" s="1"/>
  <c r="I218" i="6" s="1"/>
  <c r="I219" i="6" s="1"/>
  <c r="I220" i="6" s="1"/>
  <c r="I221" i="6" s="1"/>
  <c r="I222" i="6" s="1"/>
  <c r="I223" i="6" s="1"/>
  <c r="I224" i="6" s="1"/>
  <c r="I225" i="6" s="1"/>
  <c r="I226" i="6" s="1"/>
  <c r="I227" i="6" s="1"/>
  <c r="I228" i="6" s="1"/>
  <c r="I229" i="6" s="1"/>
  <c r="I230" i="6" s="1"/>
  <c r="I231" i="6" s="1"/>
  <c r="I232" i="6" s="1"/>
  <c r="I233" i="6" s="1"/>
  <c r="I234" i="6" s="1"/>
  <c r="I235" i="6" s="1"/>
  <c r="I236" i="6" s="1"/>
  <c r="I237" i="6" s="1"/>
  <c r="I238" i="6" s="1"/>
  <c r="I239" i="6" s="1"/>
  <c r="I240" i="6" s="1"/>
  <c r="I241" i="6" s="1"/>
  <c r="I242" i="6" s="1"/>
  <c r="I243" i="6" s="1"/>
  <c r="I244" i="6" s="1"/>
  <c r="I245" i="6" s="1"/>
  <c r="I246" i="6" s="1"/>
  <c r="I247" i="6" s="1"/>
  <c r="I248" i="6" s="1"/>
  <c r="I249" i="6" s="1"/>
  <c r="I250" i="6" s="1"/>
  <c r="I251" i="6" s="1"/>
  <c r="I252" i="6" s="1"/>
  <c r="I253" i="6" s="1"/>
  <c r="I254" i="6" s="1"/>
  <c r="I255" i="6" s="1"/>
  <c r="I256" i="6" s="1"/>
  <c r="I257" i="6" s="1"/>
  <c r="I258" i="6" s="1"/>
  <c r="I259" i="6" s="1"/>
  <c r="I260" i="6" s="1"/>
  <c r="I261" i="6" s="1"/>
  <c r="I262" i="6" s="1"/>
  <c r="I263" i="6" s="1"/>
  <c r="I264" i="6" s="1"/>
  <c r="I265" i="6" s="1"/>
  <c r="I266" i="6" s="1"/>
  <c r="I267" i="6" s="1"/>
  <c r="I268" i="6" s="1"/>
  <c r="I269" i="6" s="1"/>
  <c r="I270" i="6" s="1"/>
  <c r="I271" i="6" s="1"/>
  <c r="I272" i="6" s="1"/>
  <c r="I273" i="6" s="1"/>
  <c r="I274" i="6" s="1"/>
  <c r="I275" i="6" s="1"/>
  <c r="I276" i="6" s="1"/>
  <c r="I277" i="6" s="1"/>
  <c r="I278" i="6" s="1"/>
  <c r="I279" i="6" s="1"/>
  <c r="I280" i="6" s="1"/>
  <c r="I281" i="6" s="1"/>
  <c r="I282" i="6" s="1"/>
  <c r="I283" i="6" s="1"/>
  <c r="I284" i="6" s="1"/>
  <c r="I285" i="6" s="1"/>
  <c r="I286" i="6" s="1"/>
  <c r="I287" i="6" s="1"/>
  <c r="I288" i="6" s="1"/>
  <c r="I289" i="6" s="1"/>
  <c r="I290" i="6" s="1"/>
  <c r="I291" i="6" s="1"/>
  <c r="I292" i="6" s="1"/>
  <c r="I293" i="6" s="1"/>
  <c r="I294" i="6" s="1"/>
  <c r="I295" i="6" s="1"/>
  <c r="BT4" i="6"/>
  <c r="BS4" i="6"/>
  <c r="BP4" i="6"/>
  <c r="BO4" i="6"/>
  <c r="BL4" i="6"/>
  <c r="BK4" i="6"/>
  <c r="BH4" i="6"/>
  <c r="BG4" i="6"/>
  <c r="BD4" i="6"/>
  <c r="BC4" i="6"/>
  <c r="AZ4" i="6"/>
  <c r="AY4" i="6"/>
  <c r="AV4" i="6"/>
  <c r="AU4" i="6"/>
  <c r="AR4" i="6"/>
  <c r="AQ4" i="6"/>
  <c r="AN4" i="6"/>
  <c r="AM4" i="6"/>
  <c r="AJ4" i="6"/>
  <c r="AI4" i="6"/>
  <c r="AF4" i="6"/>
  <c r="AE4" i="6"/>
  <c r="AB4" i="6"/>
  <c r="AA4" i="6"/>
  <c r="X4" i="6"/>
  <c r="W4" i="6"/>
  <c r="T4" i="6"/>
  <c r="S4" i="6"/>
  <c r="P4" i="6"/>
  <c r="O4" i="6"/>
  <c r="L4" i="6"/>
  <c r="K4" i="6"/>
  <c r="J4" i="6"/>
  <c r="I4" i="6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A1" i="6"/>
  <c r="J74" i="4"/>
  <c r="I74" i="4"/>
  <c r="G74" i="4"/>
  <c r="F74" i="4"/>
  <c r="J73" i="4"/>
  <c r="I73" i="4"/>
  <c r="G73" i="4"/>
  <c r="F73" i="4"/>
  <c r="J72" i="4"/>
  <c r="I72" i="4"/>
  <c r="G72" i="4"/>
  <c r="F72" i="4"/>
  <c r="E71" i="4"/>
  <c r="D71" i="4"/>
  <c r="C71" i="4"/>
  <c r="E70" i="4"/>
  <c r="D70" i="4"/>
  <c r="C70" i="4"/>
  <c r="E69" i="4"/>
  <c r="D69" i="4"/>
  <c r="F69" i="4" s="1"/>
  <c r="C69" i="4"/>
  <c r="E68" i="4"/>
  <c r="D68" i="4"/>
  <c r="C68" i="4"/>
  <c r="F68" i="4" s="1"/>
  <c r="E67" i="4"/>
  <c r="D67" i="4"/>
  <c r="F67" i="4" s="1"/>
  <c r="I67" i="4" s="1"/>
  <c r="C67" i="4"/>
  <c r="E66" i="4"/>
  <c r="D66" i="4"/>
  <c r="C66" i="4"/>
  <c r="F65" i="4"/>
  <c r="I65" i="4" s="1"/>
  <c r="E65" i="4"/>
  <c r="D65" i="4"/>
  <c r="C65" i="4"/>
  <c r="E64" i="4"/>
  <c r="D64" i="4"/>
  <c r="C64" i="4"/>
  <c r="F64" i="4" s="1"/>
  <c r="E63" i="4"/>
  <c r="D63" i="4"/>
  <c r="C63" i="4"/>
  <c r="E62" i="4"/>
  <c r="D62" i="4"/>
  <c r="C62" i="4"/>
  <c r="E61" i="4"/>
  <c r="D61" i="4"/>
  <c r="F61" i="4" s="1"/>
  <c r="C61" i="4"/>
  <c r="E60" i="4"/>
  <c r="D60" i="4"/>
  <c r="C60" i="4"/>
  <c r="E59" i="4"/>
  <c r="D59" i="4"/>
  <c r="F59" i="4" s="1"/>
  <c r="I59" i="4" s="1"/>
  <c r="C59" i="4"/>
  <c r="E58" i="4"/>
  <c r="D58" i="4"/>
  <c r="C58" i="4"/>
  <c r="F57" i="4"/>
  <c r="I57" i="4" s="1"/>
  <c r="E57" i="4"/>
  <c r="D57" i="4"/>
  <c r="C57" i="4"/>
  <c r="E56" i="4"/>
  <c r="D56" i="4"/>
  <c r="C56" i="4"/>
  <c r="F56" i="4" s="1"/>
  <c r="E55" i="4"/>
  <c r="D55" i="4"/>
  <c r="C55" i="4"/>
  <c r="E54" i="4"/>
  <c r="D54" i="4"/>
  <c r="C54" i="4"/>
  <c r="E53" i="4"/>
  <c r="D53" i="4"/>
  <c r="F53" i="4" s="1"/>
  <c r="C53" i="4"/>
  <c r="E52" i="4"/>
  <c r="I52" i="4" s="1"/>
  <c r="D52" i="4"/>
  <c r="C52" i="4"/>
  <c r="F52" i="4" s="1"/>
  <c r="G51" i="4"/>
  <c r="F51" i="4"/>
  <c r="I51" i="4" s="1"/>
  <c r="J51" i="4" s="1"/>
  <c r="J50" i="4"/>
  <c r="F50" i="4"/>
  <c r="I50" i="4" s="1"/>
  <c r="F49" i="4"/>
  <c r="I49" i="4" s="1"/>
  <c r="J49" i="4" s="1"/>
  <c r="I48" i="4"/>
  <c r="F48" i="4"/>
  <c r="G48" i="4" s="1"/>
  <c r="G47" i="4"/>
  <c r="F47" i="4"/>
  <c r="I47" i="4" s="1"/>
  <c r="J47" i="4" s="1"/>
  <c r="J46" i="4"/>
  <c r="F46" i="4"/>
  <c r="I46" i="4" s="1"/>
  <c r="F45" i="4"/>
  <c r="I45" i="4" s="1"/>
  <c r="F44" i="4"/>
  <c r="G44" i="4" s="1"/>
  <c r="F43" i="4"/>
  <c r="I43" i="4" s="1"/>
  <c r="P42" i="4"/>
  <c r="F42" i="4"/>
  <c r="I41" i="4"/>
  <c r="F41" i="4"/>
  <c r="F40" i="4"/>
  <c r="J39" i="4"/>
  <c r="I39" i="4"/>
  <c r="F39" i="4"/>
  <c r="G39" i="4" s="1"/>
  <c r="I38" i="4"/>
  <c r="G38" i="4"/>
  <c r="F38" i="4"/>
  <c r="F37" i="4"/>
  <c r="F36" i="4"/>
  <c r="I35" i="4"/>
  <c r="F35" i="4"/>
  <c r="G35" i="4" s="1"/>
  <c r="P34" i="4"/>
  <c r="I34" i="4"/>
  <c r="F34" i="4"/>
  <c r="G34" i="4" s="1"/>
  <c r="I33" i="4"/>
  <c r="G33" i="4"/>
  <c r="F33" i="4"/>
  <c r="I32" i="4"/>
  <c r="J32" i="4" s="1"/>
  <c r="F32" i="4"/>
  <c r="G32" i="4" s="1"/>
  <c r="J31" i="4"/>
  <c r="I31" i="4"/>
  <c r="G31" i="4"/>
  <c r="F31" i="4"/>
  <c r="I30" i="4"/>
  <c r="G30" i="4"/>
  <c r="F30" i="4"/>
  <c r="F29" i="4"/>
  <c r="I28" i="4"/>
  <c r="F28" i="4"/>
  <c r="G28" i="4" s="1"/>
  <c r="I27" i="4"/>
  <c r="J27" i="4" s="1"/>
  <c r="G27" i="4"/>
  <c r="F27" i="4"/>
  <c r="I26" i="4"/>
  <c r="G26" i="4"/>
  <c r="F26" i="4"/>
  <c r="F25" i="4"/>
  <c r="I24" i="4"/>
  <c r="F24" i="4"/>
  <c r="G24" i="4" s="1"/>
  <c r="G23" i="4"/>
  <c r="F23" i="4"/>
  <c r="I23" i="4" s="1"/>
  <c r="J23" i="4" s="1"/>
  <c r="I22" i="4"/>
  <c r="F22" i="4"/>
  <c r="F21" i="4"/>
  <c r="I20" i="4"/>
  <c r="F20" i="4"/>
  <c r="F19" i="4"/>
  <c r="I18" i="4"/>
  <c r="F18" i="4"/>
  <c r="F17" i="4"/>
  <c r="B17" i="4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I16" i="4"/>
  <c r="F16" i="4"/>
  <c r="I15" i="4"/>
  <c r="J15" i="4" s="1"/>
  <c r="G15" i="4"/>
  <c r="F15" i="4"/>
  <c r="I14" i="4"/>
  <c r="F14" i="4"/>
  <c r="F13" i="4"/>
  <c r="I12" i="4"/>
  <c r="J12" i="4" s="1"/>
  <c r="F12" i="4"/>
  <c r="I11" i="4"/>
  <c r="J11" i="4" s="1"/>
  <c r="G11" i="4"/>
  <c r="F11" i="4"/>
  <c r="I10" i="4"/>
  <c r="F10" i="4"/>
  <c r="F9" i="4"/>
  <c r="I8" i="4"/>
  <c r="F8" i="4"/>
  <c r="F7" i="4"/>
  <c r="I7" i="4" s="1"/>
  <c r="J7" i="4" s="1"/>
  <c r="I6" i="4"/>
  <c r="G6" i="4"/>
  <c r="F6" i="4"/>
  <c r="F5" i="4"/>
  <c r="B5" i="4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F4" i="4"/>
  <c r="I4" i="4" s="1"/>
  <c r="B4" i="4"/>
  <c r="F3" i="4"/>
  <c r="I3" i="4" s="1"/>
  <c r="A1" i="4"/>
  <c r="E296" i="3"/>
  <c r="D296" i="3"/>
  <c r="D295" i="3"/>
  <c r="B295" i="3" s="1"/>
  <c r="D294" i="3"/>
  <c r="B294" i="3"/>
  <c r="D293" i="3"/>
  <c r="B293" i="3" s="1"/>
  <c r="D292" i="3"/>
  <c r="D291" i="3"/>
  <c r="B291" i="3"/>
  <c r="D290" i="3"/>
  <c r="B290" i="3"/>
  <c r="D289" i="3"/>
  <c r="B289" i="3" s="1"/>
  <c r="D288" i="3"/>
  <c r="B288" i="3" s="1"/>
  <c r="D287" i="3"/>
  <c r="B287" i="3" s="1"/>
  <c r="D286" i="3"/>
  <c r="B286" i="3"/>
  <c r="D285" i="3"/>
  <c r="B285" i="3" s="1"/>
  <c r="D284" i="3"/>
  <c r="B284" i="3" s="1"/>
  <c r="D283" i="3"/>
  <c r="B283" i="3"/>
  <c r="D282" i="3"/>
  <c r="B282" i="3"/>
  <c r="D281" i="3"/>
  <c r="B281" i="3" s="1"/>
  <c r="D280" i="3"/>
  <c r="B280" i="3" s="1"/>
  <c r="D279" i="3"/>
  <c r="B279" i="3"/>
  <c r="D278" i="3"/>
  <c r="B278" i="3"/>
  <c r="D277" i="3"/>
  <c r="B277" i="3" s="1"/>
  <c r="D276" i="3"/>
  <c r="B276" i="3" s="1"/>
  <c r="D275" i="3"/>
  <c r="B275" i="3"/>
  <c r="D274" i="3"/>
  <c r="B274" i="3"/>
  <c r="D273" i="3"/>
  <c r="B273" i="3" s="1"/>
  <c r="D272" i="3"/>
  <c r="B272" i="3" s="1"/>
  <c r="D271" i="3"/>
  <c r="B271" i="3"/>
  <c r="D270" i="3"/>
  <c r="B270" i="3"/>
  <c r="D269" i="3"/>
  <c r="B269" i="3" s="1"/>
  <c r="D268" i="3"/>
  <c r="B268" i="3" s="1"/>
  <c r="D267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C132" i="3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C100" i="3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B100" i="3"/>
  <c r="B99" i="3"/>
  <c r="B98" i="3"/>
  <c r="B97" i="3"/>
  <c r="B96" i="3"/>
  <c r="B95" i="3"/>
  <c r="B94" i="3"/>
  <c r="B93" i="3"/>
  <c r="C92" i="3"/>
  <c r="C93" i="3" s="1"/>
  <c r="C94" i="3" s="1"/>
  <c r="C95" i="3" s="1"/>
  <c r="C96" i="3" s="1"/>
  <c r="C97" i="3" s="1"/>
  <c r="C98" i="3" s="1"/>
  <c r="C99" i="3" s="1"/>
  <c r="B92" i="3"/>
  <c r="B91" i="3"/>
  <c r="C90" i="3"/>
  <c r="C91" i="3" s="1"/>
  <c r="B90" i="3"/>
  <c r="B89" i="3"/>
  <c r="B88" i="3"/>
  <c r="B87" i="3"/>
  <c r="B86" i="3"/>
  <c r="B85" i="3"/>
  <c r="C84" i="3"/>
  <c r="C85" i="3" s="1"/>
  <c r="C86" i="3" s="1"/>
  <c r="C87" i="3" s="1"/>
  <c r="C88" i="3" s="1"/>
  <c r="C89" i="3" s="1"/>
  <c r="B84" i="3"/>
  <c r="B83" i="3"/>
  <c r="C82" i="3"/>
  <c r="C83" i="3" s="1"/>
  <c r="B82" i="3"/>
  <c r="B81" i="3"/>
  <c r="C80" i="3"/>
  <c r="C81" i="3" s="1"/>
  <c r="B80" i="3"/>
  <c r="C79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CJ295" i="2"/>
  <c r="AM294" i="2"/>
  <c r="Y294" i="2"/>
  <c r="CJ293" i="2"/>
  <c r="D293" i="2"/>
  <c r="B293" i="2" s="1"/>
  <c r="CX291" i="2"/>
  <c r="DE289" i="2"/>
  <c r="BO289" i="2"/>
  <c r="BA289" i="2"/>
  <c r="AT289" i="2"/>
  <c r="AM289" i="2"/>
  <c r="Y289" i="2"/>
  <c r="K289" i="2"/>
  <c r="DE288" i="2"/>
  <c r="CX288" i="2"/>
  <c r="CQ288" i="2"/>
  <c r="CJ288" i="2"/>
  <c r="CC288" i="2"/>
  <c r="BV288" i="2"/>
  <c r="BO288" i="2"/>
  <c r="BH288" i="2"/>
  <c r="BA288" i="2"/>
  <c r="AT288" i="2"/>
  <c r="AM288" i="2"/>
  <c r="AF288" i="2"/>
  <c r="Y288" i="2"/>
  <c r="R288" i="2"/>
  <c r="K288" i="2"/>
  <c r="D288" i="2"/>
  <c r="DE287" i="2"/>
  <c r="CX287" i="2"/>
  <c r="CQ287" i="2"/>
  <c r="CJ287" i="2"/>
  <c r="CC287" i="2"/>
  <c r="BV287" i="2"/>
  <c r="BO287" i="2"/>
  <c r="BJ287" i="2"/>
  <c r="BH287" i="2"/>
  <c r="BA287" i="2"/>
  <c r="AT287" i="2"/>
  <c r="AM287" i="2"/>
  <c r="AF287" i="2"/>
  <c r="Y287" i="2"/>
  <c r="R287" i="2"/>
  <c r="K287" i="2"/>
  <c r="D287" i="2"/>
  <c r="DE286" i="2"/>
  <c r="CX286" i="2"/>
  <c r="CQ286" i="2"/>
  <c r="CJ286" i="2"/>
  <c r="CC286" i="2"/>
  <c r="BV286" i="2"/>
  <c r="BO286" i="2"/>
  <c r="BH286" i="2"/>
  <c r="BA286" i="2"/>
  <c r="AT286" i="2"/>
  <c r="AM286" i="2"/>
  <c r="AF286" i="2"/>
  <c r="Y286" i="2"/>
  <c r="R286" i="2"/>
  <c r="K286" i="2"/>
  <c r="D286" i="2"/>
  <c r="B286" i="2"/>
  <c r="DE285" i="2"/>
  <c r="CX285" i="2"/>
  <c r="CQ285" i="2"/>
  <c r="CJ285" i="2"/>
  <c r="CC285" i="2"/>
  <c r="BV285" i="2"/>
  <c r="BO285" i="2"/>
  <c r="BH285" i="2"/>
  <c r="BA285" i="2"/>
  <c r="AT285" i="2"/>
  <c r="AM285" i="2"/>
  <c r="AF285" i="2"/>
  <c r="Y285" i="2"/>
  <c r="R285" i="2"/>
  <c r="K285" i="2"/>
  <c r="D285" i="2"/>
  <c r="B285" i="2" s="1"/>
  <c r="DE284" i="2"/>
  <c r="CX284" i="2"/>
  <c r="CQ284" i="2"/>
  <c r="CJ284" i="2"/>
  <c r="CC284" i="2"/>
  <c r="BV284" i="2"/>
  <c r="BO284" i="2"/>
  <c r="BH284" i="2"/>
  <c r="BA284" i="2"/>
  <c r="AT284" i="2"/>
  <c r="AM284" i="2"/>
  <c r="AF284" i="2"/>
  <c r="Y284" i="2"/>
  <c r="R284" i="2"/>
  <c r="K284" i="2"/>
  <c r="D284" i="2"/>
  <c r="DE283" i="2"/>
  <c r="DG289" i="2" s="1"/>
  <c r="CX283" i="2"/>
  <c r="CQ283" i="2"/>
  <c r="CJ283" i="2"/>
  <c r="CC283" i="2"/>
  <c r="BV283" i="2"/>
  <c r="BO283" i="2"/>
  <c r="BH283" i="2"/>
  <c r="BA283" i="2"/>
  <c r="AT283" i="2"/>
  <c r="AM283" i="2"/>
  <c r="AF283" i="2"/>
  <c r="Y283" i="2"/>
  <c r="R283" i="2"/>
  <c r="T288" i="2" s="1"/>
  <c r="K283" i="2"/>
  <c r="D283" i="2"/>
  <c r="B283" i="2"/>
  <c r="DE282" i="2"/>
  <c r="CX282" i="2"/>
  <c r="CQ282" i="2"/>
  <c r="CL282" i="2"/>
  <c r="CJ282" i="2"/>
  <c r="CC282" i="2"/>
  <c r="BV282" i="2"/>
  <c r="BO282" i="2"/>
  <c r="BH282" i="2"/>
  <c r="BA282" i="2"/>
  <c r="AT282" i="2"/>
  <c r="AM282" i="2"/>
  <c r="AF282" i="2"/>
  <c r="Y282" i="2"/>
  <c r="R282" i="2"/>
  <c r="K282" i="2"/>
  <c r="D282" i="2"/>
  <c r="DE281" i="2"/>
  <c r="CX281" i="2"/>
  <c r="CQ281" i="2"/>
  <c r="CJ281" i="2"/>
  <c r="CC281" i="2"/>
  <c r="BV281" i="2"/>
  <c r="BO281" i="2"/>
  <c r="BH281" i="2"/>
  <c r="BA281" i="2"/>
  <c r="AT281" i="2"/>
  <c r="AM281" i="2"/>
  <c r="AF281" i="2"/>
  <c r="Y281" i="2"/>
  <c r="R281" i="2"/>
  <c r="K281" i="2"/>
  <c r="D281" i="2"/>
  <c r="B281" i="2" s="1"/>
  <c r="DE280" i="2"/>
  <c r="CX280" i="2"/>
  <c r="CQ280" i="2"/>
  <c r="CJ280" i="2"/>
  <c r="CC280" i="2"/>
  <c r="BV280" i="2"/>
  <c r="BO280" i="2"/>
  <c r="BH280" i="2"/>
  <c r="BA280" i="2"/>
  <c r="AT280" i="2"/>
  <c r="AM280" i="2"/>
  <c r="AH280" i="2"/>
  <c r="AF280" i="2"/>
  <c r="Y280" i="2"/>
  <c r="R280" i="2"/>
  <c r="K280" i="2"/>
  <c r="M286" i="2" s="1"/>
  <c r="D280" i="2"/>
  <c r="B280" i="2" s="1"/>
  <c r="DE279" i="2"/>
  <c r="CX279" i="2"/>
  <c r="CQ279" i="2"/>
  <c r="CJ279" i="2"/>
  <c r="CC279" i="2"/>
  <c r="BV279" i="2"/>
  <c r="BO279" i="2"/>
  <c r="BH279" i="2"/>
  <c r="BA279" i="2"/>
  <c r="AT279" i="2"/>
  <c r="AM279" i="2"/>
  <c r="AF279" i="2"/>
  <c r="Y279" i="2"/>
  <c r="R279" i="2"/>
  <c r="K279" i="2"/>
  <c r="D279" i="2"/>
  <c r="B279" i="2" s="1"/>
  <c r="DE278" i="2"/>
  <c r="CX278" i="2"/>
  <c r="CQ278" i="2"/>
  <c r="CJ278" i="2"/>
  <c r="CC278" i="2"/>
  <c r="BV278" i="2"/>
  <c r="BO278" i="2"/>
  <c r="BH278" i="2"/>
  <c r="BA278" i="2"/>
  <c r="AT278" i="2"/>
  <c r="AM278" i="2"/>
  <c r="AF278" i="2"/>
  <c r="Y278" i="2"/>
  <c r="R278" i="2"/>
  <c r="K278" i="2"/>
  <c r="D278" i="2"/>
  <c r="DE277" i="2"/>
  <c r="CX277" i="2"/>
  <c r="CQ277" i="2"/>
  <c r="CJ277" i="2"/>
  <c r="CC277" i="2"/>
  <c r="BV277" i="2"/>
  <c r="BO277" i="2"/>
  <c r="BH277" i="2"/>
  <c r="BA277" i="2"/>
  <c r="AT277" i="2"/>
  <c r="AM277" i="2"/>
  <c r="AF277" i="2"/>
  <c r="Y277" i="2"/>
  <c r="R277" i="2"/>
  <c r="K277" i="2"/>
  <c r="D277" i="2"/>
  <c r="F283" i="2" s="1"/>
  <c r="B277" i="2"/>
  <c r="DE276" i="2"/>
  <c r="CX276" i="2"/>
  <c r="CQ276" i="2"/>
  <c r="CJ276" i="2"/>
  <c r="CC276" i="2"/>
  <c r="BV276" i="2"/>
  <c r="BX282" i="2" s="1"/>
  <c r="BO276" i="2"/>
  <c r="BH276" i="2"/>
  <c r="BA276" i="2"/>
  <c r="AT276" i="2"/>
  <c r="AM276" i="2"/>
  <c r="AH276" i="2"/>
  <c r="AF276" i="2"/>
  <c r="Y276" i="2"/>
  <c r="R276" i="2"/>
  <c r="K276" i="2"/>
  <c r="D276" i="2"/>
  <c r="DE275" i="2"/>
  <c r="CX275" i="2"/>
  <c r="CQ275" i="2"/>
  <c r="CJ275" i="2"/>
  <c r="CC275" i="2"/>
  <c r="BX275" i="2"/>
  <c r="BV275" i="2"/>
  <c r="BO275" i="2"/>
  <c r="BH275" i="2"/>
  <c r="BA275" i="2"/>
  <c r="AT275" i="2"/>
  <c r="AM275" i="2"/>
  <c r="AF275" i="2"/>
  <c r="Y275" i="2"/>
  <c r="R275" i="2"/>
  <c r="K275" i="2"/>
  <c r="D275" i="2"/>
  <c r="B275" i="2"/>
  <c r="DE274" i="2"/>
  <c r="CX274" i="2"/>
  <c r="CQ274" i="2"/>
  <c r="CJ274" i="2"/>
  <c r="CC274" i="2"/>
  <c r="BV274" i="2"/>
  <c r="BO274" i="2"/>
  <c r="BJ274" i="2"/>
  <c r="BH274" i="2"/>
  <c r="BA274" i="2"/>
  <c r="AT274" i="2"/>
  <c r="AM274" i="2"/>
  <c r="AF274" i="2"/>
  <c r="Y274" i="2"/>
  <c r="R274" i="2"/>
  <c r="K274" i="2"/>
  <c r="D274" i="2"/>
  <c r="B274" i="2"/>
  <c r="DE273" i="2"/>
  <c r="CX273" i="2"/>
  <c r="CQ273" i="2"/>
  <c r="CJ273" i="2"/>
  <c r="CC273" i="2"/>
  <c r="BV273" i="2"/>
  <c r="BO273" i="2"/>
  <c r="BH273" i="2"/>
  <c r="BA273" i="2"/>
  <c r="AT273" i="2"/>
  <c r="AM273" i="2"/>
  <c r="AF273" i="2"/>
  <c r="Y273" i="2"/>
  <c r="R273" i="2"/>
  <c r="K273" i="2"/>
  <c r="M279" i="2" s="1"/>
  <c r="D273" i="2"/>
  <c r="DE272" i="2"/>
  <c r="CX272" i="2"/>
  <c r="CQ272" i="2"/>
  <c r="CJ272" i="2"/>
  <c r="CL278" i="2" s="1"/>
  <c r="CC272" i="2"/>
  <c r="BV272" i="2"/>
  <c r="BO272" i="2"/>
  <c r="BH272" i="2"/>
  <c r="BA272" i="2"/>
  <c r="AT272" i="2"/>
  <c r="AM272" i="2"/>
  <c r="AH272" i="2"/>
  <c r="AF272" i="2"/>
  <c r="Y272" i="2"/>
  <c r="R272" i="2"/>
  <c r="K272" i="2"/>
  <c r="D272" i="2"/>
  <c r="B272" i="2"/>
  <c r="DE271" i="2"/>
  <c r="CX271" i="2"/>
  <c r="CQ271" i="2"/>
  <c r="CJ271" i="2"/>
  <c r="CC271" i="2"/>
  <c r="CE277" i="2" s="1"/>
  <c r="BV271" i="2"/>
  <c r="BO271" i="2"/>
  <c r="BH271" i="2"/>
  <c r="BA271" i="2"/>
  <c r="AT271" i="2"/>
  <c r="AM271" i="2"/>
  <c r="AF271" i="2"/>
  <c r="Y271" i="2"/>
  <c r="R271" i="2"/>
  <c r="K271" i="2"/>
  <c r="D271" i="2"/>
  <c r="DE270" i="2"/>
  <c r="CX270" i="2"/>
  <c r="CQ270" i="2"/>
  <c r="CJ270" i="2"/>
  <c r="CC270" i="2"/>
  <c r="BV270" i="2"/>
  <c r="BO270" i="2"/>
  <c r="BH270" i="2"/>
  <c r="BJ276" i="2" s="1"/>
  <c r="BA270" i="2"/>
  <c r="AT270" i="2"/>
  <c r="AM270" i="2"/>
  <c r="AF270" i="2"/>
  <c r="Y270" i="2"/>
  <c r="R270" i="2"/>
  <c r="K270" i="2"/>
  <c r="D270" i="2"/>
  <c r="DE269" i="2"/>
  <c r="CX269" i="2"/>
  <c r="CQ269" i="2"/>
  <c r="CJ269" i="2"/>
  <c r="CC269" i="2"/>
  <c r="BV269" i="2"/>
  <c r="BO269" i="2"/>
  <c r="BJ269" i="2"/>
  <c r="BH269" i="2"/>
  <c r="BA269" i="2"/>
  <c r="AT269" i="2"/>
  <c r="AM269" i="2"/>
  <c r="AF269" i="2"/>
  <c r="Y269" i="2"/>
  <c r="R269" i="2"/>
  <c r="K269" i="2"/>
  <c r="D269" i="2"/>
  <c r="DE268" i="2"/>
  <c r="CX268" i="2"/>
  <c r="CQ268" i="2"/>
  <c r="CJ268" i="2"/>
  <c r="CC268" i="2"/>
  <c r="BV268" i="2"/>
  <c r="BO268" i="2"/>
  <c r="BH268" i="2"/>
  <c r="BC268" i="2"/>
  <c r="BA268" i="2"/>
  <c r="AT268" i="2"/>
  <c r="AM268" i="2"/>
  <c r="AH268" i="2"/>
  <c r="AF268" i="2"/>
  <c r="Y268" i="2"/>
  <c r="R268" i="2"/>
  <c r="K268" i="2"/>
  <c r="D268" i="2"/>
  <c r="B268" i="2"/>
  <c r="DE267" i="2"/>
  <c r="CX267" i="2"/>
  <c r="CQ267" i="2"/>
  <c r="CJ267" i="2"/>
  <c r="CC267" i="2"/>
  <c r="BV267" i="2"/>
  <c r="BO267" i="2"/>
  <c r="BH267" i="2"/>
  <c r="BA267" i="2"/>
  <c r="AT267" i="2"/>
  <c r="AV273" i="2" s="1"/>
  <c r="AM267" i="2"/>
  <c r="AO273" i="2" s="1"/>
  <c r="AF267" i="2"/>
  <c r="Y267" i="2"/>
  <c r="R267" i="2"/>
  <c r="K267" i="2"/>
  <c r="D267" i="2"/>
  <c r="B267" i="2" s="1"/>
  <c r="DE266" i="2"/>
  <c r="CX266" i="2"/>
  <c r="CQ266" i="2"/>
  <c r="CJ266" i="2"/>
  <c r="CC266" i="2"/>
  <c r="BV266" i="2"/>
  <c r="BO266" i="2"/>
  <c r="BH266" i="2"/>
  <c r="BA266" i="2"/>
  <c r="AT266" i="2"/>
  <c r="AV272" i="2" s="1"/>
  <c r="AM266" i="2"/>
  <c r="AF266" i="2"/>
  <c r="Y266" i="2"/>
  <c r="R266" i="2"/>
  <c r="K266" i="2"/>
  <c r="D266" i="2"/>
  <c r="B266" i="2" s="1"/>
  <c r="DE265" i="2"/>
  <c r="CX265" i="2"/>
  <c r="CZ271" i="2" s="1"/>
  <c r="CQ265" i="2"/>
  <c r="CJ265" i="2"/>
  <c r="CC265" i="2"/>
  <c r="BV265" i="2"/>
  <c r="BO265" i="2"/>
  <c r="BH265" i="2"/>
  <c r="BA265" i="2"/>
  <c r="AT265" i="2"/>
  <c r="AM265" i="2"/>
  <c r="AF265" i="2"/>
  <c r="Y265" i="2"/>
  <c r="R265" i="2"/>
  <c r="K265" i="2"/>
  <c r="D265" i="2"/>
  <c r="DE264" i="2"/>
  <c r="CX264" i="2"/>
  <c r="CQ264" i="2"/>
  <c r="CJ264" i="2"/>
  <c r="CC264" i="2"/>
  <c r="BV264" i="2"/>
  <c r="BO264" i="2"/>
  <c r="BH264" i="2"/>
  <c r="BA264" i="2"/>
  <c r="AT264" i="2"/>
  <c r="AM264" i="2"/>
  <c r="AF264" i="2"/>
  <c r="Y264" i="2"/>
  <c r="R264" i="2"/>
  <c r="K264" i="2"/>
  <c r="D264" i="2"/>
  <c r="B264" i="2"/>
  <c r="DE263" i="2"/>
  <c r="CX263" i="2"/>
  <c r="CQ263" i="2"/>
  <c r="CJ263" i="2"/>
  <c r="CC263" i="2"/>
  <c r="BV263" i="2"/>
  <c r="BO263" i="2"/>
  <c r="BH263" i="2"/>
  <c r="BC263" i="2"/>
  <c r="BA263" i="2"/>
  <c r="AT263" i="2"/>
  <c r="AM263" i="2"/>
  <c r="AF263" i="2"/>
  <c r="Y263" i="2"/>
  <c r="R263" i="2"/>
  <c r="K263" i="2"/>
  <c r="D263" i="2"/>
  <c r="B263" i="2"/>
  <c r="DE262" i="2"/>
  <c r="CX262" i="2"/>
  <c r="CQ262" i="2"/>
  <c r="CJ262" i="2"/>
  <c r="CC262" i="2"/>
  <c r="BV262" i="2"/>
  <c r="BO262" i="2"/>
  <c r="BH262" i="2"/>
  <c r="BA262" i="2"/>
  <c r="AT262" i="2"/>
  <c r="AM262" i="2"/>
  <c r="AF262" i="2"/>
  <c r="Y262" i="2"/>
  <c r="R262" i="2"/>
  <c r="K262" i="2"/>
  <c r="M268" i="2" s="1"/>
  <c r="D262" i="2"/>
  <c r="DE261" i="2"/>
  <c r="CX261" i="2"/>
  <c r="CQ261" i="2"/>
  <c r="CJ261" i="2"/>
  <c r="CC261" i="2"/>
  <c r="BV261" i="2"/>
  <c r="BX267" i="2" s="1"/>
  <c r="BO261" i="2"/>
  <c r="BH261" i="2"/>
  <c r="BA261" i="2"/>
  <c r="AT261" i="2"/>
  <c r="AM261" i="2"/>
  <c r="AF261" i="2"/>
  <c r="AA261" i="2"/>
  <c r="Y261" i="2"/>
  <c r="R261" i="2"/>
  <c r="K261" i="2"/>
  <c r="D261" i="2"/>
  <c r="B261" i="2"/>
  <c r="DE260" i="2"/>
  <c r="CX260" i="2"/>
  <c r="CQ260" i="2"/>
  <c r="CJ260" i="2"/>
  <c r="CC260" i="2"/>
  <c r="BV260" i="2"/>
  <c r="BO260" i="2"/>
  <c r="BH260" i="2"/>
  <c r="BA260" i="2"/>
  <c r="AV260" i="2"/>
  <c r="AT260" i="2"/>
  <c r="AM260" i="2"/>
  <c r="AF260" i="2"/>
  <c r="Y260" i="2"/>
  <c r="R260" i="2"/>
  <c r="M260" i="2"/>
  <c r="K260" i="2"/>
  <c r="D260" i="2"/>
  <c r="DE259" i="2"/>
  <c r="CX259" i="2"/>
  <c r="CZ265" i="2" s="1"/>
  <c r="CQ259" i="2"/>
  <c r="CJ259" i="2"/>
  <c r="CC259" i="2"/>
  <c r="BV259" i="2"/>
  <c r="BO259" i="2"/>
  <c r="BH259" i="2"/>
  <c r="BA259" i="2"/>
  <c r="AT259" i="2"/>
  <c r="AM259" i="2"/>
  <c r="AF259" i="2"/>
  <c r="Y259" i="2"/>
  <c r="R259" i="2"/>
  <c r="K259" i="2"/>
  <c r="F259" i="2"/>
  <c r="D259" i="2"/>
  <c r="B259" i="2"/>
  <c r="DE258" i="2"/>
  <c r="CX258" i="2"/>
  <c r="CQ258" i="2"/>
  <c r="CJ258" i="2"/>
  <c r="CC258" i="2"/>
  <c r="BV258" i="2"/>
  <c r="BO258" i="2"/>
  <c r="BH258" i="2"/>
  <c r="BA258" i="2"/>
  <c r="AT258" i="2"/>
  <c r="AM258" i="2"/>
  <c r="AF258" i="2"/>
  <c r="Y258" i="2"/>
  <c r="R258" i="2"/>
  <c r="K258" i="2"/>
  <c r="D258" i="2"/>
  <c r="DE257" i="2"/>
  <c r="CX257" i="2"/>
  <c r="CQ257" i="2"/>
  <c r="CJ257" i="2"/>
  <c r="CC257" i="2"/>
  <c r="BV257" i="2"/>
  <c r="BO257" i="2"/>
  <c r="BH257" i="2"/>
  <c r="BA257" i="2"/>
  <c r="AT257" i="2"/>
  <c r="AM257" i="2"/>
  <c r="AO258" i="2" s="1"/>
  <c r="AF257" i="2"/>
  <c r="Y257" i="2"/>
  <c r="AA263" i="2" s="1"/>
  <c r="R257" i="2"/>
  <c r="K257" i="2"/>
  <c r="D257" i="2"/>
  <c r="B257" i="2"/>
  <c r="DE256" i="2"/>
  <c r="CX256" i="2"/>
  <c r="CQ256" i="2"/>
  <c r="CJ256" i="2"/>
  <c r="CC256" i="2"/>
  <c r="BV256" i="2"/>
  <c r="BO256" i="2"/>
  <c r="BH256" i="2"/>
  <c r="BA256" i="2"/>
  <c r="AT256" i="2"/>
  <c r="AM256" i="2"/>
  <c r="AF256" i="2"/>
  <c r="Y256" i="2"/>
  <c r="R256" i="2"/>
  <c r="K256" i="2"/>
  <c r="D256" i="2"/>
  <c r="DE255" i="2"/>
  <c r="DG261" i="2" s="1"/>
  <c r="CX255" i="2"/>
  <c r="CQ255" i="2"/>
  <c r="CJ255" i="2"/>
  <c r="CC255" i="2"/>
  <c r="BV255" i="2"/>
  <c r="BX258" i="2" s="1"/>
  <c r="BO255" i="2"/>
  <c r="BH255" i="2"/>
  <c r="BA255" i="2"/>
  <c r="AT255" i="2"/>
  <c r="AM255" i="2"/>
  <c r="AF255" i="2"/>
  <c r="Y255" i="2"/>
  <c r="R255" i="2"/>
  <c r="K255" i="2"/>
  <c r="D255" i="2"/>
  <c r="B255" i="2"/>
  <c r="DE254" i="2"/>
  <c r="CX254" i="2"/>
  <c r="CQ254" i="2"/>
  <c r="CJ254" i="2"/>
  <c r="CC254" i="2"/>
  <c r="BX254" i="2"/>
  <c r="BV254" i="2"/>
  <c r="BO254" i="2"/>
  <c r="BH254" i="2"/>
  <c r="BA254" i="2"/>
  <c r="AT254" i="2"/>
  <c r="AM254" i="2"/>
  <c r="AF254" i="2"/>
  <c r="Y254" i="2"/>
  <c r="T254" i="2"/>
  <c r="R254" i="2"/>
  <c r="K254" i="2"/>
  <c r="D254" i="2"/>
  <c r="DE253" i="2"/>
  <c r="CX253" i="2"/>
  <c r="CQ253" i="2"/>
  <c r="CJ253" i="2"/>
  <c r="CC253" i="2"/>
  <c r="BV253" i="2"/>
  <c r="BO253" i="2"/>
  <c r="BH253" i="2"/>
  <c r="BA253" i="2"/>
  <c r="AT253" i="2"/>
  <c r="AV258" i="2" s="1"/>
  <c r="AM253" i="2"/>
  <c r="AF253" i="2"/>
  <c r="Y253" i="2"/>
  <c r="R253" i="2"/>
  <c r="K253" i="2"/>
  <c r="D253" i="2"/>
  <c r="B253" i="2"/>
  <c r="DE252" i="2"/>
  <c r="CX252" i="2"/>
  <c r="CQ252" i="2"/>
  <c r="CJ252" i="2"/>
  <c r="CC252" i="2"/>
  <c r="BV252" i="2"/>
  <c r="BO252" i="2"/>
  <c r="BH252" i="2"/>
  <c r="BA252" i="2"/>
  <c r="AT252" i="2"/>
  <c r="AM252" i="2"/>
  <c r="AF252" i="2"/>
  <c r="Y252" i="2"/>
  <c r="R252" i="2"/>
  <c r="K252" i="2"/>
  <c r="D252" i="2"/>
  <c r="DE251" i="2"/>
  <c r="CX251" i="2"/>
  <c r="CQ251" i="2"/>
  <c r="CJ251" i="2"/>
  <c r="CC251" i="2"/>
  <c r="BV251" i="2"/>
  <c r="BX256" i="2" s="1"/>
  <c r="BO251" i="2"/>
  <c r="BH251" i="2"/>
  <c r="BC251" i="2"/>
  <c r="BA251" i="2"/>
  <c r="AT251" i="2"/>
  <c r="AM251" i="2"/>
  <c r="AF251" i="2"/>
  <c r="Y251" i="2"/>
  <c r="R251" i="2"/>
  <c r="K251" i="2"/>
  <c r="D251" i="2"/>
  <c r="B251" i="2"/>
  <c r="DE250" i="2"/>
  <c r="CX250" i="2"/>
  <c r="CQ250" i="2"/>
  <c r="CJ250" i="2"/>
  <c r="CC250" i="2"/>
  <c r="BV250" i="2"/>
  <c r="BO250" i="2"/>
  <c r="BH250" i="2"/>
  <c r="BA250" i="2"/>
  <c r="AT250" i="2"/>
  <c r="AM250" i="2"/>
  <c r="AF250" i="2"/>
  <c r="Y250" i="2"/>
  <c r="R250" i="2"/>
  <c r="K250" i="2"/>
  <c r="D250" i="2"/>
  <c r="DE249" i="2"/>
  <c r="CX249" i="2"/>
  <c r="CQ249" i="2"/>
  <c r="CJ249" i="2"/>
  <c r="CC249" i="2"/>
  <c r="BV249" i="2"/>
  <c r="BO249" i="2"/>
  <c r="BH249" i="2"/>
  <c r="BA249" i="2"/>
  <c r="AT249" i="2"/>
  <c r="AM249" i="2"/>
  <c r="AH249" i="2"/>
  <c r="AF249" i="2"/>
  <c r="Y249" i="2"/>
  <c r="R249" i="2"/>
  <c r="K249" i="2"/>
  <c r="D249" i="2"/>
  <c r="B249" i="2"/>
  <c r="DE248" i="2"/>
  <c r="CX248" i="2"/>
  <c r="CQ248" i="2"/>
  <c r="CJ248" i="2"/>
  <c r="CC248" i="2"/>
  <c r="BV248" i="2"/>
  <c r="BO248" i="2"/>
  <c r="BH248" i="2"/>
  <c r="BJ253" i="2" s="1"/>
  <c r="BA248" i="2"/>
  <c r="AT248" i="2"/>
  <c r="AM248" i="2"/>
  <c r="AF248" i="2"/>
  <c r="AH253" i="2" s="1"/>
  <c r="Y248" i="2"/>
  <c r="R248" i="2"/>
  <c r="K248" i="2"/>
  <c r="D248" i="2"/>
  <c r="DE247" i="2"/>
  <c r="CX247" i="2"/>
  <c r="CQ247" i="2"/>
  <c r="CJ247" i="2"/>
  <c r="CC247" i="2"/>
  <c r="BV247" i="2"/>
  <c r="BO247" i="2"/>
  <c r="BJ247" i="2"/>
  <c r="BH247" i="2"/>
  <c r="BA247" i="2"/>
  <c r="AT247" i="2"/>
  <c r="AM247" i="2"/>
  <c r="AF247" i="2"/>
  <c r="Y247" i="2"/>
  <c r="R247" i="2"/>
  <c r="K247" i="2"/>
  <c r="D247" i="2"/>
  <c r="B247" i="2"/>
  <c r="DE246" i="2"/>
  <c r="DG252" i="2" s="1"/>
  <c r="CZ246" i="2"/>
  <c r="CX246" i="2"/>
  <c r="CQ246" i="2"/>
  <c r="CJ246" i="2"/>
  <c r="CC246" i="2"/>
  <c r="BV246" i="2"/>
  <c r="BO246" i="2"/>
  <c r="BH246" i="2"/>
  <c r="BA246" i="2"/>
  <c r="AT246" i="2"/>
  <c r="AM246" i="2"/>
  <c r="AF246" i="2"/>
  <c r="AH251" i="2" s="1"/>
  <c r="Y246" i="2"/>
  <c r="R246" i="2"/>
  <c r="K246" i="2"/>
  <c r="D246" i="2"/>
  <c r="DE245" i="2"/>
  <c r="CX245" i="2"/>
  <c r="CQ245" i="2"/>
  <c r="CS247" i="2" s="1"/>
  <c r="CJ245" i="2"/>
  <c r="CC245" i="2"/>
  <c r="BV245" i="2"/>
  <c r="BO245" i="2"/>
  <c r="BH245" i="2"/>
  <c r="BA245" i="2"/>
  <c r="AT245" i="2"/>
  <c r="AM245" i="2"/>
  <c r="AF245" i="2"/>
  <c r="Y245" i="2"/>
  <c r="R245" i="2"/>
  <c r="K245" i="2"/>
  <c r="D245" i="2"/>
  <c r="B245" i="2"/>
  <c r="DE244" i="2"/>
  <c r="CX244" i="2"/>
  <c r="CQ244" i="2"/>
  <c r="CJ244" i="2"/>
  <c r="CC244" i="2"/>
  <c r="BV244" i="2"/>
  <c r="BO244" i="2"/>
  <c r="BH244" i="2"/>
  <c r="BA244" i="2"/>
  <c r="AT244" i="2"/>
  <c r="AV250" i="2" s="1"/>
  <c r="AM244" i="2"/>
  <c r="AF244" i="2"/>
  <c r="Y244" i="2"/>
  <c r="T244" i="2"/>
  <c r="R244" i="2"/>
  <c r="T250" i="2" s="1"/>
  <c r="K244" i="2"/>
  <c r="D244" i="2"/>
  <c r="DE243" i="2"/>
  <c r="CX243" i="2"/>
  <c r="CQ243" i="2"/>
  <c r="CJ243" i="2"/>
  <c r="CC243" i="2"/>
  <c r="BV243" i="2"/>
  <c r="BQ243" i="2"/>
  <c r="BO243" i="2"/>
  <c r="BJ243" i="2"/>
  <c r="BH243" i="2"/>
  <c r="BA243" i="2"/>
  <c r="AT243" i="2"/>
  <c r="AM243" i="2"/>
  <c r="AF243" i="2"/>
  <c r="Y243" i="2"/>
  <c r="R243" i="2"/>
  <c r="K243" i="2"/>
  <c r="D243" i="2"/>
  <c r="DE242" i="2"/>
  <c r="CX242" i="2"/>
  <c r="CQ242" i="2"/>
  <c r="CJ242" i="2"/>
  <c r="CC242" i="2"/>
  <c r="BV242" i="2"/>
  <c r="BO242" i="2"/>
  <c r="BH242" i="2"/>
  <c r="BA242" i="2"/>
  <c r="AT242" i="2"/>
  <c r="AM242" i="2"/>
  <c r="AF242" i="2"/>
  <c r="Y242" i="2"/>
  <c r="R242" i="2"/>
  <c r="T248" i="2" s="1"/>
  <c r="K242" i="2"/>
  <c r="D242" i="2"/>
  <c r="B242" i="2"/>
  <c r="DE241" i="2"/>
  <c r="CX241" i="2"/>
  <c r="CQ241" i="2"/>
  <c r="CJ241" i="2"/>
  <c r="CC241" i="2"/>
  <c r="BV241" i="2"/>
  <c r="BO241" i="2"/>
  <c r="BQ247" i="2" s="1"/>
  <c r="BH241" i="2"/>
  <c r="BA241" i="2"/>
  <c r="AT241" i="2"/>
  <c r="AM241" i="2"/>
  <c r="AH241" i="2"/>
  <c r="AF241" i="2"/>
  <c r="Y241" i="2"/>
  <c r="R241" i="2"/>
  <c r="K241" i="2"/>
  <c r="D241" i="2"/>
  <c r="B241" i="2"/>
  <c r="DE240" i="2"/>
  <c r="CX240" i="2"/>
  <c r="CQ240" i="2"/>
  <c r="CJ240" i="2"/>
  <c r="CC240" i="2"/>
  <c r="BV240" i="2"/>
  <c r="BO240" i="2"/>
  <c r="BH240" i="2"/>
  <c r="BA240" i="2"/>
  <c r="AT240" i="2"/>
  <c r="AM240" i="2"/>
  <c r="AF240" i="2"/>
  <c r="AA240" i="2"/>
  <c r="Y240" i="2"/>
  <c r="R240" i="2"/>
  <c r="T246" i="2" s="1"/>
  <c r="K240" i="2"/>
  <c r="M246" i="2" s="1"/>
  <c r="D240" i="2"/>
  <c r="DE239" i="2"/>
  <c r="CX239" i="2"/>
  <c r="CQ239" i="2"/>
  <c r="CJ239" i="2"/>
  <c r="CC239" i="2"/>
  <c r="BV239" i="2"/>
  <c r="BQ239" i="2"/>
  <c r="BO239" i="2"/>
  <c r="BH239" i="2"/>
  <c r="BA239" i="2"/>
  <c r="AV239" i="2"/>
  <c r="AT239" i="2"/>
  <c r="AM239" i="2"/>
  <c r="AF239" i="2"/>
  <c r="Y239" i="2"/>
  <c r="R239" i="2"/>
  <c r="K239" i="2"/>
  <c r="D239" i="2"/>
  <c r="DE238" i="2"/>
  <c r="CX238" i="2"/>
  <c r="CQ238" i="2"/>
  <c r="CL238" i="2"/>
  <c r="CJ238" i="2"/>
  <c r="CC238" i="2"/>
  <c r="BV238" i="2"/>
  <c r="BQ238" i="2"/>
  <c r="BO238" i="2"/>
  <c r="BH238" i="2"/>
  <c r="BA238" i="2"/>
  <c r="AT238" i="2"/>
  <c r="AM238" i="2"/>
  <c r="AF238" i="2"/>
  <c r="Y238" i="2"/>
  <c r="R238" i="2"/>
  <c r="K238" i="2"/>
  <c r="D238" i="2"/>
  <c r="B238" i="2"/>
  <c r="DE237" i="2"/>
  <c r="DG242" i="2" s="1"/>
  <c r="CX237" i="2"/>
  <c r="CQ237" i="2"/>
  <c r="CJ237" i="2"/>
  <c r="CC237" i="2"/>
  <c r="BV237" i="2"/>
  <c r="BQ237" i="2"/>
  <c r="BO237" i="2"/>
  <c r="BH237" i="2"/>
  <c r="BA237" i="2"/>
  <c r="AT237" i="2"/>
  <c r="AM237" i="2"/>
  <c r="AF237" i="2"/>
  <c r="Y237" i="2"/>
  <c r="R237" i="2"/>
  <c r="K237" i="2"/>
  <c r="D237" i="2"/>
  <c r="DE236" i="2"/>
  <c r="CX236" i="2"/>
  <c r="CQ236" i="2"/>
  <c r="CJ236" i="2"/>
  <c r="CE236" i="2"/>
  <c r="CC236" i="2"/>
  <c r="BV236" i="2"/>
  <c r="BO236" i="2"/>
  <c r="BJ236" i="2"/>
  <c r="BH236" i="2"/>
  <c r="BA236" i="2"/>
  <c r="AT236" i="2"/>
  <c r="AM236" i="2"/>
  <c r="AF236" i="2"/>
  <c r="Y236" i="2"/>
  <c r="R236" i="2"/>
  <c r="K236" i="2"/>
  <c r="D236" i="2"/>
  <c r="DE235" i="2"/>
  <c r="CZ235" i="2"/>
  <c r="CX235" i="2"/>
  <c r="CQ235" i="2"/>
  <c r="CJ235" i="2"/>
  <c r="CC235" i="2"/>
  <c r="BV235" i="2"/>
  <c r="BQ235" i="2"/>
  <c r="BO235" i="2"/>
  <c r="BH235" i="2"/>
  <c r="BA235" i="2"/>
  <c r="AT235" i="2"/>
  <c r="AM235" i="2"/>
  <c r="AF235" i="2"/>
  <c r="Y235" i="2"/>
  <c r="R235" i="2"/>
  <c r="K235" i="2"/>
  <c r="D235" i="2"/>
  <c r="DE234" i="2"/>
  <c r="CX234" i="2"/>
  <c r="CQ234" i="2"/>
  <c r="CJ234" i="2"/>
  <c r="CC234" i="2"/>
  <c r="BV234" i="2"/>
  <c r="BO234" i="2"/>
  <c r="BH234" i="2"/>
  <c r="BA234" i="2"/>
  <c r="AT234" i="2"/>
  <c r="AM234" i="2"/>
  <c r="AO235" i="2" s="1"/>
  <c r="AF234" i="2"/>
  <c r="Y234" i="2"/>
  <c r="R234" i="2"/>
  <c r="K234" i="2"/>
  <c r="M239" i="2" s="1"/>
  <c r="D234" i="2"/>
  <c r="B234" i="2"/>
  <c r="DE233" i="2"/>
  <c r="CX233" i="2"/>
  <c r="CQ233" i="2"/>
  <c r="CJ233" i="2"/>
  <c r="CC233" i="2"/>
  <c r="BV233" i="2"/>
  <c r="BO233" i="2"/>
  <c r="BH233" i="2"/>
  <c r="BA233" i="2"/>
  <c r="BC238" i="2" s="1"/>
  <c r="AT233" i="2"/>
  <c r="AM233" i="2"/>
  <c r="AF233" i="2"/>
  <c r="AH238" i="2" s="1"/>
  <c r="Y233" i="2"/>
  <c r="AA236" i="2" s="1"/>
  <c r="R233" i="2"/>
  <c r="K233" i="2"/>
  <c r="D233" i="2"/>
  <c r="B233" i="2"/>
  <c r="DE232" i="2"/>
  <c r="CX232" i="2"/>
  <c r="CZ238" i="2" s="1"/>
  <c r="CQ232" i="2"/>
  <c r="CJ232" i="2"/>
  <c r="CC232" i="2"/>
  <c r="BV232" i="2"/>
  <c r="BO232" i="2"/>
  <c r="BH232" i="2"/>
  <c r="BA232" i="2"/>
  <c r="AT232" i="2"/>
  <c r="AM232" i="2"/>
  <c r="AF232" i="2"/>
  <c r="Y232" i="2"/>
  <c r="R232" i="2"/>
  <c r="K232" i="2"/>
  <c r="M237" i="2" s="1"/>
  <c r="D232" i="2"/>
  <c r="DE231" i="2"/>
  <c r="CX231" i="2"/>
  <c r="CQ231" i="2"/>
  <c r="CJ231" i="2"/>
  <c r="CE231" i="2"/>
  <c r="CC231" i="2"/>
  <c r="BV231" i="2"/>
  <c r="BO231" i="2"/>
  <c r="BH231" i="2"/>
  <c r="BA231" i="2"/>
  <c r="BC236" i="2" s="1"/>
  <c r="AT231" i="2"/>
  <c r="AM231" i="2"/>
  <c r="AF231" i="2"/>
  <c r="AH237" i="2" s="1"/>
  <c r="Y231" i="2"/>
  <c r="R231" i="2"/>
  <c r="K231" i="2"/>
  <c r="D231" i="2"/>
  <c r="DE230" i="2"/>
  <c r="CX230" i="2"/>
  <c r="CQ230" i="2"/>
  <c r="CJ230" i="2"/>
  <c r="CL233" i="2" s="1"/>
  <c r="CC230" i="2"/>
  <c r="BV230" i="2"/>
  <c r="BQ230" i="2"/>
  <c r="BO230" i="2"/>
  <c r="BQ234" i="2" s="1"/>
  <c r="BH230" i="2"/>
  <c r="BA230" i="2"/>
  <c r="AV230" i="2"/>
  <c r="AT230" i="2"/>
  <c r="AM230" i="2"/>
  <c r="AF230" i="2"/>
  <c r="AA230" i="2"/>
  <c r="Y230" i="2"/>
  <c r="R230" i="2"/>
  <c r="T236" i="2" s="1"/>
  <c r="K230" i="2"/>
  <c r="D230" i="2"/>
  <c r="B230" i="2"/>
  <c r="DE229" i="2"/>
  <c r="CX229" i="2"/>
  <c r="CQ229" i="2"/>
  <c r="CJ229" i="2"/>
  <c r="CC229" i="2"/>
  <c r="BV229" i="2"/>
  <c r="BQ229" i="2"/>
  <c r="BO229" i="2"/>
  <c r="BH229" i="2"/>
  <c r="BJ235" i="2" s="1"/>
  <c r="BA229" i="2"/>
  <c r="AT229" i="2"/>
  <c r="AM229" i="2"/>
  <c r="AF229" i="2"/>
  <c r="Y229" i="2"/>
  <c r="AA231" i="2" s="1"/>
  <c r="R229" i="2"/>
  <c r="K229" i="2"/>
  <c r="D229" i="2"/>
  <c r="B229" i="2"/>
  <c r="DE228" i="2"/>
  <c r="CX228" i="2"/>
  <c r="CQ228" i="2"/>
  <c r="CJ228" i="2"/>
  <c r="CC228" i="2"/>
  <c r="BV228" i="2"/>
  <c r="BQ228" i="2"/>
  <c r="BO228" i="2"/>
  <c r="BH228" i="2"/>
  <c r="BA228" i="2"/>
  <c r="AT228" i="2"/>
  <c r="AM228" i="2"/>
  <c r="AO232" i="2" s="1"/>
  <c r="AH228" i="2"/>
  <c r="AF228" i="2"/>
  <c r="AH234" i="2" s="1"/>
  <c r="Y228" i="2"/>
  <c r="R228" i="2"/>
  <c r="K228" i="2"/>
  <c r="D228" i="2"/>
  <c r="B228" i="2" s="1"/>
  <c r="DE227" i="2"/>
  <c r="CX227" i="2"/>
  <c r="CQ227" i="2"/>
  <c r="CJ227" i="2"/>
  <c r="CC227" i="2"/>
  <c r="BV227" i="2"/>
  <c r="BX232" i="2" s="1"/>
  <c r="BO227" i="2"/>
  <c r="BH227" i="2"/>
  <c r="BA227" i="2"/>
  <c r="AT227" i="2"/>
  <c r="AM227" i="2"/>
  <c r="AF227" i="2"/>
  <c r="Y227" i="2"/>
  <c r="R227" i="2"/>
  <c r="K227" i="2"/>
  <c r="D227" i="2"/>
  <c r="B227" i="2" s="1"/>
  <c r="DE226" i="2"/>
  <c r="DG232" i="2" s="1"/>
  <c r="CX226" i="2"/>
  <c r="CQ226" i="2"/>
  <c r="CJ226" i="2"/>
  <c r="CC226" i="2"/>
  <c r="BV226" i="2"/>
  <c r="BO226" i="2"/>
  <c r="BH226" i="2"/>
  <c r="BA226" i="2"/>
  <c r="BC232" i="2" s="1"/>
  <c r="AT226" i="2"/>
  <c r="AM226" i="2"/>
  <c r="AF226" i="2"/>
  <c r="Y226" i="2"/>
  <c r="R226" i="2"/>
  <c r="K226" i="2"/>
  <c r="D226" i="2"/>
  <c r="DE225" i="2"/>
  <c r="CX225" i="2"/>
  <c r="CQ225" i="2"/>
  <c r="CJ225" i="2"/>
  <c r="CC225" i="2"/>
  <c r="BV225" i="2"/>
  <c r="BO225" i="2"/>
  <c r="BH225" i="2"/>
  <c r="BA225" i="2"/>
  <c r="AT225" i="2"/>
  <c r="AM225" i="2"/>
  <c r="AF225" i="2"/>
  <c r="Y225" i="2"/>
  <c r="R225" i="2"/>
  <c r="K225" i="2"/>
  <c r="D225" i="2"/>
  <c r="B225" i="2"/>
  <c r="DE224" i="2"/>
  <c r="DG229" i="2" s="1"/>
  <c r="CZ224" i="2"/>
  <c r="CX224" i="2"/>
  <c r="CQ224" i="2"/>
  <c r="CJ224" i="2"/>
  <c r="CC224" i="2"/>
  <c r="CE230" i="2" s="1"/>
  <c r="BV224" i="2"/>
  <c r="BO224" i="2"/>
  <c r="BH224" i="2"/>
  <c r="BA224" i="2"/>
  <c r="AT224" i="2"/>
  <c r="AM224" i="2"/>
  <c r="AF224" i="2"/>
  <c r="Y224" i="2"/>
  <c r="R224" i="2"/>
  <c r="K224" i="2"/>
  <c r="D224" i="2"/>
  <c r="B224" i="2"/>
  <c r="DE223" i="2"/>
  <c r="CX223" i="2"/>
  <c r="CS223" i="2"/>
  <c r="CQ223" i="2"/>
  <c r="CJ223" i="2"/>
  <c r="CC223" i="2"/>
  <c r="BV223" i="2"/>
  <c r="BX228" i="2" s="1"/>
  <c r="BO223" i="2"/>
  <c r="BH223" i="2"/>
  <c r="BJ227" i="2" s="1"/>
  <c r="BC223" i="2"/>
  <c r="BA223" i="2"/>
  <c r="AT223" i="2"/>
  <c r="AM223" i="2"/>
  <c r="AF223" i="2"/>
  <c r="Y223" i="2"/>
  <c r="R223" i="2"/>
  <c r="K223" i="2"/>
  <c r="D223" i="2"/>
  <c r="DE222" i="2"/>
  <c r="CX222" i="2"/>
  <c r="CZ226" i="2" s="1"/>
  <c r="CS222" i="2"/>
  <c r="CQ222" i="2"/>
  <c r="CJ222" i="2"/>
  <c r="CC222" i="2"/>
  <c r="BV222" i="2"/>
  <c r="BO222" i="2"/>
  <c r="BH222" i="2"/>
  <c r="BA222" i="2"/>
  <c r="AT222" i="2"/>
  <c r="AM222" i="2"/>
  <c r="AF222" i="2"/>
  <c r="Y222" i="2"/>
  <c r="R222" i="2"/>
  <c r="K222" i="2"/>
  <c r="M228" i="2" s="1"/>
  <c r="D222" i="2"/>
  <c r="DE221" i="2"/>
  <c r="CX221" i="2"/>
  <c r="CQ221" i="2"/>
  <c r="CJ221" i="2"/>
  <c r="CC221" i="2"/>
  <c r="BV221" i="2"/>
  <c r="BQ221" i="2"/>
  <c r="BO221" i="2"/>
  <c r="BH221" i="2"/>
  <c r="BA221" i="2"/>
  <c r="AT221" i="2"/>
  <c r="AM221" i="2"/>
  <c r="AF221" i="2"/>
  <c r="AH225" i="2" s="1"/>
  <c r="Y221" i="2"/>
  <c r="R221" i="2"/>
  <c r="M221" i="2"/>
  <c r="K221" i="2"/>
  <c r="D221" i="2"/>
  <c r="B221" i="2"/>
  <c r="DE220" i="2"/>
  <c r="CX220" i="2"/>
  <c r="CQ220" i="2"/>
  <c r="CJ220" i="2"/>
  <c r="CC220" i="2"/>
  <c r="BV220" i="2"/>
  <c r="BO220" i="2"/>
  <c r="BH220" i="2"/>
  <c r="BA220" i="2"/>
  <c r="AT220" i="2"/>
  <c r="AM220" i="2"/>
  <c r="AF220" i="2"/>
  <c r="Y220" i="2"/>
  <c r="R220" i="2"/>
  <c r="K220" i="2"/>
  <c r="D220" i="2"/>
  <c r="B220" i="2" s="1"/>
  <c r="DE219" i="2"/>
  <c r="CX219" i="2"/>
  <c r="CQ219" i="2"/>
  <c r="CJ219" i="2"/>
  <c r="CC219" i="2"/>
  <c r="BV219" i="2"/>
  <c r="BX223" i="2" s="1"/>
  <c r="BO219" i="2"/>
  <c r="BH219" i="2"/>
  <c r="BA219" i="2"/>
  <c r="AT219" i="2"/>
  <c r="AM219" i="2"/>
  <c r="AF219" i="2"/>
  <c r="Y219" i="2"/>
  <c r="R219" i="2"/>
  <c r="K219" i="2"/>
  <c r="M225" i="2" s="1"/>
  <c r="D219" i="2"/>
  <c r="B219" i="2"/>
  <c r="DE218" i="2"/>
  <c r="CX218" i="2"/>
  <c r="CQ218" i="2"/>
  <c r="CJ218" i="2"/>
  <c r="CE218" i="2"/>
  <c r="CC218" i="2"/>
  <c r="BV218" i="2"/>
  <c r="BO218" i="2"/>
  <c r="BH218" i="2"/>
  <c r="BA218" i="2"/>
  <c r="AT218" i="2"/>
  <c r="AM218" i="2"/>
  <c r="AF218" i="2"/>
  <c r="Y218" i="2"/>
  <c r="R218" i="2"/>
  <c r="K218" i="2"/>
  <c r="M224" i="2" s="1"/>
  <c r="D218" i="2"/>
  <c r="DE217" i="2"/>
  <c r="CX217" i="2"/>
  <c r="CQ217" i="2"/>
  <c r="CJ217" i="2"/>
  <c r="CC217" i="2"/>
  <c r="BV217" i="2"/>
  <c r="BO217" i="2"/>
  <c r="BH217" i="2"/>
  <c r="BA217" i="2"/>
  <c r="AT217" i="2"/>
  <c r="AM217" i="2"/>
  <c r="AF217" i="2"/>
  <c r="Y217" i="2"/>
  <c r="R217" i="2"/>
  <c r="K217" i="2"/>
  <c r="D217" i="2"/>
  <c r="B217" i="2"/>
  <c r="DE216" i="2"/>
  <c r="CX216" i="2"/>
  <c r="CQ216" i="2"/>
  <c r="CJ216" i="2"/>
  <c r="CC216" i="2"/>
  <c r="BV216" i="2"/>
  <c r="BO216" i="2"/>
  <c r="BH216" i="2"/>
  <c r="BA216" i="2"/>
  <c r="AT216" i="2"/>
  <c r="AM216" i="2"/>
  <c r="AF216" i="2"/>
  <c r="Y216" i="2"/>
  <c r="AA222" i="2" s="1"/>
  <c r="R216" i="2"/>
  <c r="K216" i="2"/>
  <c r="D216" i="2"/>
  <c r="B216" i="2"/>
  <c r="DE215" i="2"/>
  <c r="CX215" i="2"/>
  <c r="CQ215" i="2"/>
  <c r="CS219" i="2" s="1"/>
  <c r="CJ215" i="2"/>
  <c r="CC215" i="2"/>
  <c r="CE221" i="2" s="1"/>
  <c r="BV215" i="2"/>
  <c r="BO215" i="2"/>
  <c r="BH215" i="2"/>
  <c r="BA215" i="2"/>
  <c r="AT215" i="2"/>
  <c r="AV221" i="2" s="1"/>
  <c r="AM215" i="2"/>
  <c r="AF215" i="2"/>
  <c r="Y215" i="2"/>
  <c r="R215" i="2"/>
  <c r="K215" i="2"/>
  <c r="D215" i="2"/>
  <c r="DE214" i="2"/>
  <c r="CX214" i="2"/>
  <c r="CQ214" i="2"/>
  <c r="CJ214" i="2"/>
  <c r="CC214" i="2"/>
  <c r="BV214" i="2"/>
  <c r="BO214" i="2"/>
  <c r="BH214" i="2"/>
  <c r="BA214" i="2"/>
  <c r="AT214" i="2"/>
  <c r="AM214" i="2"/>
  <c r="AF214" i="2"/>
  <c r="Y214" i="2"/>
  <c r="R214" i="2"/>
  <c r="K214" i="2"/>
  <c r="M220" i="2" s="1"/>
  <c r="D214" i="2"/>
  <c r="DE213" i="2"/>
  <c r="CX213" i="2"/>
  <c r="CQ213" i="2"/>
  <c r="CJ213" i="2"/>
  <c r="CC213" i="2"/>
  <c r="BV213" i="2"/>
  <c r="BO213" i="2"/>
  <c r="BH213" i="2"/>
  <c r="BA213" i="2"/>
  <c r="BC219" i="2" s="1"/>
  <c r="AT213" i="2"/>
  <c r="AM213" i="2"/>
  <c r="AF213" i="2"/>
  <c r="Y213" i="2"/>
  <c r="R213" i="2"/>
  <c r="K213" i="2"/>
  <c r="D213" i="2"/>
  <c r="B213" i="2"/>
  <c r="DE212" i="2"/>
  <c r="CX212" i="2"/>
  <c r="CQ212" i="2"/>
  <c r="CJ212" i="2"/>
  <c r="CC212" i="2"/>
  <c r="BV212" i="2"/>
  <c r="BO212" i="2"/>
  <c r="BH212" i="2"/>
  <c r="BA212" i="2"/>
  <c r="AT212" i="2"/>
  <c r="AM212" i="2"/>
  <c r="AF212" i="2"/>
  <c r="Y212" i="2"/>
  <c r="R212" i="2"/>
  <c r="K212" i="2"/>
  <c r="M217" i="2" s="1"/>
  <c r="D212" i="2"/>
  <c r="B212" i="2"/>
  <c r="DE211" i="2"/>
  <c r="CX211" i="2"/>
  <c r="CQ211" i="2"/>
  <c r="CJ211" i="2"/>
  <c r="CC211" i="2"/>
  <c r="BV211" i="2"/>
  <c r="BO211" i="2"/>
  <c r="BH211" i="2"/>
  <c r="BA211" i="2"/>
  <c r="AT211" i="2"/>
  <c r="AM211" i="2"/>
  <c r="AF211" i="2"/>
  <c r="Y211" i="2"/>
  <c r="R211" i="2"/>
  <c r="K211" i="2"/>
  <c r="D211" i="2"/>
  <c r="B211" i="2"/>
  <c r="DE210" i="2"/>
  <c r="CX210" i="2"/>
  <c r="CQ210" i="2"/>
  <c r="CJ210" i="2"/>
  <c r="CC210" i="2"/>
  <c r="BV210" i="2"/>
  <c r="BO210" i="2"/>
  <c r="BH210" i="2"/>
  <c r="BA210" i="2"/>
  <c r="AT210" i="2"/>
  <c r="AM210" i="2"/>
  <c r="AF210" i="2"/>
  <c r="Y210" i="2"/>
  <c r="R210" i="2"/>
  <c r="K210" i="2"/>
  <c r="D210" i="2"/>
  <c r="B210" i="2"/>
  <c r="DE209" i="2"/>
  <c r="CX209" i="2"/>
  <c r="CQ209" i="2"/>
  <c r="CJ209" i="2"/>
  <c r="CC209" i="2"/>
  <c r="CE214" i="2" s="1"/>
  <c r="BV209" i="2"/>
  <c r="BO209" i="2"/>
  <c r="BH209" i="2"/>
  <c r="BA209" i="2"/>
  <c r="BC215" i="2" s="1"/>
  <c r="AT209" i="2"/>
  <c r="AM209" i="2"/>
  <c r="AF209" i="2"/>
  <c r="Y209" i="2"/>
  <c r="R209" i="2"/>
  <c r="K209" i="2"/>
  <c r="D209" i="2"/>
  <c r="B209" i="2"/>
  <c r="DE208" i="2"/>
  <c r="CX208" i="2"/>
  <c r="CQ208" i="2"/>
  <c r="CJ208" i="2"/>
  <c r="CC208" i="2"/>
  <c r="BV208" i="2"/>
  <c r="BO208" i="2"/>
  <c r="BH208" i="2"/>
  <c r="BA208" i="2"/>
  <c r="AT208" i="2"/>
  <c r="AM208" i="2"/>
  <c r="AF208" i="2"/>
  <c r="Y208" i="2"/>
  <c r="R208" i="2"/>
  <c r="K208" i="2"/>
  <c r="D208" i="2"/>
  <c r="B208" i="2"/>
  <c r="DE207" i="2"/>
  <c r="CX207" i="2"/>
  <c r="CQ207" i="2"/>
  <c r="CJ207" i="2"/>
  <c r="CC207" i="2"/>
  <c r="BV207" i="2"/>
  <c r="BO207" i="2"/>
  <c r="BH207" i="2"/>
  <c r="BA207" i="2"/>
  <c r="AT207" i="2"/>
  <c r="AM207" i="2"/>
  <c r="AF207" i="2"/>
  <c r="Y207" i="2"/>
  <c r="R207" i="2"/>
  <c r="K207" i="2"/>
  <c r="D207" i="2"/>
  <c r="B207" i="2"/>
  <c r="DE206" i="2"/>
  <c r="CX206" i="2"/>
  <c r="CQ206" i="2"/>
  <c r="CJ206" i="2"/>
  <c r="CC206" i="2"/>
  <c r="BV206" i="2"/>
  <c r="BO206" i="2"/>
  <c r="BH206" i="2"/>
  <c r="BA206" i="2"/>
  <c r="AT206" i="2"/>
  <c r="AM206" i="2"/>
  <c r="AF206" i="2"/>
  <c r="Y206" i="2"/>
  <c r="R206" i="2"/>
  <c r="K206" i="2"/>
  <c r="D206" i="2"/>
  <c r="B206" i="2"/>
  <c r="DE205" i="2"/>
  <c r="CX205" i="2"/>
  <c r="CQ205" i="2"/>
  <c r="CJ205" i="2"/>
  <c r="CC205" i="2"/>
  <c r="BV205" i="2"/>
  <c r="BO205" i="2"/>
  <c r="BH205" i="2"/>
  <c r="BA205" i="2"/>
  <c r="AT205" i="2"/>
  <c r="AM205" i="2"/>
  <c r="AF205" i="2"/>
  <c r="Y205" i="2"/>
  <c r="R205" i="2"/>
  <c r="K205" i="2"/>
  <c r="D205" i="2"/>
  <c r="F205" i="2" s="1"/>
  <c r="B205" i="2"/>
  <c r="DE204" i="2"/>
  <c r="CX204" i="2"/>
  <c r="CQ204" i="2"/>
  <c r="CJ204" i="2"/>
  <c r="CC204" i="2"/>
  <c r="BV204" i="2"/>
  <c r="BO204" i="2"/>
  <c r="BH204" i="2"/>
  <c r="BA204" i="2"/>
  <c r="AT204" i="2"/>
  <c r="AM204" i="2"/>
  <c r="AF204" i="2"/>
  <c r="Y204" i="2"/>
  <c r="R204" i="2"/>
  <c r="K204" i="2"/>
  <c r="D204" i="2"/>
  <c r="B204" i="2"/>
  <c r="DE203" i="2"/>
  <c r="CX203" i="2"/>
  <c r="CQ203" i="2"/>
  <c r="CJ203" i="2"/>
  <c r="CC203" i="2"/>
  <c r="BV203" i="2"/>
  <c r="BO203" i="2"/>
  <c r="BH203" i="2"/>
  <c r="BA203" i="2"/>
  <c r="AT203" i="2"/>
  <c r="AM203" i="2"/>
  <c r="AF203" i="2"/>
  <c r="Y203" i="2"/>
  <c r="R203" i="2"/>
  <c r="K203" i="2"/>
  <c r="D203" i="2"/>
  <c r="B203" i="2"/>
  <c r="DE202" i="2"/>
  <c r="CX202" i="2"/>
  <c r="CQ202" i="2"/>
  <c r="CJ202" i="2"/>
  <c r="CC202" i="2"/>
  <c r="BV202" i="2"/>
  <c r="BO202" i="2"/>
  <c r="BH202" i="2"/>
  <c r="BA202" i="2"/>
  <c r="AT202" i="2"/>
  <c r="AM202" i="2"/>
  <c r="AF202" i="2"/>
  <c r="Y202" i="2"/>
  <c r="R202" i="2"/>
  <c r="K202" i="2"/>
  <c r="D202" i="2"/>
  <c r="F208" i="2" s="1"/>
  <c r="B202" i="2"/>
  <c r="DE201" i="2"/>
  <c r="DG201" i="2" s="1"/>
  <c r="CX201" i="2"/>
  <c r="CQ201" i="2"/>
  <c r="CS207" i="2" s="1"/>
  <c r="CJ201" i="2"/>
  <c r="CC201" i="2"/>
  <c r="BV201" i="2"/>
  <c r="BO201" i="2"/>
  <c r="BH201" i="2"/>
  <c r="BA201" i="2"/>
  <c r="AT201" i="2"/>
  <c r="AO201" i="2"/>
  <c r="AM201" i="2"/>
  <c r="AF201" i="2"/>
  <c r="Y201" i="2"/>
  <c r="R201" i="2"/>
  <c r="K201" i="2"/>
  <c r="D201" i="2"/>
  <c r="B201" i="2"/>
  <c r="DE200" i="2"/>
  <c r="CX200" i="2"/>
  <c r="CQ200" i="2"/>
  <c r="CJ200" i="2"/>
  <c r="CE200" i="2"/>
  <c r="CC200" i="2"/>
  <c r="BV200" i="2"/>
  <c r="BO200" i="2"/>
  <c r="BH200" i="2"/>
  <c r="BA200" i="2"/>
  <c r="AT200" i="2"/>
  <c r="AM200" i="2"/>
  <c r="AF200" i="2"/>
  <c r="Y200" i="2"/>
  <c r="AA206" i="2" s="1"/>
  <c r="R200" i="2"/>
  <c r="K200" i="2"/>
  <c r="D200" i="2"/>
  <c r="B200" i="2"/>
  <c r="DE199" i="2"/>
  <c r="CX199" i="2"/>
  <c r="CQ199" i="2"/>
  <c r="CJ199" i="2"/>
  <c r="CC199" i="2"/>
  <c r="BV199" i="2"/>
  <c r="BO199" i="2"/>
  <c r="BQ205" i="2" s="1"/>
  <c r="BH199" i="2"/>
  <c r="BA199" i="2"/>
  <c r="AT199" i="2"/>
  <c r="AM199" i="2"/>
  <c r="AF199" i="2"/>
  <c r="Y199" i="2"/>
  <c r="R199" i="2"/>
  <c r="K199" i="2"/>
  <c r="F199" i="2"/>
  <c r="D199" i="2"/>
  <c r="B199" i="2"/>
  <c r="DG198" i="2"/>
  <c r="DE198" i="2"/>
  <c r="CX198" i="2"/>
  <c r="CQ198" i="2"/>
  <c r="CL198" i="2"/>
  <c r="CJ198" i="2"/>
  <c r="CC198" i="2"/>
  <c r="BV198" i="2"/>
  <c r="BO198" i="2"/>
  <c r="BH198" i="2"/>
  <c r="BA198" i="2"/>
  <c r="AT198" i="2"/>
  <c r="AM198" i="2"/>
  <c r="AF198" i="2"/>
  <c r="Y198" i="2"/>
  <c r="R198" i="2"/>
  <c r="K198" i="2"/>
  <c r="D198" i="2"/>
  <c r="B198" i="2"/>
  <c r="DE197" i="2"/>
  <c r="CX197" i="2"/>
  <c r="CQ197" i="2"/>
  <c r="CJ197" i="2"/>
  <c r="CL202" i="2" s="1"/>
  <c r="CE197" i="2"/>
  <c r="CC197" i="2"/>
  <c r="BV197" i="2"/>
  <c r="BO197" i="2"/>
  <c r="BQ203" i="2" s="1"/>
  <c r="BH197" i="2"/>
  <c r="BA197" i="2"/>
  <c r="AT197" i="2"/>
  <c r="AM197" i="2"/>
  <c r="AF197" i="2"/>
  <c r="Y197" i="2"/>
  <c r="R197" i="2"/>
  <c r="K197" i="2"/>
  <c r="D197" i="2"/>
  <c r="B197" i="2"/>
  <c r="DE196" i="2"/>
  <c r="DG202" i="2" s="1"/>
  <c r="CX196" i="2"/>
  <c r="CQ196" i="2"/>
  <c r="CJ196" i="2"/>
  <c r="CC196" i="2"/>
  <c r="BV196" i="2"/>
  <c r="BO196" i="2"/>
  <c r="BH196" i="2"/>
  <c r="BA196" i="2"/>
  <c r="AT196" i="2"/>
  <c r="AM196" i="2"/>
  <c r="AF196" i="2"/>
  <c r="Y196" i="2"/>
  <c r="R196" i="2"/>
  <c r="K196" i="2"/>
  <c r="D196" i="2"/>
  <c r="F202" i="2" s="1"/>
  <c r="B196" i="2"/>
  <c r="DE195" i="2"/>
  <c r="CX195" i="2"/>
  <c r="CQ195" i="2"/>
  <c r="CJ195" i="2"/>
  <c r="CL201" i="2" s="1"/>
  <c r="CC195" i="2"/>
  <c r="BV195" i="2"/>
  <c r="BO195" i="2"/>
  <c r="BH195" i="2"/>
  <c r="BA195" i="2"/>
  <c r="AT195" i="2"/>
  <c r="AV201" i="2" s="1"/>
  <c r="AM195" i="2"/>
  <c r="AF195" i="2"/>
  <c r="Y195" i="2"/>
  <c r="AA201" i="2" s="1"/>
  <c r="R195" i="2"/>
  <c r="K195" i="2"/>
  <c r="D195" i="2"/>
  <c r="B195" i="2"/>
  <c r="DE194" i="2"/>
  <c r="CX194" i="2"/>
  <c r="CQ194" i="2"/>
  <c r="CJ194" i="2"/>
  <c r="CL200" i="2" s="1"/>
  <c r="CC194" i="2"/>
  <c r="BV194" i="2"/>
  <c r="BO194" i="2"/>
  <c r="BH194" i="2"/>
  <c r="BA194" i="2"/>
  <c r="AT194" i="2"/>
  <c r="AM194" i="2"/>
  <c r="AF194" i="2"/>
  <c r="AH200" i="2" s="1"/>
  <c r="Y194" i="2"/>
  <c r="AA200" i="2" s="1"/>
  <c r="R194" i="2"/>
  <c r="K194" i="2"/>
  <c r="D194" i="2"/>
  <c r="B194" i="2"/>
  <c r="DE193" i="2"/>
  <c r="DG199" i="2" s="1"/>
  <c r="CX193" i="2"/>
  <c r="CQ193" i="2"/>
  <c r="CJ193" i="2"/>
  <c r="CC193" i="2"/>
  <c r="BV193" i="2"/>
  <c r="BX199" i="2" s="1"/>
  <c r="BO193" i="2"/>
  <c r="BQ199" i="2" s="1"/>
  <c r="BH193" i="2"/>
  <c r="BA193" i="2"/>
  <c r="BC199" i="2" s="1"/>
  <c r="AT193" i="2"/>
  <c r="AM193" i="2"/>
  <c r="AF193" i="2"/>
  <c r="Y193" i="2"/>
  <c r="R193" i="2"/>
  <c r="T199" i="2" s="1"/>
  <c r="K193" i="2"/>
  <c r="D193" i="2"/>
  <c r="B193" i="2"/>
  <c r="DE192" i="2"/>
  <c r="CX192" i="2"/>
  <c r="CQ192" i="2"/>
  <c r="CJ192" i="2"/>
  <c r="CC192" i="2"/>
  <c r="BV192" i="2"/>
  <c r="BO192" i="2"/>
  <c r="BH192" i="2"/>
  <c r="BJ192" i="2" s="1"/>
  <c r="BA192" i="2"/>
  <c r="BC198" i="2" s="1"/>
  <c r="AT192" i="2"/>
  <c r="AM192" i="2"/>
  <c r="AF192" i="2"/>
  <c r="Y192" i="2"/>
  <c r="R192" i="2"/>
  <c r="K192" i="2"/>
  <c r="D192" i="2"/>
  <c r="B192" i="2"/>
  <c r="DE191" i="2"/>
  <c r="CX191" i="2"/>
  <c r="CZ191" i="2" s="1"/>
  <c r="CQ191" i="2"/>
  <c r="CJ191" i="2"/>
  <c r="CC191" i="2"/>
  <c r="BV191" i="2"/>
  <c r="BO191" i="2"/>
  <c r="BH191" i="2"/>
  <c r="BA191" i="2"/>
  <c r="AT191" i="2"/>
  <c r="AM191" i="2"/>
  <c r="AF191" i="2"/>
  <c r="Y191" i="2"/>
  <c r="T191" i="2"/>
  <c r="R191" i="2"/>
  <c r="T197" i="2" s="1"/>
  <c r="K191" i="2"/>
  <c r="D191" i="2"/>
  <c r="B191" i="2"/>
  <c r="DE190" i="2"/>
  <c r="CX190" i="2"/>
  <c r="CQ190" i="2"/>
  <c r="CJ190" i="2"/>
  <c r="CC190" i="2"/>
  <c r="BV190" i="2"/>
  <c r="BX190" i="2" s="1"/>
  <c r="BO190" i="2"/>
  <c r="BH190" i="2"/>
  <c r="BJ196" i="2" s="1"/>
  <c r="BA190" i="2"/>
  <c r="AT190" i="2"/>
  <c r="AV193" i="2" s="1"/>
  <c r="AM190" i="2"/>
  <c r="AF190" i="2"/>
  <c r="Y190" i="2"/>
  <c r="R190" i="2"/>
  <c r="M190" i="2"/>
  <c r="K190" i="2"/>
  <c r="D190" i="2"/>
  <c r="B190" i="2"/>
  <c r="DG189" i="2"/>
  <c r="DE189" i="2"/>
  <c r="CX189" i="2"/>
  <c r="CQ189" i="2"/>
  <c r="CJ189" i="2"/>
  <c r="CL192" i="2" s="1"/>
  <c r="CC189" i="2"/>
  <c r="BV189" i="2"/>
  <c r="BO189" i="2"/>
  <c r="BH189" i="2"/>
  <c r="BA189" i="2"/>
  <c r="AV189" i="2"/>
  <c r="AT189" i="2"/>
  <c r="AM189" i="2"/>
  <c r="AF189" i="2"/>
  <c r="Y189" i="2"/>
  <c r="R189" i="2"/>
  <c r="K189" i="2"/>
  <c r="M195" i="2" s="1"/>
  <c r="D189" i="2"/>
  <c r="B189" i="2"/>
  <c r="DE188" i="2"/>
  <c r="DG194" i="2" s="1"/>
  <c r="CX188" i="2"/>
  <c r="CQ188" i="2"/>
  <c r="CL188" i="2"/>
  <c r="CJ188" i="2"/>
  <c r="CC188" i="2"/>
  <c r="BV188" i="2"/>
  <c r="BX191" i="2" s="1"/>
  <c r="BO188" i="2"/>
  <c r="BH188" i="2"/>
  <c r="BJ188" i="2" s="1"/>
  <c r="BA188" i="2"/>
  <c r="AT188" i="2"/>
  <c r="AV194" i="2" s="1"/>
  <c r="AO188" i="2"/>
  <c r="AM188" i="2"/>
  <c r="AF188" i="2"/>
  <c r="Y188" i="2"/>
  <c r="R188" i="2"/>
  <c r="K188" i="2"/>
  <c r="D188" i="2"/>
  <c r="B188" i="2"/>
  <c r="DE187" i="2"/>
  <c r="CX187" i="2"/>
  <c r="CQ187" i="2"/>
  <c r="CJ187" i="2"/>
  <c r="CL187" i="2" s="1"/>
  <c r="CC187" i="2"/>
  <c r="BV187" i="2"/>
  <c r="BO187" i="2"/>
  <c r="BH187" i="2"/>
  <c r="BJ190" i="2" s="1"/>
  <c r="BA187" i="2"/>
  <c r="AT187" i="2"/>
  <c r="AM187" i="2"/>
  <c r="AF187" i="2"/>
  <c r="Y187" i="2"/>
  <c r="R187" i="2"/>
  <c r="K187" i="2"/>
  <c r="D187" i="2"/>
  <c r="B187" i="2"/>
  <c r="DE186" i="2"/>
  <c r="CX186" i="2"/>
  <c r="CQ186" i="2"/>
  <c r="CJ186" i="2"/>
  <c r="CC186" i="2"/>
  <c r="BV186" i="2"/>
  <c r="BO186" i="2"/>
  <c r="BH186" i="2"/>
  <c r="BA186" i="2"/>
  <c r="AT186" i="2"/>
  <c r="AM186" i="2"/>
  <c r="AF186" i="2"/>
  <c r="AH186" i="2" s="1"/>
  <c r="Y186" i="2"/>
  <c r="R186" i="2"/>
  <c r="K186" i="2"/>
  <c r="D186" i="2"/>
  <c r="B186" i="2"/>
  <c r="DE185" i="2"/>
  <c r="CX185" i="2"/>
  <c r="CQ185" i="2"/>
  <c r="CJ185" i="2"/>
  <c r="CC185" i="2"/>
  <c r="BV185" i="2"/>
  <c r="BO185" i="2"/>
  <c r="BH185" i="2"/>
  <c r="BA185" i="2"/>
  <c r="AV185" i="2"/>
  <c r="AT185" i="2"/>
  <c r="AM185" i="2"/>
  <c r="AF185" i="2"/>
  <c r="Y185" i="2"/>
  <c r="R185" i="2"/>
  <c r="K185" i="2"/>
  <c r="D185" i="2"/>
  <c r="B185" i="2"/>
  <c r="DE184" i="2"/>
  <c r="CX184" i="2"/>
  <c r="CQ184" i="2"/>
  <c r="CJ184" i="2"/>
  <c r="CC184" i="2"/>
  <c r="BV184" i="2"/>
  <c r="BO184" i="2"/>
  <c r="BH184" i="2"/>
  <c r="BA184" i="2"/>
  <c r="AT184" i="2"/>
  <c r="AM184" i="2"/>
  <c r="AF184" i="2"/>
  <c r="Y184" i="2"/>
  <c r="R184" i="2"/>
  <c r="K184" i="2"/>
  <c r="D184" i="2"/>
  <c r="B184" i="2"/>
  <c r="DE183" i="2"/>
  <c r="CX183" i="2"/>
  <c r="CQ183" i="2"/>
  <c r="CJ183" i="2"/>
  <c r="CC183" i="2"/>
  <c r="BV183" i="2"/>
  <c r="BO183" i="2"/>
  <c r="BH183" i="2"/>
  <c r="BA183" i="2"/>
  <c r="AT183" i="2"/>
  <c r="AM183" i="2"/>
  <c r="AF183" i="2"/>
  <c r="Y183" i="2"/>
  <c r="R183" i="2"/>
  <c r="K183" i="2"/>
  <c r="D183" i="2"/>
  <c r="B183" i="2"/>
  <c r="DE182" i="2"/>
  <c r="CX182" i="2"/>
  <c r="CS182" i="2"/>
  <c r="CQ182" i="2"/>
  <c r="CL182" i="2"/>
  <c r="CJ182" i="2"/>
  <c r="CC182" i="2"/>
  <c r="BV182" i="2"/>
  <c r="BO182" i="2"/>
  <c r="BH182" i="2"/>
  <c r="BA182" i="2"/>
  <c r="AT182" i="2"/>
  <c r="AM182" i="2"/>
  <c r="AF182" i="2"/>
  <c r="Y182" i="2"/>
  <c r="R182" i="2"/>
  <c r="K182" i="2"/>
  <c r="D182" i="2"/>
  <c r="B182" i="2"/>
  <c r="DG181" i="2"/>
  <c r="DE181" i="2"/>
  <c r="CX181" i="2"/>
  <c r="CQ181" i="2"/>
  <c r="CJ181" i="2"/>
  <c r="CC181" i="2"/>
  <c r="BV181" i="2"/>
  <c r="BO181" i="2"/>
  <c r="BH181" i="2"/>
  <c r="BA181" i="2"/>
  <c r="AT181" i="2"/>
  <c r="AO181" i="2"/>
  <c r="AM181" i="2"/>
  <c r="AH181" i="2"/>
  <c r="AF181" i="2"/>
  <c r="Y181" i="2"/>
  <c r="R181" i="2"/>
  <c r="K181" i="2"/>
  <c r="D181" i="2"/>
  <c r="B181" i="2"/>
  <c r="DE180" i="2"/>
  <c r="CX180" i="2"/>
  <c r="CQ180" i="2"/>
  <c r="CJ180" i="2"/>
  <c r="CE180" i="2"/>
  <c r="CC180" i="2"/>
  <c r="BV180" i="2"/>
  <c r="BO180" i="2"/>
  <c r="BH180" i="2"/>
  <c r="BA180" i="2"/>
  <c r="AT180" i="2"/>
  <c r="AM180" i="2"/>
  <c r="AF180" i="2"/>
  <c r="Y180" i="2"/>
  <c r="R180" i="2"/>
  <c r="K180" i="2"/>
  <c r="D180" i="2"/>
  <c r="B180" i="2"/>
  <c r="DE179" i="2"/>
  <c r="CX179" i="2"/>
  <c r="CQ179" i="2"/>
  <c r="CJ179" i="2"/>
  <c r="CE179" i="2"/>
  <c r="CC179" i="2"/>
  <c r="BV179" i="2"/>
  <c r="BX185" i="2" s="1"/>
  <c r="BO179" i="2"/>
  <c r="BH179" i="2"/>
  <c r="BA179" i="2"/>
  <c r="AT179" i="2"/>
  <c r="AM179" i="2"/>
  <c r="AF179" i="2"/>
  <c r="Y179" i="2"/>
  <c r="R179" i="2"/>
  <c r="M179" i="2"/>
  <c r="K179" i="2"/>
  <c r="D179" i="2"/>
  <c r="B179" i="2"/>
  <c r="DE178" i="2"/>
  <c r="CX178" i="2"/>
  <c r="CQ178" i="2"/>
  <c r="CJ178" i="2"/>
  <c r="CC178" i="2"/>
  <c r="BV178" i="2"/>
  <c r="BO178" i="2"/>
  <c r="BH178" i="2"/>
  <c r="BA178" i="2"/>
  <c r="AT178" i="2"/>
  <c r="AM178" i="2"/>
  <c r="AF178" i="2"/>
  <c r="AH184" i="2" s="1"/>
  <c r="Y178" i="2"/>
  <c r="R178" i="2"/>
  <c r="K178" i="2"/>
  <c r="D178" i="2"/>
  <c r="B178" i="2"/>
  <c r="DE177" i="2"/>
  <c r="CX177" i="2"/>
  <c r="CQ177" i="2"/>
  <c r="CJ177" i="2"/>
  <c r="CC177" i="2"/>
  <c r="BV177" i="2"/>
  <c r="BO177" i="2"/>
  <c r="BH177" i="2"/>
  <c r="BA177" i="2"/>
  <c r="AT177" i="2"/>
  <c r="AV183" i="2" s="1"/>
  <c r="AM177" i="2"/>
  <c r="AF177" i="2"/>
  <c r="Y177" i="2"/>
  <c r="AA183" i="2" s="1"/>
  <c r="R177" i="2"/>
  <c r="K177" i="2"/>
  <c r="D177" i="2"/>
  <c r="B177" i="2"/>
  <c r="DE176" i="2"/>
  <c r="CX176" i="2"/>
  <c r="CQ176" i="2"/>
  <c r="CJ176" i="2"/>
  <c r="CC176" i="2"/>
  <c r="BV176" i="2"/>
  <c r="BO176" i="2"/>
  <c r="BH176" i="2"/>
  <c r="BA176" i="2"/>
  <c r="AT176" i="2"/>
  <c r="AM176" i="2"/>
  <c r="AF176" i="2"/>
  <c r="Y176" i="2"/>
  <c r="R176" i="2"/>
  <c r="K176" i="2"/>
  <c r="D176" i="2"/>
  <c r="F182" i="2" s="1"/>
  <c r="B176" i="2"/>
  <c r="DE175" i="2"/>
  <c r="CX175" i="2"/>
  <c r="CQ175" i="2"/>
  <c r="CJ175" i="2"/>
  <c r="CC175" i="2"/>
  <c r="BV175" i="2"/>
  <c r="BX180" i="2" s="1"/>
  <c r="BO175" i="2"/>
  <c r="BH175" i="2"/>
  <c r="BA175" i="2"/>
  <c r="BC181" i="2" s="1"/>
  <c r="AT175" i="2"/>
  <c r="AV178" i="2" s="1"/>
  <c r="AM175" i="2"/>
  <c r="AH175" i="2"/>
  <c r="AF175" i="2"/>
  <c r="Y175" i="2"/>
  <c r="R175" i="2"/>
  <c r="K175" i="2"/>
  <c r="D175" i="2"/>
  <c r="B175" i="2"/>
  <c r="DE174" i="2"/>
  <c r="CX174" i="2"/>
  <c r="CQ174" i="2"/>
  <c r="CS180" i="2" s="1"/>
  <c r="CJ174" i="2"/>
  <c r="CC174" i="2"/>
  <c r="BV174" i="2"/>
  <c r="BO174" i="2"/>
  <c r="BH174" i="2"/>
  <c r="BA174" i="2"/>
  <c r="AT174" i="2"/>
  <c r="AM174" i="2"/>
  <c r="AO180" i="2" s="1"/>
  <c r="AF174" i="2"/>
  <c r="Y174" i="2"/>
  <c r="R174" i="2"/>
  <c r="K174" i="2"/>
  <c r="D174" i="2"/>
  <c r="B174" i="2"/>
  <c r="DE173" i="2"/>
  <c r="CX173" i="2"/>
  <c r="CQ173" i="2"/>
  <c r="CJ173" i="2"/>
  <c r="CC173" i="2"/>
  <c r="BV173" i="2"/>
  <c r="BO173" i="2"/>
  <c r="BJ173" i="2"/>
  <c r="BH173" i="2"/>
  <c r="BA173" i="2"/>
  <c r="AT173" i="2"/>
  <c r="AM173" i="2"/>
  <c r="AF173" i="2"/>
  <c r="AA173" i="2"/>
  <c r="Y173" i="2"/>
  <c r="R173" i="2"/>
  <c r="K173" i="2"/>
  <c r="D173" i="2"/>
  <c r="B173" i="2"/>
  <c r="DE172" i="2"/>
  <c r="DG178" i="2" s="1"/>
  <c r="CX172" i="2"/>
  <c r="CQ172" i="2"/>
  <c r="CJ172" i="2"/>
  <c r="CC172" i="2"/>
  <c r="BV172" i="2"/>
  <c r="BO172" i="2"/>
  <c r="BH172" i="2"/>
  <c r="BA172" i="2"/>
  <c r="AT172" i="2"/>
  <c r="AM172" i="2"/>
  <c r="AH172" i="2"/>
  <c r="AF172" i="2"/>
  <c r="Y172" i="2"/>
  <c r="R172" i="2"/>
  <c r="K172" i="2"/>
  <c r="D172" i="2"/>
  <c r="B172" i="2"/>
  <c r="DE171" i="2"/>
  <c r="CX171" i="2"/>
  <c r="CS171" i="2"/>
  <c r="CQ171" i="2"/>
  <c r="CJ171" i="2"/>
  <c r="CC171" i="2"/>
  <c r="BV171" i="2"/>
  <c r="BO171" i="2"/>
  <c r="BH171" i="2"/>
  <c r="BA171" i="2"/>
  <c r="AT171" i="2"/>
  <c r="AM171" i="2"/>
  <c r="AF171" i="2"/>
  <c r="AH177" i="2" s="1"/>
  <c r="Y171" i="2"/>
  <c r="R171" i="2"/>
  <c r="K171" i="2"/>
  <c r="D171" i="2"/>
  <c r="B171" i="2"/>
  <c r="DE170" i="2"/>
  <c r="CX170" i="2"/>
  <c r="CQ170" i="2"/>
  <c r="CJ170" i="2"/>
  <c r="CC170" i="2"/>
  <c r="BV170" i="2"/>
  <c r="BO170" i="2"/>
  <c r="BH170" i="2"/>
  <c r="BA170" i="2"/>
  <c r="AT170" i="2"/>
  <c r="AO170" i="2"/>
  <c r="AM170" i="2"/>
  <c r="AF170" i="2"/>
  <c r="Y170" i="2"/>
  <c r="R170" i="2"/>
  <c r="K170" i="2"/>
  <c r="M176" i="2" s="1"/>
  <c r="D170" i="2"/>
  <c r="B170" i="2"/>
  <c r="DE169" i="2"/>
  <c r="CX169" i="2"/>
  <c r="CQ169" i="2"/>
  <c r="CJ169" i="2"/>
  <c r="CC169" i="2"/>
  <c r="BX169" i="2"/>
  <c r="BV169" i="2"/>
  <c r="BO169" i="2"/>
  <c r="BH169" i="2"/>
  <c r="BA169" i="2"/>
  <c r="AT169" i="2"/>
  <c r="AM169" i="2"/>
  <c r="AF169" i="2"/>
  <c r="Y169" i="2"/>
  <c r="R169" i="2"/>
  <c r="K169" i="2"/>
  <c r="D169" i="2"/>
  <c r="B169" i="2"/>
  <c r="DE168" i="2"/>
  <c r="CX168" i="2"/>
  <c r="CQ168" i="2"/>
  <c r="CJ168" i="2"/>
  <c r="CC168" i="2"/>
  <c r="BV168" i="2"/>
  <c r="BO168" i="2"/>
  <c r="BH168" i="2"/>
  <c r="BA168" i="2"/>
  <c r="AV168" i="2"/>
  <c r="AT168" i="2"/>
  <c r="AM168" i="2"/>
  <c r="AF168" i="2"/>
  <c r="AH174" i="2" s="1"/>
  <c r="Y168" i="2"/>
  <c r="R168" i="2"/>
  <c r="T171" i="2" s="1"/>
  <c r="K168" i="2"/>
  <c r="M172" i="2" s="1"/>
  <c r="D168" i="2"/>
  <c r="B168" i="2"/>
  <c r="DE167" i="2"/>
  <c r="CX167" i="2"/>
  <c r="CQ167" i="2"/>
  <c r="CJ167" i="2"/>
  <c r="CC167" i="2"/>
  <c r="BV167" i="2"/>
  <c r="BO167" i="2"/>
  <c r="BH167" i="2"/>
  <c r="BA167" i="2"/>
  <c r="AT167" i="2"/>
  <c r="AM167" i="2"/>
  <c r="AF167" i="2"/>
  <c r="Y167" i="2"/>
  <c r="R167" i="2"/>
  <c r="M167" i="2"/>
  <c r="K167" i="2"/>
  <c r="D167" i="2"/>
  <c r="B167" i="2"/>
  <c r="DE166" i="2"/>
  <c r="CX166" i="2"/>
  <c r="CQ166" i="2"/>
  <c r="CJ166" i="2"/>
  <c r="CC166" i="2"/>
  <c r="BV166" i="2"/>
  <c r="BO166" i="2"/>
  <c r="BQ168" i="2" s="1"/>
  <c r="BH166" i="2"/>
  <c r="BA166" i="2"/>
  <c r="AT166" i="2"/>
  <c r="AV172" i="2" s="1"/>
  <c r="AM166" i="2"/>
  <c r="AF166" i="2"/>
  <c r="Y166" i="2"/>
  <c r="R166" i="2"/>
  <c r="K166" i="2"/>
  <c r="D166" i="2"/>
  <c r="B166" i="2"/>
  <c r="DE165" i="2"/>
  <c r="CX165" i="2"/>
  <c r="CQ165" i="2"/>
  <c r="CJ165" i="2"/>
  <c r="CC165" i="2"/>
  <c r="BV165" i="2"/>
  <c r="BO165" i="2"/>
  <c r="BJ165" i="2"/>
  <c r="BH165" i="2"/>
  <c r="BA165" i="2"/>
  <c r="AT165" i="2"/>
  <c r="AM165" i="2"/>
  <c r="AF165" i="2"/>
  <c r="Y165" i="2"/>
  <c r="R165" i="2"/>
  <c r="K165" i="2"/>
  <c r="D165" i="2"/>
  <c r="B165" i="2"/>
  <c r="DE164" i="2"/>
  <c r="CX164" i="2"/>
  <c r="CQ164" i="2"/>
  <c r="CJ164" i="2"/>
  <c r="CC164" i="2"/>
  <c r="BV164" i="2"/>
  <c r="BO164" i="2"/>
  <c r="BJ164" i="2"/>
  <c r="BH164" i="2"/>
  <c r="BA164" i="2"/>
  <c r="AT164" i="2"/>
  <c r="AM164" i="2"/>
  <c r="AF164" i="2"/>
  <c r="Y164" i="2"/>
  <c r="R164" i="2"/>
  <c r="K164" i="2"/>
  <c r="D164" i="2"/>
  <c r="B164" i="2"/>
  <c r="DG163" i="2"/>
  <c r="DE163" i="2"/>
  <c r="CX163" i="2"/>
  <c r="CQ163" i="2"/>
  <c r="CJ163" i="2"/>
  <c r="CC163" i="2"/>
  <c r="BV163" i="2"/>
  <c r="BO163" i="2"/>
  <c r="BH163" i="2"/>
  <c r="BA163" i="2"/>
  <c r="BC167" i="2" s="1"/>
  <c r="AT163" i="2"/>
  <c r="AM163" i="2"/>
  <c r="AO167" i="2" s="1"/>
  <c r="AH163" i="2"/>
  <c r="AF163" i="2"/>
  <c r="AH167" i="2" s="1"/>
  <c r="Y163" i="2"/>
  <c r="R163" i="2"/>
  <c r="K163" i="2"/>
  <c r="D163" i="2"/>
  <c r="B163" i="2"/>
  <c r="DG162" i="2"/>
  <c r="DE162" i="2"/>
  <c r="CX162" i="2"/>
  <c r="CQ162" i="2"/>
  <c r="CJ162" i="2"/>
  <c r="CC162" i="2"/>
  <c r="BV162" i="2"/>
  <c r="BO162" i="2"/>
  <c r="BH162" i="2"/>
  <c r="BA162" i="2"/>
  <c r="AT162" i="2"/>
  <c r="AV165" i="2" s="1"/>
  <c r="AM162" i="2"/>
  <c r="AF162" i="2"/>
  <c r="Y162" i="2"/>
  <c r="R162" i="2"/>
  <c r="T167" i="2" s="1"/>
  <c r="K162" i="2"/>
  <c r="D162" i="2"/>
  <c r="B162" i="2"/>
  <c r="DE161" i="2"/>
  <c r="CX161" i="2"/>
  <c r="CS161" i="2"/>
  <c r="CQ161" i="2"/>
  <c r="CJ161" i="2"/>
  <c r="CC161" i="2"/>
  <c r="BV161" i="2"/>
  <c r="BO161" i="2"/>
  <c r="BH161" i="2"/>
  <c r="BA161" i="2"/>
  <c r="AT161" i="2"/>
  <c r="AM161" i="2"/>
  <c r="AF161" i="2"/>
  <c r="Y161" i="2"/>
  <c r="AA166" i="2" s="1"/>
  <c r="R161" i="2"/>
  <c r="K161" i="2"/>
  <c r="D161" i="2"/>
  <c r="B161" i="2"/>
  <c r="DG160" i="2"/>
  <c r="DE160" i="2"/>
  <c r="CX160" i="2"/>
  <c r="CQ160" i="2"/>
  <c r="CJ160" i="2"/>
  <c r="CC160" i="2"/>
  <c r="BV160" i="2"/>
  <c r="BX165" i="2" s="1"/>
  <c r="BO160" i="2"/>
  <c r="BH160" i="2"/>
  <c r="BA160" i="2"/>
  <c r="AT160" i="2"/>
  <c r="AM160" i="2"/>
  <c r="AO165" i="2" s="1"/>
  <c r="AF160" i="2"/>
  <c r="Y160" i="2"/>
  <c r="R160" i="2"/>
  <c r="K160" i="2"/>
  <c r="D160" i="2"/>
  <c r="B160" i="2"/>
  <c r="DE159" i="2"/>
  <c r="CX159" i="2"/>
  <c r="CQ159" i="2"/>
  <c r="CJ159" i="2"/>
  <c r="CC159" i="2"/>
  <c r="BV159" i="2"/>
  <c r="BO159" i="2"/>
  <c r="BH159" i="2"/>
  <c r="BA159" i="2"/>
  <c r="AT159" i="2"/>
  <c r="AM159" i="2"/>
  <c r="AF159" i="2"/>
  <c r="Y159" i="2"/>
  <c r="R159" i="2"/>
  <c r="K159" i="2"/>
  <c r="D159" i="2"/>
  <c r="F159" i="2" s="1"/>
  <c r="B159" i="2"/>
  <c r="DE158" i="2"/>
  <c r="CX158" i="2"/>
  <c r="CZ158" i="2" s="1"/>
  <c r="CQ158" i="2"/>
  <c r="CJ158" i="2"/>
  <c r="CC158" i="2"/>
  <c r="BV158" i="2"/>
  <c r="BO158" i="2"/>
  <c r="BH158" i="2"/>
  <c r="BA158" i="2"/>
  <c r="AT158" i="2"/>
  <c r="AM158" i="2"/>
  <c r="AF158" i="2"/>
  <c r="Y158" i="2"/>
  <c r="R158" i="2"/>
  <c r="K158" i="2"/>
  <c r="D158" i="2"/>
  <c r="F164" i="2" s="1"/>
  <c r="B158" i="2"/>
  <c r="DE157" i="2"/>
  <c r="CX157" i="2"/>
  <c r="CQ157" i="2"/>
  <c r="CJ157" i="2"/>
  <c r="CC157" i="2"/>
  <c r="BV157" i="2"/>
  <c r="BO157" i="2"/>
  <c r="BH157" i="2"/>
  <c r="BA157" i="2"/>
  <c r="AT157" i="2"/>
  <c r="AM157" i="2"/>
  <c r="AF157" i="2"/>
  <c r="AH157" i="2" s="1"/>
  <c r="Y157" i="2"/>
  <c r="R157" i="2"/>
  <c r="K157" i="2"/>
  <c r="D157" i="2"/>
  <c r="B157" i="2"/>
  <c r="DE156" i="2"/>
  <c r="CX156" i="2"/>
  <c r="CQ156" i="2"/>
  <c r="CJ156" i="2"/>
  <c r="CC156" i="2"/>
  <c r="BV156" i="2"/>
  <c r="BO156" i="2"/>
  <c r="BH156" i="2"/>
  <c r="BA156" i="2"/>
  <c r="AT156" i="2"/>
  <c r="AO156" i="2"/>
  <c r="AM156" i="2"/>
  <c r="AF156" i="2"/>
  <c r="AH159" i="2" s="1"/>
  <c r="Y156" i="2"/>
  <c r="AA162" i="2" s="1"/>
  <c r="R156" i="2"/>
  <c r="K156" i="2"/>
  <c r="D156" i="2"/>
  <c r="B156" i="2"/>
  <c r="DE155" i="2"/>
  <c r="CZ155" i="2"/>
  <c r="CX155" i="2"/>
  <c r="CS155" i="2"/>
  <c r="CQ155" i="2"/>
  <c r="CL155" i="2"/>
  <c r="CJ155" i="2"/>
  <c r="CL159" i="2" s="1"/>
  <c r="CC155" i="2"/>
  <c r="BV155" i="2"/>
  <c r="BQ155" i="2"/>
  <c r="BO155" i="2"/>
  <c r="BH155" i="2"/>
  <c r="BA155" i="2"/>
  <c r="AT155" i="2"/>
  <c r="AM155" i="2"/>
  <c r="AF155" i="2"/>
  <c r="Y155" i="2"/>
  <c r="R155" i="2"/>
  <c r="K155" i="2"/>
  <c r="D155" i="2"/>
  <c r="F155" i="2" s="1"/>
  <c r="B155" i="2"/>
  <c r="DE154" i="2"/>
  <c r="CX154" i="2"/>
  <c r="CQ154" i="2"/>
  <c r="CJ154" i="2"/>
  <c r="CC154" i="2"/>
  <c r="BV154" i="2"/>
  <c r="BO154" i="2"/>
  <c r="BH154" i="2"/>
  <c r="BA154" i="2"/>
  <c r="AT154" i="2"/>
  <c r="AM154" i="2"/>
  <c r="AF154" i="2"/>
  <c r="Y154" i="2"/>
  <c r="R154" i="2"/>
  <c r="K154" i="2"/>
  <c r="D154" i="2"/>
  <c r="B154" i="2"/>
  <c r="DE153" i="2"/>
  <c r="CX153" i="2"/>
  <c r="CZ156" i="2" s="1"/>
  <c r="CQ153" i="2"/>
  <c r="CJ153" i="2"/>
  <c r="CC153" i="2"/>
  <c r="BV153" i="2"/>
  <c r="BO153" i="2"/>
  <c r="BH153" i="2"/>
  <c r="BA153" i="2"/>
  <c r="AT153" i="2"/>
  <c r="AM153" i="2"/>
  <c r="AF153" i="2"/>
  <c r="Y153" i="2"/>
  <c r="R153" i="2"/>
  <c r="K153" i="2"/>
  <c r="D153" i="2"/>
  <c r="B153" i="2"/>
  <c r="DE152" i="2"/>
  <c r="DG158" i="2" s="1"/>
  <c r="CX152" i="2"/>
  <c r="CQ152" i="2"/>
  <c r="CS158" i="2" s="1"/>
  <c r="CJ152" i="2"/>
  <c r="CC152" i="2"/>
  <c r="BV152" i="2"/>
  <c r="BO152" i="2"/>
  <c r="BQ158" i="2" s="1"/>
  <c r="BJ152" i="2"/>
  <c r="BH152" i="2"/>
  <c r="BA152" i="2"/>
  <c r="AT152" i="2"/>
  <c r="AO152" i="2"/>
  <c r="AM152" i="2"/>
  <c r="AF152" i="2"/>
  <c r="AH158" i="2" s="1"/>
  <c r="Y152" i="2"/>
  <c r="AA158" i="2" s="1"/>
  <c r="R152" i="2"/>
  <c r="K152" i="2"/>
  <c r="D152" i="2"/>
  <c r="B152" i="2"/>
  <c r="DE151" i="2"/>
  <c r="DG157" i="2" s="1"/>
  <c r="CX151" i="2"/>
  <c r="CS151" i="2"/>
  <c r="CQ151" i="2"/>
  <c r="CJ151" i="2"/>
  <c r="CC151" i="2"/>
  <c r="CE157" i="2" s="1"/>
  <c r="BV151" i="2"/>
  <c r="BX157" i="2" s="1"/>
  <c r="BO151" i="2"/>
  <c r="BQ157" i="2" s="1"/>
  <c r="BH151" i="2"/>
  <c r="BA151" i="2"/>
  <c r="AT151" i="2"/>
  <c r="AM151" i="2"/>
  <c r="AF151" i="2"/>
  <c r="Y151" i="2"/>
  <c r="R151" i="2"/>
  <c r="T157" i="2" s="1"/>
  <c r="K151" i="2"/>
  <c r="D151" i="2"/>
  <c r="F151" i="2" s="1"/>
  <c r="B151" i="2"/>
  <c r="DE150" i="2"/>
  <c r="DG156" i="2" s="1"/>
  <c r="CX150" i="2"/>
  <c r="CQ150" i="2"/>
  <c r="CJ150" i="2"/>
  <c r="CC150" i="2"/>
  <c r="BV150" i="2"/>
  <c r="BO150" i="2"/>
  <c r="BH150" i="2"/>
  <c r="BA150" i="2"/>
  <c r="AT150" i="2"/>
  <c r="AM150" i="2"/>
  <c r="AF150" i="2"/>
  <c r="Y150" i="2"/>
  <c r="R150" i="2"/>
  <c r="K150" i="2"/>
  <c r="D150" i="2"/>
  <c r="B150" i="2"/>
  <c r="DE149" i="2"/>
  <c r="CX149" i="2"/>
  <c r="CQ149" i="2"/>
  <c r="CJ149" i="2"/>
  <c r="CC149" i="2"/>
  <c r="BV149" i="2"/>
  <c r="BO149" i="2"/>
  <c r="BH149" i="2"/>
  <c r="BA149" i="2"/>
  <c r="AT149" i="2"/>
  <c r="AV155" i="2" s="1"/>
  <c r="AM149" i="2"/>
  <c r="AF149" i="2"/>
  <c r="Y149" i="2"/>
  <c r="R149" i="2"/>
  <c r="K149" i="2"/>
  <c r="D149" i="2"/>
  <c r="B149" i="2"/>
  <c r="DE148" i="2"/>
  <c r="DG154" i="2" s="1"/>
  <c r="CX148" i="2"/>
  <c r="CQ148" i="2"/>
  <c r="CJ148" i="2"/>
  <c r="CL154" i="2" s="1"/>
  <c r="CC148" i="2"/>
  <c r="CE153" i="2" s="1"/>
  <c r="BV148" i="2"/>
  <c r="BO148" i="2"/>
  <c r="BH148" i="2"/>
  <c r="BA148" i="2"/>
  <c r="BC148" i="2" s="1"/>
  <c r="AT148" i="2"/>
  <c r="AM148" i="2"/>
  <c r="AF148" i="2"/>
  <c r="Y148" i="2"/>
  <c r="AA154" i="2" s="1"/>
  <c r="R148" i="2"/>
  <c r="T153" i="2" s="1"/>
  <c r="K148" i="2"/>
  <c r="D148" i="2"/>
  <c r="B148" i="2"/>
  <c r="DG147" i="2"/>
  <c r="DE147" i="2"/>
  <c r="CX147" i="2"/>
  <c r="CQ147" i="2"/>
  <c r="CJ147" i="2"/>
  <c r="CC147" i="2"/>
  <c r="BV147" i="2"/>
  <c r="BX153" i="2" s="1"/>
  <c r="BO147" i="2"/>
  <c r="BQ153" i="2" s="1"/>
  <c r="BH147" i="2"/>
  <c r="BA147" i="2"/>
  <c r="AT147" i="2"/>
  <c r="AM147" i="2"/>
  <c r="AF147" i="2"/>
  <c r="Y147" i="2"/>
  <c r="R147" i="2"/>
  <c r="K147" i="2"/>
  <c r="D147" i="2"/>
  <c r="F153" i="2" s="1"/>
  <c r="B147" i="2"/>
  <c r="DE146" i="2"/>
  <c r="DG152" i="2" s="1"/>
  <c r="CX146" i="2"/>
  <c r="CZ152" i="2" s="1"/>
  <c r="CQ146" i="2"/>
  <c r="CJ146" i="2"/>
  <c r="CC146" i="2"/>
  <c r="BV146" i="2"/>
  <c r="BO146" i="2"/>
  <c r="BH146" i="2"/>
  <c r="BA146" i="2"/>
  <c r="AT146" i="2"/>
  <c r="AM146" i="2"/>
  <c r="AF146" i="2"/>
  <c r="Y146" i="2"/>
  <c r="R146" i="2"/>
  <c r="K146" i="2"/>
  <c r="D146" i="2"/>
  <c r="F152" i="2" s="1"/>
  <c r="B146" i="2"/>
  <c r="DE145" i="2"/>
  <c r="CX145" i="2"/>
  <c r="CQ145" i="2"/>
  <c r="CJ145" i="2"/>
  <c r="CC145" i="2"/>
  <c r="BV145" i="2"/>
  <c r="BX145" i="2" s="1"/>
  <c r="BO145" i="2"/>
  <c r="BH145" i="2"/>
  <c r="BA145" i="2"/>
  <c r="AV145" i="2"/>
  <c r="AT145" i="2"/>
  <c r="AM145" i="2"/>
  <c r="AF145" i="2"/>
  <c r="Y145" i="2"/>
  <c r="R145" i="2"/>
  <c r="K145" i="2"/>
  <c r="D145" i="2"/>
  <c r="B145" i="2"/>
  <c r="DE144" i="2"/>
  <c r="CX144" i="2"/>
  <c r="CQ144" i="2"/>
  <c r="CJ144" i="2"/>
  <c r="CC144" i="2"/>
  <c r="BV144" i="2"/>
  <c r="BO144" i="2"/>
  <c r="BH144" i="2"/>
  <c r="BA144" i="2"/>
  <c r="AT144" i="2"/>
  <c r="AM144" i="2"/>
  <c r="AF144" i="2"/>
  <c r="Y144" i="2"/>
  <c r="AA150" i="2" s="1"/>
  <c r="R144" i="2"/>
  <c r="K144" i="2"/>
  <c r="D144" i="2"/>
  <c r="B144" i="2"/>
  <c r="DE143" i="2"/>
  <c r="CX143" i="2"/>
  <c r="CZ143" i="2" s="1"/>
  <c r="CQ143" i="2"/>
  <c r="CJ143" i="2"/>
  <c r="CC143" i="2"/>
  <c r="BV143" i="2"/>
  <c r="BO143" i="2"/>
  <c r="BQ149" i="2" s="1"/>
  <c r="BH143" i="2"/>
  <c r="BC143" i="2"/>
  <c r="BA143" i="2"/>
  <c r="AT143" i="2"/>
  <c r="AM143" i="2"/>
  <c r="AO148" i="2" s="1"/>
  <c r="AF143" i="2"/>
  <c r="Y143" i="2"/>
  <c r="R143" i="2"/>
  <c r="T149" i="2" s="1"/>
  <c r="K143" i="2"/>
  <c r="D143" i="2"/>
  <c r="B143" i="2"/>
  <c r="DE142" i="2"/>
  <c r="CX142" i="2"/>
  <c r="CZ148" i="2" s="1"/>
  <c r="CS142" i="2"/>
  <c r="CQ142" i="2"/>
  <c r="CJ142" i="2"/>
  <c r="CC142" i="2"/>
  <c r="BV142" i="2"/>
  <c r="BO142" i="2"/>
  <c r="BH142" i="2"/>
  <c r="BA142" i="2"/>
  <c r="AT142" i="2"/>
  <c r="AO142" i="2"/>
  <c r="AM142" i="2"/>
  <c r="AF142" i="2"/>
  <c r="AH142" i="2" s="1"/>
  <c r="Y142" i="2"/>
  <c r="R142" i="2"/>
  <c r="K142" i="2"/>
  <c r="D142" i="2"/>
  <c r="B142" i="2"/>
  <c r="DE141" i="2"/>
  <c r="CZ141" i="2"/>
  <c r="CX141" i="2"/>
  <c r="CQ141" i="2"/>
  <c r="CJ141" i="2"/>
  <c r="CL144" i="2" s="1"/>
  <c r="CC141" i="2"/>
  <c r="BV141" i="2"/>
  <c r="BO141" i="2"/>
  <c r="BH141" i="2"/>
  <c r="BA141" i="2"/>
  <c r="AT141" i="2"/>
  <c r="AM141" i="2"/>
  <c r="AF141" i="2"/>
  <c r="Y141" i="2"/>
  <c r="R141" i="2"/>
  <c r="K141" i="2"/>
  <c r="D141" i="2"/>
  <c r="B141" i="2"/>
  <c r="DE140" i="2"/>
  <c r="CX140" i="2"/>
  <c r="CQ140" i="2"/>
  <c r="CJ140" i="2"/>
  <c r="CC140" i="2"/>
  <c r="BV140" i="2"/>
  <c r="BO140" i="2"/>
  <c r="BH140" i="2"/>
  <c r="BJ140" i="2" s="1"/>
  <c r="BA140" i="2"/>
  <c r="AT140" i="2"/>
  <c r="AM140" i="2"/>
  <c r="AF140" i="2"/>
  <c r="Y140" i="2"/>
  <c r="R140" i="2"/>
  <c r="M140" i="2"/>
  <c r="K140" i="2"/>
  <c r="D140" i="2"/>
  <c r="B140" i="2"/>
  <c r="DG139" i="2"/>
  <c r="DE139" i="2"/>
  <c r="CX139" i="2"/>
  <c r="CQ139" i="2"/>
  <c r="CJ139" i="2"/>
  <c r="CC139" i="2"/>
  <c r="BV139" i="2"/>
  <c r="BO139" i="2"/>
  <c r="BH139" i="2"/>
  <c r="BA139" i="2"/>
  <c r="AT139" i="2"/>
  <c r="AM139" i="2"/>
  <c r="AF139" i="2"/>
  <c r="Y139" i="2"/>
  <c r="R139" i="2"/>
  <c r="T143" i="2" s="1"/>
  <c r="K139" i="2"/>
  <c r="D139" i="2"/>
  <c r="B139" i="2"/>
  <c r="DE138" i="2"/>
  <c r="CX138" i="2"/>
  <c r="CS138" i="2"/>
  <c r="CQ138" i="2"/>
  <c r="CJ138" i="2"/>
  <c r="CC138" i="2"/>
  <c r="BV138" i="2"/>
  <c r="BO138" i="2"/>
  <c r="BH138" i="2"/>
  <c r="BA138" i="2"/>
  <c r="AT138" i="2"/>
  <c r="AM138" i="2"/>
  <c r="AF138" i="2"/>
  <c r="Y138" i="2"/>
  <c r="AA141" i="2" s="1"/>
  <c r="R138" i="2"/>
  <c r="K138" i="2"/>
  <c r="D138" i="2"/>
  <c r="F142" i="2" s="1"/>
  <c r="B138" i="2"/>
  <c r="DE137" i="2"/>
  <c r="CX137" i="2"/>
  <c r="CQ137" i="2"/>
  <c r="CJ137" i="2"/>
  <c r="CC137" i="2"/>
  <c r="BV137" i="2"/>
  <c r="BO137" i="2"/>
  <c r="BH137" i="2"/>
  <c r="BA137" i="2"/>
  <c r="AT137" i="2"/>
  <c r="AM137" i="2"/>
  <c r="AF137" i="2"/>
  <c r="Y137" i="2"/>
  <c r="R137" i="2"/>
  <c r="K137" i="2"/>
  <c r="D137" i="2"/>
  <c r="B137" i="2"/>
  <c r="DE136" i="2"/>
  <c r="CZ136" i="2"/>
  <c r="CX136" i="2"/>
  <c r="CQ136" i="2"/>
  <c r="CJ136" i="2"/>
  <c r="CL140" i="2" s="1"/>
  <c r="CC136" i="2"/>
  <c r="BV136" i="2"/>
  <c r="BQ136" i="2"/>
  <c r="BO136" i="2"/>
  <c r="BH136" i="2"/>
  <c r="BA136" i="2"/>
  <c r="AT136" i="2"/>
  <c r="AM136" i="2"/>
  <c r="AF136" i="2"/>
  <c r="Y136" i="2"/>
  <c r="R136" i="2"/>
  <c r="K136" i="2"/>
  <c r="D136" i="2"/>
  <c r="B136" i="2"/>
  <c r="DE135" i="2"/>
  <c r="CX135" i="2"/>
  <c r="CQ135" i="2"/>
  <c r="CJ135" i="2"/>
  <c r="CC135" i="2"/>
  <c r="BV135" i="2"/>
  <c r="BO135" i="2"/>
  <c r="BH135" i="2"/>
  <c r="BA135" i="2"/>
  <c r="AT135" i="2"/>
  <c r="AM135" i="2"/>
  <c r="AO138" i="2" s="1"/>
  <c r="AF135" i="2"/>
  <c r="Y135" i="2"/>
  <c r="R135" i="2"/>
  <c r="K135" i="2"/>
  <c r="D135" i="2"/>
  <c r="B135" i="2"/>
  <c r="DE134" i="2"/>
  <c r="CX134" i="2"/>
  <c r="CQ134" i="2"/>
  <c r="CJ134" i="2"/>
  <c r="CC134" i="2"/>
  <c r="BV134" i="2"/>
  <c r="BO134" i="2"/>
  <c r="BH134" i="2"/>
  <c r="BA134" i="2"/>
  <c r="AT134" i="2"/>
  <c r="AM134" i="2"/>
  <c r="AF134" i="2"/>
  <c r="Y134" i="2"/>
  <c r="R134" i="2"/>
  <c r="K134" i="2"/>
  <c r="D134" i="2"/>
  <c r="B134" i="2"/>
  <c r="DE133" i="2"/>
  <c r="CX133" i="2"/>
  <c r="CQ133" i="2"/>
  <c r="CJ133" i="2"/>
  <c r="CC133" i="2"/>
  <c r="BV133" i="2"/>
  <c r="BO133" i="2"/>
  <c r="BH133" i="2"/>
  <c r="BA133" i="2"/>
  <c r="AT133" i="2"/>
  <c r="AM133" i="2"/>
  <c r="AF133" i="2"/>
  <c r="Y133" i="2"/>
  <c r="AA137" i="2" s="1"/>
  <c r="R133" i="2"/>
  <c r="K133" i="2"/>
  <c r="D133" i="2"/>
  <c r="B133" i="2"/>
  <c r="DE132" i="2"/>
  <c r="DG135" i="2" s="1"/>
  <c r="CX132" i="2"/>
  <c r="CQ132" i="2"/>
  <c r="CJ132" i="2"/>
  <c r="CC132" i="2"/>
  <c r="BV132" i="2"/>
  <c r="BO132" i="2"/>
  <c r="BH132" i="2"/>
  <c r="BA132" i="2"/>
  <c r="AT132" i="2"/>
  <c r="AM132" i="2"/>
  <c r="AF132" i="2"/>
  <c r="Y132" i="2"/>
  <c r="R132" i="2"/>
  <c r="K132" i="2"/>
  <c r="D132" i="2"/>
  <c r="B132" i="2"/>
  <c r="DE131" i="2"/>
  <c r="CX131" i="2"/>
  <c r="CQ131" i="2"/>
  <c r="CJ131" i="2"/>
  <c r="CC131" i="2"/>
  <c r="BV131" i="2"/>
  <c r="BO131" i="2"/>
  <c r="BH131" i="2"/>
  <c r="BA131" i="2"/>
  <c r="AT131" i="2"/>
  <c r="AM131" i="2"/>
  <c r="AH131" i="2"/>
  <c r="AF131" i="2"/>
  <c r="Y131" i="2"/>
  <c r="R131" i="2"/>
  <c r="T135" i="2" s="1"/>
  <c r="K131" i="2"/>
  <c r="D131" i="2"/>
  <c r="B131" i="2"/>
  <c r="DE130" i="2"/>
  <c r="CX130" i="2"/>
  <c r="CQ130" i="2"/>
  <c r="CJ130" i="2"/>
  <c r="CC130" i="2"/>
  <c r="BV130" i="2"/>
  <c r="BO130" i="2"/>
  <c r="BH130" i="2"/>
  <c r="BC130" i="2"/>
  <c r="BA130" i="2"/>
  <c r="AT130" i="2"/>
  <c r="AM130" i="2"/>
  <c r="AF130" i="2"/>
  <c r="Y130" i="2"/>
  <c r="R130" i="2"/>
  <c r="K130" i="2"/>
  <c r="D130" i="2"/>
  <c r="B130" i="2"/>
  <c r="DE129" i="2"/>
  <c r="CX129" i="2"/>
  <c r="CQ129" i="2"/>
  <c r="CJ129" i="2"/>
  <c r="CC129" i="2"/>
  <c r="BV129" i="2"/>
  <c r="BO129" i="2"/>
  <c r="BH129" i="2"/>
  <c r="BA129" i="2"/>
  <c r="AT129" i="2"/>
  <c r="AO129" i="2"/>
  <c r="AM129" i="2"/>
  <c r="AF129" i="2"/>
  <c r="Y129" i="2"/>
  <c r="R129" i="2"/>
  <c r="K129" i="2"/>
  <c r="D129" i="2"/>
  <c r="B129" i="2"/>
  <c r="DE128" i="2"/>
  <c r="CX128" i="2"/>
  <c r="CQ128" i="2"/>
  <c r="CJ128" i="2"/>
  <c r="CC128" i="2"/>
  <c r="BV128" i="2"/>
  <c r="BO128" i="2"/>
  <c r="BH128" i="2"/>
  <c r="BA128" i="2"/>
  <c r="AV128" i="2"/>
  <c r="AT128" i="2"/>
  <c r="AM128" i="2"/>
  <c r="AF128" i="2"/>
  <c r="AH133" i="2" s="1"/>
  <c r="Y128" i="2"/>
  <c r="R128" i="2"/>
  <c r="T134" i="2" s="1"/>
  <c r="M128" i="2"/>
  <c r="K128" i="2"/>
  <c r="D128" i="2"/>
  <c r="B128" i="2"/>
  <c r="DE127" i="2"/>
  <c r="CX127" i="2"/>
  <c r="CQ127" i="2"/>
  <c r="CL127" i="2"/>
  <c r="CJ127" i="2"/>
  <c r="CC127" i="2"/>
  <c r="BV127" i="2"/>
  <c r="BO127" i="2"/>
  <c r="BH127" i="2"/>
  <c r="BJ133" i="2" s="1"/>
  <c r="BC127" i="2"/>
  <c r="BA127" i="2"/>
  <c r="AT127" i="2"/>
  <c r="AM127" i="2"/>
  <c r="AF127" i="2"/>
  <c r="Y127" i="2"/>
  <c r="R127" i="2"/>
  <c r="K127" i="2"/>
  <c r="D127" i="2"/>
  <c r="F133" i="2" s="1"/>
  <c r="B127" i="2"/>
  <c r="DG126" i="2"/>
  <c r="DE126" i="2"/>
  <c r="CX126" i="2"/>
  <c r="CQ126" i="2"/>
  <c r="CJ126" i="2"/>
  <c r="CC126" i="2"/>
  <c r="BV126" i="2"/>
  <c r="BO126" i="2"/>
  <c r="BH126" i="2"/>
  <c r="BA126" i="2"/>
  <c r="AT126" i="2"/>
  <c r="AM126" i="2"/>
  <c r="AF126" i="2"/>
  <c r="Y126" i="2"/>
  <c r="R126" i="2"/>
  <c r="K126" i="2"/>
  <c r="D126" i="2"/>
  <c r="B126" i="2"/>
  <c r="DE125" i="2"/>
  <c r="CX125" i="2"/>
  <c r="CZ130" i="2" s="1"/>
  <c r="CS125" i="2"/>
  <c r="CQ125" i="2"/>
  <c r="CL125" i="2"/>
  <c r="CJ125" i="2"/>
  <c r="CL131" i="2" s="1"/>
  <c r="CC125" i="2"/>
  <c r="BV125" i="2"/>
  <c r="BO125" i="2"/>
  <c r="BH125" i="2"/>
  <c r="BA125" i="2"/>
  <c r="AT125" i="2"/>
  <c r="AM125" i="2"/>
  <c r="AF125" i="2"/>
  <c r="Y125" i="2"/>
  <c r="R125" i="2"/>
  <c r="K125" i="2"/>
  <c r="D125" i="2"/>
  <c r="B125" i="2"/>
  <c r="DE124" i="2"/>
  <c r="CZ124" i="2"/>
  <c r="CX124" i="2"/>
  <c r="CQ124" i="2"/>
  <c r="CJ124" i="2"/>
  <c r="CE124" i="2"/>
  <c r="CC124" i="2"/>
  <c r="BV124" i="2"/>
  <c r="BO124" i="2"/>
  <c r="BQ127" i="2" s="1"/>
  <c r="BJ124" i="2"/>
  <c r="BH124" i="2"/>
  <c r="BA124" i="2"/>
  <c r="AT124" i="2"/>
  <c r="AV130" i="2" s="1"/>
  <c r="AM124" i="2"/>
  <c r="AF124" i="2"/>
  <c r="Y124" i="2"/>
  <c r="R124" i="2"/>
  <c r="T130" i="2" s="1"/>
  <c r="K124" i="2"/>
  <c r="D124" i="2"/>
  <c r="B124" i="2"/>
  <c r="DE123" i="2"/>
  <c r="CZ123" i="2"/>
  <c r="CX123" i="2"/>
  <c r="CQ123" i="2"/>
  <c r="CS129" i="2" s="1"/>
  <c r="CJ123" i="2"/>
  <c r="CL128" i="2" s="1"/>
  <c r="CC123" i="2"/>
  <c r="BV123" i="2"/>
  <c r="BQ123" i="2"/>
  <c r="BO123" i="2"/>
  <c r="BH123" i="2"/>
  <c r="BA123" i="2"/>
  <c r="AT123" i="2"/>
  <c r="AM123" i="2"/>
  <c r="AF123" i="2"/>
  <c r="Y123" i="2"/>
  <c r="R123" i="2"/>
  <c r="M123" i="2"/>
  <c r="K123" i="2"/>
  <c r="D123" i="2"/>
  <c r="F126" i="2" s="1"/>
  <c r="B123" i="2"/>
  <c r="DG122" i="2"/>
  <c r="DE122" i="2"/>
  <c r="CX122" i="2"/>
  <c r="CQ122" i="2"/>
  <c r="CJ122" i="2"/>
  <c r="CC122" i="2"/>
  <c r="CE128" i="2" s="1"/>
  <c r="BV122" i="2"/>
  <c r="BO122" i="2"/>
  <c r="BH122" i="2"/>
  <c r="BA122" i="2"/>
  <c r="AT122" i="2"/>
  <c r="AM122" i="2"/>
  <c r="AO126" i="2" s="1"/>
  <c r="AF122" i="2"/>
  <c r="Y122" i="2"/>
  <c r="R122" i="2"/>
  <c r="K122" i="2"/>
  <c r="D122" i="2"/>
  <c r="B122" i="2"/>
  <c r="DE121" i="2"/>
  <c r="CX121" i="2"/>
  <c r="CQ121" i="2"/>
  <c r="CJ121" i="2"/>
  <c r="CC121" i="2"/>
  <c r="CE125" i="2" s="1"/>
  <c r="BV121" i="2"/>
  <c r="BO121" i="2"/>
  <c r="BH121" i="2"/>
  <c r="BA121" i="2"/>
  <c r="AT121" i="2"/>
  <c r="AM121" i="2"/>
  <c r="AF121" i="2"/>
  <c r="Y121" i="2"/>
  <c r="R121" i="2"/>
  <c r="K121" i="2"/>
  <c r="D121" i="2"/>
  <c r="B121" i="2"/>
  <c r="DE120" i="2"/>
  <c r="CX120" i="2"/>
  <c r="CQ120" i="2"/>
  <c r="CJ120" i="2"/>
  <c r="CC120" i="2"/>
  <c r="BV120" i="2"/>
  <c r="BO120" i="2"/>
  <c r="BH120" i="2"/>
  <c r="BA120" i="2"/>
  <c r="BC126" i="2" s="1"/>
  <c r="AT120" i="2"/>
  <c r="AM120" i="2"/>
  <c r="AF120" i="2"/>
  <c r="Y120" i="2"/>
  <c r="R120" i="2"/>
  <c r="M120" i="2"/>
  <c r="K120" i="2"/>
  <c r="D120" i="2"/>
  <c r="B120" i="2"/>
  <c r="DE119" i="2"/>
  <c r="CX119" i="2"/>
  <c r="CQ119" i="2"/>
  <c r="CJ119" i="2"/>
  <c r="CC119" i="2"/>
  <c r="BV119" i="2"/>
  <c r="BO119" i="2"/>
  <c r="BJ119" i="2"/>
  <c r="BH119" i="2"/>
  <c r="BC119" i="2"/>
  <c r="BA119" i="2"/>
  <c r="AT119" i="2"/>
  <c r="AM119" i="2"/>
  <c r="AF119" i="2"/>
  <c r="Y119" i="2"/>
  <c r="R119" i="2"/>
  <c r="K119" i="2"/>
  <c r="D119" i="2"/>
  <c r="B119" i="2"/>
  <c r="DE118" i="2"/>
  <c r="CX118" i="2"/>
  <c r="CQ118" i="2"/>
  <c r="CJ118" i="2"/>
  <c r="CC118" i="2"/>
  <c r="BV118" i="2"/>
  <c r="BO118" i="2"/>
  <c r="BH118" i="2"/>
  <c r="BA118" i="2"/>
  <c r="AT118" i="2"/>
  <c r="AM118" i="2"/>
  <c r="AF118" i="2"/>
  <c r="Y118" i="2"/>
  <c r="R118" i="2"/>
  <c r="K118" i="2"/>
  <c r="D118" i="2"/>
  <c r="B118" i="2"/>
  <c r="DE117" i="2"/>
  <c r="CX117" i="2"/>
  <c r="CQ117" i="2"/>
  <c r="CJ117" i="2"/>
  <c r="CC117" i="2"/>
  <c r="BV117" i="2"/>
  <c r="BO117" i="2"/>
  <c r="BH117" i="2"/>
  <c r="BJ121" i="2" s="1"/>
  <c r="BA117" i="2"/>
  <c r="AT117" i="2"/>
  <c r="AM117" i="2"/>
  <c r="AF117" i="2"/>
  <c r="AH120" i="2" s="1"/>
  <c r="Y117" i="2"/>
  <c r="R117" i="2"/>
  <c r="K117" i="2"/>
  <c r="D117" i="2"/>
  <c r="F122" i="2" s="1"/>
  <c r="B117" i="2"/>
  <c r="DE116" i="2"/>
  <c r="CX116" i="2"/>
  <c r="CQ116" i="2"/>
  <c r="CJ116" i="2"/>
  <c r="CC116" i="2"/>
  <c r="BV116" i="2"/>
  <c r="BX117" i="2" s="1"/>
  <c r="BO116" i="2"/>
  <c r="BH116" i="2"/>
  <c r="BA116" i="2"/>
  <c r="AT116" i="2"/>
  <c r="AM116" i="2"/>
  <c r="AH116" i="2"/>
  <c r="AF116" i="2"/>
  <c r="AH122" i="2" s="1"/>
  <c r="Y116" i="2"/>
  <c r="R116" i="2"/>
  <c r="K116" i="2"/>
  <c r="D116" i="2"/>
  <c r="B116" i="2"/>
  <c r="DE115" i="2"/>
  <c r="CX115" i="2"/>
  <c r="CQ115" i="2"/>
  <c r="CJ115" i="2"/>
  <c r="CC115" i="2"/>
  <c r="BV115" i="2"/>
  <c r="BO115" i="2"/>
  <c r="BH115" i="2"/>
  <c r="BA115" i="2"/>
  <c r="AT115" i="2"/>
  <c r="AM115" i="2"/>
  <c r="AF115" i="2"/>
  <c r="Y115" i="2"/>
  <c r="R115" i="2"/>
  <c r="K115" i="2"/>
  <c r="D115" i="2"/>
  <c r="B115" i="2"/>
  <c r="DE114" i="2"/>
  <c r="CX114" i="2"/>
  <c r="CQ114" i="2"/>
  <c r="CL114" i="2"/>
  <c r="CJ114" i="2"/>
  <c r="CC114" i="2"/>
  <c r="BV114" i="2"/>
  <c r="BO114" i="2"/>
  <c r="BH114" i="2"/>
  <c r="BC114" i="2"/>
  <c r="BA114" i="2"/>
  <c r="AT114" i="2"/>
  <c r="AM114" i="2"/>
  <c r="AF114" i="2"/>
  <c r="Y114" i="2"/>
  <c r="R114" i="2"/>
  <c r="K114" i="2"/>
  <c r="D114" i="2"/>
  <c r="B114" i="2"/>
  <c r="DE113" i="2"/>
  <c r="CX113" i="2"/>
  <c r="CQ113" i="2"/>
  <c r="CJ113" i="2"/>
  <c r="CC113" i="2"/>
  <c r="BV113" i="2"/>
  <c r="BO113" i="2"/>
  <c r="BH113" i="2"/>
  <c r="BA113" i="2"/>
  <c r="AT113" i="2"/>
  <c r="AM113" i="2"/>
  <c r="AF113" i="2"/>
  <c r="Y113" i="2"/>
  <c r="R113" i="2"/>
  <c r="K113" i="2"/>
  <c r="D113" i="2"/>
  <c r="B113" i="2"/>
  <c r="DE112" i="2"/>
  <c r="CX112" i="2"/>
  <c r="CQ112" i="2"/>
  <c r="CJ112" i="2"/>
  <c r="CC112" i="2"/>
  <c r="BV112" i="2"/>
  <c r="BQ112" i="2"/>
  <c r="BO112" i="2"/>
  <c r="BH112" i="2"/>
  <c r="BA112" i="2"/>
  <c r="AT112" i="2"/>
  <c r="AM112" i="2"/>
  <c r="AF112" i="2"/>
  <c r="Y112" i="2"/>
  <c r="R112" i="2"/>
  <c r="K112" i="2"/>
  <c r="D112" i="2"/>
  <c r="B112" i="2"/>
  <c r="DE111" i="2"/>
  <c r="CX111" i="2"/>
  <c r="CQ111" i="2"/>
  <c r="CJ111" i="2"/>
  <c r="CC111" i="2"/>
  <c r="BV111" i="2"/>
  <c r="BO111" i="2"/>
  <c r="BH111" i="2"/>
  <c r="BA111" i="2"/>
  <c r="AT111" i="2"/>
  <c r="AM111" i="2"/>
  <c r="AF111" i="2"/>
  <c r="Y111" i="2"/>
  <c r="R111" i="2"/>
  <c r="K111" i="2"/>
  <c r="D111" i="2"/>
  <c r="B111" i="2"/>
  <c r="DE110" i="2"/>
  <c r="CX110" i="2"/>
  <c r="CS110" i="2"/>
  <c r="CQ110" i="2"/>
  <c r="CJ110" i="2"/>
  <c r="CC110" i="2"/>
  <c r="CE116" i="2" s="1"/>
  <c r="BV110" i="2"/>
  <c r="BO110" i="2"/>
  <c r="BH110" i="2"/>
  <c r="BA110" i="2"/>
  <c r="AT110" i="2"/>
  <c r="AO110" i="2"/>
  <c r="AM110" i="2"/>
  <c r="AO116" i="2" s="1"/>
  <c r="AF110" i="2"/>
  <c r="Y110" i="2"/>
  <c r="R110" i="2"/>
  <c r="K110" i="2"/>
  <c r="D110" i="2"/>
  <c r="B110" i="2"/>
  <c r="DE109" i="2"/>
  <c r="CZ109" i="2"/>
  <c r="CX109" i="2"/>
  <c r="CQ109" i="2"/>
  <c r="CJ109" i="2"/>
  <c r="CL115" i="2" s="1"/>
  <c r="CC109" i="2"/>
  <c r="BX109" i="2"/>
  <c r="BV109" i="2"/>
  <c r="BO109" i="2"/>
  <c r="BJ109" i="2"/>
  <c r="BH109" i="2"/>
  <c r="BA109" i="2"/>
  <c r="AV109" i="2"/>
  <c r="AT109" i="2"/>
  <c r="AM109" i="2"/>
  <c r="AF109" i="2"/>
  <c r="Y109" i="2"/>
  <c r="T109" i="2"/>
  <c r="R109" i="2"/>
  <c r="K109" i="2"/>
  <c r="D109" i="2"/>
  <c r="B109" i="2"/>
  <c r="DE108" i="2"/>
  <c r="CX108" i="2"/>
  <c r="CZ113" i="2" s="1"/>
  <c r="CQ108" i="2"/>
  <c r="CJ108" i="2"/>
  <c r="CC108" i="2"/>
  <c r="BV108" i="2"/>
  <c r="BO108" i="2"/>
  <c r="BH108" i="2"/>
  <c r="BA108" i="2"/>
  <c r="AT108" i="2"/>
  <c r="AM108" i="2"/>
  <c r="AF108" i="2"/>
  <c r="Y108" i="2"/>
  <c r="R108" i="2"/>
  <c r="K108" i="2"/>
  <c r="D108" i="2"/>
  <c r="B108" i="2"/>
  <c r="DE107" i="2"/>
  <c r="CZ107" i="2"/>
  <c r="CX107" i="2"/>
  <c r="CQ107" i="2"/>
  <c r="CL107" i="2"/>
  <c r="CJ107" i="2"/>
  <c r="CC107" i="2"/>
  <c r="BX107" i="2"/>
  <c r="BV107" i="2"/>
  <c r="BX113" i="2" s="1"/>
  <c r="BO107" i="2"/>
  <c r="BH107" i="2"/>
  <c r="BJ113" i="2" s="1"/>
  <c r="BA107" i="2"/>
  <c r="AV107" i="2"/>
  <c r="AT107" i="2"/>
  <c r="AM107" i="2"/>
  <c r="AO113" i="2" s="1"/>
  <c r="AF107" i="2"/>
  <c r="AH112" i="2" s="1"/>
  <c r="Y107" i="2"/>
  <c r="R107" i="2"/>
  <c r="K107" i="2"/>
  <c r="D107" i="2"/>
  <c r="B107" i="2"/>
  <c r="DE106" i="2"/>
  <c r="CX106" i="2"/>
  <c r="CS106" i="2"/>
  <c r="CQ106" i="2"/>
  <c r="CJ106" i="2"/>
  <c r="CC106" i="2"/>
  <c r="CE109" i="2" s="1"/>
  <c r="BV106" i="2"/>
  <c r="BO106" i="2"/>
  <c r="BH106" i="2"/>
  <c r="BA106" i="2"/>
  <c r="AT106" i="2"/>
  <c r="AO106" i="2"/>
  <c r="AM106" i="2"/>
  <c r="AF106" i="2"/>
  <c r="Y106" i="2"/>
  <c r="AA109" i="2" s="1"/>
  <c r="R106" i="2"/>
  <c r="T111" i="2" s="1"/>
  <c r="K106" i="2"/>
  <c r="D106" i="2"/>
  <c r="B106" i="2"/>
  <c r="DE105" i="2"/>
  <c r="CX105" i="2"/>
  <c r="CQ105" i="2"/>
  <c r="CJ105" i="2"/>
  <c r="CC105" i="2"/>
  <c r="BV105" i="2"/>
  <c r="BO105" i="2"/>
  <c r="BQ111" i="2" s="1"/>
  <c r="BH105" i="2"/>
  <c r="BA105" i="2"/>
  <c r="AT105" i="2"/>
  <c r="AM105" i="2"/>
  <c r="AF105" i="2"/>
  <c r="Y105" i="2"/>
  <c r="R105" i="2"/>
  <c r="K105" i="2"/>
  <c r="M108" i="2" s="1"/>
  <c r="D105" i="2"/>
  <c r="B105" i="2"/>
  <c r="DE104" i="2"/>
  <c r="DG107" i="2" s="1"/>
  <c r="CX104" i="2"/>
  <c r="CQ104" i="2"/>
  <c r="CJ104" i="2"/>
  <c r="CC104" i="2"/>
  <c r="BV104" i="2"/>
  <c r="BO104" i="2"/>
  <c r="BH104" i="2"/>
  <c r="BA104" i="2"/>
  <c r="BC107" i="2" s="1"/>
  <c r="AT104" i="2"/>
  <c r="AM104" i="2"/>
  <c r="AF104" i="2"/>
  <c r="Y104" i="2"/>
  <c r="R104" i="2"/>
  <c r="M104" i="2"/>
  <c r="K104" i="2"/>
  <c r="D104" i="2"/>
  <c r="B104" i="2"/>
  <c r="DE103" i="2"/>
  <c r="CX103" i="2"/>
  <c r="CQ103" i="2"/>
  <c r="CJ103" i="2"/>
  <c r="CC103" i="2"/>
  <c r="BX103" i="2"/>
  <c r="BV103" i="2"/>
  <c r="BO103" i="2"/>
  <c r="BH103" i="2"/>
  <c r="BC103" i="2"/>
  <c r="BA103" i="2"/>
  <c r="AV103" i="2"/>
  <c r="AT103" i="2"/>
  <c r="AM103" i="2"/>
  <c r="AH103" i="2"/>
  <c r="AF103" i="2"/>
  <c r="Y103" i="2"/>
  <c r="R103" i="2"/>
  <c r="K103" i="2"/>
  <c r="D103" i="2"/>
  <c r="B103" i="2"/>
  <c r="DE102" i="2"/>
  <c r="CX102" i="2"/>
  <c r="CQ102" i="2"/>
  <c r="CJ102" i="2"/>
  <c r="CC102" i="2"/>
  <c r="BX102" i="2"/>
  <c r="BV102" i="2"/>
  <c r="BO102" i="2"/>
  <c r="BH102" i="2"/>
  <c r="BA102" i="2"/>
  <c r="AT102" i="2"/>
  <c r="AM102" i="2"/>
  <c r="AF102" i="2"/>
  <c r="AH106" i="2" s="1"/>
  <c r="Y102" i="2"/>
  <c r="R102" i="2"/>
  <c r="K102" i="2"/>
  <c r="D102" i="2"/>
  <c r="B102" i="2"/>
  <c r="DE101" i="2"/>
  <c r="CX101" i="2"/>
  <c r="CQ101" i="2"/>
  <c r="CJ101" i="2"/>
  <c r="CC101" i="2"/>
  <c r="BV101" i="2"/>
  <c r="BO101" i="2"/>
  <c r="BH101" i="2"/>
  <c r="BA101" i="2"/>
  <c r="AT101" i="2"/>
  <c r="AM101" i="2"/>
  <c r="AF101" i="2"/>
  <c r="Y101" i="2"/>
  <c r="R101" i="2"/>
  <c r="K101" i="2"/>
  <c r="D101" i="2"/>
  <c r="B101" i="2"/>
  <c r="DE100" i="2"/>
  <c r="CX100" i="2"/>
  <c r="CQ100" i="2"/>
  <c r="CJ100" i="2"/>
  <c r="CL106" i="2" s="1"/>
  <c r="CC100" i="2"/>
  <c r="BV100" i="2"/>
  <c r="BO100" i="2"/>
  <c r="BH100" i="2"/>
  <c r="BA100" i="2"/>
  <c r="AT100" i="2"/>
  <c r="AM100" i="2"/>
  <c r="AF100" i="2"/>
  <c r="Y100" i="2"/>
  <c r="R100" i="2"/>
  <c r="T106" i="2" s="1"/>
  <c r="K100" i="2"/>
  <c r="D100" i="2"/>
  <c r="B100" i="2"/>
  <c r="DE99" i="2"/>
  <c r="DG103" i="2" s="1"/>
  <c r="CX99" i="2"/>
  <c r="CQ99" i="2"/>
  <c r="CJ99" i="2"/>
  <c r="CC99" i="2"/>
  <c r="BV99" i="2"/>
  <c r="BO99" i="2"/>
  <c r="BJ99" i="2"/>
  <c r="BH99" i="2"/>
  <c r="BJ105" i="2" s="1"/>
  <c r="BA99" i="2"/>
  <c r="AT99" i="2"/>
  <c r="AV105" i="2" s="1"/>
  <c r="AM99" i="2"/>
  <c r="AF99" i="2"/>
  <c r="Y99" i="2"/>
  <c r="R99" i="2"/>
  <c r="T105" i="2" s="1"/>
  <c r="K99" i="2"/>
  <c r="D99" i="2"/>
  <c r="B99" i="2"/>
  <c r="DG98" i="2"/>
  <c r="DE98" i="2"/>
  <c r="CX98" i="2"/>
  <c r="CZ103" i="2" s="1"/>
  <c r="CQ98" i="2"/>
  <c r="CJ98" i="2"/>
  <c r="CL104" i="2" s="1"/>
  <c r="CC98" i="2"/>
  <c r="BV98" i="2"/>
  <c r="BO98" i="2"/>
  <c r="BH98" i="2"/>
  <c r="BA98" i="2"/>
  <c r="AT98" i="2"/>
  <c r="AM98" i="2"/>
  <c r="AF98" i="2"/>
  <c r="AH104" i="2" s="1"/>
  <c r="Y98" i="2"/>
  <c r="R98" i="2"/>
  <c r="K98" i="2"/>
  <c r="D98" i="2"/>
  <c r="B98" i="2"/>
  <c r="DE97" i="2"/>
  <c r="CZ97" i="2"/>
  <c r="CX97" i="2"/>
  <c r="CQ97" i="2"/>
  <c r="CJ97" i="2"/>
  <c r="CL103" i="2" s="1"/>
  <c r="CC97" i="2"/>
  <c r="BV97" i="2"/>
  <c r="BO97" i="2"/>
  <c r="BJ97" i="2"/>
  <c r="BH97" i="2"/>
  <c r="BA97" i="2"/>
  <c r="AT97" i="2"/>
  <c r="AM97" i="2"/>
  <c r="AF97" i="2"/>
  <c r="Y97" i="2"/>
  <c r="R97" i="2"/>
  <c r="K97" i="2"/>
  <c r="D97" i="2"/>
  <c r="F102" i="2" s="1"/>
  <c r="B97" i="2"/>
  <c r="DE96" i="2"/>
  <c r="CZ96" i="2"/>
  <c r="CX96" i="2"/>
  <c r="CQ96" i="2"/>
  <c r="CJ96" i="2"/>
  <c r="CC96" i="2"/>
  <c r="BV96" i="2"/>
  <c r="BO96" i="2"/>
  <c r="BH96" i="2"/>
  <c r="BA96" i="2"/>
  <c r="AT96" i="2"/>
  <c r="AM96" i="2"/>
  <c r="AH96" i="2"/>
  <c r="AF96" i="2"/>
  <c r="AA96" i="2"/>
  <c r="Y96" i="2"/>
  <c r="R96" i="2"/>
  <c r="K96" i="2"/>
  <c r="D96" i="2"/>
  <c r="B96" i="2"/>
  <c r="DE95" i="2"/>
  <c r="CX95" i="2"/>
  <c r="CQ95" i="2"/>
  <c r="CS97" i="2" s="1"/>
  <c r="CJ95" i="2"/>
  <c r="CC95" i="2"/>
  <c r="BV95" i="2"/>
  <c r="BO95" i="2"/>
  <c r="BH95" i="2"/>
  <c r="BC95" i="2"/>
  <c r="BA95" i="2"/>
  <c r="AT95" i="2"/>
  <c r="AM95" i="2"/>
  <c r="AF95" i="2"/>
  <c r="AH100" i="2" s="1"/>
  <c r="Y95" i="2"/>
  <c r="R95" i="2"/>
  <c r="K95" i="2"/>
  <c r="D95" i="2"/>
  <c r="B95" i="2"/>
  <c r="DE94" i="2"/>
  <c r="CX94" i="2"/>
  <c r="CQ94" i="2"/>
  <c r="CJ94" i="2"/>
  <c r="CL98" i="2" s="1"/>
  <c r="CC94" i="2"/>
  <c r="BV94" i="2"/>
  <c r="BO94" i="2"/>
  <c r="BH94" i="2"/>
  <c r="BA94" i="2"/>
  <c r="AT94" i="2"/>
  <c r="AM94" i="2"/>
  <c r="AF94" i="2"/>
  <c r="Y94" i="2"/>
  <c r="T94" i="2"/>
  <c r="R94" i="2"/>
  <c r="K94" i="2"/>
  <c r="D94" i="2"/>
  <c r="B94" i="2"/>
  <c r="DE93" i="2"/>
  <c r="CX93" i="2"/>
  <c r="CQ93" i="2"/>
  <c r="CJ93" i="2"/>
  <c r="CC93" i="2"/>
  <c r="BV93" i="2"/>
  <c r="BO93" i="2"/>
  <c r="BH93" i="2"/>
  <c r="BA93" i="2"/>
  <c r="AT93" i="2"/>
  <c r="AM93" i="2"/>
  <c r="AF93" i="2"/>
  <c r="AH99" i="2" s="1"/>
  <c r="Y93" i="2"/>
  <c r="R93" i="2"/>
  <c r="K93" i="2"/>
  <c r="D93" i="2"/>
  <c r="B93" i="2"/>
  <c r="DE92" i="2"/>
  <c r="CX92" i="2"/>
  <c r="CQ92" i="2"/>
  <c r="CJ92" i="2"/>
  <c r="CC92" i="2"/>
  <c r="BV92" i="2"/>
  <c r="BO92" i="2"/>
  <c r="BH92" i="2"/>
  <c r="BA92" i="2"/>
  <c r="AT92" i="2"/>
  <c r="AM92" i="2"/>
  <c r="AF92" i="2"/>
  <c r="Y92" i="2"/>
  <c r="R92" i="2"/>
  <c r="K92" i="2"/>
  <c r="D92" i="2"/>
  <c r="B92" i="2"/>
  <c r="DE91" i="2"/>
  <c r="CX91" i="2"/>
  <c r="CQ91" i="2"/>
  <c r="CJ91" i="2"/>
  <c r="CC91" i="2"/>
  <c r="BV91" i="2"/>
  <c r="BO91" i="2"/>
  <c r="BH91" i="2"/>
  <c r="BA91" i="2"/>
  <c r="AT91" i="2"/>
  <c r="AM91" i="2"/>
  <c r="AF91" i="2"/>
  <c r="Y91" i="2"/>
  <c r="R91" i="2"/>
  <c r="K91" i="2"/>
  <c r="D91" i="2"/>
  <c r="B91" i="2"/>
  <c r="DE90" i="2"/>
  <c r="CX90" i="2"/>
  <c r="CQ90" i="2"/>
  <c r="CJ90" i="2"/>
  <c r="CC90" i="2"/>
  <c r="BV90" i="2"/>
  <c r="BO90" i="2"/>
  <c r="BH90" i="2"/>
  <c r="BC90" i="2"/>
  <c r="BA90" i="2"/>
  <c r="AT90" i="2"/>
  <c r="AV94" i="2" s="1"/>
  <c r="AM90" i="2"/>
  <c r="AO94" i="2" s="1"/>
  <c r="AF90" i="2"/>
  <c r="Y90" i="2"/>
  <c r="R90" i="2"/>
  <c r="K90" i="2"/>
  <c r="D90" i="2"/>
  <c r="B90" i="2"/>
  <c r="DE89" i="2"/>
  <c r="CX89" i="2"/>
  <c r="CQ89" i="2"/>
  <c r="CJ89" i="2"/>
  <c r="CC89" i="2"/>
  <c r="BV89" i="2"/>
  <c r="BO89" i="2"/>
  <c r="BH89" i="2"/>
  <c r="BA89" i="2"/>
  <c r="AT89" i="2"/>
  <c r="AM89" i="2"/>
  <c r="AF89" i="2"/>
  <c r="AH95" i="2" s="1"/>
  <c r="AA89" i="2"/>
  <c r="Y89" i="2"/>
  <c r="R89" i="2"/>
  <c r="K89" i="2"/>
  <c r="D89" i="2"/>
  <c r="B89" i="2"/>
  <c r="DE88" i="2"/>
  <c r="CX88" i="2"/>
  <c r="CQ88" i="2"/>
  <c r="CJ88" i="2"/>
  <c r="CC88" i="2"/>
  <c r="BV88" i="2"/>
  <c r="BQ88" i="2"/>
  <c r="BO88" i="2"/>
  <c r="BH88" i="2"/>
  <c r="BA88" i="2"/>
  <c r="AT88" i="2"/>
  <c r="AM88" i="2"/>
  <c r="AF88" i="2"/>
  <c r="Y88" i="2"/>
  <c r="R88" i="2"/>
  <c r="K88" i="2"/>
  <c r="D88" i="2"/>
  <c r="B88" i="2"/>
  <c r="DE87" i="2"/>
  <c r="CX87" i="2"/>
  <c r="CQ87" i="2"/>
  <c r="CJ87" i="2"/>
  <c r="CL92" i="2" s="1"/>
  <c r="CC87" i="2"/>
  <c r="BV87" i="2"/>
  <c r="BO87" i="2"/>
  <c r="BH87" i="2"/>
  <c r="BA87" i="2"/>
  <c r="AT87" i="2"/>
  <c r="AM87" i="2"/>
  <c r="AF87" i="2"/>
  <c r="Y87" i="2"/>
  <c r="R87" i="2"/>
  <c r="M87" i="2"/>
  <c r="K87" i="2"/>
  <c r="D87" i="2"/>
  <c r="B87" i="2"/>
  <c r="DE86" i="2"/>
  <c r="CX86" i="2"/>
  <c r="CQ86" i="2"/>
  <c r="CJ86" i="2"/>
  <c r="CC86" i="2"/>
  <c r="BV86" i="2"/>
  <c r="BO86" i="2"/>
  <c r="BH86" i="2"/>
  <c r="BA86" i="2"/>
  <c r="AT86" i="2"/>
  <c r="AV92" i="2" s="1"/>
  <c r="AM86" i="2"/>
  <c r="AF86" i="2"/>
  <c r="Y86" i="2"/>
  <c r="R86" i="2"/>
  <c r="K86" i="2"/>
  <c r="D86" i="2"/>
  <c r="B86" i="2"/>
  <c r="DE85" i="2"/>
  <c r="CX85" i="2"/>
  <c r="CQ85" i="2"/>
  <c r="CJ85" i="2"/>
  <c r="CC85" i="2"/>
  <c r="BV85" i="2"/>
  <c r="BO85" i="2"/>
  <c r="BH85" i="2"/>
  <c r="BA85" i="2"/>
  <c r="AT85" i="2"/>
  <c r="AM85" i="2"/>
  <c r="AF85" i="2"/>
  <c r="AA85" i="2"/>
  <c r="Y85" i="2"/>
  <c r="R85" i="2"/>
  <c r="K85" i="2"/>
  <c r="D85" i="2"/>
  <c r="B85" i="2"/>
  <c r="DE84" i="2"/>
  <c r="CX84" i="2"/>
  <c r="CQ84" i="2"/>
  <c r="CJ84" i="2"/>
  <c r="CC84" i="2"/>
  <c r="BV84" i="2"/>
  <c r="BO84" i="2"/>
  <c r="BH84" i="2"/>
  <c r="BA84" i="2"/>
  <c r="AT84" i="2"/>
  <c r="AM84" i="2"/>
  <c r="AO89" i="2" s="1"/>
  <c r="AF84" i="2"/>
  <c r="Y84" i="2"/>
  <c r="R84" i="2"/>
  <c r="T90" i="2" s="1"/>
  <c r="K84" i="2"/>
  <c r="F84" i="2"/>
  <c r="D84" i="2"/>
  <c r="B84" i="2"/>
  <c r="DE83" i="2"/>
  <c r="CX83" i="2"/>
  <c r="CQ83" i="2"/>
  <c r="CJ83" i="2"/>
  <c r="CC83" i="2"/>
  <c r="BV83" i="2"/>
  <c r="BO83" i="2"/>
  <c r="BH83" i="2"/>
  <c r="BA83" i="2"/>
  <c r="AT83" i="2"/>
  <c r="AM83" i="2"/>
  <c r="AF83" i="2"/>
  <c r="Y83" i="2"/>
  <c r="R83" i="2"/>
  <c r="K83" i="2"/>
  <c r="D83" i="2"/>
  <c r="B83" i="2"/>
  <c r="DE82" i="2"/>
  <c r="CX82" i="2"/>
  <c r="CQ82" i="2"/>
  <c r="CJ82" i="2"/>
  <c r="CC82" i="2"/>
  <c r="CE88" i="2" s="1"/>
  <c r="BV82" i="2"/>
  <c r="BO82" i="2"/>
  <c r="BH82" i="2"/>
  <c r="BA82" i="2"/>
  <c r="AT82" i="2"/>
  <c r="AV88" i="2" s="1"/>
  <c r="AM82" i="2"/>
  <c r="AF82" i="2"/>
  <c r="Y82" i="2"/>
  <c r="R82" i="2"/>
  <c r="M82" i="2"/>
  <c r="K82" i="2"/>
  <c r="D82" i="2"/>
  <c r="B82" i="2"/>
  <c r="DG81" i="2"/>
  <c r="DE81" i="2"/>
  <c r="DG87" i="2" s="1"/>
  <c r="CX81" i="2"/>
  <c r="CQ81" i="2"/>
  <c r="CS86" i="2" s="1"/>
  <c r="CJ81" i="2"/>
  <c r="CC81" i="2"/>
  <c r="BV81" i="2"/>
  <c r="BO81" i="2"/>
  <c r="BH81" i="2"/>
  <c r="BA81" i="2"/>
  <c r="AT81" i="2"/>
  <c r="AM81" i="2"/>
  <c r="AF81" i="2"/>
  <c r="Y81" i="2"/>
  <c r="R81" i="2"/>
  <c r="K81" i="2"/>
  <c r="D81" i="2"/>
  <c r="B81" i="2"/>
  <c r="DE80" i="2"/>
  <c r="CX80" i="2"/>
  <c r="CZ86" i="2" s="1"/>
  <c r="CQ80" i="2"/>
  <c r="CJ80" i="2"/>
  <c r="CC80" i="2"/>
  <c r="BV80" i="2"/>
  <c r="BO80" i="2"/>
  <c r="BH80" i="2"/>
  <c r="BA80" i="2"/>
  <c r="AT80" i="2"/>
  <c r="AM80" i="2"/>
  <c r="AF80" i="2"/>
  <c r="Y80" i="2"/>
  <c r="AA86" i="2" s="1"/>
  <c r="R80" i="2"/>
  <c r="K80" i="2"/>
  <c r="M85" i="2" s="1"/>
  <c r="D80" i="2"/>
  <c r="C80" i="2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B80" i="2"/>
  <c r="DE79" i="2"/>
  <c r="CX79" i="2"/>
  <c r="CZ84" i="2" s="1"/>
  <c r="CQ79" i="2"/>
  <c r="CJ79" i="2"/>
  <c r="CC79" i="2"/>
  <c r="BV79" i="2"/>
  <c r="BO79" i="2"/>
  <c r="BQ84" i="2" s="1"/>
  <c r="BH79" i="2"/>
  <c r="BA79" i="2"/>
  <c r="BC85" i="2" s="1"/>
  <c r="AT79" i="2"/>
  <c r="AM79" i="2"/>
  <c r="AF79" i="2"/>
  <c r="Y79" i="2"/>
  <c r="R79" i="2"/>
  <c r="K79" i="2"/>
  <c r="D79" i="2"/>
  <c r="F85" i="2" s="1"/>
  <c r="C79" i="2"/>
  <c r="B79" i="2"/>
  <c r="DE78" i="2"/>
  <c r="CX78" i="2"/>
  <c r="CQ78" i="2"/>
  <c r="CJ78" i="2"/>
  <c r="CC78" i="2"/>
  <c r="BV78" i="2"/>
  <c r="BO78" i="2"/>
  <c r="BH78" i="2"/>
  <c r="BA78" i="2"/>
  <c r="AT78" i="2"/>
  <c r="AM78" i="2"/>
  <c r="AF78" i="2"/>
  <c r="Y78" i="2"/>
  <c r="AA78" i="2" s="1"/>
  <c r="R78" i="2"/>
  <c r="K78" i="2"/>
  <c r="D78" i="2"/>
  <c r="B78" i="2"/>
  <c r="DE77" i="2"/>
  <c r="CX77" i="2"/>
  <c r="CQ77" i="2"/>
  <c r="CJ77" i="2"/>
  <c r="CC77" i="2"/>
  <c r="BV77" i="2"/>
  <c r="BO77" i="2"/>
  <c r="BH77" i="2"/>
  <c r="BA77" i="2"/>
  <c r="AT77" i="2"/>
  <c r="AM77" i="2"/>
  <c r="AF77" i="2"/>
  <c r="Y77" i="2"/>
  <c r="R77" i="2"/>
  <c r="K77" i="2"/>
  <c r="D77" i="2"/>
  <c r="B77" i="2"/>
  <c r="DE76" i="2"/>
  <c r="CX76" i="2"/>
  <c r="CZ81" i="2" s="1"/>
  <c r="CQ76" i="2"/>
  <c r="CJ76" i="2"/>
  <c r="CC76" i="2"/>
  <c r="BV76" i="2"/>
  <c r="BO76" i="2"/>
  <c r="BH76" i="2"/>
  <c r="BJ82" i="2" s="1"/>
  <c r="BA76" i="2"/>
  <c r="AV76" i="2"/>
  <c r="AT76" i="2"/>
  <c r="AM76" i="2"/>
  <c r="AF76" i="2"/>
  <c r="Y76" i="2"/>
  <c r="T76" i="2"/>
  <c r="R76" i="2"/>
  <c r="K76" i="2"/>
  <c r="D76" i="2"/>
  <c r="B76" i="2"/>
  <c r="DE75" i="2"/>
  <c r="CX75" i="2"/>
  <c r="CQ75" i="2"/>
  <c r="CJ75" i="2"/>
  <c r="CC75" i="2"/>
  <c r="BV75" i="2"/>
  <c r="BO75" i="2"/>
  <c r="BH75" i="2"/>
  <c r="BA75" i="2"/>
  <c r="BC81" i="2" s="1"/>
  <c r="AT75" i="2"/>
  <c r="AM75" i="2"/>
  <c r="AF75" i="2"/>
  <c r="Y75" i="2"/>
  <c r="R75" i="2"/>
  <c r="K75" i="2"/>
  <c r="F75" i="2"/>
  <c r="D75" i="2"/>
  <c r="B75" i="2"/>
  <c r="DE74" i="2"/>
  <c r="CX74" i="2"/>
  <c r="CZ76" i="2" s="1"/>
  <c r="CQ74" i="2"/>
  <c r="CJ74" i="2"/>
  <c r="CC74" i="2"/>
  <c r="BV74" i="2"/>
  <c r="BO74" i="2"/>
  <c r="BH74" i="2"/>
  <c r="BA74" i="2"/>
  <c r="AT74" i="2"/>
  <c r="AV80" i="2" s="1"/>
  <c r="AM74" i="2"/>
  <c r="AF74" i="2"/>
  <c r="Y74" i="2"/>
  <c r="R74" i="2"/>
  <c r="K74" i="2"/>
  <c r="D74" i="2"/>
  <c r="B74" i="2"/>
  <c r="DE73" i="2"/>
  <c r="CX73" i="2"/>
  <c r="CQ73" i="2"/>
  <c r="CJ73" i="2"/>
  <c r="CC73" i="2"/>
  <c r="BV73" i="2"/>
  <c r="BX79" i="2" s="1"/>
  <c r="BO73" i="2"/>
  <c r="BH73" i="2"/>
  <c r="BA73" i="2"/>
  <c r="AT73" i="2"/>
  <c r="AM73" i="2"/>
  <c r="AO78" i="2" s="1"/>
  <c r="AF73" i="2"/>
  <c r="Y73" i="2"/>
  <c r="R73" i="2"/>
  <c r="K73" i="2"/>
  <c r="D73" i="2"/>
  <c r="B73" i="2"/>
  <c r="DE72" i="2"/>
  <c r="CX72" i="2"/>
  <c r="CQ72" i="2"/>
  <c r="CJ72" i="2"/>
  <c r="CC72" i="2"/>
  <c r="BV72" i="2"/>
  <c r="BO72" i="2"/>
  <c r="BH72" i="2"/>
  <c r="BA72" i="2"/>
  <c r="AT72" i="2"/>
  <c r="AV72" i="2" s="1"/>
  <c r="AM72" i="2"/>
  <c r="AF72" i="2"/>
  <c r="Y72" i="2"/>
  <c r="R72" i="2"/>
  <c r="K72" i="2"/>
  <c r="D72" i="2"/>
  <c r="B72" i="2"/>
  <c r="DE71" i="2"/>
  <c r="CX71" i="2"/>
  <c r="CS71" i="2"/>
  <c r="CQ71" i="2"/>
  <c r="CJ71" i="2"/>
  <c r="CC71" i="2"/>
  <c r="BV71" i="2"/>
  <c r="BO71" i="2"/>
  <c r="BJ71" i="2"/>
  <c r="BH71" i="2"/>
  <c r="BA71" i="2"/>
  <c r="AT71" i="2"/>
  <c r="AM71" i="2"/>
  <c r="AF71" i="2"/>
  <c r="Y71" i="2"/>
  <c r="AA77" i="2" s="1"/>
  <c r="R71" i="2"/>
  <c r="K71" i="2"/>
  <c r="M77" i="2" s="1"/>
  <c r="D71" i="2"/>
  <c r="B71" i="2"/>
  <c r="DE70" i="2"/>
  <c r="CX70" i="2"/>
  <c r="CQ70" i="2"/>
  <c r="CJ70" i="2"/>
  <c r="CE70" i="2"/>
  <c r="CC70" i="2"/>
  <c r="BV70" i="2"/>
  <c r="BO70" i="2"/>
  <c r="BH70" i="2"/>
  <c r="BA70" i="2"/>
  <c r="AT70" i="2"/>
  <c r="AM70" i="2"/>
  <c r="AF70" i="2"/>
  <c r="Y70" i="2"/>
  <c r="R70" i="2"/>
  <c r="K70" i="2"/>
  <c r="D70" i="2"/>
  <c r="B70" i="2"/>
  <c r="DG69" i="2"/>
  <c r="DE69" i="2"/>
  <c r="CX69" i="2"/>
  <c r="CQ69" i="2"/>
  <c r="CJ69" i="2"/>
  <c r="CE69" i="2"/>
  <c r="CC69" i="2"/>
  <c r="BV69" i="2"/>
  <c r="BO69" i="2"/>
  <c r="BH69" i="2"/>
  <c r="BA69" i="2"/>
  <c r="AT69" i="2"/>
  <c r="AO69" i="2"/>
  <c r="AM69" i="2"/>
  <c r="AF69" i="2"/>
  <c r="Y69" i="2"/>
  <c r="R69" i="2"/>
  <c r="K69" i="2"/>
  <c r="D69" i="2"/>
  <c r="B69" i="2"/>
  <c r="DG68" i="2"/>
  <c r="DE68" i="2"/>
  <c r="CZ68" i="2"/>
  <c r="CX68" i="2"/>
  <c r="CQ68" i="2"/>
  <c r="CJ68" i="2"/>
  <c r="CC68" i="2"/>
  <c r="BV68" i="2"/>
  <c r="BQ68" i="2"/>
  <c r="BO68" i="2"/>
  <c r="BH68" i="2"/>
  <c r="BA68" i="2"/>
  <c r="AT68" i="2"/>
  <c r="AM68" i="2"/>
  <c r="AF68" i="2"/>
  <c r="Y68" i="2"/>
  <c r="R68" i="2"/>
  <c r="T74" i="2" s="1"/>
  <c r="K68" i="2"/>
  <c r="D68" i="2"/>
  <c r="B68" i="2"/>
  <c r="DE67" i="2"/>
  <c r="CX67" i="2"/>
  <c r="CQ67" i="2"/>
  <c r="CJ67" i="2"/>
  <c r="CC67" i="2"/>
  <c r="BV67" i="2"/>
  <c r="BO67" i="2"/>
  <c r="BH67" i="2"/>
  <c r="BA67" i="2"/>
  <c r="AT67" i="2"/>
  <c r="AM67" i="2"/>
  <c r="AO72" i="2" s="1"/>
  <c r="AF67" i="2"/>
  <c r="Y67" i="2"/>
  <c r="R67" i="2"/>
  <c r="K67" i="2"/>
  <c r="D67" i="2"/>
  <c r="B67" i="2"/>
  <c r="DE66" i="2"/>
  <c r="CX66" i="2"/>
  <c r="CQ66" i="2"/>
  <c r="CJ66" i="2"/>
  <c r="CC66" i="2"/>
  <c r="BV66" i="2"/>
  <c r="BQ66" i="2"/>
  <c r="BO66" i="2"/>
  <c r="BH66" i="2"/>
  <c r="BA66" i="2"/>
  <c r="AT66" i="2"/>
  <c r="AM66" i="2"/>
  <c r="AF66" i="2"/>
  <c r="Y66" i="2"/>
  <c r="R66" i="2"/>
  <c r="K66" i="2"/>
  <c r="D66" i="2"/>
  <c r="B66" i="2"/>
  <c r="DE65" i="2"/>
  <c r="CX65" i="2"/>
  <c r="CQ65" i="2"/>
  <c r="CL65" i="2"/>
  <c r="CJ65" i="2"/>
  <c r="CC65" i="2"/>
  <c r="BV65" i="2"/>
  <c r="BO65" i="2"/>
  <c r="BQ71" i="2" s="1"/>
  <c r="BH65" i="2"/>
  <c r="BA65" i="2"/>
  <c r="AT65" i="2"/>
  <c r="AM65" i="2"/>
  <c r="AO71" i="2" s="1"/>
  <c r="AF65" i="2"/>
  <c r="Y65" i="2"/>
  <c r="T65" i="2"/>
  <c r="R65" i="2"/>
  <c r="T71" i="2" s="1"/>
  <c r="K65" i="2"/>
  <c r="D65" i="2"/>
  <c r="B65" i="2"/>
  <c r="DE64" i="2"/>
  <c r="CX64" i="2"/>
  <c r="CQ64" i="2"/>
  <c r="CJ64" i="2"/>
  <c r="CL64" i="2" s="1"/>
  <c r="CC64" i="2"/>
  <c r="BV64" i="2"/>
  <c r="BO64" i="2"/>
  <c r="BQ70" i="2" s="1"/>
  <c r="BH64" i="2"/>
  <c r="BA64" i="2"/>
  <c r="AT64" i="2"/>
  <c r="AM64" i="2"/>
  <c r="AF64" i="2"/>
  <c r="AH70" i="2" s="1"/>
  <c r="Y64" i="2"/>
  <c r="R64" i="2"/>
  <c r="K64" i="2"/>
  <c r="D64" i="2"/>
  <c r="B64" i="2"/>
  <c r="DE63" i="2"/>
  <c r="CX63" i="2"/>
  <c r="CQ63" i="2"/>
  <c r="CJ63" i="2"/>
  <c r="CC63" i="2"/>
  <c r="BV63" i="2"/>
  <c r="BO63" i="2"/>
  <c r="BH63" i="2"/>
  <c r="BA63" i="2"/>
  <c r="BC69" i="2" s="1"/>
  <c r="AT63" i="2"/>
  <c r="AM63" i="2"/>
  <c r="AF63" i="2"/>
  <c r="Y63" i="2"/>
  <c r="R63" i="2"/>
  <c r="K63" i="2"/>
  <c r="F63" i="2"/>
  <c r="D63" i="2"/>
  <c r="B63" i="2"/>
  <c r="DE62" i="2"/>
  <c r="CZ62" i="2"/>
  <c r="CX62" i="2"/>
  <c r="CS62" i="2"/>
  <c r="CQ62" i="2"/>
  <c r="CJ62" i="2"/>
  <c r="CC62" i="2"/>
  <c r="BV62" i="2"/>
  <c r="BO62" i="2"/>
  <c r="BH62" i="2"/>
  <c r="BA62" i="2"/>
  <c r="BC68" i="2" s="1"/>
  <c r="AT62" i="2"/>
  <c r="AM62" i="2"/>
  <c r="AF62" i="2"/>
  <c r="Y62" i="2"/>
  <c r="R62" i="2"/>
  <c r="K62" i="2"/>
  <c r="D62" i="2"/>
  <c r="B62" i="2"/>
  <c r="DE61" i="2"/>
  <c r="CX61" i="2"/>
  <c r="CQ61" i="2"/>
  <c r="CJ61" i="2"/>
  <c r="CC61" i="2"/>
  <c r="BV61" i="2"/>
  <c r="BO61" i="2"/>
  <c r="BH61" i="2"/>
  <c r="BA61" i="2"/>
  <c r="AT61" i="2"/>
  <c r="AM61" i="2"/>
  <c r="AO61" i="2" s="1"/>
  <c r="AF61" i="2"/>
  <c r="Y61" i="2"/>
  <c r="R61" i="2"/>
  <c r="K61" i="2"/>
  <c r="D61" i="2"/>
  <c r="B61" i="2"/>
  <c r="DE60" i="2"/>
  <c r="CX60" i="2"/>
  <c r="CQ60" i="2"/>
  <c r="CJ60" i="2"/>
  <c r="CC60" i="2"/>
  <c r="BV60" i="2"/>
  <c r="BO60" i="2"/>
  <c r="BH60" i="2"/>
  <c r="BA60" i="2"/>
  <c r="AT60" i="2"/>
  <c r="AO60" i="2"/>
  <c r="AM60" i="2"/>
  <c r="AO66" i="2" s="1"/>
  <c r="AF60" i="2"/>
  <c r="Y60" i="2"/>
  <c r="R60" i="2"/>
  <c r="K60" i="2"/>
  <c r="F60" i="2"/>
  <c r="D60" i="2"/>
  <c r="B60" i="2"/>
  <c r="DE59" i="2"/>
  <c r="CX59" i="2"/>
  <c r="CQ59" i="2"/>
  <c r="CJ59" i="2"/>
  <c r="CC59" i="2"/>
  <c r="BV59" i="2"/>
  <c r="BO59" i="2"/>
  <c r="BH59" i="2"/>
  <c r="BJ65" i="2" s="1"/>
  <c r="BA59" i="2"/>
  <c r="BC65" i="2" s="1"/>
  <c r="AT59" i="2"/>
  <c r="AM59" i="2"/>
  <c r="AO65" i="2" s="1"/>
  <c r="AF59" i="2"/>
  <c r="Y59" i="2"/>
  <c r="R59" i="2"/>
  <c r="K59" i="2"/>
  <c r="D59" i="2"/>
  <c r="B59" i="2"/>
  <c r="DE58" i="2"/>
  <c r="CX58" i="2"/>
  <c r="CQ58" i="2"/>
  <c r="CJ58" i="2"/>
  <c r="CC58" i="2"/>
  <c r="CE64" i="2" s="1"/>
  <c r="BV58" i="2"/>
  <c r="BX64" i="2" s="1"/>
  <c r="BO58" i="2"/>
  <c r="BQ64" i="2" s="1"/>
  <c r="BH58" i="2"/>
  <c r="BA58" i="2"/>
  <c r="AT58" i="2"/>
  <c r="AM58" i="2"/>
  <c r="AF58" i="2"/>
  <c r="Y58" i="2"/>
  <c r="R58" i="2"/>
  <c r="K58" i="2"/>
  <c r="D58" i="2"/>
  <c r="B58" i="2"/>
  <c r="DE57" i="2"/>
  <c r="CX57" i="2"/>
  <c r="CZ63" i="2" s="1"/>
  <c r="CQ57" i="2"/>
  <c r="CS63" i="2" s="1"/>
  <c r="CJ57" i="2"/>
  <c r="CC57" i="2"/>
  <c r="BV57" i="2"/>
  <c r="BO57" i="2"/>
  <c r="BH57" i="2"/>
  <c r="BA57" i="2"/>
  <c r="AT57" i="2"/>
  <c r="AO57" i="2"/>
  <c r="AM57" i="2"/>
  <c r="AO63" i="2" s="1"/>
  <c r="AF57" i="2"/>
  <c r="Y57" i="2"/>
  <c r="R57" i="2"/>
  <c r="T63" i="2" s="1"/>
  <c r="K57" i="2"/>
  <c r="D57" i="2"/>
  <c r="B57" i="2"/>
  <c r="DE56" i="2"/>
  <c r="CX56" i="2"/>
  <c r="CQ56" i="2"/>
  <c r="CJ56" i="2"/>
  <c r="CC56" i="2"/>
  <c r="BV56" i="2"/>
  <c r="BO56" i="2"/>
  <c r="BQ62" i="2" s="1"/>
  <c r="BJ56" i="2"/>
  <c r="BH56" i="2"/>
  <c r="BC56" i="2"/>
  <c r="BA56" i="2"/>
  <c r="BC62" i="2" s="1"/>
  <c r="AT56" i="2"/>
  <c r="AM56" i="2"/>
  <c r="AF56" i="2"/>
  <c r="Y56" i="2"/>
  <c r="AA62" i="2" s="1"/>
  <c r="R56" i="2"/>
  <c r="K56" i="2"/>
  <c r="D56" i="2"/>
  <c r="B56" i="2"/>
  <c r="DE55" i="2"/>
  <c r="CX55" i="2"/>
  <c r="CQ55" i="2"/>
  <c r="CJ55" i="2"/>
  <c r="CL61" i="2" s="1"/>
  <c r="CC55" i="2"/>
  <c r="BX55" i="2"/>
  <c r="BV55" i="2"/>
  <c r="BX61" i="2" s="1"/>
  <c r="BO55" i="2"/>
  <c r="BQ61" i="2" s="1"/>
  <c r="BH55" i="2"/>
  <c r="BA55" i="2"/>
  <c r="AT55" i="2"/>
  <c r="AM55" i="2"/>
  <c r="AF55" i="2"/>
  <c r="Y55" i="2"/>
  <c r="R55" i="2"/>
  <c r="K55" i="2"/>
  <c r="D55" i="2"/>
  <c r="F61" i="2" s="1"/>
  <c r="B55" i="2"/>
  <c r="DE54" i="2"/>
  <c r="CX54" i="2"/>
  <c r="CZ60" i="2" s="1"/>
  <c r="CQ54" i="2"/>
  <c r="CJ54" i="2"/>
  <c r="CC54" i="2"/>
  <c r="BV54" i="2"/>
  <c r="BX54" i="2" s="1"/>
  <c r="BO54" i="2"/>
  <c r="BH54" i="2"/>
  <c r="BC54" i="2"/>
  <c r="BA54" i="2"/>
  <c r="BC60" i="2" s="1"/>
  <c r="AT54" i="2"/>
  <c r="AM54" i="2"/>
  <c r="AF54" i="2"/>
  <c r="Y54" i="2"/>
  <c r="R54" i="2"/>
  <c r="K54" i="2"/>
  <c r="D54" i="2"/>
  <c r="B54" i="2"/>
  <c r="DE53" i="2"/>
  <c r="CX53" i="2"/>
  <c r="CZ59" i="2" s="1"/>
  <c r="CQ53" i="2"/>
  <c r="CJ53" i="2"/>
  <c r="CC53" i="2"/>
  <c r="BV53" i="2"/>
  <c r="BX59" i="2" s="1"/>
  <c r="BO53" i="2"/>
  <c r="BJ53" i="2"/>
  <c r="BH53" i="2"/>
  <c r="BA53" i="2"/>
  <c r="BC59" i="2" s="1"/>
  <c r="AT53" i="2"/>
  <c r="AM53" i="2"/>
  <c r="AF53" i="2"/>
  <c r="Y53" i="2"/>
  <c r="R53" i="2"/>
  <c r="K53" i="2"/>
  <c r="D53" i="2"/>
  <c r="B53" i="2"/>
  <c r="DE52" i="2"/>
  <c r="CX52" i="2"/>
  <c r="CQ52" i="2"/>
  <c r="CJ52" i="2"/>
  <c r="CC52" i="2"/>
  <c r="CE55" i="2" s="1"/>
  <c r="BV52" i="2"/>
  <c r="BX58" i="2" s="1"/>
  <c r="BO52" i="2"/>
  <c r="BH52" i="2"/>
  <c r="BJ52" i="2" s="1"/>
  <c r="BA52" i="2"/>
  <c r="AT52" i="2"/>
  <c r="AM52" i="2"/>
  <c r="AH52" i="2"/>
  <c r="AF52" i="2"/>
  <c r="Y52" i="2"/>
  <c r="R52" i="2"/>
  <c r="M52" i="2"/>
  <c r="K52" i="2"/>
  <c r="D52" i="2"/>
  <c r="B52" i="2"/>
  <c r="DE51" i="2"/>
  <c r="CX51" i="2"/>
  <c r="CZ57" i="2" s="1"/>
  <c r="CQ51" i="2"/>
  <c r="CJ51" i="2"/>
  <c r="CC51" i="2"/>
  <c r="BV51" i="2"/>
  <c r="BO51" i="2"/>
  <c r="BJ51" i="2"/>
  <c r="BH51" i="2"/>
  <c r="BA51" i="2"/>
  <c r="AT51" i="2"/>
  <c r="AM51" i="2"/>
  <c r="AF51" i="2"/>
  <c r="Y51" i="2"/>
  <c r="R51" i="2"/>
  <c r="K51" i="2"/>
  <c r="D51" i="2"/>
  <c r="F57" i="2" s="1"/>
  <c r="B51" i="2"/>
  <c r="DE50" i="2"/>
  <c r="CX50" i="2"/>
  <c r="CZ50" i="2" s="1"/>
  <c r="CQ50" i="2"/>
  <c r="CJ50" i="2"/>
  <c r="CC50" i="2"/>
  <c r="BV50" i="2"/>
  <c r="BO50" i="2"/>
  <c r="BJ50" i="2"/>
  <c r="BH50" i="2"/>
  <c r="BA50" i="2"/>
  <c r="AT50" i="2"/>
  <c r="AM50" i="2"/>
  <c r="AF50" i="2"/>
  <c r="Y50" i="2"/>
  <c r="R50" i="2"/>
  <c r="M50" i="2"/>
  <c r="K50" i="2"/>
  <c r="D50" i="2"/>
  <c r="B50" i="2"/>
  <c r="DE49" i="2"/>
  <c r="CX49" i="2"/>
  <c r="CQ49" i="2"/>
  <c r="CJ49" i="2"/>
  <c r="CC49" i="2"/>
  <c r="BV49" i="2"/>
  <c r="BO49" i="2"/>
  <c r="BH49" i="2"/>
  <c r="BA49" i="2"/>
  <c r="AT49" i="2"/>
  <c r="AM49" i="2"/>
  <c r="AF49" i="2"/>
  <c r="AH55" i="2" s="1"/>
  <c r="Y49" i="2"/>
  <c r="R49" i="2"/>
  <c r="M49" i="2"/>
  <c r="K49" i="2"/>
  <c r="D49" i="2"/>
  <c r="B49" i="2"/>
  <c r="DE48" i="2"/>
  <c r="CZ48" i="2"/>
  <c r="CX48" i="2"/>
  <c r="CQ48" i="2"/>
  <c r="CJ48" i="2"/>
  <c r="CC48" i="2"/>
  <c r="BV48" i="2"/>
  <c r="BO48" i="2"/>
  <c r="BH48" i="2"/>
  <c r="BA48" i="2"/>
  <c r="AT48" i="2"/>
  <c r="AM48" i="2"/>
  <c r="AF48" i="2"/>
  <c r="Y48" i="2"/>
  <c r="R48" i="2"/>
  <c r="K48" i="2"/>
  <c r="D48" i="2"/>
  <c r="B48" i="2"/>
  <c r="DE47" i="2"/>
  <c r="CX47" i="2"/>
  <c r="CQ47" i="2"/>
  <c r="CJ47" i="2"/>
  <c r="CC47" i="2"/>
  <c r="BV47" i="2"/>
  <c r="BX53" i="2" s="1"/>
  <c r="BO47" i="2"/>
  <c r="BH47" i="2"/>
  <c r="BA47" i="2"/>
  <c r="AT47" i="2"/>
  <c r="AM47" i="2"/>
  <c r="AF47" i="2"/>
  <c r="Y47" i="2"/>
  <c r="R47" i="2"/>
  <c r="K47" i="2"/>
  <c r="D47" i="2"/>
  <c r="B47" i="2"/>
  <c r="DE46" i="2"/>
  <c r="CX46" i="2"/>
  <c r="CQ46" i="2"/>
  <c r="CJ46" i="2"/>
  <c r="CC46" i="2"/>
  <c r="BV46" i="2"/>
  <c r="BO46" i="2"/>
  <c r="BJ46" i="2"/>
  <c r="BH46" i="2"/>
  <c r="BA46" i="2"/>
  <c r="AT46" i="2"/>
  <c r="AM46" i="2"/>
  <c r="AF46" i="2"/>
  <c r="AA46" i="2"/>
  <c r="Y46" i="2"/>
  <c r="AA52" i="2" s="1"/>
  <c r="T46" i="2"/>
  <c r="R46" i="2"/>
  <c r="K46" i="2"/>
  <c r="D46" i="2"/>
  <c r="B46" i="2"/>
  <c r="DE45" i="2"/>
  <c r="CX45" i="2"/>
  <c r="CQ45" i="2"/>
  <c r="CJ45" i="2"/>
  <c r="CC45" i="2"/>
  <c r="BV45" i="2"/>
  <c r="BO45" i="2"/>
  <c r="BH45" i="2"/>
  <c r="BA45" i="2"/>
  <c r="AT45" i="2"/>
  <c r="AM45" i="2"/>
  <c r="AF45" i="2"/>
  <c r="Y45" i="2"/>
  <c r="R45" i="2"/>
  <c r="K45" i="2"/>
  <c r="D45" i="2"/>
  <c r="B45" i="2"/>
  <c r="DE44" i="2"/>
  <c r="CX44" i="2"/>
  <c r="CQ44" i="2"/>
  <c r="CL44" i="2"/>
  <c r="CJ44" i="2"/>
  <c r="CC44" i="2"/>
  <c r="BV44" i="2"/>
  <c r="BO44" i="2"/>
  <c r="BH44" i="2"/>
  <c r="BC44" i="2"/>
  <c r="BA44" i="2"/>
  <c r="AT44" i="2"/>
  <c r="AM44" i="2"/>
  <c r="AF44" i="2"/>
  <c r="Y44" i="2"/>
  <c r="R44" i="2"/>
  <c r="M44" i="2"/>
  <c r="K44" i="2"/>
  <c r="D44" i="2"/>
  <c r="B44" i="2"/>
  <c r="DE43" i="2"/>
  <c r="CX43" i="2"/>
  <c r="CS43" i="2"/>
  <c r="CQ43" i="2"/>
  <c r="CJ43" i="2"/>
  <c r="CC43" i="2"/>
  <c r="BV43" i="2"/>
  <c r="BO43" i="2"/>
  <c r="BJ43" i="2"/>
  <c r="BH43" i="2"/>
  <c r="BA43" i="2"/>
  <c r="AT43" i="2"/>
  <c r="AM43" i="2"/>
  <c r="AF43" i="2"/>
  <c r="Y43" i="2"/>
  <c r="R43" i="2"/>
  <c r="K43" i="2"/>
  <c r="D43" i="2"/>
  <c r="B43" i="2"/>
  <c r="DE42" i="2"/>
  <c r="CX42" i="2"/>
  <c r="CQ42" i="2"/>
  <c r="CJ42" i="2"/>
  <c r="CC42" i="2"/>
  <c r="BV42" i="2"/>
  <c r="BO42" i="2"/>
  <c r="BJ42" i="2"/>
  <c r="BH42" i="2"/>
  <c r="BA42" i="2"/>
  <c r="AT42" i="2"/>
  <c r="AM42" i="2"/>
  <c r="AF42" i="2"/>
  <c r="AH45" i="2" s="1"/>
  <c r="Y42" i="2"/>
  <c r="R42" i="2"/>
  <c r="K42" i="2"/>
  <c r="D42" i="2"/>
  <c r="B42" i="2"/>
  <c r="DE41" i="2"/>
  <c r="CX41" i="2"/>
  <c r="CS41" i="2"/>
  <c r="CQ41" i="2"/>
  <c r="CJ41" i="2"/>
  <c r="CC41" i="2"/>
  <c r="BV41" i="2"/>
  <c r="BO41" i="2"/>
  <c r="BH41" i="2"/>
  <c r="BA41" i="2"/>
  <c r="AT41" i="2"/>
  <c r="AM41" i="2"/>
  <c r="AF41" i="2"/>
  <c r="Y41" i="2"/>
  <c r="R41" i="2"/>
  <c r="M41" i="2"/>
  <c r="K41" i="2"/>
  <c r="D41" i="2"/>
  <c r="B41" i="2"/>
  <c r="DE40" i="2"/>
  <c r="CX40" i="2"/>
  <c r="CQ40" i="2"/>
  <c r="CJ40" i="2"/>
  <c r="CC40" i="2"/>
  <c r="BV40" i="2"/>
  <c r="BQ40" i="2"/>
  <c r="BO40" i="2"/>
  <c r="BJ40" i="2"/>
  <c r="BH40" i="2"/>
  <c r="BA40" i="2"/>
  <c r="AT40" i="2"/>
  <c r="AM40" i="2"/>
  <c r="AF40" i="2"/>
  <c r="Y40" i="2"/>
  <c r="R40" i="2"/>
  <c r="K40" i="2"/>
  <c r="F40" i="2"/>
  <c r="D40" i="2"/>
  <c r="B40" i="2"/>
  <c r="DE39" i="2"/>
  <c r="CX39" i="2"/>
  <c r="CQ39" i="2"/>
  <c r="CJ39" i="2"/>
  <c r="CC39" i="2"/>
  <c r="BV39" i="2"/>
  <c r="BQ39" i="2"/>
  <c r="BO39" i="2"/>
  <c r="BQ45" i="2" s="1"/>
  <c r="BH39" i="2"/>
  <c r="BA39" i="2"/>
  <c r="AT39" i="2"/>
  <c r="AM39" i="2"/>
  <c r="AF39" i="2"/>
  <c r="Y39" i="2"/>
  <c r="R39" i="2"/>
  <c r="K39" i="2"/>
  <c r="F39" i="2"/>
  <c r="D39" i="2"/>
  <c r="B39" i="2"/>
  <c r="DE38" i="2"/>
  <c r="CX38" i="2"/>
  <c r="CQ38" i="2"/>
  <c r="CJ38" i="2"/>
  <c r="CC38" i="2"/>
  <c r="BV38" i="2"/>
  <c r="BO38" i="2"/>
  <c r="BH38" i="2"/>
  <c r="BA38" i="2"/>
  <c r="AT38" i="2"/>
  <c r="AM38" i="2"/>
  <c r="AF38" i="2"/>
  <c r="Y38" i="2"/>
  <c r="R38" i="2"/>
  <c r="K38" i="2"/>
  <c r="D38" i="2"/>
  <c r="B38" i="2"/>
  <c r="DE37" i="2"/>
  <c r="CX37" i="2"/>
  <c r="CQ37" i="2"/>
  <c r="CJ37" i="2"/>
  <c r="CC37" i="2"/>
  <c r="CE41" i="2" s="1"/>
  <c r="BV37" i="2"/>
  <c r="BO37" i="2"/>
  <c r="BH37" i="2"/>
  <c r="BC37" i="2"/>
  <c r="BA37" i="2"/>
  <c r="BC43" i="2" s="1"/>
  <c r="AT37" i="2"/>
  <c r="AM37" i="2"/>
  <c r="AF37" i="2"/>
  <c r="Y37" i="2"/>
  <c r="R37" i="2"/>
  <c r="K37" i="2"/>
  <c r="D37" i="2"/>
  <c r="B37" i="2"/>
  <c r="DE36" i="2"/>
  <c r="CX36" i="2"/>
  <c r="CQ36" i="2"/>
  <c r="CJ36" i="2"/>
  <c r="CC36" i="2"/>
  <c r="BV36" i="2"/>
  <c r="BQ36" i="2"/>
  <c r="BO36" i="2"/>
  <c r="BH36" i="2"/>
  <c r="BA36" i="2"/>
  <c r="AT36" i="2"/>
  <c r="AM36" i="2"/>
  <c r="AF36" i="2"/>
  <c r="Y36" i="2"/>
  <c r="AA42" i="2" s="1"/>
  <c r="R36" i="2"/>
  <c r="K36" i="2"/>
  <c r="D36" i="2"/>
  <c r="B36" i="2"/>
  <c r="DE35" i="2"/>
  <c r="DG39" i="2" s="1"/>
  <c r="CX35" i="2"/>
  <c r="CQ35" i="2"/>
  <c r="CJ35" i="2"/>
  <c r="CC35" i="2"/>
  <c r="BV35" i="2"/>
  <c r="BX36" i="2" s="1"/>
  <c r="BO35" i="2"/>
  <c r="BH35" i="2"/>
  <c r="BA35" i="2"/>
  <c r="AT35" i="2"/>
  <c r="AM35" i="2"/>
  <c r="AF35" i="2"/>
  <c r="Y35" i="2"/>
  <c r="R35" i="2"/>
  <c r="K35" i="2"/>
  <c r="D35" i="2"/>
  <c r="B35" i="2"/>
  <c r="DE34" i="2"/>
  <c r="CX34" i="2"/>
  <c r="CQ34" i="2"/>
  <c r="CS40" i="2" s="1"/>
  <c r="CJ34" i="2"/>
  <c r="CC34" i="2"/>
  <c r="BV34" i="2"/>
  <c r="BO34" i="2"/>
  <c r="BH34" i="2"/>
  <c r="BA34" i="2"/>
  <c r="AT34" i="2"/>
  <c r="AM34" i="2"/>
  <c r="AF34" i="2"/>
  <c r="Y34" i="2"/>
  <c r="R34" i="2"/>
  <c r="K34" i="2"/>
  <c r="D34" i="2"/>
  <c r="B34" i="2"/>
  <c r="DG33" i="2"/>
  <c r="DE33" i="2"/>
  <c r="CX33" i="2"/>
  <c r="CQ33" i="2"/>
  <c r="CJ33" i="2"/>
  <c r="CE33" i="2"/>
  <c r="CC33" i="2"/>
  <c r="BV33" i="2"/>
  <c r="BO33" i="2"/>
  <c r="BH33" i="2"/>
  <c r="BA33" i="2"/>
  <c r="AT33" i="2"/>
  <c r="AM33" i="2"/>
  <c r="AF33" i="2"/>
  <c r="Y33" i="2"/>
  <c r="R33" i="2"/>
  <c r="K33" i="2"/>
  <c r="F33" i="2"/>
  <c r="D33" i="2"/>
  <c r="B33" i="2"/>
  <c r="DE32" i="2"/>
  <c r="CX32" i="2"/>
  <c r="CQ32" i="2"/>
  <c r="CL32" i="2"/>
  <c r="CJ32" i="2"/>
  <c r="CC32" i="2"/>
  <c r="BV32" i="2"/>
  <c r="BX38" i="2" s="1"/>
  <c r="BO32" i="2"/>
  <c r="BQ38" i="2" s="1"/>
  <c r="BH32" i="2"/>
  <c r="BA32" i="2"/>
  <c r="AT32" i="2"/>
  <c r="AM32" i="2"/>
  <c r="AO35" i="2" s="1"/>
  <c r="AF32" i="2"/>
  <c r="Y32" i="2"/>
  <c r="R32" i="2"/>
  <c r="K32" i="2"/>
  <c r="D32" i="2"/>
  <c r="F38" i="2" s="1"/>
  <c r="B32" i="2"/>
  <c r="DE31" i="2"/>
  <c r="CX31" i="2"/>
  <c r="CQ31" i="2"/>
  <c r="CJ31" i="2"/>
  <c r="CC31" i="2"/>
  <c r="BV31" i="2"/>
  <c r="BO31" i="2"/>
  <c r="BH31" i="2"/>
  <c r="BA31" i="2"/>
  <c r="AT31" i="2"/>
  <c r="AM31" i="2"/>
  <c r="AH31" i="2"/>
  <c r="AF31" i="2"/>
  <c r="Y31" i="2"/>
  <c r="AA37" i="2" s="1"/>
  <c r="R31" i="2"/>
  <c r="K31" i="2"/>
  <c r="D31" i="2"/>
  <c r="B31" i="2"/>
  <c r="DG30" i="2"/>
  <c r="DE30" i="2"/>
  <c r="CX30" i="2"/>
  <c r="CQ30" i="2"/>
  <c r="CJ30" i="2"/>
  <c r="CC30" i="2"/>
  <c r="BV30" i="2"/>
  <c r="BO30" i="2"/>
  <c r="BH30" i="2"/>
  <c r="BA30" i="2"/>
  <c r="AT30" i="2"/>
  <c r="AM30" i="2"/>
  <c r="AF30" i="2"/>
  <c r="AA30" i="2"/>
  <c r="Y30" i="2"/>
  <c r="R30" i="2"/>
  <c r="K30" i="2"/>
  <c r="D30" i="2"/>
  <c r="B30" i="2"/>
  <c r="DE29" i="2"/>
  <c r="CX29" i="2"/>
  <c r="CS29" i="2"/>
  <c r="CQ29" i="2"/>
  <c r="CJ29" i="2"/>
  <c r="CC29" i="2"/>
  <c r="CE35" i="2" s="1"/>
  <c r="BV29" i="2"/>
  <c r="BO29" i="2"/>
  <c r="BH29" i="2"/>
  <c r="BA29" i="2"/>
  <c r="AT29" i="2"/>
  <c r="AM29" i="2"/>
  <c r="AH29" i="2"/>
  <c r="AF29" i="2"/>
  <c r="Y29" i="2"/>
  <c r="R29" i="2"/>
  <c r="K29" i="2"/>
  <c r="D29" i="2"/>
  <c r="B29" i="2"/>
  <c r="DE28" i="2"/>
  <c r="CX28" i="2"/>
  <c r="CQ28" i="2"/>
  <c r="CJ28" i="2"/>
  <c r="CC28" i="2"/>
  <c r="BV28" i="2"/>
  <c r="BO28" i="2"/>
  <c r="BH28" i="2"/>
  <c r="BA28" i="2"/>
  <c r="AT28" i="2"/>
  <c r="AM28" i="2"/>
  <c r="AF28" i="2"/>
  <c r="Y28" i="2"/>
  <c r="AA34" i="2" s="1"/>
  <c r="R28" i="2"/>
  <c r="K28" i="2"/>
  <c r="D28" i="2"/>
  <c r="B28" i="2"/>
  <c r="DE27" i="2"/>
  <c r="CX27" i="2"/>
  <c r="CQ27" i="2"/>
  <c r="CL27" i="2"/>
  <c r="CJ27" i="2"/>
  <c r="CC27" i="2"/>
  <c r="BV27" i="2"/>
  <c r="BO27" i="2"/>
  <c r="BH27" i="2"/>
  <c r="BA27" i="2"/>
  <c r="AT27" i="2"/>
  <c r="AM27" i="2"/>
  <c r="AF27" i="2"/>
  <c r="Y27" i="2"/>
  <c r="R27" i="2"/>
  <c r="K27" i="2"/>
  <c r="D27" i="2"/>
  <c r="B27" i="2"/>
  <c r="DE26" i="2"/>
  <c r="DG32" i="2" s="1"/>
  <c r="CX26" i="2"/>
  <c r="CQ26" i="2"/>
  <c r="CS28" i="2" s="1"/>
  <c r="CJ26" i="2"/>
  <c r="CC26" i="2"/>
  <c r="BV26" i="2"/>
  <c r="BO26" i="2"/>
  <c r="BH26" i="2"/>
  <c r="BJ29" i="2" s="1"/>
  <c r="BA26" i="2"/>
  <c r="AT26" i="2"/>
  <c r="AM26" i="2"/>
  <c r="AH26" i="2"/>
  <c r="AF26" i="2"/>
  <c r="Y26" i="2"/>
  <c r="R26" i="2"/>
  <c r="K26" i="2"/>
  <c r="D26" i="2"/>
  <c r="B26" i="2"/>
  <c r="DE25" i="2"/>
  <c r="CX25" i="2"/>
  <c r="CS25" i="2"/>
  <c r="CQ25" i="2"/>
  <c r="CJ25" i="2"/>
  <c r="CL31" i="2" s="1"/>
  <c r="CC25" i="2"/>
  <c r="BV25" i="2"/>
  <c r="BX28" i="2" s="1"/>
  <c r="BO25" i="2"/>
  <c r="BH25" i="2"/>
  <c r="BA25" i="2"/>
  <c r="AT25" i="2"/>
  <c r="AM25" i="2"/>
  <c r="AF25" i="2"/>
  <c r="AA25" i="2"/>
  <c r="Y25" i="2"/>
  <c r="R25" i="2"/>
  <c r="K25" i="2"/>
  <c r="D25" i="2"/>
  <c r="B25" i="2"/>
  <c r="DE24" i="2"/>
  <c r="CX24" i="2"/>
  <c r="CS24" i="2"/>
  <c r="CQ24" i="2"/>
  <c r="CJ24" i="2"/>
  <c r="CL30" i="2" s="1"/>
  <c r="CC24" i="2"/>
  <c r="BV24" i="2"/>
  <c r="BO24" i="2"/>
  <c r="BH24" i="2"/>
  <c r="BA24" i="2"/>
  <c r="AT24" i="2"/>
  <c r="AM24" i="2"/>
  <c r="AF24" i="2"/>
  <c r="Y24" i="2"/>
  <c r="R24" i="2"/>
  <c r="K24" i="2"/>
  <c r="D24" i="2"/>
  <c r="B24" i="2"/>
  <c r="DE23" i="2"/>
  <c r="CX23" i="2"/>
  <c r="CZ23" i="2" s="1"/>
  <c r="CQ23" i="2"/>
  <c r="CJ23" i="2"/>
  <c r="CC23" i="2"/>
  <c r="BV23" i="2"/>
  <c r="BO23" i="2"/>
  <c r="BH23" i="2"/>
  <c r="BA23" i="2"/>
  <c r="AT23" i="2"/>
  <c r="AM23" i="2"/>
  <c r="AH23" i="2"/>
  <c r="AF23" i="2"/>
  <c r="Y23" i="2"/>
  <c r="R23" i="2"/>
  <c r="K23" i="2"/>
  <c r="D23" i="2"/>
  <c r="B23" i="2"/>
  <c r="DE22" i="2"/>
  <c r="CX22" i="2"/>
  <c r="CQ22" i="2"/>
  <c r="CJ22" i="2"/>
  <c r="CC22" i="2"/>
  <c r="BV22" i="2"/>
  <c r="BO22" i="2"/>
  <c r="BJ22" i="2"/>
  <c r="BH22" i="2"/>
  <c r="BA22" i="2"/>
  <c r="AT22" i="2"/>
  <c r="AM22" i="2"/>
  <c r="AF22" i="2"/>
  <c r="Y22" i="2"/>
  <c r="R22" i="2"/>
  <c r="K22" i="2"/>
  <c r="D22" i="2"/>
  <c r="B22" i="2"/>
  <c r="DE21" i="2"/>
  <c r="CX21" i="2"/>
  <c r="CQ21" i="2"/>
  <c r="CJ21" i="2"/>
  <c r="CC21" i="2"/>
  <c r="BV21" i="2"/>
  <c r="BO21" i="2"/>
  <c r="BH21" i="2"/>
  <c r="BA21" i="2"/>
  <c r="AT21" i="2"/>
  <c r="AM21" i="2"/>
  <c r="AF21" i="2"/>
  <c r="Y21" i="2"/>
  <c r="R21" i="2"/>
  <c r="K21" i="2"/>
  <c r="D21" i="2"/>
  <c r="B21" i="2"/>
  <c r="DE20" i="2"/>
  <c r="CX20" i="2"/>
  <c r="CQ20" i="2"/>
  <c r="CJ20" i="2"/>
  <c r="CC20" i="2"/>
  <c r="BV20" i="2"/>
  <c r="BO20" i="2"/>
  <c r="BH20" i="2"/>
  <c r="BA20" i="2"/>
  <c r="AT20" i="2"/>
  <c r="AM20" i="2"/>
  <c r="AF20" i="2"/>
  <c r="Y20" i="2"/>
  <c r="R20" i="2"/>
  <c r="K20" i="2"/>
  <c r="D20" i="2"/>
  <c r="B20" i="2"/>
  <c r="DE19" i="2"/>
  <c r="CX19" i="2"/>
  <c r="CQ19" i="2"/>
  <c r="CJ19" i="2"/>
  <c r="CE19" i="2"/>
  <c r="CC19" i="2"/>
  <c r="BV19" i="2"/>
  <c r="BO19" i="2"/>
  <c r="BH19" i="2"/>
  <c r="BA19" i="2"/>
  <c r="AT19" i="2"/>
  <c r="AM19" i="2"/>
  <c r="AF19" i="2"/>
  <c r="Y19" i="2"/>
  <c r="R19" i="2"/>
  <c r="K19" i="2"/>
  <c r="D19" i="2"/>
  <c r="B19" i="2"/>
  <c r="DE18" i="2"/>
  <c r="CX18" i="2"/>
  <c r="CQ18" i="2"/>
  <c r="CJ18" i="2"/>
  <c r="CE18" i="2"/>
  <c r="CC18" i="2"/>
  <c r="BX18" i="2"/>
  <c r="BV18" i="2"/>
  <c r="BO18" i="2"/>
  <c r="BH18" i="2"/>
  <c r="BA18" i="2"/>
  <c r="AT18" i="2"/>
  <c r="AM18" i="2"/>
  <c r="AF18" i="2"/>
  <c r="Y18" i="2"/>
  <c r="R18" i="2"/>
  <c r="K18" i="2"/>
  <c r="D18" i="2"/>
  <c r="B18" i="2"/>
  <c r="DE17" i="2"/>
  <c r="CX17" i="2"/>
  <c r="CS17" i="2"/>
  <c r="CQ17" i="2"/>
  <c r="CJ17" i="2"/>
  <c r="CC17" i="2"/>
  <c r="BX17" i="2"/>
  <c r="BV17" i="2"/>
  <c r="BQ17" i="2"/>
  <c r="BO17" i="2"/>
  <c r="BH17" i="2"/>
  <c r="BC17" i="2"/>
  <c r="BA17" i="2"/>
  <c r="AT17" i="2"/>
  <c r="AM17" i="2"/>
  <c r="AF17" i="2"/>
  <c r="Y17" i="2"/>
  <c r="R17" i="2"/>
  <c r="T17" i="2" s="1"/>
  <c r="K17" i="2"/>
  <c r="D17" i="2"/>
  <c r="B17" i="2"/>
  <c r="DG16" i="2"/>
  <c r="DE16" i="2"/>
  <c r="CX16" i="2"/>
  <c r="CQ16" i="2"/>
  <c r="CL16" i="2"/>
  <c r="CJ16" i="2"/>
  <c r="CC16" i="2"/>
  <c r="BV16" i="2"/>
  <c r="BO16" i="2"/>
  <c r="BH16" i="2"/>
  <c r="BC16" i="2"/>
  <c r="BA16" i="2"/>
  <c r="AT16" i="2"/>
  <c r="AM16" i="2"/>
  <c r="AO22" i="2" s="1"/>
  <c r="AF16" i="2"/>
  <c r="Y16" i="2"/>
  <c r="R16" i="2"/>
  <c r="K16" i="2"/>
  <c r="D16" i="2"/>
  <c r="F22" i="2" s="1"/>
  <c r="B16" i="2"/>
  <c r="DE15" i="2"/>
  <c r="CX15" i="2"/>
  <c r="CQ15" i="2"/>
  <c r="CJ15" i="2"/>
  <c r="CC15" i="2"/>
  <c r="BV15" i="2"/>
  <c r="BO15" i="2"/>
  <c r="BH15" i="2"/>
  <c r="BA15" i="2"/>
  <c r="AT15" i="2"/>
  <c r="AM15" i="2"/>
  <c r="AF15" i="2"/>
  <c r="Y15" i="2"/>
  <c r="R15" i="2"/>
  <c r="K15" i="2"/>
  <c r="D15" i="2"/>
  <c r="B15" i="2"/>
  <c r="DE14" i="2"/>
  <c r="CX14" i="2"/>
  <c r="CQ14" i="2"/>
  <c r="CJ14" i="2"/>
  <c r="CC14" i="2"/>
  <c r="BX14" i="2"/>
  <c r="BV14" i="2"/>
  <c r="BO14" i="2"/>
  <c r="BH14" i="2"/>
  <c r="BA14" i="2"/>
  <c r="AT14" i="2"/>
  <c r="AO14" i="2"/>
  <c r="AM14" i="2"/>
  <c r="AO20" i="2" s="1"/>
  <c r="AF14" i="2"/>
  <c r="AH16" i="2" s="1"/>
  <c r="Y14" i="2"/>
  <c r="R14" i="2"/>
  <c r="K14" i="2"/>
  <c r="D14" i="2"/>
  <c r="F19" i="2" s="1"/>
  <c r="B14" i="2"/>
  <c r="DE13" i="2"/>
  <c r="CX13" i="2"/>
  <c r="CS13" i="2"/>
  <c r="CQ13" i="2"/>
  <c r="CJ13" i="2"/>
  <c r="CC13" i="2"/>
  <c r="BV13" i="2"/>
  <c r="BO13" i="2"/>
  <c r="BJ13" i="2"/>
  <c r="BH13" i="2"/>
  <c r="BA13" i="2"/>
  <c r="AT13" i="2"/>
  <c r="AO13" i="2"/>
  <c r="AM13" i="2"/>
  <c r="AF13" i="2"/>
  <c r="Y13" i="2"/>
  <c r="R13" i="2"/>
  <c r="K13" i="2"/>
  <c r="D13" i="2"/>
  <c r="B13" i="2"/>
  <c r="DE12" i="2"/>
  <c r="CX12" i="2"/>
  <c r="CQ12" i="2"/>
  <c r="CJ12" i="2"/>
  <c r="CL18" i="2" s="1"/>
  <c r="CC12" i="2"/>
  <c r="BV12" i="2"/>
  <c r="BO12" i="2"/>
  <c r="BH12" i="2"/>
  <c r="BA12" i="2"/>
  <c r="AT12" i="2"/>
  <c r="AM12" i="2"/>
  <c r="AF12" i="2"/>
  <c r="Y12" i="2"/>
  <c r="R12" i="2"/>
  <c r="K12" i="2"/>
  <c r="D12" i="2"/>
  <c r="B12" i="2"/>
  <c r="DE11" i="2"/>
  <c r="CX11" i="2"/>
  <c r="CQ11" i="2"/>
  <c r="CJ11" i="2"/>
  <c r="CC11" i="2"/>
  <c r="BX11" i="2"/>
  <c r="BV11" i="2"/>
  <c r="BO11" i="2"/>
  <c r="BH11" i="2"/>
  <c r="BJ16" i="2" s="1"/>
  <c r="BA11" i="2"/>
  <c r="BC11" i="2" s="1"/>
  <c r="AT11" i="2"/>
  <c r="AM11" i="2"/>
  <c r="AO17" i="2" s="1"/>
  <c r="AF11" i="2"/>
  <c r="Y11" i="2"/>
  <c r="R11" i="2"/>
  <c r="K11" i="2"/>
  <c r="D11" i="2"/>
  <c r="B11" i="2"/>
  <c r="DE10" i="2"/>
  <c r="CX10" i="2"/>
  <c r="CS10" i="2"/>
  <c r="CQ10" i="2"/>
  <c r="CJ10" i="2"/>
  <c r="CC10" i="2"/>
  <c r="CE12" i="2" s="1"/>
  <c r="BV10" i="2"/>
  <c r="BO10" i="2"/>
  <c r="BH10" i="2"/>
  <c r="BA10" i="2"/>
  <c r="AT10" i="2"/>
  <c r="AO10" i="2"/>
  <c r="AM10" i="2"/>
  <c r="AO16" i="2" s="1"/>
  <c r="AF10" i="2"/>
  <c r="Y10" i="2"/>
  <c r="R10" i="2"/>
  <c r="K10" i="2"/>
  <c r="M16" i="2" s="1"/>
  <c r="D10" i="2"/>
  <c r="B10" i="2"/>
  <c r="DE9" i="2"/>
  <c r="DG15" i="2" s="1"/>
  <c r="CX9" i="2"/>
  <c r="CQ9" i="2"/>
  <c r="CS15" i="2" s="1"/>
  <c r="CJ9" i="2"/>
  <c r="CC9" i="2"/>
  <c r="BV9" i="2"/>
  <c r="BX15" i="2" s="1"/>
  <c r="BO9" i="2"/>
  <c r="BJ9" i="2"/>
  <c r="BH9" i="2"/>
  <c r="BA9" i="2"/>
  <c r="BC15" i="2" s="1"/>
  <c r="AT9" i="2"/>
  <c r="AV9" i="2" s="1"/>
  <c r="AM9" i="2"/>
  <c r="AO9" i="2" s="1"/>
  <c r="AF9" i="2"/>
  <c r="Y9" i="2"/>
  <c r="R9" i="2"/>
  <c r="K9" i="2"/>
  <c r="D9" i="2"/>
  <c r="B9" i="2"/>
  <c r="DE8" i="2"/>
  <c r="CZ8" i="2"/>
  <c r="CX8" i="2"/>
  <c r="CQ8" i="2"/>
  <c r="CS8" i="2" s="1"/>
  <c r="CJ8" i="2"/>
  <c r="CC8" i="2"/>
  <c r="BV8" i="2"/>
  <c r="BX8" i="2" s="1"/>
  <c r="BQ8" i="2"/>
  <c r="BO8" i="2"/>
  <c r="BH8" i="2"/>
  <c r="BA8" i="2"/>
  <c r="BC14" i="2" s="1"/>
  <c r="AV8" i="2"/>
  <c r="AT8" i="2"/>
  <c r="AM8" i="2"/>
  <c r="AO8" i="2" s="1"/>
  <c r="AF8" i="2"/>
  <c r="Y8" i="2"/>
  <c r="R8" i="2"/>
  <c r="T14" i="2" s="1"/>
  <c r="M8" i="2"/>
  <c r="K8" i="2"/>
  <c r="D8" i="2"/>
  <c r="F14" i="2" s="1"/>
  <c r="B8" i="2"/>
  <c r="DE7" i="2"/>
  <c r="CZ7" i="2"/>
  <c r="CX7" i="2"/>
  <c r="CQ7" i="2"/>
  <c r="CS7" i="2" s="1"/>
  <c r="CJ7" i="2"/>
  <c r="CC7" i="2"/>
  <c r="BV7" i="2"/>
  <c r="BO7" i="2"/>
  <c r="BH7" i="2"/>
  <c r="BA7" i="2"/>
  <c r="AV7" i="2"/>
  <c r="AT7" i="2"/>
  <c r="AM7" i="2"/>
  <c r="AO7" i="2" s="1"/>
  <c r="AF7" i="2"/>
  <c r="AH7" i="2" s="1"/>
  <c r="Y7" i="2"/>
  <c r="R7" i="2"/>
  <c r="T11" i="2" s="1"/>
  <c r="K7" i="2"/>
  <c r="D7" i="2"/>
  <c r="F13" i="2" s="1"/>
  <c r="B7" i="2"/>
  <c r="DE6" i="2"/>
  <c r="CX6" i="2"/>
  <c r="CQ6" i="2"/>
  <c r="CJ6" i="2"/>
  <c r="CC6" i="2"/>
  <c r="BW6" i="2"/>
  <c r="BV6" i="2"/>
  <c r="BO6" i="2"/>
  <c r="BH6" i="2"/>
  <c r="BJ12" i="2" s="1"/>
  <c r="BA6" i="2"/>
  <c r="AT6" i="2"/>
  <c r="AM6" i="2"/>
  <c r="AO12" i="2" s="1"/>
  <c r="AF6" i="2"/>
  <c r="AH12" i="2" s="1"/>
  <c r="Y6" i="2"/>
  <c r="R6" i="2"/>
  <c r="K6" i="2"/>
  <c r="D6" i="2"/>
  <c r="B6" i="2"/>
  <c r="DE5" i="2"/>
  <c r="CX5" i="2"/>
  <c r="CQ5" i="2"/>
  <c r="CS11" i="2" s="1"/>
  <c r="CJ5" i="2"/>
  <c r="CC5" i="2"/>
  <c r="BV5" i="2"/>
  <c r="BO5" i="2"/>
  <c r="BH5" i="2"/>
  <c r="BI5" i="2" s="1"/>
  <c r="BA5" i="2"/>
  <c r="AT5" i="2"/>
  <c r="AM5" i="2"/>
  <c r="AO11" i="2" s="1"/>
  <c r="AF5" i="2"/>
  <c r="Y5" i="2"/>
  <c r="AA8" i="2" s="1"/>
  <c r="R5" i="2"/>
  <c r="K5" i="2"/>
  <c r="D5" i="2"/>
  <c r="B5" i="2"/>
  <c r="DF4" i="2"/>
  <c r="DE4" i="2"/>
  <c r="CX4" i="2"/>
  <c r="CY4" i="2" s="1"/>
  <c r="CY5" i="2" s="1"/>
  <c r="CY6" i="2" s="1"/>
  <c r="CY7" i="2" s="1"/>
  <c r="CY8" i="2" s="1"/>
  <c r="CQ4" i="2"/>
  <c r="CR4" i="2" s="1"/>
  <c r="CK4" i="2"/>
  <c r="CJ4" i="2"/>
  <c r="CD4" i="2"/>
  <c r="CC4" i="2"/>
  <c r="BV4" i="2"/>
  <c r="BW4" i="2" s="1"/>
  <c r="BW5" i="2" s="1"/>
  <c r="BO4" i="2"/>
  <c r="BP4" i="2" s="1"/>
  <c r="BI4" i="2"/>
  <c r="BH4" i="2"/>
  <c r="BJ10" i="2" s="1"/>
  <c r="BB4" i="2"/>
  <c r="BA4" i="2"/>
  <c r="AT4" i="2"/>
  <c r="AU4" i="2" s="1"/>
  <c r="AU5" i="2" s="1"/>
  <c r="AU6" i="2" s="1"/>
  <c r="AU7" i="2" s="1"/>
  <c r="AU8" i="2" s="1"/>
  <c r="AM4" i="2"/>
  <c r="AN4" i="2" s="1"/>
  <c r="AG4" i="2"/>
  <c r="AF4" i="2"/>
  <c r="Z4" i="2"/>
  <c r="Y4" i="2"/>
  <c r="R4" i="2"/>
  <c r="S4" i="2" s="1"/>
  <c r="S5" i="2" s="1"/>
  <c r="S6" i="2" s="1"/>
  <c r="K4" i="2"/>
  <c r="L4" i="2" s="1"/>
  <c r="E4" i="2"/>
  <c r="D4" i="2"/>
  <c r="F10" i="2" s="1"/>
  <c r="B4" i="2"/>
  <c r="DE3" i="2"/>
  <c r="CX3" i="2"/>
  <c r="CQ3" i="2"/>
  <c r="CJ3" i="2"/>
  <c r="CC3" i="2"/>
  <c r="BV3" i="2"/>
  <c r="BO3" i="2"/>
  <c r="BQ7" i="2" s="1"/>
  <c r="BH3" i="2"/>
  <c r="BA3" i="2"/>
  <c r="AT3" i="2"/>
  <c r="AM3" i="2"/>
  <c r="AF3" i="2"/>
  <c r="Y3" i="2"/>
  <c r="R3" i="2"/>
  <c r="K3" i="2"/>
  <c r="M7" i="2" s="1"/>
  <c r="D3" i="2"/>
  <c r="F9" i="2" s="1"/>
  <c r="B3" i="2"/>
  <c r="DQ2" i="2"/>
  <c r="DG2" i="2"/>
  <c r="CZ2" i="2"/>
  <c r="CS2" i="2"/>
  <c r="CL2" i="2"/>
  <c r="CE2" i="2"/>
  <c r="BX2" i="2"/>
  <c r="BQ2" i="2"/>
  <c r="BJ2" i="2"/>
  <c r="BC2" i="2"/>
  <c r="AV2" i="2"/>
  <c r="AO2" i="2"/>
  <c r="AH2" i="2"/>
  <c r="AA2" i="2"/>
  <c r="T2" i="2"/>
  <c r="M2" i="2"/>
  <c r="F2" i="2"/>
  <c r="A1" i="2"/>
  <c r="I298" i="1"/>
  <c r="F298" i="1"/>
  <c r="D298" i="1"/>
  <c r="B298" i="1"/>
  <c r="I297" i="1"/>
  <c r="H297" i="1" s="1"/>
  <c r="F297" i="1"/>
  <c r="D297" i="1"/>
  <c r="I296" i="1"/>
  <c r="F296" i="1"/>
  <c r="D296" i="1"/>
  <c r="L296" i="1" s="1"/>
  <c r="I295" i="1"/>
  <c r="H296" i="1" s="1"/>
  <c r="F295" i="1"/>
  <c r="D295" i="1"/>
  <c r="L295" i="1" s="1"/>
  <c r="B295" i="1"/>
  <c r="I294" i="1"/>
  <c r="F294" i="1"/>
  <c r="D294" i="1"/>
  <c r="B294" i="1"/>
  <c r="I293" i="1"/>
  <c r="H293" i="1" s="1"/>
  <c r="F293" i="1"/>
  <c r="D293" i="1"/>
  <c r="I292" i="1"/>
  <c r="F292" i="1"/>
  <c r="D292" i="1"/>
  <c r="L292" i="1" s="1"/>
  <c r="I291" i="1"/>
  <c r="H292" i="1" s="1"/>
  <c r="F291" i="1"/>
  <c r="D291" i="1"/>
  <c r="L291" i="1" s="1"/>
  <c r="B291" i="1"/>
  <c r="I290" i="1"/>
  <c r="F290" i="1"/>
  <c r="D290" i="1"/>
  <c r="B290" i="1"/>
  <c r="I289" i="1"/>
  <c r="H289" i="1" s="1"/>
  <c r="F289" i="1"/>
  <c r="D289" i="1"/>
  <c r="I288" i="1"/>
  <c r="F288" i="1"/>
  <c r="D288" i="1"/>
  <c r="L288" i="1" s="1"/>
  <c r="I287" i="1"/>
  <c r="H288" i="1" s="1"/>
  <c r="F287" i="1"/>
  <c r="D287" i="1"/>
  <c r="L287" i="1" s="1"/>
  <c r="B287" i="1"/>
  <c r="I286" i="1"/>
  <c r="F286" i="1"/>
  <c r="D286" i="1"/>
  <c r="B286" i="1"/>
  <c r="I285" i="1"/>
  <c r="H285" i="1" s="1"/>
  <c r="F285" i="1"/>
  <c r="D285" i="1"/>
  <c r="I284" i="1"/>
  <c r="F284" i="1"/>
  <c r="D284" i="1"/>
  <c r="L284" i="1" s="1"/>
  <c r="I283" i="1"/>
  <c r="H284" i="1" s="1"/>
  <c r="F283" i="1"/>
  <c r="D283" i="1"/>
  <c r="L283" i="1" s="1"/>
  <c r="B283" i="1"/>
  <c r="I282" i="1"/>
  <c r="F282" i="1"/>
  <c r="D282" i="1"/>
  <c r="B282" i="1"/>
  <c r="I281" i="1"/>
  <c r="H281" i="1" s="1"/>
  <c r="F281" i="1"/>
  <c r="D281" i="1"/>
  <c r="I280" i="1"/>
  <c r="F280" i="1"/>
  <c r="D280" i="1"/>
  <c r="L280" i="1" s="1"/>
  <c r="I279" i="1"/>
  <c r="H280" i="1" s="1"/>
  <c r="F279" i="1"/>
  <c r="D279" i="1"/>
  <c r="L279" i="1" s="1"/>
  <c r="B279" i="1"/>
  <c r="I278" i="1"/>
  <c r="F278" i="1"/>
  <c r="D278" i="1"/>
  <c r="B278" i="1"/>
  <c r="I277" i="1"/>
  <c r="H277" i="1" s="1"/>
  <c r="F277" i="1"/>
  <c r="D277" i="1"/>
  <c r="I276" i="1"/>
  <c r="F276" i="1"/>
  <c r="D276" i="1"/>
  <c r="L276" i="1" s="1"/>
  <c r="I275" i="1"/>
  <c r="H276" i="1" s="1"/>
  <c r="F275" i="1"/>
  <c r="D275" i="1"/>
  <c r="L275" i="1" s="1"/>
  <c r="B275" i="1"/>
  <c r="I274" i="1"/>
  <c r="F274" i="1"/>
  <c r="D274" i="1"/>
  <c r="B274" i="1"/>
  <c r="I273" i="1"/>
  <c r="H273" i="1" s="1"/>
  <c r="F273" i="1"/>
  <c r="D273" i="1"/>
  <c r="I272" i="1"/>
  <c r="F272" i="1"/>
  <c r="D272" i="1"/>
  <c r="L272" i="1" s="1"/>
  <c r="I271" i="1"/>
  <c r="H272" i="1" s="1"/>
  <c r="F271" i="1"/>
  <c r="D271" i="1"/>
  <c r="L271" i="1" s="1"/>
  <c r="B271" i="1"/>
  <c r="I270" i="1"/>
  <c r="F270" i="1"/>
  <c r="D270" i="1"/>
  <c r="B270" i="1"/>
  <c r="I269" i="1"/>
  <c r="H269" i="1" s="1"/>
  <c r="F269" i="1"/>
  <c r="D269" i="1"/>
  <c r="I268" i="1"/>
  <c r="F268" i="1"/>
  <c r="D268" i="1"/>
  <c r="L268" i="1" s="1"/>
  <c r="I267" i="1"/>
  <c r="H268" i="1" s="1"/>
  <c r="F267" i="1"/>
  <c r="D267" i="1"/>
  <c r="L267" i="1" s="1"/>
  <c r="B267" i="1"/>
  <c r="I266" i="1"/>
  <c r="F266" i="1"/>
  <c r="D266" i="1"/>
  <c r="B266" i="1"/>
  <c r="I265" i="1"/>
  <c r="H265" i="1" s="1"/>
  <c r="F265" i="1"/>
  <c r="D265" i="1"/>
  <c r="I264" i="1"/>
  <c r="F264" i="1"/>
  <c r="D264" i="1"/>
  <c r="L264" i="1" s="1"/>
  <c r="I263" i="1"/>
  <c r="H264" i="1" s="1"/>
  <c r="F263" i="1"/>
  <c r="D263" i="1"/>
  <c r="L263" i="1" s="1"/>
  <c r="B263" i="1"/>
  <c r="I262" i="1"/>
  <c r="F262" i="1"/>
  <c r="D262" i="1"/>
  <c r="B262" i="1"/>
  <c r="I261" i="1"/>
  <c r="H261" i="1" s="1"/>
  <c r="F261" i="1"/>
  <c r="D261" i="1"/>
  <c r="I260" i="1"/>
  <c r="F260" i="1"/>
  <c r="D260" i="1"/>
  <c r="L260" i="1" s="1"/>
  <c r="I259" i="1"/>
  <c r="H260" i="1" s="1"/>
  <c r="F259" i="1"/>
  <c r="D259" i="1"/>
  <c r="L259" i="1" s="1"/>
  <c r="B259" i="1"/>
  <c r="I258" i="1"/>
  <c r="F258" i="1"/>
  <c r="D258" i="1"/>
  <c r="B258" i="1"/>
  <c r="I257" i="1"/>
  <c r="H257" i="1" s="1"/>
  <c r="F257" i="1"/>
  <c r="D257" i="1"/>
  <c r="I256" i="1"/>
  <c r="F256" i="1"/>
  <c r="D256" i="1"/>
  <c r="L256" i="1" s="1"/>
  <c r="I255" i="1"/>
  <c r="H256" i="1" s="1"/>
  <c r="F255" i="1"/>
  <c r="D255" i="1"/>
  <c r="L255" i="1" s="1"/>
  <c r="B255" i="1"/>
  <c r="I254" i="1"/>
  <c r="F254" i="1"/>
  <c r="D254" i="1"/>
  <c r="B254" i="1"/>
  <c r="I253" i="1"/>
  <c r="H253" i="1" s="1"/>
  <c r="F253" i="1"/>
  <c r="D253" i="1"/>
  <c r="I252" i="1"/>
  <c r="F252" i="1"/>
  <c r="D252" i="1"/>
  <c r="L252" i="1" s="1"/>
  <c r="I251" i="1"/>
  <c r="H252" i="1" s="1"/>
  <c r="F251" i="1"/>
  <c r="D251" i="1"/>
  <c r="B251" i="1"/>
  <c r="I250" i="1"/>
  <c r="F250" i="1"/>
  <c r="D250" i="1"/>
  <c r="B250" i="1"/>
  <c r="I249" i="1"/>
  <c r="H249" i="1" s="1"/>
  <c r="F249" i="1"/>
  <c r="D249" i="1"/>
  <c r="I248" i="1"/>
  <c r="F248" i="1"/>
  <c r="D248" i="1"/>
  <c r="L248" i="1" s="1"/>
  <c r="I247" i="1"/>
  <c r="H248" i="1" s="1"/>
  <c r="F247" i="1"/>
  <c r="D247" i="1"/>
  <c r="B247" i="1"/>
  <c r="I246" i="1"/>
  <c r="F246" i="1"/>
  <c r="D246" i="1"/>
  <c r="B246" i="1"/>
  <c r="I245" i="1"/>
  <c r="H245" i="1" s="1"/>
  <c r="F245" i="1"/>
  <c r="D245" i="1"/>
  <c r="I244" i="1"/>
  <c r="F244" i="1"/>
  <c r="D244" i="1"/>
  <c r="I243" i="1"/>
  <c r="H244" i="1" s="1"/>
  <c r="F243" i="1"/>
  <c r="D243" i="1"/>
  <c r="B243" i="1"/>
  <c r="I242" i="1"/>
  <c r="H242" i="1" s="1"/>
  <c r="F242" i="1"/>
  <c r="D242" i="1"/>
  <c r="B242" i="1"/>
  <c r="I241" i="1"/>
  <c r="H241" i="1" s="1"/>
  <c r="F241" i="1"/>
  <c r="D241" i="1"/>
  <c r="I240" i="1"/>
  <c r="F240" i="1"/>
  <c r="D240" i="1"/>
  <c r="I239" i="1"/>
  <c r="H240" i="1" s="1"/>
  <c r="F239" i="1"/>
  <c r="D239" i="1"/>
  <c r="B239" i="1"/>
  <c r="I238" i="1"/>
  <c r="H238" i="1" s="1"/>
  <c r="F238" i="1"/>
  <c r="D238" i="1"/>
  <c r="B238" i="1"/>
  <c r="L237" i="1"/>
  <c r="I237" i="1"/>
  <c r="H237" i="1" s="1"/>
  <c r="F237" i="1"/>
  <c r="D237" i="1"/>
  <c r="I236" i="1"/>
  <c r="H236" i="1"/>
  <c r="F236" i="1"/>
  <c r="D236" i="1"/>
  <c r="I235" i="1"/>
  <c r="H235" i="1"/>
  <c r="F235" i="1"/>
  <c r="D235" i="1"/>
  <c r="L235" i="1" s="1"/>
  <c r="B235" i="1"/>
  <c r="I234" i="1"/>
  <c r="F234" i="1"/>
  <c r="D234" i="1"/>
  <c r="B234" i="1"/>
  <c r="L233" i="1"/>
  <c r="I233" i="1"/>
  <c r="H233" i="1" s="1"/>
  <c r="F233" i="1"/>
  <c r="D233" i="1"/>
  <c r="I232" i="1"/>
  <c r="H232" i="1"/>
  <c r="F232" i="1"/>
  <c r="D232" i="1"/>
  <c r="L232" i="1" s="1"/>
  <c r="I231" i="1"/>
  <c r="F231" i="1"/>
  <c r="D231" i="1"/>
  <c r="L231" i="1" s="1"/>
  <c r="B231" i="1"/>
  <c r="I230" i="1"/>
  <c r="F230" i="1"/>
  <c r="D230" i="1"/>
  <c r="B230" i="1"/>
  <c r="I229" i="1"/>
  <c r="H229" i="1" s="1"/>
  <c r="F229" i="1"/>
  <c r="D229" i="1"/>
  <c r="I228" i="1"/>
  <c r="H228" i="1"/>
  <c r="F228" i="1"/>
  <c r="D228" i="1"/>
  <c r="L228" i="1" s="1"/>
  <c r="I227" i="1"/>
  <c r="F227" i="1"/>
  <c r="D227" i="1"/>
  <c r="B227" i="1"/>
  <c r="I226" i="1"/>
  <c r="H226" i="1" s="1"/>
  <c r="F226" i="1"/>
  <c r="D226" i="1"/>
  <c r="B226" i="1"/>
  <c r="I225" i="1"/>
  <c r="H225" i="1" s="1"/>
  <c r="F225" i="1"/>
  <c r="D225" i="1"/>
  <c r="I224" i="1"/>
  <c r="H224" i="1"/>
  <c r="F224" i="1"/>
  <c r="D224" i="1"/>
  <c r="I223" i="1"/>
  <c r="F223" i="1"/>
  <c r="D223" i="1"/>
  <c r="B223" i="1"/>
  <c r="I222" i="1"/>
  <c r="H222" i="1" s="1"/>
  <c r="F222" i="1"/>
  <c r="D222" i="1"/>
  <c r="B222" i="1"/>
  <c r="I221" i="1"/>
  <c r="H221" i="1" s="1"/>
  <c r="F221" i="1"/>
  <c r="D221" i="1"/>
  <c r="I220" i="1"/>
  <c r="H220" i="1"/>
  <c r="F220" i="1"/>
  <c r="D220" i="1"/>
  <c r="I219" i="1"/>
  <c r="H219" i="1"/>
  <c r="F219" i="1"/>
  <c r="D219" i="1"/>
  <c r="B219" i="1"/>
  <c r="I218" i="1"/>
  <c r="F218" i="1"/>
  <c r="D218" i="1"/>
  <c r="B218" i="1"/>
  <c r="I217" i="1"/>
  <c r="H217" i="1" s="1"/>
  <c r="F217" i="1"/>
  <c r="D217" i="1"/>
  <c r="I216" i="1"/>
  <c r="H216" i="1"/>
  <c r="F216" i="1"/>
  <c r="D216" i="1"/>
  <c r="I215" i="1"/>
  <c r="H215" i="1"/>
  <c r="F215" i="1"/>
  <c r="D215" i="1"/>
  <c r="B215" i="1"/>
  <c r="I214" i="1"/>
  <c r="F214" i="1"/>
  <c r="D214" i="1"/>
  <c r="B214" i="1"/>
  <c r="I213" i="1"/>
  <c r="H213" i="1" s="1"/>
  <c r="F213" i="1"/>
  <c r="D213" i="1"/>
  <c r="I212" i="1"/>
  <c r="H212" i="1"/>
  <c r="F212" i="1"/>
  <c r="D212" i="1"/>
  <c r="B212" i="1"/>
  <c r="I211" i="1"/>
  <c r="F211" i="1"/>
  <c r="D211" i="1"/>
  <c r="B211" i="1"/>
  <c r="I210" i="1"/>
  <c r="H210" i="1" s="1"/>
  <c r="F210" i="1"/>
  <c r="D210" i="1"/>
  <c r="B210" i="1"/>
  <c r="I209" i="1"/>
  <c r="H209" i="1" s="1"/>
  <c r="F209" i="1"/>
  <c r="D209" i="1"/>
  <c r="B209" i="1"/>
  <c r="I208" i="1"/>
  <c r="H208" i="1"/>
  <c r="F208" i="1"/>
  <c r="D208" i="1"/>
  <c r="L208" i="1" s="1"/>
  <c r="B208" i="1"/>
  <c r="I207" i="1"/>
  <c r="F207" i="1"/>
  <c r="D207" i="1"/>
  <c r="B207" i="1"/>
  <c r="I206" i="1"/>
  <c r="H207" i="1" s="1"/>
  <c r="F206" i="1"/>
  <c r="D206" i="1"/>
  <c r="B206" i="1"/>
  <c r="L205" i="1"/>
  <c r="I205" i="1"/>
  <c r="H205" i="1" s="1"/>
  <c r="F205" i="1"/>
  <c r="D205" i="1"/>
  <c r="B205" i="1"/>
  <c r="I204" i="1"/>
  <c r="H204" i="1"/>
  <c r="F204" i="1"/>
  <c r="D204" i="1"/>
  <c r="L204" i="1" s="1"/>
  <c r="B204" i="1"/>
  <c r="I203" i="1"/>
  <c r="F203" i="1"/>
  <c r="D203" i="1"/>
  <c r="B203" i="1"/>
  <c r="I202" i="1"/>
  <c r="F202" i="1"/>
  <c r="D202" i="1"/>
  <c r="B202" i="1"/>
  <c r="I201" i="1"/>
  <c r="H201" i="1" s="1"/>
  <c r="F201" i="1"/>
  <c r="D201" i="1"/>
  <c r="B201" i="1"/>
  <c r="I200" i="1"/>
  <c r="H200" i="1"/>
  <c r="F200" i="1"/>
  <c r="D200" i="1"/>
  <c r="B200" i="1"/>
  <c r="I199" i="1"/>
  <c r="H199" i="1"/>
  <c r="F199" i="1"/>
  <c r="D199" i="1"/>
  <c r="B199" i="1"/>
  <c r="I198" i="1"/>
  <c r="H198" i="1" s="1"/>
  <c r="F198" i="1"/>
  <c r="D198" i="1"/>
  <c r="B198" i="1"/>
  <c r="I197" i="1"/>
  <c r="H197" i="1" s="1"/>
  <c r="F197" i="1"/>
  <c r="D197" i="1"/>
  <c r="B197" i="1"/>
  <c r="I196" i="1"/>
  <c r="H196" i="1"/>
  <c r="F196" i="1"/>
  <c r="D196" i="1"/>
  <c r="L196" i="1" s="1"/>
  <c r="B196" i="1"/>
  <c r="I195" i="1"/>
  <c r="F195" i="1"/>
  <c r="D195" i="1"/>
  <c r="B195" i="1"/>
  <c r="I194" i="1"/>
  <c r="F194" i="1"/>
  <c r="D194" i="1"/>
  <c r="B194" i="1"/>
  <c r="L193" i="1"/>
  <c r="I193" i="1"/>
  <c r="H193" i="1" s="1"/>
  <c r="F193" i="1"/>
  <c r="D193" i="1"/>
  <c r="B193" i="1"/>
  <c r="I192" i="1"/>
  <c r="H192" i="1"/>
  <c r="F192" i="1"/>
  <c r="D192" i="1"/>
  <c r="B192" i="1"/>
  <c r="I191" i="1"/>
  <c r="F191" i="1"/>
  <c r="D191" i="1"/>
  <c r="B191" i="1"/>
  <c r="I190" i="1"/>
  <c r="H190" i="1" s="1"/>
  <c r="F190" i="1"/>
  <c r="D190" i="1"/>
  <c r="B190" i="1"/>
  <c r="I189" i="1"/>
  <c r="H189" i="1" s="1"/>
  <c r="F189" i="1"/>
  <c r="D189" i="1"/>
  <c r="B189" i="1"/>
  <c r="I188" i="1"/>
  <c r="H188" i="1"/>
  <c r="F188" i="1"/>
  <c r="D188" i="1"/>
  <c r="B188" i="1"/>
  <c r="I187" i="1"/>
  <c r="H187" i="1"/>
  <c r="F187" i="1"/>
  <c r="D187" i="1"/>
  <c r="B187" i="1"/>
  <c r="I186" i="1"/>
  <c r="F186" i="1"/>
  <c r="D186" i="1"/>
  <c r="B186" i="1"/>
  <c r="I185" i="1"/>
  <c r="H185" i="1" s="1"/>
  <c r="F185" i="1"/>
  <c r="D185" i="1"/>
  <c r="B185" i="1"/>
  <c r="I184" i="1"/>
  <c r="H184" i="1"/>
  <c r="F184" i="1"/>
  <c r="D184" i="1"/>
  <c r="L184" i="1" s="1"/>
  <c r="B184" i="1"/>
  <c r="I183" i="1"/>
  <c r="H183" i="1"/>
  <c r="F183" i="1"/>
  <c r="D183" i="1"/>
  <c r="B183" i="1"/>
  <c r="I182" i="1"/>
  <c r="F182" i="1"/>
  <c r="D182" i="1"/>
  <c r="B182" i="1"/>
  <c r="I181" i="1"/>
  <c r="H181" i="1" s="1"/>
  <c r="F181" i="1"/>
  <c r="D181" i="1"/>
  <c r="B181" i="1"/>
  <c r="I180" i="1"/>
  <c r="H180" i="1"/>
  <c r="F180" i="1"/>
  <c r="D180" i="1"/>
  <c r="B180" i="1"/>
  <c r="I179" i="1"/>
  <c r="F179" i="1"/>
  <c r="D179" i="1"/>
  <c r="B179" i="1"/>
  <c r="I178" i="1"/>
  <c r="H178" i="1" s="1"/>
  <c r="F178" i="1"/>
  <c r="D178" i="1"/>
  <c r="B178" i="1"/>
  <c r="I177" i="1"/>
  <c r="H177" i="1" s="1"/>
  <c r="F177" i="1"/>
  <c r="D177" i="1"/>
  <c r="B177" i="1"/>
  <c r="I176" i="1"/>
  <c r="H176" i="1"/>
  <c r="F176" i="1"/>
  <c r="D176" i="1"/>
  <c r="L176" i="1" s="1"/>
  <c r="B176" i="1"/>
  <c r="I175" i="1"/>
  <c r="F175" i="1"/>
  <c r="D175" i="1"/>
  <c r="B175" i="1"/>
  <c r="I174" i="1"/>
  <c r="H175" i="1" s="1"/>
  <c r="F174" i="1"/>
  <c r="D174" i="1"/>
  <c r="B174" i="1"/>
  <c r="L173" i="1"/>
  <c r="I173" i="1"/>
  <c r="H173" i="1" s="1"/>
  <c r="F173" i="1"/>
  <c r="D173" i="1"/>
  <c r="B173" i="1"/>
  <c r="I172" i="1"/>
  <c r="H172" i="1"/>
  <c r="F172" i="1"/>
  <c r="D172" i="1"/>
  <c r="L172" i="1" s="1"/>
  <c r="B172" i="1"/>
  <c r="I171" i="1"/>
  <c r="F171" i="1"/>
  <c r="D171" i="1"/>
  <c r="B171" i="1"/>
  <c r="I170" i="1"/>
  <c r="F170" i="1"/>
  <c r="D170" i="1"/>
  <c r="B170" i="1"/>
  <c r="I169" i="1"/>
  <c r="H169" i="1" s="1"/>
  <c r="F169" i="1"/>
  <c r="D169" i="1"/>
  <c r="B169" i="1"/>
  <c r="I168" i="1"/>
  <c r="H168" i="1"/>
  <c r="F168" i="1"/>
  <c r="D168" i="1"/>
  <c r="B168" i="1"/>
  <c r="I167" i="1"/>
  <c r="H167" i="1"/>
  <c r="F167" i="1"/>
  <c r="D167" i="1"/>
  <c r="B167" i="1"/>
  <c r="I166" i="1"/>
  <c r="H166" i="1" s="1"/>
  <c r="F166" i="1"/>
  <c r="D166" i="1"/>
  <c r="B166" i="1"/>
  <c r="I165" i="1"/>
  <c r="H165" i="1" s="1"/>
  <c r="F165" i="1"/>
  <c r="D165" i="1"/>
  <c r="B165" i="1"/>
  <c r="I164" i="1"/>
  <c r="H164" i="1"/>
  <c r="F164" i="1"/>
  <c r="D164" i="1"/>
  <c r="L164" i="1" s="1"/>
  <c r="B164" i="1"/>
  <c r="I163" i="1"/>
  <c r="F163" i="1"/>
  <c r="D163" i="1"/>
  <c r="B163" i="1"/>
  <c r="I162" i="1"/>
  <c r="F162" i="1"/>
  <c r="D162" i="1"/>
  <c r="B162" i="1"/>
  <c r="L161" i="1"/>
  <c r="I161" i="1"/>
  <c r="H161" i="1" s="1"/>
  <c r="F161" i="1"/>
  <c r="D161" i="1"/>
  <c r="B161" i="1"/>
  <c r="I160" i="1"/>
  <c r="H160" i="1"/>
  <c r="F160" i="1"/>
  <c r="D160" i="1"/>
  <c r="B160" i="1"/>
  <c r="I159" i="1"/>
  <c r="F159" i="1"/>
  <c r="D159" i="1"/>
  <c r="B159" i="1"/>
  <c r="I158" i="1"/>
  <c r="H158" i="1" s="1"/>
  <c r="F158" i="1"/>
  <c r="D158" i="1"/>
  <c r="B158" i="1"/>
  <c r="I157" i="1"/>
  <c r="H157" i="1" s="1"/>
  <c r="F157" i="1"/>
  <c r="D157" i="1"/>
  <c r="B157" i="1"/>
  <c r="I156" i="1"/>
  <c r="H156" i="1"/>
  <c r="F156" i="1"/>
  <c r="D156" i="1"/>
  <c r="B156" i="1"/>
  <c r="I155" i="1"/>
  <c r="H155" i="1"/>
  <c r="F155" i="1"/>
  <c r="D155" i="1"/>
  <c r="B155" i="1"/>
  <c r="I154" i="1"/>
  <c r="F154" i="1"/>
  <c r="D154" i="1"/>
  <c r="B154" i="1"/>
  <c r="I153" i="1"/>
  <c r="H153" i="1" s="1"/>
  <c r="F153" i="1"/>
  <c r="D153" i="1"/>
  <c r="B153" i="1"/>
  <c r="I152" i="1"/>
  <c r="H152" i="1"/>
  <c r="F152" i="1"/>
  <c r="D152" i="1"/>
  <c r="L152" i="1" s="1"/>
  <c r="B152" i="1"/>
  <c r="I151" i="1"/>
  <c r="H151" i="1"/>
  <c r="F151" i="1"/>
  <c r="D151" i="1"/>
  <c r="B151" i="1"/>
  <c r="I150" i="1"/>
  <c r="F150" i="1"/>
  <c r="D150" i="1"/>
  <c r="B150" i="1"/>
  <c r="I149" i="1"/>
  <c r="H149" i="1" s="1"/>
  <c r="F149" i="1"/>
  <c r="D149" i="1"/>
  <c r="B149" i="1"/>
  <c r="I148" i="1"/>
  <c r="H148" i="1"/>
  <c r="F148" i="1"/>
  <c r="D148" i="1"/>
  <c r="B148" i="1"/>
  <c r="I147" i="1"/>
  <c r="F147" i="1"/>
  <c r="D147" i="1"/>
  <c r="B147" i="1"/>
  <c r="I146" i="1"/>
  <c r="H146" i="1" s="1"/>
  <c r="F146" i="1"/>
  <c r="D146" i="1"/>
  <c r="B146" i="1"/>
  <c r="I145" i="1"/>
  <c r="H145" i="1" s="1"/>
  <c r="F145" i="1"/>
  <c r="D145" i="1"/>
  <c r="B145" i="1"/>
  <c r="I144" i="1"/>
  <c r="H144" i="1"/>
  <c r="F144" i="1"/>
  <c r="D144" i="1"/>
  <c r="L144" i="1" s="1"/>
  <c r="B144" i="1"/>
  <c r="I143" i="1"/>
  <c r="F143" i="1"/>
  <c r="D143" i="1"/>
  <c r="B143" i="1"/>
  <c r="I142" i="1"/>
  <c r="H143" i="1" s="1"/>
  <c r="F142" i="1"/>
  <c r="D142" i="1"/>
  <c r="B142" i="1"/>
  <c r="L141" i="1"/>
  <c r="I141" i="1"/>
  <c r="H141" i="1" s="1"/>
  <c r="F141" i="1"/>
  <c r="D141" i="1"/>
  <c r="B141" i="1"/>
  <c r="I140" i="1"/>
  <c r="H140" i="1"/>
  <c r="F140" i="1"/>
  <c r="D140" i="1"/>
  <c r="L140" i="1" s="1"/>
  <c r="B140" i="1"/>
  <c r="I139" i="1"/>
  <c r="F139" i="1"/>
  <c r="D139" i="1"/>
  <c r="B139" i="1"/>
  <c r="I138" i="1"/>
  <c r="F138" i="1"/>
  <c r="D138" i="1"/>
  <c r="B138" i="1"/>
  <c r="I137" i="1"/>
  <c r="H137" i="1" s="1"/>
  <c r="F137" i="1"/>
  <c r="D137" i="1"/>
  <c r="B137" i="1"/>
  <c r="I136" i="1"/>
  <c r="H136" i="1"/>
  <c r="F136" i="1"/>
  <c r="D136" i="1"/>
  <c r="B136" i="1"/>
  <c r="I135" i="1"/>
  <c r="H135" i="1"/>
  <c r="F135" i="1"/>
  <c r="D135" i="1"/>
  <c r="B135" i="1"/>
  <c r="I134" i="1"/>
  <c r="H134" i="1" s="1"/>
  <c r="F134" i="1"/>
  <c r="D134" i="1"/>
  <c r="B134" i="1"/>
  <c r="I133" i="1"/>
  <c r="H133" i="1" s="1"/>
  <c r="F133" i="1"/>
  <c r="D133" i="1"/>
  <c r="B133" i="1"/>
  <c r="I132" i="1"/>
  <c r="H132" i="1"/>
  <c r="F132" i="1"/>
  <c r="D132" i="1"/>
  <c r="B132" i="1"/>
  <c r="I131" i="1"/>
  <c r="F131" i="1"/>
  <c r="D131" i="1"/>
  <c r="B131" i="1"/>
  <c r="I130" i="1"/>
  <c r="F130" i="1"/>
  <c r="D130" i="1"/>
  <c r="B130" i="1"/>
  <c r="I129" i="1"/>
  <c r="H129" i="1" s="1"/>
  <c r="F129" i="1"/>
  <c r="D129" i="1"/>
  <c r="B129" i="1"/>
  <c r="I128" i="1"/>
  <c r="F128" i="1"/>
  <c r="D128" i="1"/>
  <c r="B128" i="1"/>
  <c r="I127" i="1"/>
  <c r="H128" i="1" s="1"/>
  <c r="F127" i="1"/>
  <c r="D127" i="1"/>
  <c r="L127" i="1" s="1"/>
  <c r="B127" i="1"/>
  <c r="I126" i="1"/>
  <c r="H126" i="1" s="1"/>
  <c r="F126" i="1"/>
  <c r="D126" i="1"/>
  <c r="L126" i="1" s="1"/>
  <c r="B126" i="1"/>
  <c r="I125" i="1"/>
  <c r="H125" i="1"/>
  <c r="F125" i="1"/>
  <c r="D125" i="1"/>
  <c r="B125" i="1"/>
  <c r="L124" i="1"/>
  <c r="I124" i="1"/>
  <c r="H124" i="1"/>
  <c r="F124" i="1"/>
  <c r="D124" i="1"/>
  <c r="B124" i="1"/>
  <c r="I123" i="1"/>
  <c r="F123" i="1"/>
  <c r="D123" i="1"/>
  <c r="L129" i="1" s="1"/>
  <c r="B123" i="1"/>
  <c r="I122" i="1"/>
  <c r="H123" i="1" s="1"/>
  <c r="H122" i="1"/>
  <c r="F122" i="1"/>
  <c r="D122" i="1"/>
  <c r="L122" i="1" s="1"/>
  <c r="B122" i="1"/>
  <c r="L121" i="1"/>
  <c r="I121" i="1"/>
  <c r="H121" i="1"/>
  <c r="F121" i="1"/>
  <c r="D121" i="1"/>
  <c r="B121" i="1"/>
  <c r="I120" i="1"/>
  <c r="H120" i="1"/>
  <c r="F120" i="1"/>
  <c r="D120" i="1"/>
  <c r="B120" i="1"/>
  <c r="I119" i="1"/>
  <c r="F119" i="1"/>
  <c r="D119" i="1"/>
  <c r="B119" i="1"/>
  <c r="L118" i="1"/>
  <c r="I118" i="1"/>
  <c r="H119" i="1" s="1"/>
  <c r="F118" i="1"/>
  <c r="D118" i="1"/>
  <c r="B118" i="1"/>
  <c r="I117" i="1"/>
  <c r="H118" i="1" s="1"/>
  <c r="F117" i="1"/>
  <c r="D117" i="1"/>
  <c r="L117" i="1" s="1"/>
  <c r="B117" i="1"/>
  <c r="I116" i="1"/>
  <c r="H116" i="1"/>
  <c r="F116" i="1"/>
  <c r="D116" i="1"/>
  <c r="B116" i="1"/>
  <c r="I115" i="1"/>
  <c r="F115" i="1"/>
  <c r="D115" i="1"/>
  <c r="B115" i="1"/>
  <c r="L114" i="1"/>
  <c r="I114" i="1"/>
  <c r="H115" i="1" s="1"/>
  <c r="F114" i="1"/>
  <c r="D114" i="1"/>
  <c r="B114" i="1"/>
  <c r="I113" i="1"/>
  <c r="H114" i="1" s="1"/>
  <c r="F113" i="1"/>
  <c r="D113" i="1"/>
  <c r="L113" i="1" s="1"/>
  <c r="B113" i="1"/>
  <c r="I112" i="1"/>
  <c r="H112" i="1"/>
  <c r="F112" i="1"/>
  <c r="D112" i="1"/>
  <c r="B112" i="1"/>
  <c r="I111" i="1"/>
  <c r="F111" i="1"/>
  <c r="D111" i="1"/>
  <c r="B111" i="1"/>
  <c r="L110" i="1"/>
  <c r="I110" i="1"/>
  <c r="H111" i="1" s="1"/>
  <c r="F110" i="1"/>
  <c r="D110" i="1"/>
  <c r="B110" i="1"/>
  <c r="I109" i="1"/>
  <c r="H109" i="1" s="1"/>
  <c r="F109" i="1"/>
  <c r="D109" i="1"/>
  <c r="L109" i="1" s="1"/>
  <c r="B109" i="1"/>
  <c r="I108" i="1"/>
  <c r="H108" i="1"/>
  <c r="F108" i="1"/>
  <c r="D108" i="1"/>
  <c r="B108" i="1"/>
  <c r="I107" i="1"/>
  <c r="F107" i="1"/>
  <c r="D107" i="1"/>
  <c r="B107" i="1"/>
  <c r="L106" i="1"/>
  <c r="I106" i="1"/>
  <c r="H107" i="1" s="1"/>
  <c r="F106" i="1"/>
  <c r="D106" i="1"/>
  <c r="B106" i="1"/>
  <c r="I105" i="1"/>
  <c r="H106" i="1" s="1"/>
  <c r="F105" i="1"/>
  <c r="D105" i="1"/>
  <c r="L105" i="1" s="1"/>
  <c r="B105" i="1"/>
  <c r="I104" i="1"/>
  <c r="H104" i="1"/>
  <c r="F104" i="1"/>
  <c r="D104" i="1"/>
  <c r="B104" i="1"/>
  <c r="I103" i="1"/>
  <c r="F103" i="1"/>
  <c r="D103" i="1"/>
  <c r="B103" i="1"/>
  <c r="L102" i="1"/>
  <c r="I102" i="1"/>
  <c r="H103" i="1" s="1"/>
  <c r="F102" i="1"/>
  <c r="D102" i="1"/>
  <c r="B102" i="1"/>
  <c r="I101" i="1"/>
  <c r="H102" i="1" s="1"/>
  <c r="F101" i="1"/>
  <c r="D101" i="1"/>
  <c r="L101" i="1" s="1"/>
  <c r="B101" i="1"/>
  <c r="I100" i="1"/>
  <c r="H100" i="1"/>
  <c r="F100" i="1"/>
  <c r="D100" i="1"/>
  <c r="B100" i="1"/>
  <c r="I99" i="1"/>
  <c r="F99" i="1"/>
  <c r="D99" i="1"/>
  <c r="B99" i="1"/>
  <c r="L98" i="1"/>
  <c r="I98" i="1"/>
  <c r="H99" i="1" s="1"/>
  <c r="F98" i="1"/>
  <c r="D98" i="1"/>
  <c r="B98" i="1"/>
  <c r="I97" i="1"/>
  <c r="H98" i="1" s="1"/>
  <c r="F97" i="1"/>
  <c r="D97" i="1"/>
  <c r="B97" i="1"/>
  <c r="I96" i="1"/>
  <c r="H96" i="1"/>
  <c r="F96" i="1"/>
  <c r="D96" i="1"/>
  <c r="B96" i="1"/>
  <c r="I95" i="1"/>
  <c r="F95" i="1"/>
  <c r="D95" i="1"/>
  <c r="B95" i="1"/>
  <c r="L94" i="1"/>
  <c r="I94" i="1"/>
  <c r="H95" i="1" s="1"/>
  <c r="F94" i="1"/>
  <c r="D94" i="1"/>
  <c r="B94" i="1"/>
  <c r="I93" i="1"/>
  <c r="H93" i="1" s="1"/>
  <c r="F93" i="1"/>
  <c r="D93" i="1"/>
  <c r="L93" i="1" s="1"/>
  <c r="B93" i="1"/>
  <c r="I92" i="1"/>
  <c r="H92" i="1"/>
  <c r="F92" i="1"/>
  <c r="D92" i="1"/>
  <c r="B92" i="1"/>
  <c r="I91" i="1"/>
  <c r="F91" i="1"/>
  <c r="D91" i="1"/>
  <c r="B91" i="1"/>
  <c r="L90" i="1"/>
  <c r="I90" i="1"/>
  <c r="H91" i="1" s="1"/>
  <c r="F90" i="1"/>
  <c r="D90" i="1"/>
  <c r="B90" i="1"/>
  <c r="I89" i="1"/>
  <c r="H89" i="1" s="1"/>
  <c r="F89" i="1"/>
  <c r="D89" i="1"/>
  <c r="L89" i="1" s="1"/>
  <c r="B89" i="1"/>
  <c r="I88" i="1"/>
  <c r="H88" i="1"/>
  <c r="F88" i="1"/>
  <c r="D88" i="1"/>
  <c r="B88" i="1"/>
  <c r="I87" i="1"/>
  <c r="F87" i="1"/>
  <c r="D87" i="1"/>
  <c r="B87" i="1"/>
  <c r="L86" i="1"/>
  <c r="I86" i="1"/>
  <c r="H87" i="1" s="1"/>
  <c r="F86" i="1"/>
  <c r="D86" i="1"/>
  <c r="B86" i="1"/>
  <c r="I85" i="1"/>
  <c r="H86" i="1" s="1"/>
  <c r="F85" i="1"/>
  <c r="D85" i="1"/>
  <c r="B85" i="1"/>
  <c r="I84" i="1"/>
  <c r="H84" i="1"/>
  <c r="F84" i="1"/>
  <c r="D84" i="1"/>
  <c r="B84" i="1"/>
  <c r="I83" i="1"/>
  <c r="F83" i="1"/>
  <c r="D83" i="1"/>
  <c r="B83" i="1"/>
  <c r="L82" i="1"/>
  <c r="I82" i="1"/>
  <c r="H83" i="1" s="1"/>
  <c r="F82" i="1"/>
  <c r="D82" i="1"/>
  <c r="B82" i="1"/>
  <c r="I81" i="1"/>
  <c r="H81" i="1" s="1"/>
  <c r="F81" i="1"/>
  <c r="D81" i="1"/>
  <c r="C81" i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B81" i="1"/>
  <c r="I80" i="1"/>
  <c r="H80" i="1"/>
  <c r="F80" i="1"/>
  <c r="D80" i="1"/>
  <c r="C80" i="1"/>
  <c r="B80" i="1"/>
  <c r="I79" i="1"/>
  <c r="F79" i="1"/>
  <c r="D79" i="1"/>
  <c r="C79" i="1"/>
  <c r="B79" i="1"/>
  <c r="I78" i="1"/>
  <c r="H79" i="1" s="1"/>
  <c r="H78" i="1"/>
  <c r="F78" i="1"/>
  <c r="D78" i="1"/>
  <c r="L83" i="1" s="1"/>
  <c r="B78" i="1"/>
  <c r="I77" i="1"/>
  <c r="F77" i="1"/>
  <c r="D77" i="1"/>
  <c r="B77" i="1"/>
  <c r="I76" i="1"/>
  <c r="H76" i="1" s="1"/>
  <c r="F76" i="1"/>
  <c r="D76" i="1"/>
  <c r="B76" i="1"/>
  <c r="I75" i="1"/>
  <c r="H75" i="1" s="1"/>
  <c r="F75" i="1"/>
  <c r="D75" i="1"/>
  <c r="B75" i="1"/>
  <c r="L74" i="1"/>
  <c r="I74" i="1"/>
  <c r="F74" i="1"/>
  <c r="D74" i="1"/>
  <c r="B74" i="1"/>
  <c r="I73" i="1"/>
  <c r="H73" i="1" s="1"/>
  <c r="F73" i="1"/>
  <c r="D73" i="1"/>
  <c r="B73" i="1"/>
  <c r="I72" i="1"/>
  <c r="H72" i="1"/>
  <c r="F72" i="1"/>
  <c r="D72" i="1"/>
  <c r="B72" i="1"/>
  <c r="I71" i="1"/>
  <c r="H71" i="1"/>
  <c r="F71" i="1"/>
  <c r="D71" i="1"/>
  <c r="L71" i="1" s="1"/>
  <c r="B71" i="1"/>
  <c r="I70" i="1"/>
  <c r="F70" i="1"/>
  <c r="D70" i="1"/>
  <c r="B70" i="1"/>
  <c r="I69" i="1"/>
  <c r="H70" i="1" s="1"/>
  <c r="H69" i="1"/>
  <c r="F69" i="1"/>
  <c r="D69" i="1"/>
  <c r="B69" i="1"/>
  <c r="I68" i="1"/>
  <c r="H68" i="1"/>
  <c r="F68" i="1"/>
  <c r="D68" i="1"/>
  <c r="B68" i="1"/>
  <c r="I67" i="1"/>
  <c r="H67" i="1" s="1"/>
  <c r="F67" i="1"/>
  <c r="D67" i="1"/>
  <c r="B67" i="1"/>
  <c r="I66" i="1"/>
  <c r="F66" i="1"/>
  <c r="D66" i="1"/>
  <c r="B66" i="1"/>
  <c r="I65" i="1"/>
  <c r="H65" i="1" s="1"/>
  <c r="F65" i="1"/>
  <c r="D65" i="1"/>
  <c r="B65" i="1"/>
  <c r="I64" i="1"/>
  <c r="H64" i="1"/>
  <c r="F64" i="1"/>
  <c r="D64" i="1"/>
  <c r="L67" i="1" s="1"/>
  <c r="B64" i="1"/>
  <c r="I63" i="1"/>
  <c r="F63" i="1"/>
  <c r="D63" i="1"/>
  <c r="B63" i="1"/>
  <c r="I62" i="1"/>
  <c r="H63" i="1" s="1"/>
  <c r="H62" i="1"/>
  <c r="F62" i="1"/>
  <c r="D62" i="1"/>
  <c r="L62" i="1" s="1"/>
  <c r="B62" i="1"/>
  <c r="I61" i="1"/>
  <c r="F61" i="1"/>
  <c r="D61" i="1"/>
  <c r="B61" i="1"/>
  <c r="I60" i="1"/>
  <c r="H60" i="1" s="1"/>
  <c r="F60" i="1"/>
  <c r="D60" i="1"/>
  <c r="B60" i="1"/>
  <c r="I59" i="1"/>
  <c r="H59" i="1" s="1"/>
  <c r="F59" i="1"/>
  <c r="D59" i="1"/>
  <c r="B59" i="1"/>
  <c r="I58" i="1"/>
  <c r="H58" i="1"/>
  <c r="F58" i="1"/>
  <c r="D58" i="1"/>
  <c r="B58" i="1"/>
  <c r="I57" i="1"/>
  <c r="H57" i="1" s="1"/>
  <c r="F57" i="1"/>
  <c r="D57" i="1"/>
  <c r="B57" i="1"/>
  <c r="L56" i="1"/>
  <c r="I56" i="1"/>
  <c r="F56" i="1"/>
  <c r="D56" i="1"/>
  <c r="B56" i="1"/>
  <c r="I55" i="1"/>
  <c r="H56" i="1" s="1"/>
  <c r="H55" i="1"/>
  <c r="F55" i="1"/>
  <c r="D55" i="1"/>
  <c r="L55" i="1" s="1"/>
  <c r="B55" i="1"/>
  <c r="I54" i="1"/>
  <c r="H54" i="1"/>
  <c r="F54" i="1"/>
  <c r="D54" i="1"/>
  <c r="B54" i="1"/>
  <c r="I53" i="1"/>
  <c r="H53" i="1"/>
  <c r="F53" i="1"/>
  <c r="D53" i="1"/>
  <c r="L53" i="1" s="1"/>
  <c r="B53" i="1"/>
  <c r="I52" i="1"/>
  <c r="F52" i="1"/>
  <c r="D52" i="1"/>
  <c r="B52" i="1"/>
  <c r="I51" i="1"/>
  <c r="H51" i="1" s="1"/>
  <c r="F51" i="1"/>
  <c r="D51" i="1"/>
  <c r="B51" i="1"/>
  <c r="I50" i="1"/>
  <c r="H50" i="1"/>
  <c r="F50" i="1"/>
  <c r="D50" i="1"/>
  <c r="B50" i="1"/>
  <c r="I49" i="1"/>
  <c r="F49" i="1"/>
  <c r="D49" i="1"/>
  <c r="B49" i="1"/>
  <c r="I48" i="1"/>
  <c r="H48" i="1" s="1"/>
  <c r="F48" i="1"/>
  <c r="D48" i="1"/>
  <c r="B48" i="1"/>
  <c r="I47" i="1"/>
  <c r="H47" i="1" s="1"/>
  <c r="F47" i="1"/>
  <c r="D47" i="1"/>
  <c r="B47" i="1"/>
  <c r="I46" i="1"/>
  <c r="H46" i="1" s="1"/>
  <c r="F46" i="1"/>
  <c r="D46" i="1"/>
  <c r="B46" i="1"/>
  <c r="I45" i="1"/>
  <c r="H45" i="1"/>
  <c r="F45" i="1"/>
  <c r="D45" i="1"/>
  <c r="B45" i="1"/>
  <c r="I44" i="1"/>
  <c r="F44" i="1"/>
  <c r="D44" i="1"/>
  <c r="B44" i="1"/>
  <c r="I43" i="1"/>
  <c r="H44" i="1" s="1"/>
  <c r="F43" i="1"/>
  <c r="D43" i="1"/>
  <c r="B43" i="1"/>
  <c r="I42" i="1"/>
  <c r="F42" i="1"/>
  <c r="D42" i="1"/>
  <c r="B42" i="1"/>
  <c r="I41" i="1"/>
  <c r="H42" i="1" s="1"/>
  <c r="F41" i="1"/>
  <c r="D41" i="1"/>
  <c r="L41" i="1" s="1"/>
  <c r="B41" i="1"/>
  <c r="I40" i="1"/>
  <c r="H41" i="1" s="1"/>
  <c r="F40" i="1"/>
  <c r="D40" i="1"/>
  <c r="B40" i="1"/>
  <c r="I39" i="1"/>
  <c r="H40" i="1" s="1"/>
  <c r="F39" i="1"/>
  <c r="D39" i="1"/>
  <c r="L39" i="1" s="1"/>
  <c r="B39" i="1"/>
  <c r="I38" i="1"/>
  <c r="F38" i="1"/>
  <c r="D38" i="1"/>
  <c r="B38" i="1"/>
  <c r="I37" i="1"/>
  <c r="H38" i="1" s="1"/>
  <c r="F37" i="1"/>
  <c r="D37" i="1"/>
  <c r="B37" i="1"/>
  <c r="I36" i="1"/>
  <c r="H37" i="1" s="1"/>
  <c r="F36" i="1"/>
  <c r="D36" i="1"/>
  <c r="B36" i="1"/>
  <c r="I35" i="1"/>
  <c r="H35" i="1" s="1"/>
  <c r="F35" i="1"/>
  <c r="D35" i="1"/>
  <c r="B35" i="1"/>
  <c r="I34" i="1"/>
  <c r="F34" i="1"/>
  <c r="D34" i="1"/>
  <c r="B34" i="1"/>
  <c r="I33" i="1"/>
  <c r="H34" i="1" s="1"/>
  <c r="F33" i="1"/>
  <c r="D33" i="1"/>
  <c r="L33" i="1" s="1"/>
  <c r="B33" i="1"/>
  <c r="I32" i="1"/>
  <c r="H33" i="1" s="1"/>
  <c r="F32" i="1"/>
  <c r="D32" i="1"/>
  <c r="B32" i="1"/>
  <c r="I31" i="1"/>
  <c r="H32" i="1" s="1"/>
  <c r="F31" i="1"/>
  <c r="D31" i="1"/>
  <c r="L31" i="1" s="1"/>
  <c r="B31" i="1"/>
  <c r="I30" i="1"/>
  <c r="F30" i="1"/>
  <c r="D30" i="1"/>
  <c r="B30" i="1"/>
  <c r="I29" i="1"/>
  <c r="H30" i="1" s="1"/>
  <c r="H29" i="1"/>
  <c r="F29" i="1"/>
  <c r="D29" i="1"/>
  <c r="B29" i="1"/>
  <c r="I28" i="1"/>
  <c r="F28" i="1"/>
  <c r="D28" i="1"/>
  <c r="B28" i="1"/>
  <c r="I27" i="1"/>
  <c r="H28" i="1" s="1"/>
  <c r="F27" i="1"/>
  <c r="D27" i="1"/>
  <c r="B27" i="1"/>
  <c r="I26" i="1"/>
  <c r="F26" i="1"/>
  <c r="D26" i="1"/>
  <c r="B26" i="1"/>
  <c r="I25" i="1"/>
  <c r="H26" i="1" s="1"/>
  <c r="F25" i="1"/>
  <c r="D25" i="1"/>
  <c r="L25" i="1" s="1"/>
  <c r="B25" i="1"/>
  <c r="I24" i="1"/>
  <c r="H25" i="1" s="1"/>
  <c r="H24" i="1"/>
  <c r="F24" i="1"/>
  <c r="D24" i="1"/>
  <c r="B24" i="1"/>
  <c r="I23" i="1"/>
  <c r="H23" i="1" s="1"/>
  <c r="F23" i="1"/>
  <c r="D23" i="1"/>
  <c r="L23" i="1" s="1"/>
  <c r="B23" i="1"/>
  <c r="I22" i="1"/>
  <c r="F22" i="1"/>
  <c r="D22" i="1"/>
  <c r="B22" i="1"/>
  <c r="I21" i="1"/>
  <c r="H22" i="1" s="1"/>
  <c r="F21" i="1"/>
  <c r="D21" i="1"/>
  <c r="B21" i="1"/>
  <c r="I20" i="1"/>
  <c r="H21" i="1" s="1"/>
  <c r="F20" i="1"/>
  <c r="D20" i="1"/>
  <c r="B20" i="1"/>
  <c r="I19" i="1"/>
  <c r="H19" i="1" s="1"/>
  <c r="F19" i="1"/>
  <c r="D19" i="1"/>
  <c r="B19" i="1"/>
  <c r="I18" i="1"/>
  <c r="F18" i="1"/>
  <c r="D18" i="1"/>
  <c r="B18" i="1"/>
  <c r="I17" i="1"/>
  <c r="H18" i="1" s="1"/>
  <c r="F17" i="1"/>
  <c r="D17" i="1"/>
  <c r="L17" i="1" s="1"/>
  <c r="B17" i="1"/>
  <c r="S16" i="1"/>
  <c r="I16" i="1"/>
  <c r="H17" i="1" s="1"/>
  <c r="H16" i="1"/>
  <c r="F16" i="1"/>
  <c r="D16" i="1"/>
  <c r="B16" i="1"/>
  <c r="R15" i="1"/>
  <c r="L15" i="1"/>
  <c r="I15" i="1"/>
  <c r="H15" i="1"/>
  <c r="F15" i="1"/>
  <c r="D15" i="1"/>
  <c r="B15" i="1"/>
  <c r="I14" i="1"/>
  <c r="F14" i="1"/>
  <c r="D14" i="1"/>
  <c r="B14" i="1"/>
  <c r="I13" i="1"/>
  <c r="H14" i="1" s="1"/>
  <c r="F13" i="1"/>
  <c r="D13" i="1"/>
  <c r="B13" i="1"/>
  <c r="I12" i="1"/>
  <c r="H12" i="1" s="1"/>
  <c r="F12" i="1"/>
  <c r="D12" i="1"/>
  <c r="B12" i="1"/>
  <c r="I11" i="1"/>
  <c r="F11" i="1"/>
  <c r="D11" i="1"/>
  <c r="B11" i="1"/>
  <c r="I10" i="1"/>
  <c r="H11" i="1" s="1"/>
  <c r="H10" i="1"/>
  <c r="F10" i="1"/>
  <c r="D10" i="1"/>
  <c r="B10" i="1"/>
  <c r="I9" i="1"/>
  <c r="F9" i="1"/>
  <c r="D9" i="1"/>
  <c r="B9" i="1"/>
  <c r="I8" i="1"/>
  <c r="H9" i="1" s="1"/>
  <c r="F8" i="1"/>
  <c r="D8" i="1"/>
  <c r="B8" i="1"/>
  <c r="I7" i="1"/>
  <c r="H8" i="1" s="1"/>
  <c r="F7" i="1"/>
  <c r="D7" i="1"/>
  <c r="B7" i="1"/>
  <c r="I6" i="1"/>
  <c r="H6" i="1" s="1"/>
  <c r="F6" i="1"/>
  <c r="D6" i="1"/>
  <c r="B6" i="1"/>
  <c r="I5" i="1"/>
  <c r="F5" i="1"/>
  <c r="D5" i="1"/>
  <c r="B5" i="1"/>
  <c r="I4" i="1"/>
  <c r="H5" i="1" s="1"/>
  <c r="H4" i="1"/>
  <c r="G4" i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F4" i="1"/>
  <c r="D4" i="1"/>
  <c r="B4" i="1"/>
  <c r="I3" i="1"/>
  <c r="K3" i="1" s="1"/>
  <c r="J3" i="1" s="1"/>
  <c r="F3" i="1"/>
  <c r="Y127" i="1" s="1"/>
  <c r="D3" i="1"/>
  <c r="W126" i="1" s="1"/>
  <c r="B3" i="1"/>
  <c r="Y2" i="1"/>
  <c r="AH127" i="1"/>
  <c r="AJ124" i="1"/>
  <c r="AJ125" i="1"/>
  <c r="AH123" i="1"/>
  <c r="AJ126" i="1"/>
  <c r="AH125" i="1"/>
  <c r="AH124" i="1"/>
  <c r="AH126" i="1"/>
  <c r="AJ127" i="1"/>
  <c r="AJ121" i="1"/>
  <c r="AJ122" i="1"/>
  <c r="AH121" i="1"/>
  <c r="AJ123" i="1"/>
  <c r="AH122" i="1"/>
  <c r="AI290" i="6" l="1"/>
  <c r="AT290" i="2" s="1"/>
  <c r="AY290" i="6"/>
  <c r="BV290" i="2" s="1"/>
  <c r="BX292" i="2" s="1"/>
  <c r="BL291" i="6"/>
  <c r="L294" i="6"/>
  <c r="S295" i="6"/>
  <c r="R295" i="2" s="1"/>
  <c r="BK295" i="6"/>
  <c r="CQ295" i="2" s="1"/>
  <c r="W296" i="6"/>
  <c r="Y296" i="2" s="1"/>
  <c r="AM296" i="6"/>
  <c r="BA296" i="2" s="1"/>
  <c r="AI298" i="6"/>
  <c r="BO298" i="6"/>
  <c r="BP290" i="6"/>
  <c r="AY291" i="6"/>
  <c r="BV291" i="2" s="1"/>
  <c r="AB294" i="6"/>
  <c r="BL295" i="6"/>
  <c r="AM297" i="6"/>
  <c r="BP296" i="6"/>
  <c r="T298" i="6"/>
  <c r="AE299" i="6"/>
  <c r="BK299" i="6"/>
  <c r="BG290" i="6"/>
  <c r="CJ290" i="2" s="1"/>
  <c r="CL290" i="2" s="1"/>
  <c r="W290" i="6"/>
  <c r="Y290" i="2" s="1"/>
  <c r="BC290" i="6"/>
  <c r="CC290" i="2" s="1"/>
  <c r="BK297" i="6"/>
  <c r="BC298" i="6"/>
  <c r="BL299" i="6"/>
  <c r="BD290" i="6"/>
  <c r="BC291" i="6"/>
  <c r="CC291" i="2" s="1"/>
  <c r="BS291" i="6"/>
  <c r="DE291" i="2" s="1"/>
  <c r="X295" i="6"/>
  <c r="L296" i="6"/>
  <c r="AB296" i="6"/>
  <c r="AV297" i="6"/>
  <c r="AN298" i="6"/>
  <c r="AI299" i="6"/>
  <c r="AY299" i="6"/>
  <c r="BK294" i="6"/>
  <c r="CQ294" i="2" s="1"/>
  <c r="AE296" i="6"/>
  <c r="AM296" i="2" s="1"/>
  <c r="AB290" i="6"/>
  <c r="AR290" i="6"/>
  <c r="BH290" i="6"/>
  <c r="K291" i="6"/>
  <c r="D291" i="2" s="1"/>
  <c r="AA291" i="6"/>
  <c r="AF291" i="2" s="1"/>
  <c r="W292" i="6"/>
  <c r="Y292" i="2" s="1"/>
  <c r="AM292" i="6"/>
  <c r="BA292" i="2" s="1"/>
  <c r="BO292" i="6"/>
  <c r="CX292" i="2" s="1"/>
  <c r="O293" i="6"/>
  <c r="K293" i="2" s="1"/>
  <c r="T294" i="6"/>
  <c r="AJ294" i="6"/>
  <c r="AV294" i="6"/>
  <c r="BS295" i="6"/>
  <c r="DE295" i="2" s="1"/>
  <c r="AJ297" i="6"/>
  <c r="L298" i="6"/>
  <c r="BH298" i="6"/>
  <c r="W299" i="6"/>
  <c r="AQ290" i="6"/>
  <c r="BH290" i="2" s="1"/>
  <c r="K290" i="6"/>
  <c r="D290" i="2" s="1"/>
  <c r="B290" i="2" s="1"/>
  <c r="AJ290" i="6"/>
  <c r="BL290" i="6"/>
  <c r="AZ291" i="6"/>
  <c r="L292" i="6"/>
  <c r="AZ292" i="6"/>
  <c r="BC294" i="6"/>
  <c r="CC294" i="2" s="1"/>
  <c r="AV295" i="6"/>
  <c r="AF296" i="6"/>
  <c r="BG296" i="6"/>
  <c r="CJ296" i="2" s="1"/>
  <c r="P297" i="6"/>
  <c r="AF297" i="6"/>
  <c r="AR297" i="6"/>
  <c r="BG297" i="6"/>
  <c r="BS297" i="6"/>
  <c r="AB298" i="6"/>
  <c r="BD298" i="6"/>
  <c r="BP298" i="6"/>
  <c r="O299" i="6"/>
  <c r="AM291" i="6"/>
  <c r="BA291" i="2" s="1"/>
  <c r="O291" i="6"/>
  <c r="K291" i="2" s="1"/>
  <c r="AN291" i="6"/>
  <c r="AA292" i="6"/>
  <c r="AF292" i="2" s="1"/>
  <c r="AQ292" i="6"/>
  <c r="BH292" i="2" s="1"/>
  <c r="AE293" i="6"/>
  <c r="AM293" i="2" s="1"/>
  <c r="AR293" i="6"/>
  <c r="BS294" i="6"/>
  <c r="DE294" i="2" s="1"/>
  <c r="AR294" i="6"/>
  <c r="BG294" i="6"/>
  <c r="CJ294" i="2" s="1"/>
  <c r="AI296" i="6"/>
  <c r="AT296" i="2" s="1"/>
  <c r="AV296" i="6"/>
  <c r="AI297" i="6"/>
  <c r="AE298" i="6"/>
  <c r="AR298" i="6"/>
  <c r="P299" i="6"/>
  <c r="AF299" i="6"/>
  <c r="O290" i="6"/>
  <c r="K290" i="2" s="1"/>
  <c r="AA290" i="6"/>
  <c r="AF290" i="2" s="1"/>
  <c r="AQ291" i="6"/>
  <c r="BH291" i="2" s="1"/>
  <c r="BJ294" i="2" s="1"/>
  <c r="AB292" i="6"/>
  <c r="AR292" i="6"/>
  <c r="BD292" i="6"/>
  <c r="BS292" i="6"/>
  <c r="DE292" i="2" s="1"/>
  <c r="AF293" i="6"/>
  <c r="BT293" i="6"/>
  <c r="S294" i="6"/>
  <c r="R294" i="2" s="1"/>
  <c r="AI294" i="6"/>
  <c r="AT294" i="2" s="1"/>
  <c r="W295" i="6"/>
  <c r="Y295" i="2" s="1"/>
  <c r="AJ295" i="6"/>
  <c r="T296" i="6"/>
  <c r="AJ296" i="6"/>
  <c r="BK296" i="6"/>
  <c r="CQ296" i="2" s="1"/>
  <c r="S298" i="6"/>
  <c r="AF298" i="6"/>
  <c r="AU298" i="6"/>
  <c r="BG298" i="6"/>
  <c r="S299" i="6"/>
  <c r="P291" i="6"/>
  <c r="BD291" i="6"/>
  <c r="W297" i="6"/>
  <c r="S290" i="6"/>
  <c r="R290" i="2" s="1"/>
  <c r="AE290" i="6"/>
  <c r="AM290" i="2" s="1"/>
  <c r="S292" i="6"/>
  <c r="R292" i="2" s="1"/>
  <c r="BK293" i="6"/>
  <c r="CQ293" i="2" s="1"/>
  <c r="AA295" i="6"/>
  <c r="AF295" i="2" s="1"/>
  <c r="BO295" i="6"/>
  <c r="CX295" i="2" s="1"/>
  <c r="BO296" i="6"/>
  <c r="CX296" i="2" s="1"/>
  <c r="X297" i="6"/>
  <c r="AY297" i="6"/>
  <c r="BL297" i="6"/>
  <c r="W298" i="6"/>
  <c r="AJ298" i="6"/>
  <c r="AY298" i="6"/>
  <c r="BK298" i="6"/>
  <c r="AZ299" i="6"/>
  <c r="BS290" i="6"/>
  <c r="DE290" i="2" s="1"/>
  <c r="S291" i="6"/>
  <c r="R291" i="2" s="1"/>
  <c r="AU290" i="6"/>
  <c r="BO290" i="2" s="1"/>
  <c r="AF291" i="6"/>
  <c r="BH291" i="6"/>
  <c r="AI292" i="6"/>
  <c r="AT292" i="2" s="1"/>
  <c r="AV292" i="6"/>
  <c r="W293" i="6"/>
  <c r="Y293" i="2" s="1"/>
  <c r="AM293" i="6"/>
  <c r="BA293" i="2" s="1"/>
  <c r="K294" i="6"/>
  <c r="D294" i="2" s="1"/>
  <c r="B294" i="2" s="1"/>
  <c r="AY295" i="6"/>
  <c r="BV295" i="2" s="1"/>
  <c r="AN295" i="6"/>
  <c r="BC295" i="6"/>
  <c r="CC295" i="2" s="1"/>
  <c r="K296" i="6"/>
  <c r="D296" i="2" s="1"/>
  <c r="AA296" i="6"/>
  <c r="AF296" i="2" s="1"/>
  <c r="AN296" i="6"/>
  <c r="BC296" i="6"/>
  <c r="CC296" i="2" s="1"/>
  <c r="AA297" i="6"/>
  <c r="AZ297" i="6"/>
  <c r="BO297" i="6"/>
  <c r="AM298" i="6"/>
  <c r="X299" i="6"/>
  <c r="BC299" i="6"/>
  <c r="T290" i="6"/>
  <c r="AV290" i="6"/>
  <c r="K292" i="6"/>
  <c r="D292" i="2" s="1"/>
  <c r="AJ292" i="6"/>
  <c r="X293" i="6"/>
  <c r="AN293" i="6"/>
  <c r="AZ293" i="6"/>
  <c r="BO293" i="6"/>
  <c r="CX293" i="2" s="1"/>
  <c r="AA294" i="6"/>
  <c r="AF294" i="2" s="1"/>
  <c r="AN294" i="6"/>
  <c r="AE295" i="6"/>
  <c r="AM295" i="2" s="1"/>
  <c r="AA299" i="6"/>
  <c r="AN299" i="6"/>
  <c r="W291" i="6"/>
  <c r="Y291" i="2" s="1"/>
  <c r="BP294" i="6"/>
  <c r="AR296" i="6"/>
  <c r="BS296" i="6"/>
  <c r="DE296" i="2" s="1"/>
  <c r="AE297" i="6"/>
  <c r="AH120" i="1"/>
  <c r="AI122" i="1" s="1"/>
  <c r="AJ120" i="1"/>
  <c r="AK123" i="1" s="1"/>
  <c r="AK124" i="1"/>
  <c r="M14" i="1"/>
  <c r="G15" i="1"/>
  <c r="W122" i="1"/>
  <c r="L16" i="1"/>
  <c r="H20" i="1"/>
  <c r="L24" i="1"/>
  <c r="H36" i="1"/>
  <c r="L40" i="1"/>
  <c r="L51" i="1"/>
  <c r="L58" i="1"/>
  <c r="L65" i="1"/>
  <c r="L69" i="1"/>
  <c r="L49" i="1"/>
  <c r="L54" i="1"/>
  <c r="L68" i="1"/>
  <c r="L72" i="1"/>
  <c r="H82" i="1"/>
  <c r="L88" i="1"/>
  <c r="H90" i="1"/>
  <c r="L92" i="1"/>
  <c r="H94" i="1"/>
  <c r="L100" i="1"/>
  <c r="H110" i="1"/>
  <c r="E4" i="1"/>
  <c r="L18" i="1"/>
  <c r="L26" i="1"/>
  <c r="L34" i="1"/>
  <c r="L42" i="1"/>
  <c r="L48" i="1"/>
  <c r="L57" i="1"/>
  <c r="L61" i="1"/>
  <c r="H66" i="1"/>
  <c r="L75" i="1"/>
  <c r="H77" i="1"/>
  <c r="L79" i="1"/>
  <c r="L87" i="1"/>
  <c r="L91" i="1"/>
  <c r="L95" i="1"/>
  <c r="L99" i="1"/>
  <c r="L103" i="1"/>
  <c r="L107" i="1"/>
  <c r="L111" i="1"/>
  <c r="L115" i="1"/>
  <c r="L119" i="1"/>
  <c r="W125" i="1"/>
  <c r="Y126" i="1"/>
  <c r="L131" i="1"/>
  <c r="H138" i="1"/>
  <c r="H147" i="1"/>
  <c r="L163" i="1"/>
  <c r="H170" i="1"/>
  <c r="H179" i="1"/>
  <c r="L195" i="1"/>
  <c r="H202" i="1"/>
  <c r="H211" i="1"/>
  <c r="H223" i="1"/>
  <c r="B225" i="1"/>
  <c r="H230" i="1"/>
  <c r="L239" i="1"/>
  <c r="H243" i="1"/>
  <c r="H250" i="1"/>
  <c r="H251" i="1"/>
  <c r="H266" i="1"/>
  <c r="H267" i="1"/>
  <c r="H282" i="1"/>
  <c r="H283" i="1"/>
  <c r="H298" i="1"/>
  <c r="E5" i="2"/>
  <c r="BJ8" i="2"/>
  <c r="CE10" i="2"/>
  <c r="AV15" i="2"/>
  <c r="AA17" i="2"/>
  <c r="AA23" i="2"/>
  <c r="T18" i="2"/>
  <c r="T24" i="2"/>
  <c r="AV24" i="2"/>
  <c r="AV19" i="2"/>
  <c r="CL33" i="2"/>
  <c r="CL39" i="2"/>
  <c r="CL38" i="2"/>
  <c r="CL34" i="2"/>
  <c r="F70" i="2"/>
  <c r="F65" i="2"/>
  <c r="L20" i="1"/>
  <c r="L28" i="1"/>
  <c r="L36" i="1"/>
  <c r="L29" i="1"/>
  <c r="L70" i="1"/>
  <c r="H7" i="1"/>
  <c r="H13" i="1"/>
  <c r="G16" i="1"/>
  <c r="L19" i="1"/>
  <c r="L27" i="1"/>
  <c r="H31" i="1"/>
  <c r="L35" i="1"/>
  <c r="H39" i="1"/>
  <c r="L43" i="1"/>
  <c r="L46" i="1"/>
  <c r="L47" i="1"/>
  <c r="L60" i="1"/>
  <c r="L64" i="1"/>
  <c r="L78" i="1"/>
  <c r="H85" i="1"/>
  <c r="H97" i="1"/>
  <c r="H101" i="1"/>
  <c r="H105" i="1"/>
  <c r="H113" i="1"/>
  <c r="H117" i="1"/>
  <c r="W124" i="1"/>
  <c r="L137" i="1"/>
  <c r="L159" i="1"/>
  <c r="L169" i="1"/>
  <c r="L191" i="1"/>
  <c r="L201" i="1"/>
  <c r="B213" i="1"/>
  <c r="H218" i="1"/>
  <c r="L220" i="1"/>
  <c r="L227" i="1"/>
  <c r="L229" i="1"/>
  <c r="AA9" i="2"/>
  <c r="CE9" i="2"/>
  <c r="L5" i="2"/>
  <c r="BP5" i="2"/>
  <c r="E6" i="2"/>
  <c r="BX13" i="2"/>
  <c r="BX7" i="2"/>
  <c r="BW7" i="2"/>
  <c r="CL15" i="2"/>
  <c r="CL9" i="2"/>
  <c r="M10" i="2"/>
  <c r="CL10" i="2"/>
  <c r="F11" i="2"/>
  <c r="BQ13" i="2"/>
  <c r="AV21" i="2"/>
  <c r="CE39" i="2"/>
  <c r="CE34" i="2"/>
  <c r="CE38" i="2"/>
  <c r="CL37" i="2"/>
  <c r="CL42" i="2"/>
  <c r="CL41" i="2"/>
  <c r="F47" i="2"/>
  <c r="F50" i="2"/>
  <c r="F53" i="2"/>
  <c r="DG47" i="2"/>
  <c r="L44" i="1"/>
  <c r="L45" i="1"/>
  <c r="W123" i="1"/>
  <c r="L125" i="1"/>
  <c r="Y125" i="1"/>
  <c r="H130" i="1"/>
  <c r="L133" i="1"/>
  <c r="L136" i="1"/>
  <c r="H139" i="1"/>
  <c r="L155" i="1"/>
  <c r="H162" i="1"/>
  <c r="L165" i="1"/>
  <c r="L168" i="1"/>
  <c r="H171" i="1"/>
  <c r="L187" i="1"/>
  <c r="H194" i="1"/>
  <c r="L197" i="1"/>
  <c r="L200" i="1"/>
  <c r="H203" i="1"/>
  <c r="L215" i="1"/>
  <c r="L217" i="1"/>
  <c r="H231" i="1"/>
  <c r="B233" i="1"/>
  <c r="L240" i="1"/>
  <c r="H246" i="1"/>
  <c r="H247" i="1"/>
  <c r="H262" i="1"/>
  <c r="H263" i="1"/>
  <c r="H278" i="1"/>
  <c r="H279" i="1"/>
  <c r="H294" i="1"/>
  <c r="H295" i="1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AV13" i="2"/>
  <c r="CE7" i="2"/>
  <c r="T9" i="2"/>
  <c r="T10" i="2"/>
  <c r="BC10" i="2"/>
  <c r="AV11" i="2"/>
  <c r="DG19" i="2"/>
  <c r="DG24" i="2"/>
  <c r="CS31" i="2"/>
  <c r="CS34" i="2"/>
  <c r="CS36" i="2"/>
  <c r="CS33" i="2"/>
  <c r="AH34" i="2"/>
  <c r="AH40" i="2"/>
  <c r="CL40" i="2"/>
  <c r="CZ41" i="2"/>
  <c r="CZ47" i="2"/>
  <c r="AO47" i="2"/>
  <c r="AO42" i="2"/>
  <c r="AO46" i="2"/>
  <c r="T49" i="2"/>
  <c r="CZ43" i="2"/>
  <c r="AA69" i="2"/>
  <c r="AA68" i="2"/>
  <c r="AA64" i="2"/>
  <c r="Y123" i="1"/>
  <c r="Y124" i="1"/>
  <c r="L132" i="1"/>
  <c r="L151" i="1"/>
  <c r="L183" i="1"/>
  <c r="B221" i="1"/>
  <c r="B241" i="1"/>
  <c r="L245" i="1"/>
  <c r="Z5" i="2"/>
  <c r="Z6" i="2" s="1"/>
  <c r="AA11" i="2"/>
  <c r="CD5" i="2"/>
  <c r="CD6" i="2" s="1"/>
  <c r="CE11" i="2"/>
  <c r="CK6" i="2"/>
  <c r="CK7" i="2" s="1"/>
  <c r="CK8" i="2" s="1"/>
  <c r="CK9" i="2" s="1"/>
  <c r="CY9" i="2"/>
  <c r="CY10" i="2" s="1"/>
  <c r="CZ10" i="2"/>
  <c r="AA12" i="2"/>
  <c r="CL11" i="2"/>
  <c r="AV18" i="2"/>
  <c r="AV12" i="2"/>
  <c r="T19" i="2"/>
  <c r="BQ23" i="2"/>
  <c r="BQ19" i="2"/>
  <c r="BQ25" i="2"/>
  <c r="BQ22" i="2"/>
  <c r="AV20" i="2"/>
  <c r="F25" i="2"/>
  <c r="F23" i="2"/>
  <c r="AO27" i="2"/>
  <c r="CL80" i="2"/>
  <c r="CL74" i="2"/>
  <c r="W121" i="1"/>
  <c r="H127" i="1"/>
  <c r="AA127" i="1" s="1"/>
  <c r="H131" i="1"/>
  <c r="L147" i="1"/>
  <c r="H154" i="1"/>
  <c r="L157" i="1"/>
  <c r="L160" i="1"/>
  <c r="H163" i="1"/>
  <c r="L179" i="1"/>
  <c r="H186" i="1"/>
  <c r="L189" i="1"/>
  <c r="L192" i="1"/>
  <c r="H195" i="1"/>
  <c r="L211" i="1"/>
  <c r="H214" i="1"/>
  <c r="L216" i="1"/>
  <c r="L223" i="1"/>
  <c r="L225" i="1"/>
  <c r="H239" i="1"/>
  <c r="L243" i="1"/>
  <c r="L251" i="1"/>
  <c r="H258" i="1"/>
  <c r="H259" i="1"/>
  <c r="H274" i="1"/>
  <c r="H275" i="1"/>
  <c r="H290" i="1"/>
  <c r="H291" i="1"/>
  <c r="AH8" i="2"/>
  <c r="AG5" i="2"/>
  <c r="CL8" i="2"/>
  <c r="CK5" i="2"/>
  <c r="CL7" i="2"/>
  <c r="AV14" i="2"/>
  <c r="DG14" i="2"/>
  <c r="DG8" i="2"/>
  <c r="CZ9" i="2"/>
  <c r="AA10" i="2"/>
  <c r="BJ14" i="2"/>
  <c r="BC12" i="2"/>
  <c r="CL12" i="2"/>
  <c r="M14" i="2"/>
  <c r="M20" i="2"/>
  <c r="T15" i="2"/>
  <c r="T21" i="2"/>
  <c r="DG18" i="2"/>
  <c r="DG17" i="2"/>
  <c r="BX19" i="2"/>
  <c r="BX24" i="2"/>
  <c r="DG23" i="2"/>
  <c r="DG29" i="2"/>
  <c r="DG27" i="2"/>
  <c r="AO38" i="2"/>
  <c r="AO44" i="2"/>
  <c r="AA47" i="2"/>
  <c r="DG62" i="2"/>
  <c r="DG56" i="2"/>
  <c r="DG59" i="2"/>
  <c r="L22" i="1"/>
  <c r="L30" i="1"/>
  <c r="L38" i="1"/>
  <c r="H49" i="1"/>
  <c r="L59" i="1"/>
  <c r="H61" i="1"/>
  <c r="L63" i="1"/>
  <c r="L66" i="1"/>
  <c r="L73" i="1"/>
  <c r="L77" i="1"/>
  <c r="Y122" i="1"/>
  <c r="L123" i="1"/>
  <c r="H27" i="1"/>
  <c r="H43" i="1"/>
  <c r="L76" i="1"/>
  <c r="L81" i="1"/>
  <c r="L85" i="1"/>
  <c r="L97" i="1"/>
  <c r="L128" i="1"/>
  <c r="L143" i="1"/>
  <c r="H150" i="1"/>
  <c r="L153" i="1"/>
  <c r="L156" i="1"/>
  <c r="H159" i="1"/>
  <c r="L175" i="1"/>
  <c r="H182" i="1"/>
  <c r="L185" i="1"/>
  <c r="L188" i="1"/>
  <c r="H191" i="1"/>
  <c r="L207" i="1"/>
  <c r="L213" i="1"/>
  <c r="H227" i="1"/>
  <c r="B229" i="1"/>
  <c r="H234" i="1"/>
  <c r="L236" i="1"/>
  <c r="T7" i="2"/>
  <c r="S7" i="2"/>
  <c r="S8" i="2" s="1"/>
  <c r="S9" i="2" s="1"/>
  <c r="S10" i="2" s="1"/>
  <c r="S11" i="2" s="1"/>
  <c r="S12" i="2" s="1"/>
  <c r="S13" i="2" s="1"/>
  <c r="S14" i="2" s="1"/>
  <c r="S15" i="2" s="1"/>
  <c r="S16" i="2" s="1"/>
  <c r="S17" i="2" s="1"/>
  <c r="S18" i="2" s="1"/>
  <c r="S19" i="2" s="1"/>
  <c r="CE8" i="2"/>
  <c r="AH15" i="2"/>
  <c r="AH9" i="2"/>
  <c r="AH10" i="2"/>
  <c r="BQ16" i="2"/>
  <c r="BQ10" i="2"/>
  <c r="BJ11" i="2"/>
  <c r="T12" i="2"/>
  <c r="AA21" i="2"/>
  <c r="AA15" i="2"/>
  <c r="F17" i="2"/>
  <c r="AV17" i="2"/>
  <c r="BC18" i="2"/>
  <c r="BC24" i="2"/>
  <c r="BC21" i="2"/>
  <c r="AV22" i="2"/>
  <c r="T52" i="2"/>
  <c r="T48" i="2"/>
  <c r="DG57" i="2"/>
  <c r="DG51" i="2"/>
  <c r="Y121" i="1"/>
  <c r="W127" i="1"/>
  <c r="L139" i="1"/>
  <c r="L149" i="1"/>
  <c r="L171" i="1"/>
  <c r="L181" i="1"/>
  <c r="L203" i="1"/>
  <c r="B217" i="1"/>
  <c r="L224" i="1"/>
  <c r="L244" i="1"/>
  <c r="L247" i="1"/>
  <c r="H254" i="1"/>
  <c r="H255" i="1"/>
  <c r="H270" i="1"/>
  <c r="H271" i="1"/>
  <c r="H286" i="1"/>
  <c r="H287" i="1"/>
  <c r="BP6" i="2"/>
  <c r="BP7" i="2" s="1"/>
  <c r="BP8" i="2" s="1"/>
  <c r="BP9" i="2" s="1"/>
  <c r="BP10" i="2" s="1"/>
  <c r="AA7" i="2"/>
  <c r="BJ7" i="2"/>
  <c r="BX10" i="2"/>
  <c r="DG10" i="2"/>
  <c r="BQ11" i="2"/>
  <c r="CZ17" i="2"/>
  <c r="CZ11" i="2"/>
  <c r="CY11" i="2"/>
  <c r="CZ18" i="2"/>
  <c r="AA14" i="2"/>
  <c r="BJ18" i="2"/>
  <c r="BJ24" i="2"/>
  <c r="BJ23" i="2"/>
  <c r="BX21" i="2"/>
  <c r="BX27" i="2"/>
  <c r="F29" i="2"/>
  <c r="M42" i="2"/>
  <c r="M47" i="2"/>
  <c r="M46" i="2"/>
  <c r="DG42" i="2"/>
  <c r="DG44" i="2"/>
  <c r="DG46" i="2"/>
  <c r="DG45" i="2"/>
  <c r="DG48" i="2"/>
  <c r="CS46" i="2"/>
  <c r="CS50" i="2"/>
  <c r="CS47" i="2"/>
  <c r="CS44" i="2"/>
  <c r="CL53" i="2"/>
  <c r="CL47" i="2"/>
  <c r="CL50" i="2"/>
  <c r="CL55" i="2"/>
  <c r="CL49" i="2"/>
  <c r="AV67" i="2"/>
  <c r="AV61" i="2"/>
  <c r="L21" i="1"/>
  <c r="L37" i="1"/>
  <c r="L52" i="1"/>
  <c r="L32" i="1"/>
  <c r="H74" i="1"/>
  <c r="L50" i="1"/>
  <c r="H52" i="1"/>
  <c r="L80" i="1"/>
  <c r="L84" i="1"/>
  <c r="L96" i="1"/>
  <c r="L104" i="1"/>
  <c r="L108" i="1"/>
  <c r="L112" i="1"/>
  <c r="L116" i="1"/>
  <c r="L120" i="1"/>
  <c r="L135" i="1"/>
  <c r="H142" i="1"/>
  <c r="L145" i="1"/>
  <c r="L148" i="1"/>
  <c r="L167" i="1"/>
  <c r="H174" i="1"/>
  <c r="L177" i="1"/>
  <c r="L180" i="1"/>
  <c r="L199" i="1"/>
  <c r="H206" i="1"/>
  <c r="L209" i="1"/>
  <c r="L212" i="1"/>
  <c r="L219" i="1"/>
  <c r="L221" i="1"/>
  <c r="B237" i="1"/>
  <c r="L241" i="1"/>
  <c r="B245" i="1"/>
  <c r="BB5" i="2"/>
  <c r="BB6" i="2" s="1"/>
  <c r="BB7" i="2" s="1"/>
  <c r="BC7" i="2"/>
  <c r="DF5" i="2"/>
  <c r="DF6" i="2" s="1"/>
  <c r="DF7" i="2" s="1"/>
  <c r="DF8" i="2" s="1"/>
  <c r="DF9" i="2" s="1"/>
  <c r="DF10" i="2" s="1"/>
  <c r="DF11" i="2" s="1"/>
  <c r="DF12" i="2" s="1"/>
  <c r="DF13" i="2" s="1"/>
  <c r="DF14" i="2" s="1"/>
  <c r="DF15" i="2" s="1"/>
  <c r="DF16" i="2" s="1"/>
  <c r="DF17" i="2" s="1"/>
  <c r="DF18" i="2" s="1"/>
  <c r="DF19" i="2" s="1"/>
  <c r="DF20" i="2" s="1"/>
  <c r="DF21" i="2" s="1"/>
  <c r="DF22" i="2" s="1"/>
  <c r="DF23" i="2" s="1"/>
  <c r="DF24" i="2" s="1"/>
  <c r="DF25" i="2" s="1"/>
  <c r="DF26" i="2" s="1"/>
  <c r="DF27" i="2" s="1"/>
  <c r="DF28" i="2" s="1"/>
  <c r="DF29" i="2" s="1"/>
  <c r="DF30" i="2" s="1"/>
  <c r="DF31" i="2" s="1"/>
  <c r="DF32" i="2" s="1"/>
  <c r="DF33" i="2" s="1"/>
  <c r="DF34" i="2" s="1"/>
  <c r="DG11" i="2"/>
  <c r="DG7" i="2"/>
  <c r="AG7" i="2"/>
  <c r="AG8" i="2" s="1"/>
  <c r="AG9" i="2" s="1"/>
  <c r="AG10" i="2" s="1"/>
  <c r="BC8" i="2"/>
  <c r="BB8" i="2"/>
  <c r="BB9" i="2" s="1"/>
  <c r="BB10" i="2" s="1"/>
  <c r="AU9" i="2"/>
  <c r="AU10" i="2" s="1"/>
  <c r="AU11" i="2" s="1"/>
  <c r="AU12" i="2" s="1"/>
  <c r="AU13" i="2" s="1"/>
  <c r="AU14" i="2" s="1"/>
  <c r="AU15" i="2" s="1"/>
  <c r="AV10" i="2"/>
  <c r="CE15" i="2"/>
  <c r="CE14" i="2"/>
  <c r="AH11" i="2"/>
  <c r="BQ18" i="2"/>
  <c r="BQ12" i="2"/>
  <c r="CZ12" i="2"/>
  <c r="T13" i="2"/>
  <c r="AH14" i="2"/>
  <c r="AH17" i="2"/>
  <c r="CZ14" i="2"/>
  <c r="CE27" i="2"/>
  <c r="CE22" i="2"/>
  <c r="CE25" i="2"/>
  <c r="CE21" i="2"/>
  <c r="T22" i="2"/>
  <c r="T28" i="2"/>
  <c r="M32" i="2"/>
  <c r="AO33" i="2"/>
  <c r="T50" i="2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M9" i="2"/>
  <c r="BQ9" i="2"/>
  <c r="M17" i="2"/>
  <c r="F12" i="2"/>
  <c r="CZ19" i="2"/>
  <c r="AH18" i="2"/>
  <c r="AA20" i="2"/>
  <c r="CL20" i="2"/>
  <c r="CL26" i="2"/>
  <c r="F27" i="2"/>
  <c r="F28" i="2"/>
  <c r="CE23" i="2"/>
  <c r="BQ24" i="2"/>
  <c r="BQ28" i="2"/>
  <c r="AV32" i="2"/>
  <c r="AV26" i="2"/>
  <c r="BX26" i="2"/>
  <c r="CZ26" i="2"/>
  <c r="BC29" i="2"/>
  <c r="BC34" i="2"/>
  <c r="BC33" i="2"/>
  <c r="CE29" i="2"/>
  <c r="M30" i="2"/>
  <c r="M31" i="2"/>
  <c r="BJ36" i="2"/>
  <c r="BJ31" i="2"/>
  <c r="BJ37" i="2"/>
  <c r="BJ35" i="2"/>
  <c r="BJ34" i="2"/>
  <c r="T32" i="2"/>
  <c r="M39" i="2"/>
  <c r="AO39" i="2"/>
  <c r="CZ39" i="2"/>
  <c r="AA49" i="2"/>
  <c r="AV45" i="2"/>
  <c r="CE46" i="2"/>
  <c r="T57" i="2"/>
  <c r="BQ52" i="2"/>
  <c r="CS58" i="2"/>
  <c r="CS52" i="2"/>
  <c r="AH60" i="2"/>
  <c r="AH57" i="2"/>
  <c r="M59" i="2"/>
  <c r="M65" i="2"/>
  <c r="AG6" i="2"/>
  <c r="BI6" i="2"/>
  <c r="BI7" i="2" s="1"/>
  <c r="BW8" i="2"/>
  <c r="BW9" i="2" s="1"/>
  <c r="BW10" i="2" s="1"/>
  <c r="BW11" i="2" s="1"/>
  <c r="BW12" i="2" s="1"/>
  <c r="BW13" i="2" s="1"/>
  <c r="BW14" i="2" s="1"/>
  <c r="BW15" i="2" s="1"/>
  <c r="BW16" i="2" s="1"/>
  <c r="BW17" i="2" s="1"/>
  <c r="BW18" i="2" s="1"/>
  <c r="BW19" i="2" s="1"/>
  <c r="BW20" i="2" s="1"/>
  <c r="BW21" i="2" s="1"/>
  <c r="BW22" i="2" s="1"/>
  <c r="BW23" i="2" s="1"/>
  <c r="BW24" i="2" s="1"/>
  <c r="BW25" i="2" s="1"/>
  <c r="BW26" i="2" s="1"/>
  <c r="BW27" i="2" s="1"/>
  <c r="BW28" i="2" s="1"/>
  <c r="BW29" i="2" s="1"/>
  <c r="BW30" i="2" s="1"/>
  <c r="BW31" i="2" s="1"/>
  <c r="BW32" i="2" s="1"/>
  <c r="BW33" i="2" s="1"/>
  <c r="BW34" i="2" s="1"/>
  <c r="CK10" i="2"/>
  <c r="BP11" i="2"/>
  <c r="BP12" i="2" s="1"/>
  <c r="CZ13" i="2"/>
  <c r="F21" i="2"/>
  <c r="BJ15" i="2"/>
  <c r="CS16" i="2"/>
  <c r="BJ20" i="2"/>
  <c r="AH21" i="2"/>
  <c r="AH27" i="2"/>
  <c r="CS22" i="2"/>
  <c r="M23" i="2"/>
  <c r="M28" i="2"/>
  <c r="BC25" i="2"/>
  <c r="T26" i="2"/>
  <c r="CE26" i="2"/>
  <c r="T27" i="2"/>
  <c r="BC30" i="2"/>
  <c r="BQ37" i="2"/>
  <c r="BQ31" i="2"/>
  <c r="CZ32" i="2"/>
  <c r="CZ38" i="2"/>
  <c r="F46" i="2"/>
  <c r="AV42" i="2"/>
  <c r="AV47" i="2"/>
  <c r="BQ42" i="2"/>
  <c r="BQ48" i="2"/>
  <c r="BQ43" i="2"/>
  <c r="DG43" i="2"/>
  <c r="AH46" i="2"/>
  <c r="BQ47" i="2"/>
  <c r="AA54" i="2"/>
  <c r="AA48" i="2"/>
  <c r="DG54" i="2"/>
  <c r="CS55" i="2"/>
  <c r="CS49" i="2"/>
  <c r="AA50" i="2"/>
  <c r="AA56" i="2"/>
  <c r="BQ56" i="2"/>
  <c r="BQ51" i="2"/>
  <c r="BQ57" i="2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AN5" i="2"/>
  <c r="CR5" i="2"/>
  <c r="CR6" i="2" s="1"/>
  <c r="CR7" i="2" s="1"/>
  <c r="CR8" i="2" s="1"/>
  <c r="CR9" i="2" s="1"/>
  <c r="CR10" i="2" s="1"/>
  <c r="CR11" i="2" s="1"/>
  <c r="CR12" i="2" s="1"/>
  <c r="CR13" i="2" s="1"/>
  <c r="CR14" i="2" s="1"/>
  <c r="CR15" i="2" s="1"/>
  <c r="CR16" i="2" s="1"/>
  <c r="CR17" i="2" s="1"/>
  <c r="CR18" i="2" s="1"/>
  <c r="CR19" i="2" s="1"/>
  <c r="CR20" i="2" s="1"/>
  <c r="CR21" i="2" s="1"/>
  <c r="CR22" i="2" s="1"/>
  <c r="CR23" i="2" s="1"/>
  <c r="CR24" i="2" s="1"/>
  <c r="CR25" i="2" s="1"/>
  <c r="E7" i="2"/>
  <c r="T8" i="2"/>
  <c r="BC9" i="2"/>
  <c r="DG9" i="2"/>
  <c r="M11" i="2"/>
  <c r="AG11" i="2"/>
  <c r="AG12" i="2" s="1"/>
  <c r="AG13" i="2" s="1"/>
  <c r="AG14" i="2" s="1"/>
  <c r="AG15" i="2" s="1"/>
  <c r="AG16" i="2" s="1"/>
  <c r="AG17" i="2" s="1"/>
  <c r="AG18" i="2" s="1"/>
  <c r="AG19" i="2" s="1"/>
  <c r="AG20" i="2" s="1"/>
  <c r="AG21" i="2" s="1"/>
  <c r="CK11" i="2"/>
  <c r="CK12" i="2" s="1"/>
  <c r="M12" i="2"/>
  <c r="BX12" i="2"/>
  <c r="CS12" i="2"/>
  <c r="AA13" i="2"/>
  <c r="DG13" i="2"/>
  <c r="CS20" i="2"/>
  <c r="T16" i="2"/>
  <c r="CZ16" i="2"/>
  <c r="CL21" i="2"/>
  <c r="AO18" i="2"/>
  <c r="BC19" i="2"/>
  <c r="AH25" i="2"/>
  <c r="M21" i="2"/>
  <c r="M25" i="2"/>
  <c r="AO26" i="2"/>
  <c r="AH22" i="2"/>
  <c r="BC22" i="2"/>
  <c r="BC27" i="2"/>
  <c r="BX22" i="2"/>
  <c r="CZ28" i="2"/>
  <c r="CL29" i="2"/>
  <c r="F24" i="2"/>
  <c r="CZ24" i="2"/>
  <c r="AA27" i="2"/>
  <c r="CZ33" i="2"/>
  <c r="CZ31" i="2"/>
  <c r="M29" i="2"/>
  <c r="T31" i="2"/>
  <c r="AA32" i="2"/>
  <c r="AA38" i="2"/>
  <c r="T33" i="2"/>
  <c r="BX39" i="2"/>
  <c r="M34" i="2"/>
  <c r="M40" i="2"/>
  <c r="CS35" i="2"/>
  <c r="T39" i="2"/>
  <c r="AV39" i="2"/>
  <c r="AV43" i="2"/>
  <c r="BX40" i="2"/>
  <c r="CZ46" i="2"/>
  <c r="F41" i="2"/>
  <c r="AV41" i="2"/>
  <c r="CL45" i="2"/>
  <c r="CL46" i="2"/>
  <c r="F43" i="2"/>
  <c r="F49" i="2"/>
  <c r="AH43" i="2"/>
  <c r="AH49" i="2"/>
  <c r="T44" i="2"/>
  <c r="F45" i="2"/>
  <c r="AH48" i="2"/>
  <c r="BQ50" i="2"/>
  <c r="AA57" i="2"/>
  <c r="AV51" i="2"/>
  <c r="F58" i="2"/>
  <c r="F52" i="2"/>
  <c r="CS65" i="2"/>
  <c r="BQ63" i="2"/>
  <c r="BQ67" i="2"/>
  <c r="AV64" i="2"/>
  <c r="AV69" i="2"/>
  <c r="AV68" i="2"/>
  <c r="AV89" i="2"/>
  <c r="AV84" i="2"/>
  <c r="AN6" i="2"/>
  <c r="AN7" i="2" s="1"/>
  <c r="AN8" i="2" s="1"/>
  <c r="AN9" i="2" s="1"/>
  <c r="AN10" i="2" s="1"/>
  <c r="AN11" i="2" s="1"/>
  <c r="AN12" i="2" s="1"/>
  <c r="AN13" i="2" s="1"/>
  <c r="AN14" i="2" s="1"/>
  <c r="AN15" i="2" s="1"/>
  <c r="AN16" i="2" s="1"/>
  <c r="AN17" i="2" s="1"/>
  <c r="AN18" i="2" s="1"/>
  <c r="AN19" i="2" s="1"/>
  <c r="AN20" i="2" s="1"/>
  <c r="AN21" i="2" s="1"/>
  <c r="AN22" i="2" s="1"/>
  <c r="AN23" i="2" s="1"/>
  <c r="AN24" i="2" s="1"/>
  <c r="AN25" i="2" s="1"/>
  <c r="AN26" i="2" s="1"/>
  <c r="AN27" i="2" s="1"/>
  <c r="F7" i="2"/>
  <c r="Z7" i="2"/>
  <c r="Z8" i="2" s="1"/>
  <c r="Z9" i="2" s="1"/>
  <c r="Z10" i="2" s="1"/>
  <c r="Z11" i="2" s="1"/>
  <c r="Z12" i="2" s="1"/>
  <c r="Z13" i="2" s="1"/>
  <c r="CD7" i="2"/>
  <c r="CD8" i="2" s="1"/>
  <c r="CD9" i="2" s="1"/>
  <c r="CD10" i="2" s="1"/>
  <c r="CD11" i="2" s="1"/>
  <c r="CD12" i="2" s="1"/>
  <c r="CD13" i="2" s="1"/>
  <c r="CD14" i="2" s="1"/>
  <c r="CD15" i="2" s="1"/>
  <c r="CD16" i="2" s="1"/>
  <c r="CD17" i="2" s="1"/>
  <c r="CD18" i="2" s="1"/>
  <c r="CD19" i="2" s="1"/>
  <c r="CD20" i="2" s="1"/>
  <c r="CD21" i="2" s="1"/>
  <c r="CD22" i="2" s="1"/>
  <c r="CD23" i="2" s="1"/>
  <c r="CD24" i="2" s="1"/>
  <c r="E8" i="2"/>
  <c r="E9" i="2" s="1"/>
  <c r="E10" i="2" s="1"/>
  <c r="E11" i="2" s="1"/>
  <c r="E12" i="2" s="1"/>
  <c r="E13" i="2" s="1"/>
  <c r="E14" i="2" s="1"/>
  <c r="E15" i="2" s="1"/>
  <c r="E16" i="2" s="1"/>
  <c r="E17" i="2" s="1"/>
  <c r="BI8" i="2"/>
  <c r="BI9" i="2" s="1"/>
  <c r="BI10" i="2" s="1"/>
  <c r="BI11" i="2" s="1"/>
  <c r="BI12" i="2" s="1"/>
  <c r="BX9" i="2"/>
  <c r="BB11" i="2"/>
  <c r="BB12" i="2" s="1"/>
  <c r="BB13" i="2" s="1"/>
  <c r="BB14" i="2" s="1"/>
  <c r="BB15" i="2" s="1"/>
  <c r="BB16" i="2" s="1"/>
  <c r="BB17" i="2" s="1"/>
  <c r="BB18" i="2" s="1"/>
  <c r="BB19" i="2" s="1"/>
  <c r="BB20" i="2" s="1"/>
  <c r="BB21" i="2" s="1"/>
  <c r="BB22" i="2" s="1"/>
  <c r="BB23" i="2" s="1"/>
  <c r="BB24" i="2" s="1"/>
  <c r="BB25" i="2" s="1"/>
  <c r="BB26" i="2" s="1"/>
  <c r="BB27" i="2" s="1"/>
  <c r="BB28" i="2" s="1"/>
  <c r="BB29" i="2" s="1"/>
  <c r="BB30" i="2" s="1"/>
  <c r="BB31" i="2" s="1"/>
  <c r="BB32" i="2" s="1"/>
  <c r="BB33" i="2" s="1"/>
  <c r="BB34" i="2" s="1"/>
  <c r="BB35" i="2" s="1"/>
  <c r="BB36" i="2" s="1"/>
  <c r="AH13" i="2"/>
  <c r="AH19" i="2"/>
  <c r="BC13" i="2"/>
  <c r="CE13" i="2"/>
  <c r="Z14" i="2"/>
  <c r="Z15" i="2" s="1"/>
  <c r="Z16" i="2" s="1"/>
  <c r="Z17" i="2" s="1"/>
  <c r="Z18" i="2" s="1"/>
  <c r="Z19" i="2" s="1"/>
  <c r="Z20" i="2" s="1"/>
  <c r="Z21" i="2" s="1"/>
  <c r="Z22" i="2" s="1"/>
  <c r="Z23" i="2" s="1"/>
  <c r="Z24" i="2" s="1"/>
  <c r="Z25" i="2" s="1"/>
  <c r="Z26" i="2" s="1"/>
  <c r="Z27" i="2" s="1"/>
  <c r="Z28" i="2" s="1"/>
  <c r="Z29" i="2" s="1"/>
  <c r="Z30" i="2" s="1"/>
  <c r="Z31" i="2" s="1"/>
  <c r="Z32" i="2" s="1"/>
  <c r="Z33" i="2" s="1"/>
  <c r="Z34" i="2" s="1"/>
  <c r="F15" i="2"/>
  <c r="AO15" i="2"/>
  <c r="BQ15" i="2"/>
  <c r="AA16" i="2"/>
  <c r="AV16" i="2"/>
  <c r="AU16" i="2"/>
  <c r="AU17" i="2" s="1"/>
  <c r="AU18" i="2" s="1"/>
  <c r="AU19" i="2" s="1"/>
  <c r="BX16" i="2"/>
  <c r="DG21" i="2"/>
  <c r="CL17" i="2"/>
  <c r="M18" i="2"/>
  <c r="AA19" i="2"/>
  <c r="CL19" i="2"/>
  <c r="F20" i="2"/>
  <c r="AH20" i="2"/>
  <c r="BQ26" i="2"/>
  <c r="BQ20" i="2"/>
  <c r="AO21" i="2"/>
  <c r="BJ21" i="2"/>
  <c r="CS21" i="2"/>
  <c r="T23" i="2"/>
  <c r="AO23" i="2"/>
  <c r="CL23" i="2"/>
  <c r="AA24" i="2"/>
  <c r="AO29" i="2"/>
  <c r="AO31" i="2"/>
  <c r="BJ25" i="2"/>
  <c r="CL25" i="2"/>
  <c r="BC26" i="2"/>
  <c r="BC32" i="2"/>
  <c r="CZ27" i="2"/>
  <c r="BC28" i="2"/>
  <c r="T35" i="2"/>
  <c r="T30" i="2"/>
  <c r="BQ34" i="2"/>
  <c r="CE31" i="2"/>
  <c r="AH32" i="2"/>
  <c r="CE32" i="2"/>
  <c r="DG38" i="2"/>
  <c r="T34" i="2"/>
  <c r="CZ40" i="2"/>
  <c r="BC36" i="2"/>
  <c r="CE40" i="2"/>
  <c r="CE45" i="2"/>
  <c r="AH47" i="2"/>
  <c r="BX42" i="2"/>
  <c r="BX48" i="2"/>
  <c r="CE44" i="2"/>
  <c r="CZ44" i="2"/>
  <c r="CZ55" i="2"/>
  <c r="CZ49" i="2"/>
  <c r="BX56" i="2"/>
  <c r="BX50" i="2"/>
  <c r="AA51" i="2"/>
  <c r="CS51" i="2"/>
  <c r="CS57" i="2"/>
  <c r="M53" i="2"/>
  <c r="AH61" i="2"/>
  <c r="CS70" i="2"/>
  <c r="CS64" i="2"/>
  <c r="CS67" i="2"/>
  <c r="B216" i="1"/>
  <c r="B220" i="1"/>
  <c r="B224" i="1"/>
  <c r="B228" i="1"/>
  <c r="B232" i="1"/>
  <c r="B236" i="1"/>
  <c r="B240" i="1"/>
  <c r="B244" i="1"/>
  <c r="B248" i="1"/>
  <c r="B252" i="1"/>
  <c r="B256" i="1"/>
  <c r="B260" i="1"/>
  <c r="B264" i="1"/>
  <c r="B268" i="1"/>
  <c r="B272" i="1"/>
  <c r="B276" i="1"/>
  <c r="B280" i="1"/>
  <c r="B284" i="1"/>
  <c r="B288" i="1"/>
  <c r="B292" i="1"/>
  <c r="B296" i="1"/>
  <c r="F8" i="2"/>
  <c r="CS9" i="2"/>
  <c r="CY12" i="2"/>
  <c r="CY13" i="2" s="1"/>
  <c r="CY14" i="2" s="1"/>
  <c r="CY15" i="2" s="1"/>
  <c r="CY16" i="2" s="1"/>
  <c r="CY17" i="2" s="1"/>
  <c r="CY18" i="2" s="1"/>
  <c r="CY19" i="2" s="1"/>
  <c r="CY20" i="2" s="1"/>
  <c r="CY21" i="2" s="1"/>
  <c r="CY22" i="2" s="1"/>
  <c r="CY23" i="2" s="1"/>
  <c r="CY24" i="2" s="1"/>
  <c r="CY25" i="2" s="1"/>
  <c r="CY26" i="2" s="1"/>
  <c r="CY27" i="2" s="1"/>
  <c r="CY28" i="2" s="1"/>
  <c r="M13" i="2"/>
  <c r="M19" i="2"/>
  <c r="BI13" i="2"/>
  <c r="BI14" i="2" s="1"/>
  <c r="BI15" i="2" s="1"/>
  <c r="BI16" i="2" s="1"/>
  <c r="BI17" i="2" s="1"/>
  <c r="BI18" i="2" s="1"/>
  <c r="BI19" i="2" s="1"/>
  <c r="BI20" i="2" s="1"/>
  <c r="BI21" i="2" s="1"/>
  <c r="BI22" i="2" s="1"/>
  <c r="BI23" i="2" s="1"/>
  <c r="BI24" i="2" s="1"/>
  <c r="BI25" i="2" s="1"/>
  <c r="BI26" i="2" s="1"/>
  <c r="BI27" i="2" s="1"/>
  <c r="BI28" i="2" s="1"/>
  <c r="BI29" i="2" s="1"/>
  <c r="BI30" i="2" s="1"/>
  <c r="BI31" i="2" s="1"/>
  <c r="CL13" i="2"/>
  <c r="CK13" i="2"/>
  <c r="CK14" i="2" s="1"/>
  <c r="CK15" i="2" s="1"/>
  <c r="CK16" i="2" s="1"/>
  <c r="CK17" i="2" s="1"/>
  <c r="CK18" i="2" s="1"/>
  <c r="CK19" i="2" s="1"/>
  <c r="CK20" i="2" s="1"/>
  <c r="CK21" i="2" s="1"/>
  <c r="CK22" i="2" s="1"/>
  <c r="CK23" i="2" s="1"/>
  <c r="CK24" i="2" s="1"/>
  <c r="CK25" i="2" s="1"/>
  <c r="CK26" i="2" s="1"/>
  <c r="CK27" i="2" s="1"/>
  <c r="CK28" i="2" s="1"/>
  <c r="CK29" i="2" s="1"/>
  <c r="CK30" i="2" s="1"/>
  <c r="CK31" i="2" s="1"/>
  <c r="CK32" i="2" s="1"/>
  <c r="CK33" i="2" s="1"/>
  <c r="CK34" i="2" s="1"/>
  <c r="CK35" i="2" s="1"/>
  <c r="CK36" i="2" s="1"/>
  <c r="CS14" i="2"/>
  <c r="BX20" i="2"/>
  <c r="F16" i="2"/>
  <c r="CE16" i="2"/>
  <c r="CS23" i="2"/>
  <c r="BJ19" i="2"/>
  <c r="CS19" i="2"/>
  <c r="M26" i="2"/>
  <c r="CZ20" i="2"/>
  <c r="CZ25" i="2"/>
  <c r="AV27" i="2"/>
  <c r="CZ21" i="2"/>
  <c r="M22" i="2"/>
  <c r="CZ22" i="2"/>
  <c r="AA29" i="2"/>
  <c r="BQ29" i="2"/>
  <c r="CE30" i="2"/>
  <c r="AO25" i="2"/>
  <c r="BJ26" i="2"/>
  <c r="AO28" i="2"/>
  <c r="T29" i="2"/>
  <c r="BQ35" i="2"/>
  <c r="BQ30" i="2"/>
  <c r="AA31" i="2"/>
  <c r="AA33" i="2"/>
  <c r="AA39" i="2"/>
  <c r="BX35" i="2"/>
  <c r="CZ35" i="2"/>
  <c r="M36" i="2"/>
  <c r="AH36" i="2"/>
  <c r="BX37" i="2"/>
  <c r="CZ37" i="2"/>
  <c r="BC39" i="2"/>
  <c r="BC45" i="2"/>
  <c r="T40" i="2"/>
  <c r="BC42" i="2"/>
  <c r="M43" i="2"/>
  <c r="M45" i="2"/>
  <c r="BX45" i="2"/>
  <c r="AV46" i="2"/>
  <c r="AV52" i="2"/>
  <c r="BQ46" i="2"/>
  <c r="BX47" i="2"/>
  <c r="AO48" i="2"/>
  <c r="CE58" i="2"/>
  <c r="CE52" i="2"/>
  <c r="AV53" i="2"/>
  <c r="AV59" i="2"/>
  <c r="M54" i="2"/>
  <c r="M60" i="2"/>
  <c r="F56" i="2"/>
  <c r="AV57" i="2"/>
  <c r="CE57" i="2"/>
  <c r="CE63" i="2"/>
  <c r="BJ58" i="2"/>
  <c r="BJ64" i="2"/>
  <c r="CZ58" i="2"/>
  <c r="AH59" i="2"/>
  <c r="AH65" i="2"/>
  <c r="AH63" i="2"/>
  <c r="T77" i="2"/>
  <c r="CS26" i="2"/>
  <c r="CR26" i="2"/>
  <c r="CS32" i="2"/>
  <c r="AV29" i="2"/>
  <c r="AV35" i="2"/>
  <c r="AV34" i="2"/>
  <c r="F30" i="2"/>
  <c r="F36" i="2"/>
  <c r="AV30" i="2"/>
  <c r="CS30" i="2"/>
  <c r="F32" i="2"/>
  <c r="AO32" i="2"/>
  <c r="AO36" i="2"/>
  <c r="AH33" i="2"/>
  <c r="AH39" i="2"/>
  <c r="DG35" i="2"/>
  <c r="AH38" i="2"/>
  <c r="F42" i="2"/>
  <c r="CZ42" i="2"/>
  <c r="F44" i="2"/>
  <c r="CE53" i="2"/>
  <c r="T53" i="2"/>
  <c r="CZ53" i="2"/>
  <c r="T60" i="2"/>
  <c r="T54" i="2"/>
  <c r="AV60" i="2"/>
  <c r="AV54" i="2"/>
  <c r="M56" i="2"/>
  <c r="M62" i="2"/>
  <c r="DG58" i="2"/>
  <c r="DG64" i="2"/>
  <c r="CE83" i="2"/>
  <c r="CE77" i="2"/>
  <c r="CE82" i="2"/>
  <c r="M98" i="2"/>
  <c r="M92" i="2"/>
  <c r="M95" i="2"/>
  <c r="M96" i="2"/>
  <c r="T102" i="2"/>
  <c r="T96" i="2"/>
  <c r="B249" i="1"/>
  <c r="B253" i="1"/>
  <c r="B257" i="1"/>
  <c r="B261" i="1"/>
  <c r="B265" i="1"/>
  <c r="B269" i="1"/>
  <c r="B273" i="1"/>
  <c r="B277" i="1"/>
  <c r="B281" i="1"/>
  <c r="B285" i="1"/>
  <c r="B289" i="1"/>
  <c r="B293" i="1"/>
  <c r="B297" i="1"/>
  <c r="AA18" i="2"/>
  <c r="BP13" i="2"/>
  <c r="BP14" i="2" s="1"/>
  <c r="BP15" i="2" s="1"/>
  <c r="BP16" i="2" s="1"/>
  <c r="BP17" i="2" s="1"/>
  <c r="BP18" i="2" s="1"/>
  <c r="BP19" i="2" s="1"/>
  <c r="BP20" i="2" s="1"/>
  <c r="BP21" i="2" s="1"/>
  <c r="BP22" i="2" s="1"/>
  <c r="BP23" i="2" s="1"/>
  <c r="BP24" i="2" s="1"/>
  <c r="BP25" i="2" s="1"/>
  <c r="BP26" i="2" s="1"/>
  <c r="BP27" i="2" s="1"/>
  <c r="BP28" i="2" s="1"/>
  <c r="BP29" i="2" s="1"/>
  <c r="BP30" i="2" s="1"/>
  <c r="BP31" i="2" s="1"/>
  <c r="BP32" i="2" s="1"/>
  <c r="BP33" i="2" s="1"/>
  <c r="BP34" i="2" s="1"/>
  <c r="BP35" i="2" s="1"/>
  <c r="BP36" i="2" s="1"/>
  <c r="AO19" i="2"/>
  <c r="CE20" i="2"/>
  <c r="CE24" i="2"/>
  <c r="DG20" i="2"/>
  <c r="DG26" i="2"/>
  <c r="BJ30" i="2"/>
  <c r="CL24" i="2"/>
  <c r="BX25" i="2"/>
  <c r="BX31" i="2"/>
  <c r="BJ27" i="2"/>
  <c r="F35" i="2"/>
  <c r="F34" i="2"/>
  <c r="BX29" i="2"/>
  <c r="BX33" i="2"/>
  <c r="AH35" i="2"/>
  <c r="AH41" i="2"/>
  <c r="BC35" i="2"/>
  <c r="BC38" i="2"/>
  <c r="DG36" i="2"/>
  <c r="AO43" i="2"/>
  <c r="CE37" i="2"/>
  <c r="AA40" i="2"/>
  <c r="AA45" i="2"/>
  <c r="AA44" i="2"/>
  <c r="BX41" i="2"/>
  <c r="AH42" i="2"/>
  <c r="T43" i="2"/>
  <c r="AO45" i="2"/>
  <c r="BC46" i="2"/>
  <c r="BC52" i="2"/>
  <c r="BC49" i="2"/>
  <c r="BX46" i="2"/>
  <c r="CE47" i="2"/>
  <c r="AV48" i="2"/>
  <c r="AV49" i="2"/>
  <c r="CE49" i="2"/>
  <c r="DG49" i="2"/>
  <c r="M51" i="2"/>
  <c r="M57" i="2"/>
  <c r="AA53" i="2"/>
  <c r="AA59" i="2"/>
  <c r="AV62" i="2"/>
  <c r="BX66" i="2"/>
  <c r="BX60" i="2"/>
  <c r="CL71" i="2"/>
  <c r="CL75" i="2"/>
  <c r="CS73" i="2"/>
  <c r="DG34" i="2"/>
  <c r="T37" i="2"/>
  <c r="T41" i="2"/>
  <c r="CL43" i="2"/>
  <c r="BJ45" i="2"/>
  <c r="CZ45" i="2"/>
  <c r="F48" i="2"/>
  <c r="BJ48" i="2"/>
  <c r="M55" i="2"/>
  <c r="AV55" i="2"/>
  <c r="BX49" i="2"/>
  <c r="AH50" i="2"/>
  <c r="BC50" i="2"/>
  <c r="T51" i="2"/>
  <c r="M58" i="2"/>
  <c r="DG60" i="2"/>
  <c r="CE61" i="2"/>
  <c r="DG55" i="2"/>
  <c r="BJ62" i="2"/>
  <c r="CL56" i="2"/>
  <c r="BC58" i="2"/>
  <c r="CL69" i="2"/>
  <c r="F64" i="2"/>
  <c r="AH73" i="2"/>
  <c r="CS68" i="2"/>
  <c r="CS74" i="2"/>
  <c r="AH69" i="2"/>
  <c r="AV70" i="2"/>
  <c r="BX76" i="2"/>
  <c r="BX70" i="2"/>
  <c r="BQ14" i="2"/>
  <c r="CL14" i="2"/>
  <c r="BJ17" i="2"/>
  <c r="CE17" i="2"/>
  <c r="BQ21" i="2"/>
  <c r="AV23" i="2"/>
  <c r="M24" i="2"/>
  <c r="AH24" i="2"/>
  <c r="CS27" i="2"/>
  <c r="CR27" i="2"/>
  <c r="CR28" i="2" s="1"/>
  <c r="CR29" i="2" s="1"/>
  <c r="CR30" i="2" s="1"/>
  <c r="CR31" i="2" s="1"/>
  <c r="CR32" i="2" s="1"/>
  <c r="CR33" i="2" s="1"/>
  <c r="CR34" i="2" s="1"/>
  <c r="CR35" i="2" s="1"/>
  <c r="CR36" i="2" s="1"/>
  <c r="CR37" i="2" s="1"/>
  <c r="CR38" i="2" s="1"/>
  <c r="CR39" i="2" s="1"/>
  <c r="CR40" i="2" s="1"/>
  <c r="AH28" i="2"/>
  <c r="BJ28" i="2"/>
  <c r="CE28" i="2"/>
  <c r="CZ29" i="2"/>
  <c r="F31" i="2"/>
  <c r="BJ32" i="2"/>
  <c r="BJ33" i="2"/>
  <c r="T36" i="2"/>
  <c r="CE36" i="2"/>
  <c r="AH37" i="2"/>
  <c r="M38" i="2"/>
  <c r="AV38" i="2"/>
  <c r="CS38" i="2"/>
  <c r="AO40" i="2"/>
  <c r="BC41" i="2"/>
  <c r="BJ44" i="2"/>
  <c r="T45" i="2"/>
  <c r="CE48" i="2"/>
  <c r="DG50" i="2"/>
  <c r="AO51" i="2"/>
  <c r="BC57" i="2"/>
  <c r="BX51" i="2"/>
  <c r="AO58" i="2"/>
  <c r="F54" i="2"/>
  <c r="AA55" i="2"/>
  <c r="BJ55" i="2"/>
  <c r="T56" i="2"/>
  <c r="AO56" i="2"/>
  <c r="T58" i="2"/>
  <c r="AO59" i="2"/>
  <c r="CL59" i="2"/>
  <c r="CS60" i="2"/>
  <c r="M61" i="2"/>
  <c r="BC61" i="2"/>
  <c r="CZ67" i="2"/>
  <c r="CZ66" i="2"/>
  <c r="CZ61" i="2"/>
  <c r="AH66" i="2"/>
  <c r="AH62" i="2"/>
  <c r="CE68" i="2"/>
  <c r="CE67" i="2"/>
  <c r="CE62" i="2"/>
  <c r="F69" i="2"/>
  <c r="CL63" i="2"/>
  <c r="CZ64" i="2"/>
  <c r="BX71" i="2"/>
  <c r="BX65" i="2"/>
  <c r="F73" i="2"/>
  <c r="F67" i="2"/>
  <c r="AH67" i="2"/>
  <c r="BX68" i="2"/>
  <c r="CZ72" i="2"/>
  <c r="CZ71" i="2"/>
  <c r="BC70" i="2"/>
  <c r="CE76" i="2"/>
  <c r="CE72" i="2"/>
  <c r="AH78" i="2"/>
  <c r="T73" i="2"/>
  <c r="AH75" i="2"/>
  <c r="BJ75" i="2"/>
  <c r="BJ90" i="2"/>
  <c r="BJ84" i="2"/>
  <c r="CL97" i="2"/>
  <c r="BJ60" i="2"/>
  <c r="F66" i="2"/>
  <c r="BJ67" i="2"/>
  <c r="BJ73" i="2"/>
  <c r="CL73" i="2"/>
  <c r="CL67" i="2"/>
  <c r="AA70" i="2"/>
  <c r="BJ72" i="2"/>
  <c r="AH77" i="2"/>
  <c r="CS82" i="2"/>
  <c r="CS83" i="2"/>
  <c r="CS77" i="2"/>
  <c r="BJ78" i="2"/>
  <c r="BC20" i="2"/>
  <c r="AA22" i="2"/>
  <c r="AV25" i="2"/>
  <c r="F26" i="2"/>
  <c r="M27" i="2"/>
  <c r="AV28" i="2"/>
  <c r="AO30" i="2"/>
  <c r="CZ30" i="2"/>
  <c r="BC31" i="2"/>
  <c r="AV33" i="2"/>
  <c r="AO34" i="2"/>
  <c r="CZ34" i="2"/>
  <c r="M35" i="2"/>
  <c r="M37" i="2"/>
  <c r="AV37" i="2"/>
  <c r="CS37" i="2"/>
  <c r="BJ38" i="2"/>
  <c r="BJ39" i="2"/>
  <c r="BC40" i="2"/>
  <c r="DG41" i="2"/>
  <c r="T42" i="2"/>
  <c r="CE42" i="2"/>
  <c r="AA43" i="2"/>
  <c r="CE43" i="2"/>
  <c r="AH44" i="2"/>
  <c r="CS45" i="2"/>
  <c r="AH53" i="2"/>
  <c r="BJ47" i="2"/>
  <c r="BC48" i="2"/>
  <c r="BQ54" i="2"/>
  <c r="CS48" i="2"/>
  <c r="AO55" i="2"/>
  <c r="BQ49" i="2"/>
  <c r="AV50" i="2"/>
  <c r="CE56" i="2"/>
  <c r="BC51" i="2"/>
  <c r="CL51" i="2"/>
  <c r="AO52" i="2"/>
  <c r="BX52" i="2"/>
  <c r="CL58" i="2"/>
  <c r="DG52" i="2"/>
  <c r="BQ59" i="2"/>
  <c r="AA60" i="2"/>
  <c r="AO54" i="2"/>
  <c r="CE54" i="2"/>
  <c r="CS54" i="2"/>
  <c r="BQ55" i="2"/>
  <c r="AV56" i="2"/>
  <c r="CS56" i="2"/>
  <c r="CL57" i="2"/>
  <c r="T59" i="2"/>
  <c r="BJ59" i="2"/>
  <c r="CS59" i="2"/>
  <c r="CE60" i="2"/>
  <c r="BJ66" i="2"/>
  <c r="DG67" i="2"/>
  <c r="DG61" i="2"/>
  <c r="CL62" i="2"/>
  <c r="BX63" i="2"/>
  <c r="M70" i="2"/>
  <c r="M64" i="2"/>
  <c r="BC64" i="2"/>
  <c r="AV65" i="2"/>
  <c r="CE65" i="2"/>
  <c r="M72" i="2"/>
  <c r="M71" i="2"/>
  <c r="M67" i="2"/>
  <c r="AO67" i="2"/>
  <c r="BQ75" i="2"/>
  <c r="BQ69" i="2"/>
  <c r="CS75" i="2"/>
  <c r="CS69" i="2"/>
  <c r="DG70" i="2"/>
  <c r="AV71" i="2"/>
  <c r="BC73" i="2"/>
  <c r="AV74" i="2"/>
  <c r="CZ77" i="2"/>
  <c r="CZ74" i="2"/>
  <c r="AO75" i="2"/>
  <c r="BQ77" i="2"/>
  <c r="F93" i="2"/>
  <c r="F87" i="2"/>
  <c r="T100" i="2"/>
  <c r="AA58" i="2"/>
  <c r="AA65" i="2"/>
  <c r="T67" i="2"/>
  <c r="T61" i="2"/>
  <c r="DG63" i="2"/>
  <c r="M66" i="2"/>
  <c r="BX69" i="2"/>
  <c r="BX75" i="2"/>
  <c r="CZ75" i="2"/>
  <c r="BJ70" i="2"/>
  <c r="CL70" i="2"/>
  <c r="BC77" i="2"/>
  <c r="AA74" i="2"/>
  <c r="F77" i="2"/>
  <c r="CZ79" i="2"/>
  <c r="AV85" i="2"/>
  <c r="M97" i="2"/>
  <c r="M103" i="2"/>
  <c r="AA26" i="2"/>
  <c r="BQ27" i="2"/>
  <c r="AA28" i="2"/>
  <c r="BX30" i="2"/>
  <c r="DG31" i="2"/>
  <c r="BQ32" i="2"/>
  <c r="M33" i="2"/>
  <c r="BQ33" i="2"/>
  <c r="AV36" i="2"/>
  <c r="CZ36" i="2"/>
  <c r="DG37" i="2"/>
  <c r="DG40" i="2"/>
  <c r="AA41" i="2"/>
  <c r="BQ41" i="2"/>
  <c r="CS42" i="2"/>
  <c r="BX44" i="2"/>
  <c r="T47" i="2"/>
  <c r="M48" i="2"/>
  <c r="T55" i="2"/>
  <c r="AO49" i="2"/>
  <c r="CE50" i="2"/>
  <c r="AH51" i="2"/>
  <c r="BJ57" i="2"/>
  <c r="CZ51" i="2"/>
  <c r="AH58" i="2"/>
  <c r="CL52" i="2"/>
  <c r="BC53" i="2"/>
  <c r="BQ53" i="2"/>
  <c r="DG53" i="2"/>
  <c r="CZ56" i="2"/>
  <c r="BX57" i="2"/>
  <c r="AV58" i="2"/>
  <c r="F59" i="2"/>
  <c r="BQ60" i="2"/>
  <c r="BJ61" i="2"/>
  <c r="T62" i="2"/>
  <c r="AO62" i="2"/>
  <c r="CS66" i="2"/>
  <c r="AA63" i="2"/>
  <c r="BJ69" i="2"/>
  <c r="BJ63" i="2"/>
  <c r="T64" i="2"/>
  <c r="AO70" i="2"/>
  <c r="AO64" i="2"/>
  <c r="AH74" i="2"/>
  <c r="AH68" i="2"/>
  <c r="BJ68" i="2"/>
  <c r="BJ74" i="2"/>
  <c r="CZ69" i="2"/>
  <c r="BC71" i="2"/>
  <c r="AV75" i="2"/>
  <c r="AV83" i="2"/>
  <c r="AV81" i="2"/>
  <c r="AH80" i="2"/>
  <c r="BX83" i="2"/>
  <c r="BX86" i="2"/>
  <c r="BX80" i="2"/>
  <c r="AH82" i="2"/>
  <c r="BJ89" i="2"/>
  <c r="BJ94" i="2"/>
  <c r="BX99" i="2"/>
  <c r="BX93" i="2"/>
  <c r="BX97" i="2"/>
  <c r="DG12" i="2"/>
  <c r="M15" i="2"/>
  <c r="CZ15" i="2"/>
  <c r="F18" i="2"/>
  <c r="E18" i="2"/>
  <c r="E19" i="2" s="1"/>
  <c r="E20" i="2" s="1"/>
  <c r="E21" i="2" s="1"/>
  <c r="E22" i="2" s="1"/>
  <c r="CS18" i="2"/>
  <c r="T20" i="2"/>
  <c r="S20" i="2"/>
  <c r="S21" i="2" s="1"/>
  <c r="S22" i="2" s="1"/>
  <c r="S23" i="2" s="1"/>
  <c r="S24" i="2" s="1"/>
  <c r="S25" i="2" s="1"/>
  <c r="S26" i="2" s="1"/>
  <c r="S27" i="2" s="1"/>
  <c r="S28" i="2" s="1"/>
  <c r="CL22" i="2"/>
  <c r="DG22" i="2"/>
  <c r="BC23" i="2"/>
  <c r="BX23" i="2"/>
  <c r="AO24" i="2"/>
  <c r="T25" i="2"/>
  <c r="DG25" i="2"/>
  <c r="CL28" i="2"/>
  <c r="DG28" i="2"/>
  <c r="AH30" i="2"/>
  <c r="AV31" i="2"/>
  <c r="BX32" i="2"/>
  <c r="BX34" i="2"/>
  <c r="AA35" i="2"/>
  <c r="Z35" i="2"/>
  <c r="Z36" i="2" s="1"/>
  <c r="Z37" i="2" s="1"/>
  <c r="Z38" i="2" s="1"/>
  <c r="Z39" i="2" s="1"/>
  <c r="Z40" i="2" s="1"/>
  <c r="Z41" i="2" s="1"/>
  <c r="Z42" i="2" s="1"/>
  <c r="Z43" i="2" s="1"/>
  <c r="Z44" i="2" s="1"/>
  <c r="Z45" i="2" s="1"/>
  <c r="Z46" i="2" s="1"/>
  <c r="Z47" i="2" s="1"/>
  <c r="Z48" i="2" s="1"/>
  <c r="Z49" i="2" s="1"/>
  <c r="Z50" i="2" s="1"/>
  <c r="Z51" i="2" s="1"/>
  <c r="Z52" i="2" s="1"/>
  <c r="Z53" i="2" s="1"/>
  <c r="Z54" i="2" s="1"/>
  <c r="Z55" i="2" s="1"/>
  <c r="Z56" i="2" s="1"/>
  <c r="Z57" i="2" s="1"/>
  <c r="Z58" i="2" s="1"/>
  <c r="Z59" i="2" s="1"/>
  <c r="Z60" i="2" s="1"/>
  <c r="Z61" i="2" s="1"/>
  <c r="Z62" i="2" s="1"/>
  <c r="Z63" i="2" s="1"/>
  <c r="Z64" i="2" s="1"/>
  <c r="Z65" i="2" s="1"/>
  <c r="Z66" i="2" s="1"/>
  <c r="Z67" i="2" s="1"/>
  <c r="Z68" i="2" s="1"/>
  <c r="Z69" i="2" s="1"/>
  <c r="Z70" i="2" s="1"/>
  <c r="Z71" i="2" s="1"/>
  <c r="Z72" i="2" s="1"/>
  <c r="Z73" i="2" s="1"/>
  <c r="Z74" i="2" s="1"/>
  <c r="Z75" i="2" s="1"/>
  <c r="Z76" i="2" s="1"/>
  <c r="Z77" i="2" s="1"/>
  <c r="Z78" i="2" s="1"/>
  <c r="Z79" i="2" s="1"/>
  <c r="Z80" i="2" s="1"/>
  <c r="Z81" i="2" s="1"/>
  <c r="Z82" i="2" s="1"/>
  <c r="Z83" i="2" s="1"/>
  <c r="Z84" i="2" s="1"/>
  <c r="CL35" i="2"/>
  <c r="AA36" i="2"/>
  <c r="CL36" i="2"/>
  <c r="F37" i="2"/>
  <c r="AO37" i="2"/>
  <c r="T38" i="2"/>
  <c r="CS39" i="2"/>
  <c r="AV40" i="2"/>
  <c r="AO41" i="2"/>
  <c r="BJ41" i="2"/>
  <c r="BX43" i="2"/>
  <c r="AV44" i="2"/>
  <c r="BQ44" i="2"/>
  <c r="BC47" i="2"/>
  <c r="CL48" i="2"/>
  <c r="BJ49" i="2"/>
  <c r="AO50" i="2"/>
  <c r="F51" i="2"/>
  <c r="CE51" i="2"/>
  <c r="CZ52" i="2"/>
  <c r="AO53" i="2"/>
  <c r="CS53" i="2"/>
  <c r="AH54" i="2"/>
  <c r="BJ54" i="2"/>
  <c r="CL54" i="2"/>
  <c r="CZ54" i="2"/>
  <c r="F55" i="2"/>
  <c r="BC55" i="2"/>
  <c r="AH56" i="2"/>
  <c r="M63" i="2"/>
  <c r="AV63" i="2"/>
  <c r="BQ58" i="2"/>
  <c r="CE59" i="2"/>
  <c r="CL60" i="2"/>
  <c r="AA67" i="2"/>
  <c r="AA66" i="2"/>
  <c r="AA61" i="2"/>
  <c r="CS61" i="2"/>
  <c r="F68" i="2"/>
  <c r="F62" i="2"/>
  <c r="BX62" i="2"/>
  <c r="T66" i="2"/>
  <c r="CL72" i="2"/>
  <c r="BX67" i="2"/>
  <c r="AO68" i="2"/>
  <c r="BQ74" i="2"/>
  <c r="BJ77" i="2"/>
  <c r="CE71" i="2"/>
  <c r="DG77" i="2"/>
  <c r="DG71" i="2"/>
  <c r="BX72" i="2"/>
  <c r="BQ79" i="2"/>
  <c r="BQ76" i="2"/>
  <c r="BQ73" i="2"/>
  <c r="F74" i="2"/>
  <c r="AV77" i="2"/>
  <c r="BC66" i="2"/>
  <c r="CE66" i="2"/>
  <c r="CL66" i="2"/>
  <c r="M68" i="2"/>
  <c r="T68" i="2"/>
  <c r="T69" i="2"/>
  <c r="F72" i="2"/>
  <c r="BC72" i="2"/>
  <c r="CS72" i="2"/>
  <c r="M73" i="2"/>
  <c r="AV73" i="2"/>
  <c r="AO74" i="2"/>
  <c r="CE74" i="2"/>
  <c r="CE75" i="2"/>
  <c r="BJ76" i="2"/>
  <c r="DG76" i="2"/>
  <c r="DG82" i="2"/>
  <c r="BX78" i="2"/>
  <c r="BJ85" i="2"/>
  <c r="CE79" i="2"/>
  <c r="F86" i="2"/>
  <c r="T86" i="2"/>
  <c r="DG80" i="2"/>
  <c r="F88" i="2"/>
  <c r="T88" i="2"/>
  <c r="T82" i="2"/>
  <c r="CL86" i="2"/>
  <c r="CZ82" i="2"/>
  <c r="BQ83" i="2"/>
  <c r="BQ87" i="2"/>
  <c r="AA84" i="2"/>
  <c r="DG84" i="2"/>
  <c r="BQ91" i="2"/>
  <c r="BQ85" i="2"/>
  <c r="AH87" i="2"/>
  <c r="BX94" i="2"/>
  <c r="BX88" i="2"/>
  <c r="BQ89" i="2"/>
  <c r="F90" i="2"/>
  <c r="AV91" i="2"/>
  <c r="CE99" i="2"/>
  <c r="CE93" i="2"/>
  <c r="CE96" i="2"/>
  <c r="AV96" i="2"/>
  <c r="T75" i="2"/>
  <c r="M76" i="2"/>
  <c r="F78" i="2"/>
  <c r="CL78" i="2"/>
  <c r="T79" i="2"/>
  <c r="AV79" i="2"/>
  <c r="F80" i="2"/>
  <c r="AO81" i="2"/>
  <c r="T83" i="2"/>
  <c r="CS84" i="2"/>
  <c r="CS90" i="2"/>
  <c r="CS89" i="2"/>
  <c r="AO87" i="2"/>
  <c r="AO93" i="2"/>
  <c r="CL87" i="2"/>
  <c r="CZ88" i="2"/>
  <c r="BC97" i="2"/>
  <c r="BC91" i="2"/>
  <c r="BC94" i="2"/>
  <c r="BJ101" i="2"/>
  <c r="BJ95" i="2"/>
  <c r="BC96" i="2"/>
  <c r="BC102" i="2"/>
  <c r="BC63" i="2"/>
  <c r="AH64" i="2"/>
  <c r="BQ65" i="2"/>
  <c r="CZ65" i="2"/>
  <c r="DG65" i="2"/>
  <c r="AV66" i="2"/>
  <c r="DG66" i="2"/>
  <c r="BC67" i="2"/>
  <c r="CL68" i="2"/>
  <c r="M69" i="2"/>
  <c r="T70" i="2"/>
  <c r="CZ70" i="2"/>
  <c r="AA71" i="2"/>
  <c r="BQ72" i="2"/>
  <c r="BC74" i="2"/>
  <c r="BC75" i="2"/>
  <c r="AA76" i="2"/>
  <c r="AA82" i="2"/>
  <c r="BC82" i="2"/>
  <c r="BC76" i="2"/>
  <c r="CL76" i="2"/>
  <c r="T78" i="2"/>
  <c r="BQ78" i="2"/>
  <c r="CZ78" i="2"/>
  <c r="BJ79" i="2"/>
  <c r="DG79" i="2"/>
  <c r="DG85" i="2"/>
  <c r="T80" i="2"/>
  <c r="M81" i="2"/>
  <c r="AA87" i="2"/>
  <c r="AA81" i="2"/>
  <c r="F82" i="2"/>
  <c r="AO88" i="2"/>
  <c r="AO82" i="2"/>
  <c r="CL82" i="2"/>
  <c r="AO83" i="2"/>
  <c r="AH84" i="2"/>
  <c r="BQ90" i="2"/>
  <c r="CE84" i="2"/>
  <c r="DG88" i="2"/>
  <c r="DG94" i="2"/>
  <c r="AH90" i="2"/>
  <c r="CZ100" i="2"/>
  <c r="CL95" i="2"/>
  <c r="AV97" i="2"/>
  <c r="BJ98" i="2"/>
  <c r="BJ104" i="2"/>
  <c r="CZ105" i="2"/>
  <c r="CZ99" i="2"/>
  <c r="BJ106" i="2"/>
  <c r="BJ100" i="2"/>
  <c r="T107" i="2"/>
  <c r="T101" i="2"/>
  <c r="CL101" i="2"/>
  <c r="AH71" i="2"/>
  <c r="AA72" i="2"/>
  <c r="AO73" i="2"/>
  <c r="DG73" i="2"/>
  <c r="BX74" i="2"/>
  <c r="M75" i="2"/>
  <c r="AO77" i="2"/>
  <c r="CL77" i="2"/>
  <c r="AO80" i="2"/>
  <c r="AO86" i="2"/>
  <c r="CZ80" i="2"/>
  <c r="AV87" i="2"/>
  <c r="CL81" i="2"/>
  <c r="BX82" i="2"/>
  <c r="T91" i="2"/>
  <c r="T85" i="2"/>
  <c r="AH86" i="2"/>
  <c r="AH94" i="2"/>
  <c r="AH88" i="2"/>
  <c r="T89" i="2"/>
  <c r="CZ95" i="2"/>
  <c r="CZ89" i="2"/>
  <c r="AO96" i="2"/>
  <c r="AO90" i="2"/>
  <c r="M99" i="2"/>
  <c r="AH93" i="2"/>
  <c r="CS95" i="2"/>
  <c r="CS101" i="2"/>
  <c r="F103" i="2"/>
  <c r="F109" i="2"/>
  <c r="T72" i="2"/>
  <c r="DG72" i="2"/>
  <c r="AA73" i="2"/>
  <c r="CE73" i="2"/>
  <c r="CZ73" i="2"/>
  <c r="BQ81" i="2"/>
  <c r="F76" i="2"/>
  <c r="AH76" i="2"/>
  <c r="AV78" i="2"/>
  <c r="CE78" i="2"/>
  <c r="AA79" i="2"/>
  <c r="BC79" i="2"/>
  <c r="CL84" i="2"/>
  <c r="CL79" i="2"/>
  <c r="M80" i="2"/>
  <c r="BC80" i="2"/>
  <c r="BQ86" i="2"/>
  <c r="BQ80" i="2"/>
  <c r="AH81" i="2"/>
  <c r="BJ87" i="2"/>
  <c r="BJ86" i="2"/>
  <c r="BJ81" i="2"/>
  <c r="BX81" i="2"/>
  <c r="CZ83" i="2"/>
  <c r="BC84" i="2"/>
  <c r="CZ90" i="2"/>
  <c r="AO85" i="2"/>
  <c r="T87" i="2"/>
  <c r="BX87" i="2"/>
  <c r="AV90" i="2"/>
  <c r="F91" i="2"/>
  <c r="BX92" i="2"/>
  <c r="T95" i="2"/>
  <c r="BQ95" i="2"/>
  <c r="F96" i="2"/>
  <c r="CL102" i="2"/>
  <c r="CL96" i="2"/>
  <c r="AH83" i="2"/>
  <c r="AO84" i="2"/>
  <c r="CE91" i="2"/>
  <c r="BJ88" i="2"/>
  <c r="CL88" i="2"/>
  <c r="BX90" i="2"/>
  <c r="CE94" i="2"/>
  <c r="CE100" i="2"/>
  <c r="T98" i="2"/>
  <c r="T103" i="2"/>
  <c r="CS104" i="2"/>
  <c r="CS98" i="2"/>
  <c r="AA108" i="2"/>
  <c r="AA102" i="2"/>
  <c r="F71" i="2"/>
  <c r="AH72" i="2"/>
  <c r="BX73" i="2"/>
  <c r="M74" i="2"/>
  <c r="DG74" i="2"/>
  <c r="AA75" i="2"/>
  <c r="DG75" i="2"/>
  <c r="M78" i="2"/>
  <c r="CS78" i="2"/>
  <c r="F79" i="2"/>
  <c r="AH79" i="2"/>
  <c r="CZ85" i="2"/>
  <c r="AA80" i="2"/>
  <c r="CE80" i="2"/>
  <c r="DG86" i="2"/>
  <c r="F81" i="2"/>
  <c r="CE87" i="2"/>
  <c r="CE81" i="2"/>
  <c r="CS81" i="2"/>
  <c r="AV82" i="2"/>
  <c r="M83" i="2"/>
  <c r="BX84" i="2"/>
  <c r="DG90" i="2"/>
  <c r="AA91" i="2"/>
  <c r="CE85" i="2"/>
  <c r="M86" i="2"/>
  <c r="CZ87" i="2"/>
  <c r="F89" i="2"/>
  <c r="AH89" i="2"/>
  <c r="F98" i="2"/>
  <c r="F92" i="2"/>
  <c r="CL94" i="2"/>
  <c r="AV95" i="2"/>
  <c r="BX95" i="2"/>
  <c r="F97" i="2"/>
  <c r="CE97" i="2"/>
  <c r="CZ98" i="2"/>
  <c r="CZ102" i="2"/>
  <c r="CZ104" i="2"/>
  <c r="CS102" i="2"/>
  <c r="T116" i="2"/>
  <c r="AV110" i="2"/>
  <c r="CZ110" i="2"/>
  <c r="BJ111" i="2"/>
  <c r="M118" i="2"/>
  <c r="M112" i="2"/>
  <c r="M116" i="2"/>
  <c r="BJ118" i="2"/>
  <c r="DG112" i="2"/>
  <c r="DG118" i="2"/>
  <c r="CS113" i="2"/>
  <c r="DG119" i="2"/>
  <c r="DG114" i="2"/>
  <c r="M115" i="2"/>
  <c r="AV115" i="2"/>
  <c r="BQ120" i="2"/>
  <c r="BQ115" i="2"/>
  <c r="F116" i="2"/>
  <c r="AA121" i="2"/>
  <c r="AA116" i="2"/>
  <c r="CZ116" i="2"/>
  <c r="BX128" i="2"/>
  <c r="BX134" i="2"/>
  <c r="BX132" i="2"/>
  <c r="AO76" i="2"/>
  <c r="CS76" i="2"/>
  <c r="BX77" i="2"/>
  <c r="BC78" i="2"/>
  <c r="DG78" i="2"/>
  <c r="M79" i="2"/>
  <c r="AO79" i="2"/>
  <c r="CS79" i="2"/>
  <c r="BJ80" i="2"/>
  <c r="T81" i="2"/>
  <c r="F83" i="2"/>
  <c r="BC89" i="2"/>
  <c r="BC83" i="2"/>
  <c r="BJ83" i="2"/>
  <c r="CL83" i="2"/>
  <c r="M90" i="2"/>
  <c r="M84" i="2"/>
  <c r="T84" i="2"/>
  <c r="CS85" i="2"/>
  <c r="AV86" i="2"/>
  <c r="BC87" i="2"/>
  <c r="CS87" i="2"/>
  <c r="M88" i="2"/>
  <c r="BC88" i="2"/>
  <c r="M89" i="2"/>
  <c r="CE89" i="2"/>
  <c r="CL90" i="2"/>
  <c r="DG97" i="2"/>
  <c r="BQ98" i="2"/>
  <c r="AA99" i="2"/>
  <c r="CZ94" i="2"/>
  <c r="AO95" i="2"/>
  <c r="DG95" i="2"/>
  <c r="BQ96" i="2"/>
  <c r="DG96" i="2"/>
  <c r="AA97" i="2"/>
  <c r="BQ103" i="2"/>
  <c r="BQ97" i="2"/>
  <c r="AH98" i="2"/>
  <c r="BC98" i="2"/>
  <c r="BC105" i="2"/>
  <c r="M106" i="2"/>
  <c r="CE107" i="2"/>
  <c r="AV102" i="2"/>
  <c r="T104" i="2"/>
  <c r="BX104" i="2"/>
  <c r="BC108" i="2"/>
  <c r="DG108" i="2"/>
  <c r="F110" i="2"/>
  <c r="T110" i="2"/>
  <c r="AH110" i="2"/>
  <c r="BJ110" i="2"/>
  <c r="BX110" i="2"/>
  <c r="CL110" i="2"/>
  <c r="F111" i="2"/>
  <c r="T117" i="2"/>
  <c r="CS111" i="2"/>
  <c r="DG111" i="2"/>
  <c r="AH118" i="2"/>
  <c r="BJ112" i="2"/>
  <c r="T114" i="2"/>
  <c r="BJ116" i="2"/>
  <c r="CS117" i="2"/>
  <c r="BX131" i="2"/>
  <c r="BX85" i="2"/>
  <c r="BQ82" i="2"/>
  <c r="CS88" i="2"/>
  <c r="AH85" i="2"/>
  <c r="CL85" i="2"/>
  <c r="AO92" i="2"/>
  <c r="CE90" i="2"/>
  <c r="AA92" i="2"/>
  <c r="CS93" i="2"/>
  <c r="CS100" i="2"/>
  <c r="AA104" i="2"/>
  <c r="AA98" i="2"/>
  <c r="BX98" i="2"/>
  <c r="AO101" i="2"/>
  <c r="AO108" i="2"/>
  <c r="AO109" i="2"/>
  <c r="AO103" i="2"/>
  <c r="CS109" i="2"/>
  <c r="CS103" i="2"/>
  <c r="F104" i="2"/>
  <c r="AV104" i="2"/>
  <c r="AH105" i="2"/>
  <c r="CL105" i="2"/>
  <c r="AO114" i="2"/>
  <c r="M114" i="2"/>
  <c r="M109" i="2"/>
  <c r="BQ109" i="2"/>
  <c r="AH111" i="2"/>
  <c r="AV111" i="2"/>
  <c r="BQ116" i="2"/>
  <c r="AV112" i="2"/>
  <c r="T113" i="2"/>
  <c r="AV116" i="2"/>
  <c r="CL122" i="2"/>
  <c r="CL116" i="2"/>
  <c r="AV123" i="2"/>
  <c r="AV122" i="2"/>
  <c r="AV117" i="2"/>
  <c r="CZ119" i="2"/>
  <c r="BX122" i="2"/>
  <c r="AA83" i="2"/>
  <c r="DG89" i="2"/>
  <c r="DG83" i="2"/>
  <c r="DG93" i="2"/>
  <c r="BQ94" i="2"/>
  <c r="AA95" i="2"/>
  <c r="AO91" i="2"/>
  <c r="CL91" i="2"/>
  <c r="DG91" i="2"/>
  <c r="BQ92" i="2"/>
  <c r="DG92" i="2"/>
  <c r="AA93" i="2"/>
  <c r="AV93" i="2"/>
  <c r="BQ93" i="2"/>
  <c r="BC101" i="2"/>
  <c r="M102" i="2"/>
  <c r="CE103" i="2"/>
  <c r="AV98" i="2"/>
  <c r="BC99" i="2"/>
  <c r="CS105" i="2"/>
  <c r="CS99" i="2"/>
  <c r="M100" i="2"/>
  <c r="BC106" i="2"/>
  <c r="BC100" i="2"/>
  <c r="M107" i="2"/>
  <c r="M101" i="2"/>
  <c r="CE101" i="2"/>
  <c r="CZ101" i="2"/>
  <c r="DG102" i="2"/>
  <c r="F105" i="2"/>
  <c r="BX105" i="2"/>
  <c r="AV106" i="2"/>
  <c r="CZ106" i="2"/>
  <c r="BQ108" i="2"/>
  <c r="CE115" i="2"/>
  <c r="AA110" i="2"/>
  <c r="CE110" i="2"/>
  <c r="CE111" i="2"/>
  <c r="T118" i="2"/>
  <c r="CE112" i="2"/>
  <c r="CE119" i="2"/>
  <c r="CE113" i="2"/>
  <c r="AA120" i="2"/>
  <c r="DG115" i="2"/>
  <c r="CL118" i="2"/>
  <c r="T120" i="2"/>
  <c r="BJ120" i="2"/>
  <c r="BJ126" i="2"/>
  <c r="T121" i="2"/>
  <c r="CL121" i="2"/>
  <c r="AH129" i="2"/>
  <c r="AH123" i="2"/>
  <c r="CE86" i="2"/>
  <c r="AA88" i="2"/>
  <c r="BX89" i="2"/>
  <c r="CS96" i="2"/>
  <c r="BJ91" i="2"/>
  <c r="T92" i="2"/>
  <c r="CL93" i="2"/>
  <c r="F94" i="2"/>
  <c r="AA94" i="2"/>
  <c r="CS94" i="2"/>
  <c r="BJ96" i="2"/>
  <c r="T97" i="2"/>
  <c r="AO97" i="2"/>
  <c r="AO104" i="2"/>
  <c r="F99" i="2"/>
  <c r="BX100" i="2"/>
  <c r="AH101" i="2"/>
  <c r="AO102" i="2"/>
  <c r="BJ102" i="2"/>
  <c r="CE108" i="2"/>
  <c r="CE102" i="2"/>
  <c r="BC110" i="2"/>
  <c r="BC104" i="2"/>
  <c r="DG110" i="2"/>
  <c r="DG104" i="2"/>
  <c r="F106" i="2"/>
  <c r="BX106" i="2"/>
  <c r="F107" i="2"/>
  <c r="BJ107" i="2"/>
  <c r="AO117" i="2"/>
  <c r="AO111" i="2"/>
  <c r="BC117" i="2"/>
  <c r="BC111" i="2"/>
  <c r="BC115" i="2"/>
  <c r="T112" i="2"/>
  <c r="CZ118" i="2"/>
  <c r="F119" i="2"/>
  <c r="F113" i="2"/>
  <c r="AV114" i="2"/>
  <c r="CE114" i="2"/>
  <c r="CE120" i="2"/>
  <c r="F115" i="2"/>
  <c r="AO115" i="2"/>
  <c r="AO121" i="2"/>
  <c r="BX115" i="2"/>
  <c r="CS124" i="2"/>
  <c r="CS118" i="2"/>
  <c r="CS121" i="2"/>
  <c r="AV136" i="2"/>
  <c r="DG105" i="2"/>
  <c r="BQ106" i="2"/>
  <c r="AA107" i="2"/>
  <c r="M111" i="2"/>
  <c r="M105" i="2"/>
  <c r="BQ105" i="2"/>
  <c r="AH107" i="2"/>
  <c r="F114" i="2"/>
  <c r="BJ114" i="2"/>
  <c r="CZ111" i="2"/>
  <c r="BC112" i="2"/>
  <c r="BC118" i="2"/>
  <c r="CZ112" i="2"/>
  <c r="AV113" i="2"/>
  <c r="BQ113" i="2"/>
  <c r="BQ119" i="2"/>
  <c r="BX120" i="2"/>
  <c r="BX119" i="2"/>
  <c r="BX116" i="2"/>
  <c r="F117" i="2"/>
  <c r="CE123" i="2"/>
  <c r="CE121" i="2"/>
  <c r="CE117" i="2"/>
  <c r="F123" i="2"/>
  <c r="F129" i="2"/>
  <c r="BX123" i="2"/>
  <c r="AH124" i="2"/>
  <c r="AV131" i="2"/>
  <c r="AV137" i="2"/>
  <c r="AV134" i="2"/>
  <c r="CS92" i="2"/>
  <c r="CL89" i="2"/>
  <c r="AA90" i="2"/>
  <c r="M91" i="2"/>
  <c r="CZ91" i="2"/>
  <c r="BJ92" i="2"/>
  <c r="CE92" i="2"/>
  <c r="T93" i="2"/>
  <c r="AO100" i="2"/>
  <c r="F95" i="2"/>
  <c r="BX96" i="2"/>
  <c r="AH97" i="2"/>
  <c r="AO98" i="2"/>
  <c r="CE104" i="2"/>
  <c r="CE98" i="2"/>
  <c r="AV99" i="2"/>
  <c r="BQ99" i="2"/>
  <c r="F100" i="2"/>
  <c r="AA100" i="2"/>
  <c r="BX101" i="2"/>
  <c r="CS108" i="2"/>
  <c r="BQ104" i="2"/>
  <c r="AA106" i="2"/>
  <c r="CE106" i="2"/>
  <c r="T108" i="2"/>
  <c r="AH114" i="2"/>
  <c r="BX108" i="2"/>
  <c r="BX114" i="2"/>
  <c r="CZ114" i="2"/>
  <c r="T115" i="2"/>
  <c r="CL111" i="2"/>
  <c r="F112" i="2"/>
  <c r="AA117" i="2"/>
  <c r="CL112" i="2"/>
  <c r="AA113" i="2"/>
  <c r="CL117" i="2"/>
  <c r="F125" i="2"/>
  <c r="BX126" i="2"/>
  <c r="AA122" i="2"/>
  <c r="AA124" i="2"/>
  <c r="AA128" i="2"/>
  <c r="AA125" i="2"/>
  <c r="BX124" i="2"/>
  <c r="BX130" i="2"/>
  <c r="BJ128" i="2"/>
  <c r="BJ134" i="2"/>
  <c r="CS80" i="2"/>
  <c r="BC86" i="2"/>
  <c r="BC93" i="2"/>
  <c r="M94" i="2"/>
  <c r="CE95" i="2"/>
  <c r="AH91" i="2"/>
  <c r="BX91" i="2"/>
  <c r="CS91" i="2"/>
  <c r="AH92" i="2"/>
  <c r="BC92" i="2"/>
  <c r="CZ92" i="2"/>
  <c r="M93" i="2"/>
  <c r="BJ93" i="2"/>
  <c r="CZ93" i="2"/>
  <c r="DG101" i="2"/>
  <c r="BQ102" i="2"/>
  <c r="AA103" i="2"/>
  <c r="T99" i="2"/>
  <c r="AO105" i="2"/>
  <c r="AO99" i="2"/>
  <c r="CL99" i="2"/>
  <c r="DG99" i="2"/>
  <c r="AV100" i="2"/>
  <c r="BQ100" i="2"/>
  <c r="CL100" i="2"/>
  <c r="DG106" i="2"/>
  <c r="DG100" i="2"/>
  <c r="F101" i="2"/>
  <c r="AA101" i="2"/>
  <c r="AV101" i="2"/>
  <c r="BQ107" i="2"/>
  <c r="BQ101" i="2"/>
  <c r="AH102" i="2"/>
  <c r="BJ103" i="2"/>
  <c r="AA105" i="2"/>
  <c r="CE105" i="2"/>
  <c r="AO107" i="2"/>
  <c r="CS107" i="2"/>
  <c r="F108" i="2"/>
  <c r="AH108" i="2"/>
  <c r="AV108" i="2"/>
  <c r="BJ108" i="2"/>
  <c r="CL108" i="2"/>
  <c r="CZ108" i="2"/>
  <c r="AH109" i="2"/>
  <c r="AH115" i="2"/>
  <c r="BJ115" i="2"/>
  <c r="CL109" i="2"/>
  <c r="BX111" i="2"/>
  <c r="AA112" i="2"/>
  <c r="AO112" i="2"/>
  <c r="BX118" i="2"/>
  <c r="BX112" i="2"/>
  <c r="AH119" i="2"/>
  <c r="AH113" i="2"/>
  <c r="CL113" i="2"/>
  <c r="BQ114" i="2"/>
  <c r="AA115" i="2"/>
  <c r="CZ121" i="2"/>
  <c r="CZ120" i="2"/>
  <c r="CZ115" i="2"/>
  <c r="AV118" i="2"/>
  <c r="CS122" i="2"/>
  <c r="CZ127" i="2"/>
  <c r="CZ132" i="2"/>
  <c r="CZ133" i="2"/>
  <c r="BJ137" i="2"/>
  <c r="BJ131" i="2"/>
  <c r="CS112" i="2"/>
  <c r="BC113" i="2"/>
  <c r="AO120" i="2"/>
  <c r="CS115" i="2"/>
  <c r="BC116" i="2"/>
  <c r="M117" i="2"/>
  <c r="BJ117" i="2"/>
  <c r="CZ117" i="2"/>
  <c r="DG125" i="2"/>
  <c r="BQ126" i="2"/>
  <c r="AA127" i="2"/>
  <c r="CZ122" i="2"/>
  <c r="T123" i="2"/>
  <c r="AO123" i="2"/>
  <c r="CL123" i="2"/>
  <c r="DG123" i="2"/>
  <c r="AV124" i="2"/>
  <c r="BQ124" i="2"/>
  <c r="CL124" i="2"/>
  <c r="AH125" i="2"/>
  <c r="BQ125" i="2"/>
  <c r="CE131" i="2"/>
  <c r="AV126" i="2"/>
  <c r="CE126" i="2"/>
  <c r="CS132" i="2"/>
  <c r="BX127" i="2"/>
  <c r="AH128" i="2"/>
  <c r="M135" i="2"/>
  <c r="M129" i="2"/>
  <c r="AA135" i="2"/>
  <c r="CE129" i="2"/>
  <c r="AA136" i="2"/>
  <c r="AA130" i="2"/>
  <c r="AO136" i="2"/>
  <c r="CS130" i="2"/>
  <c r="T131" i="2"/>
  <c r="CE132" i="2"/>
  <c r="AA133" i="2"/>
  <c r="BX133" i="2"/>
  <c r="AO134" i="2"/>
  <c r="CZ134" i="2"/>
  <c r="BX135" i="2"/>
  <c r="T137" i="2"/>
  <c r="CZ137" i="2"/>
  <c r="F138" i="2"/>
  <c r="T140" i="2"/>
  <c r="T146" i="2"/>
  <c r="BC146" i="2"/>
  <c r="BC140" i="2"/>
  <c r="BQ140" i="2"/>
  <c r="CZ140" i="2"/>
  <c r="F141" i="2"/>
  <c r="BX141" i="2"/>
  <c r="AV142" i="2"/>
  <c r="AV148" i="2"/>
  <c r="BX144" i="2"/>
  <c r="BX150" i="2"/>
  <c r="T145" i="2"/>
  <c r="CS148" i="2"/>
  <c r="CS154" i="2"/>
  <c r="CS150" i="2"/>
  <c r="M113" i="2"/>
  <c r="AH117" i="2"/>
  <c r="AO118" i="2"/>
  <c r="CE118" i="2"/>
  <c r="AV119" i="2"/>
  <c r="F120" i="2"/>
  <c r="BX121" i="2"/>
  <c r="CS128" i="2"/>
  <c r="BJ123" i="2"/>
  <c r="T124" i="2"/>
  <c r="AV125" i="2"/>
  <c r="F127" i="2"/>
  <c r="AO127" i="2"/>
  <c r="BC133" i="2"/>
  <c r="DG127" i="2"/>
  <c r="M134" i="2"/>
  <c r="BQ128" i="2"/>
  <c r="CZ128" i="2"/>
  <c r="F130" i="2"/>
  <c r="DG130" i="2"/>
  <c r="BC131" i="2"/>
  <c r="CZ131" i="2"/>
  <c r="M132" i="2"/>
  <c r="AV132" i="2"/>
  <c r="BJ132" i="2"/>
  <c r="AO133" i="2"/>
  <c r="CL134" i="2"/>
  <c r="BJ135" i="2"/>
  <c r="BJ141" i="2"/>
  <c r="CS141" i="2"/>
  <c r="CS135" i="2"/>
  <c r="M136" i="2"/>
  <c r="CL137" i="2"/>
  <c r="CL143" i="2"/>
  <c r="AA144" i="2"/>
  <c r="AA138" i="2"/>
  <c r="BX138" i="2"/>
  <c r="CZ139" i="2"/>
  <c r="F140" i="2"/>
  <c r="AH147" i="2"/>
  <c r="AH141" i="2"/>
  <c r="AA145" i="2"/>
  <c r="AA142" i="2"/>
  <c r="AV143" i="2"/>
  <c r="CL151" i="2"/>
  <c r="CL145" i="2"/>
  <c r="AH146" i="2"/>
  <c r="BC109" i="2"/>
  <c r="DG109" i="2"/>
  <c r="M110" i="2"/>
  <c r="BQ110" i="2"/>
  <c r="AA111" i="2"/>
  <c r="DG113" i="2"/>
  <c r="CS120" i="2"/>
  <c r="BC121" i="2"/>
  <c r="M122" i="2"/>
  <c r="BQ122" i="2"/>
  <c r="AA123" i="2"/>
  <c r="T119" i="2"/>
  <c r="AO119" i="2"/>
  <c r="CL119" i="2"/>
  <c r="AV120" i="2"/>
  <c r="CL120" i="2"/>
  <c r="DG120" i="2"/>
  <c r="F121" i="2"/>
  <c r="AV121" i="2"/>
  <c r="BQ121" i="2"/>
  <c r="BC122" i="2"/>
  <c r="BC129" i="2"/>
  <c r="M130" i="2"/>
  <c r="M125" i="2"/>
  <c r="AA131" i="2"/>
  <c r="AA126" i="2"/>
  <c r="AO132" i="2"/>
  <c r="CS126" i="2"/>
  <c r="T127" i="2"/>
  <c r="AA129" i="2"/>
  <c r="BJ129" i="2"/>
  <c r="BX129" i="2"/>
  <c r="AO130" i="2"/>
  <c r="CL130" i="2"/>
  <c r="BQ131" i="2"/>
  <c r="AA132" i="2"/>
  <c r="T133" i="2"/>
  <c r="CL133" i="2"/>
  <c r="AH134" i="2"/>
  <c r="AV135" i="2"/>
  <c r="AH136" i="2"/>
  <c r="BX137" i="2"/>
  <c r="BJ138" i="2"/>
  <c r="AH139" i="2"/>
  <c r="BX146" i="2"/>
  <c r="BX140" i="2"/>
  <c r="DG146" i="2"/>
  <c r="DG143" i="2"/>
  <c r="DG140" i="2"/>
  <c r="M144" i="2"/>
  <c r="M147" i="2"/>
  <c r="M141" i="2"/>
  <c r="F143" i="2"/>
  <c r="F149" i="2"/>
  <c r="T144" i="2"/>
  <c r="T150" i="2"/>
  <c r="F146" i="2"/>
  <c r="AV147" i="2"/>
  <c r="AH148" i="2"/>
  <c r="AH154" i="2"/>
  <c r="BQ154" i="2"/>
  <c r="BQ148" i="2"/>
  <c r="M152" i="2"/>
  <c r="F132" i="2"/>
  <c r="DG138" i="2"/>
  <c r="DG132" i="2"/>
  <c r="T136" i="2"/>
  <c r="T142" i="2"/>
  <c r="BC142" i="2"/>
  <c r="BC136" i="2"/>
  <c r="F137" i="2"/>
  <c r="AV138" i="2"/>
  <c r="AV144" i="2"/>
  <c r="CE144" i="2"/>
  <c r="CE138" i="2"/>
  <c r="T139" i="2"/>
  <c r="AH145" i="2"/>
  <c r="AH151" i="2"/>
  <c r="BC152" i="2"/>
  <c r="BC158" i="2"/>
  <c r="CS116" i="2"/>
  <c r="AA114" i="2"/>
  <c r="CS114" i="2"/>
  <c r="DG121" i="2"/>
  <c r="DG116" i="2"/>
  <c r="BQ117" i="2"/>
  <c r="BC125" i="2"/>
  <c r="M126" i="2"/>
  <c r="CE127" i="2"/>
  <c r="BC123" i="2"/>
  <c r="CS123" i="2"/>
  <c r="M124" i="2"/>
  <c r="BC124" i="2"/>
  <c r="BJ125" i="2"/>
  <c r="BX125" i="2"/>
  <c r="CL126" i="2"/>
  <c r="T129" i="2"/>
  <c r="CL129" i="2"/>
  <c r="AH130" i="2"/>
  <c r="M131" i="2"/>
  <c r="CL132" i="2"/>
  <c r="BQ139" i="2"/>
  <c r="BQ133" i="2"/>
  <c r="CE139" i="2"/>
  <c r="CZ135" i="2"/>
  <c r="F136" i="2"/>
  <c r="CL136" i="2"/>
  <c r="AH138" i="2"/>
  <c r="F139" i="2"/>
  <c r="F145" i="2"/>
  <c r="AO145" i="2"/>
  <c r="AO139" i="2"/>
  <c r="BC139" i="2"/>
  <c r="CL139" i="2"/>
  <c r="T141" i="2"/>
  <c r="CE141" i="2"/>
  <c r="CZ142" i="2"/>
  <c r="BX143" i="2"/>
  <c r="AV146" i="2"/>
  <c r="AA151" i="2"/>
  <c r="AA157" i="2"/>
  <c r="DG117" i="2"/>
  <c r="BQ118" i="2"/>
  <c r="AA119" i="2"/>
  <c r="F118" i="2"/>
  <c r="AA118" i="2"/>
  <c r="M119" i="2"/>
  <c r="AO128" i="2"/>
  <c r="AO125" i="2"/>
  <c r="AH127" i="2"/>
  <c r="AV127" i="2"/>
  <c r="F128" i="2"/>
  <c r="DG134" i="2"/>
  <c r="DG128" i="2"/>
  <c r="CZ129" i="2"/>
  <c r="CS137" i="2"/>
  <c r="CS131" i="2"/>
  <c r="DG137" i="2"/>
  <c r="T132" i="2"/>
  <c r="BC138" i="2"/>
  <c r="BC132" i="2"/>
  <c r="BQ138" i="2"/>
  <c r="AV133" i="2"/>
  <c r="AH135" i="2"/>
  <c r="BX136" i="2"/>
  <c r="BX142" i="2"/>
  <c r="DG142" i="2"/>
  <c r="DG136" i="2"/>
  <c r="M143" i="2"/>
  <c r="M137" i="2"/>
  <c r="CZ138" i="2"/>
  <c r="CZ144" i="2"/>
  <c r="BX139" i="2"/>
  <c r="CL141" i="2"/>
  <c r="CE145" i="2"/>
  <c r="CE148" i="2"/>
  <c r="CE142" i="2"/>
  <c r="BJ144" i="2"/>
  <c r="CZ145" i="2"/>
  <c r="CS119" i="2"/>
  <c r="BC120" i="2"/>
  <c r="M121" i="2"/>
  <c r="DG129" i="2"/>
  <c r="BQ130" i="2"/>
  <c r="T125" i="2"/>
  <c r="T126" i="2"/>
  <c r="AH126" i="2"/>
  <c r="CZ126" i="2"/>
  <c r="M127" i="2"/>
  <c r="BQ135" i="2"/>
  <c r="BQ129" i="2"/>
  <c r="CE135" i="2"/>
  <c r="CE136" i="2"/>
  <c r="CE130" i="2"/>
  <c r="CS136" i="2"/>
  <c r="AH132" i="2"/>
  <c r="M139" i="2"/>
  <c r="M133" i="2"/>
  <c r="AA139" i="2"/>
  <c r="CE133" i="2"/>
  <c r="AA140" i="2"/>
  <c r="AA134" i="2"/>
  <c r="CE140" i="2"/>
  <c r="CE134" i="2"/>
  <c r="CS134" i="2"/>
  <c r="BJ136" i="2"/>
  <c r="CL138" i="2"/>
  <c r="BJ139" i="2"/>
  <c r="BJ145" i="2"/>
  <c r="CS145" i="2"/>
  <c r="CS139" i="2"/>
  <c r="AV140" i="2"/>
  <c r="BQ147" i="2"/>
  <c r="BQ144" i="2"/>
  <c r="BQ141" i="2"/>
  <c r="BJ142" i="2"/>
  <c r="BJ143" i="2"/>
  <c r="BJ149" i="2"/>
  <c r="AH144" i="2"/>
  <c r="AO124" i="2"/>
  <c r="AH121" i="2"/>
  <c r="T122" i="2"/>
  <c r="AO122" i="2"/>
  <c r="BJ122" i="2"/>
  <c r="CE122" i="2"/>
  <c r="F124" i="2"/>
  <c r="DG124" i="2"/>
  <c r="CZ125" i="2"/>
  <c r="BJ127" i="2"/>
  <c r="CS127" i="2"/>
  <c r="DG133" i="2"/>
  <c r="T128" i="2"/>
  <c r="BC134" i="2"/>
  <c r="BC128" i="2"/>
  <c r="BQ134" i="2"/>
  <c r="AV129" i="2"/>
  <c r="BJ130" i="2"/>
  <c r="F131" i="2"/>
  <c r="AO137" i="2"/>
  <c r="AO131" i="2"/>
  <c r="BC137" i="2"/>
  <c r="DG131" i="2"/>
  <c r="M138" i="2"/>
  <c r="BQ132" i="2"/>
  <c r="CS133" i="2"/>
  <c r="F134" i="2"/>
  <c r="F135" i="2"/>
  <c r="AO141" i="2"/>
  <c r="AO135" i="2"/>
  <c r="BC135" i="2"/>
  <c r="CL135" i="2"/>
  <c r="AH137" i="2"/>
  <c r="AH143" i="2"/>
  <c r="BQ143" i="2"/>
  <c r="BQ137" i="2"/>
  <c r="CE137" i="2"/>
  <c r="T138" i="2"/>
  <c r="AV139" i="2"/>
  <c r="AH140" i="2"/>
  <c r="AV141" i="2"/>
  <c r="CL142" i="2"/>
  <c r="AO146" i="2"/>
  <c r="AO149" i="2"/>
  <c r="AO143" i="2"/>
  <c r="F144" i="2"/>
  <c r="CL146" i="2"/>
  <c r="CS143" i="2"/>
  <c r="BC144" i="2"/>
  <c r="DG144" i="2"/>
  <c r="M145" i="2"/>
  <c r="BQ145" i="2"/>
  <c r="AA146" i="2"/>
  <c r="BQ146" i="2"/>
  <c r="AA147" i="2"/>
  <c r="CL147" i="2"/>
  <c r="M149" i="2"/>
  <c r="AV149" i="2"/>
  <c r="DG149" i="2"/>
  <c r="F150" i="2"/>
  <c r="AH150" i="2"/>
  <c r="AA152" i="2"/>
  <c r="AV152" i="2"/>
  <c r="BQ152" i="2"/>
  <c r="CL152" i="2"/>
  <c r="BC153" i="2"/>
  <c r="CS159" i="2"/>
  <c r="M154" i="2"/>
  <c r="BC160" i="2"/>
  <c r="AA156" i="2"/>
  <c r="AV156" i="2"/>
  <c r="BQ156" i="2"/>
  <c r="CL156" i="2"/>
  <c r="BC157" i="2"/>
  <c r="BQ163" i="2"/>
  <c r="M158" i="2"/>
  <c r="AA164" i="2"/>
  <c r="BC159" i="2"/>
  <c r="BX159" i="2"/>
  <c r="BX160" i="2"/>
  <c r="CL160" i="2"/>
  <c r="AH161" i="2"/>
  <c r="AV161" i="2"/>
  <c r="AO163" i="2"/>
  <c r="CL163" i="2"/>
  <c r="BC164" i="2"/>
  <c r="CL170" i="2"/>
  <c r="CL164" i="2"/>
  <c r="AO166" i="2"/>
  <c r="F167" i="2"/>
  <c r="CE167" i="2"/>
  <c r="CE170" i="2"/>
  <c r="CE173" i="2"/>
  <c r="AA175" i="2"/>
  <c r="AA169" i="2"/>
  <c r="BC174" i="2"/>
  <c r="CS146" i="2"/>
  <c r="BC147" i="2"/>
  <c r="BX148" i="2"/>
  <c r="DG148" i="2"/>
  <c r="BX149" i="2"/>
  <c r="BC150" i="2"/>
  <c r="CE151" i="2"/>
  <c r="CZ151" i="2"/>
  <c r="T152" i="2"/>
  <c r="AA153" i="2"/>
  <c r="AV153" i="2"/>
  <c r="CS153" i="2"/>
  <c r="F154" i="2"/>
  <c r="BC154" i="2"/>
  <c r="BX154" i="2"/>
  <c r="M161" i="2"/>
  <c r="CE155" i="2"/>
  <c r="T156" i="2"/>
  <c r="F157" i="2"/>
  <c r="AV157" i="2"/>
  <c r="CS157" i="2"/>
  <c r="F158" i="2"/>
  <c r="BX158" i="2"/>
  <c r="F160" i="2"/>
  <c r="AV160" i="2"/>
  <c r="F161" i="2"/>
  <c r="F162" i="2"/>
  <c r="AA163" i="2"/>
  <c r="BJ168" i="2"/>
  <c r="BX163" i="2"/>
  <c r="DG168" i="2"/>
  <c r="BX164" i="2"/>
  <c r="DG170" i="2"/>
  <c r="DG164" i="2"/>
  <c r="DG166" i="2"/>
  <c r="F166" i="2"/>
  <c r="BQ166" i="2"/>
  <c r="BQ172" i="2"/>
  <c r="BQ175" i="2"/>
  <c r="BQ173" i="2"/>
  <c r="BQ169" i="2"/>
  <c r="CL173" i="2"/>
  <c r="AO140" i="2"/>
  <c r="CS140" i="2"/>
  <c r="BC141" i="2"/>
  <c r="DG141" i="2"/>
  <c r="M142" i="2"/>
  <c r="BQ142" i="2"/>
  <c r="AA143" i="2"/>
  <c r="CE143" i="2"/>
  <c r="AO144" i="2"/>
  <c r="CS144" i="2"/>
  <c r="BC145" i="2"/>
  <c r="DG145" i="2"/>
  <c r="M146" i="2"/>
  <c r="BJ146" i="2"/>
  <c r="T147" i="2"/>
  <c r="CE147" i="2"/>
  <c r="M148" i="2"/>
  <c r="AH149" i="2"/>
  <c r="CZ149" i="2"/>
  <c r="AV150" i="2"/>
  <c r="M151" i="2"/>
  <c r="BC151" i="2"/>
  <c r="BX151" i="2"/>
  <c r="CL153" i="2"/>
  <c r="AV154" i="2"/>
  <c r="M155" i="2"/>
  <c r="AH155" i="2"/>
  <c r="BC155" i="2"/>
  <c r="BX161" i="2"/>
  <c r="BX155" i="2"/>
  <c r="CZ161" i="2"/>
  <c r="CL157" i="2"/>
  <c r="AV158" i="2"/>
  <c r="M159" i="2"/>
  <c r="AA159" i="2"/>
  <c r="AV159" i="2"/>
  <c r="BQ159" i="2"/>
  <c r="AH160" i="2"/>
  <c r="BQ167" i="2"/>
  <c r="CE168" i="2"/>
  <c r="CE162" i="2"/>
  <c r="BJ163" i="2"/>
  <c r="M164" i="2"/>
  <c r="M169" i="2"/>
  <c r="BX166" i="2"/>
  <c r="BX171" i="2"/>
  <c r="T160" i="2"/>
  <c r="BJ156" i="2"/>
  <c r="BJ162" i="2"/>
  <c r="BQ160" i="2"/>
  <c r="AA161" i="2"/>
  <c r="BQ161" i="2"/>
  <c r="CS167" i="2"/>
  <c r="CS165" i="2"/>
  <c r="CS169" i="2"/>
  <c r="CZ165" i="2"/>
  <c r="CZ179" i="2"/>
  <c r="CZ173" i="2"/>
  <c r="CE146" i="2"/>
  <c r="F147" i="2"/>
  <c r="AO147" i="2"/>
  <c r="BX147" i="2"/>
  <c r="F148" i="2"/>
  <c r="CL149" i="2"/>
  <c r="CS149" i="2"/>
  <c r="BQ150" i="2"/>
  <c r="CL150" i="2"/>
  <c r="AH152" i="2"/>
  <c r="CE152" i="2"/>
  <c r="DG153" i="2"/>
  <c r="CE160" i="2"/>
  <c r="M156" i="2"/>
  <c r="AH162" i="2"/>
  <c r="AH156" i="2"/>
  <c r="CE156" i="2"/>
  <c r="M163" i="2"/>
  <c r="CE164" i="2"/>
  <c r="CL158" i="2"/>
  <c r="CE159" i="2"/>
  <c r="DG159" i="2"/>
  <c r="AO160" i="2"/>
  <c r="BC162" i="2"/>
  <c r="AV163" i="2"/>
  <c r="CS163" i="2"/>
  <c r="AV164" i="2"/>
  <c r="F165" i="2"/>
  <c r="CE165" i="2"/>
  <c r="T168" i="2"/>
  <c r="T173" i="2"/>
  <c r="T174" i="2"/>
  <c r="CL168" i="2"/>
  <c r="CL172" i="2"/>
  <c r="BX170" i="2"/>
  <c r="CZ171" i="2"/>
  <c r="CZ147" i="2"/>
  <c r="AA149" i="2"/>
  <c r="AO150" i="2"/>
  <c r="BJ150" i="2"/>
  <c r="DG150" i="2"/>
  <c r="AV151" i="2"/>
  <c r="BX152" i="2"/>
  <c r="AO153" i="2"/>
  <c r="BJ153" i="2"/>
  <c r="CZ153" i="2"/>
  <c r="T154" i="2"/>
  <c r="AO154" i="2"/>
  <c r="BJ154" i="2"/>
  <c r="AA155" i="2"/>
  <c r="AO161" i="2"/>
  <c r="BC156" i="2"/>
  <c r="BX156" i="2"/>
  <c r="CS162" i="2"/>
  <c r="AO157" i="2"/>
  <c r="BJ157" i="2"/>
  <c r="CZ157" i="2"/>
  <c r="T158" i="2"/>
  <c r="AO158" i="2"/>
  <c r="BJ158" i="2"/>
  <c r="BJ159" i="2"/>
  <c r="CL161" i="2"/>
  <c r="AH170" i="2"/>
  <c r="AH164" i="2"/>
  <c r="DG165" i="2"/>
  <c r="DG171" i="2"/>
  <c r="F170" i="2"/>
  <c r="AV175" i="2"/>
  <c r="AV181" i="2"/>
  <c r="CZ146" i="2"/>
  <c r="BJ147" i="2"/>
  <c r="CS147" i="2"/>
  <c r="BJ148" i="2"/>
  <c r="BC149" i="2"/>
  <c r="M150" i="2"/>
  <c r="CE150" i="2"/>
  <c r="CZ150" i="2"/>
  <c r="T151" i="2"/>
  <c r="BQ151" i="2"/>
  <c r="DG151" i="2"/>
  <c r="M153" i="2"/>
  <c r="AH153" i="2"/>
  <c r="CE154" i="2"/>
  <c r="CZ154" i="2"/>
  <c r="T155" i="2"/>
  <c r="DG155" i="2"/>
  <c r="M157" i="2"/>
  <c r="CE158" i="2"/>
  <c r="T165" i="2"/>
  <c r="M160" i="2"/>
  <c r="AA160" i="2"/>
  <c r="CZ164" i="2"/>
  <c r="CZ160" i="2"/>
  <c r="BJ161" i="2"/>
  <c r="AV167" i="2"/>
  <c r="AV162" i="2"/>
  <c r="CZ162" i="2"/>
  <c r="F169" i="2"/>
  <c r="T163" i="2"/>
  <c r="BC166" i="2"/>
  <c r="BC163" i="2"/>
  <c r="CZ168" i="2"/>
  <c r="CZ169" i="2"/>
  <c r="T164" i="2"/>
  <c r="AH165" i="2"/>
  <c r="AH171" i="2"/>
  <c r="BQ165" i="2"/>
  <c r="AA168" i="2"/>
  <c r="T148" i="2"/>
  <c r="AA148" i="2"/>
  <c r="CL148" i="2"/>
  <c r="CE149" i="2"/>
  <c r="AO151" i="2"/>
  <c r="BJ151" i="2"/>
  <c r="CS152" i="2"/>
  <c r="AO155" i="2"/>
  <c r="BJ155" i="2"/>
  <c r="F156" i="2"/>
  <c r="CS156" i="2"/>
  <c r="T159" i="2"/>
  <c r="CL166" i="2"/>
  <c r="AH166" i="2"/>
  <c r="T162" i="2"/>
  <c r="CL162" i="2"/>
  <c r="F163" i="2"/>
  <c r="AO169" i="2"/>
  <c r="CZ163" i="2"/>
  <c r="BC170" i="2"/>
  <c r="BQ164" i="2"/>
  <c r="T166" i="2"/>
  <c r="BX167" i="2"/>
  <c r="BX173" i="2"/>
  <c r="T170" i="2"/>
  <c r="T175" i="2"/>
  <c r="F173" i="2"/>
  <c r="F179" i="2"/>
  <c r="CS160" i="2"/>
  <c r="BC161" i="2"/>
  <c r="M162" i="2"/>
  <c r="M171" i="2"/>
  <c r="CE172" i="2"/>
  <c r="AH168" i="2"/>
  <c r="BC168" i="2"/>
  <c r="CS168" i="2"/>
  <c r="AH169" i="2"/>
  <c r="BJ169" i="2"/>
  <c r="CE169" i="2"/>
  <c r="CZ175" i="2"/>
  <c r="F171" i="2"/>
  <c r="AO171" i="2"/>
  <c r="BX177" i="2"/>
  <c r="CL176" i="2"/>
  <c r="T172" i="2"/>
  <c r="BC172" i="2"/>
  <c r="CL178" i="2"/>
  <c r="BJ174" i="2"/>
  <c r="CS174" i="2"/>
  <c r="AH176" i="2"/>
  <c r="CZ176" i="2"/>
  <c r="BC177" i="2"/>
  <c r="AO184" i="2"/>
  <c r="AO178" i="2"/>
  <c r="AV179" i="2"/>
  <c r="CE181" i="2"/>
  <c r="CE187" i="2"/>
  <c r="CE183" i="2"/>
  <c r="CZ166" i="2"/>
  <c r="AO173" i="2"/>
  <c r="DG173" i="2"/>
  <c r="BC169" i="2"/>
  <c r="AA170" i="2"/>
  <c r="BJ176" i="2"/>
  <c r="CS170" i="2"/>
  <c r="M173" i="2"/>
  <c r="AV174" i="2"/>
  <c r="BJ177" i="2"/>
  <c r="BC179" i="2"/>
  <c r="BC185" i="2"/>
  <c r="T182" i="2"/>
  <c r="F185" i="2"/>
  <c r="CS185" i="2"/>
  <c r="F190" i="2"/>
  <c r="AO159" i="2"/>
  <c r="CZ159" i="2"/>
  <c r="BJ160" i="2"/>
  <c r="T161" i="2"/>
  <c r="CE161" i="2"/>
  <c r="DG161" i="2"/>
  <c r="AO162" i="2"/>
  <c r="BQ162" i="2"/>
  <c r="BX162" i="2"/>
  <c r="M165" i="2"/>
  <c r="BC165" i="2"/>
  <c r="M166" i="2"/>
  <c r="BJ166" i="2"/>
  <c r="CE166" i="2"/>
  <c r="BJ167" i="2"/>
  <c r="CL167" i="2"/>
  <c r="DG167" i="2"/>
  <c r="F168" i="2"/>
  <c r="BQ174" i="2"/>
  <c r="DG174" i="2"/>
  <c r="F175" i="2"/>
  <c r="BJ170" i="2"/>
  <c r="T177" i="2"/>
  <c r="BC171" i="2"/>
  <c r="CL171" i="2"/>
  <c r="CZ172" i="2"/>
  <c r="AV173" i="2"/>
  <c r="BX179" i="2"/>
  <c r="F174" i="2"/>
  <c r="CL177" i="2"/>
  <c r="AA182" i="2"/>
  <c r="AA187" i="2"/>
  <c r="AO183" i="2"/>
  <c r="BC190" i="2"/>
  <c r="BC193" i="2"/>
  <c r="BC195" i="2"/>
  <c r="BQ171" i="2"/>
  <c r="AA172" i="2"/>
  <c r="AO168" i="2"/>
  <c r="CL169" i="2"/>
  <c r="CE171" i="2"/>
  <c r="CE177" i="2"/>
  <c r="CS172" i="2"/>
  <c r="DG177" i="2"/>
  <c r="AO174" i="2"/>
  <c r="CL174" i="2"/>
  <c r="CL180" i="2"/>
  <c r="M175" i="2"/>
  <c r="DG175" i="2"/>
  <c r="DG179" i="2"/>
  <c r="BQ182" i="2"/>
  <c r="BQ176" i="2"/>
  <c r="BQ180" i="2"/>
  <c r="F184" i="2"/>
  <c r="F178" i="2"/>
  <c r="BX178" i="2"/>
  <c r="T187" i="2"/>
  <c r="BQ187" i="2"/>
  <c r="BQ190" i="2"/>
  <c r="CE163" i="2"/>
  <c r="AO164" i="2"/>
  <c r="AA165" i="2"/>
  <c r="CL165" i="2"/>
  <c r="AV166" i="2"/>
  <c r="CS166" i="2"/>
  <c r="CS173" i="2"/>
  <c r="CZ167" i="2"/>
  <c r="AV169" i="2"/>
  <c r="DG169" i="2"/>
  <c r="BQ170" i="2"/>
  <c r="CE176" i="2"/>
  <c r="CZ170" i="2"/>
  <c r="AV171" i="2"/>
  <c r="BJ172" i="2"/>
  <c r="BC173" i="2"/>
  <c r="BQ179" i="2"/>
  <c r="AA174" i="2"/>
  <c r="AA180" i="2"/>
  <c r="AA177" i="2"/>
  <c r="AA181" i="2"/>
  <c r="CS177" i="2"/>
  <c r="CZ178" i="2"/>
  <c r="F191" i="2"/>
  <c r="M203" i="2"/>
  <c r="M197" i="2"/>
  <c r="AA171" i="2"/>
  <c r="AO177" i="2"/>
  <c r="BJ171" i="2"/>
  <c r="AO172" i="2"/>
  <c r="BC178" i="2"/>
  <c r="BX172" i="2"/>
  <c r="DG172" i="2"/>
  <c r="F186" i="2"/>
  <c r="F180" i="2"/>
  <c r="CZ184" i="2"/>
  <c r="CZ189" i="2"/>
  <c r="AH189" i="2"/>
  <c r="AH192" i="2"/>
  <c r="CS164" i="2"/>
  <c r="AA167" i="2"/>
  <c r="M168" i="2"/>
  <c r="BX168" i="2"/>
  <c r="T169" i="2"/>
  <c r="CE175" i="2"/>
  <c r="M170" i="2"/>
  <c r="AA176" i="2"/>
  <c r="AV170" i="2"/>
  <c r="F172" i="2"/>
  <c r="AH173" i="2"/>
  <c r="M174" i="2"/>
  <c r="BX174" i="2"/>
  <c r="BC175" i="2"/>
  <c r="BX175" i="2"/>
  <c r="F176" i="2"/>
  <c r="BX176" i="2"/>
  <c r="CS176" i="2"/>
  <c r="M180" i="2"/>
  <c r="M186" i="2"/>
  <c r="BX187" i="2"/>
  <c r="BX181" i="2"/>
  <c r="CZ182" i="2"/>
  <c r="AH193" i="2"/>
  <c r="CS175" i="2"/>
  <c r="BC176" i="2"/>
  <c r="M177" i="2"/>
  <c r="AV177" i="2"/>
  <c r="M178" i="2"/>
  <c r="AA179" i="2"/>
  <c r="CS181" i="2"/>
  <c r="AO182" i="2"/>
  <c r="BJ182" i="2"/>
  <c r="CE182" i="2"/>
  <c r="BQ183" i="2"/>
  <c r="BQ184" i="2"/>
  <c r="AA185" i="2"/>
  <c r="BQ186" i="2"/>
  <c r="CL186" i="2"/>
  <c r="T188" i="2"/>
  <c r="T194" i="2"/>
  <c r="AO189" i="2"/>
  <c r="AO192" i="2"/>
  <c r="BJ189" i="2"/>
  <c r="M191" i="2"/>
  <c r="AH191" i="2"/>
  <c r="F193" i="2"/>
  <c r="CL179" i="2"/>
  <c r="T185" i="2"/>
  <c r="AV180" i="2"/>
  <c r="F181" i="2"/>
  <c r="T183" i="2"/>
  <c r="T184" i="2"/>
  <c r="AV186" i="2"/>
  <c r="AV187" i="2"/>
  <c r="AA188" i="2"/>
  <c r="AH190" i="2"/>
  <c r="AV204" i="2"/>
  <c r="CZ174" i="2"/>
  <c r="BJ175" i="2"/>
  <c r="T176" i="2"/>
  <c r="DG176" i="2"/>
  <c r="BQ177" i="2"/>
  <c r="CZ177" i="2"/>
  <c r="BQ178" i="2"/>
  <c r="T179" i="2"/>
  <c r="AO179" i="2"/>
  <c r="DG180" i="2"/>
  <c r="BQ181" i="2"/>
  <c r="M182" i="2"/>
  <c r="BC182" i="2"/>
  <c r="BC183" i="2"/>
  <c r="CL184" i="2"/>
  <c r="AH185" i="2"/>
  <c r="BC186" i="2"/>
  <c r="BX186" i="2"/>
  <c r="F187" i="2"/>
  <c r="CS193" i="2"/>
  <c r="T189" i="2"/>
  <c r="CZ190" i="2"/>
  <c r="CZ195" i="2"/>
  <c r="AO195" i="2"/>
  <c r="CL175" i="2"/>
  <c r="AV176" i="2"/>
  <c r="F177" i="2"/>
  <c r="AA178" i="2"/>
  <c r="AH178" i="2"/>
  <c r="BJ178" i="2"/>
  <c r="CS178" i="2"/>
  <c r="BJ179" i="2"/>
  <c r="T180" i="2"/>
  <c r="CL181" i="2"/>
  <c r="AH182" i="2"/>
  <c r="BX182" i="2"/>
  <c r="M183" i="2"/>
  <c r="AH183" i="2"/>
  <c r="CL183" i="2"/>
  <c r="CZ183" i="2"/>
  <c r="AA184" i="2"/>
  <c r="BX184" i="2"/>
  <c r="AO185" i="2"/>
  <c r="CZ185" i="2"/>
  <c r="M187" i="2"/>
  <c r="AH187" i="2"/>
  <c r="F188" i="2"/>
  <c r="CS188" i="2"/>
  <c r="BQ195" i="2"/>
  <c r="CL189" i="2"/>
  <c r="CL193" i="2"/>
  <c r="T190" i="2"/>
  <c r="DG190" i="2"/>
  <c r="BJ191" i="2"/>
  <c r="CL191" i="2"/>
  <c r="F192" i="2"/>
  <c r="CZ192" i="2"/>
  <c r="CS194" i="2"/>
  <c r="T198" i="2"/>
  <c r="CE185" i="2"/>
  <c r="BX188" i="2"/>
  <c r="F189" i="2"/>
  <c r="CS189" i="2"/>
  <c r="CS192" i="2"/>
  <c r="BQ191" i="2"/>
  <c r="BX192" i="2"/>
  <c r="AV199" i="2"/>
  <c r="AV203" i="2"/>
  <c r="AO176" i="2"/>
  <c r="CE178" i="2"/>
  <c r="AH179" i="2"/>
  <c r="BJ180" i="2"/>
  <c r="CZ180" i="2"/>
  <c r="T181" i="2"/>
  <c r="BJ181" i="2"/>
  <c r="AV182" i="2"/>
  <c r="BJ183" i="2"/>
  <c r="AV184" i="2"/>
  <c r="BJ184" i="2"/>
  <c r="CE184" i="2"/>
  <c r="CS184" i="2"/>
  <c r="DG185" i="2"/>
  <c r="CZ186" i="2"/>
  <c r="CZ187" i="2"/>
  <c r="AH188" i="2"/>
  <c r="CE188" i="2"/>
  <c r="CE191" i="2"/>
  <c r="CZ188" i="2"/>
  <c r="CL190" i="2"/>
  <c r="AV192" i="2"/>
  <c r="BQ194" i="2"/>
  <c r="BQ200" i="2"/>
  <c r="CS198" i="2"/>
  <c r="CE174" i="2"/>
  <c r="AO175" i="2"/>
  <c r="T178" i="2"/>
  <c r="CS179" i="2"/>
  <c r="AH180" i="2"/>
  <c r="BC180" i="2"/>
  <c r="M181" i="2"/>
  <c r="CZ181" i="2"/>
  <c r="DG182" i="2"/>
  <c r="F183" i="2"/>
  <c r="BX183" i="2"/>
  <c r="DG183" i="2"/>
  <c r="M184" i="2"/>
  <c r="CL185" i="2"/>
  <c r="T186" i="2"/>
  <c r="BJ186" i="2"/>
  <c r="DG186" i="2"/>
  <c r="BJ187" i="2"/>
  <c r="BC189" i="2"/>
  <c r="BX189" i="2"/>
  <c r="AV190" i="2"/>
  <c r="AA191" i="2"/>
  <c r="AV191" i="2"/>
  <c r="T192" i="2"/>
  <c r="BJ193" i="2"/>
  <c r="CS195" i="2"/>
  <c r="CS201" i="2"/>
  <c r="M196" i="2"/>
  <c r="BC196" i="2"/>
  <c r="BC202" i="2"/>
  <c r="CZ198" i="2"/>
  <c r="CS183" i="2"/>
  <c r="BC184" i="2"/>
  <c r="DG184" i="2"/>
  <c r="M185" i="2"/>
  <c r="BQ185" i="2"/>
  <c r="AA186" i="2"/>
  <c r="CE186" i="2"/>
  <c r="AO187" i="2"/>
  <c r="CS187" i="2"/>
  <c r="BC188" i="2"/>
  <c r="DG188" i="2"/>
  <c r="M189" i="2"/>
  <c r="BQ189" i="2"/>
  <c r="AA190" i="2"/>
  <c r="CE190" i="2"/>
  <c r="AO191" i="2"/>
  <c r="CS191" i="2"/>
  <c r="BC192" i="2"/>
  <c r="DG192" i="2"/>
  <c r="M193" i="2"/>
  <c r="BQ193" i="2"/>
  <c r="AA194" i="2"/>
  <c r="BC194" i="2"/>
  <c r="BX194" i="2"/>
  <c r="T195" i="2"/>
  <c r="BJ195" i="2"/>
  <c r="T196" i="2"/>
  <c r="CL196" i="2"/>
  <c r="AV197" i="2"/>
  <c r="CL197" i="2"/>
  <c r="AO199" i="2"/>
  <c r="BC204" i="2"/>
  <c r="CS199" i="2"/>
  <c r="DG204" i="2"/>
  <c r="F200" i="2"/>
  <c r="T200" i="2"/>
  <c r="BC200" i="2"/>
  <c r="BC206" i="2"/>
  <c r="M201" i="2"/>
  <c r="M207" i="2"/>
  <c r="CE201" i="2"/>
  <c r="AA202" i="2"/>
  <c r="AA208" i="2"/>
  <c r="AO207" i="2"/>
  <c r="BJ202" i="2"/>
  <c r="CS202" i="2"/>
  <c r="AO204" i="2"/>
  <c r="AO209" i="2"/>
  <c r="BJ185" i="2"/>
  <c r="AV188" i="2"/>
  <c r="CE195" i="2"/>
  <c r="AO196" i="2"/>
  <c r="DG196" i="2"/>
  <c r="BQ197" i="2"/>
  <c r="DG197" i="2"/>
  <c r="F198" i="2"/>
  <c r="AV198" i="2"/>
  <c r="M199" i="2"/>
  <c r="AH199" i="2"/>
  <c r="CE206" i="2"/>
  <c r="BJ203" i="2"/>
  <c r="BJ209" i="2"/>
  <c r="CS205" i="2"/>
  <c r="M194" i="2"/>
  <c r="AH195" i="2"/>
  <c r="CE196" i="2"/>
  <c r="CZ196" i="2"/>
  <c r="AO197" i="2"/>
  <c r="BJ197" i="2"/>
  <c r="AA198" i="2"/>
  <c r="AO203" i="2"/>
  <c r="BQ198" i="2"/>
  <c r="CZ206" i="2"/>
  <c r="CZ200" i="2"/>
  <c r="BJ207" i="2"/>
  <c r="BJ201" i="2"/>
  <c r="CL207" i="2"/>
  <c r="AO202" i="2"/>
  <c r="BX202" i="2"/>
  <c r="F204" i="2"/>
  <c r="BQ204" i="2"/>
  <c r="BQ209" i="2"/>
  <c r="M205" i="2"/>
  <c r="AH205" i="2"/>
  <c r="BJ205" i="2"/>
  <c r="CE203" i="2"/>
  <c r="AA204" i="2"/>
  <c r="AA192" i="2"/>
  <c r="CE192" i="2"/>
  <c r="AO193" i="2"/>
  <c r="CE193" i="2"/>
  <c r="DG193" i="2"/>
  <c r="AO194" i="2"/>
  <c r="CL194" i="2"/>
  <c r="F195" i="2"/>
  <c r="BX195" i="2"/>
  <c r="AH196" i="2"/>
  <c r="BX196" i="2"/>
  <c r="AH197" i="2"/>
  <c r="CZ197" i="2"/>
  <c r="AO198" i="2"/>
  <c r="CE204" i="2"/>
  <c r="AA199" i="2"/>
  <c r="CL199" i="2"/>
  <c r="CZ205" i="2"/>
  <c r="M200" i="2"/>
  <c r="AV200" i="2"/>
  <c r="BJ206" i="2"/>
  <c r="BX206" i="2"/>
  <c r="BX205" i="2"/>
  <c r="F201" i="2"/>
  <c r="AH206" i="2"/>
  <c r="BX201" i="2"/>
  <c r="T208" i="2"/>
  <c r="T202" i="2"/>
  <c r="AV208" i="2"/>
  <c r="CZ202" i="2"/>
  <c r="CL204" i="2"/>
  <c r="F194" i="2"/>
  <c r="AA195" i="2"/>
  <c r="CS196" i="2"/>
  <c r="BC197" i="2"/>
  <c r="AH204" i="2"/>
  <c r="BJ198" i="2"/>
  <c r="CS200" i="2"/>
  <c r="BC201" i="2"/>
  <c r="BQ202" i="2"/>
  <c r="DG203" i="2"/>
  <c r="DG208" i="2"/>
  <c r="AO186" i="2"/>
  <c r="CS186" i="2"/>
  <c r="BC187" i="2"/>
  <c r="DG187" i="2"/>
  <c r="M188" i="2"/>
  <c r="BQ188" i="2"/>
  <c r="AA189" i="2"/>
  <c r="CE189" i="2"/>
  <c r="AO190" i="2"/>
  <c r="CS190" i="2"/>
  <c r="BC191" i="2"/>
  <c r="DG191" i="2"/>
  <c r="M192" i="2"/>
  <c r="BQ192" i="2"/>
  <c r="AA193" i="2"/>
  <c r="BX193" i="2"/>
  <c r="AH194" i="2"/>
  <c r="BJ194" i="2"/>
  <c r="CZ194" i="2"/>
  <c r="AV195" i="2"/>
  <c r="CL195" i="2"/>
  <c r="F196" i="2"/>
  <c r="AA196" i="2"/>
  <c r="AV196" i="2"/>
  <c r="F197" i="2"/>
  <c r="BX197" i="2"/>
  <c r="CS197" i="2"/>
  <c r="M198" i="2"/>
  <c r="CE198" i="2"/>
  <c r="CS203" i="2"/>
  <c r="AO205" i="2"/>
  <c r="CZ199" i="2"/>
  <c r="BJ200" i="2"/>
  <c r="BX200" i="2"/>
  <c r="DG200" i="2"/>
  <c r="DG206" i="2"/>
  <c r="T201" i="2"/>
  <c r="AH201" i="2"/>
  <c r="BQ201" i="2"/>
  <c r="BQ207" i="2"/>
  <c r="CZ201" i="2"/>
  <c r="AH202" i="2"/>
  <c r="AV202" i="2"/>
  <c r="CE208" i="2"/>
  <c r="CE202" i="2"/>
  <c r="CL203" i="2"/>
  <c r="T193" i="2"/>
  <c r="CZ193" i="2"/>
  <c r="CE194" i="2"/>
  <c r="DG195" i="2"/>
  <c r="BQ196" i="2"/>
  <c r="AA197" i="2"/>
  <c r="AH198" i="2"/>
  <c r="BX204" i="2"/>
  <c r="BX198" i="2"/>
  <c r="BJ199" i="2"/>
  <c r="CE199" i="2"/>
  <c r="AO200" i="2"/>
  <c r="AV207" i="2"/>
  <c r="M202" i="2"/>
  <c r="F203" i="2"/>
  <c r="T203" i="2"/>
  <c r="T204" i="2"/>
  <c r="T210" i="2"/>
  <c r="AA205" i="2"/>
  <c r="AA210" i="2"/>
  <c r="AV211" i="2"/>
  <c r="AV205" i="2"/>
  <c r="CL205" i="2"/>
  <c r="T206" i="2"/>
  <c r="AH203" i="2"/>
  <c r="AH210" i="2"/>
  <c r="CZ204" i="2"/>
  <c r="T205" i="2"/>
  <c r="CE205" i="2"/>
  <c r="CE210" i="2"/>
  <c r="AO206" i="2"/>
  <c r="AO211" i="2"/>
  <c r="CL206" i="2"/>
  <c r="F207" i="2"/>
  <c r="AV213" i="2"/>
  <c r="F214" i="2"/>
  <c r="CS208" i="2"/>
  <c r="CS214" i="2"/>
  <c r="F209" i="2"/>
  <c r="AA209" i="2"/>
  <c r="BX209" i="2"/>
  <c r="DG209" i="2"/>
  <c r="DG215" i="2"/>
  <c r="BC208" i="2"/>
  <c r="AA203" i="2"/>
  <c r="BX203" i="2"/>
  <c r="CS204" i="2"/>
  <c r="AH211" i="2"/>
  <c r="CZ211" i="2"/>
  <c r="BJ212" i="2"/>
  <c r="CZ212" i="2"/>
  <c r="DG207" i="2"/>
  <c r="DG212" i="2"/>
  <c r="BX210" i="2"/>
  <c r="F217" i="2"/>
  <c r="F211" i="2"/>
  <c r="BC205" i="2"/>
  <c r="M206" i="2"/>
  <c r="M211" i="2"/>
  <c r="BJ213" i="2"/>
  <c r="T214" i="2"/>
  <c r="AO208" i="2"/>
  <c r="AO214" i="2"/>
  <c r="BJ214" i="2"/>
  <c r="BC210" i="2"/>
  <c r="T207" i="2"/>
  <c r="CE212" i="2"/>
  <c r="CE207" i="2"/>
  <c r="CE213" i="2"/>
  <c r="BJ208" i="2"/>
  <c r="BX214" i="2"/>
  <c r="BX208" i="2"/>
  <c r="AH215" i="2"/>
  <c r="AH209" i="2"/>
  <c r="AV209" i="2"/>
  <c r="CS209" i="2"/>
  <c r="CZ216" i="2"/>
  <c r="CZ210" i="2"/>
  <c r="CS206" i="2"/>
  <c r="CS211" i="2"/>
  <c r="AH213" i="2"/>
  <c r="CZ213" i="2"/>
  <c r="CZ208" i="2"/>
  <c r="BJ210" i="2"/>
  <c r="F212" i="2"/>
  <c r="BC207" i="2"/>
  <c r="BC212" i="2"/>
  <c r="CZ207" i="2"/>
  <c r="M208" i="2"/>
  <c r="M213" i="2"/>
  <c r="CL208" i="2"/>
  <c r="CZ209" i="2"/>
  <c r="F210" i="2"/>
  <c r="DG205" i="2"/>
  <c r="F206" i="2"/>
  <c r="BQ206" i="2"/>
  <c r="BQ211" i="2"/>
  <c r="F213" i="2"/>
  <c r="AH207" i="2"/>
  <c r="BQ208" i="2"/>
  <c r="CL215" i="2"/>
  <c r="CL209" i="2"/>
  <c r="AV216" i="2"/>
  <c r="AV210" i="2"/>
  <c r="BQ210" i="2"/>
  <c r="BQ216" i="2"/>
  <c r="BC203" i="2"/>
  <c r="CZ203" i="2"/>
  <c r="M204" i="2"/>
  <c r="M209" i="2"/>
  <c r="BJ204" i="2"/>
  <c r="T211" i="2"/>
  <c r="BJ211" i="2"/>
  <c r="T212" i="2"/>
  <c r="AV206" i="2"/>
  <c r="CL212" i="2"/>
  <c r="AA207" i="2"/>
  <c r="AA212" i="2"/>
  <c r="BX207" i="2"/>
  <c r="AH208" i="2"/>
  <c r="DG210" i="2"/>
  <c r="CE217" i="2"/>
  <c r="CE211" i="2"/>
  <c r="AO218" i="2"/>
  <c r="AO212" i="2"/>
  <c r="BJ218" i="2"/>
  <c r="CS212" i="2"/>
  <c r="CS218" i="2"/>
  <c r="T219" i="2"/>
  <c r="T213" i="2"/>
  <c r="AH219" i="2"/>
  <c r="AA221" i="2"/>
  <c r="CS210" i="2"/>
  <c r="CZ217" i="2"/>
  <c r="AO219" i="2"/>
  <c r="AO222" i="2"/>
  <c r="AO216" i="2"/>
  <c r="AO220" i="2"/>
  <c r="CZ233" i="2"/>
  <c r="CZ227" i="2"/>
  <c r="BC217" i="2"/>
  <c r="BC211" i="2"/>
  <c r="M218" i="2"/>
  <c r="M212" i="2"/>
  <c r="BX218" i="2"/>
  <c r="CZ220" i="2"/>
  <c r="CZ214" i="2"/>
  <c r="AV217" i="2"/>
  <c r="BX217" i="2"/>
  <c r="CE220" i="2"/>
  <c r="CE226" i="2"/>
  <c r="CE225" i="2"/>
  <c r="BC228" i="2"/>
  <c r="BC230" i="2"/>
  <c r="BC224" i="2"/>
  <c r="BX243" i="2"/>
  <c r="BX237" i="2"/>
  <c r="BX212" i="2"/>
  <c r="BQ213" i="2"/>
  <c r="CL219" i="2"/>
  <c r="CL213" i="2"/>
  <c r="DG219" i="2"/>
  <c r="DG213" i="2"/>
  <c r="AA214" i="2"/>
  <c r="AV220" i="2"/>
  <c r="AV214" i="2"/>
  <c r="BX215" i="2"/>
  <c r="DG216" i="2"/>
  <c r="CS226" i="2"/>
  <c r="CS224" i="2"/>
  <c r="T216" i="2"/>
  <c r="AA211" i="2"/>
  <c r="AA217" i="2"/>
  <c r="BX211" i="2"/>
  <c r="AH212" i="2"/>
  <c r="CL214" i="2"/>
  <c r="CL220" i="2"/>
  <c r="CS215" i="2"/>
  <c r="AA216" i="2"/>
  <c r="B218" i="2"/>
  <c r="F218" i="2"/>
  <c r="T220" i="2"/>
  <c r="AV224" i="2"/>
  <c r="T209" i="2"/>
  <c r="CE209" i="2"/>
  <c r="AO210" i="2"/>
  <c r="CL210" i="2"/>
  <c r="CL217" i="2"/>
  <c r="AV218" i="2"/>
  <c r="BX213" i="2"/>
  <c r="AH214" i="2"/>
  <c r="AH220" i="2"/>
  <c r="T215" i="2"/>
  <c r="BJ221" i="2"/>
  <c r="BJ215" i="2"/>
  <c r="BC216" i="2"/>
  <c r="BC220" i="2"/>
  <c r="F222" i="2"/>
  <c r="B223" i="2"/>
  <c r="F223" i="2"/>
  <c r="CZ236" i="2"/>
  <c r="CZ242" i="2"/>
  <c r="CZ239" i="2"/>
  <c r="DG217" i="2"/>
  <c r="DG211" i="2"/>
  <c r="AO215" i="2"/>
  <c r="CZ215" i="2"/>
  <c r="CZ221" i="2"/>
  <c r="AH223" i="2"/>
  <c r="AH217" i="2"/>
  <c r="BX224" i="2"/>
  <c r="BX219" i="2"/>
  <c r="T221" i="2"/>
  <c r="CL227" i="2"/>
  <c r="CL221" i="2"/>
  <c r="AV228" i="2"/>
  <c r="AV222" i="2"/>
  <c r="AV229" i="2"/>
  <c r="AV223" i="2"/>
  <c r="BJ231" i="2"/>
  <c r="BJ226" i="2"/>
  <c r="T227" i="2"/>
  <c r="T235" i="2"/>
  <c r="T229" i="2"/>
  <c r="CS235" i="2"/>
  <c r="CS229" i="2"/>
  <c r="T232" i="2"/>
  <c r="AA233" i="2"/>
  <c r="AA238" i="2"/>
  <c r="BC237" i="2"/>
  <c r="BC242" i="2"/>
  <c r="BC209" i="2"/>
  <c r="M216" i="2"/>
  <c r="M210" i="2"/>
  <c r="BJ217" i="2"/>
  <c r="CL211" i="2"/>
  <c r="T218" i="2"/>
  <c r="AV212" i="2"/>
  <c r="F219" i="2"/>
  <c r="F221" i="2"/>
  <c r="F215" i="2"/>
  <c r="B215" i="2"/>
  <c r="AV215" i="2"/>
  <c r="BX216" i="2"/>
  <c r="CS216" i="2"/>
  <c r="CL222" i="2"/>
  <c r="CL228" i="2"/>
  <c r="CZ231" i="2"/>
  <c r="CZ225" i="2"/>
  <c r="BQ212" i="2"/>
  <c r="AA213" i="2"/>
  <c r="BC213" i="2"/>
  <c r="CS213" i="2"/>
  <c r="M214" i="2"/>
  <c r="BC214" i="2"/>
  <c r="M215" i="2"/>
  <c r="CE215" i="2"/>
  <c r="BJ216" i="2"/>
  <c r="CL216" i="2"/>
  <c r="AO221" i="2"/>
  <c r="DG221" i="2"/>
  <c r="BQ222" i="2"/>
  <c r="DG228" i="2"/>
  <c r="DG222" i="2"/>
  <c r="AA223" i="2"/>
  <c r="BQ223" i="2"/>
  <c r="F224" i="2"/>
  <c r="AH224" i="2"/>
  <c r="BJ225" i="2"/>
  <c r="T226" i="2"/>
  <c r="CE232" i="2"/>
  <c r="BJ234" i="2"/>
  <c r="BJ228" i="2"/>
  <c r="CS228" i="2"/>
  <c r="CS230" i="2"/>
  <c r="AO231" i="2"/>
  <c r="CL231" i="2"/>
  <c r="CL237" i="2"/>
  <c r="CZ237" i="2"/>
  <c r="F238" i="2"/>
  <c r="B232" i="2"/>
  <c r="F232" i="2"/>
  <c r="AA232" i="2"/>
  <c r="BQ233" i="2"/>
  <c r="CL240" i="2"/>
  <c r="CL234" i="2"/>
  <c r="DG240" i="2"/>
  <c r="DG234" i="2"/>
  <c r="DG235" i="2"/>
  <c r="BQ236" i="2"/>
  <c r="CS243" i="2"/>
  <c r="CS237" i="2"/>
  <c r="CS241" i="2"/>
  <c r="BX238" i="2"/>
  <c r="BX244" i="2"/>
  <c r="B214" i="2"/>
  <c r="CE216" i="2"/>
  <c r="T217" i="2"/>
  <c r="BQ217" i="2"/>
  <c r="AA218" i="2"/>
  <c r="CL218" i="2"/>
  <c r="AV219" i="2"/>
  <c r="AA224" i="2"/>
  <c r="BX225" i="2"/>
  <c r="AH226" i="2"/>
  <c r="AO226" i="2"/>
  <c r="AO227" i="2"/>
  <c r="CE229" i="2"/>
  <c r="M231" i="2"/>
  <c r="BX231" i="2"/>
  <c r="AH233" i="2"/>
  <c r="BJ237" i="2"/>
  <c r="BJ239" i="2"/>
  <c r="AO238" i="2"/>
  <c r="AO217" i="2"/>
  <c r="BQ218" i="2"/>
  <c r="DG218" i="2"/>
  <c r="AA219" i="2"/>
  <c r="BQ219" i="2"/>
  <c r="F220" i="2"/>
  <c r="T222" i="2"/>
  <c r="CL223" i="2"/>
  <c r="BC225" i="2"/>
  <c r="CS225" i="2"/>
  <c r="M226" i="2"/>
  <c r="BC226" i="2"/>
  <c r="M227" i="2"/>
  <c r="M233" i="2"/>
  <c r="CE227" i="2"/>
  <c r="F234" i="2"/>
  <c r="F228" i="2"/>
  <c r="AO228" i="2"/>
  <c r="AA229" i="2"/>
  <c r="BC229" i="2"/>
  <c r="M230" i="2"/>
  <c r="BJ238" i="2"/>
  <c r="BJ232" i="2"/>
  <c r="BC233" i="2"/>
  <c r="M234" i="2"/>
  <c r="BC234" i="2"/>
  <c r="CS234" i="2"/>
  <c r="CS239" i="2"/>
  <c r="T243" i="2"/>
  <c r="T237" i="2"/>
  <c r="AO243" i="2"/>
  <c r="AO241" i="2"/>
  <c r="AO237" i="2"/>
  <c r="AO240" i="2"/>
  <c r="BQ250" i="2"/>
  <c r="BQ244" i="2"/>
  <c r="CS245" i="2"/>
  <c r="AA220" i="2"/>
  <c r="BX220" i="2"/>
  <c r="CS220" i="2"/>
  <c r="BX221" i="2"/>
  <c r="AH222" i="2"/>
  <c r="BJ222" i="2"/>
  <c r="CE222" i="2"/>
  <c r="T223" i="2"/>
  <c r="AO223" i="2"/>
  <c r="CZ223" i="2"/>
  <c r="DG223" i="2"/>
  <c r="B226" i="2"/>
  <c r="AH231" i="2"/>
  <c r="AV237" i="2"/>
  <c r="AV234" i="2"/>
  <c r="AV231" i="2"/>
  <c r="AV232" i="2"/>
  <c r="AV238" i="2"/>
  <c r="BX234" i="2"/>
  <c r="AA256" i="2"/>
  <c r="AA250" i="2"/>
  <c r="AO213" i="2"/>
  <c r="BQ214" i="2"/>
  <c r="DG214" i="2"/>
  <c r="AA215" i="2"/>
  <c r="BQ215" i="2"/>
  <c r="F216" i="2"/>
  <c r="AH216" i="2"/>
  <c r="AH221" i="2"/>
  <c r="BC221" i="2"/>
  <c r="CS221" i="2"/>
  <c r="M222" i="2"/>
  <c r="BC222" i="2"/>
  <c r="CZ222" i="2"/>
  <c r="M229" i="2"/>
  <c r="M223" i="2"/>
  <c r="BJ223" i="2"/>
  <c r="CE223" i="2"/>
  <c r="BJ224" i="2"/>
  <c r="BJ230" i="2"/>
  <c r="BQ224" i="2"/>
  <c r="CL224" i="2"/>
  <c r="DG224" i="2"/>
  <c r="F225" i="2"/>
  <c r="BX226" i="2"/>
  <c r="AH227" i="2"/>
  <c r="CS227" i="2"/>
  <c r="AO229" i="2"/>
  <c r="CZ229" i="2"/>
  <c r="CZ230" i="2"/>
  <c r="BQ231" i="2"/>
  <c r="CS232" i="2"/>
  <c r="AO233" i="2"/>
  <c r="AO239" i="2"/>
  <c r="T234" i="2"/>
  <c r="T240" i="2"/>
  <c r="F235" i="2"/>
  <c r="AA235" i="2"/>
  <c r="AA237" i="2"/>
  <c r="BX240" i="2"/>
  <c r="AH218" i="2"/>
  <c r="CZ219" i="2"/>
  <c r="B222" i="2"/>
  <c r="T224" i="2"/>
  <c r="AO224" i="2"/>
  <c r="CE224" i="2"/>
  <c r="T225" i="2"/>
  <c r="T231" i="2"/>
  <c r="AA225" i="2"/>
  <c r="AV225" i="2"/>
  <c r="BQ225" i="2"/>
  <c r="F226" i="2"/>
  <c r="AA226" i="2"/>
  <c r="CL226" i="2"/>
  <c r="CL232" i="2"/>
  <c r="AV233" i="2"/>
  <c r="AV227" i="2"/>
  <c r="BC227" i="2"/>
  <c r="BX227" i="2"/>
  <c r="T228" i="2"/>
  <c r="BJ229" i="2"/>
  <c r="CL229" i="2"/>
  <c r="T230" i="2"/>
  <c r="AH236" i="2"/>
  <c r="BX230" i="2"/>
  <c r="BX236" i="2"/>
  <c r="CL236" i="2"/>
  <c r="CL230" i="2"/>
  <c r="F231" i="2"/>
  <c r="AH232" i="2"/>
  <c r="CS233" i="2"/>
  <c r="AO234" i="2"/>
  <c r="F237" i="2"/>
  <c r="F240" i="2"/>
  <c r="F239" i="2"/>
  <c r="F243" i="2"/>
  <c r="B237" i="2"/>
  <c r="AA239" i="2"/>
  <c r="AA244" i="2"/>
  <c r="M248" i="2"/>
  <c r="M254" i="2"/>
  <c r="CS217" i="2"/>
  <c r="BC218" i="2"/>
  <c r="CZ218" i="2"/>
  <c r="M219" i="2"/>
  <c r="BJ219" i="2"/>
  <c r="CE219" i="2"/>
  <c r="BJ220" i="2"/>
  <c r="BQ220" i="2"/>
  <c r="DG220" i="2"/>
  <c r="BX222" i="2"/>
  <c r="AO225" i="2"/>
  <c r="CL225" i="2"/>
  <c r="DG225" i="2"/>
  <c r="AV226" i="2"/>
  <c r="BQ226" i="2"/>
  <c r="DG226" i="2"/>
  <c r="F227" i="2"/>
  <c r="AA227" i="2"/>
  <c r="BQ227" i="2"/>
  <c r="DG227" i="2"/>
  <c r="BX229" i="2"/>
  <c r="F230" i="2"/>
  <c r="AH230" i="2"/>
  <c r="DG236" i="2"/>
  <c r="DG230" i="2"/>
  <c r="BC231" i="2"/>
  <c r="CS231" i="2"/>
  <c r="CZ232" i="2"/>
  <c r="CZ234" i="2"/>
  <c r="CS236" i="2"/>
  <c r="DG237" i="2"/>
  <c r="CE239" i="2"/>
  <c r="CE245" i="2"/>
  <c r="CE240" i="2"/>
  <c r="BC240" i="2"/>
  <c r="DG243" i="2"/>
  <c r="DG247" i="2"/>
  <c r="DG249" i="2"/>
  <c r="BQ245" i="2"/>
  <c r="BQ248" i="2"/>
  <c r="CL242" i="2"/>
  <c r="AA245" i="2"/>
  <c r="AO252" i="2"/>
  <c r="AO246" i="2"/>
  <c r="CS246" i="2"/>
  <c r="M253" i="2"/>
  <c r="M257" i="2"/>
  <c r="AO230" i="2"/>
  <c r="DG231" i="2"/>
  <c r="BQ232" i="2"/>
  <c r="F233" i="2"/>
  <c r="CE233" i="2"/>
  <c r="CE234" i="2"/>
  <c r="BC235" i="2"/>
  <c r="CL235" i="2"/>
  <c r="M236" i="2"/>
  <c r="AV236" i="2"/>
  <c r="CE242" i="2"/>
  <c r="T238" i="2"/>
  <c r="BC244" i="2"/>
  <c r="BJ240" i="2"/>
  <c r="BX241" i="2"/>
  <c r="AV242" i="2"/>
  <c r="CS248" i="2"/>
  <c r="CS242" i="2"/>
  <c r="M247" i="2"/>
  <c r="DG254" i="2"/>
  <c r="DG248" i="2"/>
  <c r="AH261" i="2"/>
  <c r="AH256" i="2"/>
  <c r="CE247" i="2"/>
  <c r="CE241" i="2"/>
  <c r="AV243" i="2"/>
  <c r="B244" i="2"/>
  <c r="F244" i="2"/>
  <c r="F245" i="2"/>
  <c r="AV246" i="2"/>
  <c r="BX247" i="2"/>
  <c r="BX252" i="2"/>
  <c r="AV248" i="2"/>
  <c r="CS258" i="2"/>
  <c r="CS252" i="2"/>
  <c r="AA228" i="2"/>
  <c r="CE228" i="2"/>
  <c r="F229" i="2"/>
  <c r="AH229" i="2"/>
  <c r="BX235" i="2"/>
  <c r="BJ233" i="2"/>
  <c r="AA234" i="2"/>
  <c r="AH235" i="2"/>
  <c r="BQ241" i="2"/>
  <c r="CZ241" i="2"/>
  <c r="AA242" i="2"/>
  <c r="BJ242" i="2"/>
  <c r="AH244" i="2"/>
  <c r="AH239" i="2"/>
  <c r="CL239" i="2"/>
  <c r="CL245" i="2"/>
  <c r="B240" i="2"/>
  <c r="BQ246" i="2"/>
  <c r="BQ240" i="2"/>
  <c r="BC249" i="2"/>
  <c r="BC243" i="2"/>
  <c r="M244" i="2"/>
  <c r="CZ244" i="2"/>
  <c r="CE253" i="2"/>
  <c r="CE248" i="2"/>
  <c r="AO256" i="2"/>
  <c r="AO250" i="2"/>
  <c r="BJ252" i="2"/>
  <c r="BJ257" i="2"/>
  <c r="BJ254" i="2"/>
  <c r="BJ259" i="2"/>
  <c r="CS254" i="2"/>
  <c r="M255" i="2"/>
  <c r="CS244" i="2"/>
  <c r="CS238" i="2"/>
  <c r="AH242" i="2"/>
  <c r="CS249" i="2"/>
  <c r="AH245" i="2"/>
  <c r="BJ251" i="2"/>
  <c r="BJ245" i="2"/>
  <c r="CE246" i="2"/>
  <c r="F249" i="2"/>
  <c r="BJ249" i="2"/>
  <c r="M250" i="2"/>
  <c r="BX250" i="2"/>
  <c r="CZ250" i="2"/>
  <c r="T251" i="2"/>
  <c r="T256" i="2"/>
  <c r="AH252" i="2"/>
  <c r="AH257" i="2"/>
  <c r="CZ253" i="2"/>
  <c r="CZ258" i="2"/>
  <c r="CZ254" i="2"/>
  <c r="AV265" i="2"/>
  <c r="AV259" i="2"/>
  <c r="M232" i="2"/>
  <c r="T239" i="2"/>
  <c r="BX239" i="2"/>
  <c r="M241" i="2"/>
  <c r="AV241" i="2"/>
  <c r="F242" i="2"/>
  <c r="B236" i="2"/>
  <c r="T241" i="2"/>
  <c r="AO248" i="2"/>
  <c r="AO242" i="2"/>
  <c r="M243" i="2"/>
  <c r="AA246" i="2"/>
  <c r="AA252" i="2"/>
  <c r="BJ246" i="2"/>
  <c r="BJ248" i="2"/>
  <c r="CZ228" i="2"/>
  <c r="B231" i="2"/>
  <c r="T233" i="2"/>
  <c r="BX233" i="2"/>
  <c r="DG233" i="2"/>
  <c r="AH240" i="2"/>
  <c r="M235" i="2"/>
  <c r="AV235" i="2"/>
  <c r="CE235" i="2"/>
  <c r="F236" i="2"/>
  <c r="AO236" i="2"/>
  <c r="CE237" i="2"/>
  <c r="M238" i="2"/>
  <c r="CE238" i="2"/>
  <c r="DG238" i="2"/>
  <c r="BC245" i="2"/>
  <c r="BC239" i="2"/>
  <c r="DG239" i="2"/>
  <c r="M240" i="2"/>
  <c r="BX245" i="2"/>
  <c r="AA247" i="2"/>
  <c r="AA241" i="2"/>
  <c r="CL241" i="2"/>
  <c r="CZ243" i="2"/>
  <c r="BJ244" i="2"/>
  <c r="DG244" i="2"/>
  <c r="BC256" i="2"/>
  <c r="BC250" i="2"/>
  <c r="F252" i="2"/>
  <c r="B252" i="2"/>
  <c r="F257" i="2"/>
  <c r="F253" i="2"/>
  <c r="BQ268" i="2"/>
  <c r="BQ262" i="2"/>
  <c r="B246" i="2"/>
  <c r="F246" i="2"/>
  <c r="BQ251" i="2"/>
  <c r="BQ257" i="2"/>
  <c r="BQ258" i="2"/>
  <c r="BQ253" i="2"/>
  <c r="AA254" i="2"/>
  <c r="AO254" i="2"/>
  <c r="CE254" i="2"/>
  <c r="AO269" i="2"/>
  <c r="AO263" i="2"/>
  <c r="BX248" i="2"/>
  <c r="DG251" i="2"/>
  <c r="BC247" i="2"/>
  <c r="CL247" i="2"/>
  <c r="CZ247" i="2"/>
  <c r="AA248" i="2"/>
  <c r="CL248" i="2"/>
  <c r="CL253" i="2"/>
  <c r="M249" i="2"/>
  <c r="BC255" i="2"/>
  <c r="CL249" i="2"/>
  <c r="B250" i="2"/>
  <c r="F250" i="2"/>
  <c r="CE250" i="2"/>
  <c r="AV251" i="2"/>
  <c r="AV256" i="2"/>
  <c r="CE251" i="2"/>
  <c r="BC259" i="2"/>
  <c r="T255" i="2"/>
  <c r="T260" i="2"/>
  <c r="CS256" i="2"/>
  <c r="CE257" i="2"/>
  <c r="M264" i="2"/>
  <c r="CL244" i="2"/>
  <c r="T245" i="2"/>
  <c r="AV245" i="2"/>
  <c r="BX246" i="2"/>
  <c r="DG246" i="2"/>
  <c r="F247" i="2"/>
  <c r="T247" i="2"/>
  <c r="T252" i="2"/>
  <c r="AO247" i="2"/>
  <c r="AA249" i="2"/>
  <c r="AO249" i="2"/>
  <c r="AH255" i="2"/>
  <c r="CS250" i="2"/>
  <c r="DG256" i="2"/>
  <c r="DG250" i="2"/>
  <c r="BC253" i="2"/>
  <c r="DG259" i="2"/>
  <c r="DG253" i="2"/>
  <c r="BQ260" i="2"/>
  <c r="BQ254" i="2"/>
  <c r="BQ261" i="2"/>
  <c r="CZ255" i="2"/>
  <c r="CZ260" i="2"/>
  <c r="DG257" i="2"/>
  <c r="B235" i="2"/>
  <c r="B239" i="2"/>
  <c r="AV240" i="2"/>
  <c r="CZ240" i="2"/>
  <c r="F241" i="2"/>
  <c r="BJ241" i="2"/>
  <c r="T242" i="2"/>
  <c r="BX242" i="2"/>
  <c r="B243" i="2"/>
  <c r="AH243" i="2"/>
  <c r="CL243" i="2"/>
  <c r="AV244" i="2"/>
  <c r="DG245" i="2"/>
  <c r="AH246" i="2"/>
  <c r="BC246" i="2"/>
  <c r="BQ252" i="2"/>
  <c r="F248" i="2"/>
  <c r="B248" i="2"/>
  <c r="BQ249" i="2"/>
  <c r="CE255" i="2"/>
  <c r="CS255" i="2"/>
  <c r="AA251" i="2"/>
  <c r="BX251" i="2"/>
  <c r="CS251" i="2"/>
  <c r="AO253" i="2"/>
  <c r="AH259" i="2"/>
  <c r="F255" i="2"/>
  <c r="BQ255" i="2"/>
  <c r="BJ261" i="2"/>
  <c r="BJ256" i="2"/>
  <c r="BQ259" i="2"/>
  <c r="BQ265" i="2"/>
  <c r="BQ271" i="2"/>
  <c r="BQ277" i="2"/>
  <c r="CS240" i="2"/>
  <c r="BC241" i="2"/>
  <c r="DG241" i="2"/>
  <c r="M242" i="2"/>
  <c r="BQ242" i="2"/>
  <c r="AA243" i="2"/>
  <c r="CE243" i="2"/>
  <c r="AO244" i="2"/>
  <c r="F251" i="2"/>
  <c r="M245" i="2"/>
  <c r="CZ245" i="2"/>
  <c r="BC248" i="2"/>
  <c r="CE249" i="2"/>
  <c r="M251" i="2"/>
  <c r="BC257" i="2"/>
  <c r="M252" i="2"/>
  <c r="CZ252" i="2"/>
  <c r="AA258" i="2"/>
  <c r="AA259" i="2"/>
  <c r="DG255" i="2"/>
  <c r="CE256" i="2"/>
  <c r="AO262" i="2"/>
  <c r="AO257" i="2"/>
  <c r="AH247" i="2"/>
  <c r="CZ248" i="2"/>
  <c r="CE244" i="2"/>
  <c r="AO245" i="2"/>
  <c r="CE252" i="2"/>
  <c r="AV247" i="2"/>
  <c r="AV252" i="2"/>
  <c r="AH248" i="2"/>
  <c r="T249" i="2"/>
  <c r="AV249" i="2"/>
  <c r="AV254" i="2"/>
  <c r="M256" i="2"/>
  <c r="CL250" i="2"/>
  <c r="CL255" i="2"/>
  <c r="AO251" i="2"/>
  <c r="CZ251" i="2"/>
  <c r="CZ256" i="2"/>
  <c r="BC252" i="2"/>
  <c r="CL252" i="2"/>
  <c r="CL257" i="2"/>
  <c r="AA253" i="2"/>
  <c r="CS253" i="2"/>
  <c r="CS259" i="2"/>
  <c r="BC254" i="2"/>
  <c r="BC260" i="2"/>
  <c r="AA255" i="2"/>
  <c r="AO255" i="2"/>
  <c r="BX260" i="2"/>
  <c r="BX255" i="2"/>
  <c r="BQ256" i="2"/>
  <c r="CE259" i="2"/>
  <c r="AO264" i="2"/>
  <c r="T253" i="2"/>
  <c r="CL254" i="2"/>
  <c r="BX262" i="2"/>
  <c r="BX257" i="2"/>
  <c r="CS257" i="2"/>
  <c r="DG263" i="2"/>
  <c r="AH263" i="2"/>
  <c r="AH258" i="2"/>
  <c r="AH264" i="2"/>
  <c r="BC258" i="2"/>
  <c r="F266" i="2"/>
  <c r="F260" i="2"/>
  <c r="B260" i="2"/>
  <c r="AA260" i="2"/>
  <c r="CL266" i="2"/>
  <c r="CL260" i="2"/>
  <c r="CS261" i="2"/>
  <c r="CL262" i="2"/>
  <c r="T264" i="2"/>
  <c r="CZ274" i="2"/>
  <c r="CZ278" i="2"/>
  <c r="AV255" i="2"/>
  <c r="F256" i="2"/>
  <c r="B256" i="2"/>
  <c r="T258" i="2"/>
  <c r="M265" i="2"/>
  <c r="M259" i="2"/>
  <c r="CS264" i="2"/>
  <c r="T261" i="2"/>
  <c r="BC262" i="2"/>
  <c r="CS263" i="2"/>
  <c r="AV264" i="2"/>
  <c r="BX268" i="2"/>
  <c r="AO260" i="2"/>
  <c r="BC266" i="2"/>
  <c r="CE261" i="2"/>
  <c r="AV263" i="2"/>
  <c r="BX264" i="2"/>
  <c r="BX266" i="2"/>
  <c r="CZ268" i="2"/>
  <c r="CZ264" i="2"/>
  <c r="BJ270" i="2"/>
  <c r="BJ265" i="2"/>
  <c r="CS265" i="2"/>
  <c r="AO270" i="2"/>
  <c r="DG277" i="2"/>
  <c r="DG283" i="2"/>
  <c r="CL261" i="2"/>
  <c r="CL256" i="2"/>
  <c r="CE258" i="2"/>
  <c r="BX265" i="2"/>
  <c r="BX259" i="2"/>
  <c r="DG265" i="2"/>
  <c r="F261" i="2"/>
  <c r="AA268" i="2"/>
  <c r="DG268" i="2"/>
  <c r="DG262" i="2"/>
  <c r="M263" i="2"/>
  <c r="AA264" i="2"/>
  <c r="BC264" i="2"/>
  <c r="CE270" i="2"/>
  <c r="DG269" i="2"/>
  <c r="CE269" i="2"/>
  <c r="CL246" i="2"/>
  <c r="CZ249" i="2"/>
  <c r="BJ250" i="2"/>
  <c r="BX253" i="2"/>
  <c r="AH254" i="2"/>
  <c r="AV262" i="2"/>
  <c r="AV257" i="2"/>
  <c r="CZ262" i="2"/>
  <c r="CZ257" i="2"/>
  <c r="M258" i="2"/>
  <c r="BJ264" i="2"/>
  <c r="BJ263" i="2"/>
  <c r="BJ258" i="2"/>
  <c r="AO259" i="2"/>
  <c r="AH266" i="2"/>
  <c r="AH260" i="2"/>
  <c r="DG260" i="2"/>
  <c r="AA262" i="2"/>
  <c r="CE263" i="2"/>
  <c r="CE264" i="2"/>
  <c r="DG264" i="2"/>
  <c r="AH265" i="2"/>
  <c r="AH267" i="2"/>
  <c r="M275" i="2"/>
  <c r="M269" i="2"/>
  <c r="M276" i="2"/>
  <c r="M270" i="2"/>
  <c r="AA257" i="2"/>
  <c r="T265" i="2"/>
  <c r="T259" i="2"/>
  <c r="CZ259" i="2"/>
  <c r="CE260" i="2"/>
  <c r="CS260" i="2"/>
  <c r="M267" i="2"/>
  <c r="BC261" i="2"/>
  <c r="CE268" i="2"/>
  <c r="CS262" i="2"/>
  <c r="BQ263" i="2"/>
  <c r="B265" i="2"/>
  <c r="F269" i="2"/>
  <c r="AA267" i="2"/>
  <c r="BQ273" i="2"/>
  <c r="BQ267" i="2"/>
  <c r="BC275" i="2"/>
  <c r="BC269" i="2"/>
  <c r="T279" i="2"/>
  <c r="T275" i="2"/>
  <c r="BX249" i="2"/>
  <c r="AH250" i="2"/>
  <c r="CL251" i="2"/>
  <c r="AV253" i="2"/>
  <c r="B254" i="2"/>
  <c r="F254" i="2"/>
  <c r="BJ255" i="2"/>
  <c r="T262" i="2"/>
  <c r="T257" i="2"/>
  <c r="B258" i="2"/>
  <c r="F264" i="2"/>
  <c r="F263" i="2"/>
  <c r="F258" i="2"/>
  <c r="CL263" i="2"/>
  <c r="CL258" i="2"/>
  <c r="DG258" i="2"/>
  <c r="CL259" i="2"/>
  <c r="BJ260" i="2"/>
  <c r="BJ266" i="2"/>
  <c r="M261" i="2"/>
  <c r="AO261" i="2"/>
  <c r="M262" i="2"/>
  <c r="AH262" i="2"/>
  <c r="AV268" i="2"/>
  <c r="CE262" i="2"/>
  <c r="CZ263" i="2"/>
  <c r="CL264" i="2"/>
  <c r="F265" i="2"/>
  <c r="AO265" i="2"/>
  <c r="BQ266" i="2"/>
  <c r="DG272" i="2"/>
  <c r="DG266" i="2"/>
  <c r="T270" i="2"/>
  <c r="AV261" i="2"/>
  <c r="CZ261" i="2"/>
  <c r="F262" i="2"/>
  <c r="BJ262" i="2"/>
  <c r="T263" i="2"/>
  <c r="BX263" i="2"/>
  <c r="T273" i="2"/>
  <c r="CS268" i="2"/>
  <c r="AH269" i="2"/>
  <c r="CZ269" i="2"/>
  <c r="T272" i="2"/>
  <c r="AH274" i="2"/>
  <c r="AV278" i="2"/>
  <c r="AV282" i="2"/>
  <c r="BC281" i="2"/>
  <c r="BC285" i="2"/>
  <c r="AH270" i="2"/>
  <c r="BQ270" i="2"/>
  <c r="AA271" i="2"/>
  <c r="CL271" i="2"/>
  <c r="CL265" i="2"/>
  <c r="T266" i="2"/>
  <c r="CE272" i="2"/>
  <c r="CL267" i="2"/>
  <c r="CL274" i="2"/>
  <c r="F275" i="2"/>
  <c r="DG270" i="2"/>
  <c r="DG276" i="2"/>
  <c r="AO271" i="2"/>
  <c r="BC271" i="2"/>
  <c r="AO272" i="2"/>
  <c r="AO278" i="2"/>
  <c r="CZ273" i="2"/>
  <c r="BQ276" i="2"/>
  <c r="BQ280" i="2"/>
  <c r="BQ279" i="2"/>
  <c r="BQ264" i="2"/>
  <c r="T271" i="2"/>
  <c r="AA265" i="2"/>
  <c r="AO266" i="2"/>
  <c r="CE266" i="2"/>
  <c r="CZ266" i="2"/>
  <c r="T267" i="2"/>
  <c r="AO267" i="2"/>
  <c r="BJ267" i="2"/>
  <c r="BJ273" i="2"/>
  <c r="DG267" i="2"/>
  <c r="DG274" i="2"/>
  <c r="B270" i="2"/>
  <c r="BC270" i="2"/>
  <c r="M271" i="2"/>
  <c r="BJ272" i="2"/>
  <c r="BX280" i="2"/>
  <c r="BX274" i="2"/>
  <c r="CL270" i="2"/>
  <c r="AV271" i="2"/>
  <c r="BC265" i="2"/>
  <c r="CE271" i="2"/>
  <c r="M266" i="2"/>
  <c r="BC272" i="2"/>
  <c r="M273" i="2"/>
  <c r="CE267" i="2"/>
  <c r="T268" i="2"/>
  <c r="CL268" i="2"/>
  <c r="BQ275" i="2"/>
  <c r="CS269" i="2"/>
  <c r="AA276" i="2"/>
  <c r="CS270" i="2"/>
  <c r="CL272" i="2"/>
  <c r="CE274" i="2"/>
  <c r="BX261" i="2"/>
  <c r="B262" i="2"/>
  <c r="CE265" i="2"/>
  <c r="BX273" i="2"/>
  <c r="AO268" i="2"/>
  <c r="AA269" i="2"/>
  <c r="AV269" i="2"/>
  <c r="BQ269" i="2"/>
  <c r="CL269" i="2"/>
  <c r="CL275" i="2"/>
  <c r="F270" i="2"/>
  <c r="AA270" i="2"/>
  <c r="AV270" i="2"/>
  <c r="AV276" i="2"/>
  <c r="AH277" i="2"/>
  <c r="AH271" i="2"/>
  <c r="BX271" i="2"/>
  <c r="F272" i="2"/>
  <c r="CS272" i="2"/>
  <c r="T274" i="2"/>
  <c r="AV274" i="2"/>
  <c r="CS275" i="2"/>
  <c r="AO279" i="2"/>
  <c r="AA272" i="2"/>
  <c r="CS273" i="2"/>
  <c r="AO275" i="2"/>
  <c r="F271" i="2"/>
  <c r="F277" i="2"/>
  <c r="B271" i="2"/>
  <c r="T277" i="2"/>
  <c r="CE273" i="2"/>
  <c r="AV267" i="2"/>
  <c r="CZ267" i="2"/>
  <c r="F268" i="2"/>
  <c r="BJ268" i="2"/>
  <c r="T269" i="2"/>
  <c r="BX269" i="2"/>
  <c r="AA266" i="2"/>
  <c r="AV266" i="2"/>
  <c r="CS266" i="2"/>
  <c r="F267" i="2"/>
  <c r="BC267" i="2"/>
  <c r="CS267" i="2"/>
  <c r="BC274" i="2"/>
  <c r="CS274" i="2"/>
  <c r="CZ275" i="2"/>
  <c r="BX270" i="2"/>
  <c r="BX276" i="2"/>
  <c r="CS271" i="2"/>
  <c r="CS277" i="2"/>
  <c r="DG271" i="2"/>
  <c r="M272" i="2"/>
  <c r="BX272" i="2"/>
  <c r="BX278" i="2"/>
  <c r="CZ272" i="2"/>
  <c r="CL279" i="2"/>
  <c r="CL273" i="2"/>
  <c r="AA274" i="2"/>
  <c r="DG275" i="2"/>
  <c r="DG279" i="2"/>
  <c r="DG278" i="2"/>
  <c r="CE276" i="2"/>
  <c r="AO277" i="2"/>
  <c r="B276" i="2"/>
  <c r="F276" i="2"/>
  <c r="CL276" i="2"/>
  <c r="CZ285" i="2"/>
  <c r="CS280" i="2"/>
  <c r="BJ281" i="2"/>
  <c r="M285" i="2"/>
  <c r="M291" i="2"/>
  <c r="CZ277" i="2"/>
  <c r="BQ272" i="2"/>
  <c r="T276" i="2"/>
  <c r="AA281" i="2"/>
  <c r="AA277" i="2"/>
  <c r="T284" i="2"/>
  <c r="T278" i="2"/>
  <c r="AH284" i="2"/>
  <c r="AH283" i="2"/>
  <c r="AH278" i="2"/>
  <c r="CZ279" i="2"/>
  <c r="T280" i="2"/>
  <c r="AO280" i="2"/>
  <c r="CZ280" i="2"/>
  <c r="F281" i="2"/>
  <c r="DG287" i="2"/>
  <c r="DG281" i="2"/>
  <c r="B273" i="2"/>
  <c r="AA273" i="2"/>
  <c r="M274" i="2"/>
  <c r="M280" i="2"/>
  <c r="AO274" i="2"/>
  <c r="CE281" i="2"/>
  <c r="CE275" i="2"/>
  <c r="CL283" i="2"/>
  <c r="CL277" i="2"/>
  <c r="CE278" i="2"/>
  <c r="CS284" i="2"/>
  <c r="CS283" i="2"/>
  <c r="CS278" i="2"/>
  <c r="BJ279" i="2"/>
  <c r="BX285" i="2"/>
  <c r="BX279" i="2"/>
  <c r="F280" i="2"/>
  <c r="BJ286" i="2"/>
  <c r="BJ280" i="2"/>
  <c r="AA287" i="2"/>
  <c r="AA282" i="2"/>
  <c r="M277" i="2"/>
  <c r="M282" i="2"/>
  <c r="F278" i="2"/>
  <c r="B278" i="2"/>
  <c r="AA280" i="2"/>
  <c r="AV280" i="2"/>
  <c r="CE280" i="2"/>
  <c r="M281" i="2"/>
  <c r="BC282" i="2"/>
  <c r="F274" i="2"/>
  <c r="B269" i="2"/>
  <c r="CZ270" i="2"/>
  <c r="BJ271" i="2"/>
  <c r="BJ278" i="2"/>
  <c r="F273" i="2"/>
  <c r="BC279" i="2"/>
  <c r="BC273" i="2"/>
  <c r="AH281" i="2"/>
  <c r="AH275" i="2"/>
  <c r="AV275" i="2"/>
  <c r="BJ283" i="2"/>
  <c r="BJ277" i="2"/>
  <c r="BX277" i="2"/>
  <c r="BX281" i="2"/>
  <c r="BQ278" i="2"/>
  <c r="AH285" i="2"/>
  <c r="AH279" i="2"/>
  <c r="AV279" i="2"/>
  <c r="T287" i="2"/>
  <c r="T281" i="2"/>
  <c r="CS281" i="2"/>
  <c r="BJ275" i="2"/>
  <c r="AO282" i="2"/>
  <c r="AO276" i="2"/>
  <c r="BC276" i="2"/>
  <c r="BC278" i="2"/>
  <c r="CS285" i="2"/>
  <c r="CS279" i="2"/>
  <c r="CL286" i="2"/>
  <c r="AV287" i="2"/>
  <c r="AH273" i="2"/>
  <c r="CL281" i="2"/>
  <c r="CZ282" i="2"/>
  <c r="CZ276" i="2"/>
  <c r="AV283" i="2"/>
  <c r="AV277" i="2"/>
  <c r="AA278" i="2"/>
  <c r="F279" i="2"/>
  <c r="CL280" i="2"/>
  <c r="AV281" i="2"/>
  <c r="AH282" i="2"/>
  <c r="CS276" i="2"/>
  <c r="BC283" i="2"/>
  <c r="BC277" i="2"/>
  <c r="CE283" i="2"/>
  <c r="M284" i="2"/>
  <c r="M278" i="2"/>
  <c r="AO284" i="2"/>
  <c r="BX284" i="2"/>
  <c r="BX287" i="2"/>
  <c r="CZ286" i="2"/>
  <c r="BQ287" i="2"/>
  <c r="BQ292" i="2"/>
  <c r="F289" i="2"/>
  <c r="B289" i="2"/>
  <c r="F295" i="2"/>
  <c r="CE289" i="2"/>
  <c r="AO281" i="2"/>
  <c r="AA283" i="2"/>
  <c r="CL289" i="2"/>
  <c r="T286" i="2"/>
  <c r="AV290" i="2"/>
  <c r="M283" i="2"/>
  <c r="B284" i="2"/>
  <c r="F290" i="2"/>
  <c r="F284" i="2"/>
  <c r="BC284" i="2"/>
  <c r="BC289" i="2"/>
  <c r="DG273" i="2"/>
  <c r="BQ274" i="2"/>
  <c r="AO283" i="2"/>
  <c r="AA279" i="2"/>
  <c r="DG286" i="2"/>
  <c r="BQ286" i="2"/>
  <c r="BQ288" i="2"/>
  <c r="CE288" i="2"/>
  <c r="CE287" i="2"/>
  <c r="CS282" i="2"/>
  <c r="DG282" i="2"/>
  <c r="CS289" i="2"/>
  <c r="CE284" i="2"/>
  <c r="AA291" i="2"/>
  <c r="AA285" i="2"/>
  <c r="AA275" i="2"/>
  <c r="AA284" i="2"/>
  <c r="CL284" i="2"/>
  <c r="DG280" i="2"/>
  <c r="BQ281" i="2"/>
  <c r="F282" i="2"/>
  <c r="B282" i="2"/>
  <c r="T282" i="2"/>
  <c r="CE282" i="2"/>
  <c r="B288" i="2"/>
  <c r="F294" i="2"/>
  <c r="F288" i="2"/>
  <c r="AA289" i="2"/>
  <c r="AV285" i="2"/>
  <c r="CE285" i="2"/>
  <c r="CE279" i="2"/>
  <c r="DG285" i="2"/>
  <c r="F286" i="2"/>
  <c r="BC280" i="2"/>
  <c r="BQ282" i="2"/>
  <c r="CL288" i="2"/>
  <c r="BQ285" i="2"/>
  <c r="AH292" i="2"/>
  <c r="AH286" i="2"/>
  <c r="T283" i="2"/>
  <c r="CZ283" i="2"/>
  <c r="BQ290" i="2"/>
  <c r="BQ284" i="2"/>
  <c r="AO290" i="2"/>
  <c r="AO285" i="2"/>
  <c r="CS287" i="2"/>
  <c r="CZ281" i="2"/>
  <c r="BJ282" i="2"/>
  <c r="AO289" i="2"/>
  <c r="BQ283" i="2"/>
  <c r="DG284" i="2"/>
  <c r="CL285" i="2"/>
  <c r="AO288" i="2"/>
  <c r="BQ289" i="2"/>
  <c r="T290" i="2"/>
  <c r="BX291" i="2"/>
  <c r="B292" i="2"/>
  <c r="H268" i="6"/>
  <c r="E267" i="3"/>
  <c r="F267" i="3" s="1"/>
  <c r="BX288" i="2"/>
  <c r="CS288" i="2"/>
  <c r="DG291" i="2"/>
  <c r="DG290" i="2"/>
  <c r="DG296" i="2"/>
  <c r="DG295" i="2"/>
  <c r="AH289" i="2"/>
  <c r="AV284" i="2"/>
  <c r="BJ290" i="2"/>
  <c r="BJ284" i="2"/>
  <c r="M292" i="2"/>
  <c r="F285" i="2"/>
  <c r="F291" i="2"/>
  <c r="CE286" i="2"/>
  <c r="CS286" i="2"/>
  <c r="AO287" i="2"/>
  <c r="BC287" i="2"/>
  <c r="DG293" i="2"/>
  <c r="T289" i="2"/>
  <c r="AH290" i="2"/>
  <c r="AV289" i="2"/>
  <c r="BX283" i="2"/>
  <c r="BX289" i="2"/>
  <c r="AO286" i="2"/>
  <c r="BC286" i="2"/>
  <c r="M287" i="2"/>
  <c r="BJ292" i="2"/>
  <c r="AH288" i="2"/>
  <c r="BC288" i="2"/>
  <c r="AH291" i="2"/>
  <c r="T295" i="2"/>
  <c r="AU296" i="6"/>
  <c r="BO296" i="2" s="1"/>
  <c r="AU297" i="6"/>
  <c r="T292" i="2"/>
  <c r="DG292" i="2"/>
  <c r="M293" i="2"/>
  <c r="AA292" i="2"/>
  <c r="DG294" i="2"/>
  <c r="BJ293" i="2"/>
  <c r="T291" i="2"/>
  <c r="BX286" i="2"/>
  <c r="B287" i="2"/>
  <c r="AH287" i="2"/>
  <c r="CL287" i="2"/>
  <c r="M294" i="2"/>
  <c r="AA293" i="2"/>
  <c r="T293" i="2"/>
  <c r="B296" i="2"/>
  <c r="F296" i="2"/>
  <c r="AA286" i="2"/>
  <c r="CZ287" i="2"/>
  <c r="M288" i="2"/>
  <c r="AV288" i="2"/>
  <c r="BJ288" i="2"/>
  <c r="DG288" i="2"/>
  <c r="AA295" i="2"/>
  <c r="BX290" i="2"/>
  <c r="CE291" i="2"/>
  <c r="F293" i="2"/>
  <c r="BQ293" i="2"/>
  <c r="CZ284" i="2"/>
  <c r="T285" i="2"/>
  <c r="BJ285" i="2"/>
  <c r="AV286" i="2"/>
  <c r="F287" i="2"/>
  <c r="AA288" i="2"/>
  <c r="M289" i="2"/>
  <c r="M290" i="2"/>
  <c r="AA296" i="2"/>
  <c r="AA290" i="2"/>
  <c r="B291" i="2"/>
  <c r="CE290" i="2"/>
  <c r="BQ291" i="2"/>
  <c r="AA294" i="2"/>
  <c r="I19" i="4"/>
  <c r="J19" i="4" s="1"/>
  <c r="G19" i="4"/>
  <c r="CZ288" i="2"/>
  <c r="BJ289" i="2"/>
  <c r="AO291" i="2"/>
  <c r="T294" i="2"/>
  <c r="I68" i="4"/>
  <c r="J68" i="4" s="1"/>
  <c r="B295" i="2"/>
  <c r="I21" i="4"/>
  <c r="J21" i="4" s="1"/>
  <c r="G21" i="4"/>
  <c r="G22" i="4"/>
  <c r="I42" i="4"/>
  <c r="J42" i="4" s="1"/>
  <c r="G42" i="4"/>
  <c r="G43" i="4"/>
  <c r="J14" i="4"/>
  <c r="J8" i="4"/>
  <c r="J10" i="4"/>
  <c r="I17" i="4"/>
  <c r="J17" i="4" s="1"/>
  <c r="G17" i="4"/>
  <c r="G37" i="4"/>
  <c r="I37" i="4"/>
  <c r="I61" i="4"/>
  <c r="G65" i="4"/>
  <c r="B292" i="3"/>
  <c r="I13" i="4"/>
  <c r="J13" i="4" s="1"/>
  <c r="G13" i="4"/>
  <c r="J34" i="4"/>
  <c r="J43" i="4"/>
  <c r="I56" i="4"/>
  <c r="I9" i="4"/>
  <c r="J9" i="4" s="1"/>
  <c r="G9" i="4"/>
  <c r="I40" i="4"/>
  <c r="J40" i="4" s="1"/>
  <c r="G40" i="4"/>
  <c r="F55" i="4"/>
  <c r="G56" i="4" s="1"/>
  <c r="F71" i="4"/>
  <c r="G71" i="4" s="1"/>
  <c r="F296" i="3"/>
  <c r="B296" i="3"/>
  <c r="I5" i="4"/>
  <c r="J5" i="4" s="1"/>
  <c r="G5" i="4"/>
  <c r="G7" i="4"/>
  <c r="G20" i="4"/>
  <c r="J28" i="4"/>
  <c r="G53" i="4"/>
  <c r="I60" i="4"/>
  <c r="J60" i="4" s="1"/>
  <c r="G69" i="4"/>
  <c r="G16" i="4"/>
  <c r="G18" i="4"/>
  <c r="J24" i="4"/>
  <c r="I44" i="4"/>
  <c r="J44" i="4" s="1"/>
  <c r="I53" i="4"/>
  <c r="J53" i="4" s="1"/>
  <c r="G57" i="4"/>
  <c r="F60" i="4"/>
  <c r="G60" i="4" s="1"/>
  <c r="I69" i="4"/>
  <c r="G12" i="4"/>
  <c r="G14" i="4"/>
  <c r="I29" i="4"/>
  <c r="J29" i="4" s="1"/>
  <c r="G29" i="4"/>
  <c r="J35" i="4"/>
  <c r="G41" i="4"/>
  <c r="J45" i="4"/>
  <c r="J48" i="4"/>
  <c r="J52" i="4"/>
  <c r="G52" i="4"/>
  <c r="I64" i="4"/>
  <c r="G68" i="4"/>
  <c r="G8" i="4"/>
  <c r="G10" i="4"/>
  <c r="J16" i="4"/>
  <c r="J18" i="4"/>
  <c r="I25" i="4"/>
  <c r="J25" i="4" s="1"/>
  <c r="G25" i="4"/>
  <c r="J33" i="4"/>
  <c r="I36" i="4"/>
  <c r="J36" i="4" s="1"/>
  <c r="G36" i="4"/>
  <c r="J41" i="4"/>
  <c r="F63" i="4"/>
  <c r="G64" i="4" s="1"/>
  <c r="J70" i="4"/>
  <c r="J57" i="4"/>
  <c r="G46" i="4"/>
  <c r="G50" i="4"/>
  <c r="F54" i="4"/>
  <c r="I54" i="4" s="1"/>
  <c r="F62" i="4"/>
  <c r="I62" i="4" s="1"/>
  <c r="F70" i="4"/>
  <c r="I70" i="4" s="1"/>
  <c r="BP291" i="6"/>
  <c r="BP292" i="6"/>
  <c r="G62" i="4"/>
  <c r="G45" i="4"/>
  <c r="G49" i="4"/>
  <c r="F58" i="4"/>
  <c r="G58" i="4" s="1"/>
  <c r="F66" i="4"/>
  <c r="I66" i="4" s="1"/>
  <c r="AE292" i="6"/>
  <c r="AM292" i="2" s="1"/>
  <c r="AO295" i="2" s="1"/>
  <c r="AU294" i="6"/>
  <c r="BO294" i="2" s="1"/>
  <c r="AU295" i="6"/>
  <c r="BO295" i="2" s="1"/>
  <c r="S296" i="6"/>
  <c r="R296" i="2" s="1"/>
  <c r="S297" i="6"/>
  <c r="BG291" i="6"/>
  <c r="CJ291" i="2" s="1"/>
  <c r="CL296" i="2" s="1"/>
  <c r="BG292" i="6"/>
  <c r="CJ292" i="2" s="1"/>
  <c r="BH293" i="6"/>
  <c r="BH294" i="6"/>
  <c r="BT290" i="6"/>
  <c r="BT291" i="6"/>
  <c r="AI291" i="6"/>
  <c r="AT291" i="2" s="1"/>
  <c r="AY293" i="6"/>
  <c r="BV293" i="2" s="1"/>
  <c r="AY294" i="6"/>
  <c r="BV294" i="2" s="1"/>
  <c r="AZ295" i="6"/>
  <c r="AZ296" i="6"/>
  <c r="BK290" i="6"/>
  <c r="CQ290" i="2" s="1"/>
  <c r="BK291" i="6"/>
  <c r="CQ291" i="2" s="1"/>
  <c r="CS296" i="2" s="1"/>
  <c r="BL292" i="6"/>
  <c r="BL293" i="6"/>
  <c r="AA293" i="6"/>
  <c r="AF293" i="2" s="1"/>
  <c r="AH295" i="2" s="1"/>
  <c r="O295" i="6"/>
  <c r="K295" i="2" s="1"/>
  <c r="O296" i="6"/>
  <c r="K296" i="2" s="1"/>
  <c r="AQ295" i="6"/>
  <c r="BH295" i="2" s="1"/>
  <c r="AQ296" i="6"/>
  <c r="BH296" i="2" s="1"/>
  <c r="BD296" i="6"/>
  <c r="BD297" i="6"/>
  <c r="BO289" i="6"/>
  <c r="CX289" i="2" s="1"/>
  <c r="BO290" i="6"/>
  <c r="CX290" i="2" s="1"/>
  <c r="BC292" i="6"/>
  <c r="CC292" i="2" s="1"/>
  <c r="CE295" i="2" s="1"/>
  <c r="BC293" i="6"/>
  <c r="CC293" i="2" s="1"/>
  <c r="BD294" i="6"/>
  <c r="BD295" i="6"/>
  <c r="O297" i="6"/>
  <c r="O298" i="6"/>
  <c r="AQ297" i="6"/>
  <c r="AQ298" i="6"/>
  <c r="L289" i="6"/>
  <c r="AZ289" i="6"/>
  <c r="AV298" i="6"/>
  <c r="AR299" i="6"/>
  <c r="AM290" i="6"/>
  <c r="BA290" i="2" s="1"/>
  <c r="BC291" i="2" s="1"/>
  <c r="AJ299" i="6"/>
  <c r="AU299" i="6"/>
  <c r="BD299" i="6"/>
  <c r="AR291" i="6"/>
  <c r="AN292" i="6"/>
  <c r="AJ293" i="6"/>
  <c r="AF294" i="6"/>
  <c r="AB295" i="6"/>
  <c r="AB297" i="6"/>
  <c r="AZ298" i="6"/>
  <c r="K299" i="6"/>
  <c r="AB299" i="6"/>
  <c r="AV299" i="6"/>
  <c r="AN290" i="6"/>
  <c r="AJ291" i="6"/>
  <c r="AF292" i="6"/>
  <c r="AB293" i="6"/>
  <c r="X294" i="6"/>
  <c r="T295" i="6"/>
  <c r="X296" i="6"/>
  <c r="T297" i="6"/>
  <c r="X298" i="6"/>
  <c r="BS298" i="6"/>
  <c r="T299" i="6"/>
  <c r="BO299" i="6"/>
  <c r="AF290" i="6"/>
  <c r="AB291" i="6"/>
  <c r="AV291" i="6"/>
  <c r="X292" i="6"/>
  <c r="T293" i="6"/>
  <c r="P294" i="6"/>
  <c r="L295" i="6"/>
  <c r="P296" i="6"/>
  <c r="L297" i="6"/>
  <c r="P298" i="6"/>
  <c r="L299" i="6"/>
  <c r="BP299" i="6"/>
  <c r="X290" i="6"/>
  <c r="T291" i="6"/>
  <c r="P292" i="6"/>
  <c r="L293" i="6"/>
  <c r="BT294" i="6"/>
  <c r="BP295" i="6"/>
  <c r="BT296" i="6"/>
  <c r="BP297" i="6"/>
  <c r="BT298" i="6"/>
  <c r="BS299" i="6"/>
  <c r="P290" i="6"/>
  <c r="L291" i="6"/>
  <c r="BT292" i="6"/>
  <c r="BP293" i="6"/>
  <c r="BL294" i="6"/>
  <c r="BH295" i="6"/>
  <c r="BL296" i="6"/>
  <c r="BH297" i="6"/>
  <c r="BL298" i="6"/>
  <c r="BH299" i="6"/>
  <c r="BT299" i="6"/>
  <c r="AL125" i="1"/>
  <c r="AL123" i="1"/>
  <c r="AL124" i="1"/>
  <c r="AL122" i="1"/>
  <c r="AL121" i="1"/>
  <c r="AL126" i="1"/>
  <c r="AL127" i="1"/>
  <c r="M40" i="4" a="1"/>
  <c r="M32" i="4" a="1"/>
  <c r="AK126" i="1" l="1"/>
  <c r="AK122" i="1"/>
  <c r="CZ291" i="2"/>
  <c r="CZ295" i="2"/>
  <c r="AI123" i="1"/>
  <c r="BJ291" i="2"/>
  <c r="CS294" i="2"/>
  <c r="BC292" i="2"/>
  <c r="BC293" i="2"/>
  <c r="F292" i="2"/>
  <c r="M32" i="4"/>
  <c r="O32" i="4" s="1"/>
  <c r="M40" i="4"/>
  <c r="O40" i="4" s="1"/>
  <c r="P40" i="4" s="1"/>
  <c r="AL120" i="1"/>
  <c r="AM124" i="1" s="1"/>
  <c r="J67" i="4"/>
  <c r="J66" i="4"/>
  <c r="Z85" i="2"/>
  <c r="Z86" i="2" s="1"/>
  <c r="Z87" i="2" s="1"/>
  <c r="Z88" i="2" s="1"/>
  <c r="Z89" i="2" s="1"/>
  <c r="Z90" i="2" s="1"/>
  <c r="Z91" i="2" s="1"/>
  <c r="Z92" i="2" s="1"/>
  <c r="Z93" i="2" s="1"/>
  <c r="Z94" i="2" s="1"/>
  <c r="Z95" i="2" s="1"/>
  <c r="Z96" i="2" s="1"/>
  <c r="Z97" i="2" s="1"/>
  <c r="Z98" i="2" s="1"/>
  <c r="Z99" i="2" s="1"/>
  <c r="Z100" i="2" s="1"/>
  <c r="Z101" i="2" s="1"/>
  <c r="Z102" i="2" s="1"/>
  <c r="Z103" i="2" s="1"/>
  <c r="Z104" i="2" s="1"/>
  <c r="Z105" i="2" s="1"/>
  <c r="Z106" i="2" s="1"/>
  <c r="Z107" i="2" s="1"/>
  <c r="Z108" i="2" s="1"/>
  <c r="Z109" i="2" s="1"/>
  <c r="Z110" i="2" s="1"/>
  <c r="Z111" i="2" s="1"/>
  <c r="Z112" i="2" s="1"/>
  <c r="Z113" i="2" s="1"/>
  <c r="Z114" i="2" s="1"/>
  <c r="Z115" i="2" s="1"/>
  <c r="Z116" i="2" s="1"/>
  <c r="Z117" i="2" s="1"/>
  <c r="Z118" i="2" s="1"/>
  <c r="Z119" i="2" s="1"/>
  <c r="Z120" i="2" s="1"/>
  <c r="Z121" i="2" s="1"/>
  <c r="Z122" i="2" s="1"/>
  <c r="Z123" i="2" s="1"/>
  <c r="Z124" i="2" s="1"/>
  <c r="Z125" i="2" s="1"/>
  <c r="Z126" i="2" s="1"/>
  <c r="Z127" i="2" s="1"/>
  <c r="Z128" i="2" s="1"/>
  <c r="Z129" i="2" s="1"/>
  <c r="Z130" i="2" s="1"/>
  <c r="Z131" i="2" s="1"/>
  <c r="Z132" i="2" s="1"/>
  <c r="Z133" i="2" s="1"/>
  <c r="Z134" i="2" s="1"/>
  <c r="Z135" i="2" s="1"/>
  <c r="Z136" i="2" s="1"/>
  <c r="Z137" i="2" s="1"/>
  <c r="Z138" i="2" s="1"/>
  <c r="Z139" i="2" s="1"/>
  <c r="Z140" i="2" s="1"/>
  <c r="Z141" i="2" s="1"/>
  <c r="Z142" i="2" s="1"/>
  <c r="Z143" i="2" s="1"/>
  <c r="Z144" i="2" s="1"/>
  <c r="Z145" i="2" s="1"/>
  <c r="Z146" i="2" s="1"/>
  <c r="Z147" i="2" s="1"/>
  <c r="Z148" i="2" s="1"/>
  <c r="Z149" i="2" s="1"/>
  <c r="Z150" i="2" s="1"/>
  <c r="Z151" i="2" s="1"/>
  <c r="Z152" i="2" s="1"/>
  <c r="Z153" i="2" s="1"/>
  <c r="Z154" i="2" s="1"/>
  <c r="Z155" i="2" s="1"/>
  <c r="Z156" i="2" s="1"/>
  <c r="Z157" i="2" s="1"/>
  <c r="Z158" i="2" s="1"/>
  <c r="Z159" i="2" s="1"/>
  <c r="Z160" i="2" s="1"/>
  <c r="Z161" i="2" s="1"/>
  <c r="Z162" i="2" s="1"/>
  <c r="Z163" i="2" s="1"/>
  <c r="Z164" i="2" s="1"/>
  <c r="Z165" i="2" s="1"/>
  <c r="Z166" i="2" s="1"/>
  <c r="Z167" i="2" s="1"/>
  <c r="Z168" i="2" s="1"/>
  <c r="Z169" i="2" s="1"/>
  <c r="Z170" i="2" s="1"/>
  <c r="Z171" i="2" s="1"/>
  <c r="Z172" i="2" s="1"/>
  <c r="Z173" i="2" s="1"/>
  <c r="Z174" i="2" s="1"/>
  <c r="Z175" i="2" s="1"/>
  <c r="Z176" i="2" s="1"/>
  <c r="Z177" i="2" s="1"/>
  <c r="Z178" i="2" s="1"/>
  <c r="Z179" i="2" s="1"/>
  <c r="Z180" i="2" s="1"/>
  <c r="Z181" i="2" s="1"/>
  <c r="Z182" i="2" s="1"/>
  <c r="Z183" i="2" s="1"/>
  <c r="Z184" i="2" s="1"/>
  <c r="Z185" i="2" s="1"/>
  <c r="Z186" i="2" s="1"/>
  <c r="Z187" i="2" s="1"/>
  <c r="Z188" i="2" s="1"/>
  <c r="Z189" i="2" s="1"/>
  <c r="Z190" i="2" s="1"/>
  <c r="Z191" i="2" s="1"/>
  <c r="Z192" i="2" s="1"/>
  <c r="Z193" i="2" s="1"/>
  <c r="Z194" i="2" s="1"/>
  <c r="Z195" i="2" s="1"/>
  <c r="Z196" i="2" s="1"/>
  <c r="Z197" i="2" s="1"/>
  <c r="Z198" i="2" s="1"/>
  <c r="Z199" i="2" s="1"/>
  <c r="Z200" i="2" s="1"/>
  <c r="Z201" i="2" s="1"/>
  <c r="Z202" i="2" s="1"/>
  <c r="Z203" i="2" s="1"/>
  <c r="Z204" i="2" s="1"/>
  <c r="Z205" i="2" s="1"/>
  <c r="Z206" i="2" s="1"/>
  <c r="Z207" i="2" s="1"/>
  <c r="Z208" i="2" s="1"/>
  <c r="Z209" i="2" s="1"/>
  <c r="Z210" i="2" s="1"/>
  <c r="Z211" i="2" s="1"/>
  <c r="Z212" i="2" s="1"/>
  <c r="Z213" i="2" s="1"/>
  <c r="Z214" i="2" s="1"/>
  <c r="Z215" i="2" s="1"/>
  <c r="Z216" i="2" s="1"/>
  <c r="Z217" i="2" s="1"/>
  <c r="Z218" i="2" s="1"/>
  <c r="Z219" i="2" s="1"/>
  <c r="Z220" i="2" s="1"/>
  <c r="Z221" i="2" s="1"/>
  <c r="Z222" i="2" s="1"/>
  <c r="Z223" i="2" s="1"/>
  <c r="Z224" i="2" s="1"/>
  <c r="Z225" i="2" s="1"/>
  <c r="Z226" i="2" s="1"/>
  <c r="Z227" i="2" s="1"/>
  <c r="Z228" i="2" s="1"/>
  <c r="Z229" i="2" s="1"/>
  <c r="Z230" i="2" s="1"/>
  <c r="Z231" i="2" s="1"/>
  <c r="Z232" i="2" s="1"/>
  <c r="Z233" i="2" s="1"/>
  <c r="Z234" i="2" s="1"/>
  <c r="Z235" i="2" s="1"/>
  <c r="Z236" i="2" s="1"/>
  <c r="Z237" i="2" s="1"/>
  <c r="Z238" i="2" s="1"/>
  <c r="Z239" i="2" s="1"/>
  <c r="Z240" i="2" s="1"/>
  <c r="Z241" i="2" s="1"/>
  <c r="Z242" i="2" s="1"/>
  <c r="Z243" i="2" s="1"/>
  <c r="Z244" i="2" s="1"/>
  <c r="Z245" i="2" s="1"/>
  <c r="Z246" i="2" s="1"/>
  <c r="Z247" i="2" s="1"/>
  <c r="Z248" i="2" s="1"/>
  <c r="Z249" i="2" s="1"/>
  <c r="Z250" i="2" s="1"/>
  <c r="Z251" i="2" s="1"/>
  <c r="Z252" i="2" s="1"/>
  <c r="Z253" i="2" s="1"/>
  <c r="Z254" i="2" s="1"/>
  <c r="Z255" i="2" s="1"/>
  <c r="Z256" i="2" s="1"/>
  <c r="Z257" i="2" s="1"/>
  <c r="Z258" i="2" s="1"/>
  <c r="Z259" i="2" s="1"/>
  <c r="Z260" i="2" s="1"/>
  <c r="Z261" i="2" s="1"/>
  <c r="Z262" i="2" s="1"/>
  <c r="Z263" i="2" s="1"/>
  <c r="Z264" i="2" s="1"/>
  <c r="Z265" i="2" s="1"/>
  <c r="Z266" i="2" s="1"/>
  <c r="Z267" i="2" s="1"/>
  <c r="Z268" i="2" s="1"/>
  <c r="Z269" i="2" s="1"/>
  <c r="Z270" i="2" s="1"/>
  <c r="Z271" i="2" s="1"/>
  <c r="Z272" i="2" s="1"/>
  <c r="Z273" i="2" s="1"/>
  <c r="Z274" i="2" s="1"/>
  <c r="Z275" i="2" s="1"/>
  <c r="Z276" i="2" s="1"/>
  <c r="Z277" i="2" s="1"/>
  <c r="Z278" i="2" s="1"/>
  <c r="Z279" i="2" s="1"/>
  <c r="Z280" i="2" s="1"/>
  <c r="Z281" i="2" s="1"/>
  <c r="Z282" i="2" s="1"/>
  <c r="Z283" i="2" s="1"/>
  <c r="Z284" i="2" s="1"/>
  <c r="Z285" i="2" s="1"/>
  <c r="Z286" i="2" s="1"/>
  <c r="Z287" i="2" s="1"/>
  <c r="Z288" i="2" s="1"/>
  <c r="Z289" i="2" s="1"/>
  <c r="Z290" i="2" s="1"/>
  <c r="Z291" i="2" s="1"/>
  <c r="Z292" i="2" s="1"/>
  <c r="Z293" i="2" s="1"/>
  <c r="Z294" i="2" s="1"/>
  <c r="Z295" i="2" s="1"/>
  <c r="Z296" i="2" s="1"/>
  <c r="AB85" i="2"/>
  <c r="AB86" i="2" s="1"/>
  <c r="AB87" i="2" s="1"/>
  <c r="CZ296" i="2"/>
  <c r="CZ290" i="2"/>
  <c r="AH293" i="2"/>
  <c r="BX293" i="2"/>
  <c r="I58" i="4"/>
  <c r="G55" i="4"/>
  <c r="CZ289" i="2"/>
  <c r="CZ293" i="2"/>
  <c r="AV291" i="2"/>
  <c r="T296" i="2"/>
  <c r="G70" i="4"/>
  <c r="G63" i="4"/>
  <c r="G66" i="4"/>
  <c r="I71" i="4"/>
  <c r="J71" i="4" s="1"/>
  <c r="J26" i="4"/>
  <c r="CL295" i="2"/>
  <c r="BX295" i="2"/>
  <c r="AV296" i="2"/>
  <c r="CM37" i="2"/>
  <c r="CM38" i="2" s="1"/>
  <c r="CM39" i="2" s="1"/>
  <c r="CK37" i="2"/>
  <c r="CK38" i="2" s="1"/>
  <c r="CK39" i="2" s="1"/>
  <c r="CK40" i="2" s="1"/>
  <c r="CK41" i="2" s="1"/>
  <c r="CK42" i="2" s="1"/>
  <c r="CK43" i="2" s="1"/>
  <c r="CK44" i="2" s="1"/>
  <c r="CK45" i="2" s="1"/>
  <c r="CK46" i="2" s="1"/>
  <c r="CK47" i="2" s="1"/>
  <c r="CK48" i="2" s="1"/>
  <c r="CK49" i="2" s="1"/>
  <c r="CK50" i="2" s="1"/>
  <c r="CK51" i="2" s="1"/>
  <c r="CK52" i="2" s="1"/>
  <c r="CK53" i="2" s="1"/>
  <c r="CK54" i="2" s="1"/>
  <c r="CK55" i="2" s="1"/>
  <c r="CK56" i="2" s="1"/>
  <c r="CK57" i="2" s="1"/>
  <c r="CK58" i="2" s="1"/>
  <c r="CK59" i="2" s="1"/>
  <c r="CK60" i="2" s="1"/>
  <c r="CK61" i="2" s="1"/>
  <c r="CK62" i="2" s="1"/>
  <c r="CK63" i="2" s="1"/>
  <c r="CK64" i="2" s="1"/>
  <c r="CK65" i="2" s="1"/>
  <c r="CK66" i="2" s="1"/>
  <c r="CK67" i="2" s="1"/>
  <c r="CK68" i="2" s="1"/>
  <c r="CK69" i="2" s="1"/>
  <c r="CK70" i="2" s="1"/>
  <c r="CK71" i="2" s="1"/>
  <c r="CK72" i="2" s="1"/>
  <c r="CK73" i="2" s="1"/>
  <c r="CK74" i="2" s="1"/>
  <c r="CK75" i="2" s="1"/>
  <c r="CK76" i="2" s="1"/>
  <c r="CK77" i="2" s="1"/>
  <c r="CK78" i="2" s="1"/>
  <c r="CK79" i="2" s="1"/>
  <c r="CK80" i="2" s="1"/>
  <c r="CK81" i="2" s="1"/>
  <c r="CK82" i="2" s="1"/>
  <c r="CK83" i="2" s="1"/>
  <c r="CK84" i="2" s="1"/>
  <c r="CK85" i="2" s="1"/>
  <c r="CK86" i="2" s="1"/>
  <c r="CK87" i="2" s="1"/>
  <c r="CK88" i="2" s="1"/>
  <c r="CK89" i="2" s="1"/>
  <c r="CK90" i="2" s="1"/>
  <c r="CK91" i="2" s="1"/>
  <c r="CK92" i="2" s="1"/>
  <c r="CK93" i="2" s="1"/>
  <c r="CK94" i="2" s="1"/>
  <c r="CK95" i="2" s="1"/>
  <c r="CK96" i="2" s="1"/>
  <c r="CK97" i="2" s="1"/>
  <c r="CK98" i="2" s="1"/>
  <c r="CK99" i="2" s="1"/>
  <c r="CK100" i="2" s="1"/>
  <c r="CK101" i="2" s="1"/>
  <c r="CK102" i="2" s="1"/>
  <c r="CK103" i="2" s="1"/>
  <c r="CK104" i="2" s="1"/>
  <c r="CK105" i="2" s="1"/>
  <c r="CK106" i="2" s="1"/>
  <c r="CK107" i="2" s="1"/>
  <c r="CK108" i="2" s="1"/>
  <c r="CK109" i="2" s="1"/>
  <c r="CK110" i="2" s="1"/>
  <c r="CK111" i="2" s="1"/>
  <c r="CK112" i="2" s="1"/>
  <c r="CK113" i="2" s="1"/>
  <c r="CK114" i="2" s="1"/>
  <c r="CK115" i="2" s="1"/>
  <c r="CK116" i="2" s="1"/>
  <c r="CK117" i="2" s="1"/>
  <c r="CK118" i="2" s="1"/>
  <c r="CK119" i="2" s="1"/>
  <c r="CK120" i="2" s="1"/>
  <c r="CK121" i="2" s="1"/>
  <c r="CK122" i="2" s="1"/>
  <c r="CK123" i="2" s="1"/>
  <c r="CK124" i="2" s="1"/>
  <c r="CK125" i="2" s="1"/>
  <c r="CK126" i="2" s="1"/>
  <c r="CK127" i="2" s="1"/>
  <c r="CK128" i="2" s="1"/>
  <c r="CK129" i="2" s="1"/>
  <c r="CK130" i="2" s="1"/>
  <c r="CK131" i="2" s="1"/>
  <c r="CK132" i="2" s="1"/>
  <c r="CK133" i="2" s="1"/>
  <c r="CK134" i="2" s="1"/>
  <c r="CK135" i="2" s="1"/>
  <c r="CK136" i="2" s="1"/>
  <c r="CK137" i="2" s="1"/>
  <c r="CK138" i="2" s="1"/>
  <c r="CK139" i="2" s="1"/>
  <c r="CK140" i="2" s="1"/>
  <c r="CK141" i="2" s="1"/>
  <c r="CK142" i="2" s="1"/>
  <c r="CK143" i="2" s="1"/>
  <c r="CK144" i="2" s="1"/>
  <c r="CK145" i="2" s="1"/>
  <c r="CK146" i="2" s="1"/>
  <c r="CK147" i="2" s="1"/>
  <c r="CK148" i="2" s="1"/>
  <c r="CK149" i="2" s="1"/>
  <c r="CK150" i="2" s="1"/>
  <c r="CK151" i="2" s="1"/>
  <c r="CK152" i="2" s="1"/>
  <c r="CK153" i="2" s="1"/>
  <c r="CK154" i="2" s="1"/>
  <c r="CK155" i="2" s="1"/>
  <c r="CK156" i="2" s="1"/>
  <c r="CK157" i="2" s="1"/>
  <c r="CK158" i="2" s="1"/>
  <c r="CK159" i="2" s="1"/>
  <c r="CK160" i="2" s="1"/>
  <c r="CK161" i="2" s="1"/>
  <c r="CK162" i="2" s="1"/>
  <c r="CK163" i="2" s="1"/>
  <c r="CK164" i="2" s="1"/>
  <c r="CK165" i="2" s="1"/>
  <c r="CK166" i="2" s="1"/>
  <c r="CK167" i="2" s="1"/>
  <c r="CK168" i="2" s="1"/>
  <c r="CK169" i="2" s="1"/>
  <c r="CK170" i="2" s="1"/>
  <c r="CK171" i="2" s="1"/>
  <c r="CK172" i="2" s="1"/>
  <c r="CK173" i="2" s="1"/>
  <c r="CK174" i="2" s="1"/>
  <c r="CK175" i="2" s="1"/>
  <c r="CK176" i="2" s="1"/>
  <c r="CK177" i="2" s="1"/>
  <c r="CK178" i="2" s="1"/>
  <c r="CK179" i="2" s="1"/>
  <c r="CK180" i="2" s="1"/>
  <c r="CK181" i="2" s="1"/>
  <c r="CK182" i="2" s="1"/>
  <c r="CK183" i="2" s="1"/>
  <c r="CK184" i="2" s="1"/>
  <c r="CK185" i="2" s="1"/>
  <c r="CK186" i="2" s="1"/>
  <c r="CK187" i="2" s="1"/>
  <c r="CK188" i="2" s="1"/>
  <c r="CK189" i="2" s="1"/>
  <c r="CK190" i="2" s="1"/>
  <c r="CK191" i="2" s="1"/>
  <c r="CK192" i="2" s="1"/>
  <c r="CK193" i="2" s="1"/>
  <c r="CK194" i="2" s="1"/>
  <c r="CK195" i="2" s="1"/>
  <c r="CK196" i="2" s="1"/>
  <c r="CK197" i="2" s="1"/>
  <c r="CK198" i="2" s="1"/>
  <c r="CK199" i="2" s="1"/>
  <c r="CK200" i="2" s="1"/>
  <c r="CK201" i="2" s="1"/>
  <c r="CK202" i="2" s="1"/>
  <c r="CK203" i="2" s="1"/>
  <c r="CK204" i="2" s="1"/>
  <c r="CK205" i="2" s="1"/>
  <c r="CK206" i="2" s="1"/>
  <c r="CK207" i="2" s="1"/>
  <c r="CK208" i="2" s="1"/>
  <c r="CK209" i="2" s="1"/>
  <c r="CK210" i="2" s="1"/>
  <c r="CK211" i="2" s="1"/>
  <c r="CK212" i="2" s="1"/>
  <c r="CK213" i="2" s="1"/>
  <c r="CK214" i="2" s="1"/>
  <c r="CK215" i="2" s="1"/>
  <c r="CK216" i="2" s="1"/>
  <c r="CK217" i="2" s="1"/>
  <c r="CK218" i="2" s="1"/>
  <c r="CK219" i="2" s="1"/>
  <c r="CK220" i="2" s="1"/>
  <c r="CK221" i="2" s="1"/>
  <c r="CK222" i="2" s="1"/>
  <c r="CK223" i="2" s="1"/>
  <c r="CK224" i="2" s="1"/>
  <c r="CK225" i="2" s="1"/>
  <c r="CK226" i="2" s="1"/>
  <c r="CK227" i="2" s="1"/>
  <c r="CK228" i="2" s="1"/>
  <c r="CK229" i="2" s="1"/>
  <c r="CK230" i="2" s="1"/>
  <c r="CK231" i="2" s="1"/>
  <c r="CK232" i="2" s="1"/>
  <c r="CK233" i="2" s="1"/>
  <c r="CK234" i="2" s="1"/>
  <c r="CK235" i="2" s="1"/>
  <c r="CK236" i="2" s="1"/>
  <c r="CK237" i="2" s="1"/>
  <c r="CK238" i="2" s="1"/>
  <c r="CK239" i="2" s="1"/>
  <c r="CK240" i="2" s="1"/>
  <c r="CK241" i="2" s="1"/>
  <c r="CK242" i="2" s="1"/>
  <c r="CK243" i="2" s="1"/>
  <c r="CK244" i="2" s="1"/>
  <c r="CK245" i="2" s="1"/>
  <c r="CK246" i="2" s="1"/>
  <c r="CK247" i="2" s="1"/>
  <c r="CK248" i="2" s="1"/>
  <c r="CK249" i="2" s="1"/>
  <c r="CK250" i="2" s="1"/>
  <c r="CK251" i="2" s="1"/>
  <c r="CK252" i="2" s="1"/>
  <c r="CK253" i="2" s="1"/>
  <c r="CK254" i="2" s="1"/>
  <c r="CK255" i="2" s="1"/>
  <c r="CK256" i="2" s="1"/>
  <c r="CK257" i="2" s="1"/>
  <c r="CK258" i="2" s="1"/>
  <c r="CK259" i="2" s="1"/>
  <c r="CK260" i="2" s="1"/>
  <c r="CK261" i="2" s="1"/>
  <c r="CK262" i="2" s="1"/>
  <c r="CK263" i="2" s="1"/>
  <c r="CK264" i="2" s="1"/>
  <c r="CK265" i="2" s="1"/>
  <c r="CK266" i="2" s="1"/>
  <c r="CK267" i="2" s="1"/>
  <c r="CK268" i="2" s="1"/>
  <c r="CK269" i="2" s="1"/>
  <c r="CK270" i="2" s="1"/>
  <c r="CK271" i="2" s="1"/>
  <c r="CK272" i="2" s="1"/>
  <c r="CK273" i="2" s="1"/>
  <c r="CK274" i="2" s="1"/>
  <c r="CK275" i="2" s="1"/>
  <c r="CK276" i="2" s="1"/>
  <c r="CK277" i="2" s="1"/>
  <c r="CK278" i="2" s="1"/>
  <c r="CK279" i="2" s="1"/>
  <c r="CK280" i="2" s="1"/>
  <c r="CK281" i="2" s="1"/>
  <c r="CK282" i="2" s="1"/>
  <c r="CK283" i="2" s="1"/>
  <c r="CK284" i="2" s="1"/>
  <c r="CK285" i="2" s="1"/>
  <c r="CK286" i="2" s="1"/>
  <c r="CK287" i="2" s="1"/>
  <c r="CK288" i="2" s="1"/>
  <c r="CK289" i="2" s="1"/>
  <c r="CK290" i="2" s="1"/>
  <c r="CK291" i="2" s="1"/>
  <c r="CK292" i="2" s="1"/>
  <c r="CK293" i="2" s="1"/>
  <c r="CK294" i="2" s="1"/>
  <c r="CK295" i="2" s="1"/>
  <c r="CK296" i="2" s="1"/>
  <c r="BX296" i="2"/>
  <c r="CZ292" i="2"/>
  <c r="AV294" i="2"/>
  <c r="H269" i="6"/>
  <c r="E268" i="3"/>
  <c r="F268" i="3" s="1"/>
  <c r="M295" i="2"/>
  <c r="BQ295" i="2"/>
  <c r="J69" i="4"/>
  <c r="J30" i="4"/>
  <c r="BC296" i="2"/>
  <c r="BC295" i="2"/>
  <c r="BC290" i="2"/>
  <c r="CS291" i="2"/>
  <c r="BQ294" i="2"/>
  <c r="G54" i="4"/>
  <c r="J22" i="4"/>
  <c r="G67" i="4"/>
  <c r="I63" i="4"/>
  <c r="J63" i="4" s="1"/>
  <c r="CZ294" i="2"/>
  <c r="AH294" i="2"/>
  <c r="CS293" i="2"/>
  <c r="AV293" i="2"/>
  <c r="BX294" i="2"/>
  <c r="BJ296" i="2"/>
  <c r="J54" i="4"/>
  <c r="J61" i="4"/>
  <c r="AO294" i="2"/>
  <c r="BJ295" i="2"/>
  <c r="J65" i="4"/>
  <c r="G59" i="4"/>
  <c r="G61" i="4"/>
  <c r="AV292" i="2"/>
  <c r="AO293" i="2"/>
  <c r="AV295" i="2"/>
  <c r="CE292" i="2"/>
  <c r="CE296" i="2"/>
  <c r="CL291" i="2"/>
  <c r="CL293" i="2"/>
  <c r="CS290" i="2"/>
  <c r="AO292" i="2"/>
  <c r="J20" i="4"/>
  <c r="CE293" i="2"/>
  <c r="M296" i="2"/>
  <c r="CL292" i="2"/>
  <c r="I55" i="4"/>
  <c r="J55" i="4" s="1"/>
  <c r="J62" i="4"/>
  <c r="J6" i="4"/>
  <c r="J37" i="4"/>
  <c r="J38" i="4"/>
  <c r="AO296" i="2"/>
  <c r="CL294" i="2"/>
  <c r="BQ296" i="2"/>
  <c r="CE294" i="2"/>
  <c r="AH296" i="2"/>
  <c r="CS295" i="2"/>
  <c r="BC294" i="2"/>
  <c r="CS292" i="2"/>
  <c r="DF35" i="2"/>
  <c r="DF36" i="2" s="1"/>
  <c r="DF37" i="2" s="1"/>
  <c r="DF38" i="2" s="1"/>
  <c r="DF39" i="2" s="1"/>
  <c r="DF40" i="2" s="1"/>
  <c r="DF41" i="2" s="1"/>
  <c r="DF42" i="2" s="1"/>
  <c r="DF43" i="2" s="1"/>
  <c r="DF44" i="2" s="1"/>
  <c r="DF45" i="2" s="1"/>
  <c r="DF46" i="2" s="1"/>
  <c r="DF47" i="2" s="1"/>
  <c r="DF48" i="2" s="1"/>
  <c r="DF49" i="2" s="1"/>
  <c r="DF50" i="2" s="1"/>
  <c r="DF51" i="2" s="1"/>
  <c r="DF52" i="2" s="1"/>
  <c r="DF53" i="2" s="1"/>
  <c r="DF54" i="2" s="1"/>
  <c r="DF55" i="2" s="1"/>
  <c r="DF56" i="2" s="1"/>
  <c r="DF57" i="2" s="1"/>
  <c r="DF58" i="2" s="1"/>
  <c r="DF59" i="2" s="1"/>
  <c r="DF60" i="2" s="1"/>
  <c r="DF61" i="2" s="1"/>
  <c r="DF62" i="2" s="1"/>
  <c r="DF63" i="2" s="1"/>
  <c r="DF64" i="2" s="1"/>
  <c r="DF65" i="2" s="1"/>
  <c r="DF66" i="2" s="1"/>
  <c r="DF67" i="2" s="1"/>
  <c r="DF68" i="2" s="1"/>
  <c r="DF69" i="2" s="1"/>
  <c r="DF70" i="2" s="1"/>
  <c r="DF71" i="2" s="1"/>
  <c r="DF72" i="2" s="1"/>
  <c r="DF73" i="2" s="1"/>
  <c r="DF74" i="2" s="1"/>
  <c r="DF75" i="2" s="1"/>
  <c r="DF76" i="2" s="1"/>
  <c r="DF77" i="2" s="1"/>
  <c r="DF78" i="2" s="1"/>
  <c r="DF79" i="2" s="1"/>
  <c r="DF80" i="2" s="1"/>
  <c r="DF81" i="2" s="1"/>
  <c r="DF82" i="2" s="1"/>
  <c r="DF83" i="2" s="1"/>
  <c r="DF84" i="2" s="1"/>
  <c r="DF85" i="2" s="1"/>
  <c r="DF86" i="2" s="1"/>
  <c r="DF87" i="2" s="1"/>
  <c r="DF88" i="2" s="1"/>
  <c r="DF89" i="2" s="1"/>
  <c r="DF90" i="2" s="1"/>
  <c r="DF91" i="2" s="1"/>
  <c r="DF92" i="2" s="1"/>
  <c r="DF93" i="2" s="1"/>
  <c r="DF94" i="2" s="1"/>
  <c r="DF95" i="2" s="1"/>
  <c r="DF96" i="2" s="1"/>
  <c r="DF97" i="2" s="1"/>
  <c r="DF98" i="2" s="1"/>
  <c r="DF99" i="2" s="1"/>
  <c r="DF100" i="2" s="1"/>
  <c r="DF101" i="2" s="1"/>
  <c r="DF102" i="2" s="1"/>
  <c r="DF103" i="2" s="1"/>
  <c r="DF104" i="2" s="1"/>
  <c r="DF105" i="2" s="1"/>
  <c r="DF106" i="2" s="1"/>
  <c r="DF107" i="2" s="1"/>
  <c r="DF108" i="2" s="1"/>
  <c r="DF109" i="2" s="1"/>
  <c r="DF110" i="2" s="1"/>
  <c r="DF111" i="2" s="1"/>
  <c r="DF112" i="2" s="1"/>
  <c r="DF113" i="2" s="1"/>
  <c r="DF114" i="2" s="1"/>
  <c r="DF115" i="2" s="1"/>
  <c r="DF116" i="2" s="1"/>
  <c r="DF117" i="2" s="1"/>
  <c r="DF118" i="2" s="1"/>
  <c r="DF119" i="2" s="1"/>
  <c r="DF120" i="2" s="1"/>
  <c r="DF121" i="2" s="1"/>
  <c r="DF122" i="2" s="1"/>
  <c r="DF123" i="2" s="1"/>
  <c r="DF124" i="2" s="1"/>
  <c r="DF125" i="2" s="1"/>
  <c r="DF126" i="2" s="1"/>
  <c r="DF127" i="2" s="1"/>
  <c r="DF128" i="2" s="1"/>
  <c r="DF129" i="2" s="1"/>
  <c r="DF130" i="2" s="1"/>
  <c r="DF131" i="2" s="1"/>
  <c r="DF132" i="2" s="1"/>
  <c r="DF133" i="2" s="1"/>
  <c r="DF134" i="2" s="1"/>
  <c r="DF135" i="2" s="1"/>
  <c r="DF136" i="2" s="1"/>
  <c r="DF137" i="2" s="1"/>
  <c r="DF138" i="2" s="1"/>
  <c r="DF139" i="2" s="1"/>
  <c r="DF140" i="2" s="1"/>
  <c r="DF141" i="2" s="1"/>
  <c r="DF142" i="2" s="1"/>
  <c r="DF143" i="2" s="1"/>
  <c r="DF144" i="2" s="1"/>
  <c r="DF145" i="2" s="1"/>
  <c r="DF146" i="2" s="1"/>
  <c r="DF147" i="2" s="1"/>
  <c r="DF148" i="2" s="1"/>
  <c r="DF149" i="2" s="1"/>
  <c r="DF150" i="2" s="1"/>
  <c r="DF151" i="2" s="1"/>
  <c r="DF152" i="2" s="1"/>
  <c r="DF153" i="2" s="1"/>
  <c r="DF154" i="2" s="1"/>
  <c r="DF155" i="2" s="1"/>
  <c r="DF156" i="2" s="1"/>
  <c r="DF157" i="2" s="1"/>
  <c r="DF158" i="2" s="1"/>
  <c r="DF159" i="2" s="1"/>
  <c r="DF160" i="2" s="1"/>
  <c r="DF161" i="2" s="1"/>
  <c r="DF162" i="2" s="1"/>
  <c r="DF163" i="2" s="1"/>
  <c r="DF164" i="2" s="1"/>
  <c r="DF165" i="2" s="1"/>
  <c r="DF166" i="2" s="1"/>
  <c r="DF167" i="2" s="1"/>
  <c r="DF168" i="2" s="1"/>
  <c r="DF169" i="2" s="1"/>
  <c r="DF170" i="2" s="1"/>
  <c r="DF171" i="2" s="1"/>
  <c r="DF172" i="2" s="1"/>
  <c r="DF173" i="2" s="1"/>
  <c r="DF174" i="2" s="1"/>
  <c r="DF175" i="2" s="1"/>
  <c r="DF176" i="2" s="1"/>
  <c r="DF177" i="2" s="1"/>
  <c r="DF178" i="2" s="1"/>
  <c r="DF179" i="2" s="1"/>
  <c r="DF180" i="2" s="1"/>
  <c r="DF181" i="2" s="1"/>
  <c r="DF182" i="2" s="1"/>
  <c r="DF183" i="2" s="1"/>
  <c r="DF184" i="2" s="1"/>
  <c r="DF185" i="2" s="1"/>
  <c r="DF186" i="2" s="1"/>
  <c r="DF187" i="2" s="1"/>
  <c r="DF188" i="2" s="1"/>
  <c r="DF189" i="2" s="1"/>
  <c r="DF190" i="2" s="1"/>
  <c r="DF191" i="2" s="1"/>
  <c r="DF192" i="2" s="1"/>
  <c r="DF193" i="2" s="1"/>
  <c r="DF194" i="2" s="1"/>
  <c r="DF195" i="2" s="1"/>
  <c r="DF196" i="2" s="1"/>
  <c r="DF197" i="2" s="1"/>
  <c r="DF198" i="2" s="1"/>
  <c r="DF199" i="2" s="1"/>
  <c r="DF200" i="2" s="1"/>
  <c r="DF201" i="2" s="1"/>
  <c r="DF202" i="2" s="1"/>
  <c r="DF203" i="2" s="1"/>
  <c r="DF204" i="2" s="1"/>
  <c r="DF205" i="2" s="1"/>
  <c r="DF206" i="2" s="1"/>
  <c r="DF207" i="2" s="1"/>
  <c r="DF208" i="2" s="1"/>
  <c r="DF209" i="2" s="1"/>
  <c r="DF210" i="2" s="1"/>
  <c r="DF211" i="2" s="1"/>
  <c r="DF212" i="2" s="1"/>
  <c r="DF213" i="2" s="1"/>
  <c r="DF214" i="2" s="1"/>
  <c r="DF215" i="2" s="1"/>
  <c r="DF216" i="2" s="1"/>
  <c r="DF217" i="2" s="1"/>
  <c r="DF218" i="2" s="1"/>
  <c r="DF219" i="2" s="1"/>
  <c r="DF220" i="2" s="1"/>
  <c r="DF221" i="2" s="1"/>
  <c r="DF222" i="2" s="1"/>
  <c r="DF223" i="2" s="1"/>
  <c r="DF224" i="2" s="1"/>
  <c r="DF225" i="2" s="1"/>
  <c r="DF226" i="2" s="1"/>
  <c r="DF227" i="2" s="1"/>
  <c r="DF228" i="2" s="1"/>
  <c r="DF229" i="2" s="1"/>
  <c r="DF230" i="2" s="1"/>
  <c r="DF231" i="2" s="1"/>
  <c r="DF232" i="2" s="1"/>
  <c r="DF233" i="2" s="1"/>
  <c r="DF234" i="2" s="1"/>
  <c r="DF235" i="2" s="1"/>
  <c r="DF236" i="2" s="1"/>
  <c r="DF237" i="2" s="1"/>
  <c r="DF238" i="2" s="1"/>
  <c r="DF239" i="2" s="1"/>
  <c r="DF240" i="2" s="1"/>
  <c r="DF241" i="2" s="1"/>
  <c r="DF242" i="2" s="1"/>
  <c r="DF243" i="2" s="1"/>
  <c r="DF244" i="2" s="1"/>
  <c r="DF245" i="2" s="1"/>
  <c r="DF246" i="2" s="1"/>
  <c r="DF247" i="2" s="1"/>
  <c r="DF248" i="2" s="1"/>
  <c r="DF249" i="2" s="1"/>
  <c r="DF250" i="2" s="1"/>
  <c r="DF251" i="2" s="1"/>
  <c r="DF252" i="2" s="1"/>
  <c r="DF253" i="2" s="1"/>
  <c r="DF254" i="2" s="1"/>
  <c r="DF255" i="2" s="1"/>
  <c r="DF256" i="2" s="1"/>
  <c r="DF257" i="2" s="1"/>
  <c r="DF258" i="2" s="1"/>
  <c r="DF259" i="2" s="1"/>
  <c r="DF260" i="2" s="1"/>
  <c r="DF261" i="2" s="1"/>
  <c r="DF262" i="2" s="1"/>
  <c r="DF263" i="2" s="1"/>
  <c r="DF264" i="2" s="1"/>
  <c r="DF265" i="2" s="1"/>
  <c r="DF266" i="2" s="1"/>
  <c r="DF267" i="2" s="1"/>
  <c r="DF268" i="2" s="1"/>
  <c r="DF269" i="2" s="1"/>
  <c r="DF270" i="2" s="1"/>
  <c r="DF271" i="2" s="1"/>
  <c r="DF272" i="2" s="1"/>
  <c r="DF273" i="2" s="1"/>
  <c r="DF274" i="2" s="1"/>
  <c r="DF275" i="2" s="1"/>
  <c r="DF276" i="2" s="1"/>
  <c r="DF277" i="2" s="1"/>
  <c r="DF278" i="2" s="1"/>
  <c r="DF279" i="2" s="1"/>
  <c r="DF280" i="2" s="1"/>
  <c r="DF281" i="2" s="1"/>
  <c r="DF282" i="2" s="1"/>
  <c r="DF283" i="2" s="1"/>
  <c r="DF284" i="2" s="1"/>
  <c r="DF285" i="2" s="1"/>
  <c r="DF286" i="2" s="1"/>
  <c r="DF287" i="2" s="1"/>
  <c r="DF288" i="2" s="1"/>
  <c r="DF289" i="2" s="1"/>
  <c r="DF290" i="2" s="1"/>
  <c r="DF291" i="2" s="1"/>
  <c r="DF292" i="2" s="1"/>
  <c r="DF293" i="2" s="1"/>
  <c r="DF294" i="2" s="1"/>
  <c r="DF295" i="2" s="1"/>
  <c r="DF296" i="2" s="1"/>
  <c r="DH35" i="2"/>
  <c r="DH36" i="2" s="1"/>
  <c r="DH37" i="2" s="1"/>
  <c r="E23" i="2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G23" i="2"/>
  <c r="G24" i="2" s="1"/>
  <c r="G25" i="2" s="1"/>
  <c r="CR41" i="2"/>
  <c r="CR42" i="2" s="1"/>
  <c r="CR43" i="2" s="1"/>
  <c r="CR44" i="2" s="1"/>
  <c r="CR45" i="2" s="1"/>
  <c r="CR46" i="2" s="1"/>
  <c r="CR47" i="2" s="1"/>
  <c r="CR48" i="2" s="1"/>
  <c r="CR49" i="2" s="1"/>
  <c r="CR50" i="2" s="1"/>
  <c r="CR51" i="2" s="1"/>
  <c r="CR52" i="2" s="1"/>
  <c r="CR53" i="2" s="1"/>
  <c r="CR54" i="2" s="1"/>
  <c r="CR55" i="2" s="1"/>
  <c r="CR56" i="2" s="1"/>
  <c r="CR57" i="2" s="1"/>
  <c r="CR58" i="2" s="1"/>
  <c r="CR59" i="2" s="1"/>
  <c r="CR60" i="2" s="1"/>
  <c r="CR61" i="2" s="1"/>
  <c r="CR62" i="2" s="1"/>
  <c r="CR63" i="2" s="1"/>
  <c r="CR64" i="2" s="1"/>
  <c r="CR65" i="2" s="1"/>
  <c r="CR66" i="2" s="1"/>
  <c r="CR67" i="2" s="1"/>
  <c r="CR68" i="2" s="1"/>
  <c r="CR69" i="2" s="1"/>
  <c r="CR70" i="2" s="1"/>
  <c r="CR71" i="2" s="1"/>
  <c r="CR72" i="2" s="1"/>
  <c r="CR73" i="2" s="1"/>
  <c r="CR74" i="2" s="1"/>
  <c r="CR75" i="2" s="1"/>
  <c r="CR76" i="2" s="1"/>
  <c r="CR77" i="2" s="1"/>
  <c r="CR78" i="2" s="1"/>
  <c r="CR79" i="2" s="1"/>
  <c r="CR80" i="2" s="1"/>
  <c r="CR81" i="2" s="1"/>
  <c r="CR82" i="2" s="1"/>
  <c r="CR83" i="2" s="1"/>
  <c r="CR84" i="2" s="1"/>
  <c r="CR85" i="2" s="1"/>
  <c r="CR86" i="2" s="1"/>
  <c r="CR87" i="2" s="1"/>
  <c r="CR88" i="2" s="1"/>
  <c r="CR89" i="2" s="1"/>
  <c r="CR90" i="2" s="1"/>
  <c r="CR91" i="2" s="1"/>
  <c r="CR92" i="2" s="1"/>
  <c r="CR93" i="2" s="1"/>
  <c r="CR94" i="2" s="1"/>
  <c r="CR95" i="2" s="1"/>
  <c r="CR96" i="2" s="1"/>
  <c r="CR97" i="2" s="1"/>
  <c r="CR98" i="2" s="1"/>
  <c r="CR99" i="2" s="1"/>
  <c r="CR100" i="2" s="1"/>
  <c r="CR101" i="2" s="1"/>
  <c r="CR102" i="2" s="1"/>
  <c r="CR103" i="2" s="1"/>
  <c r="CR104" i="2" s="1"/>
  <c r="CR105" i="2" s="1"/>
  <c r="CR106" i="2" s="1"/>
  <c r="CR107" i="2" s="1"/>
  <c r="CR108" i="2" s="1"/>
  <c r="CR109" i="2" s="1"/>
  <c r="CR110" i="2" s="1"/>
  <c r="CR111" i="2" s="1"/>
  <c r="CR112" i="2" s="1"/>
  <c r="CR113" i="2" s="1"/>
  <c r="CR114" i="2" s="1"/>
  <c r="CR115" i="2" s="1"/>
  <c r="CR116" i="2" s="1"/>
  <c r="CR117" i="2" s="1"/>
  <c r="CR118" i="2" s="1"/>
  <c r="CR119" i="2" s="1"/>
  <c r="CR120" i="2" s="1"/>
  <c r="CR121" i="2" s="1"/>
  <c r="CR122" i="2" s="1"/>
  <c r="CR123" i="2" s="1"/>
  <c r="CR124" i="2" s="1"/>
  <c r="CR125" i="2" s="1"/>
  <c r="CR126" i="2" s="1"/>
  <c r="CR127" i="2" s="1"/>
  <c r="CR128" i="2" s="1"/>
  <c r="CR129" i="2" s="1"/>
  <c r="CR130" i="2" s="1"/>
  <c r="CR131" i="2" s="1"/>
  <c r="CR132" i="2" s="1"/>
  <c r="CR133" i="2" s="1"/>
  <c r="CR134" i="2" s="1"/>
  <c r="CR135" i="2" s="1"/>
  <c r="CR136" i="2" s="1"/>
  <c r="CR137" i="2" s="1"/>
  <c r="CR138" i="2" s="1"/>
  <c r="CR139" i="2" s="1"/>
  <c r="CR140" i="2" s="1"/>
  <c r="CR141" i="2" s="1"/>
  <c r="CR142" i="2" s="1"/>
  <c r="CR143" i="2" s="1"/>
  <c r="CR144" i="2" s="1"/>
  <c r="CR145" i="2" s="1"/>
  <c r="CR146" i="2" s="1"/>
  <c r="CR147" i="2" s="1"/>
  <c r="CR148" i="2" s="1"/>
  <c r="CR149" i="2" s="1"/>
  <c r="CR150" i="2" s="1"/>
  <c r="CR151" i="2" s="1"/>
  <c r="CR152" i="2" s="1"/>
  <c r="CR153" i="2" s="1"/>
  <c r="CR154" i="2" s="1"/>
  <c r="CR155" i="2" s="1"/>
  <c r="CR156" i="2" s="1"/>
  <c r="CR157" i="2" s="1"/>
  <c r="CR158" i="2" s="1"/>
  <c r="CR159" i="2" s="1"/>
  <c r="CR160" i="2" s="1"/>
  <c r="CR161" i="2" s="1"/>
  <c r="CR162" i="2" s="1"/>
  <c r="CR163" i="2" s="1"/>
  <c r="CR164" i="2" s="1"/>
  <c r="CR165" i="2" s="1"/>
  <c r="CR166" i="2" s="1"/>
  <c r="CR167" i="2" s="1"/>
  <c r="CR168" i="2" s="1"/>
  <c r="CR169" i="2" s="1"/>
  <c r="CR170" i="2" s="1"/>
  <c r="CR171" i="2" s="1"/>
  <c r="CR172" i="2" s="1"/>
  <c r="CR173" i="2" s="1"/>
  <c r="CR174" i="2" s="1"/>
  <c r="CR175" i="2" s="1"/>
  <c r="CR176" i="2" s="1"/>
  <c r="CR177" i="2" s="1"/>
  <c r="CR178" i="2" s="1"/>
  <c r="CR179" i="2" s="1"/>
  <c r="CR180" i="2" s="1"/>
  <c r="CR181" i="2" s="1"/>
  <c r="CR182" i="2" s="1"/>
  <c r="CR183" i="2" s="1"/>
  <c r="CR184" i="2" s="1"/>
  <c r="CR185" i="2" s="1"/>
  <c r="CR186" i="2" s="1"/>
  <c r="CR187" i="2" s="1"/>
  <c r="CR188" i="2" s="1"/>
  <c r="CR189" i="2" s="1"/>
  <c r="CR190" i="2" s="1"/>
  <c r="CR191" i="2" s="1"/>
  <c r="CR192" i="2" s="1"/>
  <c r="CR193" i="2" s="1"/>
  <c r="CR194" i="2" s="1"/>
  <c r="CR195" i="2" s="1"/>
  <c r="CR196" i="2" s="1"/>
  <c r="CR197" i="2" s="1"/>
  <c r="CR198" i="2" s="1"/>
  <c r="CR199" i="2" s="1"/>
  <c r="CR200" i="2" s="1"/>
  <c r="CR201" i="2" s="1"/>
  <c r="CR202" i="2" s="1"/>
  <c r="CR203" i="2" s="1"/>
  <c r="CR204" i="2" s="1"/>
  <c r="CR205" i="2" s="1"/>
  <c r="CR206" i="2" s="1"/>
  <c r="CR207" i="2" s="1"/>
  <c r="CR208" i="2" s="1"/>
  <c r="CR209" i="2" s="1"/>
  <c r="CR210" i="2" s="1"/>
  <c r="CR211" i="2" s="1"/>
  <c r="CR212" i="2" s="1"/>
  <c r="CR213" i="2" s="1"/>
  <c r="CR214" i="2" s="1"/>
  <c r="CR215" i="2" s="1"/>
  <c r="CR216" i="2" s="1"/>
  <c r="CR217" i="2" s="1"/>
  <c r="CR218" i="2" s="1"/>
  <c r="CR219" i="2" s="1"/>
  <c r="CR220" i="2" s="1"/>
  <c r="CR221" i="2" s="1"/>
  <c r="CR222" i="2" s="1"/>
  <c r="CR223" i="2" s="1"/>
  <c r="CR224" i="2" s="1"/>
  <c r="CR225" i="2" s="1"/>
  <c r="CR226" i="2" s="1"/>
  <c r="CR227" i="2" s="1"/>
  <c r="CR228" i="2" s="1"/>
  <c r="CR229" i="2" s="1"/>
  <c r="CR230" i="2" s="1"/>
  <c r="CR231" i="2" s="1"/>
  <c r="CR232" i="2" s="1"/>
  <c r="CR233" i="2" s="1"/>
  <c r="CR234" i="2" s="1"/>
  <c r="CR235" i="2" s="1"/>
  <c r="CR236" i="2" s="1"/>
  <c r="CR237" i="2" s="1"/>
  <c r="CR238" i="2" s="1"/>
  <c r="CR239" i="2" s="1"/>
  <c r="CR240" i="2" s="1"/>
  <c r="CR241" i="2" s="1"/>
  <c r="CR242" i="2" s="1"/>
  <c r="CR243" i="2" s="1"/>
  <c r="CR244" i="2" s="1"/>
  <c r="CR245" i="2" s="1"/>
  <c r="CR246" i="2" s="1"/>
  <c r="CR247" i="2" s="1"/>
  <c r="CR248" i="2" s="1"/>
  <c r="CR249" i="2" s="1"/>
  <c r="CR250" i="2" s="1"/>
  <c r="CR251" i="2" s="1"/>
  <c r="CR252" i="2" s="1"/>
  <c r="CR253" i="2" s="1"/>
  <c r="CR254" i="2" s="1"/>
  <c r="CR255" i="2" s="1"/>
  <c r="CR256" i="2" s="1"/>
  <c r="CR257" i="2" s="1"/>
  <c r="CR258" i="2" s="1"/>
  <c r="CR259" i="2" s="1"/>
  <c r="CR260" i="2" s="1"/>
  <c r="CR261" i="2" s="1"/>
  <c r="CR262" i="2" s="1"/>
  <c r="CR263" i="2" s="1"/>
  <c r="CR264" i="2" s="1"/>
  <c r="CR265" i="2" s="1"/>
  <c r="CR266" i="2" s="1"/>
  <c r="CR267" i="2" s="1"/>
  <c r="CR268" i="2" s="1"/>
  <c r="CR269" i="2" s="1"/>
  <c r="CR270" i="2" s="1"/>
  <c r="CR271" i="2" s="1"/>
  <c r="CR272" i="2" s="1"/>
  <c r="CR273" i="2" s="1"/>
  <c r="CR274" i="2" s="1"/>
  <c r="CR275" i="2" s="1"/>
  <c r="CR276" i="2" s="1"/>
  <c r="CR277" i="2" s="1"/>
  <c r="CR278" i="2" s="1"/>
  <c r="CR279" i="2" s="1"/>
  <c r="CR280" i="2" s="1"/>
  <c r="CR281" i="2" s="1"/>
  <c r="CR282" i="2" s="1"/>
  <c r="CR283" i="2" s="1"/>
  <c r="CR284" i="2" s="1"/>
  <c r="CR285" i="2" s="1"/>
  <c r="CR286" i="2" s="1"/>
  <c r="CR287" i="2" s="1"/>
  <c r="CR288" i="2" s="1"/>
  <c r="CR289" i="2" s="1"/>
  <c r="CR290" i="2" s="1"/>
  <c r="CR291" i="2" s="1"/>
  <c r="CR292" i="2" s="1"/>
  <c r="CR293" i="2" s="1"/>
  <c r="CR294" i="2" s="1"/>
  <c r="CR295" i="2" s="1"/>
  <c r="CR296" i="2" s="1"/>
  <c r="CT41" i="2"/>
  <c r="CT42" i="2" s="1"/>
  <c r="CT43" i="2" s="1"/>
  <c r="N33" i="2"/>
  <c r="N34" i="2" s="1"/>
  <c r="N35" i="2" s="1"/>
  <c r="L33" i="2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L210" i="2" s="1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BK32" i="2"/>
  <c r="BK33" i="2" s="1"/>
  <c r="BK34" i="2" s="1"/>
  <c r="BI32" i="2"/>
  <c r="BI33" i="2" s="1"/>
  <c r="BI34" i="2" s="1"/>
  <c r="BI35" i="2" s="1"/>
  <c r="BI36" i="2" s="1"/>
  <c r="BI37" i="2" s="1"/>
  <c r="BI38" i="2" s="1"/>
  <c r="BI39" i="2" s="1"/>
  <c r="BI40" i="2" s="1"/>
  <c r="BI41" i="2" s="1"/>
  <c r="BI42" i="2" s="1"/>
  <c r="BI43" i="2" s="1"/>
  <c r="BI44" i="2" s="1"/>
  <c r="BI45" i="2" s="1"/>
  <c r="BI46" i="2" s="1"/>
  <c r="BI47" i="2" s="1"/>
  <c r="BI48" i="2" s="1"/>
  <c r="BI49" i="2" s="1"/>
  <c r="BI50" i="2" s="1"/>
  <c r="BI51" i="2" s="1"/>
  <c r="BI52" i="2" s="1"/>
  <c r="BI53" i="2" s="1"/>
  <c r="BI54" i="2" s="1"/>
  <c r="BI55" i="2" s="1"/>
  <c r="BI56" i="2" s="1"/>
  <c r="BI57" i="2" s="1"/>
  <c r="BI58" i="2" s="1"/>
  <c r="BI59" i="2" s="1"/>
  <c r="BI60" i="2" s="1"/>
  <c r="BI61" i="2" s="1"/>
  <c r="BI62" i="2" s="1"/>
  <c r="BI63" i="2" s="1"/>
  <c r="BI64" i="2" s="1"/>
  <c r="BI65" i="2" s="1"/>
  <c r="BI66" i="2" s="1"/>
  <c r="BI67" i="2" s="1"/>
  <c r="BI68" i="2" s="1"/>
  <c r="BI69" i="2" s="1"/>
  <c r="BI70" i="2" s="1"/>
  <c r="BI71" i="2" s="1"/>
  <c r="BI72" i="2" s="1"/>
  <c r="BI73" i="2" s="1"/>
  <c r="BI74" i="2" s="1"/>
  <c r="BI75" i="2" s="1"/>
  <c r="BI76" i="2" s="1"/>
  <c r="BI77" i="2" s="1"/>
  <c r="BI78" i="2" s="1"/>
  <c r="BI79" i="2" s="1"/>
  <c r="BI80" i="2" s="1"/>
  <c r="BI81" i="2" s="1"/>
  <c r="BI82" i="2" s="1"/>
  <c r="BI83" i="2" s="1"/>
  <c r="BI84" i="2" s="1"/>
  <c r="BI85" i="2" s="1"/>
  <c r="BI86" i="2" s="1"/>
  <c r="BI87" i="2" s="1"/>
  <c r="BI88" i="2" s="1"/>
  <c r="BI89" i="2" s="1"/>
  <c r="BI90" i="2" s="1"/>
  <c r="BI91" i="2" s="1"/>
  <c r="BI92" i="2" s="1"/>
  <c r="BI93" i="2" s="1"/>
  <c r="BI94" i="2" s="1"/>
  <c r="BI95" i="2" s="1"/>
  <c r="BI96" i="2" s="1"/>
  <c r="BI97" i="2" s="1"/>
  <c r="BI98" i="2" s="1"/>
  <c r="BI99" i="2" s="1"/>
  <c r="BI100" i="2" s="1"/>
  <c r="BI101" i="2" s="1"/>
  <c r="BI102" i="2" s="1"/>
  <c r="BI103" i="2" s="1"/>
  <c r="BI104" i="2" s="1"/>
  <c r="BI105" i="2" s="1"/>
  <c r="BI106" i="2" s="1"/>
  <c r="BI107" i="2" s="1"/>
  <c r="BI108" i="2" s="1"/>
  <c r="BI109" i="2" s="1"/>
  <c r="BI110" i="2" s="1"/>
  <c r="BI111" i="2" s="1"/>
  <c r="BI112" i="2" s="1"/>
  <c r="BI113" i="2" s="1"/>
  <c r="BI114" i="2" s="1"/>
  <c r="BI115" i="2" s="1"/>
  <c r="BI116" i="2" s="1"/>
  <c r="BI117" i="2" s="1"/>
  <c r="BI118" i="2" s="1"/>
  <c r="BI119" i="2" s="1"/>
  <c r="BI120" i="2" s="1"/>
  <c r="BI121" i="2" s="1"/>
  <c r="BI122" i="2" s="1"/>
  <c r="BI123" i="2" s="1"/>
  <c r="BI124" i="2" s="1"/>
  <c r="BI125" i="2" s="1"/>
  <c r="BI126" i="2" s="1"/>
  <c r="BI127" i="2" s="1"/>
  <c r="BI128" i="2" s="1"/>
  <c r="BI129" i="2" s="1"/>
  <c r="BI130" i="2" s="1"/>
  <c r="BI131" i="2" s="1"/>
  <c r="BI132" i="2" s="1"/>
  <c r="BI133" i="2" s="1"/>
  <c r="BI134" i="2" s="1"/>
  <c r="BI135" i="2" s="1"/>
  <c r="BI136" i="2" s="1"/>
  <c r="BI137" i="2" s="1"/>
  <c r="BI138" i="2" s="1"/>
  <c r="BI139" i="2" s="1"/>
  <c r="BI140" i="2" s="1"/>
  <c r="BI141" i="2" s="1"/>
  <c r="BI142" i="2" s="1"/>
  <c r="BI143" i="2" s="1"/>
  <c r="BI144" i="2" s="1"/>
  <c r="BI145" i="2" s="1"/>
  <c r="BI146" i="2" s="1"/>
  <c r="BI147" i="2" s="1"/>
  <c r="BI148" i="2" s="1"/>
  <c r="BI149" i="2" s="1"/>
  <c r="BI150" i="2" s="1"/>
  <c r="BI151" i="2" s="1"/>
  <c r="BI152" i="2" s="1"/>
  <c r="BI153" i="2" s="1"/>
  <c r="BI154" i="2" s="1"/>
  <c r="BI155" i="2" s="1"/>
  <c r="BI156" i="2" s="1"/>
  <c r="BI157" i="2" s="1"/>
  <c r="BI158" i="2" s="1"/>
  <c r="BI159" i="2" s="1"/>
  <c r="BI160" i="2" s="1"/>
  <c r="BI161" i="2" s="1"/>
  <c r="BI162" i="2" s="1"/>
  <c r="BI163" i="2" s="1"/>
  <c r="BI164" i="2" s="1"/>
  <c r="BI165" i="2" s="1"/>
  <c r="BI166" i="2" s="1"/>
  <c r="BI167" i="2" s="1"/>
  <c r="BI168" i="2" s="1"/>
  <c r="BI169" i="2" s="1"/>
  <c r="BI170" i="2" s="1"/>
  <c r="BI171" i="2" s="1"/>
  <c r="BI172" i="2" s="1"/>
  <c r="BI173" i="2" s="1"/>
  <c r="BI174" i="2" s="1"/>
  <c r="BI175" i="2" s="1"/>
  <c r="BI176" i="2" s="1"/>
  <c r="BI177" i="2" s="1"/>
  <c r="BI178" i="2" s="1"/>
  <c r="BI179" i="2" s="1"/>
  <c r="BI180" i="2" s="1"/>
  <c r="BI181" i="2" s="1"/>
  <c r="BI182" i="2" s="1"/>
  <c r="BI183" i="2" s="1"/>
  <c r="BI184" i="2" s="1"/>
  <c r="BI185" i="2" s="1"/>
  <c r="BI186" i="2" s="1"/>
  <c r="BI187" i="2" s="1"/>
  <c r="BI188" i="2" s="1"/>
  <c r="BI189" i="2" s="1"/>
  <c r="BI190" i="2" s="1"/>
  <c r="BI191" i="2" s="1"/>
  <c r="BI192" i="2" s="1"/>
  <c r="BI193" i="2" s="1"/>
  <c r="BI194" i="2" s="1"/>
  <c r="BI195" i="2" s="1"/>
  <c r="BI196" i="2" s="1"/>
  <c r="BI197" i="2" s="1"/>
  <c r="BI198" i="2" s="1"/>
  <c r="BI199" i="2" s="1"/>
  <c r="BI200" i="2" s="1"/>
  <c r="BI201" i="2" s="1"/>
  <c r="BI202" i="2" s="1"/>
  <c r="BI203" i="2" s="1"/>
  <c r="BI204" i="2" s="1"/>
  <c r="BI205" i="2" s="1"/>
  <c r="BI206" i="2" s="1"/>
  <c r="BI207" i="2" s="1"/>
  <c r="BI208" i="2" s="1"/>
  <c r="BI209" i="2" s="1"/>
  <c r="BI210" i="2" s="1"/>
  <c r="BI211" i="2" s="1"/>
  <c r="BI212" i="2" s="1"/>
  <c r="BI213" i="2" s="1"/>
  <c r="BI214" i="2" s="1"/>
  <c r="BI215" i="2" s="1"/>
  <c r="BI216" i="2" s="1"/>
  <c r="BI217" i="2" s="1"/>
  <c r="BI218" i="2" s="1"/>
  <c r="BI219" i="2" s="1"/>
  <c r="BI220" i="2" s="1"/>
  <c r="BI221" i="2" s="1"/>
  <c r="BI222" i="2" s="1"/>
  <c r="BI223" i="2" s="1"/>
  <c r="BI224" i="2" s="1"/>
  <c r="BI225" i="2" s="1"/>
  <c r="BI226" i="2" s="1"/>
  <c r="BI227" i="2" s="1"/>
  <c r="BI228" i="2" s="1"/>
  <c r="BI229" i="2" s="1"/>
  <c r="BI230" i="2" s="1"/>
  <c r="BI231" i="2" s="1"/>
  <c r="BI232" i="2" s="1"/>
  <c r="BI233" i="2" s="1"/>
  <c r="BI234" i="2" s="1"/>
  <c r="BI235" i="2" s="1"/>
  <c r="BI236" i="2" s="1"/>
  <c r="BI237" i="2" s="1"/>
  <c r="BI238" i="2" s="1"/>
  <c r="BI239" i="2" s="1"/>
  <c r="BI240" i="2" s="1"/>
  <c r="BI241" i="2" s="1"/>
  <c r="BI242" i="2" s="1"/>
  <c r="BI243" i="2" s="1"/>
  <c r="BI244" i="2" s="1"/>
  <c r="BI245" i="2" s="1"/>
  <c r="BI246" i="2" s="1"/>
  <c r="BI247" i="2" s="1"/>
  <c r="BI248" i="2" s="1"/>
  <c r="BI249" i="2" s="1"/>
  <c r="BI250" i="2" s="1"/>
  <c r="BI251" i="2" s="1"/>
  <c r="BI252" i="2" s="1"/>
  <c r="BI253" i="2" s="1"/>
  <c r="BI254" i="2" s="1"/>
  <c r="BI255" i="2" s="1"/>
  <c r="BI256" i="2" s="1"/>
  <c r="BI257" i="2" s="1"/>
  <c r="BI258" i="2" s="1"/>
  <c r="BI259" i="2" s="1"/>
  <c r="BI260" i="2" s="1"/>
  <c r="BI261" i="2" s="1"/>
  <c r="BI262" i="2" s="1"/>
  <c r="BI263" i="2" s="1"/>
  <c r="BI264" i="2" s="1"/>
  <c r="BI265" i="2" s="1"/>
  <c r="BI266" i="2" s="1"/>
  <c r="BI267" i="2" s="1"/>
  <c r="BI268" i="2" s="1"/>
  <c r="BI269" i="2" s="1"/>
  <c r="BI270" i="2" s="1"/>
  <c r="BI271" i="2" s="1"/>
  <c r="BI272" i="2" s="1"/>
  <c r="BI273" i="2" s="1"/>
  <c r="BI274" i="2" s="1"/>
  <c r="BI275" i="2" s="1"/>
  <c r="BI276" i="2" s="1"/>
  <c r="BI277" i="2" s="1"/>
  <c r="BI278" i="2" s="1"/>
  <c r="BI279" i="2" s="1"/>
  <c r="BI280" i="2" s="1"/>
  <c r="BI281" i="2" s="1"/>
  <c r="BI282" i="2" s="1"/>
  <c r="BI283" i="2" s="1"/>
  <c r="BI284" i="2" s="1"/>
  <c r="BI285" i="2" s="1"/>
  <c r="BI286" i="2" s="1"/>
  <c r="BI287" i="2" s="1"/>
  <c r="BI288" i="2" s="1"/>
  <c r="BI289" i="2" s="1"/>
  <c r="BI290" i="2" s="1"/>
  <c r="BI291" i="2" s="1"/>
  <c r="BI292" i="2" s="1"/>
  <c r="BI293" i="2" s="1"/>
  <c r="BI294" i="2" s="1"/>
  <c r="BI295" i="2" s="1"/>
  <c r="BI296" i="2" s="1"/>
  <c r="CD25" i="2"/>
  <c r="CD26" i="2" s="1"/>
  <c r="CD27" i="2" s="1"/>
  <c r="CD28" i="2" s="1"/>
  <c r="CD29" i="2" s="1"/>
  <c r="CD30" i="2" s="1"/>
  <c r="CD31" i="2" s="1"/>
  <c r="CD32" i="2" s="1"/>
  <c r="CD33" i="2" s="1"/>
  <c r="CD34" i="2" s="1"/>
  <c r="CD35" i="2" s="1"/>
  <c r="CD36" i="2" s="1"/>
  <c r="CD37" i="2" s="1"/>
  <c r="CD38" i="2" s="1"/>
  <c r="CD39" i="2" s="1"/>
  <c r="CD40" i="2" s="1"/>
  <c r="CD41" i="2" s="1"/>
  <c r="CD42" i="2" s="1"/>
  <c r="CD43" i="2" s="1"/>
  <c r="CD44" i="2" s="1"/>
  <c r="CD45" i="2" s="1"/>
  <c r="CD46" i="2" s="1"/>
  <c r="CD47" i="2" s="1"/>
  <c r="CD48" i="2" s="1"/>
  <c r="CD49" i="2" s="1"/>
  <c r="CD50" i="2" s="1"/>
  <c r="CD51" i="2" s="1"/>
  <c r="CD52" i="2" s="1"/>
  <c r="CD53" i="2" s="1"/>
  <c r="CD54" i="2" s="1"/>
  <c r="CD55" i="2" s="1"/>
  <c r="CD56" i="2" s="1"/>
  <c r="CD57" i="2" s="1"/>
  <c r="CD58" i="2" s="1"/>
  <c r="CD59" i="2" s="1"/>
  <c r="CD60" i="2" s="1"/>
  <c r="CD61" i="2" s="1"/>
  <c r="CD62" i="2" s="1"/>
  <c r="CD63" i="2" s="1"/>
  <c r="CD64" i="2" s="1"/>
  <c r="CD65" i="2" s="1"/>
  <c r="CD66" i="2" s="1"/>
  <c r="CD67" i="2" s="1"/>
  <c r="CD68" i="2" s="1"/>
  <c r="CD69" i="2" s="1"/>
  <c r="CD70" i="2" s="1"/>
  <c r="CD71" i="2" s="1"/>
  <c r="CD72" i="2" s="1"/>
  <c r="CD73" i="2" s="1"/>
  <c r="CD74" i="2" s="1"/>
  <c r="CD75" i="2" s="1"/>
  <c r="CD76" i="2" s="1"/>
  <c r="CD77" i="2" s="1"/>
  <c r="CD78" i="2" s="1"/>
  <c r="CD79" i="2" s="1"/>
  <c r="CD80" i="2" s="1"/>
  <c r="CD81" i="2" s="1"/>
  <c r="CD82" i="2" s="1"/>
  <c r="CD83" i="2" s="1"/>
  <c r="CD84" i="2" s="1"/>
  <c r="CD85" i="2" s="1"/>
  <c r="CD86" i="2" s="1"/>
  <c r="CD87" i="2" s="1"/>
  <c r="CD88" i="2" s="1"/>
  <c r="CD89" i="2" s="1"/>
  <c r="CD90" i="2" s="1"/>
  <c r="CD91" i="2" s="1"/>
  <c r="CD92" i="2" s="1"/>
  <c r="CD93" i="2" s="1"/>
  <c r="CD94" i="2" s="1"/>
  <c r="CD95" i="2" s="1"/>
  <c r="CD96" i="2" s="1"/>
  <c r="CD97" i="2" s="1"/>
  <c r="CD98" i="2" s="1"/>
  <c r="CD99" i="2" s="1"/>
  <c r="CD100" i="2" s="1"/>
  <c r="CD101" i="2" s="1"/>
  <c r="CD102" i="2" s="1"/>
  <c r="CD103" i="2" s="1"/>
  <c r="CD104" i="2" s="1"/>
  <c r="CD105" i="2" s="1"/>
  <c r="CD106" i="2" s="1"/>
  <c r="CD107" i="2" s="1"/>
  <c r="CD108" i="2" s="1"/>
  <c r="CD109" i="2" s="1"/>
  <c r="CD110" i="2" s="1"/>
  <c r="CD111" i="2" s="1"/>
  <c r="CD112" i="2" s="1"/>
  <c r="CD113" i="2" s="1"/>
  <c r="CD114" i="2" s="1"/>
  <c r="CD115" i="2" s="1"/>
  <c r="CD116" i="2" s="1"/>
  <c r="CD117" i="2" s="1"/>
  <c r="CD118" i="2" s="1"/>
  <c r="CD119" i="2" s="1"/>
  <c r="CD120" i="2" s="1"/>
  <c r="CD121" i="2" s="1"/>
  <c r="CD122" i="2" s="1"/>
  <c r="CD123" i="2" s="1"/>
  <c r="CD124" i="2" s="1"/>
  <c r="CD125" i="2" s="1"/>
  <c r="CD126" i="2" s="1"/>
  <c r="CD127" i="2" s="1"/>
  <c r="CD128" i="2" s="1"/>
  <c r="CD129" i="2" s="1"/>
  <c r="CD130" i="2" s="1"/>
  <c r="CD131" i="2" s="1"/>
  <c r="CD132" i="2" s="1"/>
  <c r="CD133" i="2" s="1"/>
  <c r="CD134" i="2" s="1"/>
  <c r="CD135" i="2" s="1"/>
  <c r="CD136" i="2" s="1"/>
  <c r="CD137" i="2" s="1"/>
  <c r="CD138" i="2" s="1"/>
  <c r="CD139" i="2" s="1"/>
  <c r="CD140" i="2" s="1"/>
  <c r="CD141" i="2" s="1"/>
  <c r="CD142" i="2" s="1"/>
  <c r="CD143" i="2" s="1"/>
  <c r="CD144" i="2" s="1"/>
  <c r="CD145" i="2" s="1"/>
  <c r="CD146" i="2" s="1"/>
  <c r="CD147" i="2" s="1"/>
  <c r="CD148" i="2" s="1"/>
  <c r="CD149" i="2" s="1"/>
  <c r="CD150" i="2" s="1"/>
  <c r="CD151" i="2" s="1"/>
  <c r="CD152" i="2" s="1"/>
  <c r="CD153" i="2" s="1"/>
  <c r="CD154" i="2" s="1"/>
  <c r="CD155" i="2" s="1"/>
  <c r="CD156" i="2" s="1"/>
  <c r="CD157" i="2" s="1"/>
  <c r="CD158" i="2" s="1"/>
  <c r="CD159" i="2" s="1"/>
  <c r="CD160" i="2" s="1"/>
  <c r="CD161" i="2" s="1"/>
  <c r="CD162" i="2" s="1"/>
  <c r="CD163" i="2" s="1"/>
  <c r="CD164" i="2" s="1"/>
  <c r="CD165" i="2" s="1"/>
  <c r="CD166" i="2" s="1"/>
  <c r="CD167" i="2" s="1"/>
  <c r="CD168" i="2" s="1"/>
  <c r="CD169" i="2" s="1"/>
  <c r="CD170" i="2" s="1"/>
  <c r="CD171" i="2" s="1"/>
  <c r="CD172" i="2" s="1"/>
  <c r="CD173" i="2" s="1"/>
  <c r="CD174" i="2" s="1"/>
  <c r="CD175" i="2" s="1"/>
  <c r="CD176" i="2" s="1"/>
  <c r="CD177" i="2" s="1"/>
  <c r="CD178" i="2" s="1"/>
  <c r="CD179" i="2" s="1"/>
  <c r="CD180" i="2" s="1"/>
  <c r="CD181" i="2" s="1"/>
  <c r="CD182" i="2" s="1"/>
  <c r="CD183" i="2" s="1"/>
  <c r="CD184" i="2" s="1"/>
  <c r="CD185" i="2" s="1"/>
  <c r="CD186" i="2" s="1"/>
  <c r="CD187" i="2" s="1"/>
  <c r="CD188" i="2" s="1"/>
  <c r="CD189" i="2" s="1"/>
  <c r="CD190" i="2" s="1"/>
  <c r="CD191" i="2" s="1"/>
  <c r="CD192" i="2" s="1"/>
  <c r="CD193" i="2" s="1"/>
  <c r="CD194" i="2" s="1"/>
  <c r="CD195" i="2" s="1"/>
  <c r="CD196" i="2" s="1"/>
  <c r="CD197" i="2" s="1"/>
  <c r="CD198" i="2" s="1"/>
  <c r="CD199" i="2" s="1"/>
  <c r="CD200" i="2" s="1"/>
  <c r="CD201" i="2" s="1"/>
  <c r="CD202" i="2" s="1"/>
  <c r="CD203" i="2" s="1"/>
  <c r="CD204" i="2" s="1"/>
  <c r="CD205" i="2" s="1"/>
  <c r="CD206" i="2" s="1"/>
  <c r="CD207" i="2" s="1"/>
  <c r="CD208" i="2" s="1"/>
  <c r="CD209" i="2" s="1"/>
  <c r="CD210" i="2" s="1"/>
  <c r="CD211" i="2" s="1"/>
  <c r="CD212" i="2" s="1"/>
  <c r="CD213" i="2" s="1"/>
  <c r="CD214" i="2" s="1"/>
  <c r="CD215" i="2" s="1"/>
  <c r="CD216" i="2" s="1"/>
  <c r="CD217" i="2" s="1"/>
  <c r="CD218" i="2" s="1"/>
  <c r="CD219" i="2" s="1"/>
  <c r="CD220" i="2" s="1"/>
  <c r="CD221" i="2" s="1"/>
  <c r="CD222" i="2" s="1"/>
  <c r="CD223" i="2" s="1"/>
  <c r="CD224" i="2" s="1"/>
  <c r="CD225" i="2" s="1"/>
  <c r="CD226" i="2" s="1"/>
  <c r="CD227" i="2" s="1"/>
  <c r="CD228" i="2" s="1"/>
  <c r="CD229" i="2" s="1"/>
  <c r="CD230" i="2" s="1"/>
  <c r="CD231" i="2" s="1"/>
  <c r="CD232" i="2" s="1"/>
  <c r="CD233" i="2" s="1"/>
  <c r="CD234" i="2" s="1"/>
  <c r="CD235" i="2" s="1"/>
  <c r="CD236" i="2" s="1"/>
  <c r="CD237" i="2" s="1"/>
  <c r="CD238" i="2" s="1"/>
  <c r="CD239" i="2" s="1"/>
  <c r="CD240" i="2" s="1"/>
  <c r="CD241" i="2" s="1"/>
  <c r="CD242" i="2" s="1"/>
  <c r="CD243" i="2" s="1"/>
  <c r="CD244" i="2" s="1"/>
  <c r="CD245" i="2" s="1"/>
  <c r="CD246" i="2" s="1"/>
  <c r="CD247" i="2" s="1"/>
  <c r="CD248" i="2" s="1"/>
  <c r="CD249" i="2" s="1"/>
  <c r="CD250" i="2" s="1"/>
  <c r="CD251" i="2" s="1"/>
  <c r="CD252" i="2" s="1"/>
  <c r="CD253" i="2" s="1"/>
  <c r="CD254" i="2" s="1"/>
  <c r="CD255" i="2" s="1"/>
  <c r="CD256" i="2" s="1"/>
  <c r="CD257" i="2" s="1"/>
  <c r="CD258" i="2" s="1"/>
  <c r="CD259" i="2" s="1"/>
  <c r="CD260" i="2" s="1"/>
  <c r="CD261" i="2" s="1"/>
  <c r="CD262" i="2" s="1"/>
  <c r="CD263" i="2" s="1"/>
  <c r="CD264" i="2" s="1"/>
  <c r="CD265" i="2" s="1"/>
  <c r="CD266" i="2" s="1"/>
  <c r="CD267" i="2" s="1"/>
  <c r="CD268" i="2" s="1"/>
  <c r="CD269" i="2" s="1"/>
  <c r="CD270" i="2" s="1"/>
  <c r="CD271" i="2" s="1"/>
  <c r="CD272" i="2" s="1"/>
  <c r="CD273" i="2" s="1"/>
  <c r="CD274" i="2" s="1"/>
  <c r="CD275" i="2" s="1"/>
  <c r="CD276" i="2" s="1"/>
  <c r="CD277" i="2" s="1"/>
  <c r="CD278" i="2" s="1"/>
  <c r="CD279" i="2" s="1"/>
  <c r="CD280" i="2" s="1"/>
  <c r="CD281" i="2" s="1"/>
  <c r="CD282" i="2" s="1"/>
  <c r="CD283" i="2" s="1"/>
  <c r="CD284" i="2" s="1"/>
  <c r="CD285" i="2" s="1"/>
  <c r="CD286" i="2" s="1"/>
  <c r="CD287" i="2" s="1"/>
  <c r="CD288" i="2" s="1"/>
  <c r="CD289" i="2" s="1"/>
  <c r="CD290" i="2" s="1"/>
  <c r="CD291" i="2" s="1"/>
  <c r="CD292" i="2" s="1"/>
  <c r="CD293" i="2" s="1"/>
  <c r="CD294" i="2" s="1"/>
  <c r="CD295" i="2" s="1"/>
  <c r="CD296" i="2" s="1"/>
  <c r="CF25" i="2"/>
  <c r="CF26" i="2" s="1"/>
  <c r="CF27" i="2" s="1"/>
  <c r="BY35" i="2"/>
  <c r="BY36" i="2" s="1"/>
  <c r="BY37" i="2" s="1"/>
  <c r="BW35" i="2"/>
  <c r="BW36" i="2" s="1"/>
  <c r="BW37" i="2" s="1"/>
  <c r="BW38" i="2" s="1"/>
  <c r="BW39" i="2" s="1"/>
  <c r="BW40" i="2" s="1"/>
  <c r="BW41" i="2" s="1"/>
  <c r="BW42" i="2" s="1"/>
  <c r="BW43" i="2" s="1"/>
  <c r="BW44" i="2" s="1"/>
  <c r="BW45" i="2" s="1"/>
  <c r="BW46" i="2" s="1"/>
  <c r="BW47" i="2" s="1"/>
  <c r="BW48" i="2" s="1"/>
  <c r="BW49" i="2" s="1"/>
  <c r="BW50" i="2" s="1"/>
  <c r="BW51" i="2" s="1"/>
  <c r="BW52" i="2" s="1"/>
  <c r="BW53" i="2" s="1"/>
  <c r="BW54" i="2" s="1"/>
  <c r="BW55" i="2" s="1"/>
  <c r="BW56" i="2" s="1"/>
  <c r="BW57" i="2" s="1"/>
  <c r="BW58" i="2" s="1"/>
  <c r="BW59" i="2" s="1"/>
  <c r="BW60" i="2" s="1"/>
  <c r="BW61" i="2" s="1"/>
  <c r="BW62" i="2" s="1"/>
  <c r="BW63" i="2" s="1"/>
  <c r="BW64" i="2" s="1"/>
  <c r="BW65" i="2" s="1"/>
  <c r="BW66" i="2" s="1"/>
  <c r="BW67" i="2" s="1"/>
  <c r="BW68" i="2" s="1"/>
  <c r="BW69" i="2" s="1"/>
  <c r="BW70" i="2" s="1"/>
  <c r="BW71" i="2" s="1"/>
  <c r="BW72" i="2" s="1"/>
  <c r="BW73" i="2" s="1"/>
  <c r="BW74" i="2" s="1"/>
  <c r="BW75" i="2" s="1"/>
  <c r="BW76" i="2" s="1"/>
  <c r="BW77" i="2" s="1"/>
  <c r="BW78" i="2" s="1"/>
  <c r="BW79" i="2" s="1"/>
  <c r="BW80" i="2" s="1"/>
  <c r="BW81" i="2" s="1"/>
  <c r="BW82" i="2" s="1"/>
  <c r="BW83" i="2" s="1"/>
  <c r="BW84" i="2" s="1"/>
  <c r="BW85" i="2" s="1"/>
  <c r="BW86" i="2" s="1"/>
  <c r="BW87" i="2" s="1"/>
  <c r="BW88" i="2" s="1"/>
  <c r="BW89" i="2" s="1"/>
  <c r="BW90" i="2" s="1"/>
  <c r="BW91" i="2" s="1"/>
  <c r="BW92" i="2" s="1"/>
  <c r="BW93" i="2" s="1"/>
  <c r="BW94" i="2" s="1"/>
  <c r="BW95" i="2" s="1"/>
  <c r="BW96" i="2" s="1"/>
  <c r="BW97" i="2" s="1"/>
  <c r="BW98" i="2" s="1"/>
  <c r="BW99" i="2" s="1"/>
  <c r="BW100" i="2" s="1"/>
  <c r="BW101" i="2" s="1"/>
  <c r="BW102" i="2" s="1"/>
  <c r="BW103" i="2" s="1"/>
  <c r="BW104" i="2" s="1"/>
  <c r="BW105" i="2" s="1"/>
  <c r="BW106" i="2" s="1"/>
  <c r="BW107" i="2" s="1"/>
  <c r="BW108" i="2" s="1"/>
  <c r="BW109" i="2" s="1"/>
  <c r="BW110" i="2" s="1"/>
  <c r="BW111" i="2" s="1"/>
  <c r="BW112" i="2" s="1"/>
  <c r="BW113" i="2" s="1"/>
  <c r="BW114" i="2" s="1"/>
  <c r="BW115" i="2" s="1"/>
  <c r="BW116" i="2" s="1"/>
  <c r="BW117" i="2" s="1"/>
  <c r="BW118" i="2" s="1"/>
  <c r="BW119" i="2" s="1"/>
  <c r="BW120" i="2" s="1"/>
  <c r="BW121" i="2" s="1"/>
  <c r="BW122" i="2" s="1"/>
  <c r="BW123" i="2" s="1"/>
  <c r="BW124" i="2" s="1"/>
  <c r="BW125" i="2" s="1"/>
  <c r="BW126" i="2" s="1"/>
  <c r="BW127" i="2" s="1"/>
  <c r="BW128" i="2" s="1"/>
  <c r="BW129" i="2" s="1"/>
  <c r="BW130" i="2" s="1"/>
  <c r="BW131" i="2" s="1"/>
  <c r="BW132" i="2" s="1"/>
  <c r="BW133" i="2" s="1"/>
  <c r="BW134" i="2" s="1"/>
  <c r="BW135" i="2" s="1"/>
  <c r="BW136" i="2" s="1"/>
  <c r="BW137" i="2" s="1"/>
  <c r="BW138" i="2" s="1"/>
  <c r="BW139" i="2" s="1"/>
  <c r="BW140" i="2" s="1"/>
  <c r="BW141" i="2" s="1"/>
  <c r="BW142" i="2" s="1"/>
  <c r="BW143" i="2" s="1"/>
  <c r="BW144" i="2" s="1"/>
  <c r="BW145" i="2" s="1"/>
  <c r="BW146" i="2" s="1"/>
  <c r="BW147" i="2" s="1"/>
  <c r="BW148" i="2" s="1"/>
  <c r="BW149" i="2" s="1"/>
  <c r="BW150" i="2" s="1"/>
  <c r="BW151" i="2" s="1"/>
  <c r="BW152" i="2" s="1"/>
  <c r="BW153" i="2" s="1"/>
  <c r="BW154" i="2" s="1"/>
  <c r="BW155" i="2" s="1"/>
  <c r="BW156" i="2" s="1"/>
  <c r="BW157" i="2" s="1"/>
  <c r="BW158" i="2" s="1"/>
  <c r="BW159" i="2" s="1"/>
  <c r="BW160" i="2" s="1"/>
  <c r="BW161" i="2" s="1"/>
  <c r="BW162" i="2" s="1"/>
  <c r="BW163" i="2" s="1"/>
  <c r="BW164" i="2" s="1"/>
  <c r="BW165" i="2" s="1"/>
  <c r="BW166" i="2" s="1"/>
  <c r="BW167" i="2" s="1"/>
  <c r="BW168" i="2" s="1"/>
  <c r="BW169" i="2" s="1"/>
  <c r="BW170" i="2" s="1"/>
  <c r="BW171" i="2" s="1"/>
  <c r="BW172" i="2" s="1"/>
  <c r="BW173" i="2" s="1"/>
  <c r="BW174" i="2" s="1"/>
  <c r="BW175" i="2" s="1"/>
  <c r="BW176" i="2" s="1"/>
  <c r="BW177" i="2" s="1"/>
  <c r="BW178" i="2" s="1"/>
  <c r="BW179" i="2" s="1"/>
  <c r="BW180" i="2" s="1"/>
  <c r="BW181" i="2" s="1"/>
  <c r="BW182" i="2" s="1"/>
  <c r="BW183" i="2" s="1"/>
  <c r="BW184" i="2" s="1"/>
  <c r="BW185" i="2" s="1"/>
  <c r="BW186" i="2" s="1"/>
  <c r="BW187" i="2" s="1"/>
  <c r="BW188" i="2" s="1"/>
  <c r="BW189" i="2" s="1"/>
  <c r="BW190" i="2" s="1"/>
  <c r="BW191" i="2" s="1"/>
  <c r="BW192" i="2" s="1"/>
  <c r="BW193" i="2" s="1"/>
  <c r="BW194" i="2" s="1"/>
  <c r="BW195" i="2" s="1"/>
  <c r="BW196" i="2" s="1"/>
  <c r="BW197" i="2" s="1"/>
  <c r="BW198" i="2" s="1"/>
  <c r="BW199" i="2" s="1"/>
  <c r="BW200" i="2" s="1"/>
  <c r="BW201" i="2" s="1"/>
  <c r="BW202" i="2" s="1"/>
  <c r="BW203" i="2" s="1"/>
  <c r="BW204" i="2" s="1"/>
  <c r="BW205" i="2" s="1"/>
  <c r="BW206" i="2" s="1"/>
  <c r="BW207" i="2" s="1"/>
  <c r="BW208" i="2" s="1"/>
  <c r="BW209" i="2" s="1"/>
  <c r="BW210" i="2" s="1"/>
  <c r="BW211" i="2" s="1"/>
  <c r="BW212" i="2" s="1"/>
  <c r="BW213" i="2" s="1"/>
  <c r="BW214" i="2" s="1"/>
  <c r="BW215" i="2" s="1"/>
  <c r="BW216" i="2" s="1"/>
  <c r="BW217" i="2" s="1"/>
  <c r="BW218" i="2" s="1"/>
  <c r="BW219" i="2" s="1"/>
  <c r="BW220" i="2" s="1"/>
  <c r="BW221" i="2" s="1"/>
  <c r="BW222" i="2" s="1"/>
  <c r="BW223" i="2" s="1"/>
  <c r="BW224" i="2" s="1"/>
  <c r="BW225" i="2" s="1"/>
  <c r="BW226" i="2" s="1"/>
  <c r="BW227" i="2" s="1"/>
  <c r="BW228" i="2" s="1"/>
  <c r="BW229" i="2" s="1"/>
  <c r="BW230" i="2" s="1"/>
  <c r="BW231" i="2" s="1"/>
  <c r="BW232" i="2" s="1"/>
  <c r="BW233" i="2" s="1"/>
  <c r="BW234" i="2" s="1"/>
  <c r="BW235" i="2" s="1"/>
  <c r="BW236" i="2" s="1"/>
  <c r="BW237" i="2" s="1"/>
  <c r="BW238" i="2" s="1"/>
  <c r="BW239" i="2" s="1"/>
  <c r="BW240" i="2" s="1"/>
  <c r="BW241" i="2" s="1"/>
  <c r="BW242" i="2" s="1"/>
  <c r="BW243" i="2" s="1"/>
  <c r="BW244" i="2" s="1"/>
  <c r="BW245" i="2" s="1"/>
  <c r="BW246" i="2" s="1"/>
  <c r="BW247" i="2" s="1"/>
  <c r="BW248" i="2" s="1"/>
  <c r="BW249" i="2" s="1"/>
  <c r="BW250" i="2" s="1"/>
  <c r="BW251" i="2" s="1"/>
  <c r="BW252" i="2" s="1"/>
  <c r="BW253" i="2" s="1"/>
  <c r="BW254" i="2" s="1"/>
  <c r="BW255" i="2" s="1"/>
  <c r="BW256" i="2" s="1"/>
  <c r="BW257" i="2" s="1"/>
  <c r="BW258" i="2" s="1"/>
  <c r="BW259" i="2" s="1"/>
  <c r="BW260" i="2" s="1"/>
  <c r="BW261" i="2" s="1"/>
  <c r="BW262" i="2" s="1"/>
  <c r="BW263" i="2" s="1"/>
  <c r="BW264" i="2" s="1"/>
  <c r="BW265" i="2" s="1"/>
  <c r="BW266" i="2" s="1"/>
  <c r="BW267" i="2" s="1"/>
  <c r="BW268" i="2" s="1"/>
  <c r="BW269" i="2" s="1"/>
  <c r="BW270" i="2" s="1"/>
  <c r="BW271" i="2" s="1"/>
  <c r="BW272" i="2" s="1"/>
  <c r="BW273" i="2" s="1"/>
  <c r="BW274" i="2" s="1"/>
  <c r="BW275" i="2" s="1"/>
  <c r="BW276" i="2" s="1"/>
  <c r="BW277" i="2" s="1"/>
  <c r="BW278" i="2" s="1"/>
  <c r="BW279" i="2" s="1"/>
  <c r="BW280" i="2" s="1"/>
  <c r="BW281" i="2" s="1"/>
  <c r="BW282" i="2" s="1"/>
  <c r="BW283" i="2" s="1"/>
  <c r="BW284" i="2" s="1"/>
  <c r="BW285" i="2" s="1"/>
  <c r="BW286" i="2" s="1"/>
  <c r="BW287" i="2" s="1"/>
  <c r="BW288" i="2" s="1"/>
  <c r="BW289" i="2" s="1"/>
  <c r="BW290" i="2" s="1"/>
  <c r="BW291" i="2" s="1"/>
  <c r="BW292" i="2" s="1"/>
  <c r="BW293" i="2" s="1"/>
  <c r="BW294" i="2" s="1"/>
  <c r="BW295" i="2" s="1"/>
  <c r="BW296" i="2" s="1"/>
  <c r="CY29" i="2"/>
  <c r="CY30" i="2" s="1"/>
  <c r="CY31" i="2" s="1"/>
  <c r="CY32" i="2" s="1"/>
  <c r="CY33" i="2" s="1"/>
  <c r="CY34" i="2" s="1"/>
  <c r="CY35" i="2" s="1"/>
  <c r="CY36" i="2" s="1"/>
  <c r="CY37" i="2" s="1"/>
  <c r="CY38" i="2" s="1"/>
  <c r="CY39" i="2" s="1"/>
  <c r="CY40" i="2" s="1"/>
  <c r="CY41" i="2" s="1"/>
  <c r="CY42" i="2" s="1"/>
  <c r="CY43" i="2" s="1"/>
  <c r="CY44" i="2" s="1"/>
  <c r="CY45" i="2" s="1"/>
  <c r="CY46" i="2" s="1"/>
  <c r="CY47" i="2" s="1"/>
  <c r="CY48" i="2" s="1"/>
  <c r="CY49" i="2" s="1"/>
  <c r="CY50" i="2" s="1"/>
  <c r="CY51" i="2" s="1"/>
  <c r="CY52" i="2" s="1"/>
  <c r="CY53" i="2" s="1"/>
  <c r="CY54" i="2" s="1"/>
  <c r="CY55" i="2" s="1"/>
  <c r="CY56" i="2" s="1"/>
  <c r="CY57" i="2" s="1"/>
  <c r="CY58" i="2" s="1"/>
  <c r="CY59" i="2" s="1"/>
  <c r="CY60" i="2" s="1"/>
  <c r="CY61" i="2" s="1"/>
  <c r="CY62" i="2" s="1"/>
  <c r="CY63" i="2" s="1"/>
  <c r="CY64" i="2" s="1"/>
  <c r="CY65" i="2" s="1"/>
  <c r="CY66" i="2" s="1"/>
  <c r="CY67" i="2" s="1"/>
  <c r="CY68" i="2" s="1"/>
  <c r="CY69" i="2" s="1"/>
  <c r="CY70" i="2" s="1"/>
  <c r="CY71" i="2" s="1"/>
  <c r="CY72" i="2" s="1"/>
  <c r="CY73" i="2" s="1"/>
  <c r="CY74" i="2" s="1"/>
  <c r="CY75" i="2" s="1"/>
  <c r="CY76" i="2" s="1"/>
  <c r="CY77" i="2" s="1"/>
  <c r="CY78" i="2" s="1"/>
  <c r="CY79" i="2" s="1"/>
  <c r="CY80" i="2" s="1"/>
  <c r="CY81" i="2" s="1"/>
  <c r="CY82" i="2" s="1"/>
  <c r="CY83" i="2" s="1"/>
  <c r="CY84" i="2" s="1"/>
  <c r="CY85" i="2" s="1"/>
  <c r="CY86" i="2" s="1"/>
  <c r="CY87" i="2" s="1"/>
  <c r="CY88" i="2" s="1"/>
  <c r="CY89" i="2" s="1"/>
  <c r="CY90" i="2" s="1"/>
  <c r="CY91" i="2" s="1"/>
  <c r="CY92" i="2" s="1"/>
  <c r="CY93" i="2" s="1"/>
  <c r="CY94" i="2" s="1"/>
  <c r="CY95" i="2" s="1"/>
  <c r="CY96" i="2" s="1"/>
  <c r="CY97" i="2" s="1"/>
  <c r="CY98" i="2" s="1"/>
  <c r="CY99" i="2" s="1"/>
  <c r="CY100" i="2" s="1"/>
  <c r="CY101" i="2" s="1"/>
  <c r="CY102" i="2" s="1"/>
  <c r="CY103" i="2" s="1"/>
  <c r="CY104" i="2" s="1"/>
  <c r="CY105" i="2" s="1"/>
  <c r="CY106" i="2" s="1"/>
  <c r="CY107" i="2" s="1"/>
  <c r="CY108" i="2" s="1"/>
  <c r="CY109" i="2" s="1"/>
  <c r="CY110" i="2" s="1"/>
  <c r="CY111" i="2" s="1"/>
  <c r="CY112" i="2" s="1"/>
  <c r="CY113" i="2" s="1"/>
  <c r="CY114" i="2" s="1"/>
  <c r="CY115" i="2" s="1"/>
  <c r="CY116" i="2" s="1"/>
  <c r="CY117" i="2" s="1"/>
  <c r="CY118" i="2" s="1"/>
  <c r="CY119" i="2" s="1"/>
  <c r="CY120" i="2" s="1"/>
  <c r="CY121" i="2" s="1"/>
  <c r="CY122" i="2" s="1"/>
  <c r="CY123" i="2" s="1"/>
  <c r="CY124" i="2" s="1"/>
  <c r="CY125" i="2" s="1"/>
  <c r="CY126" i="2" s="1"/>
  <c r="CY127" i="2" s="1"/>
  <c r="CY128" i="2" s="1"/>
  <c r="CY129" i="2" s="1"/>
  <c r="CY130" i="2" s="1"/>
  <c r="CY131" i="2" s="1"/>
  <c r="CY132" i="2" s="1"/>
  <c r="CY133" i="2" s="1"/>
  <c r="CY134" i="2" s="1"/>
  <c r="CY135" i="2" s="1"/>
  <c r="CY136" i="2" s="1"/>
  <c r="CY137" i="2" s="1"/>
  <c r="CY138" i="2" s="1"/>
  <c r="CY139" i="2" s="1"/>
  <c r="CY140" i="2" s="1"/>
  <c r="CY141" i="2" s="1"/>
  <c r="CY142" i="2" s="1"/>
  <c r="CY143" i="2" s="1"/>
  <c r="CY144" i="2" s="1"/>
  <c r="CY145" i="2" s="1"/>
  <c r="CY146" i="2" s="1"/>
  <c r="CY147" i="2" s="1"/>
  <c r="CY148" i="2" s="1"/>
  <c r="CY149" i="2" s="1"/>
  <c r="CY150" i="2" s="1"/>
  <c r="CY151" i="2" s="1"/>
  <c r="CY152" i="2" s="1"/>
  <c r="CY153" i="2" s="1"/>
  <c r="CY154" i="2" s="1"/>
  <c r="CY155" i="2" s="1"/>
  <c r="CY156" i="2" s="1"/>
  <c r="CY157" i="2" s="1"/>
  <c r="CY158" i="2" s="1"/>
  <c r="CY159" i="2" s="1"/>
  <c r="CY160" i="2" s="1"/>
  <c r="CY161" i="2" s="1"/>
  <c r="CY162" i="2" s="1"/>
  <c r="CY163" i="2" s="1"/>
  <c r="CY164" i="2" s="1"/>
  <c r="CY165" i="2" s="1"/>
  <c r="CY166" i="2" s="1"/>
  <c r="CY167" i="2" s="1"/>
  <c r="CY168" i="2" s="1"/>
  <c r="CY169" i="2" s="1"/>
  <c r="CY170" i="2" s="1"/>
  <c r="CY171" i="2" s="1"/>
  <c r="CY172" i="2" s="1"/>
  <c r="CY173" i="2" s="1"/>
  <c r="CY174" i="2" s="1"/>
  <c r="CY175" i="2" s="1"/>
  <c r="CY176" i="2" s="1"/>
  <c r="CY177" i="2" s="1"/>
  <c r="CY178" i="2" s="1"/>
  <c r="CY179" i="2" s="1"/>
  <c r="CY180" i="2" s="1"/>
  <c r="CY181" i="2" s="1"/>
  <c r="CY182" i="2" s="1"/>
  <c r="CY183" i="2" s="1"/>
  <c r="CY184" i="2" s="1"/>
  <c r="CY185" i="2" s="1"/>
  <c r="CY186" i="2" s="1"/>
  <c r="CY187" i="2" s="1"/>
  <c r="CY188" i="2" s="1"/>
  <c r="CY189" i="2" s="1"/>
  <c r="CY190" i="2" s="1"/>
  <c r="CY191" i="2" s="1"/>
  <c r="CY192" i="2" s="1"/>
  <c r="CY193" i="2" s="1"/>
  <c r="CY194" i="2" s="1"/>
  <c r="CY195" i="2" s="1"/>
  <c r="CY196" i="2" s="1"/>
  <c r="CY197" i="2" s="1"/>
  <c r="CY198" i="2" s="1"/>
  <c r="CY199" i="2" s="1"/>
  <c r="CY200" i="2" s="1"/>
  <c r="CY201" i="2" s="1"/>
  <c r="CY202" i="2" s="1"/>
  <c r="CY203" i="2" s="1"/>
  <c r="CY204" i="2" s="1"/>
  <c r="CY205" i="2" s="1"/>
  <c r="CY206" i="2" s="1"/>
  <c r="CY207" i="2" s="1"/>
  <c r="CY208" i="2" s="1"/>
  <c r="CY209" i="2" s="1"/>
  <c r="CY210" i="2" s="1"/>
  <c r="CY211" i="2" s="1"/>
  <c r="CY212" i="2" s="1"/>
  <c r="CY213" i="2" s="1"/>
  <c r="CY214" i="2" s="1"/>
  <c r="CY215" i="2" s="1"/>
  <c r="CY216" i="2" s="1"/>
  <c r="CY217" i="2" s="1"/>
  <c r="CY218" i="2" s="1"/>
  <c r="CY219" i="2" s="1"/>
  <c r="CY220" i="2" s="1"/>
  <c r="CY221" i="2" s="1"/>
  <c r="CY222" i="2" s="1"/>
  <c r="CY223" i="2" s="1"/>
  <c r="CY224" i="2" s="1"/>
  <c r="CY225" i="2" s="1"/>
  <c r="CY226" i="2" s="1"/>
  <c r="CY227" i="2" s="1"/>
  <c r="CY228" i="2" s="1"/>
  <c r="CY229" i="2" s="1"/>
  <c r="CY230" i="2" s="1"/>
  <c r="CY231" i="2" s="1"/>
  <c r="CY232" i="2" s="1"/>
  <c r="CY233" i="2" s="1"/>
  <c r="CY234" i="2" s="1"/>
  <c r="CY235" i="2" s="1"/>
  <c r="CY236" i="2" s="1"/>
  <c r="CY237" i="2" s="1"/>
  <c r="CY238" i="2" s="1"/>
  <c r="CY239" i="2" s="1"/>
  <c r="CY240" i="2" s="1"/>
  <c r="CY241" i="2" s="1"/>
  <c r="CY242" i="2" s="1"/>
  <c r="CY243" i="2" s="1"/>
  <c r="CY244" i="2" s="1"/>
  <c r="CY245" i="2" s="1"/>
  <c r="CY246" i="2" s="1"/>
  <c r="CY247" i="2" s="1"/>
  <c r="CY248" i="2" s="1"/>
  <c r="CY249" i="2" s="1"/>
  <c r="CY250" i="2" s="1"/>
  <c r="CY251" i="2" s="1"/>
  <c r="CY252" i="2" s="1"/>
  <c r="CY253" i="2" s="1"/>
  <c r="CY254" i="2" s="1"/>
  <c r="CY255" i="2" s="1"/>
  <c r="CY256" i="2" s="1"/>
  <c r="CY257" i="2" s="1"/>
  <c r="CY258" i="2" s="1"/>
  <c r="CY259" i="2" s="1"/>
  <c r="CY260" i="2" s="1"/>
  <c r="CY261" i="2" s="1"/>
  <c r="CY262" i="2" s="1"/>
  <c r="CY263" i="2" s="1"/>
  <c r="CY264" i="2" s="1"/>
  <c r="CY265" i="2" s="1"/>
  <c r="CY266" i="2" s="1"/>
  <c r="CY267" i="2" s="1"/>
  <c r="CY268" i="2" s="1"/>
  <c r="CY269" i="2" s="1"/>
  <c r="CY270" i="2" s="1"/>
  <c r="CY271" i="2" s="1"/>
  <c r="CY272" i="2" s="1"/>
  <c r="CY273" i="2" s="1"/>
  <c r="CY274" i="2" s="1"/>
  <c r="CY275" i="2" s="1"/>
  <c r="CY276" i="2" s="1"/>
  <c r="CY277" i="2" s="1"/>
  <c r="CY278" i="2" s="1"/>
  <c r="CY279" i="2" s="1"/>
  <c r="CY280" i="2" s="1"/>
  <c r="CY281" i="2" s="1"/>
  <c r="CY282" i="2" s="1"/>
  <c r="CY283" i="2" s="1"/>
  <c r="CY284" i="2" s="1"/>
  <c r="CY285" i="2" s="1"/>
  <c r="CY286" i="2" s="1"/>
  <c r="CY287" i="2" s="1"/>
  <c r="CY288" i="2" s="1"/>
  <c r="CY289" i="2" s="1"/>
  <c r="CY290" i="2" s="1"/>
  <c r="CY291" i="2" s="1"/>
  <c r="CY292" i="2" s="1"/>
  <c r="CY293" i="2" s="1"/>
  <c r="CY294" i="2" s="1"/>
  <c r="CY295" i="2" s="1"/>
  <c r="CY296" i="2" s="1"/>
  <c r="DA29" i="2"/>
  <c r="DA30" i="2" s="1"/>
  <c r="DA31" i="2" s="1"/>
  <c r="AP28" i="2"/>
  <c r="AP29" i="2" s="1"/>
  <c r="AP30" i="2" s="1"/>
  <c r="AN28" i="2"/>
  <c r="AN29" i="2" s="1"/>
  <c r="AN30" i="2" s="1"/>
  <c r="AN31" i="2" s="1"/>
  <c r="AN32" i="2" s="1"/>
  <c r="AN33" i="2" s="1"/>
  <c r="AN34" i="2" s="1"/>
  <c r="AN35" i="2" s="1"/>
  <c r="AN36" i="2" s="1"/>
  <c r="AN37" i="2" s="1"/>
  <c r="AN38" i="2" s="1"/>
  <c r="AN39" i="2" s="1"/>
  <c r="AN40" i="2" s="1"/>
  <c r="AN41" i="2" s="1"/>
  <c r="AN42" i="2" s="1"/>
  <c r="AN43" i="2" s="1"/>
  <c r="AN44" i="2" s="1"/>
  <c r="AN45" i="2" s="1"/>
  <c r="AN46" i="2" s="1"/>
  <c r="AN47" i="2" s="1"/>
  <c r="AN48" i="2" s="1"/>
  <c r="AN49" i="2" s="1"/>
  <c r="AN50" i="2" s="1"/>
  <c r="AN51" i="2" s="1"/>
  <c r="AN52" i="2" s="1"/>
  <c r="AN53" i="2" s="1"/>
  <c r="AN54" i="2" s="1"/>
  <c r="AN55" i="2" s="1"/>
  <c r="AN56" i="2" s="1"/>
  <c r="AN57" i="2" s="1"/>
  <c r="AN58" i="2" s="1"/>
  <c r="AN59" i="2" s="1"/>
  <c r="AN60" i="2" s="1"/>
  <c r="AN61" i="2" s="1"/>
  <c r="AN62" i="2" s="1"/>
  <c r="AN63" i="2" s="1"/>
  <c r="AN64" i="2" s="1"/>
  <c r="AN65" i="2" s="1"/>
  <c r="AN66" i="2" s="1"/>
  <c r="AN67" i="2" s="1"/>
  <c r="AN68" i="2" s="1"/>
  <c r="AN69" i="2" s="1"/>
  <c r="AN70" i="2" s="1"/>
  <c r="AN71" i="2" s="1"/>
  <c r="AN72" i="2" s="1"/>
  <c r="AN73" i="2" s="1"/>
  <c r="AN74" i="2" s="1"/>
  <c r="AN75" i="2" s="1"/>
  <c r="AN76" i="2" s="1"/>
  <c r="AN77" i="2" s="1"/>
  <c r="AN78" i="2" s="1"/>
  <c r="AN79" i="2" s="1"/>
  <c r="AN80" i="2" s="1"/>
  <c r="AN81" i="2" s="1"/>
  <c r="AN82" i="2" s="1"/>
  <c r="AN83" i="2" s="1"/>
  <c r="AN84" i="2" s="1"/>
  <c r="AN85" i="2" s="1"/>
  <c r="AN86" i="2" s="1"/>
  <c r="AN87" i="2" s="1"/>
  <c r="AN88" i="2" s="1"/>
  <c r="AN89" i="2" s="1"/>
  <c r="AN90" i="2" s="1"/>
  <c r="AN91" i="2" s="1"/>
  <c r="AN92" i="2" s="1"/>
  <c r="AN93" i="2" s="1"/>
  <c r="AN94" i="2" s="1"/>
  <c r="AN95" i="2" s="1"/>
  <c r="AN96" i="2" s="1"/>
  <c r="AN97" i="2" s="1"/>
  <c r="AN98" i="2" s="1"/>
  <c r="AN99" i="2" s="1"/>
  <c r="AN100" i="2" s="1"/>
  <c r="AN101" i="2" s="1"/>
  <c r="AN102" i="2" s="1"/>
  <c r="AN103" i="2" s="1"/>
  <c r="AN104" i="2" s="1"/>
  <c r="AN105" i="2" s="1"/>
  <c r="AN106" i="2" s="1"/>
  <c r="AN107" i="2" s="1"/>
  <c r="AN108" i="2" s="1"/>
  <c r="AN109" i="2" s="1"/>
  <c r="AN110" i="2" s="1"/>
  <c r="AN111" i="2" s="1"/>
  <c r="AN112" i="2" s="1"/>
  <c r="AN113" i="2" s="1"/>
  <c r="AN114" i="2" s="1"/>
  <c r="AN115" i="2" s="1"/>
  <c r="AN116" i="2" s="1"/>
  <c r="AN117" i="2" s="1"/>
  <c r="AN118" i="2" s="1"/>
  <c r="AN119" i="2" s="1"/>
  <c r="AN120" i="2" s="1"/>
  <c r="AN121" i="2" s="1"/>
  <c r="AN122" i="2" s="1"/>
  <c r="AN123" i="2" s="1"/>
  <c r="AN124" i="2" s="1"/>
  <c r="AN125" i="2" s="1"/>
  <c r="AN126" i="2" s="1"/>
  <c r="AN127" i="2" s="1"/>
  <c r="AN128" i="2" s="1"/>
  <c r="AN129" i="2" s="1"/>
  <c r="AN130" i="2" s="1"/>
  <c r="AN131" i="2" s="1"/>
  <c r="AN132" i="2" s="1"/>
  <c r="AN133" i="2" s="1"/>
  <c r="AN134" i="2" s="1"/>
  <c r="AN135" i="2" s="1"/>
  <c r="AN136" i="2" s="1"/>
  <c r="AN137" i="2" s="1"/>
  <c r="AN138" i="2" s="1"/>
  <c r="AN139" i="2" s="1"/>
  <c r="AN140" i="2" s="1"/>
  <c r="AN141" i="2" s="1"/>
  <c r="AN142" i="2" s="1"/>
  <c r="AN143" i="2" s="1"/>
  <c r="AN144" i="2" s="1"/>
  <c r="AN145" i="2" s="1"/>
  <c r="AN146" i="2" s="1"/>
  <c r="AN147" i="2" s="1"/>
  <c r="AN148" i="2" s="1"/>
  <c r="AN149" i="2" s="1"/>
  <c r="AN150" i="2" s="1"/>
  <c r="AN151" i="2" s="1"/>
  <c r="AN152" i="2" s="1"/>
  <c r="AN153" i="2" s="1"/>
  <c r="AN154" i="2" s="1"/>
  <c r="AN155" i="2" s="1"/>
  <c r="AN156" i="2" s="1"/>
  <c r="AN157" i="2" s="1"/>
  <c r="AN158" i="2" s="1"/>
  <c r="AN159" i="2" s="1"/>
  <c r="AN160" i="2" s="1"/>
  <c r="AN161" i="2" s="1"/>
  <c r="AN162" i="2" s="1"/>
  <c r="AN163" i="2" s="1"/>
  <c r="AN164" i="2" s="1"/>
  <c r="AN165" i="2" s="1"/>
  <c r="AN166" i="2" s="1"/>
  <c r="AN167" i="2" s="1"/>
  <c r="AN168" i="2" s="1"/>
  <c r="AN169" i="2" s="1"/>
  <c r="AN170" i="2" s="1"/>
  <c r="AN171" i="2" s="1"/>
  <c r="AN172" i="2" s="1"/>
  <c r="AN173" i="2" s="1"/>
  <c r="AN174" i="2" s="1"/>
  <c r="AN175" i="2" s="1"/>
  <c r="AN176" i="2" s="1"/>
  <c r="AN177" i="2" s="1"/>
  <c r="AN178" i="2" s="1"/>
  <c r="AN179" i="2" s="1"/>
  <c r="AN180" i="2" s="1"/>
  <c r="AN181" i="2" s="1"/>
  <c r="AN182" i="2" s="1"/>
  <c r="AN183" i="2" s="1"/>
  <c r="AN184" i="2" s="1"/>
  <c r="AN185" i="2" s="1"/>
  <c r="AN186" i="2" s="1"/>
  <c r="AN187" i="2" s="1"/>
  <c r="AN188" i="2" s="1"/>
  <c r="AN189" i="2" s="1"/>
  <c r="AN190" i="2" s="1"/>
  <c r="AN191" i="2" s="1"/>
  <c r="AN192" i="2" s="1"/>
  <c r="AN193" i="2" s="1"/>
  <c r="AN194" i="2" s="1"/>
  <c r="AN195" i="2" s="1"/>
  <c r="AN196" i="2" s="1"/>
  <c r="AN197" i="2" s="1"/>
  <c r="AN198" i="2" s="1"/>
  <c r="AN199" i="2" s="1"/>
  <c r="AN200" i="2" s="1"/>
  <c r="AN201" i="2" s="1"/>
  <c r="AN202" i="2" s="1"/>
  <c r="AN203" i="2" s="1"/>
  <c r="AN204" i="2" s="1"/>
  <c r="AN205" i="2" s="1"/>
  <c r="AN206" i="2" s="1"/>
  <c r="AN207" i="2" s="1"/>
  <c r="AN208" i="2" s="1"/>
  <c r="AN209" i="2" s="1"/>
  <c r="AN210" i="2" s="1"/>
  <c r="AN211" i="2" s="1"/>
  <c r="AN212" i="2" s="1"/>
  <c r="AN213" i="2" s="1"/>
  <c r="AN214" i="2" s="1"/>
  <c r="AN215" i="2" s="1"/>
  <c r="AN216" i="2" s="1"/>
  <c r="AN217" i="2" s="1"/>
  <c r="AN218" i="2" s="1"/>
  <c r="AN219" i="2" s="1"/>
  <c r="AN220" i="2" s="1"/>
  <c r="AN221" i="2" s="1"/>
  <c r="AN222" i="2" s="1"/>
  <c r="AN223" i="2" s="1"/>
  <c r="AN224" i="2" s="1"/>
  <c r="AN225" i="2" s="1"/>
  <c r="AN226" i="2" s="1"/>
  <c r="AN227" i="2" s="1"/>
  <c r="AN228" i="2" s="1"/>
  <c r="AN229" i="2" s="1"/>
  <c r="AN230" i="2" s="1"/>
  <c r="AN231" i="2" s="1"/>
  <c r="AN232" i="2" s="1"/>
  <c r="AN233" i="2" s="1"/>
  <c r="AN234" i="2" s="1"/>
  <c r="AN235" i="2" s="1"/>
  <c r="AN236" i="2" s="1"/>
  <c r="AN237" i="2" s="1"/>
  <c r="AN238" i="2" s="1"/>
  <c r="AN239" i="2" s="1"/>
  <c r="AN240" i="2" s="1"/>
  <c r="AN241" i="2" s="1"/>
  <c r="AN242" i="2" s="1"/>
  <c r="AN243" i="2" s="1"/>
  <c r="AN244" i="2" s="1"/>
  <c r="AN245" i="2" s="1"/>
  <c r="AN246" i="2" s="1"/>
  <c r="AN247" i="2" s="1"/>
  <c r="AN248" i="2" s="1"/>
  <c r="AN249" i="2" s="1"/>
  <c r="AN250" i="2" s="1"/>
  <c r="AN251" i="2" s="1"/>
  <c r="AN252" i="2" s="1"/>
  <c r="AN253" i="2" s="1"/>
  <c r="AN254" i="2" s="1"/>
  <c r="AN255" i="2" s="1"/>
  <c r="AN256" i="2" s="1"/>
  <c r="AN257" i="2" s="1"/>
  <c r="AN258" i="2" s="1"/>
  <c r="AN259" i="2" s="1"/>
  <c r="AN260" i="2" s="1"/>
  <c r="AN261" i="2" s="1"/>
  <c r="AN262" i="2" s="1"/>
  <c r="AN263" i="2" s="1"/>
  <c r="AN264" i="2" s="1"/>
  <c r="AN265" i="2" s="1"/>
  <c r="AN266" i="2" s="1"/>
  <c r="AN267" i="2" s="1"/>
  <c r="AN268" i="2" s="1"/>
  <c r="AN269" i="2" s="1"/>
  <c r="AN270" i="2" s="1"/>
  <c r="AN271" i="2" s="1"/>
  <c r="AN272" i="2" s="1"/>
  <c r="AN273" i="2" s="1"/>
  <c r="AN274" i="2" s="1"/>
  <c r="AN275" i="2" s="1"/>
  <c r="AN276" i="2" s="1"/>
  <c r="AN277" i="2" s="1"/>
  <c r="AN278" i="2" s="1"/>
  <c r="AN279" i="2" s="1"/>
  <c r="AN280" i="2" s="1"/>
  <c r="AN281" i="2" s="1"/>
  <c r="AN282" i="2" s="1"/>
  <c r="AN283" i="2" s="1"/>
  <c r="AN284" i="2" s="1"/>
  <c r="AN285" i="2" s="1"/>
  <c r="AN286" i="2" s="1"/>
  <c r="AN287" i="2" s="1"/>
  <c r="AN288" i="2" s="1"/>
  <c r="AN289" i="2" s="1"/>
  <c r="AN290" i="2" s="1"/>
  <c r="AN291" i="2" s="1"/>
  <c r="AN292" i="2" s="1"/>
  <c r="AN293" i="2" s="1"/>
  <c r="AN294" i="2" s="1"/>
  <c r="AN295" i="2" s="1"/>
  <c r="AN296" i="2" s="1"/>
  <c r="S29" i="2"/>
  <c r="S30" i="2" s="1"/>
  <c r="S31" i="2" s="1"/>
  <c r="S32" i="2" s="1"/>
  <c r="S33" i="2" s="1"/>
  <c r="S34" i="2" s="1"/>
  <c r="S35" i="2" s="1"/>
  <c r="S36" i="2" s="1"/>
  <c r="S37" i="2" s="1"/>
  <c r="S38" i="2" s="1"/>
  <c r="S39" i="2" s="1"/>
  <c r="S40" i="2" s="1"/>
  <c r="S41" i="2" s="1"/>
  <c r="S42" i="2" s="1"/>
  <c r="S43" i="2" s="1"/>
  <c r="S44" i="2" s="1"/>
  <c r="S45" i="2" s="1"/>
  <c r="S46" i="2" s="1"/>
  <c r="S47" i="2" s="1"/>
  <c r="S48" i="2" s="1"/>
  <c r="S49" i="2" s="1"/>
  <c r="S50" i="2" s="1"/>
  <c r="S51" i="2" s="1"/>
  <c r="S52" i="2" s="1"/>
  <c r="S53" i="2" s="1"/>
  <c r="S54" i="2" s="1"/>
  <c r="S55" i="2" s="1"/>
  <c r="S56" i="2" s="1"/>
  <c r="S57" i="2" s="1"/>
  <c r="S58" i="2" s="1"/>
  <c r="S59" i="2" s="1"/>
  <c r="S60" i="2" s="1"/>
  <c r="S61" i="2" s="1"/>
  <c r="S62" i="2" s="1"/>
  <c r="S63" i="2" s="1"/>
  <c r="S64" i="2" s="1"/>
  <c r="S65" i="2" s="1"/>
  <c r="S66" i="2" s="1"/>
  <c r="S67" i="2" s="1"/>
  <c r="S68" i="2" s="1"/>
  <c r="S69" i="2" s="1"/>
  <c r="S70" i="2" s="1"/>
  <c r="S71" i="2" s="1"/>
  <c r="S72" i="2" s="1"/>
  <c r="S73" i="2" s="1"/>
  <c r="S74" i="2" s="1"/>
  <c r="S75" i="2" s="1"/>
  <c r="S76" i="2" s="1"/>
  <c r="S77" i="2" s="1"/>
  <c r="S78" i="2" s="1"/>
  <c r="S79" i="2" s="1"/>
  <c r="S80" i="2" s="1"/>
  <c r="S81" i="2" s="1"/>
  <c r="S82" i="2" s="1"/>
  <c r="S83" i="2" s="1"/>
  <c r="S84" i="2" s="1"/>
  <c r="S85" i="2" s="1"/>
  <c r="S86" i="2" s="1"/>
  <c r="S87" i="2" s="1"/>
  <c r="S88" i="2" s="1"/>
  <c r="S89" i="2" s="1"/>
  <c r="S90" i="2" s="1"/>
  <c r="S91" i="2" s="1"/>
  <c r="S92" i="2" s="1"/>
  <c r="S93" i="2" s="1"/>
  <c r="S94" i="2" s="1"/>
  <c r="S95" i="2" s="1"/>
  <c r="S96" i="2" s="1"/>
  <c r="S97" i="2" s="1"/>
  <c r="S98" i="2" s="1"/>
  <c r="S99" i="2" s="1"/>
  <c r="S100" i="2" s="1"/>
  <c r="S101" i="2" s="1"/>
  <c r="S102" i="2" s="1"/>
  <c r="S103" i="2" s="1"/>
  <c r="S104" i="2" s="1"/>
  <c r="S105" i="2" s="1"/>
  <c r="S106" i="2" s="1"/>
  <c r="S107" i="2" s="1"/>
  <c r="S108" i="2" s="1"/>
  <c r="S109" i="2" s="1"/>
  <c r="S110" i="2" s="1"/>
  <c r="S111" i="2" s="1"/>
  <c r="S112" i="2" s="1"/>
  <c r="S113" i="2" s="1"/>
  <c r="S114" i="2" s="1"/>
  <c r="S115" i="2" s="1"/>
  <c r="S116" i="2" s="1"/>
  <c r="S117" i="2" s="1"/>
  <c r="S118" i="2" s="1"/>
  <c r="S119" i="2" s="1"/>
  <c r="S120" i="2" s="1"/>
  <c r="S121" i="2" s="1"/>
  <c r="S122" i="2" s="1"/>
  <c r="S123" i="2" s="1"/>
  <c r="S124" i="2" s="1"/>
  <c r="S125" i="2" s="1"/>
  <c r="S126" i="2" s="1"/>
  <c r="S127" i="2" s="1"/>
  <c r="S128" i="2" s="1"/>
  <c r="S129" i="2" s="1"/>
  <c r="S130" i="2" s="1"/>
  <c r="S131" i="2" s="1"/>
  <c r="S132" i="2" s="1"/>
  <c r="S133" i="2" s="1"/>
  <c r="S134" i="2" s="1"/>
  <c r="S135" i="2" s="1"/>
  <c r="S136" i="2" s="1"/>
  <c r="S137" i="2" s="1"/>
  <c r="S138" i="2" s="1"/>
  <c r="S139" i="2" s="1"/>
  <c r="S140" i="2" s="1"/>
  <c r="S141" i="2" s="1"/>
  <c r="S142" i="2" s="1"/>
  <c r="S143" i="2" s="1"/>
  <c r="S144" i="2" s="1"/>
  <c r="S145" i="2" s="1"/>
  <c r="S146" i="2" s="1"/>
  <c r="S147" i="2" s="1"/>
  <c r="S148" i="2" s="1"/>
  <c r="S149" i="2" s="1"/>
  <c r="S150" i="2" s="1"/>
  <c r="S151" i="2" s="1"/>
  <c r="S152" i="2" s="1"/>
  <c r="S153" i="2" s="1"/>
  <c r="S154" i="2" s="1"/>
  <c r="S155" i="2" s="1"/>
  <c r="S156" i="2" s="1"/>
  <c r="S157" i="2" s="1"/>
  <c r="S158" i="2" s="1"/>
  <c r="S159" i="2" s="1"/>
  <c r="S160" i="2" s="1"/>
  <c r="S161" i="2" s="1"/>
  <c r="S162" i="2" s="1"/>
  <c r="S163" i="2" s="1"/>
  <c r="S164" i="2" s="1"/>
  <c r="S165" i="2" s="1"/>
  <c r="S166" i="2" s="1"/>
  <c r="S167" i="2" s="1"/>
  <c r="S168" i="2" s="1"/>
  <c r="S169" i="2" s="1"/>
  <c r="S170" i="2" s="1"/>
  <c r="S171" i="2" s="1"/>
  <c r="S172" i="2" s="1"/>
  <c r="S173" i="2" s="1"/>
  <c r="S174" i="2" s="1"/>
  <c r="S175" i="2" s="1"/>
  <c r="S176" i="2" s="1"/>
  <c r="S177" i="2" s="1"/>
  <c r="S178" i="2" s="1"/>
  <c r="S179" i="2" s="1"/>
  <c r="S180" i="2" s="1"/>
  <c r="S181" i="2" s="1"/>
  <c r="S182" i="2" s="1"/>
  <c r="S183" i="2" s="1"/>
  <c r="S184" i="2" s="1"/>
  <c r="S185" i="2" s="1"/>
  <c r="S186" i="2" s="1"/>
  <c r="S187" i="2" s="1"/>
  <c r="S188" i="2" s="1"/>
  <c r="S189" i="2" s="1"/>
  <c r="S190" i="2" s="1"/>
  <c r="S191" i="2" s="1"/>
  <c r="S192" i="2" s="1"/>
  <c r="S193" i="2" s="1"/>
  <c r="S194" i="2" s="1"/>
  <c r="S195" i="2" s="1"/>
  <c r="S196" i="2" s="1"/>
  <c r="S197" i="2" s="1"/>
  <c r="S198" i="2" s="1"/>
  <c r="S199" i="2" s="1"/>
  <c r="S200" i="2" s="1"/>
  <c r="S201" i="2" s="1"/>
  <c r="S202" i="2" s="1"/>
  <c r="S203" i="2" s="1"/>
  <c r="S204" i="2" s="1"/>
  <c r="S205" i="2" s="1"/>
  <c r="S206" i="2" s="1"/>
  <c r="S207" i="2" s="1"/>
  <c r="S208" i="2" s="1"/>
  <c r="S209" i="2" s="1"/>
  <c r="S210" i="2" s="1"/>
  <c r="S211" i="2" s="1"/>
  <c r="S212" i="2" s="1"/>
  <c r="S213" i="2" s="1"/>
  <c r="S214" i="2" s="1"/>
  <c r="S215" i="2" s="1"/>
  <c r="S216" i="2" s="1"/>
  <c r="S217" i="2" s="1"/>
  <c r="S218" i="2" s="1"/>
  <c r="S219" i="2" s="1"/>
  <c r="S220" i="2" s="1"/>
  <c r="S221" i="2" s="1"/>
  <c r="S222" i="2" s="1"/>
  <c r="S223" i="2" s="1"/>
  <c r="S224" i="2" s="1"/>
  <c r="S225" i="2" s="1"/>
  <c r="S226" i="2" s="1"/>
  <c r="S227" i="2" s="1"/>
  <c r="S228" i="2" s="1"/>
  <c r="S229" i="2" s="1"/>
  <c r="S230" i="2" s="1"/>
  <c r="S231" i="2" s="1"/>
  <c r="S232" i="2" s="1"/>
  <c r="S233" i="2" s="1"/>
  <c r="S234" i="2" s="1"/>
  <c r="S235" i="2" s="1"/>
  <c r="S236" i="2" s="1"/>
  <c r="S237" i="2" s="1"/>
  <c r="S238" i="2" s="1"/>
  <c r="S239" i="2" s="1"/>
  <c r="S240" i="2" s="1"/>
  <c r="S241" i="2" s="1"/>
  <c r="S242" i="2" s="1"/>
  <c r="S243" i="2" s="1"/>
  <c r="S244" i="2" s="1"/>
  <c r="S245" i="2" s="1"/>
  <c r="S246" i="2" s="1"/>
  <c r="S247" i="2" s="1"/>
  <c r="S248" i="2" s="1"/>
  <c r="S249" i="2" s="1"/>
  <c r="S250" i="2" s="1"/>
  <c r="S251" i="2" s="1"/>
  <c r="S252" i="2" s="1"/>
  <c r="S253" i="2" s="1"/>
  <c r="S254" i="2" s="1"/>
  <c r="S255" i="2" s="1"/>
  <c r="S256" i="2" s="1"/>
  <c r="S257" i="2" s="1"/>
  <c r="S258" i="2" s="1"/>
  <c r="S259" i="2" s="1"/>
  <c r="S260" i="2" s="1"/>
  <c r="S261" i="2" s="1"/>
  <c r="S262" i="2" s="1"/>
  <c r="S263" i="2" s="1"/>
  <c r="S264" i="2" s="1"/>
  <c r="S265" i="2" s="1"/>
  <c r="S266" i="2" s="1"/>
  <c r="S267" i="2" s="1"/>
  <c r="S268" i="2" s="1"/>
  <c r="S269" i="2" s="1"/>
  <c r="S270" i="2" s="1"/>
  <c r="S271" i="2" s="1"/>
  <c r="S272" i="2" s="1"/>
  <c r="S273" i="2" s="1"/>
  <c r="S274" i="2" s="1"/>
  <c r="S275" i="2" s="1"/>
  <c r="S276" i="2" s="1"/>
  <c r="S277" i="2" s="1"/>
  <c r="S278" i="2" s="1"/>
  <c r="S279" i="2" s="1"/>
  <c r="S280" i="2" s="1"/>
  <c r="S281" i="2" s="1"/>
  <c r="S282" i="2" s="1"/>
  <c r="S283" i="2" s="1"/>
  <c r="S284" i="2" s="1"/>
  <c r="S285" i="2" s="1"/>
  <c r="S286" i="2" s="1"/>
  <c r="S287" i="2" s="1"/>
  <c r="S288" i="2" s="1"/>
  <c r="S289" i="2" s="1"/>
  <c r="S290" i="2" s="1"/>
  <c r="S291" i="2" s="1"/>
  <c r="S292" i="2" s="1"/>
  <c r="S293" i="2" s="1"/>
  <c r="S294" i="2" s="1"/>
  <c r="S295" i="2" s="1"/>
  <c r="S296" i="2" s="1"/>
  <c r="U29" i="2"/>
  <c r="U30" i="2" s="1"/>
  <c r="U31" i="2" s="1"/>
  <c r="BB37" i="2"/>
  <c r="BB38" i="2" s="1"/>
  <c r="BB39" i="2" s="1"/>
  <c r="BB40" i="2" s="1"/>
  <c r="BB41" i="2" s="1"/>
  <c r="BB42" i="2" s="1"/>
  <c r="BB43" i="2" s="1"/>
  <c r="BB44" i="2" s="1"/>
  <c r="BB45" i="2" s="1"/>
  <c r="BB46" i="2" s="1"/>
  <c r="BB47" i="2" s="1"/>
  <c r="BB48" i="2" s="1"/>
  <c r="BB49" i="2" s="1"/>
  <c r="BB50" i="2" s="1"/>
  <c r="BB51" i="2" s="1"/>
  <c r="BB52" i="2" s="1"/>
  <c r="BB53" i="2" s="1"/>
  <c r="BB54" i="2" s="1"/>
  <c r="BB55" i="2" s="1"/>
  <c r="BB56" i="2" s="1"/>
  <c r="BB57" i="2" s="1"/>
  <c r="BB58" i="2" s="1"/>
  <c r="BB59" i="2" s="1"/>
  <c r="BB60" i="2" s="1"/>
  <c r="BB61" i="2" s="1"/>
  <c r="BB62" i="2" s="1"/>
  <c r="BB63" i="2" s="1"/>
  <c r="BB64" i="2" s="1"/>
  <c r="BB65" i="2" s="1"/>
  <c r="BB66" i="2" s="1"/>
  <c r="BB67" i="2" s="1"/>
  <c r="BB68" i="2" s="1"/>
  <c r="BB69" i="2" s="1"/>
  <c r="BB70" i="2" s="1"/>
  <c r="BB71" i="2" s="1"/>
  <c r="BB72" i="2" s="1"/>
  <c r="BB73" i="2" s="1"/>
  <c r="BB74" i="2" s="1"/>
  <c r="BB75" i="2" s="1"/>
  <c r="BB76" i="2" s="1"/>
  <c r="BB77" i="2" s="1"/>
  <c r="BB78" i="2" s="1"/>
  <c r="BB79" i="2" s="1"/>
  <c r="BB80" i="2" s="1"/>
  <c r="BB81" i="2" s="1"/>
  <c r="BB82" i="2" s="1"/>
  <c r="BB83" i="2" s="1"/>
  <c r="BB84" i="2" s="1"/>
  <c r="BB85" i="2" s="1"/>
  <c r="BB86" i="2" s="1"/>
  <c r="BB87" i="2" s="1"/>
  <c r="BB88" i="2" s="1"/>
  <c r="BB89" i="2" s="1"/>
  <c r="BB90" i="2" s="1"/>
  <c r="BB91" i="2" s="1"/>
  <c r="BB92" i="2" s="1"/>
  <c r="BB93" i="2" s="1"/>
  <c r="BB94" i="2" s="1"/>
  <c r="BB95" i="2" s="1"/>
  <c r="BB96" i="2" s="1"/>
  <c r="BB97" i="2" s="1"/>
  <c r="BB98" i="2" s="1"/>
  <c r="BB99" i="2" s="1"/>
  <c r="BB100" i="2" s="1"/>
  <c r="BB101" i="2" s="1"/>
  <c r="BB102" i="2" s="1"/>
  <c r="BB103" i="2" s="1"/>
  <c r="BB104" i="2" s="1"/>
  <c r="BB105" i="2" s="1"/>
  <c r="BB106" i="2" s="1"/>
  <c r="BB107" i="2" s="1"/>
  <c r="BB108" i="2" s="1"/>
  <c r="BB109" i="2" s="1"/>
  <c r="BB110" i="2" s="1"/>
  <c r="BB111" i="2" s="1"/>
  <c r="BB112" i="2" s="1"/>
  <c r="BB113" i="2" s="1"/>
  <c r="BB114" i="2" s="1"/>
  <c r="BB115" i="2" s="1"/>
  <c r="BB116" i="2" s="1"/>
  <c r="BB117" i="2" s="1"/>
  <c r="BB118" i="2" s="1"/>
  <c r="BB119" i="2" s="1"/>
  <c r="BB120" i="2" s="1"/>
  <c r="BB121" i="2" s="1"/>
  <c r="BB122" i="2" s="1"/>
  <c r="BB123" i="2" s="1"/>
  <c r="BB124" i="2" s="1"/>
  <c r="BB125" i="2" s="1"/>
  <c r="BB126" i="2" s="1"/>
  <c r="BB127" i="2" s="1"/>
  <c r="BB128" i="2" s="1"/>
  <c r="BB129" i="2" s="1"/>
  <c r="BB130" i="2" s="1"/>
  <c r="BB131" i="2" s="1"/>
  <c r="BB132" i="2" s="1"/>
  <c r="BB133" i="2" s="1"/>
  <c r="BB134" i="2" s="1"/>
  <c r="BB135" i="2" s="1"/>
  <c r="BB136" i="2" s="1"/>
  <c r="BB137" i="2" s="1"/>
  <c r="BB138" i="2" s="1"/>
  <c r="BB139" i="2" s="1"/>
  <c r="BB140" i="2" s="1"/>
  <c r="BB141" i="2" s="1"/>
  <c r="BB142" i="2" s="1"/>
  <c r="BB143" i="2" s="1"/>
  <c r="BB144" i="2" s="1"/>
  <c r="BB145" i="2" s="1"/>
  <c r="BB146" i="2" s="1"/>
  <c r="BB147" i="2" s="1"/>
  <c r="BB148" i="2" s="1"/>
  <c r="BB149" i="2" s="1"/>
  <c r="BB150" i="2" s="1"/>
  <c r="BB151" i="2" s="1"/>
  <c r="BB152" i="2" s="1"/>
  <c r="BB153" i="2" s="1"/>
  <c r="BB154" i="2" s="1"/>
  <c r="BB155" i="2" s="1"/>
  <c r="BB156" i="2" s="1"/>
  <c r="BB157" i="2" s="1"/>
  <c r="BB158" i="2" s="1"/>
  <c r="BB159" i="2" s="1"/>
  <c r="BB160" i="2" s="1"/>
  <c r="BB161" i="2" s="1"/>
  <c r="BB162" i="2" s="1"/>
  <c r="BB163" i="2" s="1"/>
  <c r="BB164" i="2" s="1"/>
  <c r="BB165" i="2" s="1"/>
  <c r="BB166" i="2" s="1"/>
  <c r="BB167" i="2" s="1"/>
  <c r="BB168" i="2" s="1"/>
  <c r="BB169" i="2" s="1"/>
  <c r="BB170" i="2" s="1"/>
  <c r="BB171" i="2" s="1"/>
  <c r="BB172" i="2" s="1"/>
  <c r="BB173" i="2" s="1"/>
  <c r="BB174" i="2" s="1"/>
  <c r="BB175" i="2" s="1"/>
  <c r="BB176" i="2" s="1"/>
  <c r="BB177" i="2" s="1"/>
  <c r="BB178" i="2" s="1"/>
  <c r="BB179" i="2" s="1"/>
  <c r="BB180" i="2" s="1"/>
  <c r="BB181" i="2" s="1"/>
  <c r="BB182" i="2" s="1"/>
  <c r="BB183" i="2" s="1"/>
  <c r="BB184" i="2" s="1"/>
  <c r="BB185" i="2" s="1"/>
  <c r="BB186" i="2" s="1"/>
  <c r="BB187" i="2" s="1"/>
  <c r="BB188" i="2" s="1"/>
  <c r="BB189" i="2" s="1"/>
  <c r="BB190" i="2" s="1"/>
  <c r="BB191" i="2" s="1"/>
  <c r="BB192" i="2" s="1"/>
  <c r="BB193" i="2" s="1"/>
  <c r="BB194" i="2" s="1"/>
  <c r="BB195" i="2" s="1"/>
  <c r="BB196" i="2" s="1"/>
  <c r="BB197" i="2" s="1"/>
  <c r="BB198" i="2" s="1"/>
  <c r="BB199" i="2" s="1"/>
  <c r="BB200" i="2" s="1"/>
  <c r="BB201" i="2" s="1"/>
  <c r="BB202" i="2" s="1"/>
  <c r="BB203" i="2" s="1"/>
  <c r="BB204" i="2" s="1"/>
  <c r="BB205" i="2" s="1"/>
  <c r="BB206" i="2" s="1"/>
  <c r="BB207" i="2" s="1"/>
  <c r="BB208" i="2" s="1"/>
  <c r="BB209" i="2" s="1"/>
  <c r="BB210" i="2" s="1"/>
  <c r="BB211" i="2" s="1"/>
  <c r="BB212" i="2" s="1"/>
  <c r="BB213" i="2" s="1"/>
  <c r="BB214" i="2" s="1"/>
  <c r="BB215" i="2" s="1"/>
  <c r="BB216" i="2" s="1"/>
  <c r="BB217" i="2" s="1"/>
  <c r="BB218" i="2" s="1"/>
  <c r="BB219" i="2" s="1"/>
  <c r="BB220" i="2" s="1"/>
  <c r="BB221" i="2" s="1"/>
  <c r="BB222" i="2" s="1"/>
  <c r="BB223" i="2" s="1"/>
  <c r="BB224" i="2" s="1"/>
  <c r="BB225" i="2" s="1"/>
  <c r="BB226" i="2" s="1"/>
  <c r="BB227" i="2" s="1"/>
  <c r="BB228" i="2" s="1"/>
  <c r="BB229" i="2" s="1"/>
  <c r="BB230" i="2" s="1"/>
  <c r="BB231" i="2" s="1"/>
  <c r="BB232" i="2" s="1"/>
  <c r="BB233" i="2" s="1"/>
  <c r="BB234" i="2" s="1"/>
  <c r="BB235" i="2" s="1"/>
  <c r="BB236" i="2" s="1"/>
  <c r="BB237" i="2" s="1"/>
  <c r="BB238" i="2" s="1"/>
  <c r="BB239" i="2" s="1"/>
  <c r="BB240" i="2" s="1"/>
  <c r="BB241" i="2" s="1"/>
  <c r="BB242" i="2" s="1"/>
  <c r="BB243" i="2" s="1"/>
  <c r="BB244" i="2" s="1"/>
  <c r="BB245" i="2" s="1"/>
  <c r="BB246" i="2" s="1"/>
  <c r="BB247" i="2" s="1"/>
  <c r="BB248" i="2" s="1"/>
  <c r="BB249" i="2" s="1"/>
  <c r="BB250" i="2" s="1"/>
  <c r="BB251" i="2" s="1"/>
  <c r="BB252" i="2" s="1"/>
  <c r="BB253" i="2" s="1"/>
  <c r="BB254" i="2" s="1"/>
  <c r="BB255" i="2" s="1"/>
  <c r="BB256" i="2" s="1"/>
  <c r="BB257" i="2" s="1"/>
  <c r="BB258" i="2" s="1"/>
  <c r="BB259" i="2" s="1"/>
  <c r="BB260" i="2" s="1"/>
  <c r="BB261" i="2" s="1"/>
  <c r="BB262" i="2" s="1"/>
  <c r="BB263" i="2" s="1"/>
  <c r="BB264" i="2" s="1"/>
  <c r="BB265" i="2" s="1"/>
  <c r="BB266" i="2" s="1"/>
  <c r="BB267" i="2" s="1"/>
  <c r="BB268" i="2" s="1"/>
  <c r="BB269" i="2" s="1"/>
  <c r="BB270" i="2" s="1"/>
  <c r="BB271" i="2" s="1"/>
  <c r="BB272" i="2" s="1"/>
  <c r="BB273" i="2" s="1"/>
  <c r="BB274" i="2" s="1"/>
  <c r="BB275" i="2" s="1"/>
  <c r="BB276" i="2" s="1"/>
  <c r="BB277" i="2" s="1"/>
  <c r="BB278" i="2" s="1"/>
  <c r="BB279" i="2" s="1"/>
  <c r="BB280" i="2" s="1"/>
  <c r="BB281" i="2" s="1"/>
  <c r="BB282" i="2" s="1"/>
  <c r="BB283" i="2" s="1"/>
  <c r="BB284" i="2" s="1"/>
  <c r="BB285" i="2" s="1"/>
  <c r="BB286" i="2" s="1"/>
  <c r="BB287" i="2" s="1"/>
  <c r="BB288" i="2" s="1"/>
  <c r="BB289" i="2" s="1"/>
  <c r="BB290" i="2" s="1"/>
  <c r="BB291" i="2" s="1"/>
  <c r="BB292" i="2" s="1"/>
  <c r="BB293" i="2" s="1"/>
  <c r="BB294" i="2" s="1"/>
  <c r="BB295" i="2" s="1"/>
  <c r="BB296" i="2" s="1"/>
  <c r="BD37" i="2"/>
  <c r="BD38" i="2" s="1"/>
  <c r="BD39" i="2" s="1"/>
  <c r="BR37" i="2"/>
  <c r="BR38" i="2" s="1"/>
  <c r="BR39" i="2" s="1"/>
  <c r="BP37" i="2"/>
  <c r="BP38" i="2" s="1"/>
  <c r="BP39" i="2" s="1"/>
  <c r="BP40" i="2" s="1"/>
  <c r="BP41" i="2" s="1"/>
  <c r="BP42" i="2" s="1"/>
  <c r="BP43" i="2" s="1"/>
  <c r="BP44" i="2" s="1"/>
  <c r="BP45" i="2" s="1"/>
  <c r="BP46" i="2" s="1"/>
  <c r="BP47" i="2" s="1"/>
  <c r="BP48" i="2" s="1"/>
  <c r="BP49" i="2" s="1"/>
  <c r="BP50" i="2" s="1"/>
  <c r="BP51" i="2" s="1"/>
  <c r="BP52" i="2" s="1"/>
  <c r="BP53" i="2" s="1"/>
  <c r="BP54" i="2" s="1"/>
  <c r="BP55" i="2" s="1"/>
  <c r="BP56" i="2" s="1"/>
  <c r="BP57" i="2" s="1"/>
  <c r="BP58" i="2" s="1"/>
  <c r="BP59" i="2" s="1"/>
  <c r="BP60" i="2" s="1"/>
  <c r="BP61" i="2" s="1"/>
  <c r="BP62" i="2" s="1"/>
  <c r="BP63" i="2" s="1"/>
  <c r="BP64" i="2" s="1"/>
  <c r="BP65" i="2" s="1"/>
  <c r="BP66" i="2" s="1"/>
  <c r="BP67" i="2" s="1"/>
  <c r="BP68" i="2" s="1"/>
  <c r="BP69" i="2" s="1"/>
  <c r="BP70" i="2" s="1"/>
  <c r="BP71" i="2" s="1"/>
  <c r="BP72" i="2" s="1"/>
  <c r="BP73" i="2" s="1"/>
  <c r="BP74" i="2" s="1"/>
  <c r="BP75" i="2" s="1"/>
  <c r="BP76" i="2" s="1"/>
  <c r="BP77" i="2" s="1"/>
  <c r="BP78" i="2" s="1"/>
  <c r="BP79" i="2" s="1"/>
  <c r="BP80" i="2" s="1"/>
  <c r="BP81" i="2" s="1"/>
  <c r="BP82" i="2" s="1"/>
  <c r="BP83" i="2" s="1"/>
  <c r="BP84" i="2" s="1"/>
  <c r="BP85" i="2" s="1"/>
  <c r="BP86" i="2" s="1"/>
  <c r="BP87" i="2" s="1"/>
  <c r="BP88" i="2" s="1"/>
  <c r="BP89" i="2" s="1"/>
  <c r="BP90" i="2" s="1"/>
  <c r="BP91" i="2" s="1"/>
  <c r="BP92" i="2" s="1"/>
  <c r="BP93" i="2" s="1"/>
  <c r="BP94" i="2" s="1"/>
  <c r="BP95" i="2" s="1"/>
  <c r="BP96" i="2" s="1"/>
  <c r="BP97" i="2" s="1"/>
  <c r="BP98" i="2" s="1"/>
  <c r="BP99" i="2" s="1"/>
  <c r="BP100" i="2" s="1"/>
  <c r="BP101" i="2" s="1"/>
  <c r="BP102" i="2" s="1"/>
  <c r="BP103" i="2" s="1"/>
  <c r="BP104" i="2" s="1"/>
  <c r="BP105" i="2" s="1"/>
  <c r="BP106" i="2" s="1"/>
  <c r="BP107" i="2" s="1"/>
  <c r="BP108" i="2" s="1"/>
  <c r="BP109" i="2" s="1"/>
  <c r="BP110" i="2" s="1"/>
  <c r="BP111" i="2" s="1"/>
  <c r="BP112" i="2" s="1"/>
  <c r="BP113" i="2" s="1"/>
  <c r="BP114" i="2" s="1"/>
  <c r="BP115" i="2" s="1"/>
  <c r="BP116" i="2" s="1"/>
  <c r="BP117" i="2" s="1"/>
  <c r="BP118" i="2" s="1"/>
  <c r="BP119" i="2" s="1"/>
  <c r="BP120" i="2" s="1"/>
  <c r="BP121" i="2" s="1"/>
  <c r="BP122" i="2" s="1"/>
  <c r="BP123" i="2" s="1"/>
  <c r="BP124" i="2" s="1"/>
  <c r="BP125" i="2" s="1"/>
  <c r="BP126" i="2" s="1"/>
  <c r="BP127" i="2" s="1"/>
  <c r="BP128" i="2" s="1"/>
  <c r="BP129" i="2" s="1"/>
  <c r="BP130" i="2" s="1"/>
  <c r="BP131" i="2" s="1"/>
  <c r="BP132" i="2" s="1"/>
  <c r="BP133" i="2" s="1"/>
  <c r="BP134" i="2" s="1"/>
  <c r="BP135" i="2" s="1"/>
  <c r="BP136" i="2" s="1"/>
  <c r="BP137" i="2" s="1"/>
  <c r="BP138" i="2" s="1"/>
  <c r="BP139" i="2" s="1"/>
  <c r="BP140" i="2" s="1"/>
  <c r="BP141" i="2" s="1"/>
  <c r="BP142" i="2" s="1"/>
  <c r="BP143" i="2" s="1"/>
  <c r="BP144" i="2" s="1"/>
  <c r="BP145" i="2" s="1"/>
  <c r="BP146" i="2" s="1"/>
  <c r="BP147" i="2" s="1"/>
  <c r="BP148" i="2" s="1"/>
  <c r="BP149" i="2" s="1"/>
  <c r="BP150" i="2" s="1"/>
  <c r="BP151" i="2" s="1"/>
  <c r="BP152" i="2" s="1"/>
  <c r="BP153" i="2" s="1"/>
  <c r="BP154" i="2" s="1"/>
  <c r="BP155" i="2" s="1"/>
  <c r="BP156" i="2" s="1"/>
  <c r="BP157" i="2" s="1"/>
  <c r="BP158" i="2" s="1"/>
  <c r="BP159" i="2" s="1"/>
  <c r="BP160" i="2" s="1"/>
  <c r="BP161" i="2" s="1"/>
  <c r="BP162" i="2" s="1"/>
  <c r="BP163" i="2" s="1"/>
  <c r="BP164" i="2" s="1"/>
  <c r="BP165" i="2" s="1"/>
  <c r="BP166" i="2" s="1"/>
  <c r="BP167" i="2" s="1"/>
  <c r="BP168" i="2" s="1"/>
  <c r="BP169" i="2" s="1"/>
  <c r="BP170" i="2" s="1"/>
  <c r="BP171" i="2" s="1"/>
  <c r="BP172" i="2" s="1"/>
  <c r="BP173" i="2" s="1"/>
  <c r="BP174" i="2" s="1"/>
  <c r="BP175" i="2" s="1"/>
  <c r="BP176" i="2" s="1"/>
  <c r="BP177" i="2" s="1"/>
  <c r="BP178" i="2" s="1"/>
  <c r="BP179" i="2" s="1"/>
  <c r="BP180" i="2" s="1"/>
  <c r="BP181" i="2" s="1"/>
  <c r="BP182" i="2" s="1"/>
  <c r="BP183" i="2" s="1"/>
  <c r="BP184" i="2" s="1"/>
  <c r="BP185" i="2" s="1"/>
  <c r="BP186" i="2" s="1"/>
  <c r="BP187" i="2" s="1"/>
  <c r="BP188" i="2" s="1"/>
  <c r="BP189" i="2" s="1"/>
  <c r="BP190" i="2" s="1"/>
  <c r="BP191" i="2" s="1"/>
  <c r="BP192" i="2" s="1"/>
  <c r="BP193" i="2" s="1"/>
  <c r="BP194" i="2" s="1"/>
  <c r="BP195" i="2" s="1"/>
  <c r="BP196" i="2" s="1"/>
  <c r="BP197" i="2" s="1"/>
  <c r="BP198" i="2" s="1"/>
  <c r="BP199" i="2" s="1"/>
  <c r="BP200" i="2" s="1"/>
  <c r="BP201" i="2" s="1"/>
  <c r="BP202" i="2" s="1"/>
  <c r="BP203" i="2" s="1"/>
  <c r="BP204" i="2" s="1"/>
  <c r="BP205" i="2" s="1"/>
  <c r="BP206" i="2" s="1"/>
  <c r="BP207" i="2" s="1"/>
  <c r="BP208" i="2" s="1"/>
  <c r="BP209" i="2" s="1"/>
  <c r="BP210" i="2" s="1"/>
  <c r="BP211" i="2" s="1"/>
  <c r="BP212" i="2" s="1"/>
  <c r="BP213" i="2" s="1"/>
  <c r="BP214" i="2" s="1"/>
  <c r="BP215" i="2" s="1"/>
  <c r="BP216" i="2" s="1"/>
  <c r="BP217" i="2" s="1"/>
  <c r="BP218" i="2" s="1"/>
  <c r="BP219" i="2" s="1"/>
  <c r="BP220" i="2" s="1"/>
  <c r="BP221" i="2" s="1"/>
  <c r="BP222" i="2" s="1"/>
  <c r="BP223" i="2" s="1"/>
  <c r="BP224" i="2" s="1"/>
  <c r="BP225" i="2" s="1"/>
  <c r="BP226" i="2" s="1"/>
  <c r="BP227" i="2" s="1"/>
  <c r="BP228" i="2" s="1"/>
  <c r="BP229" i="2" s="1"/>
  <c r="BP230" i="2" s="1"/>
  <c r="BP231" i="2" s="1"/>
  <c r="BP232" i="2" s="1"/>
  <c r="BP233" i="2" s="1"/>
  <c r="BP234" i="2" s="1"/>
  <c r="BP235" i="2" s="1"/>
  <c r="BP236" i="2" s="1"/>
  <c r="BP237" i="2" s="1"/>
  <c r="BP238" i="2" s="1"/>
  <c r="BP239" i="2" s="1"/>
  <c r="BP240" i="2" s="1"/>
  <c r="BP241" i="2" s="1"/>
  <c r="BP242" i="2" s="1"/>
  <c r="BP243" i="2" s="1"/>
  <c r="BP244" i="2" s="1"/>
  <c r="BP245" i="2" s="1"/>
  <c r="BP246" i="2" s="1"/>
  <c r="BP247" i="2" s="1"/>
  <c r="BP248" i="2" s="1"/>
  <c r="BP249" i="2" s="1"/>
  <c r="BP250" i="2" s="1"/>
  <c r="BP251" i="2" s="1"/>
  <c r="BP252" i="2" s="1"/>
  <c r="BP253" i="2" s="1"/>
  <c r="BP254" i="2" s="1"/>
  <c r="BP255" i="2" s="1"/>
  <c r="BP256" i="2" s="1"/>
  <c r="BP257" i="2" s="1"/>
  <c r="BP258" i="2" s="1"/>
  <c r="BP259" i="2" s="1"/>
  <c r="BP260" i="2" s="1"/>
  <c r="BP261" i="2" s="1"/>
  <c r="BP262" i="2" s="1"/>
  <c r="BP263" i="2" s="1"/>
  <c r="BP264" i="2" s="1"/>
  <c r="BP265" i="2" s="1"/>
  <c r="BP266" i="2" s="1"/>
  <c r="BP267" i="2" s="1"/>
  <c r="BP268" i="2" s="1"/>
  <c r="BP269" i="2" s="1"/>
  <c r="BP270" i="2" s="1"/>
  <c r="BP271" i="2" s="1"/>
  <c r="BP272" i="2" s="1"/>
  <c r="BP273" i="2" s="1"/>
  <c r="BP274" i="2" s="1"/>
  <c r="BP275" i="2" s="1"/>
  <c r="BP276" i="2" s="1"/>
  <c r="BP277" i="2" s="1"/>
  <c r="BP278" i="2" s="1"/>
  <c r="BP279" i="2" s="1"/>
  <c r="BP280" i="2" s="1"/>
  <c r="BP281" i="2" s="1"/>
  <c r="BP282" i="2" s="1"/>
  <c r="BP283" i="2" s="1"/>
  <c r="BP284" i="2" s="1"/>
  <c r="BP285" i="2" s="1"/>
  <c r="BP286" i="2" s="1"/>
  <c r="BP287" i="2" s="1"/>
  <c r="BP288" i="2" s="1"/>
  <c r="BP289" i="2" s="1"/>
  <c r="BP290" i="2" s="1"/>
  <c r="BP291" i="2" s="1"/>
  <c r="BP292" i="2" s="1"/>
  <c r="BP293" i="2" s="1"/>
  <c r="BP294" i="2" s="1"/>
  <c r="BP295" i="2" s="1"/>
  <c r="BP296" i="2" s="1"/>
  <c r="AG22" i="2"/>
  <c r="AG23" i="2" s="1"/>
  <c r="AG24" i="2" s="1"/>
  <c r="AG25" i="2" s="1"/>
  <c r="AG26" i="2" s="1"/>
  <c r="AG27" i="2" s="1"/>
  <c r="AG28" i="2" s="1"/>
  <c r="AG29" i="2" s="1"/>
  <c r="AG30" i="2" s="1"/>
  <c r="AG31" i="2" s="1"/>
  <c r="AG32" i="2" s="1"/>
  <c r="AG33" i="2" s="1"/>
  <c r="AG34" i="2" s="1"/>
  <c r="AG35" i="2" s="1"/>
  <c r="AG36" i="2" s="1"/>
  <c r="AG37" i="2" s="1"/>
  <c r="AG38" i="2" s="1"/>
  <c r="AG39" i="2" s="1"/>
  <c r="AG40" i="2" s="1"/>
  <c r="AG41" i="2" s="1"/>
  <c r="AG42" i="2" s="1"/>
  <c r="AG43" i="2" s="1"/>
  <c r="AG44" i="2" s="1"/>
  <c r="AG45" i="2" s="1"/>
  <c r="AG46" i="2" s="1"/>
  <c r="AG47" i="2" s="1"/>
  <c r="AG48" i="2" s="1"/>
  <c r="AG49" i="2" s="1"/>
  <c r="AG50" i="2" s="1"/>
  <c r="AG51" i="2" s="1"/>
  <c r="AG52" i="2" s="1"/>
  <c r="AG53" i="2" s="1"/>
  <c r="AG54" i="2" s="1"/>
  <c r="AG55" i="2" s="1"/>
  <c r="AG56" i="2" s="1"/>
  <c r="AG57" i="2" s="1"/>
  <c r="AG58" i="2" s="1"/>
  <c r="AG59" i="2" s="1"/>
  <c r="AG60" i="2" s="1"/>
  <c r="AG61" i="2" s="1"/>
  <c r="AG62" i="2" s="1"/>
  <c r="AG63" i="2" s="1"/>
  <c r="AG64" i="2" s="1"/>
  <c r="AG65" i="2" s="1"/>
  <c r="AG66" i="2" s="1"/>
  <c r="AG67" i="2" s="1"/>
  <c r="AG68" i="2" s="1"/>
  <c r="AG69" i="2" s="1"/>
  <c r="AG70" i="2" s="1"/>
  <c r="AG71" i="2" s="1"/>
  <c r="AG72" i="2" s="1"/>
  <c r="AG73" i="2" s="1"/>
  <c r="AG74" i="2" s="1"/>
  <c r="AG75" i="2" s="1"/>
  <c r="AG76" i="2" s="1"/>
  <c r="AG77" i="2" s="1"/>
  <c r="AG78" i="2" s="1"/>
  <c r="AG79" i="2" s="1"/>
  <c r="AG80" i="2" s="1"/>
  <c r="AG81" i="2" s="1"/>
  <c r="AG82" i="2" s="1"/>
  <c r="AG83" i="2" s="1"/>
  <c r="AG84" i="2" s="1"/>
  <c r="AG85" i="2" s="1"/>
  <c r="AG86" i="2" s="1"/>
  <c r="AG87" i="2" s="1"/>
  <c r="AG88" i="2" s="1"/>
  <c r="AG89" i="2" s="1"/>
  <c r="AG90" i="2" s="1"/>
  <c r="AG91" i="2" s="1"/>
  <c r="AG92" i="2" s="1"/>
  <c r="AG93" i="2" s="1"/>
  <c r="AG94" i="2" s="1"/>
  <c r="AG95" i="2" s="1"/>
  <c r="AG96" i="2" s="1"/>
  <c r="AG97" i="2" s="1"/>
  <c r="AG98" i="2" s="1"/>
  <c r="AG99" i="2" s="1"/>
  <c r="AG100" i="2" s="1"/>
  <c r="AG101" i="2" s="1"/>
  <c r="AG102" i="2" s="1"/>
  <c r="AG103" i="2" s="1"/>
  <c r="AG104" i="2" s="1"/>
  <c r="AG105" i="2" s="1"/>
  <c r="AG106" i="2" s="1"/>
  <c r="AG107" i="2" s="1"/>
  <c r="AG108" i="2" s="1"/>
  <c r="AG109" i="2" s="1"/>
  <c r="AG110" i="2" s="1"/>
  <c r="AG111" i="2" s="1"/>
  <c r="AG112" i="2" s="1"/>
  <c r="AG113" i="2" s="1"/>
  <c r="AG114" i="2" s="1"/>
  <c r="AG115" i="2" s="1"/>
  <c r="AG116" i="2" s="1"/>
  <c r="AG117" i="2" s="1"/>
  <c r="AG118" i="2" s="1"/>
  <c r="AG119" i="2" s="1"/>
  <c r="AG120" i="2" s="1"/>
  <c r="AG121" i="2" s="1"/>
  <c r="AG122" i="2" s="1"/>
  <c r="AG123" i="2" s="1"/>
  <c r="AG124" i="2" s="1"/>
  <c r="AG125" i="2" s="1"/>
  <c r="AG126" i="2" s="1"/>
  <c r="AG127" i="2" s="1"/>
  <c r="AG128" i="2" s="1"/>
  <c r="AG129" i="2" s="1"/>
  <c r="AG130" i="2" s="1"/>
  <c r="AG131" i="2" s="1"/>
  <c r="AG132" i="2" s="1"/>
  <c r="AG133" i="2" s="1"/>
  <c r="AG134" i="2" s="1"/>
  <c r="AG135" i="2" s="1"/>
  <c r="AG136" i="2" s="1"/>
  <c r="AG137" i="2" s="1"/>
  <c r="AG138" i="2" s="1"/>
  <c r="AG139" i="2" s="1"/>
  <c r="AG140" i="2" s="1"/>
  <c r="AG141" i="2" s="1"/>
  <c r="AG142" i="2" s="1"/>
  <c r="AG143" i="2" s="1"/>
  <c r="AG144" i="2" s="1"/>
  <c r="AG145" i="2" s="1"/>
  <c r="AG146" i="2" s="1"/>
  <c r="AG147" i="2" s="1"/>
  <c r="AG148" i="2" s="1"/>
  <c r="AG149" i="2" s="1"/>
  <c r="AG150" i="2" s="1"/>
  <c r="AG151" i="2" s="1"/>
  <c r="AG152" i="2" s="1"/>
  <c r="AG153" i="2" s="1"/>
  <c r="AG154" i="2" s="1"/>
  <c r="AG155" i="2" s="1"/>
  <c r="AG156" i="2" s="1"/>
  <c r="AG157" i="2" s="1"/>
  <c r="AG158" i="2" s="1"/>
  <c r="AG159" i="2" s="1"/>
  <c r="AG160" i="2" s="1"/>
  <c r="AG161" i="2" s="1"/>
  <c r="AG162" i="2" s="1"/>
  <c r="AG163" i="2" s="1"/>
  <c r="AG164" i="2" s="1"/>
  <c r="AG165" i="2" s="1"/>
  <c r="AG166" i="2" s="1"/>
  <c r="AG167" i="2" s="1"/>
  <c r="AG168" i="2" s="1"/>
  <c r="AG169" i="2" s="1"/>
  <c r="AG170" i="2" s="1"/>
  <c r="AG171" i="2" s="1"/>
  <c r="AG172" i="2" s="1"/>
  <c r="AG173" i="2" s="1"/>
  <c r="AG174" i="2" s="1"/>
  <c r="AG175" i="2" s="1"/>
  <c r="AG176" i="2" s="1"/>
  <c r="AG177" i="2" s="1"/>
  <c r="AG178" i="2" s="1"/>
  <c r="AG179" i="2" s="1"/>
  <c r="AG180" i="2" s="1"/>
  <c r="AG181" i="2" s="1"/>
  <c r="AG182" i="2" s="1"/>
  <c r="AG183" i="2" s="1"/>
  <c r="AG184" i="2" s="1"/>
  <c r="AG185" i="2" s="1"/>
  <c r="AG186" i="2" s="1"/>
  <c r="AG187" i="2" s="1"/>
  <c r="AG188" i="2" s="1"/>
  <c r="AG189" i="2" s="1"/>
  <c r="AG190" i="2" s="1"/>
  <c r="AG191" i="2" s="1"/>
  <c r="AG192" i="2" s="1"/>
  <c r="AG193" i="2" s="1"/>
  <c r="AG194" i="2" s="1"/>
  <c r="AG195" i="2" s="1"/>
  <c r="AG196" i="2" s="1"/>
  <c r="AG197" i="2" s="1"/>
  <c r="AG198" i="2" s="1"/>
  <c r="AG199" i="2" s="1"/>
  <c r="AG200" i="2" s="1"/>
  <c r="AG201" i="2" s="1"/>
  <c r="AG202" i="2" s="1"/>
  <c r="AG203" i="2" s="1"/>
  <c r="AG204" i="2" s="1"/>
  <c r="AG205" i="2" s="1"/>
  <c r="AG206" i="2" s="1"/>
  <c r="AG207" i="2" s="1"/>
  <c r="AG208" i="2" s="1"/>
  <c r="AG209" i="2" s="1"/>
  <c r="AG210" i="2" s="1"/>
  <c r="AG211" i="2" s="1"/>
  <c r="AG212" i="2" s="1"/>
  <c r="AG213" i="2" s="1"/>
  <c r="AG214" i="2" s="1"/>
  <c r="AG215" i="2" s="1"/>
  <c r="AG216" i="2" s="1"/>
  <c r="AG217" i="2" s="1"/>
  <c r="AG218" i="2" s="1"/>
  <c r="AG219" i="2" s="1"/>
  <c r="AG220" i="2" s="1"/>
  <c r="AG221" i="2" s="1"/>
  <c r="AG222" i="2" s="1"/>
  <c r="AG223" i="2" s="1"/>
  <c r="AG224" i="2" s="1"/>
  <c r="AG225" i="2" s="1"/>
  <c r="AG226" i="2" s="1"/>
  <c r="AG227" i="2" s="1"/>
  <c r="AG228" i="2" s="1"/>
  <c r="AG229" i="2" s="1"/>
  <c r="AG230" i="2" s="1"/>
  <c r="AG231" i="2" s="1"/>
  <c r="AG232" i="2" s="1"/>
  <c r="AG233" i="2" s="1"/>
  <c r="AG234" i="2" s="1"/>
  <c r="AG235" i="2" s="1"/>
  <c r="AG236" i="2" s="1"/>
  <c r="AG237" i="2" s="1"/>
  <c r="AG238" i="2" s="1"/>
  <c r="AG239" i="2" s="1"/>
  <c r="AG240" i="2" s="1"/>
  <c r="AG241" i="2" s="1"/>
  <c r="AG242" i="2" s="1"/>
  <c r="AG243" i="2" s="1"/>
  <c r="AG244" i="2" s="1"/>
  <c r="AG245" i="2" s="1"/>
  <c r="AG246" i="2" s="1"/>
  <c r="AG247" i="2" s="1"/>
  <c r="AG248" i="2" s="1"/>
  <c r="AG249" i="2" s="1"/>
  <c r="AG250" i="2" s="1"/>
  <c r="AG251" i="2" s="1"/>
  <c r="AG252" i="2" s="1"/>
  <c r="AG253" i="2" s="1"/>
  <c r="AG254" i="2" s="1"/>
  <c r="AG255" i="2" s="1"/>
  <c r="AG256" i="2" s="1"/>
  <c r="AG257" i="2" s="1"/>
  <c r="AG258" i="2" s="1"/>
  <c r="AG259" i="2" s="1"/>
  <c r="AG260" i="2" s="1"/>
  <c r="AG261" i="2" s="1"/>
  <c r="AG262" i="2" s="1"/>
  <c r="AG263" i="2" s="1"/>
  <c r="AG264" i="2" s="1"/>
  <c r="AG265" i="2" s="1"/>
  <c r="AG266" i="2" s="1"/>
  <c r="AG267" i="2" s="1"/>
  <c r="AG268" i="2" s="1"/>
  <c r="AG269" i="2" s="1"/>
  <c r="AG270" i="2" s="1"/>
  <c r="AG271" i="2" s="1"/>
  <c r="AG272" i="2" s="1"/>
  <c r="AG273" i="2" s="1"/>
  <c r="AG274" i="2" s="1"/>
  <c r="AG275" i="2" s="1"/>
  <c r="AG276" i="2" s="1"/>
  <c r="AG277" i="2" s="1"/>
  <c r="AG278" i="2" s="1"/>
  <c r="AG279" i="2" s="1"/>
  <c r="AG280" i="2" s="1"/>
  <c r="AG281" i="2" s="1"/>
  <c r="AG282" i="2" s="1"/>
  <c r="AG283" i="2" s="1"/>
  <c r="AG284" i="2" s="1"/>
  <c r="AG285" i="2" s="1"/>
  <c r="AG286" i="2" s="1"/>
  <c r="AG287" i="2" s="1"/>
  <c r="AG288" i="2" s="1"/>
  <c r="AG289" i="2" s="1"/>
  <c r="AG290" i="2" s="1"/>
  <c r="AG291" i="2" s="1"/>
  <c r="AG292" i="2" s="1"/>
  <c r="AG293" i="2" s="1"/>
  <c r="AG294" i="2" s="1"/>
  <c r="AG295" i="2" s="1"/>
  <c r="AG296" i="2" s="1"/>
  <c r="AI22" i="2"/>
  <c r="AI23" i="2" s="1"/>
  <c r="AI24" i="2" s="1"/>
  <c r="AA126" i="1"/>
  <c r="AA122" i="1"/>
  <c r="AA124" i="1"/>
  <c r="AW20" i="2"/>
  <c r="AW21" i="2" s="1"/>
  <c r="AW22" i="2" s="1"/>
  <c r="AU20" i="2"/>
  <c r="AU21" i="2" s="1"/>
  <c r="AU22" i="2" s="1"/>
  <c r="AU23" i="2" s="1"/>
  <c r="AU24" i="2" s="1"/>
  <c r="AU25" i="2" s="1"/>
  <c r="AU26" i="2" s="1"/>
  <c r="AU27" i="2" s="1"/>
  <c r="AU28" i="2" s="1"/>
  <c r="AU29" i="2" s="1"/>
  <c r="AU30" i="2" s="1"/>
  <c r="AU31" i="2" s="1"/>
  <c r="AU32" i="2" s="1"/>
  <c r="AU33" i="2" s="1"/>
  <c r="AU34" i="2" s="1"/>
  <c r="AU35" i="2" s="1"/>
  <c r="AU36" i="2" s="1"/>
  <c r="AU37" i="2" s="1"/>
  <c r="AU38" i="2" s="1"/>
  <c r="AU39" i="2" s="1"/>
  <c r="AU40" i="2" s="1"/>
  <c r="AU41" i="2" s="1"/>
  <c r="AU42" i="2" s="1"/>
  <c r="AU43" i="2" s="1"/>
  <c r="AU44" i="2" s="1"/>
  <c r="AU45" i="2" s="1"/>
  <c r="AU46" i="2" s="1"/>
  <c r="AU47" i="2" s="1"/>
  <c r="AU48" i="2" s="1"/>
  <c r="AU49" i="2" s="1"/>
  <c r="AU50" i="2" s="1"/>
  <c r="AU51" i="2" s="1"/>
  <c r="AU52" i="2" s="1"/>
  <c r="AU53" i="2" s="1"/>
  <c r="AU54" i="2" s="1"/>
  <c r="AU55" i="2" s="1"/>
  <c r="AU56" i="2" s="1"/>
  <c r="AU57" i="2" s="1"/>
  <c r="AU58" i="2" s="1"/>
  <c r="AU59" i="2" s="1"/>
  <c r="AU60" i="2" s="1"/>
  <c r="AU61" i="2" s="1"/>
  <c r="AU62" i="2" s="1"/>
  <c r="AU63" i="2" s="1"/>
  <c r="AU64" i="2" s="1"/>
  <c r="AU65" i="2" s="1"/>
  <c r="AU66" i="2" s="1"/>
  <c r="AU67" i="2" s="1"/>
  <c r="AU68" i="2" s="1"/>
  <c r="AU69" i="2" s="1"/>
  <c r="AU70" i="2" s="1"/>
  <c r="AU71" i="2" s="1"/>
  <c r="AU72" i="2" s="1"/>
  <c r="AU73" i="2" s="1"/>
  <c r="AU74" i="2" s="1"/>
  <c r="AU75" i="2" s="1"/>
  <c r="AU76" i="2" s="1"/>
  <c r="AU77" i="2" s="1"/>
  <c r="AU78" i="2" s="1"/>
  <c r="AU79" i="2" s="1"/>
  <c r="AU80" i="2" s="1"/>
  <c r="AU81" i="2" s="1"/>
  <c r="AU82" i="2" s="1"/>
  <c r="AU83" i="2" s="1"/>
  <c r="AU84" i="2" s="1"/>
  <c r="AU85" i="2" s="1"/>
  <c r="AU86" i="2" s="1"/>
  <c r="AU87" i="2" s="1"/>
  <c r="AU88" i="2" s="1"/>
  <c r="AU89" i="2" s="1"/>
  <c r="AU90" i="2" s="1"/>
  <c r="AU91" i="2" s="1"/>
  <c r="AU92" i="2" s="1"/>
  <c r="AU93" i="2" s="1"/>
  <c r="AU94" i="2" s="1"/>
  <c r="AU95" i="2" s="1"/>
  <c r="AU96" i="2" s="1"/>
  <c r="AU97" i="2" s="1"/>
  <c r="AU98" i="2" s="1"/>
  <c r="AU99" i="2" s="1"/>
  <c r="AU100" i="2" s="1"/>
  <c r="AU101" i="2" s="1"/>
  <c r="AU102" i="2" s="1"/>
  <c r="AU103" i="2" s="1"/>
  <c r="AU104" i="2" s="1"/>
  <c r="AU105" i="2" s="1"/>
  <c r="AU106" i="2" s="1"/>
  <c r="AU107" i="2" s="1"/>
  <c r="AU108" i="2" s="1"/>
  <c r="AU109" i="2" s="1"/>
  <c r="AU110" i="2" s="1"/>
  <c r="AU111" i="2" s="1"/>
  <c r="AU112" i="2" s="1"/>
  <c r="AU113" i="2" s="1"/>
  <c r="AU114" i="2" s="1"/>
  <c r="AU115" i="2" s="1"/>
  <c r="AU116" i="2" s="1"/>
  <c r="AU117" i="2" s="1"/>
  <c r="AU118" i="2" s="1"/>
  <c r="AU119" i="2" s="1"/>
  <c r="AU120" i="2" s="1"/>
  <c r="AU121" i="2" s="1"/>
  <c r="AU122" i="2" s="1"/>
  <c r="AU123" i="2" s="1"/>
  <c r="AU124" i="2" s="1"/>
  <c r="AU125" i="2" s="1"/>
  <c r="AU126" i="2" s="1"/>
  <c r="AU127" i="2" s="1"/>
  <c r="AU128" i="2" s="1"/>
  <c r="AU129" i="2" s="1"/>
  <c r="AU130" i="2" s="1"/>
  <c r="AU131" i="2" s="1"/>
  <c r="AU132" i="2" s="1"/>
  <c r="AU133" i="2" s="1"/>
  <c r="AU134" i="2" s="1"/>
  <c r="AU135" i="2" s="1"/>
  <c r="AU136" i="2" s="1"/>
  <c r="AU137" i="2" s="1"/>
  <c r="AU138" i="2" s="1"/>
  <c r="AU139" i="2" s="1"/>
  <c r="AU140" i="2" s="1"/>
  <c r="AU141" i="2" s="1"/>
  <c r="AU142" i="2" s="1"/>
  <c r="AU143" i="2" s="1"/>
  <c r="AU144" i="2" s="1"/>
  <c r="AU145" i="2" s="1"/>
  <c r="AU146" i="2" s="1"/>
  <c r="AU147" i="2" s="1"/>
  <c r="AU148" i="2" s="1"/>
  <c r="AU149" i="2" s="1"/>
  <c r="AU150" i="2" s="1"/>
  <c r="AU151" i="2" s="1"/>
  <c r="AU152" i="2" s="1"/>
  <c r="AU153" i="2" s="1"/>
  <c r="AU154" i="2" s="1"/>
  <c r="AU155" i="2" s="1"/>
  <c r="AU156" i="2" s="1"/>
  <c r="AU157" i="2" s="1"/>
  <c r="AU158" i="2" s="1"/>
  <c r="AU159" i="2" s="1"/>
  <c r="AU160" i="2" s="1"/>
  <c r="AU161" i="2" s="1"/>
  <c r="AU162" i="2" s="1"/>
  <c r="AU163" i="2" s="1"/>
  <c r="AU164" i="2" s="1"/>
  <c r="AU165" i="2" s="1"/>
  <c r="AU166" i="2" s="1"/>
  <c r="AU167" i="2" s="1"/>
  <c r="AU168" i="2" s="1"/>
  <c r="AU169" i="2" s="1"/>
  <c r="AU170" i="2" s="1"/>
  <c r="AU171" i="2" s="1"/>
  <c r="AU172" i="2" s="1"/>
  <c r="AU173" i="2" s="1"/>
  <c r="AU174" i="2" s="1"/>
  <c r="AU175" i="2" s="1"/>
  <c r="AU176" i="2" s="1"/>
  <c r="AU177" i="2" s="1"/>
  <c r="AU178" i="2" s="1"/>
  <c r="AU179" i="2" s="1"/>
  <c r="AU180" i="2" s="1"/>
  <c r="AU181" i="2" s="1"/>
  <c r="AU182" i="2" s="1"/>
  <c r="AU183" i="2" s="1"/>
  <c r="AU184" i="2" s="1"/>
  <c r="AU185" i="2" s="1"/>
  <c r="AU186" i="2" s="1"/>
  <c r="AU187" i="2" s="1"/>
  <c r="AU188" i="2" s="1"/>
  <c r="AU189" i="2" s="1"/>
  <c r="AU190" i="2" s="1"/>
  <c r="AU191" i="2" s="1"/>
  <c r="AU192" i="2" s="1"/>
  <c r="AU193" i="2" s="1"/>
  <c r="AU194" i="2" s="1"/>
  <c r="AU195" i="2" s="1"/>
  <c r="AU196" i="2" s="1"/>
  <c r="AU197" i="2" s="1"/>
  <c r="AU198" i="2" s="1"/>
  <c r="AU199" i="2" s="1"/>
  <c r="AU200" i="2" s="1"/>
  <c r="AU201" i="2" s="1"/>
  <c r="AU202" i="2" s="1"/>
  <c r="AU203" i="2" s="1"/>
  <c r="AU204" i="2" s="1"/>
  <c r="AU205" i="2" s="1"/>
  <c r="AU206" i="2" s="1"/>
  <c r="AU207" i="2" s="1"/>
  <c r="AU208" i="2" s="1"/>
  <c r="AU209" i="2" s="1"/>
  <c r="AU210" i="2" s="1"/>
  <c r="AU211" i="2" s="1"/>
  <c r="AU212" i="2" s="1"/>
  <c r="AU213" i="2" s="1"/>
  <c r="AU214" i="2" s="1"/>
  <c r="AU215" i="2" s="1"/>
  <c r="AU216" i="2" s="1"/>
  <c r="AU217" i="2" s="1"/>
  <c r="AU218" i="2" s="1"/>
  <c r="AU219" i="2" s="1"/>
  <c r="AU220" i="2" s="1"/>
  <c r="AU221" i="2" s="1"/>
  <c r="AU222" i="2" s="1"/>
  <c r="AU223" i="2" s="1"/>
  <c r="AU224" i="2" s="1"/>
  <c r="AU225" i="2" s="1"/>
  <c r="AU226" i="2" s="1"/>
  <c r="AU227" i="2" s="1"/>
  <c r="AU228" i="2" s="1"/>
  <c r="AU229" i="2" s="1"/>
  <c r="AU230" i="2" s="1"/>
  <c r="AU231" i="2" s="1"/>
  <c r="AU232" i="2" s="1"/>
  <c r="AU233" i="2" s="1"/>
  <c r="AU234" i="2" s="1"/>
  <c r="AU235" i="2" s="1"/>
  <c r="AU236" i="2" s="1"/>
  <c r="AU237" i="2" s="1"/>
  <c r="AU238" i="2" s="1"/>
  <c r="AU239" i="2" s="1"/>
  <c r="AU240" i="2" s="1"/>
  <c r="AU241" i="2" s="1"/>
  <c r="AU242" i="2" s="1"/>
  <c r="AU243" i="2" s="1"/>
  <c r="AU244" i="2" s="1"/>
  <c r="AU245" i="2" s="1"/>
  <c r="AU246" i="2" s="1"/>
  <c r="AU247" i="2" s="1"/>
  <c r="AU248" i="2" s="1"/>
  <c r="AU249" i="2" s="1"/>
  <c r="AU250" i="2" s="1"/>
  <c r="AU251" i="2" s="1"/>
  <c r="AU252" i="2" s="1"/>
  <c r="AU253" i="2" s="1"/>
  <c r="AU254" i="2" s="1"/>
  <c r="AU255" i="2" s="1"/>
  <c r="AU256" i="2" s="1"/>
  <c r="AU257" i="2" s="1"/>
  <c r="AU258" i="2" s="1"/>
  <c r="AU259" i="2" s="1"/>
  <c r="AU260" i="2" s="1"/>
  <c r="AU261" i="2" s="1"/>
  <c r="AU262" i="2" s="1"/>
  <c r="AU263" i="2" s="1"/>
  <c r="AU264" i="2" s="1"/>
  <c r="AU265" i="2" s="1"/>
  <c r="AU266" i="2" s="1"/>
  <c r="AU267" i="2" s="1"/>
  <c r="AU268" i="2" s="1"/>
  <c r="AU269" i="2" s="1"/>
  <c r="AU270" i="2" s="1"/>
  <c r="AU271" i="2" s="1"/>
  <c r="AU272" i="2" s="1"/>
  <c r="AU273" i="2" s="1"/>
  <c r="AU274" i="2" s="1"/>
  <c r="AU275" i="2" s="1"/>
  <c r="AU276" i="2" s="1"/>
  <c r="AU277" i="2" s="1"/>
  <c r="AU278" i="2" s="1"/>
  <c r="AU279" i="2" s="1"/>
  <c r="AU280" i="2" s="1"/>
  <c r="AU281" i="2" s="1"/>
  <c r="AU282" i="2" s="1"/>
  <c r="AU283" i="2" s="1"/>
  <c r="AU284" i="2" s="1"/>
  <c r="AU285" i="2" s="1"/>
  <c r="AU286" i="2" s="1"/>
  <c r="AU287" i="2" s="1"/>
  <c r="AU288" i="2" s="1"/>
  <c r="AU289" i="2" s="1"/>
  <c r="AU290" i="2" s="1"/>
  <c r="AU291" i="2" s="1"/>
  <c r="AU292" i="2" s="1"/>
  <c r="AU293" i="2" s="1"/>
  <c r="AU294" i="2" s="1"/>
  <c r="AU295" i="2" s="1"/>
  <c r="AU296" i="2" s="1"/>
  <c r="AA123" i="1"/>
  <c r="Z124" i="1"/>
  <c r="W120" i="1"/>
  <c r="X126" i="1" s="1"/>
  <c r="AA121" i="1"/>
  <c r="X122" i="1"/>
  <c r="AI127" i="1"/>
  <c r="AK127" i="1"/>
  <c r="M15" i="1"/>
  <c r="AA125" i="1"/>
  <c r="Z126" i="1"/>
  <c r="AK125" i="1"/>
  <c r="AK121" i="1"/>
  <c r="AK120" i="1" s="1"/>
  <c r="Z123" i="1"/>
  <c r="Z125" i="1"/>
  <c r="Z122" i="1"/>
  <c r="X124" i="1"/>
  <c r="E5" i="1"/>
  <c r="K4" i="1"/>
  <c r="J4" i="1" s="1"/>
  <c r="AI125" i="1"/>
  <c r="AI121" i="1"/>
  <c r="AI120" i="1" s="1"/>
  <c r="M16" i="1"/>
  <c r="G17" i="1"/>
  <c r="AI124" i="1"/>
  <c r="Z121" i="1"/>
  <c r="Z120" i="1" s="1"/>
  <c r="Y120" i="1"/>
  <c r="Z127" i="1" s="1"/>
  <c r="AI126" i="1"/>
  <c r="AM125" i="1" l="1"/>
  <c r="AM123" i="1"/>
  <c r="AM122" i="1"/>
  <c r="AM121" i="1"/>
  <c r="AM120" i="1" s="1"/>
  <c r="AM126" i="1"/>
  <c r="AM127" i="1"/>
  <c r="AA120" i="1"/>
  <c r="AB127" i="1" s="1"/>
  <c r="AB122" i="1"/>
  <c r="V31" i="2"/>
  <c r="W31" i="2" s="1"/>
  <c r="U32" i="2"/>
  <c r="CF28" i="2"/>
  <c r="CG27" i="2"/>
  <c r="CH27" i="2" s="1"/>
  <c r="G26" i="2"/>
  <c r="H25" i="2"/>
  <c r="I25" i="2" s="1"/>
  <c r="CN39" i="2"/>
  <c r="CO39" i="2" s="1"/>
  <c r="CM40" i="2"/>
  <c r="AB125" i="1"/>
  <c r="AB124" i="1"/>
  <c r="E6" i="1"/>
  <c r="K5" i="1"/>
  <c r="J5" i="1" s="1"/>
  <c r="G18" i="1"/>
  <c r="M17" i="1"/>
  <c r="X127" i="1"/>
  <c r="X121" i="1"/>
  <c r="X120" i="1" s="1"/>
  <c r="AJ24" i="2"/>
  <c r="AK24" i="2" s="1"/>
  <c r="AI25" i="2"/>
  <c r="H270" i="6"/>
  <c r="E269" i="3"/>
  <c r="F269" i="3" s="1"/>
  <c r="AC87" i="2"/>
  <c r="AD87" i="2" s="1"/>
  <c r="AB88" i="2"/>
  <c r="BL34" i="2"/>
  <c r="BM34" i="2" s="1"/>
  <c r="BK35" i="2"/>
  <c r="DI37" i="2"/>
  <c r="DJ37" i="2" s="1"/>
  <c r="DH38" i="2"/>
  <c r="J56" i="4"/>
  <c r="X125" i="1"/>
  <c r="AQ30" i="2"/>
  <c r="AR30" i="2" s="1"/>
  <c r="AP31" i="2"/>
  <c r="X123" i="1"/>
  <c r="BS39" i="2"/>
  <c r="BT39" i="2" s="1"/>
  <c r="BR40" i="2"/>
  <c r="O35" i="2"/>
  <c r="P35" i="2" s="1"/>
  <c r="N36" i="2"/>
  <c r="DB31" i="2"/>
  <c r="DC31" i="2" s="1"/>
  <c r="DA32" i="2"/>
  <c r="AW23" i="2"/>
  <c r="AX22" i="2"/>
  <c r="AY22" i="2" s="1"/>
  <c r="BD40" i="2"/>
  <c r="BE39" i="2"/>
  <c r="BF39" i="2" s="1"/>
  <c r="CT44" i="2"/>
  <c r="CU43" i="2"/>
  <c r="CV43" i="2" s="1"/>
  <c r="J64" i="4"/>
  <c r="J59" i="4"/>
  <c r="J58" i="4"/>
  <c r="BZ37" i="2"/>
  <c r="CA37" i="2" s="1"/>
  <c r="BY38" i="2"/>
  <c r="H74" i="4"/>
  <c r="H65" i="4"/>
  <c r="H57" i="4"/>
  <c r="H48" i="4"/>
  <c r="H44" i="4"/>
  <c r="H33" i="4"/>
  <c r="H31" i="4"/>
  <c r="H27" i="4"/>
  <c r="H23" i="4"/>
  <c r="H19" i="4"/>
  <c r="H15" i="4"/>
  <c r="H11" i="4"/>
  <c r="H7" i="4"/>
  <c r="H64" i="4"/>
  <c r="H56" i="4"/>
  <c r="H70" i="4"/>
  <c r="H62" i="4"/>
  <c r="H54" i="4"/>
  <c r="H41" i="4"/>
  <c r="H39" i="4"/>
  <c r="H35" i="4"/>
  <c r="H72" i="4"/>
  <c r="H69" i="4"/>
  <c r="H61" i="4"/>
  <c r="H53" i="4"/>
  <c r="H50" i="4"/>
  <c r="H46" i="4"/>
  <c r="P32" i="4"/>
  <c r="H29" i="4"/>
  <c r="H25" i="4"/>
  <c r="H21" i="4"/>
  <c r="H17" i="4"/>
  <c r="H13" i="4"/>
  <c r="H9" i="4"/>
  <c r="H5" i="4"/>
  <c r="H68" i="4"/>
  <c r="H60" i="4"/>
  <c r="H52" i="4"/>
  <c r="H42" i="4"/>
  <c r="H40" i="4"/>
  <c r="H36" i="4"/>
  <c r="H3" i="4"/>
  <c r="H73" i="4"/>
  <c r="H67" i="4"/>
  <c r="H59" i="4"/>
  <c r="H51" i="4"/>
  <c r="H47" i="4"/>
  <c r="H43" i="4"/>
  <c r="H45" i="4"/>
  <c r="H14" i="4"/>
  <c r="H12" i="4"/>
  <c r="H71" i="4"/>
  <c r="H55" i="4"/>
  <c r="H18" i="4"/>
  <c r="H16" i="4"/>
  <c r="H58" i="4"/>
  <c r="H38" i="4"/>
  <c r="H22" i="4"/>
  <c r="H20" i="4"/>
  <c r="H26" i="4"/>
  <c r="H24" i="4"/>
  <c r="H30" i="4"/>
  <c r="H28" i="4"/>
  <c r="H63" i="4"/>
  <c r="H37" i="4"/>
  <c r="H32" i="4"/>
  <c r="H4" i="4"/>
  <c r="H66" i="4"/>
  <c r="H34" i="4"/>
  <c r="H6" i="4"/>
  <c r="H10" i="4"/>
  <c r="H8" i="4"/>
  <c r="H49" i="4"/>
  <c r="AZ22" i="2" l="1"/>
  <c r="AZ23" i="2"/>
  <c r="DK37" i="2"/>
  <c r="DK38" i="2"/>
  <c r="V32" i="2"/>
  <c r="W32" i="2" s="1"/>
  <c r="U33" i="2"/>
  <c r="AQ31" i="2"/>
  <c r="AR31" i="2" s="1"/>
  <c r="AS31" i="2" s="1"/>
  <c r="AP32" i="2"/>
  <c r="BK36" i="2"/>
  <c r="BL35" i="2"/>
  <c r="BM35" i="2" s="1"/>
  <c r="AS30" i="2"/>
  <c r="DD31" i="2"/>
  <c r="AC88" i="2"/>
  <c r="AD88" i="2" s="1"/>
  <c r="AB89" i="2"/>
  <c r="CW43" i="2"/>
  <c r="O36" i="2"/>
  <c r="P36" i="2" s="1"/>
  <c r="N37" i="2"/>
  <c r="AB126" i="1"/>
  <c r="AE87" i="2"/>
  <c r="AE88" i="2"/>
  <c r="J25" i="2"/>
  <c r="J26" i="2"/>
  <c r="AB121" i="1"/>
  <c r="AB120" i="1" s="1"/>
  <c r="CU44" i="2"/>
  <c r="CV44" i="2" s="1"/>
  <c r="CT45" i="2"/>
  <c r="Q35" i="2"/>
  <c r="G19" i="1"/>
  <c r="M18" i="1"/>
  <c r="H26" i="2"/>
  <c r="I26" i="2" s="1"/>
  <c r="G27" i="2"/>
  <c r="CB38" i="2"/>
  <c r="CB37" i="2"/>
  <c r="AL24" i="2"/>
  <c r="DA33" i="2"/>
  <c r="DB32" i="2"/>
  <c r="DC32" i="2" s="1"/>
  <c r="BN34" i="2"/>
  <c r="CN40" i="2"/>
  <c r="CO40" i="2" s="1"/>
  <c r="CM41" i="2"/>
  <c r="CP39" i="2"/>
  <c r="BG39" i="2"/>
  <c r="BR41" i="2"/>
  <c r="BS40" i="2"/>
  <c r="BT40" i="2" s="1"/>
  <c r="AB123" i="1"/>
  <c r="H271" i="6"/>
  <c r="E270" i="3"/>
  <c r="F270" i="3" s="1"/>
  <c r="CI28" i="2"/>
  <c r="CI27" i="2"/>
  <c r="BY39" i="2"/>
  <c r="BZ38" i="2"/>
  <c r="CA38" i="2" s="1"/>
  <c r="BE40" i="2"/>
  <c r="BF40" i="2" s="1"/>
  <c r="BD41" i="2"/>
  <c r="BU39" i="2"/>
  <c r="DI38" i="2"/>
  <c r="DJ38" i="2" s="1"/>
  <c r="DH39" i="2"/>
  <c r="AI26" i="2"/>
  <c r="AJ25" i="2"/>
  <c r="AK25" i="2" s="1"/>
  <c r="E7" i="1"/>
  <c r="K6" i="1"/>
  <c r="J6" i="1" s="1"/>
  <c r="CG28" i="2"/>
  <c r="CH28" i="2" s="1"/>
  <c r="CF29" i="2"/>
  <c r="AX23" i="2"/>
  <c r="AY23" i="2" s="1"/>
  <c r="AW24" i="2"/>
  <c r="X31" i="2"/>
  <c r="X32" i="2"/>
  <c r="H27" i="2" l="1"/>
  <c r="I27" i="2" s="1"/>
  <c r="G28" i="2"/>
  <c r="BG40" i="2"/>
  <c r="CB39" i="2"/>
  <c r="V33" i="2"/>
  <c r="W33" i="2" s="1"/>
  <c r="U34" i="2"/>
  <c r="AX24" i="2"/>
  <c r="AY24" i="2" s="1"/>
  <c r="AW25" i="2"/>
  <c r="Q36" i="2"/>
  <c r="CF30" i="2"/>
  <c r="CG29" i="2"/>
  <c r="CH29" i="2" s="1"/>
  <c r="BZ39" i="2"/>
  <c r="CA39" i="2" s="1"/>
  <c r="BY40" i="2"/>
  <c r="AL25" i="2"/>
  <c r="M19" i="1"/>
  <c r="G20" i="1"/>
  <c r="CU45" i="2"/>
  <c r="CV45" i="2" s="1"/>
  <c r="CW45" i="2" s="1"/>
  <c r="CT46" i="2"/>
  <c r="CN41" i="2"/>
  <c r="CO41" i="2" s="1"/>
  <c r="CM42" i="2"/>
  <c r="BR42" i="2"/>
  <c r="BS41" i="2"/>
  <c r="BT41" i="2" s="1"/>
  <c r="DD32" i="2"/>
  <c r="E8" i="1"/>
  <c r="K7" i="1"/>
  <c r="J7" i="1" s="1"/>
  <c r="BU40" i="2"/>
  <c r="CI29" i="2"/>
  <c r="H272" i="6"/>
  <c r="E271" i="3"/>
  <c r="F271" i="3" s="1"/>
  <c r="CP40" i="2"/>
  <c r="O37" i="2"/>
  <c r="P37" i="2" s="1"/>
  <c r="N38" i="2"/>
  <c r="AB90" i="2"/>
  <c r="AC89" i="2"/>
  <c r="AD89" i="2" s="1"/>
  <c r="BL36" i="2"/>
  <c r="BM36" i="2" s="1"/>
  <c r="BK37" i="2"/>
  <c r="BD42" i="2"/>
  <c r="BE41" i="2"/>
  <c r="BF41" i="2" s="1"/>
  <c r="BN35" i="2"/>
  <c r="DA34" i="2"/>
  <c r="DB33" i="2"/>
  <c r="DC33" i="2" s="1"/>
  <c r="DD33" i="2" s="1"/>
  <c r="CW44" i="2"/>
  <c r="AP33" i="2"/>
  <c r="AQ32" i="2"/>
  <c r="AR32" i="2" s="1"/>
  <c r="AJ26" i="2"/>
  <c r="AK26" i="2" s="1"/>
  <c r="AI27" i="2"/>
  <c r="DI39" i="2"/>
  <c r="DJ39" i="2" s="1"/>
  <c r="DH40" i="2"/>
  <c r="DI40" i="2" l="1"/>
  <c r="DJ40" i="2" s="1"/>
  <c r="DH41" i="2"/>
  <c r="BL37" i="2"/>
  <c r="BM37" i="2" s="1"/>
  <c r="BK38" i="2"/>
  <c r="CG30" i="2"/>
  <c r="CH30" i="2" s="1"/>
  <c r="CF31" i="2"/>
  <c r="BU41" i="2"/>
  <c r="AS32" i="2"/>
  <c r="BS42" i="2"/>
  <c r="BT42" i="2" s="1"/>
  <c r="BR43" i="2"/>
  <c r="AQ33" i="2"/>
  <c r="AR33" i="2" s="1"/>
  <c r="AP34" i="2"/>
  <c r="AZ24" i="2"/>
  <c r="CT47" i="2"/>
  <c r="CU46" i="2"/>
  <c r="CV46" i="2" s="1"/>
  <c r="X33" i="2"/>
  <c r="BG41" i="2"/>
  <c r="H273" i="6"/>
  <c r="E272" i="3"/>
  <c r="F272" i="3" s="1"/>
  <c r="BE42" i="2"/>
  <c r="BF42" i="2" s="1"/>
  <c r="BD43" i="2"/>
  <c r="M20" i="1"/>
  <c r="G21" i="1"/>
  <c r="BZ40" i="2"/>
  <c r="CA40" i="2" s="1"/>
  <c r="BY41" i="2"/>
  <c r="AX25" i="2"/>
  <c r="AY25" i="2" s="1"/>
  <c r="AZ25" i="2" s="1"/>
  <c r="AW26" i="2"/>
  <c r="BU42" i="2"/>
  <c r="AB91" i="2"/>
  <c r="AC90" i="2"/>
  <c r="AD90" i="2" s="1"/>
  <c r="CN42" i="2"/>
  <c r="CO42" i="2" s="1"/>
  <c r="CM43" i="2"/>
  <c r="AS33" i="2"/>
  <c r="DB34" i="2"/>
  <c r="DC34" i="2" s="1"/>
  <c r="DA35" i="2"/>
  <c r="CP41" i="2"/>
  <c r="CP42" i="2"/>
  <c r="E9" i="1"/>
  <c r="K8" i="1"/>
  <c r="J8" i="1" s="1"/>
  <c r="DK39" i="2"/>
  <c r="BN37" i="2"/>
  <c r="O38" i="2"/>
  <c r="P38" i="2" s="1"/>
  <c r="N39" i="2"/>
  <c r="H28" i="2"/>
  <c r="I28" i="2" s="1"/>
  <c r="G29" i="2"/>
  <c r="AJ27" i="2"/>
  <c r="AK27" i="2" s="1"/>
  <c r="AI28" i="2"/>
  <c r="AE89" i="2"/>
  <c r="Q37" i="2"/>
  <c r="AL26" i="2"/>
  <c r="BN36" i="2"/>
  <c r="V34" i="2"/>
  <c r="W34" i="2" s="1"/>
  <c r="U35" i="2"/>
  <c r="J27" i="2"/>
  <c r="CU47" i="2" l="1"/>
  <c r="CV47" i="2" s="1"/>
  <c r="CT48" i="2"/>
  <c r="CG31" i="2"/>
  <c r="CH31" i="2" s="1"/>
  <c r="CF32" i="2"/>
  <c r="O39" i="2"/>
  <c r="P39" i="2" s="1"/>
  <c r="N40" i="2"/>
  <c r="AC91" i="2"/>
  <c r="AD91" i="2" s="1"/>
  <c r="AB92" i="2"/>
  <c r="CW47" i="2"/>
  <c r="AS34" i="2"/>
  <c r="BL38" i="2"/>
  <c r="BM38" i="2" s="1"/>
  <c r="BK39" i="2"/>
  <c r="AL27" i="2"/>
  <c r="Q38" i="2"/>
  <c r="CW46" i="2"/>
  <c r="M21" i="1"/>
  <c r="G22" i="1"/>
  <c r="BS43" i="2"/>
  <c r="BT43" i="2" s="1"/>
  <c r="BR44" i="2"/>
  <c r="CN43" i="2"/>
  <c r="CO43" i="2" s="1"/>
  <c r="CM44" i="2"/>
  <c r="BG42" i="2"/>
  <c r="AZ26" i="2"/>
  <c r="CP43" i="2"/>
  <c r="X35" i="2"/>
  <c r="DH42" i="2"/>
  <c r="DI41" i="2"/>
  <c r="DJ41" i="2" s="1"/>
  <c r="AJ28" i="2"/>
  <c r="AK28" i="2" s="1"/>
  <c r="AI29" i="2"/>
  <c r="CB40" i="2"/>
  <c r="H29" i="2"/>
  <c r="I29" i="2" s="1"/>
  <c r="G30" i="2"/>
  <c r="DA36" i="2"/>
  <c r="DB35" i="2"/>
  <c r="DC35" i="2" s="1"/>
  <c r="V35" i="2"/>
  <c r="W35" i="2" s="1"/>
  <c r="U36" i="2"/>
  <c r="J28" i="2"/>
  <c r="DD34" i="2"/>
  <c r="DD35" i="2"/>
  <c r="H274" i="6"/>
  <c r="E273" i="3"/>
  <c r="F273" i="3" s="1"/>
  <c r="X34" i="2"/>
  <c r="DK40" i="2"/>
  <c r="K9" i="1"/>
  <c r="J9" i="1" s="1"/>
  <c r="E10" i="1"/>
  <c r="BE43" i="2"/>
  <c r="BF43" i="2" s="1"/>
  <c r="BD44" i="2"/>
  <c r="AX26" i="2"/>
  <c r="AY26" i="2" s="1"/>
  <c r="AW27" i="2"/>
  <c r="AE90" i="2"/>
  <c r="BZ41" i="2"/>
  <c r="CA41" i="2" s="1"/>
  <c r="CB41" i="2" s="1"/>
  <c r="BY42" i="2"/>
  <c r="AP35" i="2"/>
  <c r="AQ34" i="2"/>
  <c r="AR34" i="2" s="1"/>
  <c r="CI30" i="2"/>
  <c r="J29" i="2" l="1"/>
  <c r="BG44" i="2"/>
  <c r="BG43" i="2"/>
  <c r="CM45" i="2"/>
  <c r="CN44" i="2"/>
  <c r="CO44" i="2" s="1"/>
  <c r="CG32" i="2"/>
  <c r="CH32" i="2" s="1"/>
  <c r="CF33" i="2"/>
  <c r="AI30" i="2"/>
  <c r="AJ29" i="2"/>
  <c r="AK29" i="2" s="1"/>
  <c r="M22" i="1"/>
  <c r="G23" i="1"/>
  <c r="DK41" i="2"/>
  <c r="CI31" i="2"/>
  <c r="H275" i="6"/>
  <c r="E274" i="3"/>
  <c r="F274" i="3" s="1"/>
  <c r="AQ35" i="2"/>
  <c r="AR35" i="2" s="1"/>
  <c r="AP36" i="2"/>
  <c r="DH43" i="2"/>
  <c r="DI42" i="2"/>
  <c r="DJ42" i="2" s="1"/>
  <c r="AL29" i="2"/>
  <c r="CU48" i="2"/>
  <c r="CV48" i="2" s="1"/>
  <c r="CT49" i="2"/>
  <c r="BY43" i="2"/>
  <c r="BZ42" i="2"/>
  <c r="CA42" i="2" s="1"/>
  <c r="DA37" i="2"/>
  <c r="DB36" i="2"/>
  <c r="DC36" i="2" s="1"/>
  <c r="K10" i="1"/>
  <c r="J10" i="1" s="1"/>
  <c r="E11" i="1"/>
  <c r="V36" i="2"/>
  <c r="W36" i="2" s="1"/>
  <c r="U37" i="2"/>
  <c r="AX27" i="2"/>
  <c r="AY27" i="2" s="1"/>
  <c r="AW28" i="2"/>
  <c r="BU43" i="2"/>
  <c r="BK40" i="2"/>
  <c r="BL39" i="2"/>
  <c r="BM39" i="2" s="1"/>
  <c r="AC92" i="2"/>
  <c r="AD92" i="2" s="1"/>
  <c r="AB93" i="2"/>
  <c r="BS44" i="2"/>
  <c r="BT44" i="2" s="1"/>
  <c r="BR45" i="2"/>
  <c r="Q39" i="2"/>
  <c r="BN38" i="2"/>
  <c r="AE92" i="2"/>
  <c r="AE91" i="2"/>
  <c r="BE44" i="2"/>
  <c r="BF44" i="2" s="1"/>
  <c r="BD45" i="2"/>
  <c r="H30" i="2"/>
  <c r="I30" i="2" s="1"/>
  <c r="G31" i="2"/>
  <c r="AL28" i="2"/>
  <c r="O40" i="2"/>
  <c r="P40" i="2" s="1"/>
  <c r="N41" i="2"/>
  <c r="CN45" i="2" l="1"/>
  <c r="CO45" i="2" s="1"/>
  <c r="CM46" i="2"/>
  <c r="CU49" i="2"/>
  <c r="CV49" i="2" s="1"/>
  <c r="CT50" i="2"/>
  <c r="CB42" i="2"/>
  <c r="AJ30" i="2"/>
  <c r="AK30" i="2" s="1"/>
  <c r="AI31" i="2"/>
  <c r="BD46" i="2"/>
  <c r="BE45" i="2"/>
  <c r="BF45" i="2" s="1"/>
  <c r="BU44" i="2"/>
  <c r="AZ27" i="2"/>
  <c r="CG33" i="2"/>
  <c r="CH33" i="2" s="1"/>
  <c r="CF34" i="2"/>
  <c r="J30" i="2"/>
  <c r="CB43" i="2"/>
  <c r="DI43" i="2"/>
  <c r="DJ43" i="2" s="1"/>
  <c r="DH44" i="2"/>
  <c r="E12" i="1"/>
  <c r="K11" i="1"/>
  <c r="J11" i="1" s="1"/>
  <c r="AS35" i="2"/>
  <c r="BN39" i="2"/>
  <c r="BK41" i="2"/>
  <c r="BL40" i="2"/>
  <c r="BM40" i="2" s="1"/>
  <c r="BS45" i="2"/>
  <c r="BT45" i="2" s="1"/>
  <c r="BR46" i="2"/>
  <c r="AW29" i="2"/>
  <c r="AX28" i="2"/>
  <c r="AY28" i="2" s="1"/>
  <c r="AC93" i="2"/>
  <c r="AD93" i="2" s="1"/>
  <c r="AB94" i="2"/>
  <c r="V37" i="2"/>
  <c r="W37" i="2" s="1"/>
  <c r="U38" i="2"/>
  <c r="DD36" i="2"/>
  <c r="CI33" i="2"/>
  <c r="H31" i="2"/>
  <c r="I31" i="2" s="1"/>
  <c r="G32" i="2"/>
  <c r="X36" i="2"/>
  <c r="DB37" i="2"/>
  <c r="DC37" i="2" s="1"/>
  <c r="DA38" i="2"/>
  <c r="AQ36" i="2"/>
  <c r="AR36" i="2" s="1"/>
  <c r="AP37" i="2"/>
  <c r="CI32" i="2"/>
  <c r="DK42" i="2"/>
  <c r="CP44" i="2"/>
  <c r="CP45" i="2"/>
  <c r="O41" i="2"/>
  <c r="P41" i="2" s="1"/>
  <c r="N42" i="2"/>
  <c r="M23" i="1"/>
  <c r="G24" i="1"/>
  <c r="Q40" i="2"/>
  <c r="BZ43" i="2"/>
  <c r="CA43" i="2" s="1"/>
  <c r="BY44" i="2"/>
  <c r="H276" i="6"/>
  <c r="E275" i="3"/>
  <c r="F275" i="3" s="1"/>
  <c r="CW48" i="2"/>
  <c r="H277" i="6" l="1"/>
  <c r="E276" i="3"/>
  <c r="F276" i="3" s="1"/>
  <c r="J31" i="2"/>
  <c r="Q41" i="2"/>
  <c r="BL41" i="2"/>
  <c r="BM41" i="2" s="1"/>
  <c r="BK42" i="2"/>
  <c r="CF35" i="2"/>
  <c r="CG34" i="2"/>
  <c r="CH34" i="2" s="1"/>
  <c r="AQ37" i="2"/>
  <c r="AR37" i="2" s="1"/>
  <c r="AP38" i="2"/>
  <c r="DI44" i="2"/>
  <c r="DJ44" i="2" s="1"/>
  <c r="DH45" i="2"/>
  <c r="AJ31" i="2"/>
  <c r="AK31" i="2" s="1"/>
  <c r="AI32" i="2"/>
  <c r="BN40" i="2"/>
  <c r="CU50" i="2"/>
  <c r="CV50" i="2" s="1"/>
  <c r="CT51" i="2"/>
  <c r="DD37" i="2"/>
  <c r="DK43" i="2"/>
  <c r="AL30" i="2"/>
  <c r="BU45" i="2"/>
  <c r="AE93" i="2"/>
  <c r="AE94" i="2"/>
  <c r="E13" i="1"/>
  <c r="K12" i="1"/>
  <c r="J12" i="1" s="1"/>
  <c r="M24" i="1"/>
  <c r="G25" i="1"/>
  <c r="DB38" i="2"/>
  <c r="DC38" i="2" s="1"/>
  <c r="DA39" i="2"/>
  <c r="H32" i="2"/>
  <c r="I32" i="2" s="1"/>
  <c r="G33" i="2"/>
  <c r="AW30" i="2"/>
  <c r="AX29" i="2"/>
  <c r="AY29" i="2" s="1"/>
  <c r="AS36" i="2"/>
  <c r="BS46" i="2"/>
  <c r="BT46" i="2" s="1"/>
  <c r="BR47" i="2"/>
  <c r="V38" i="2"/>
  <c r="W38" i="2" s="1"/>
  <c r="U39" i="2"/>
  <c r="BY45" i="2"/>
  <c r="BZ44" i="2"/>
  <c r="CA44" i="2" s="1"/>
  <c r="X37" i="2"/>
  <c r="BG45" i="2"/>
  <c r="CW49" i="2"/>
  <c r="O42" i="2"/>
  <c r="P42" i="2" s="1"/>
  <c r="N43" i="2"/>
  <c r="AB95" i="2"/>
  <c r="AC94" i="2"/>
  <c r="AD94" i="2" s="1"/>
  <c r="AZ28" i="2"/>
  <c r="BE46" i="2"/>
  <c r="BF46" i="2" s="1"/>
  <c r="BD47" i="2"/>
  <c r="CN46" i="2"/>
  <c r="CO46" i="2" s="1"/>
  <c r="CM47" i="2"/>
  <c r="BG47" i="2" l="1"/>
  <c r="J32" i="2"/>
  <c r="DK44" i="2"/>
  <c r="BU46" i="2"/>
  <c r="CI34" i="2"/>
  <c r="DD38" i="2"/>
  <c r="CG35" i="2"/>
  <c r="CH35" i="2" s="1"/>
  <c r="CI35" i="2" s="1"/>
  <c r="CF36" i="2"/>
  <c r="CB44" i="2"/>
  <c r="AL31" i="2"/>
  <c r="AQ38" i="2"/>
  <c r="AR38" i="2" s="1"/>
  <c r="AP39" i="2"/>
  <c r="BL42" i="2"/>
  <c r="BM42" i="2" s="1"/>
  <c r="BK43" i="2"/>
  <c r="H278" i="6"/>
  <c r="E277" i="3"/>
  <c r="F277" i="3" s="1"/>
  <c r="DB39" i="2"/>
  <c r="DC39" i="2" s="1"/>
  <c r="DA40" i="2"/>
  <c r="BU47" i="2"/>
  <c r="CN47" i="2"/>
  <c r="CO47" i="2" s="1"/>
  <c r="CM48" i="2"/>
  <c r="AJ32" i="2"/>
  <c r="AK32" i="2" s="1"/>
  <c r="AI33" i="2"/>
  <c r="AC95" i="2"/>
  <c r="AD95" i="2" s="1"/>
  <c r="AB96" i="2"/>
  <c r="AE95" i="2"/>
  <c r="BE47" i="2"/>
  <c r="BF47" i="2" s="1"/>
  <c r="BD48" i="2"/>
  <c r="BZ45" i="2"/>
  <c r="CA45" i="2" s="1"/>
  <c r="BY46" i="2"/>
  <c r="CP46" i="2"/>
  <c r="AS37" i="2"/>
  <c r="BN41" i="2"/>
  <c r="AZ29" i="2"/>
  <c r="E14" i="1"/>
  <c r="K13" i="1"/>
  <c r="J13" i="1" s="1"/>
  <c r="O14" i="1"/>
  <c r="O15" i="1" s="1"/>
  <c r="BG46" i="2"/>
  <c r="O43" i="2"/>
  <c r="P43" i="2" s="1"/>
  <c r="N44" i="2"/>
  <c r="V39" i="2"/>
  <c r="W39" i="2" s="1"/>
  <c r="U40" i="2"/>
  <c r="G26" i="1"/>
  <c r="M25" i="1"/>
  <c r="Q42" i="2"/>
  <c r="X38" i="2"/>
  <c r="AW31" i="2"/>
  <c r="AX30" i="2"/>
  <c r="AY30" i="2" s="1"/>
  <c r="CT52" i="2"/>
  <c r="CU51" i="2"/>
  <c r="CV51" i="2" s="1"/>
  <c r="BS47" i="2"/>
  <c r="BT47" i="2" s="1"/>
  <c r="BR48" i="2"/>
  <c r="H33" i="2"/>
  <c r="I33" i="2" s="1"/>
  <c r="J33" i="2" s="1"/>
  <c r="G34" i="2"/>
  <c r="CW50" i="2"/>
  <c r="DH46" i="2"/>
  <c r="DI45" i="2"/>
  <c r="DJ45" i="2" s="1"/>
  <c r="G27" i="1" l="1"/>
  <c r="M26" i="1"/>
  <c r="CB45" i="2"/>
  <c r="BD49" i="2"/>
  <c r="BE48" i="2"/>
  <c r="BF48" i="2" s="1"/>
  <c r="O44" i="2"/>
  <c r="P44" i="2" s="1"/>
  <c r="N45" i="2"/>
  <c r="CP47" i="2"/>
  <c r="H279" i="6"/>
  <c r="E278" i="3"/>
  <c r="F278" i="3" s="1"/>
  <c r="AI34" i="2"/>
  <c r="AJ33" i="2"/>
  <c r="AK33" i="2" s="1"/>
  <c r="H34" i="2"/>
  <c r="I34" i="2" s="1"/>
  <c r="G35" i="2"/>
  <c r="BS48" i="2"/>
  <c r="BT48" i="2" s="1"/>
  <c r="BR49" i="2"/>
  <c r="Q43" i="2"/>
  <c r="AC96" i="2"/>
  <c r="AD96" i="2" s="1"/>
  <c r="AB97" i="2"/>
  <c r="BL43" i="2"/>
  <c r="BM43" i="2" s="1"/>
  <c r="BK44" i="2"/>
  <c r="BY47" i="2"/>
  <c r="BZ46" i="2"/>
  <c r="CA46" i="2" s="1"/>
  <c r="AL32" i="2"/>
  <c r="DI46" i="2"/>
  <c r="DJ46" i="2" s="1"/>
  <c r="DH47" i="2"/>
  <c r="CN48" i="2"/>
  <c r="CO48" i="2" s="1"/>
  <c r="CM49" i="2"/>
  <c r="AX31" i="2"/>
  <c r="AY31" i="2" s="1"/>
  <c r="AW32" i="2"/>
  <c r="BN42" i="2"/>
  <c r="AZ30" i="2"/>
  <c r="AQ39" i="2"/>
  <c r="AR39" i="2" s="1"/>
  <c r="AP40" i="2"/>
  <c r="P15" i="1"/>
  <c r="O16" i="1"/>
  <c r="CW51" i="2"/>
  <c r="V40" i="2"/>
  <c r="W40" i="2" s="1"/>
  <c r="U41" i="2"/>
  <c r="DB40" i="2"/>
  <c r="DC40" i="2" s="1"/>
  <c r="DA41" i="2"/>
  <c r="DK45" i="2"/>
  <c r="CT53" i="2"/>
  <c r="CU52" i="2"/>
  <c r="CV52" i="2" s="1"/>
  <c r="CW52" i="2" s="1"/>
  <c r="X39" i="2"/>
  <c r="K14" i="1"/>
  <c r="J14" i="1" s="1"/>
  <c r="E15" i="1"/>
  <c r="N14" i="1"/>
  <c r="AS38" i="2"/>
  <c r="DD39" i="2"/>
  <c r="CG36" i="2"/>
  <c r="CH36" i="2" s="1"/>
  <c r="CF37" i="2"/>
  <c r="BN43" i="2" l="1"/>
  <c r="CI36" i="2"/>
  <c r="DB41" i="2"/>
  <c r="DC41" i="2" s="1"/>
  <c r="DA42" i="2"/>
  <c r="O17" i="1"/>
  <c r="P16" i="1"/>
  <c r="Q16" i="1" s="1"/>
  <c r="CN49" i="2"/>
  <c r="CO49" i="2" s="1"/>
  <c r="CM50" i="2"/>
  <c r="AB98" i="2"/>
  <c r="AC97" i="2"/>
  <c r="AD97" i="2" s="1"/>
  <c r="AL33" i="2"/>
  <c r="N46" i="2"/>
  <c r="O45" i="2"/>
  <c r="P45" i="2" s="1"/>
  <c r="J34" i="2"/>
  <c r="CG37" i="2"/>
  <c r="CH37" i="2" s="1"/>
  <c r="CF38" i="2"/>
  <c r="DD40" i="2"/>
  <c r="CP48" i="2"/>
  <c r="CB46" i="2"/>
  <c r="AE96" i="2"/>
  <c r="AI35" i="2"/>
  <c r="AJ34" i="2"/>
  <c r="AK34" i="2" s="1"/>
  <c r="Q44" i="2"/>
  <c r="BL44" i="2"/>
  <c r="BM44" i="2" s="1"/>
  <c r="BK45" i="2"/>
  <c r="V41" i="2"/>
  <c r="W41" i="2" s="1"/>
  <c r="U42" i="2"/>
  <c r="AQ40" i="2"/>
  <c r="AR40" i="2" s="1"/>
  <c r="AP41" i="2"/>
  <c r="BZ47" i="2"/>
  <c r="CA47" i="2" s="1"/>
  <c r="BY48" i="2"/>
  <c r="BS49" i="2"/>
  <c r="BT49" i="2" s="1"/>
  <c r="BR50" i="2"/>
  <c r="M27" i="1"/>
  <c r="G28" i="1"/>
  <c r="X40" i="2"/>
  <c r="BU48" i="2"/>
  <c r="K15" i="1"/>
  <c r="J15" i="1" s="1"/>
  <c r="E16" i="1"/>
  <c r="N15" i="1"/>
  <c r="AX32" i="2"/>
  <c r="AY32" i="2" s="1"/>
  <c r="AZ32" i="2" s="1"/>
  <c r="AW33" i="2"/>
  <c r="DK46" i="2"/>
  <c r="BU49" i="2"/>
  <c r="H280" i="6"/>
  <c r="E279" i="3"/>
  <c r="F279" i="3" s="1"/>
  <c r="BG48" i="2"/>
  <c r="CU53" i="2"/>
  <c r="CV53" i="2" s="1"/>
  <c r="CT54" i="2"/>
  <c r="AS39" i="2"/>
  <c r="DI47" i="2"/>
  <c r="DJ47" i="2" s="1"/>
  <c r="DH48" i="2"/>
  <c r="AZ31" i="2"/>
  <c r="H35" i="2"/>
  <c r="I35" i="2" s="1"/>
  <c r="G36" i="2"/>
  <c r="BE49" i="2"/>
  <c r="BF49" i="2" s="1"/>
  <c r="BD50" i="2"/>
  <c r="DK47" i="2" l="1"/>
  <c r="CB47" i="2"/>
  <c r="AJ35" i="2"/>
  <c r="AK35" i="2" s="1"/>
  <c r="AI36" i="2"/>
  <c r="CG38" i="2"/>
  <c r="CH38" i="2" s="1"/>
  <c r="CF39" i="2"/>
  <c r="N47" i="2"/>
  <c r="O46" i="2"/>
  <c r="P46" i="2" s="1"/>
  <c r="Q46" i="2" s="1"/>
  <c r="R16" i="1"/>
  <c r="Q45" i="2"/>
  <c r="BN44" i="2"/>
  <c r="AW34" i="2"/>
  <c r="AX33" i="2"/>
  <c r="AY33" i="2" s="1"/>
  <c r="BL45" i="2"/>
  <c r="BM45" i="2" s="1"/>
  <c r="BK46" i="2"/>
  <c r="CI37" i="2"/>
  <c r="CI38" i="2"/>
  <c r="P17" i="1"/>
  <c r="Q17" i="1" s="1"/>
  <c r="O18" i="1"/>
  <c r="J35" i="2"/>
  <c r="M28" i="1"/>
  <c r="G29" i="1"/>
  <c r="H281" i="6"/>
  <c r="E280" i="3"/>
  <c r="F280" i="3" s="1"/>
  <c r="AS40" i="2"/>
  <c r="DA43" i="2"/>
  <c r="DB42" i="2"/>
  <c r="DC42" i="2" s="1"/>
  <c r="DI48" i="2"/>
  <c r="DJ48" i="2" s="1"/>
  <c r="DH49" i="2"/>
  <c r="BZ48" i="2"/>
  <c r="CA48" i="2" s="1"/>
  <c r="BY49" i="2"/>
  <c r="BD51" i="2"/>
  <c r="BE50" i="2"/>
  <c r="BF50" i="2" s="1"/>
  <c r="CT55" i="2"/>
  <c r="CU54" i="2"/>
  <c r="CV54" i="2" s="1"/>
  <c r="J36" i="2"/>
  <c r="AE97" i="2"/>
  <c r="BG49" i="2"/>
  <c r="CW53" i="2"/>
  <c r="V42" i="2"/>
  <c r="W42" i="2" s="1"/>
  <c r="U43" i="2"/>
  <c r="AB99" i="2"/>
  <c r="AC98" i="2"/>
  <c r="AD98" i="2" s="1"/>
  <c r="DD41" i="2"/>
  <c r="AL34" i="2"/>
  <c r="AQ41" i="2"/>
  <c r="AR41" i="2" s="1"/>
  <c r="AS41" i="2" s="1"/>
  <c r="AP42" i="2"/>
  <c r="X41" i="2"/>
  <c r="BS50" i="2"/>
  <c r="BT50" i="2" s="1"/>
  <c r="BR51" i="2"/>
  <c r="CN50" i="2"/>
  <c r="CO50" i="2" s="1"/>
  <c r="CM51" i="2"/>
  <c r="H36" i="2"/>
  <c r="I36" i="2" s="1"/>
  <c r="G37" i="2"/>
  <c r="E17" i="1"/>
  <c r="K16" i="1"/>
  <c r="N16" i="1"/>
  <c r="CP49" i="2"/>
  <c r="AX34" i="2" l="1"/>
  <c r="AY34" i="2" s="1"/>
  <c r="AW35" i="2"/>
  <c r="R18" i="1"/>
  <c r="AL35" i="2"/>
  <c r="BU50" i="2"/>
  <c r="CW54" i="2"/>
  <c r="DD42" i="2"/>
  <c r="DK48" i="2"/>
  <c r="AJ36" i="2"/>
  <c r="AK36" i="2" s="1"/>
  <c r="AI37" i="2"/>
  <c r="M29" i="1"/>
  <c r="G30" i="1"/>
  <c r="AQ42" i="2"/>
  <c r="AR42" i="2" s="1"/>
  <c r="AP43" i="2"/>
  <c r="V43" i="2"/>
  <c r="W43" i="2" s="1"/>
  <c r="U44" i="2"/>
  <c r="CU55" i="2"/>
  <c r="CV55" i="2" s="1"/>
  <c r="CT56" i="2"/>
  <c r="DB43" i="2"/>
  <c r="DC43" i="2" s="1"/>
  <c r="DA44" i="2"/>
  <c r="BS51" i="2"/>
  <c r="BT51" i="2" s="1"/>
  <c r="BR52" i="2"/>
  <c r="K17" i="1"/>
  <c r="J17" i="1" s="1"/>
  <c r="E18" i="1"/>
  <c r="N17" i="1"/>
  <c r="BE51" i="2"/>
  <c r="BF51" i="2" s="1"/>
  <c r="BD52" i="2"/>
  <c r="BN45" i="2"/>
  <c r="O47" i="2"/>
  <c r="P47" i="2" s="1"/>
  <c r="N48" i="2"/>
  <c r="H37" i="2"/>
  <c r="I37" i="2" s="1"/>
  <c r="G38" i="2"/>
  <c r="BL46" i="2"/>
  <c r="BM46" i="2" s="1"/>
  <c r="BK47" i="2"/>
  <c r="CN51" i="2"/>
  <c r="CO51" i="2" s="1"/>
  <c r="CM52" i="2"/>
  <c r="AE98" i="2"/>
  <c r="AE99" i="2"/>
  <c r="BZ49" i="2"/>
  <c r="CA49" i="2" s="1"/>
  <c r="BY50" i="2"/>
  <c r="R17" i="1"/>
  <c r="S17" i="1" s="1"/>
  <c r="CG39" i="2"/>
  <c r="CH39" i="2" s="1"/>
  <c r="CF40" i="2"/>
  <c r="DI49" i="2"/>
  <c r="DJ49" i="2" s="1"/>
  <c r="DH50" i="2"/>
  <c r="X42" i="2"/>
  <c r="BG50" i="2"/>
  <c r="J16" i="1"/>
  <c r="CP51" i="2"/>
  <c r="CP50" i="2"/>
  <c r="AC99" i="2"/>
  <c r="AD99" i="2" s="1"/>
  <c r="AB100" i="2"/>
  <c r="CB48" i="2"/>
  <c r="O19" i="1"/>
  <c r="P18" i="1"/>
  <c r="Q18" i="1" s="1"/>
  <c r="AZ33" i="2"/>
  <c r="AZ34" i="2"/>
  <c r="CI39" i="2"/>
  <c r="H282" i="6"/>
  <c r="E281" i="3"/>
  <c r="F281" i="3" s="1"/>
  <c r="S18" i="1" l="1"/>
  <c r="H38" i="2"/>
  <c r="I38" i="2" s="1"/>
  <c r="G39" i="2"/>
  <c r="CU56" i="2"/>
  <c r="CV56" i="2" s="1"/>
  <c r="CT57" i="2"/>
  <c r="BU51" i="2"/>
  <c r="AX35" i="2"/>
  <c r="AY35" i="2" s="1"/>
  <c r="AW36" i="2"/>
  <c r="J38" i="2"/>
  <c r="J37" i="2"/>
  <c r="AJ37" i="2"/>
  <c r="AK37" i="2" s="1"/>
  <c r="AI38" i="2"/>
  <c r="BG51" i="2"/>
  <c r="V44" i="2"/>
  <c r="W44" i="2" s="1"/>
  <c r="U45" i="2"/>
  <c r="AL36" i="2"/>
  <c r="CW55" i="2"/>
  <c r="DK49" i="2"/>
  <c r="BN47" i="2"/>
  <c r="BN46" i="2"/>
  <c r="H283" i="6"/>
  <c r="E282" i="3"/>
  <c r="F282" i="3" s="1"/>
  <c r="P19" i="1"/>
  <c r="Q19" i="1" s="1"/>
  <c r="O20" i="1"/>
  <c r="O48" i="2"/>
  <c r="P48" i="2" s="1"/>
  <c r="N49" i="2"/>
  <c r="BS52" i="2"/>
  <c r="BT52" i="2" s="1"/>
  <c r="BR53" i="2"/>
  <c r="X43" i="2"/>
  <c r="BE52" i="2"/>
  <c r="BF52" i="2" s="1"/>
  <c r="BD53" i="2"/>
  <c r="CM53" i="2"/>
  <c r="CN52" i="2"/>
  <c r="CO52" i="2" s="1"/>
  <c r="Q47" i="2"/>
  <c r="AQ43" i="2"/>
  <c r="AR43" i="2" s="1"/>
  <c r="AP44" i="2"/>
  <c r="DD43" i="2"/>
  <c r="E19" i="1"/>
  <c r="K18" i="1"/>
  <c r="N18" i="1"/>
  <c r="AC100" i="2"/>
  <c r="AD100" i="2" s="1"/>
  <c r="AB101" i="2"/>
  <c r="BY51" i="2"/>
  <c r="BZ50" i="2"/>
  <c r="CA50" i="2" s="1"/>
  <c r="AS42" i="2"/>
  <c r="CF41" i="2"/>
  <c r="CG40" i="2"/>
  <c r="CH40" i="2" s="1"/>
  <c r="DI50" i="2"/>
  <c r="DJ50" i="2" s="1"/>
  <c r="DH51" i="2"/>
  <c r="CB49" i="2"/>
  <c r="BL47" i="2"/>
  <c r="BM47" i="2" s="1"/>
  <c r="BK48" i="2"/>
  <c r="DB44" i="2"/>
  <c r="DC44" i="2" s="1"/>
  <c r="DD44" i="2" s="1"/>
  <c r="DA45" i="2"/>
  <c r="M30" i="1"/>
  <c r="G31" i="1"/>
  <c r="CB51" i="2" l="1"/>
  <c r="DH52" i="2"/>
  <c r="DI51" i="2"/>
  <c r="DJ51" i="2" s="1"/>
  <c r="BZ51" i="2"/>
  <c r="CA51" i="2" s="1"/>
  <c r="BY52" i="2"/>
  <c r="AJ38" i="2"/>
  <c r="AK38" i="2" s="1"/>
  <c r="AI39" i="2"/>
  <c r="DB45" i="2"/>
  <c r="DC45" i="2" s="1"/>
  <c r="DA46" i="2"/>
  <c r="AC101" i="2"/>
  <c r="AD101" i="2" s="1"/>
  <c r="AB102" i="2"/>
  <c r="P20" i="1"/>
  <c r="Q20" i="1" s="1"/>
  <c r="O21" i="1"/>
  <c r="AL37" i="2"/>
  <c r="AX36" i="2"/>
  <c r="AY36" i="2" s="1"/>
  <c r="AW37" i="2"/>
  <c r="R20" i="1"/>
  <c r="BU52" i="2"/>
  <c r="V45" i="2"/>
  <c r="W45" i="2" s="1"/>
  <c r="U46" i="2"/>
  <c r="CG41" i="2"/>
  <c r="CH41" i="2" s="1"/>
  <c r="CF42" i="2"/>
  <c r="J18" i="1"/>
  <c r="AQ44" i="2"/>
  <c r="AR44" i="2" s="1"/>
  <c r="AP45" i="2"/>
  <c r="CN53" i="2"/>
  <c r="CO53" i="2" s="1"/>
  <c r="CM54" i="2"/>
  <c r="O49" i="2"/>
  <c r="P49" i="2" s="1"/>
  <c r="N50" i="2"/>
  <c r="H284" i="6"/>
  <c r="E283" i="3"/>
  <c r="F283" i="3" s="1"/>
  <c r="DK50" i="2"/>
  <c r="X44" i="2"/>
  <c r="BS53" i="2"/>
  <c r="BT53" i="2" s="1"/>
  <c r="BR54" i="2"/>
  <c r="CI40" i="2"/>
  <c r="CP52" i="2"/>
  <c r="BK49" i="2"/>
  <c r="BL48" i="2"/>
  <c r="BM48" i="2" s="1"/>
  <c r="CP53" i="2"/>
  <c r="K19" i="1"/>
  <c r="J19" i="1" s="1"/>
  <c r="E20" i="1"/>
  <c r="N19" i="1"/>
  <c r="AS43" i="2"/>
  <c r="BE53" i="2"/>
  <c r="BF53" i="2" s="1"/>
  <c r="BD54" i="2"/>
  <c r="Q48" i="2"/>
  <c r="CU57" i="2"/>
  <c r="CV57" i="2" s="1"/>
  <c r="CT58" i="2"/>
  <c r="CB50" i="2"/>
  <c r="AE101" i="2"/>
  <c r="AE100" i="2"/>
  <c r="AZ35" i="2"/>
  <c r="M31" i="1"/>
  <c r="G32" i="1"/>
  <c r="DD45" i="2"/>
  <c r="BG52" i="2"/>
  <c r="CW57" i="2"/>
  <c r="CW56" i="2"/>
  <c r="H39" i="2"/>
  <c r="I39" i="2" s="1"/>
  <c r="G40" i="2"/>
  <c r="R19" i="1"/>
  <c r="S19" i="1" s="1"/>
  <c r="AJ39" i="2" l="1"/>
  <c r="AK39" i="2" s="1"/>
  <c r="AL39" i="2" s="1"/>
  <c r="AI40" i="2"/>
  <c r="BS54" i="2"/>
  <c r="BT54" i="2" s="1"/>
  <c r="BR55" i="2"/>
  <c r="H285" i="6"/>
  <c r="E284" i="3"/>
  <c r="F284" i="3" s="1"/>
  <c r="CU58" i="2"/>
  <c r="CV58" i="2" s="1"/>
  <c r="CT59" i="2"/>
  <c r="AS45" i="2"/>
  <c r="O50" i="2"/>
  <c r="P50" i="2" s="1"/>
  <c r="N51" i="2"/>
  <c r="CF43" i="2"/>
  <c r="CG42" i="2"/>
  <c r="CH42" i="2" s="1"/>
  <c r="AX37" i="2"/>
  <c r="AY37" i="2" s="1"/>
  <c r="AW38" i="2"/>
  <c r="AC102" i="2"/>
  <c r="AD102" i="2" s="1"/>
  <c r="AB103" i="2"/>
  <c r="E21" i="1"/>
  <c r="K20" i="1"/>
  <c r="N20" i="1"/>
  <c r="CW58" i="2"/>
  <c r="Q49" i="2"/>
  <c r="Q50" i="2"/>
  <c r="CI41" i="2"/>
  <c r="AZ36" i="2"/>
  <c r="AS44" i="2"/>
  <c r="H40" i="2"/>
  <c r="I40" i="2" s="1"/>
  <c r="G41" i="2"/>
  <c r="J39" i="2"/>
  <c r="BN48" i="2"/>
  <c r="CM55" i="2"/>
  <c r="CN54" i="2"/>
  <c r="CO54" i="2" s="1"/>
  <c r="AL38" i="2"/>
  <c r="BY53" i="2"/>
  <c r="BZ52" i="2"/>
  <c r="CA52" i="2" s="1"/>
  <c r="O22" i="1"/>
  <c r="P21" i="1"/>
  <c r="Q21" i="1" s="1"/>
  <c r="BE54" i="2"/>
  <c r="BF54" i="2" s="1"/>
  <c r="BD55" i="2"/>
  <c r="S20" i="1"/>
  <c r="BL49" i="2"/>
  <c r="BM49" i="2" s="1"/>
  <c r="BK50" i="2"/>
  <c r="V46" i="2"/>
  <c r="W46" i="2" s="1"/>
  <c r="U47" i="2"/>
  <c r="DB46" i="2"/>
  <c r="DC46" i="2" s="1"/>
  <c r="DA47" i="2"/>
  <c r="DI52" i="2"/>
  <c r="DJ52" i="2" s="1"/>
  <c r="DH53" i="2"/>
  <c r="BU53" i="2"/>
  <c r="BG53" i="2"/>
  <c r="M32" i="1"/>
  <c r="G33" i="1"/>
  <c r="BG54" i="2"/>
  <c r="AP46" i="2"/>
  <c r="AQ45" i="2"/>
  <c r="AR45" i="2" s="1"/>
  <c r="X45" i="2"/>
  <c r="DK51" i="2"/>
  <c r="AP47" i="2" l="1"/>
  <c r="AQ46" i="2"/>
  <c r="AR46" i="2" s="1"/>
  <c r="X46" i="2"/>
  <c r="CI43" i="2"/>
  <c r="H286" i="6"/>
  <c r="E285" i="3"/>
  <c r="F285" i="3" s="1"/>
  <c r="DK52" i="2"/>
  <c r="CB52" i="2"/>
  <c r="CG43" i="2"/>
  <c r="CH43" i="2" s="1"/>
  <c r="CF44" i="2"/>
  <c r="BR56" i="2"/>
  <c r="BS55" i="2"/>
  <c r="BT55" i="2" s="1"/>
  <c r="DH54" i="2"/>
  <c r="DI53" i="2"/>
  <c r="DJ53" i="2" s="1"/>
  <c r="J20" i="1"/>
  <c r="O51" i="2"/>
  <c r="P51" i="2" s="1"/>
  <c r="N52" i="2"/>
  <c r="BU54" i="2"/>
  <c r="BN49" i="2"/>
  <c r="K21" i="1"/>
  <c r="J21" i="1" s="1"/>
  <c r="E22" i="1"/>
  <c r="N21" i="1"/>
  <c r="AJ40" i="2"/>
  <c r="AK40" i="2" s="1"/>
  <c r="AI41" i="2"/>
  <c r="R21" i="1"/>
  <c r="S21" i="1" s="1"/>
  <c r="R22" i="1"/>
  <c r="P22" i="1"/>
  <c r="Q22" i="1" s="1"/>
  <c r="O23" i="1"/>
  <c r="BZ53" i="2"/>
  <c r="CA53" i="2" s="1"/>
  <c r="BY54" i="2"/>
  <c r="H41" i="2"/>
  <c r="I41" i="2" s="1"/>
  <c r="G42" i="2"/>
  <c r="AC103" i="2"/>
  <c r="AD103" i="2" s="1"/>
  <c r="AB104" i="2"/>
  <c r="DB47" i="2"/>
  <c r="DC47" i="2" s="1"/>
  <c r="DA48" i="2"/>
  <c r="BE55" i="2"/>
  <c r="BF55" i="2" s="1"/>
  <c r="BD56" i="2"/>
  <c r="CN55" i="2"/>
  <c r="CO55" i="2" s="1"/>
  <c r="CM56" i="2"/>
  <c r="J40" i="2"/>
  <c r="AE102" i="2"/>
  <c r="AE103" i="2"/>
  <c r="CU59" i="2"/>
  <c r="CV59" i="2" s="1"/>
  <c r="CT60" i="2"/>
  <c r="AZ37" i="2"/>
  <c r="BK51" i="2"/>
  <c r="BL50" i="2"/>
  <c r="BM50" i="2" s="1"/>
  <c r="CP54" i="2"/>
  <c r="CI42" i="2"/>
  <c r="G34" i="1"/>
  <c r="M33" i="1"/>
  <c r="DD46" i="2"/>
  <c r="BG55" i="2"/>
  <c r="AX38" i="2"/>
  <c r="AY38" i="2" s="1"/>
  <c r="AW39" i="2"/>
  <c r="V47" i="2"/>
  <c r="W47" i="2" s="1"/>
  <c r="U48" i="2"/>
  <c r="S22" i="1" l="1"/>
  <c r="BN50" i="2"/>
  <c r="DD47" i="2"/>
  <c r="BZ54" i="2"/>
  <c r="CA54" i="2" s="1"/>
  <c r="BY55" i="2"/>
  <c r="O52" i="2"/>
  <c r="P52" i="2" s="1"/>
  <c r="N53" i="2"/>
  <c r="CG44" i="2"/>
  <c r="CH44" i="2" s="1"/>
  <c r="CF45" i="2"/>
  <c r="BK52" i="2"/>
  <c r="BL51" i="2"/>
  <c r="BM51" i="2" s="1"/>
  <c r="CU60" i="2"/>
  <c r="CV60" i="2" s="1"/>
  <c r="CT61" i="2"/>
  <c r="CB53" i="2"/>
  <c r="AJ41" i="2"/>
  <c r="AK41" i="2" s="1"/>
  <c r="AI42" i="2"/>
  <c r="Q51" i="2"/>
  <c r="K22" i="1"/>
  <c r="E23" i="1"/>
  <c r="N22" i="1"/>
  <c r="AZ38" i="2"/>
  <c r="CN56" i="2"/>
  <c r="CO56" i="2" s="1"/>
  <c r="CM57" i="2"/>
  <c r="H287" i="6"/>
  <c r="E286" i="3"/>
  <c r="F286" i="3" s="1"/>
  <c r="CW59" i="2"/>
  <c r="CP55" i="2"/>
  <c r="AC104" i="2"/>
  <c r="AD104" i="2" s="1"/>
  <c r="AB105" i="2"/>
  <c r="AS46" i="2"/>
  <c r="CP56" i="2"/>
  <c r="BD57" i="2"/>
  <c r="BE56" i="2"/>
  <c r="BF56" i="2" s="1"/>
  <c r="X47" i="2"/>
  <c r="DI54" i="2"/>
  <c r="DJ54" i="2" s="1"/>
  <c r="DH55" i="2"/>
  <c r="AQ47" i="2"/>
  <c r="AR47" i="2" s="1"/>
  <c r="AP48" i="2"/>
  <c r="V48" i="2"/>
  <c r="W48" i="2" s="1"/>
  <c r="U49" i="2"/>
  <c r="G35" i="1"/>
  <c r="M34" i="1"/>
  <c r="DA49" i="2"/>
  <c r="DB48" i="2"/>
  <c r="DC48" i="2" s="1"/>
  <c r="AW40" i="2"/>
  <c r="AX39" i="2"/>
  <c r="AY39" i="2" s="1"/>
  <c r="P23" i="1"/>
  <c r="Q23" i="1" s="1"/>
  <c r="O24" i="1"/>
  <c r="DK53" i="2"/>
  <c r="AL40" i="2"/>
  <c r="AZ39" i="2"/>
  <c r="G43" i="2"/>
  <c r="H42" i="2"/>
  <c r="I42" i="2" s="1"/>
  <c r="BU55" i="2"/>
  <c r="BU56" i="2"/>
  <c r="J41" i="2"/>
  <c r="BS56" i="2"/>
  <c r="BT56" i="2" s="1"/>
  <c r="BR57" i="2"/>
  <c r="CG45" i="2" l="1"/>
  <c r="CH45" i="2" s="1"/>
  <c r="CF46" i="2"/>
  <c r="H288" i="6"/>
  <c r="E287" i="3"/>
  <c r="F287" i="3" s="1"/>
  <c r="DA50" i="2"/>
  <c r="DB49" i="2"/>
  <c r="DC49" i="2" s="1"/>
  <c r="CI44" i="2"/>
  <c r="CU61" i="2"/>
  <c r="CV61" i="2" s="1"/>
  <c r="CT62" i="2"/>
  <c r="O53" i="2"/>
  <c r="P53" i="2" s="1"/>
  <c r="N54" i="2"/>
  <c r="AX40" i="2"/>
  <c r="AY40" i="2" s="1"/>
  <c r="AW41" i="2"/>
  <c r="J42" i="2"/>
  <c r="O25" i="1"/>
  <c r="P24" i="1"/>
  <c r="Q24" i="1" s="1"/>
  <c r="K23" i="1"/>
  <c r="J23" i="1" s="1"/>
  <c r="E24" i="1"/>
  <c r="N23" i="1"/>
  <c r="CW60" i="2"/>
  <c r="Q52" i="2"/>
  <c r="H43" i="2"/>
  <c r="I43" i="2" s="1"/>
  <c r="G44" i="2"/>
  <c r="R23" i="1"/>
  <c r="S23" i="1" s="1"/>
  <c r="DI55" i="2"/>
  <c r="DJ55" i="2" s="1"/>
  <c r="DH56" i="2"/>
  <c r="BE57" i="2"/>
  <c r="BF57" i="2" s="1"/>
  <c r="BD58" i="2"/>
  <c r="AS47" i="2"/>
  <c r="J22" i="1"/>
  <c r="AI43" i="2"/>
  <c r="AJ42" i="2"/>
  <c r="AK42" i="2" s="1"/>
  <c r="BN51" i="2"/>
  <c r="BZ55" i="2"/>
  <c r="CA55" i="2" s="1"/>
  <c r="CB55" i="2" s="1"/>
  <c r="BY56" i="2"/>
  <c r="AP49" i="2"/>
  <c r="AQ48" i="2"/>
  <c r="AR48" i="2" s="1"/>
  <c r="M35" i="1"/>
  <c r="G36" i="1"/>
  <c r="DK54" i="2"/>
  <c r="CN57" i="2"/>
  <c r="CO57" i="2" s="1"/>
  <c r="CM58" i="2"/>
  <c r="AL41" i="2"/>
  <c r="BG56" i="2"/>
  <c r="V49" i="2"/>
  <c r="W49" i="2" s="1"/>
  <c r="U50" i="2"/>
  <c r="AB106" i="2"/>
  <c r="AC105" i="2"/>
  <c r="AD105" i="2" s="1"/>
  <c r="CI45" i="2"/>
  <c r="DD48" i="2"/>
  <c r="BS57" i="2"/>
  <c r="BT57" i="2" s="1"/>
  <c r="BR58" i="2"/>
  <c r="BG57" i="2"/>
  <c r="BL52" i="2"/>
  <c r="BM52" i="2" s="1"/>
  <c r="BK53" i="2"/>
  <c r="CB54" i="2"/>
  <c r="J43" i="2"/>
  <c r="AZ40" i="2"/>
  <c r="AE104" i="2"/>
  <c r="X48" i="2"/>
  <c r="E25" i="1" l="1"/>
  <c r="K24" i="1"/>
  <c r="J24" i="1" s="1"/>
  <c r="N24" i="1"/>
  <c r="BN52" i="2"/>
  <c r="X49" i="2"/>
  <c r="M36" i="1"/>
  <c r="G37" i="1"/>
  <c r="BE58" i="2"/>
  <c r="BF58" i="2" s="1"/>
  <c r="BD59" i="2"/>
  <c r="BR59" i="2"/>
  <c r="BS58" i="2"/>
  <c r="BT58" i="2" s="1"/>
  <c r="CN58" i="2"/>
  <c r="CO58" i="2" s="1"/>
  <c r="CM59" i="2"/>
  <c r="DI56" i="2"/>
  <c r="DJ56" i="2" s="1"/>
  <c r="DH57" i="2"/>
  <c r="H289" i="6"/>
  <c r="E288" i="3"/>
  <c r="F288" i="3" s="1"/>
  <c r="G45" i="2"/>
  <c r="H44" i="2"/>
  <c r="I44" i="2" s="1"/>
  <c r="CW61" i="2"/>
  <c r="CG46" i="2"/>
  <c r="CH46" i="2" s="1"/>
  <c r="CF47" i="2"/>
  <c r="BU57" i="2"/>
  <c r="CP57" i="2"/>
  <c r="AS48" i="2"/>
  <c r="AI44" i="2"/>
  <c r="AJ43" i="2"/>
  <c r="AK43" i="2" s="1"/>
  <c r="AL43" i="2" s="1"/>
  <c r="DK55" i="2"/>
  <c r="AX41" i="2"/>
  <c r="AY41" i="2" s="1"/>
  <c r="AW42" i="2"/>
  <c r="DD49" i="2"/>
  <c r="AZ41" i="2"/>
  <c r="DB50" i="2"/>
  <c r="DC50" i="2" s="1"/>
  <c r="DA51" i="2"/>
  <c r="AE105" i="2"/>
  <c r="BZ56" i="2"/>
  <c r="CA56" i="2" s="1"/>
  <c r="CB56" i="2" s="1"/>
  <c r="BY57" i="2"/>
  <c r="O54" i="2"/>
  <c r="P54" i="2" s="1"/>
  <c r="N55" i="2"/>
  <c r="AQ49" i="2"/>
  <c r="AR49" i="2" s="1"/>
  <c r="AP50" i="2"/>
  <c r="R24" i="1"/>
  <c r="S24" i="1" s="1"/>
  <c r="R25" i="1"/>
  <c r="S25" i="1" s="1"/>
  <c r="Q53" i="2"/>
  <c r="DD50" i="2"/>
  <c r="AB107" i="2"/>
  <c r="AC106" i="2"/>
  <c r="AD106" i="2" s="1"/>
  <c r="BK54" i="2"/>
  <c r="BL53" i="2"/>
  <c r="BM53" i="2" s="1"/>
  <c r="V50" i="2"/>
  <c r="W50" i="2" s="1"/>
  <c r="U51" i="2"/>
  <c r="AL42" i="2"/>
  <c r="P25" i="1"/>
  <c r="Q25" i="1" s="1"/>
  <c r="O26" i="1"/>
  <c r="CU62" i="2"/>
  <c r="CV62" i="2" s="1"/>
  <c r="CT63" i="2"/>
  <c r="AS49" i="2" l="1"/>
  <c r="BD60" i="2"/>
  <c r="BE59" i="2"/>
  <c r="BF59" i="2" s="1"/>
  <c r="AE106" i="2"/>
  <c r="BG59" i="2"/>
  <c r="K25" i="1"/>
  <c r="J25" i="1" s="1"/>
  <c r="E26" i="1"/>
  <c r="N25" i="1"/>
  <c r="AC107" i="2"/>
  <c r="AD107" i="2" s="1"/>
  <c r="AB108" i="2"/>
  <c r="J44" i="2"/>
  <c r="M37" i="1"/>
  <c r="G38" i="1"/>
  <c r="CU63" i="2"/>
  <c r="CV63" i="2" s="1"/>
  <c r="CT64" i="2"/>
  <c r="V51" i="2"/>
  <c r="W51" i="2" s="1"/>
  <c r="U52" i="2"/>
  <c r="O55" i="2"/>
  <c r="P55" i="2" s="1"/>
  <c r="N56" i="2"/>
  <c r="H45" i="2"/>
  <c r="I45" i="2" s="1"/>
  <c r="G46" i="2"/>
  <c r="O27" i="1"/>
  <c r="P26" i="1"/>
  <c r="Q26" i="1" s="1"/>
  <c r="DB51" i="2"/>
  <c r="DC51" i="2" s="1"/>
  <c r="DA52" i="2"/>
  <c r="CG47" i="2"/>
  <c r="CH47" i="2" s="1"/>
  <c r="CF48" i="2"/>
  <c r="H290" i="6"/>
  <c r="E289" i="3"/>
  <c r="F289" i="3" s="1"/>
  <c r="CP58" i="2"/>
  <c r="BG58" i="2"/>
  <c r="DK56" i="2"/>
  <c r="Q55" i="2"/>
  <c r="Q54" i="2"/>
  <c r="R26" i="1"/>
  <c r="S26" i="1" s="1"/>
  <c r="BL54" i="2"/>
  <c r="BM54" i="2" s="1"/>
  <c r="BK55" i="2"/>
  <c r="BY58" i="2"/>
  <c r="BZ57" i="2"/>
  <c r="CA57" i="2" s="1"/>
  <c r="DD51" i="2"/>
  <c r="CI46" i="2"/>
  <c r="BU58" i="2"/>
  <c r="AJ44" i="2"/>
  <c r="AK44" i="2" s="1"/>
  <c r="AI45" i="2"/>
  <c r="CM60" i="2"/>
  <c r="CN59" i="2"/>
  <c r="CO59" i="2" s="1"/>
  <c r="BN53" i="2"/>
  <c r="AQ50" i="2"/>
  <c r="AR50" i="2" s="1"/>
  <c r="AP51" i="2"/>
  <c r="CB57" i="2"/>
  <c r="AW43" i="2"/>
  <c r="AX42" i="2"/>
  <c r="AY42" i="2" s="1"/>
  <c r="CW62" i="2"/>
  <c r="DI57" i="2"/>
  <c r="DJ57" i="2" s="1"/>
  <c r="DH58" i="2"/>
  <c r="BS59" i="2"/>
  <c r="BT59" i="2" s="1"/>
  <c r="BR60" i="2"/>
  <c r="X50" i="2"/>
  <c r="CP59" i="2" l="1"/>
  <c r="BU59" i="2"/>
  <c r="BK56" i="2"/>
  <c r="BL55" i="2"/>
  <c r="BM55" i="2" s="1"/>
  <c r="DB52" i="2"/>
  <c r="DC52" i="2" s="1"/>
  <c r="DA53" i="2"/>
  <c r="AZ42" i="2"/>
  <c r="CN60" i="2"/>
  <c r="CO60" i="2" s="1"/>
  <c r="CM61" i="2"/>
  <c r="BN54" i="2"/>
  <c r="K26" i="1"/>
  <c r="J26" i="1" s="1"/>
  <c r="E27" i="1"/>
  <c r="N26" i="1"/>
  <c r="AW44" i="2"/>
  <c r="AX43" i="2"/>
  <c r="AY43" i="2" s="1"/>
  <c r="AZ43" i="2"/>
  <c r="AJ45" i="2"/>
  <c r="AK45" i="2" s="1"/>
  <c r="AI46" i="2"/>
  <c r="CU64" i="2"/>
  <c r="CV64" i="2" s="1"/>
  <c r="CT65" i="2"/>
  <c r="AP52" i="2"/>
  <c r="AQ51" i="2"/>
  <c r="AR51" i="2" s="1"/>
  <c r="BR61" i="2"/>
  <c r="BS60" i="2"/>
  <c r="BT60" i="2" s="1"/>
  <c r="AS50" i="2"/>
  <c r="CW63" i="2"/>
  <c r="CI47" i="2"/>
  <c r="P27" i="1"/>
  <c r="Q27" i="1" s="1"/>
  <c r="O28" i="1"/>
  <c r="O56" i="2"/>
  <c r="P56" i="2" s="1"/>
  <c r="N57" i="2"/>
  <c r="J45" i="2"/>
  <c r="AC108" i="2"/>
  <c r="AD108" i="2" s="1"/>
  <c r="AB109" i="2"/>
  <c r="AL44" i="2"/>
  <c r="BE60" i="2"/>
  <c r="BF60" i="2" s="1"/>
  <c r="BD61" i="2"/>
  <c r="BY59" i="2"/>
  <c r="BZ58" i="2"/>
  <c r="CA58" i="2" s="1"/>
  <c r="G47" i="2"/>
  <c r="H46" i="2"/>
  <c r="I46" i="2" s="1"/>
  <c r="DH59" i="2"/>
  <c r="DI58" i="2"/>
  <c r="DJ58" i="2" s="1"/>
  <c r="H291" i="6"/>
  <c r="E290" i="3"/>
  <c r="F290" i="3" s="1"/>
  <c r="AE107" i="2"/>
  <c r="X52" i="2"/>
  <c r="X51" i="2"/>
  <c r="DK57" i="2"/>
  <c r="CB58" i="2"/>
  <c r="CG48" i="2"/>
  <c r="CH48" i="2" s="1"/>
  <c r="CF49" i="2"/>
  <c r="V52" i="2"/>
  <c r="W52" i="2" s="1"/>
  <c r="U53" i="2"/>
  <c r="M38" i="1"/>
  <c r="G39" i="1"/>
  <c r="J46" i="2" l="1"/>
  <c r="AE109" i="2"/>
  <c r="AE108" i="2"/>
  <c r="M39" i="1"/>
  <c r="G40" i="1"/>
  <c r="DI59" i="2"/>
  <c r="DJ59" i="2" s="1"/>
  <c r="DH60" i="2"/>
  <c r="CW64" i="2"/>
  <c r="H292" i="6"/>
  <c r="E291" i="3"/>
  <c r="F291" i="3" s="1"/>
  <c r="H47" i="2"/>
  <c r="I47" i="2" s="1"/>
  <c r="G48" i="2"/>
  <c r="AJ46" i="2"/>
  <c r="AK46" i="2" s="1"/>
  <c r="AI47" i="2"/>
  <c r="DA54" i="2"/>
  <c r="DB53" i="2"/>
  <c r="DC53" i="2" s="1"/>
  <c r="K27" i="1"/>
  <c r="J27" i="1" s="1"/>
  <c r="E28" i="1"/>
  <c r="N27" i="1"/>
  <c r="N58" i="2"/>
  <c r="O57" i="2"/>
  <c r="P57" i="2" s="1"/>
  <c r="BS61" i="2"/>
  <c r="BT61" i="2" s="1"/>
  <c r="BR62" i="2"/>
  <c r="AL45" i="2"/>
  <c r="BU60" i="2"/>
  <c r="DD52" i="2"/>
  <c r="AB110" i="2"/>
  <c r="AC109" i="2"/>
  <c r="AD109" i="2" s="1"/>
  <c r="BZ59" i="2"/>
  <c r="CA59" i="2" s="1"/>
  <c r="BY60" i="2"/>
  <c r="Q56" i="2"/>
  <c r="CI48" i="2"/>
  <c r="AS51" i="2"/>
  <c r="CN61" i="2"/>
  <c r="CO61" i="2" s="1"/>
  <c r="CM62" i="2"/>
  <c r="BN55" i="2"/>
  <c r="V53" i="2"/>
  <c r="W53" i="2" s="1"/>
  <c r="U54" i="2"/>
  <c r="BD62" i="2"/>
  <c r="BE61" i="2"/>
  <c r="BF61" i="2" s="1"/>
  <c r="O29" i="1"/>
  <c r="P28" i="1"/>
  <c r="Q28" i="1" s="1"/>
  <c r="AQ52" i="2"/>
  <c r="AR52" i="2" s="1"/>
  <c r="AP53" i="2"/>
  <c r="CP60" i="2"/>
  <c r="CP61" i="2"/>
  <c r="BL56" i="2"/>
  <c r="BM56" i="2" s="1"/>
  <c r="BK57" i="2"/>
  <c r="CG49" i="2"/>
  <c r="CH49" i="2" s="1"/>
  <c r="CF50" i="2"/>
  <c r="BG60" i="2"/>
  <c r="R27" i="1"/>
  <c r="S27" i="1" s="1"/>
  <c r="AX44" i="2"/>
  <c r="AY44" i="2" s="1"/>
  <c r="AW45" i="2"/>
  <c r="DK58" i="2"/>
  <c r="CU65" i="2"/>
  <c r="CV65" i="2" s="1"/>
  <c r="CT66" i="2"/>
  <c r="CP62" i="2" l="1"/>
  <c r="Q57" i="2"/>
  <c r="O58" i="2"/>
  <c r="P58" i="2" s="1"/>
  <c r="N59" i="2"/>
  <c r="DD53" i="2"/>
  <c r="DD54" i="2"/>
  <c r="CM63" i="2"/>
  <c r="CN62" i="2"/>
  <c r="CO62" i="2" s="1"/>
  <c r="AZ44" i="2"/>
  <c r="BE62" i="2"/>
  <c r="BF62" i="2" s="1"/>
  <c r="BD63" i="2"/>
  <c r="DB54" i="2"/>
  <c r="DC54" i="2" s="1"/>
  <c r="DA55" i="2"/>
  <c r="H293" i="6"/>
  <c r="E292" i="3"/>
  <c r="F292" i="3" s="1"/>
  <c r="J48" i="2"/>
  <c r="M40" i="1"/>
  <c r="G41" i="1"/>
  <c r="AW46" i="2"/>
  <c r="AX45" i="2"/>
  <c r="AY45" i="2" s="1"/>
  <c r="CU66" i="2"/>
  <c r="CV66" i="2" s="1"/>
  <c r="CT67" i="2"/>
  <c r="U55" i="2"/>
  <c r="V54" i="2"/>
  <c r="W54" i="2" s="1"/>
  <c r="BY61" i="2"/>
  <c r="BZ60" i="2"/>
  <c r="CA60" i="2" s="1"/>
  <c r="CW65" i="2"/>
  <c r="X53" i="2"/>
  <c r="CB59" i="2"/>
  <c r="AJ47" i="2"/>
  <c r="AK47" i="2" s="1"/>
  <c r="AI48" i="2"/>
  <c r="O30" i="1"/>
  <c r="P29" i="1"/>
  <c r="Q29" i="1" s="1"/>
  <c r="AS53" i="2"/>
  <c r="AS52" i="2"/>
  <c r="BS62" i="2"/>
  <c r="BT62" i="2" s="1"/>
  <c r="BR63" i="2"/>
  <c r="AL46" i="2"/>
  <c r="AL47" i="2"/>
  <c r="AQ53" i="2"/>
  <c r="AR53" i="2" s="1"/>
  <c r="AP54" i="2"/>
  <c r="CI49" i="2"/>
  <c r="BG61" i="2"/>
  <c r="BL57" i="2"/>
  <c r="BM57" i="2" s="1"/>
  <c r="BK58" i="2"/>
  <c r="AB111" i="2"/>
  <c r="AC110" i="2"/>
  <c r="AD110" i="2" s="1"/>
  <c r="AE110" i="2" s="1"/>
  <c r="BU61" i="2"/>
  <c r="DI60" i="2"/>
  <c r="DJ60" i="2" s="1"/>
  <c r="DH61" i="2"/>
  <c r="J47" i="2"/>
  <c r="CG50" i="2"/>
  <c r="CH50" i="2" s="1"/>
  <c r="CF51" i="2"/>
  <c r="BN56" i="2"/>
  <c r="R28" i="1"/>
  <c r="S28" i="1" s="1"/>
  <c r="Q58" i="2"/>
  <c r="K28" i="1"/>
  <c r="J28" i="1" s="1"/>
  <c r="E29" i="1"/>
  <c r="N28" i="1"/>
  <c r="H48" i="2"/>
  <c r="I48" i="2" s="1"/>
  <c r="G49" i="2"/>
  <c r="DK59" i="2"/>
  <c r="CT68" i="2" l="1"/>
  <c r="CU67" i="2"/>
  <c r="CV67" i="2" s="1"/>
  <c r="DK60" i="2"/>
  <c r="BZ61" i="2"/>
  <c r="CA61" i="2" s="1"/>
  <c r="BY62" i="2"/>
  <c r="CW66" i="2"/>
  <c r="H294" i="6"/>
  <c r="E293" i="3"/>
  <c r="F293" i="3" s="1"/>
  <c r="AC111" i="2"/>
  <c r="AD111" i="2" s="1"/>
  <c r="AB112" i="2"/>
  <c r="K29" i="1"/>
  <c r="J29" i="1" s="1"/>
  <c r="E30" i="1"/>
  <c r="N29" i="1"/>
  <c r="BK59" i="2"/>
  <c r="BL58" i="2"/>
  <c r="BM58" i="2" s="1"/>
  <c r="BS63" i="2"/>
  <c r="BT63" i="2" s="1"/>
  <c r="BR64" i="2"/>
  <c r="R29" i="1"/>
  <c r="S29" i="1" s="1"/>
  <c r="X54" i="2"/>
  <c r="X55" i="2"/>
  <c r="DB55" i="2"/>
  <c r="DC55" i="2" s="1"/>
  <c r="DA56" i="2"/>
  <c r="BN57" i="2"/>
  <c r="BU62" i="2"/>
  <c r="O31" i="1"/>
  <c r="P30" i="1"/>
  <c r="Q30" i="1" s="1"/>
  <c r="V55" i="2"/>
  <c r="W55" i="2" s="1"/>
  <c r="U56" i="2"/>
  <c r="AW47" i="2"/>
  <c r="AX46" i="2"/>
  <c r="AY46" i="2" s="1"/>
  <c r="G50" i="2"/>
  <c r="H49" i="2"/>
  <c r="I49" i="2" s="1"/>
  <c r="CN63" i="2"/>
  <c r="CO63" i="2" s="1"/>
  <c r="CM64" i="2"/>
  <c r="CG51" i="2"/>
  <c r="CH51" i="2" s="1"/>
  <c r="CF52" i="2"/>
  <c r="AJ48" i="2"/>
  <c r="AK48" i="2" s="1"/>
  <c r="AI49" i="2"/>
  <c r="CB60" i="2"/>
  <c r="AZ45" i="2"/>
  <c r="BG62" i="2"/>
  <c r="BN58" i="2"/>
  <c r="CI50" i="2"/>
  <c r="G42" i="1"/>
  <c r="M41" i="1"/>
  <c r="O59" i="2"/>
  <c r="P59" i="2" s="1"/>
  <c r="N60" i="2"/>
  <c r="DH62" i="2"/>
  <c r="DI61" i="2"/>
  <c r="DJ61" i="2" s="1"/>
  <c r="AQ54" i="2"/>
  <c r="AR54" i="2" s="1"/>
  <c r="AP55" i="2"/>
  <c r="BE63" i="2"/>
  <c r="BF63" i="2" s="1"/>
  <c r="BD64" i="2"/>
  <c r="CN64" i="2" l="1"/>
  <c r="CO64" i="2" s="1"/>
  <c r="CM65" i="2"/>
  <c r="AC112" i="2"/>
  <c r="AD112" i="2" s="1"/>
  <c r="AB113" i="2"/>
  <c r="BE64" i="2"/>
  <c r="BF64" i="2" s="1"/>
  <c r="BD65" i="2"/>
  <c r="CP64" i="2"/>
  <c r="CP63" i="2"/>
  <c r="AZ46" i="2"/>
  <c r="BS64" i="2"/>
  <c r="BT64" i="2" s="1"/>
  <c r="BR65" i="2"/>
  <c r="AE111" i="2"/>
  <c r="BZ62" i="2"/>
  <c r="CA62" i="2" s="1"/>
  <c r="BY63" i="2"/>
  <c r="P31" i="1"/>
  <c r="Q31" i="1" s="1"/>
  <c r="O32" i="1"/>
  <c r="E31" i="1"/>
  <c r="K30" i="1"/>
  <c r="J30" i="1" s="1"/>
  <c r="N30" i="1"/>
  <c r="AS54" i="2"/>
  <c r="DI62" i="2"/>
  <c r="DJ62" i="2" s="1"/>
  <c r="DH63" i="2"/>
  <c r="G43" i="1"/>
  <c r="M42" i="1"/>
  <c r="AX47" i="2"/>
  <c r="AY47" i="2" s="1"/>
  <c r="AW48" i="2"/>
  <c r="BU63" i="2"/>
  <c r="CB61" i="2"/>
  <c r="CW67" i="2"/>
  <c r="AI50" i="2"/>
  <c r="AJ49" i="2"/>
  <c r="AK49" i="2" s="1"/>
  <c r="H50" i="2"/>
  <c r="I50" i="2" s="1"/>
  <c r="G51" i="2"/>
  <c r="U57" i="2"/>
  <c r="V56" i="2"/>
  <c r="W56" i="2" s="1"/>
  <c r="J49" i="2"/>
  <c r="CU68" i="2"/>
  <c r="CV68" i="2" s="1"/>
  <c r="CT69" i="2"/>
  <c r="CG52" i="2"/>
  <c r="CH52" i="2" s="1"/>
  <c r="CF53" i="2"/>
  <c r="H295" i="6"/>
  <c r="E295" i="3" s="1"/>
  <c r="F295" i="3" s="1"/>
  <c r="E294" i="3"/>
  <c r="F294" i="3" s="1"/>
  <c r="AQ55" i="2"/>
  <c r="AR55" i="2" s="1"/>
  <c r="AP56" i="2"/>
  <c r="CI51" i="2"/>
  <c r="DK61" i="2"/>
  <c r="AL48" i="2"/>
  <c r="BL59" i="2"/>
  <c r="BM59" i="2" s="1"/>
  <c r="BK60" i="2"/>
  <c r="BG63" i="2"/>
  <c r="Q59" i="2"/>
  <c r="DD55" i="2"/>
  <c r="O60" i="2"/>
  <c r="P60" i="2" s="1"/>
  <c r="N61" i="2"/>
  <c r="R30" i="1"/>
  <c r="S30" i="1" s="1"/>
  <c r="R31" i="1"/>
  <c r="S31" i="1" s="1"/>
  <c r="DA57" i="2"/>
  <c r="DB56" i="2"/>
  <c r="DC56" i="2" s="1"/>
  <c r="Q60" i="2" l="1"/>
  <c r="X56" i="2"/>
  <c r="CN65" i="2"/>
  <c r="CO65" i="2" s="1"/>
  <c r="CM66" i="2"/>
  <c r="CW68" i="2"/>
  <c r="V57" i="2"/>
  <c r="W57" i="2" s="1"/>
  <c r="U58" i="2"/>
  <c r="M43" i="1"/>
  <c r="G44" i="1"/>
  <c r="K31" i="1"/>
  <c r="J31" i="1" s="1"/>
  <c r="E32" i="1"/>
  <c r="N31" i="1"/>
  <c r="BS65" i="2"/>
  <c r="BT65" i="2" s="1"/>
  <c r="BR66" i="2"/>
  <c r="DB57" i="2"/>
  <c r="DC57" i="2" s="1"/>
  <c r="DA58" i="2"/>
  <c r="CI52" i="2"/>
  <c r="DD56" i="2"/>
  <c r="CU69" i="2"/>
  <c r="CV69" i="2" s="1"/>
  <c r="CT70" i="2"/>
  <c r="H51" i="2"/>
  <c r="I51" i="2" s="1"/>
  <c r="G52" i="2"/>
  <c r="BL60" i="2"/>
  <c r="BM60" i="2" s="1"/>
  <c r="BK61" i="2"/>
  <c r="J50" i="2"/>
  <c r="CB63" i="2"/>
  <c r="AX48" i="2"/>
  <c r="AY48" i="2" s="1"/>
  <c r="AW49" i="2"/>
  <c r="DK62" i="2"/>
  <c r="BE65" i="2"/>
  <c r="BF65" i="2" s="1"/>
  <c r="BD66" i="2"/>
  <c r="BU64" i="2"/>
  <c r="BN59" i="2"/>
  <c r="AL49" i="2"/>
  <c r="AZ48" i="2"/>
  <c r="AZ47" i="2"/>
  <c r="AS55" i="2"/>
  <c r="AP57" i="2"/>
  <c r="AQ56" i="2"/>
  <c r="AR56" i="2" s="1"/>
  <c r="DI63" i="2"/>
  <c r="DJ63" i="2" s="1"/>
  <c r="DH64" i="2"/>
  <c r="O33" i="1"/>
  <c r="P32" i="1"/>
  <c r="Q32" i="1" s="1"/>
  <c r="O61" i="2"/>
  <c r="P61" i="2" s="1"/>
  <c r="N62" i="2"/>
  <c r="BN60" i="2"/>
  <c r="AJ50" i="2"/>
  <c r="AK50" i="2" s="1"/>
  <c r="AI51" i="2"/>
  <c r="BY64" i="2"/>
  <c r="BZ63" i="2"/>
  <c r="CA63" i="2" s="1"/>
  <c r="BG64" i="2"/>
  <c r="CG53" i="2"/>
  <c r="CH53" i="2" s="1"/>
  <c r="CF54" i="2"/>
  <c r="CB62" i="2"/>
  <c r="AB114" i="2"/>
  <c r="AC113" i="2"/>
  <c r="AD113" i="2" s="1"/>
  <c r="AE112" i="2"/>
  <c r="AL50" i="2" l="1"/>
  <c r="CM67" i="2"/>
  <c r="CN66" i="2"/>
  <c r="CO66" i="2" s="1"/>
  <c r="AS56" i="2"/>
  <c r="CW69" i="2"/>
  <c r="CW70" i="2"/>
  <c r="BS66" i="2"/>
  <c r="BT66" i="2" s="1"/>
  <c r="BR67" i="2"/>
  <c r="V58" i="2"/>
  <c r="W58" i="2" s="1"/>
  <c r="U59" i="2"/>
  <c r="AC114" i="2"/>
  <c r="AD114" i="2" s="1"/>
  <c r="AB115" i="2"/>
  <c r="BU66" i="2"/>
  <c r="X57" i="2"/>
  <c r="X58" i="2"/>
  <c r="DK64" i="2"/>
  <c r="DK63" i="2"/>
  <c r="CP65" i="2"/>
  <c r="N63" i="2"/>
  <c r="O62" i="2"/>
  <c r="P62" i="2" s="1"/>
  <c r="BG65" i="2"/>
  <c r="BK62" i="2"/>
  <c r="BL61" i="2"/>
  <c r="BM61" i="2" s="1"/>
  <c r="BU65" i="2"/>
  <c r="CU70" i="2"/>
  <c r="CV70" i="2" s="1"/>
  <c r="CT71" i="2"/>
  <c r="AP58" i="2"/>
  <c r="AQ57" i="2"/>
  <c r="AR57" i="2" s="1"/>
  <c r="BE66" i="2"/>
  <c r="BF66" i="2" s="1"/>
  <c r="BD67" i="2"/>
  <c r="Q61" i="2"/>
  <c r="BZ64" i="2"/>
  <c r="CA64" i="2" s="1"/>
  <c r="BY65" i="2"/>
  <c r="R32" i="1"/>
  <c r="S32" i="1" s="1"/>
  <c r="AX49" i="2"/>
  <c r="AY49" i="2" s="1"/>
  <c r="AW50" i="2"/>
  <c r="E33" i="1"/>
  <c r="K32" i="1"/>
  <c r="J32" i="1" s="1"/>
  <c r="N32" i="1"/>
  <c r="CI53" i="2"/>
  <c r="O34" i="1"/>
  <c r="P33" i="1"/>
  <c r="Q33" i="1" s="1"/>
  <c r="R33" i="1"/>
  <c r="H52" i="2"/>
  <c r="I52" i="2" s="1"/>
  <c r="G53" i="2"/>
  <c r="DB58" i="2"/>
  <c r="DC58" i="2" s="1"/>
  <c r="DA59" i="2"/>
  <c r="AE113" i="2"/>
  <c r="CF55" i="2"/>
  <c r="CG54" i="2"/>
  <c r="CH54" i="2" s="1"/>
  <c r="AJ51" i="2"/>
  <c r="AK51" i="2" s="1"/>
  <c r="AI52" i="2"/>
  <c r="DI64" i="2"/>
  <c r="DJ64" i="2" s="1"/>
  <c r="DH65" i="2"/>
  <c r="J51" i="2"/>
  <c r="DD57" i="2"/>
  <c r="M44" i="1"/>
  <c r="G45" i="1"/>
  <c r="Q63" i="2" l="1"/>
  <c r="CF56" i="2"/>
  <c r="CG55" i="2"/>
  <c r="CH55" i="2" s="1"/>
  <c r="J52" i="2"/>
  <c r="BG66" i="2"/>
  <c r="BL62" i="2"/>
  <c r="BM62" i="2" s="1"/>
  <c r="BN62" i="2" s="1"/>
  <c r="BK63" i="2"/>
  <c r="O63" i="2"/>
  <c r="P63" i="2" s="1"/>
  <c r="N64" i="2"/>
  <c r="AC115" i="2"/>
  <c r="AD115" i="2" s="1"/>
  <c r="AB116" i="2"/>
  <c r="CI55" i="2"/>
  <c r="AS57" i="2"/>
  <c r="AE114" i="2"/>
  <c r="CP66" i="2"/>
  <c r="DD58" i="2"/>
  <c r="M45" i="1"/>
  <c r="G46" i="1"/>
  <c r="AX50" i="2"/>
  <c r="AY50" i="2" s="1"/>
  <c r="AW51" i="2"/>
  <c r="BZ65" i="2"/>
  <c r="CA65" i="2" s="1"/>
  <c r="BY66" i="2"/>
  <c r="CM68" i="2"/>
  <c r="CN67" i="2"/>
  <c r="CO67" i="2" s="1"/>
  <c r="DI65" i="2"/>
  <c r="DJ65" i="2" s="1"/>
  <c r="DH66" i="2"/>
  <c r="AZ49" i="2"/>
  <c r="AL51" i="2"/>
  <c r="AQ58" i="2"/>
  <c r="AR58" i="2" s="1"/>
  <c r="AP59" i="2"/>
  <c r="S33" i="1"/>
  <c r="CB65" i="2"/>
  <c r="CB64" i="2"/>
  <c r="CU71" i="2"/>
  <c r="CV71" i="2" s="1"/>
  <c r="CT72" i="2"/>
  <c r="U60" i="2"/>
  <c r="V59" i="2"/>
  <c r="W59" i="2" s="1"/>
  <c r="AI53" i="2"/>
  <c r="AJ52" i="2"/>
  <c r="AK52" i="2" s="1"/>
  <c r="AL52" i="2" s="1"/>
  <c r="DB59" i="2"/>
  <c r="DC59" i="2" s="1"/>
  <c r="DA60" i="2"/>
  <c r="O35" i="1"/>
  <c r="P34" i="1"/>
  <c r="Q34" i="1" s="1"/>
  <c r="BG67" i="2"/>
  <c r="BR68" i="2"/>
  <c r="BS67" i="2"/>
  <c r="BT67" i="2" s="1"/>
  <c r="AS58" i="2"/>
  <c r="BU67" i="2"/>
  <c r="CI54" i="2"/>
  <c r="H53" i="2"/>
  <c r="I53" i="2" s="1"/>
  <c r="G54" i="2"/>
  <c r="K33" i="1"/>
  <c r="J33" i="1" s="1"/>
  <c r="E34" i="1"/>
  <c r="N33" i="1"/>
  <c r="BE67" i="2"/>
  <c r="BF67" i="2" s="1"/>
  <c r="BD68" i="2"/>
  <c r="BN61" i="2"/>
  <c r="Q62" i="2"/>
  <c r="BU68" i="2" l="1"/>
  <c r="DD59" i="2"/>
  <c r="CG56" i="2"/>
  <c r="CH56" i="2" s="1"/>
  <c r="CF57" i="2"/>
  <c r="CW71" i="2"/>
  <c r="M46" i="1"/>
  <c r="G47" i="1"/>
  <c r="BE68" i="2"/>
  <c r="BF68" i="2" s="1"/>
  <c r="BD69" i="2"/>
  <c r="BS68" i="2"/>
  <c r="BT68" i="2" s="1"/>
  <c r="BR69" i="2"/>
  <c r="AJ53" i="2"/>
  <c r="AK53" i="2" s="1"/>
  <c r="AI54" i="2"/>
  <c r="DK65" i="2"/>
  <c r="CT73" i="2"/>
  <c r="CU72" i="2"/>
  <c r="CV72" i="2" s="1"/>
  <c r="CP67" i="2"/>
  <c r="AB117" i="2"/>
  <c r="AC116" i="2"/>
  <c r="AD116" i="2" s="1"/>
  <c r="CN68" i="2"/>
  <c r="CO68" i="2" s="1"/>
  <c r="CM69" i="2"/>
  <c r="AE115" i="2"/>
  <c r="J53" i="2"/>
  <c r="E35" i="1"/>
  <c r="K34" i="1"/>
  <c r="J34" i="1" s="1"/>
  <c r="N34" i="1"/>
  <c r="AZ50" i="2"/>
  <c r="BZ66" i="2"/>
  <c r="CA66" i="2" s="1"/>
  <c r="BY67" i="2"/>
  <c r="O64" i="2"/>
  <c r="P64" i="2" s="1"/>
  <c r="N65" i="2"/>
  <c r="P35" i="1"/>
  <c r="Q35" i="1" s="1"/>
  <c r="O36" i="1"/>
  <c r="X59" i="2"/>
  <c r="AL53" i="2"/>
  <c r="AP60" i="2"/>
  <c r="AQ59" i="2"/>
  <c r="AR59" i="2" s="1"/>
  <c r="CB66" i="2"/>
  <c r="R34" i="1"/>
  <c r="S34" i="1" s="1"/>
  <c r="H54" i="2"/>
  <c r="I54" i="2" s="1"/>
  <c r="G55" i="2"/>
  <c r="DB60" i="2"/>
  <c r="DC60" i="2" s="1"/>
  <c r="DA61" i="2"/>
  <c r="V60" i="2"/>
  <c r="W60" i="2" s="1"/>
  <c r="U61" i="2"/>
  <c r="AW52" i="2"/>
  <c r="AX51" i="2"/>
  <c r="AY51" i="2" s="1"/>
  <c r="BK64" i="2"/>
  <c r="BL63" i="2"/>
  <c r="BM63" i="2" s="1"/>
  <c r="BN63" i="2" s="1"/>
  <c r="DI66" i="2"/>
  <c r="DJ66" i="2" s="1"/>
  <c r="DH67" i="2"/>
  <c r="AX52" i="2" l="1"/>
  <c r="AY52" i="2" s="1"/>
  <c r="AW53" i="2"/>
  <c r="H55" i="2"/>
  <c r="I55" i="2" s="1"/>
  <c r="G56" i="2"/>
  <c r="P36" i="1"/>
  <c r="Q36" i="1" s="1"/>
  <c r="O37" i="1"/>
  <c r="BE69" i="2"/>
  <c r="BF69" i="2" s="1"/>
  <c r="BD70" i="2"/>
  <c r="J54" i="2"/>
  <c r="AS59" i="2"/>
  <c r="CM70" i="2"/>
  <c r="CN69" i="2"/>
  <c r="CO69" i="2" s="1"/>
  <c r="CP69" i="2" s="1"/>
  <c r="AJ54" i="2"/>
  <c r="AK54" i="2" s="1"/>
  <c r="AI55" i="2"/>
  <c r="AQ60" i="2"/>
  <c r="AR60" i="2" s="1"/>
  <c r="AP61" i="2"/>
  <c r="K35" i="1"/>
  <c r="J35" i="1" s="1"/>
  <c r="E36" i="1"/>
  <c r="N35" i="1"/>
  <c r="CW72" i="2"/>
  <c r="G48" i="1"/>
  <c r="M47" i="1"/>
  <c r="BK65" i="2"/>
  <c r="BL64" i="2"/>
  <c r="BM64" i="2" s="1"/>
  <c r="N66" i="2"/>
  <c r="O65" i="2"/>
  <c r="P65" i="2" s="1"/>
  <c r="AZ52" i="2"/>
  <c r="CU73" i="2"/>
  <c r="CV73" i="2" s="1"/>
  <c r="CT74" i="2"/>
  <c r="CI56" i="2"/>
  <c r="DD60" i="2"/>
  <c r="AB118" i="2"/>
  <c r="AC117" i="2"/>
  <c r="AD117" i="2" s="1"/>
  <c r="CG57" i="2"/>
  <c r="CH57" i="2" s="1"/>
  <c r="CF58" i="2"/>
  <c r="X60" i="2"/>
  <c r="BG68" i="2"/>
  <c r="BR70" i="2"/>
  <c r="BS69" i="2"/>
  <c r="BT69" i="2" s="1"/>
  <c r="CP68" i="2"/>
  <c r="V61" i="2"/>
  <c r="W61" i="2" s="1"/>
  <c r="U62" i="2"/>
  <c r="Q64" i="2"/>
  <c r="DI67" i="2"/>
  <c r="DJ67" i="2" s="1"/>
  <c r="DH68" i="2"/>
  <c r="AZ51" i="2"/>
  <c r="DA62" i="2"/>
  <c r="DB61" i="2"/>
  <c r="DC61" i="2" s="1"/>
  <c r="DD61" i="2" s="1"/>
  <c r="R35" i="1"/>
  <c r="S35" i="1" s="1"/>
  <c r="X61" i="2"/>
  <c r="BZ67" i="2"/>
  <c r="CA67" i="2" s="1"/>
  <c r="BY68" i="2"/>
  <c r="AE116" i="2"/>
  <c r="DK66" i="2"/>
  <c r="O66" i="2" l="1"/>
  <c r="P66" i="2" s="1"/>
  <c r="N67" i="2"/>
  <c r="P37" i="1"/>
  <c r="Q37" i="1" s="1"/>
  <c r="O38" i="1"/>
  <c r="AE117" i="2"/>
  <c r="BN64" i="2"/>
  <c r="K36" i="1"/>
  <c r="J36" i="1" s="1"/>
  <c r="E37" i="1"/>
  <c r="N36" i="1"/>
  <c r="R36" i="1"/>
  <c r="S36" i="1" s="1"/>
  <c r="BL65" i="2"/>
  <c r="BM65" i="2" s="1"/>
  <c r="BK66" i="2"/>
  <c r="H56" i="2"/>
  <c r="I56" i="2" s="1"/>
  <c r="G57" i="2"/>
  <c r="DA63" i="2"/>
  <c r="DB62" i="2"/>
  <c r="DC62" i="2" s="1"/>
  <c r="CT75" i="2"/>
  <c r="CU74" i="2"/>
  <c r="CV74" i="2" s="1"/>
  <c r="AQ61" i="2"/>
  <c r="AR61" i="2" s="1"/>
  <c r="AP62" i="2"/>
  <c r="CN70" i="2"/>
  <c r="CO70" i="2" s="1"/>
  <c r="CM71" i="2"/>
  <c r="J55" i="2"/>
  <c r="DK67" i="2"/>
  <c r="AB119" i="2"/>
  <c r="AC118" i="2"/>
  <c r="AD118" i="2" s="1"/>
  <c r="BU69" i="2"/>
  <c r="CW73" i="2"/>
  <c r="AS60" i="2"/>
  <c r="BR71" i="2"/>
  <c r="BS70" i="2"/>
  <c r="BT70" i="2" s="1"/>
  <c r="CG58" i="2"/>
  <c r="CH58" i="2" s="1"/>
  <c r="CF59" i="2"/>
  <c r="G49" i="1"/>
  <c r="M48" i="1"/>
  <c r="AJ55" i="2"/>
  <c r="AK55" i="2" s="1"/>
  <c r="AI56" i="2"/>
  <c r="BE70" i="2"/>
  <c r="BF70" i="2" s="1"/>
  <c r="BD71" i="2"/>
  <c r="AX53" i="2"/>
  <c r="AY53" i="2" s="1"/>
  <c r="AW54" i="2"/>
  <c r="BZ68" i="2"/>
  <c r="CA68" i="2" s="1"/>
  <c r="BY69" i="2"/>
  <c r="CI57" i="2"/>
  <c r="AL54" i="2"/>
  <c r="BG69" i="2"/>
  <c r="AZ53" i="2"/>
  <c r="U63" i="2"/>
  <c r="V62" i="2"/>
  <c r="W62" i="2" s="1"/>
  <c r="CB67" i="2"/>
  <c r="DH69" i="2"/>
  <c r="DI68" i="2"/>
  <c r="DJ68" i="2" s="1"/>
  <c r="BN65" i="2"/>
  <c r="Q65" i="2"/>
  <c r="AX54" i="2" l="1"/>
  <c r="AY54" i="2" s="1"/>
  <c r="AW55" i="2"/>
  <c r="AS61" i="2"/>
  <c r="K37" i="1"/>
  <c r="J37" i="1" s="1"/>
  <c r="E38" i="1"/>
  <c r="N37" i="1"/>
  <c r="AE118" i="2"/>
  <c r="X62" i="2"/>
  <c r="G50" i="1"/>
  <c r="M49" i="1"/>
  <c r="CW74" i="2"/>
  <c r="BD72" i="2"/>
  <c r="BE71" i="2"/>
  <c r="BF71" i="2" s="1"/>
  <c r="BK67" i="2"/>
  <c r="BL66" i="2"/>
  <c r="BM66" i="2" s="1"/>
  <c r="BG70" i="2"/>
  <c r="CG59" i="2"/>
  <c r="CH59" i="2" s="1"/>
  <c r="CF60" i="2"/>
  <c r="DD62" i="2"/>
  <c r="P38" i="1"/>
  <c r="Q38" i="1" s="1"/>
  <c r="O39" i="1"/>
  <c r="CU75" i="2"/>
  <c r="CV75" i="2" s="1"/>
  <c r="CT76" i="2"/>
  <c r="CI58" i="2"/>
  <c r="DB63" i="2"/>
  <c r="DC63" i="2" s="1"/>
  <c r="DA64" i="2"/>
  <c r="R37" i="1"/>
  <c r="S37" i="1" s="1"/>
  <c r="DI69" i="2"/>
  <c r="DJ69" i="2" s="1"/>
  <c r="DH70" i="2"/>
  <c r="V63" i="2"/>
  <c r="W63" i="2" s="1"/>
  <c r="U64" i="2"/>
  <c r="DK68" i="2"/>
  <c r="BZ69" i="2"/>
  <c r="CA69" i="2" s="1"/>
  <c r="BY70" i="2"/>
  <c r="AJ56" i="2"/>
  <c r="AK56" i="2" s="1"/>
  <c r="AI57" i="2"/>
  <c r="BU70" i="2"/>
  <c r="CW75" i="2"/>
  <c r="CM72" i="2"/>
  <c r="CN71" i="2"/>
  <c r="CO71" i="2" s="1"/>
  <c r="O67" i="2"/>
  <c r="P67" i="2" s="1"/>
  <c r="N68" i="2"/>
  <c r="CB68" i="2"/>
  <c r="AL55" i="2"/>
  <c r="BS71" i="2"/>
  <c r="BT71" i="2" s="1"/>
  <c r="BR72" i="2"/>
  <c r="CP70" i="2"/>
  <c r="G58" i="2"/>
  <c r="H57" i="2"/>
  <c r="I57" i="2" s="1"/>
  <c r="Q66" i="2"/>
  <c r="DD63" i="2"/>
  <c r="AC119" i="2"/>
  <c r="AD119" i="2" s="1"/>
  <c r="AB120" i="2"/>
  <c r="AP63" i="2"/>
  <c r="AQ62" i="2"/>
  <c r="AR62" i="2" s="1"/>
  <c r="J56" i="2"/>
  <c r="CB70" i="2" l="1"/>
  <c r="AQ63" i="2"/>
  <c r="AR63" i="2" s="1"/>
  <c r="AP64" i="2"/>
  <c r="CN72" i="2"/>
  <c r="CO72" i="2" s="1"/>
  <c r="CM73" i="2"/>
  <c r="DK69" i="2"/>
  <c r="R38" i="1"/>
  <c r="S38" i="1" s="1"/>
  <c r="CI59" i="2"/>
  <c r="AX55" i="2"/>
  <c r="AY55" i="2" s="1"/>
  <c r="AW56" i="2"/>
  <c r="AC120" i="2"/>
  <c r="AD120" i="2" s="1"/>
  <c r="AB121" i="2"/>
  <c r="BY71" i="2"/>
  <c r="BZ70" i="2"/>
  <c r="CA70" i="2" s="1"/>
  <c r="AZ54" i="2"/>
  <c r="BS72" i="2"/>
  <c r="BT72" i="2" s="1"/>
  <c r="BR73" i="2"/>
  <c r="CB69" i="2"/>
  <c r="BU71" i="2"/>
  <c r="AE119" i="2"/>
  <c r="K38" i="1"/>
  <c r="J38" i="1" s="1"/>
  <c r="E39" i="1"/>
  <c r="N38" i="1"/>
  <c r="J57" i="2"/>
  <c r="AL56" i="2"/>
  <c r="DB64" i="2"/>
  <c r="DC64" i="2" s="1"/>
  <c r="DA65" i="2"/>
  <c r="BN66" i="2"/>
  <c r="X63" i="2"/>
  <c r="H58" i="2"/>
  <c r="I58" i="2" s="1"/>
  <c r="G59" i="2"/>
  <c r="O68" i="2"/>
  <c r="P68" i="2" s="1"/>
  <c r="N69" i="2"/>
  <c r="V64" i="2"/>
  <c r="W64" i="2" s="1"/>
  <c r="U65" i="2"/>
  <c r="CU76" i="2"/>
  <c r="CV76" i="2" s="1"/>
  <c r="CT77" i="2"/>
  <c r="BL67" i="2"/>
  <c r="BM67" i="2" s="1"/>
  <c r="BK68" i="2"/>
  <c r="BG72" i="2"/>
  <c r="BG71" i="2"/>
  <c r="G51" i="1"/>
  <c r="M50" i="1"/>
  <c r="AS63" i="2"/>
  <c r="AS62" i="2"/>
  <c r="Q67" i="2"/>
  <c r="CP71" i="2"/>
  <c r="AJ57" i="2"/>
  <c r="AK57" i="2" s="1"/>
  <c r="AI58" i="2"/>
  <c r="DI70" i="2"/>
  <c r="DJ70" i="2" s="1"/>
  <c r="DH71" i="2"/>
  <c r="P39" i="1"/>
  <c r="Q39" i="1" s="1"/>
  <c r="O40" i="1"/>
  <c r="CG60" i="2"/>
  <c r="CH60" i="2" s="1"/>
  <c r="CF61" i="2"/>
  <c r="BE72" i="2"/>
  <c r="BF72" i="2" s="1"/>
  <c r="BD73" i="2"/>
  <c r="CW76" i="2" l="1"/>
  <c r="Q68" i="2"/>
  <c r="AP65" i="2"/>
  <c r="AQ64" i="2"/>
  <c r="AR64" i="2" s="1"/>
  <c r="AC121" i="2"/>
  <c r="AD121" i="2" s="1"/>
  <c r="AB122" i="2"/>
  <c r="AS64" i="2"/>
  <c r="DK70" i="2"/>
  <c r="G60" i="2"/>
  <c r="H59" i="2"/>
  <c r="I59" i="2" s="1"/>
  <c r="BR74" i="2"/>
  <c r="BS73" i="2"/>
  <c r="BT73" i="2" s="1"/>
  <c r="AE120" i="2"/>
  <c r="AJ58" i="2"/>
  <c r="AK58" i="2" s="1"/>
  <c r="AI59" i="2"/>
  <c r="J58" i="2"/>
  <c r="BU72" i="2"/>
  <c r="AW57" i="2"/>
  <c r="AX56" i="2"/>
  <c r="AY56" i="2" s="1"/>
  <c r="R39" i="1"/>
  <c r="S39" i="1" s="1"/>
  <c r="BL68" i="2"/>
  <c r="BM68" i="2" s="1"/>
  <c r="BK69" i="2"/>
  <c r="DB65" i="2"/>
  <c r="DC65" i="2" s="1"/>
  <c r="DA66" i="2"/>
  <c r="AZ56" i="2"/>
  <c r="AZ55" i="2"/>
  <c r="CG61" i="2"/>
  <c r="CH61" i="2" s="1"/>
  <c r="CF62" i="2"/>
  <c r="BN67" i="2"/>
  <c r="V65" i="2"/>
  <c r="W65" i="2" s="1"/>
  <c r="U66" i="2"/>
  <c r="DD64" i="2"/>
  <c r="CN73" i="2"/>
  <c r="CO73" i="2" s="1"/>
  <c r="CM74" i="2"/>
  <c r="DH72" i="2"/>
  <c r="DI71" i="2"/>
  <c r="DJ71" i="2" s="1"/>
  <c r="BE73" i="2"/>
  <c r="BF73" i="2" s="1"/>
  <c r="BD74" i="2"/>
  <c r="O41" i="1"/>
  <c r="P40" i="1"/>
  <c r="Q40" i="1" s="1"/>
  <c r="CP72" i="2"/>
  <c r="X64" i="2"/>
  <c r="AL57" i="2"/>
  <c r="CI60" i="2"/>
  <c r="M51" i="1"/>
  <c r="G52" i="1"/>
  <c r="CU77" i="2"/>
  <c r="CV77" i="2" s="1"/>
  <c r="CT78" i="2"/>
  <c r="O69" i="2"/>
  <c r="P69" i="2" s="1"/>
  <c r="N70" i="2"/>
  <c r="K39" i="1"/>
  <c r="J39" i="1" s="1"/>
  <c r="E40" i="1"/>
  <c r="N39" i="1"/>
  <c r="BZ71" i="2"/>
  <c r="CA71" i="2" s="1"/>
  <c r="BY72" i="2"/>
  <c r="E41" i="1" l="1"/>
  <c r="K40" i="1"/>
  <c r="J40" i="1" s="1"/>
  <c r="N40" i="1"/>
  <c r="CU78" i="2"/>
  <c r="CV78" i="2" s="1"/>
  <c r="CT79" i="2"/>
  <c r="CW78" i="2"/>
  <c r="DI72" i="2"/>
  <c r="DJ72" i="2" s="1"/>
  <c r="DH73" i="2"/>
  <c r="X65" i="2"/>
  <c r="BL69" i="2"/>
  <c r="BM69" i="2" s="1"/>
  <c r="BK70" i="2"/>
  <c r="BS74" i="2"/>
  <c r="BT74" i="2" s="1"/>
  <c r="BR75" i="2"/>
  <c r="CW77" i="2"/>
  <c r="CN74" i="2"/>
  <c r="CO74" i="2" s="1"/>
  <c r="CM75" i="2"/>
  <c r="BN68" i="2"/>
  <c r="AI60" i="2"/>
  <c r="AJ59" i="2"/>
  <c r="AK59" i="2" s="1"/>
  <c r="J59" i="2"/>
  <c r="AB123" i="2"/>
  <c r="AC122" i="2"/>
  <c r="AD122" i="2" s="1"/>
  <c r="AE121" i="2"/>
  <c r="AL58" i="2"/>
  <c r="M52" i="1"/>
  <c r="G53" i="1"/>
  <c r="R40" i="1"/>
  <c r="S40" i="1" s="1"/>
  <c r="O42" i="1"/>
  <c r="P41" i="1"/>
  <c r="Q41" i="1" s="1"/>
  <c r="CP73" i="2"/>
  <c r="G61" i="2"/>
  <c r="H60" i="2"/>
  <c r="I60" i="2" s="1"/>
  <c r="BE74" i="2"/>
  <c r="BF74" i="2" s="1"/>
  <c r="BD75" i="2"/>
  <c r="AP66" i="2"/>
  <c r="AQ65" i="2"/>
  <c r="AR65" i="2" s="1"/>
  <c r="BZ72" i="2"/>
  <c r="CA72" i="2" s="1"/>
  <c r="BY73" i="2"/>
  <c r="BG73" i="2"/>
  <c r="O70" i="2"/>
  <c r="P70" i="2" s="1"/>
  <c r="N71" i="2"/>
  <c r="CF63" i="2"/>
  <c r="CG62" i="2"/>
  <c r="CH62" i="2" s="1"/>
  <c r="DB66" i="2"/>
  <c r="DC66" i="2" s="1"/>
  <c r="DA67" i="2"/>
  <c r="AX57" i="2"/>
  <c r="AY57" i="2" s="1"/>
  <c r="AW58" i="2"/>
  <c r="CB71" i="2"/>
  <c r="Q69" i="2"/>
  <c r="DK71" i="2"/>
  <c r="V66" i="2"/>
  <c r="W66" i="2" s="1"/>
  <c r="U67" i="2"/>
  <c r="DD65" i="2"/>
  <c r="DD66" i="2"/>
  <c r="BU73" i="2"/>
  <c r="CI61" i="2"/>
  <c r="AS65" i="2" l="1"/>
  <c r="BG74" i="2"/>
  <c r="AL59" i="2"/>
  <c r="CF64" i="2"/>
  <c r="CG63" i="2"/>
  <c r="CH63" i="2" s="1"/>
  <c r="AQ66" i="2"/>
  <c r="AR66" i="2" s="1"/>
  <c r="AP67" i="2"/>
  <c r="J60" i="2"/>
  <c r="AI61" i="2"/>
  <c r="AJ60" i="2"/>
  <c r="AK60" i="2" s="1"/>
  <c r="H61" i="2"/>
  <c r="I61" i="2" s="1"/>
  <c r="G62" i="2"/>
  <c r="R41" i="1"/>
  <c r="S41" i="1" s="1"/>
  <c r="BS75" i="2"/>
  <c r="BT75" i="2" s="1"/>
  <c r="BR76" i="2"/>
  <c r="DH74" i="2"/>
  <c r="DI73" i="2"/>
  <c r="DJ73" i="2" s="1"/>
  <c r="Q70" i="2"/>
  <c r="O43" i="1"/>
  <c r="P42" i="1"/>
  <c r="Q42" i="1" s="1"/>
  <c r="BU74" i="2"/>
  <c r="DK72" i="2"/>
  <c r="DK73" i="2"/>
  <c r="K41" i="1"/>
  <c r="J41" i="1" s="1"/>
  <c r="E42" i="1"/>
  <c r="N41" i="1"/>
  <c r="CI62" i="2"/>
  <c r="AX58" i="2"/>
  <c r="AY58" i="2" s="1"/>
  <c r="AW59" i="2"/>
  <c r="AE122" i="2"/>
  <c r="CP74" i="2"/>
  <c r="V67" i="2"/>
  <c r="W67" i="2" s="1"/>
  <c r="U68" i="2"/>
  <c r="O71" i="2"/>
  <c r="P71" i="2" s="1"/>
  <c r="N72" i="2"/>
  <c r="AZ57" i="2"/>
  <c r="G54" i="1"/>
  <c r="M53" i="1"/>
  <c r="AC123" i="2"/>
  <c r="AD123" i="2" s="1"/>
  <c r="AB124" i="2"/>
  <c r="CN75" i="2"/>
  <c r="CO75" i="2" s="1"/>
  <c r="CM76" i="2"/>
  <c r="BL70" i="2"/>
  <c r="BM70" i="2" s="1"/>
  <c r="BK71" i="2"/>
  <c r="DB67" i="2"/>
  <c r="DC67" i="2" s="1"/>
  <c r="DA68" i="2"/>
  <c r="BY74" i="2"/>
  <c r="BZ73" i="2"/>
  <c r="CA73" i="2" s="1"/>
  <c r="BN69" i="2"/>
  <c r="CU79" i="2"/>
  <c r="CV79" i="2" s="1"/>
  <c r="CT80" i="2"/>
  <c r="X66" i="2"/>
  <c r="CB72" i="2"/>
  <c r="BE75" i="2"/>
  <c r="BF75" i="2" s="1"/>
  <c r="BD76" i="2"/>
  <c r="CN76" i="2" l="1"/>
  <c r="CO76" i="2" s="1"/>
  <c r="CM77" i="2"/>
  <c r="Q71" i="2"/>
  <c r="J62" i="2"/>
  <c r="CP75" i="2"/>
  <c r="V68" i="2"/>
  <c r="W68" i="2" s="1"/>
  <c r="U69" i="2"/>
  <c r="AX59" i="2"/>
  <c r="AY59" i="2" s="1"/>
  <c r="AW60" i="2"/>
  <c r="DH75" i="2"/>
  <c r="DI74" i="2"/>
  <c r="DJ74" i="2" s="1"/>
  <c r="G63" i="2"/>
  <c r="H62" i="2"/>
  <c r="I62" i="2" s="1"/>
  <c r="BL71" i="2"/>
  <c r="BM71" i="2" s="1"/>
  <c r="BK72" i="2"/>
  <c r="CB73" i="2"/>
  <c r="AC124" i="2"/>
  <c r="AD124" i="2" s="1"/>
  <c r="AB125" i="2"/>
  <c r="AQ67" i="2"/>
  <c r="AR67" i="2" s="1"/>
  <c r="AP68" i="2"/>
  <c r="BZ74" i="2"/>
  <c r="CA74" i="2" s="1"/>
  <c r="BY75" i="2"/>
  <c r="AE123" i="2"/>
  <c r="AZ58" i="2"/>
  <c r="BU75" i="2"/>
  <c r="AL60" i="2"/>
  <c r="AS66" i="2"/>
  <c r="BE76" i="2"/>
  <c r="BF76" i="2" s="1"/>
  <c r="BD77" i="2"/>
  <c r="BS76" i="2"/>
  <c r="BT76" i="2" s="1"/>
  <c r="BR77" i="2"/>
  <c r="DA69" i="2"/>
  <c r="DB68" i="2"/>
  <c r="DC68" i="2" s="1"/>
  <c r="P43" i="1"/>
  <c r="Q43" i="1" s="1"/>
  <c r="O44" i="1"/>
  <c r="R43" i="1"/>
  <c r="S43" i="1" s="1"/>
  <c r="AJ61" i="2"/>
  <c r="AK61" i="2" s="1"/>
  <c r="AI62" i="2"/>
  <c r="CI63" i="2"/>
  <c r="CU80" i="2"/>
  <c r="CV80" i="2" s="1"/>
  <c r="CT81" i="2"/>
  <c r="DD67" i="2"/>
  <c r="DD68" i="2"/>
  <c r="M54" i="1"/>
  <c r="G55" i="1"/>
  <c r="BG75" i="2"/>
  <c r="E43" i="1"/>
  <c r="K42" i="1"/>
  <c r="J42" i="1" s="1"/>
  <c r="N42" i="1"/>
  <c r="R42" i="1"/>
  <c r="S42" i="1" s="1"/>
  <c r="CG64" i="2"/>
  <c r="CH64" i="2" s="1"/>
  <c r="CF65" i="2"/>
  <c r="CW79" i="2"/>
  <c r="X67" i="2"/>
  <c r="BN70" i="2"/>
  <c r="O72" i="2"/>
  <c r="P72" i="2" s="1"/>
  <c r="N73" i="2"/>
  <c r="CI64" i="2"/>
  <c r="J61" i="2"/>
  <c r="AL61" i="2" l="1"/>
  <c r="BS77" i="2"/>
  <c r="BT77" i="2" s="1"/>
  <c r="BR78" i="2"/>
  <c r="H63" i="2"/>
  <c r="I63" i="2" s="1"/>
  <c r="G64" i="2"/>
  <c r="BU76" i="2"/>
  <c r="DK74" i="2"/>
  <c r="CM78" i="2"/>
  <c r="CN77" i="2"/>
  <c r="CO77" i="2" s="1"/>
  <c r="P44" i="1"/>
  <c r="Q44" i="1" s="1"/>
  <c r="O45" i="1"/>
  <c r="BE77" i="2"/>
  <c r="BF77" i="2" s="1"/>
  <c r="BD78" i="2"/>
  <c r="CB74" i="2"/>
  <c r="DH76" i="2"/>
  <c r="DI75" i="2"/>
  <c r="DJ75" i="2" s="1"/>
  <c r="CP76" i="2"/>
  <c r="Q72" i="2"/>
  <c r="K43" i="1"/>
  <c r="J43" i="1" s="1"/>
  <c r="E44" i="1"/>
  <c r="N43" i="1"/>
  <c r="BG76" i="2"/>
  <c r="AP69" i="2"/>
  <c r="AQ68" i="2"/>
  <c r="AR68" i="2" s="1"/>
  <c r="AX60" i="2"/>
  <c r="AY60" i="2" s="1"/>
  <c r="AW61" i="2"/>
  <c r="AS67" i="2"/>
  <c r="AZ59" i="2"/>
  <c r="BK73" i="2"/>
  <c r="BL72" i="2"/>
  <c r="BM72" i="2" s="1"/>
  <c r="U70" i="2"/>
  <c r="V69" i="2"/>
  <c r="W69" i="2" s="1"/>
  <c r="CG65" i="2"/>
  <c r="CH65" i="2" s="1"/>
  <c r="CF66" i="2"/>
  <c r="CT82" i="2"/>
  <c r="CU81" i="2"/>
  <c r="CV81" i="2" s="1"/>
  <c r="DA70" i="2"/>
  <c r="DB69" i="2"/>
  <c r="DC69" i="2" s="1"/>
  <c r="AB126" i="2"/>
  <c r="AC125" i="2"/>
  <c r="AD125" i="2" s="1"/>
  <c r="BN71" i="2"/>
  <c r="X68" i="2"/>
  <c r="N74" i="2"/>
  <c r="O73" i="2"/>
  <c r="P73" i="2" s="1"/>
  <c r="Q73" i="2" s="1"/>
  <c r="M55" i="1"/>
  <c r="G56" i="1"/>
  <c r="CW80" i="2"/>
  <c r="AJ62" i="2"/>
  <c r="AK62" i="2" s="1"/>
  <c r="AI63" i="2"/>
  <c r="CW81" i="2"/>
  <c r="BY76" i="2"/>
  <c r="BZ75" i="2"/>
  <c r="CA75" i="2" s="1"/>
  <c r="AE124" i="2"/>
  <c r="CI65" i="2" l="1"/>
  <c r="J63" i="2"/>
  <c r="CW82" i="2"/>
  <c r="X69" i="2"/>
  <c r="BE78" i="2"/>
  <c r="BF78" i="2" s="1"/>
  <c r="BD79" i="2"/>
  <c r="CB75" i="2"/>
  <c r="CU82" i="2"/>
  <c r="CV82" i="2" s="1"/>
  <c r="CT83" i="2"/>
  <c r="V70" i="2"/>
  <c r="W70" i="2" s="1"/>
  <c r="U71" i="2"/>
  <c r="AW62" i="2"/>
  <c r="AX61" i="2"/>
  <c r="AY61" i="2" s="1"/>
  <c r="BG77" i="2"/>
  <c r="N75" i="2"/>
  <c r="O74" i="2"/>
  <c r="P74" i="2" s="1"/>
  <c r="AE125" i="2"/>
  <c r="AZ60" i="2"/>
  <c r="O46" i="1"/>
  <c r="P45" i="1"/>
  <c r="Q45" i="1" s="1"/>
  <c r="AB127" i="2"/>
  <c r="AC126" i="2"/>
  <c r="AD126" i="2" s="1"/>
  <c r="BK74" i="2"/>
  <c r="BL73" i="2"/>
  <c r="BM73" i="2" s="1"/>
  <c r="AS68" i="2"/>
  <c r="R44" i="1"/>
  <c r="S44" i="1" s="1"/>
  <c r="AP70" i="2"/>
  <c r="AQ69" i="2"/>
  <c r="AR69" i="2" s="1"/>
  <c r="DK75" i="2"/>
  <c r="CP77" i="2"/>
  <c r="BR79" i="2"/>
  <c r="BS78" i="2"/>
  <c r="BT78" i="2" s="1"/>
  <c r="AJ63" i="2"/>
  <c r="AK63" i="2" s="1"/>
  <c r="AI64" i="2"/>
  <c r="AL62" i="2"/>
  <c r="M56" i="1"/>
  <c r="G57" i="1"/>
  <c r="DD69" i="2"/>
  <c r="DD70" i="2"/>
  <c r="K44" i="1"/>
  <c r="J44" i="1" s="1"/>
  <c r="E45" i="1"/>
  <c r="N44" i="1"/>
  <c r="DH77" i="2"/>
  <c r="DI76" i="2"/>
  <c r="DJ76" i="2" s="1"/>
  <c r="CN78" i="2"/>
  <c r="CO78" i="2" s="1"/>
  <c r="CM79" i="2"/>
  <c r="BU77" i="2"/>
  <c r="BZ76" i="2"/>
  <c r="CA76" i="2" s="1"/>
  <c r="BY77" i="2"/>
  <c r="BN72" i="2"/>
  <c r="DB70" i="2"/>
  <c r="DC70" i="2" s="1"/>
  <c r="DA71" i="2"/>
  <c r="CG66" i="2"/>
  <c r="CH66" i="2" s="1"/>
  <c r="CF67" i="2"/>
  <c r="DK76" i="2"/>
  <c r="H64" i="2"/>
  <c r="I64" i="2" s="1"/>
  <c r="J64" i="2" s="1"/>
  <c r="G65" i="2"/>
  <c r="CN79" i="2" l="1"/>
  <c r="CO79" i="2" s="1"/>
  <c r="CM80" i="2"/>
  <c r="M57" i="1"/>
  <c r="G58" i="1"/>
  <c r="BU79" i="2"/>
  <c r="BU78" i="2"/>
  <c r="BN73" i="2"/>
  <c r="Q74" i="2"/>
  <c r="Q75" i="2"/>
  <c r="BD80" i="2"/>
  <c r="BE79" i="2"/>
  <c r="BF79" i="2" s="1"/>
  <c r="BZ77" i="2"/>
  <c r="CA77" i="2" s="1"/>
  <c r="BY78" i="2"/>
  <c r="CP78" i="2"/>
  <c r="BS79" i="2"/>
  <c r="BT79" i="2" s="1"/>
  <c r="BR80" i="2"/>
  <c r="AQ70" i="2"/>
  <c r="AR70" i="2" s="1"/>
  <c r="AP71" i="2"/>
  <c r="R45" i="1"/>
  <c r="S45" i="1" s="1"/>
  <c r="O75" i="2"/>
  <c r="P75" i="2" s="1"/>
  <c r="N76" i="2"/>
  <c r="BG79" i="2"/>
  <c r="O47" i="1"/>
  <c r="P46" i="1"/>
  <c r="Q46" i="1" s="1"/>
  <c r="AX62" i="2"/>
  <c r="AY62" i="2" s="1"/>
  <c r="AW63" i="2"/>
  <c r="CB76" i="2"/>
  <c r="DI77" i="2"/>
  <c r="DJ77" i="2" s="1"/>
  <c r="DH78" i="2"/>
  <c r="BL74" i="2"/>
  <c r="BM74" i="2" s="1"/>
  <c r="BK75" i="2"/>
  <c r="AZ61" i="2"/>
  <c r="CI66" i="2"/>
  <c r="U72" i="2"/>
  <c r="V71" i="2"/>
  <c r="W71" i="2" s="1"/>
  <c r="CB77" i="2"/>
  <c r="X70" i="2"/>
  <c r="AE126" i="2"/>
  <c r="CU83" i="2"/>
  <c r="CV83" i="2" s="1"/>
  <c r="CT84" i="2"/>
  <c r="CG67" i="2"/>
  <c r="CH67" i="2" s="1"/>
  <c r="CF68" i="2"/>
  <c r="E46" i="1"/>
  <c r="K45" i="1"/>
  <c r="J45" i="1" s="1"/>
  <c r="N45" i="1"/>
  <c r="AJ64" i="2"/>
  <c r="AK64" i="2" s="1"/>
  <c r="AI65" i="2"/>
  <c r="AS69" i="2"/>
  <c r="AC127" i="2"/>
  <c r="AD127" i="2" s="1"/>
  <c r="AB128" i="2"/>
  <c r="BG78" i="2"/>
  <c r="DA72" i="2"/>
  <c r="DB71" i="2"/>
  <c r="DC71" i="2" s="1"/>
  <c r="H65" i="2"/>
  <c r="I65" i="2" s="1"/>
  <c r="G66" i="2"/>
  <c r="AS70" i="2"/>
  <c r="AL63" i="2"/>
  <c r="CI67" i="2" l="1"/>
  <c r="BL75" i="2"/>
  <c r="BM75" i="2" s="1"/>
  <c r="BK76" i="2"/>
  <c r="CN80" i="2"/>
  <c r="CO80" i="2" s="1"/>
  <c r="CM81" i="2"/>
  <c r="AE127" i="2"/>
  <c r="CP79" i="2"/>
  <c r="DI78" i="2"/>
  <c r="DJ78" i="2" s="1"/>
  <c r="DH79" i="2"/>
  <c r="AX63" i="2"/>
  <c r="AY63" i="2" s="1"/>
  <c r="AW64" i="2"/>
  <c r="AJ65" i="2"/>
  <c r="AK65" i="2" s="1"/>
  <c r="AI66" i="2"/>
  <c r="X71" i="2"/>
  <c r="AZ62" i="2"/>
  <c r="O76" i="2"/>
  <c r="P76" i="2" s="1"/>
  <c r="N77" i="2"/>
  <c r="AQ71" i="2"/>
  <c r="AR71" i="2" s="1"/>
  <c r="AP72" i="2"/>
  <c r="CG68" i="2"/>
  <c r="CH68" i="2" s="1"/>
  <c r="CF69" i="2"/>
  <c r="G67" i="2"/>
  <c r="H66" i="2"/>
  <c r="I66" i="2" s="1"/>
  <c r="AL64" i="2"/>
  <c r="CT85" i="2"/>
  <c r="CU84" i="2"/>
  <c r="CV84" i="2" s="1"/>
  <c r="V72" i="2"/>
  <c r="W72" i="2" s="1"/>
  <c r="U73" i="2"/>
  <c r="AS71" i="2"/>
  <c r="BZ78" i="2"/>
  <c r="CA78" i="2" s="1"/>
  <c r="BY79" i="2"/>
  <c r="AC128" i="2"/>
  <c r="AD128" i="2" s="1"/>
  <c r="AB129" i="2"/>
  <c r="CW83" i="2"/>
  <c r="R46" i="1"/>
  <c r="S46" i="1" s="1"/>
  <c r="BR81" i="2"/>
  <c r="BS80" i="2"/>
  <c r="BT80" i="2" s="1"/>
  <c r="G59" i="1"/>
  <c r="M58" i="1"/>
  <c r="DD71" i="2"/>
  <c r="DD72" i="2"/>
  <c r="DK77" i="2"/>
  <c r="P47" i="1"/>
  <c r="Q47" i="1" s="1"/>
  <c r="O48" i="1"/>
  <c r="R47" i="1"/>
  <c r="S47" i="1" s="1"/>
  <c r="J65" i="2"/>
  <c r="DB72" i="2"/>
  <c r="DC72" i="2" s="1"/>
  <c r="DA73" i="2"/>
  <c r="E47" i="1"/>
  <c r="K46" i="1"/>
  <c r="J46" i="1" s="1"/>
  <c r="N46" i="1"/>
  <c r="BN74" i="2"/>
  <c r="BD81" i="2"/>
  <c r="BE80" i="2"/>
  <c r="BF80" i="2" s="1"/>
  <c r="BU80" i="2"/>
  <c r="M59" i="1" l="1"/>
  <c r="G60" i="1"/>
  <c r="BZ79" i="2"/>
  <c r="CA79" i="2" s="1"/>
  <c r="BY80" i="2"/>
  <c r="X72" i="2"/>
  <c r="H67" i="2"/>
  <c r="I67" i="2" s="1"/>
  <c r="G68" i="2"/>
  <c r="BN75" i="2"/>
  <c r="CB78" i="2"/>
  <c r="CW84" i="2"/>
  <c r="CG69" i="2"/>
  <c r="CH69" i="2" s="1"/>
  <c r="CF70" i="2"/>
  <c r="E48" i="1"/>
  <c r="K47" i="1"/>
  <c r="J47" i="1" s="1"/>
  <c r="N47" i="1"/>
  <c r="CU85" i="2"/>
  <c r="CV85" i="2" s="1"/>
  <c r="CT86" i="2"/>
  <c r="DB73" i="2"/>
  <c r="DC73" i="2" s="1"/>
  <c r="DA74" i="2"/>
  <c r="AQ72" i="2"/>
  <c r="AR72" i="2" s="1"/>
  <c r="AP73" i="2"/>
  <c r="CI68" i="2"/>
  <c r="BG80" i="2"/>
  <c r="BE81" i="2"/>
  <c r="BF81" i="2" s="1"/>
  <c r="BD82" i="2"/>
  <c r="BU81" i="2"/>
  <c r="AW65" i="2"/>
  <c r="AX64" i="2"/>
  <c r="AY64" i="2" s="1"/>
  <c r="BS81" i="2"/>
  <c r="BT81" i="2" s="1"/>
  <c r="BR82" i="2"/>
  <c r="O77" i="2"/>
  <c r="P77" i="2" s="1"/>
  <c r="N78" i="2"/>
  <c r="AZ63" i="2"/>
  <c r="CN81" i="2"/>
  <c r="CO81" i="2" s="1"/>
  <c r="CM82" i="2"/>
  <c r="P48" i="1"/>
  <c r="Q48" i="1" s="1"/>
  <c r="O49" i="1"/>
  <c r="AB130" i="2"/>
  <c r="AC129" i="2"/>
  <c r="AD129" i="2" s="1"/>
  <c r="Q76" i="2"/>
  <c r="AJ66" i="2"/>
  <c r="AK66" i="2" s="1"/>
  <c r="AI67" i="2"/>
  <c r="DI79" i="2"/>
  <c r="DJ79" i="2" s="1"/>
  <c r="DH80" i="2"/>
  <c r="CP81" i="2"/>
  <c r="CP80" i="2"/>
  <c r="AE128" i="2"/>
  <c r="V73" i="2"/>
  <c r="W73" i="2" s="1"/>
  <c r="U74" i="2"/>
  <c r="J66" i="2"/>
  <c r="J67" i="2"/>
  <c r="AL65" i="2"/>
  <c r="DK79" i="2"/>
  <c r="DK78" i="2"/>
  <c r="BL76" i="2"/>
  <c r="BM76" i="2" s="1"/>
  <c r="BK77" i="2"/>
  <c r="BL77" i="2" l="1"/>
  <c r="BM77" i="2" s="1"/>
  <c r="BK78" i="2"/>
  <c r="AJ67" i="2"/>
  <c r="AK67" i="2" s="1"/>
  <c r="AI68" i="2"/>
  <c r="O50" i="1"/>
  <c r="P49" i="1"/>
  <c r="Q49" i="1" s="1"/>
  <c r="AX65" i="2"/>
  <c r="AY65" i="2" s="1"/>
  <c r="AW66" i="2"/>
  <c r="BE82" i="2"/>
  <c r="BF82" i="2" s="1"/>
  <c r="BD83" i="2"/>
  <c r="CI69" i="2"/>
  <c r="BZ80" i="2"/>
  <c r="CA80" i="2" s="1"/>
  <c r="BY81" i="2"/>
  <c r="BN76" i="2"/>
  <c r="AL66" i="2"/>
  <c r="BG81" i="2"/>
  <c r="AQ73" i="2"/>
  <c r="AR73" i="2" s="1"/>
  <c r="AP74" i="2"/>
  <c r="CB79" i="2"/>
  <c r="CN82" i="2"/>
  <c r="CO82" i="2" s="1"/>
  <c r="CM83" i="2"/>
  <c r="O78" i="2"/>
  <c r="P78" i="2" s="1"/>
  <c r="N79" i="2"/>
  <c r="AS72" i="2"/>
  <c r="AS73" i="2"/>
  <c r="CU86" i="2"/>
  <c r="CV86" i="2" s="1"/>
  <c r="CT87" i="2"/>
  <c r="H68" i="2"/>
  <c r="I68" i="2" s="1"/>
  <c r="G69" i="2"/>
  <c r="M60" i="1"/>
  <c r="G61" i="1"/>
  <c r="Q77" i="2"/>
  <c r="CW85" i="2"/>
  <c r="BG82" i="2"/>
  <c r="BS82" i="2"/>
  <c r="BT82" i="2" s="1"/>
  <c r="BR83" i="2"/>
  <c r="R48" i="1"/>
  <c r="S48" i="1" s="1"/>
  <c r="X73" i="2"/>
  <c r="DI80" i="2"/>
  <c r="DJ80" i="2" s="1"/>
  <c r="DH81" i="2"/>
  <c r="AE129" i="2"/>
  <c r="AE130" i="2"/>
  <c r="DA75" i="2"/>
  <c r="DB74" i="2"/>
  <c r="DC74" i="2" s="1"/>
  <c r="E49" i="1"/>
  <c r="K48" i="1"/>
  <c r="J48" i="1" s="1"/>
  <c r="N48" i="1"/>
  <c r="V74" i="2"/>
  <c r="W74" i="2" s="1"/>
  <c r="U75" i="2"/>
  <c r="AC130" i="2"/>
  <c r="AD130" i="2" s="1"/>
  <c r="AB131" i="2"/>
  <c r="AZ64" i="2"/>
  <c r="DD73" i="2"/>
  <c r="CG70" i="2"/>
  <c r="CH70" i="2" s="1"/>
  <c r="CF71" i="2"/>
  <c r="DD74" i="2" l="1"/>
  <c r="CW86" i="2"/>
  <c r="Q78" i="2"/>
  <c r="CB80" i="2"/>
  <c r="V75" i="2"/>
  <c r="W75" i="2" s="1"/>
  <c r="U76" i="2"/>
  <c r="DB75" i="2"/>
  <c r="DC75" i="2" s="1"/>
  <c r="DA76" i="2"/>
  <c r="BS83" i="2"/>
  <c r="BT83" i="2" s="1"/>
  <c r="BR84" i="2"/>
  <c r="CN83" i="2"/>
  <c r="CO83" i="2" s="1"/>
  <c r="CM84" i="2"/>
  <c r="P50" i="1"/>
  <c r="Q50" i="1" s="1"/>
  <c r="O51" i="1"/>
  <c r="X74" i="2"/>
  <c r="BU83" i="2"/>
  <c r="CP82" i="2"/>
  <c r="CP83" i="2"/>
  <c r="AJ68" i="2"/>
  <c r="AK68" i="2" s="1"/>
  <c r="AI69" i="2"/>
  <c r="BU82" i="2"/>
  <c r="DH82" i="2"/>
  <c r="DI81" i="2"/>
  <c r="DJ81" i="2" s="1"/>
  <c r="M61" i="1"/>
  <c r="G62" i="1"/>
  <c r="DK80" i="2"/>
  <c r="R49" i="1"/>
  <c r="S49" i="1" s="1"/>
  <c r="BE83" i="2"/>
  <c r="BF83" i="2" s="1"/>
  <c r="BD84" i="2"/>
  <c r="BL78" i="2"/>
  <c r="BM78" i="2" s="1"/>
  <c r="BK79" i="2"/>
  <c r="CF72" i="2"/>
  <c r="CG71" i="2"/>
  <c r="CH71" i="2" s="1"/>
  <c r="AC131" i="2"/>
  <c r="AD131" i="2" s="1"/>
  <c r="AB132" i="2"/>
  <c r="G70" i="2"/>
  <c r="H69" i="2"/>
  <c r="I69" i="2" s="1"/>
  <c r="CI70" i="2"/>
  <c r="AE131" i="2"/>
  <c r="J68" i="2"/>
  <c r="AL67" i="2"/>
  <c r="AX66" i="2"/>
  <c r="AY66" i="2" s="1"/>
  <c r="AW67" i="2"/>
  <c r="BN77" i="2"/>
  <c r="K49" i="1"/>
  <c r="J49" i="1" s="1"/>
  <c r="E50" i="1"/>
  <c r="N49" i="1"/>
  <c r="CT88" i="2"/>
  <c r="CU87" i="2"/>
  <c r="CV87" i="2" s="1"/>
  <c r="CW87" i="2" s="1"/>
  <c r="O79" i="2"/>
  <c r="P79" i="2" s="1"/>
  <c r="N80" i="2"/>
  <c r="AP75" i="2"/>
  <c r="AQ74" i="2"/>
  <c r="AR74" i="2" s="1"/>
  <c r="AL68" i="2"/>
  <c r="BY82" i="2"/>
  <c r="BZ81" i="2"/>
  <c r="CA81" i="2" s="1"/>
  <c r="AZ66" i="2"/>
  <c r="AZ65" i="2"/>
  <c r="H70" i="2" l="1"/>
  <c r="I70" i="2" s="1"/>
  <c r="G71" i="2"/>
  <c r="U77" i="2"/>
  <c r="V76" i="2"/>
  <c r="W76" i="2" s="1"/>
  <c r="AC132" i="2"/>
  <c r="AD132" i="2" s="1"/>
  <c r="AB133" i="2"/>
  <c r="DI82" i="2"/>
  <c r="DJ82" i="2" s="1"/>
  <c r="DH83" i="2"/>
  <c r="X75" i="2"/>
  <c r="CB81" i="2"/>
  <c r="CU88" i="2"/>
  <c r="CV88" i="2" s="1"/>
  <c r="CT89" i="2"/>
  <c r="CN84" i="2"/>
  <c r="CO84" i="2" s="1"/>
  <c r="CM85" i="2"/>
  <c r="BZ82" i="2"/>
  <c r="CA82" i="2" s="1"/>
  <c r="BY83" i="2"/>
  <c r="AX67" i="2"/>
  <c r="AY67" i="2" s="1"/>
  <c r="AW68" i="2"/>
  <c r="BG83" i="2"/>
  <c r="CI71" i="2"/>
  <c r="DK82" i="2"/>
  <c r="AI70" i="2"/>
  <c r="AJ69" i="2"/>
  <c r="AK69" i="2" s="1"/>
  <c r="R50" i="1"/>
  <c r="S50" i="1" s="1"/>
  <c r="CF73" i="2"/>
  <c r="CG72" i="2"/>
  <c r="CH72" i="2" s="1"/>
  <c r="DK81" i="2"/>
  <c r="M62" i="1"/>
  <c r="G63" i="1"/>
  <c r="AL69" i="2"/>
  <c r="BR85" i="2"/>
  <c r="BS84" i="2"/>
  <c r="BT84" i="2" s="1"/>
  <c r="AS74" i="2"/>
  <c r="BK80" i="2"/>
  <c r="BL79" i="2"/>
  <c r="BM79" i="2" s="1"/>
  <c r="AQ75" i="2"/>
  <c r="AR75" i="2" s="1"/>
  <c r="AS75" i="2" s="1"/>
  <c r="AP76" i="2"/>
  <c r="BN78" i="2"/>
  <c r="BN79" i="2"/>
  <c r="DB76" i="2"/>
  <c r="DC76" i="2" s="1"/>
  <c r="DA77" i="2"/>
  <c r="CW88" i="2"/>
  <c r="AZ67" i="2"/>
  <c r="O80" i="2"/>
  <c r="P80" i="2" s="1"/>
  <c r="N81" i="2"/>
  <c r="K50" i="1"/>
  <c r="J50" i="1" s="1"/>
  <c r="E51" i="1"/>
  <c r="N50" i="1"/>
  <c r="J69" i="2"/>
  <c r="BD85" i="2"/>
  <c r="BE84" i="2"/>
  <c r="BF84" i="2" s="1"/>
  <c r="Q79" i="2"/>
  <c r="CP84" i="2"/>
  <c r="O52" i="1"/>
  <c r="P51" i="1"/>
  <c r="Q51" i="1" s="1"/>
  <c r="DD75" i="2"/>
  <c r="BL80" i="2" l="1"/>
  <c r="BM80" i="2" s="1"/>
  <c r="BK81" i="2"/>
  <c r="BS85" i="2"/>
  <c r="BT85" i="2" s="1"/>
  <c r="BR86" i="2"/>
  <c r="X76" i="2"/>
  <c r="CI72" i="2"/>
  <c r="CI73" i="2"/>
  <c r="AX68" i="2"/>
  <c r="AY68" i="2" s="1"/>
  <c r="AW69" i="2"/>
  <c r="AC133" i="2"/>
  <c r="AD133" i="2" s="1"/>
  <c r="AB134" i="2"/>
  <c r="U78" i="2"/>
  <c r="V77" i="2"/>
  <c r="W77" i="2" s="1"/>
  <c r="BG84" i="2"/>
  <c r="CG73" i="2"/>
  <c r="CH73" i="2" s="1"/>
  <c r="CF74" i="2"/>
  <c r="AE132" i="2"/>
  <c r="O53" i="1"/>
  <c r="P52" i="1"/>
  <c r="Q52" i="1" s="1"/>
  <c r="BY84" i="2"/>
  <c r="BZ83" i="2"/>
  <c r="CA83" i="2" s="1"/>
  <c r="R52" i="1"/>
  <c r="S52" i="1" s="1"/>
  <c r="H71" i="2"/>
  <c r="I71" i="2" s="1"/>
  <c r="G72" i="2"/>
  <c r="DA78" i="2"/>
  <c r="DB77" i="2"/>
  <c r="DC77" i="2" s="1"/>
  <c r="AJ70" i="2"/>
  <c r="AK70" i="2" s="1"/>
  <c r="AI71" i="2"/>
  <c r="CU89" i="2"/>
  <c r="CV89" i="2" s="1"/>
  <c r="CT90" i="2"/>
  <c r="J70" i="2"/>
  <c r="BE85" i="2"/>
  <c r="BF85" i="2" s="1"/>
  <c r="BD86" i="2"/>
  <c r="DD76" i="2"/>
  <c r="N82" i="2"/>
  <c r="O81" i="2"/>
  <c r="P81" i="2" s="1"/>
  <c r="E52" i="1"/>
  <c r="K51" i="1"/>
  <c r="J51" i="1" s="1"/>
  <c r="N51" i="1"/>
  <c r="AQ76" i="2"/>
  <c r="AR76" i="2" s="1"/>
  <c r="AP77" i="2"/>
  <c r="M63" i="1"/>
  <c r="G64" i="1"/>
  <c r="R51" i="1"/>
  <c r="S51" i="1" s="1"/>
  <c r="CB82" i="2"/>
  <c r="BU84" i="2"/>
  <c r="Q80" i="2"/>
  <c r="CM86" i="2"/>
  <c r="CN85" i="2"/>
  <c r="CO85" i="2" s="1"/>
  <c r="DI83" i="2"/>
  <c r="DJ83" i="2" s="1"/>
  <c r="DH84" i="2"/>
  <c r="O82" i="2" l="1"/>
  <c r="P82" i="2" s="1"/>
  <c r="N83" i="2"/>
  <c r="BG85" i="2"/>
  <c r="CU90" i="2"/>
  <c r="CV90" i="2" s="1"/>
  <c r="CT91" i="2"/>
  <c r="J71" i="2"/>
  <c r="BU85" i="2"/>
  <c r="X77" i="2"/>
  <c r="DK83" i="2"/>
  <c r="BL81" i="2"/>
  <c r="BM81" i="2" s="1"/>
  <c r="BK82" i="2"/>
  <c r="DH85" i="2"/>
  <c r="DI84" i="2"/>
  <c r="DJ84" i="2" s="1"/>
  <c r="AQ77" i="2"/>
  <c r="AR77" i="2" s="1"/>
  <c r="AP78" i="2"/>
  <c r="P53" i="1"/>
  <c r="Q53" i="1" s="1"/>
  <c r="O54" i="1"/>
  <c r="V78" i="2"/>
  <c r="W78" i="2" s="1"/>
  <c r="U79" i="2"/>
  <c r="BN80" i="2"/>
  <c r="BN81" i="2"/>
  <c r="AS76" i="2"/>
  <c r="AJ71" i="2"/>
  <c r="AK71" i="2" s="1"/>
  <c r="AI72" i="2"/>
  <c r="AB135" i="2"/>
  <c r="AC134" i="2"/>
  <c r="AD134" i="2" s="1"/>
  <c r="AL70" i="2"/>
  <c r="CB83" i="2"/>
  <c r="AE133" i="2"/>
  <c r="DD77" i="2"/>
  <c r="BZ84" i="2"/>
  <c r="CA84" i="2" s="1"/>
  <c r="CB84" i="2" s="1"/>
  <c r="BY85" i="2"/>
  <c r="Q81" i="2"/>
  <c r="CP85" i="2"/>
  <c r="CW89" i="2"/>
  <c r="CN86" i="2"/>
  <c r="CO86" i="2" s="1"/>
  <c r="CM87" i="2"/>
  <c r="G65" i="1"/>
  <c r="M64" i="1"/>
  <c r="K52" i="1"/>
  <c r="J52" i="1" s="1"/>
  <c r="E53" i="1"/>
  <c r="N52" i="1"/>
  <c r="DB78" i="2"/>
  <c r="DC78" i="2" s="1"/>
  <c r="DA79" i="2"/>
  <c r="CF75" i="2"/>
  <c r="CG74" i="2"/>
  <c r="CH74" i="2" s="1"/>
  <c r="AX69" i="2"/>
  <c r="AY69" i="2" s="1"/>
  <c r="AW70" i="2"/>
  <c r="DK84" i="2"/>
  <c r="BE86" i="2"/>
  <c r="BF86" i="2" s="1"/>
  <c r="BD87" i="2"/>
  <c r="X78" i="2"/>
  <c r="G73" i="2"/>
  <c r="H72" i="2"/>
  <c r="I72" i="2" s="1"/>
  <c r="CI74" i="2"/>
  <c r="AZ68" i="2"/>
  <c r="BS86" i="2"/>
  <c r="BT86" i="2" s="1"/>
  <c r="BU86" i="2" s="1"/>
  <c r="BR87" i="2"/>
  <c r="R53" i="1" l="1"/>
  <c r="S53" i="1" s="1"/>
  <c r="CN87" i="2"/>
  <c r="CO87" i="2" s="1"/>
  <c r="CM88" i="2"/>
  <c r="AI73" i="2"/>
  <c r="AJ72" i="2"/>
  <c r="AK72" i="2" s="1"/>
  <c r="O83" i="2"/>
  <c r="P83" i="2" s="1"/>
  <c r="N84" i="2"/>
  <c r="AL71" i="2"/>
  <c r="AQ78" i="2"/>
  <c r="AR78" i="2" s="1"/>
  <c r="AP79" i="2"/>
  <c r="Q82" i="2"/>
  <c r="BE87" i="2"/>
  <c r="BF87" i="2" s="1"/>
  <c r="BD88" i="2"/>
  <c r="AW71" i="2"/>
  <c r="AX70" i="2"/>
  <c r="AY70" i="2" s="1"/>
  <c r="AZ69" i="2"/>
  <c r="K53" i="1"/>
  <c r="J53" i="1" s="1"/>
  <c r="E54" i="1"/>
  <c r="N53" i="1"/>
  <c r="BZ85" i="2"/>
  <c r="CA85" i="2" s="1"/>
  <c r="BY86" i="2"/>
  <c r="AS77" i="2"/>
  <c r="CP86" i="2"/>
  <c r="BS87" i="2"/>
  <c r="BT87" i="2" s="1"/>
  <c r="BR88" i="2"/>
  <c r="CG75" i="2"/>
  <c r="CH75" i="2" s="1"/>
  <c r="CF76" i="2"/>
  <c r="AE134" i="2"/>
  <c r="V79" i="2"/>
  <c r="W79" i="2" s="1"/>
  <c r="U80" i="2"/>
  <c r="DI85" i="2"/>
  <c r="DJ85" i="2" s="1"/>
  <c r="DH86" i="2"/>
  <c r="CT92" i="2"/>
  <c r="CU91" i="2"/>
  <c r="CV91" i="2" s="1"/>
  <c r="BG86" i="2"/>
  <c r="J72" i="2"/>
  <c r="J73" i="2"/>
  <c r="DA80" i="2"/>
  <c r="DB79" i="2"/>
  <c r="DC79" i="2" s="1"/>
  <c r="M65" i="1"/>
  <c r="G66" i="1"/>
  <c r="AC135" i="2"/>
  <c r="AD135" i="2" s="1"/>
  <c r="AB136" i="2"/>
  <c r="AS78" i="2"/>
  <c r="BK83" i="2"/>
  <c r="BL82" i="2"/>
  <c r="BM82" i="2" s="1"/>
  <c r="CW90" i="2"/>
  <c r="H73" i="2"/>
  <c r="I73" i="2" s="1"/>
  <c r="G74" i="2"/>
  <c r="DD78" i="2"/>
  <c r="R54" i="1"/>
  <c r="P54" i="1"/>
  <c r="Q54" i="1" s="1"/>
  <c r="O55" i="1"/>
  <c r="S54" i="1" l="1"/>
  <c r="X79" i="2"/>
  <c r="BS88" i="2"/>
  <c r="BT88" i="2" s="1"/>
  <c r="BR89" i="2"/>
  <c r="AC136" i="2"/>
  <c r="AD136" i="2" s="1"/>
  <c r="AB137" i="2"/>
  <c r="DB80" i="2"/>
  <c r="DC80" i="2" s="1"/>
  <c r="DA81" i="2"/>
  <c r="BU87" i="2"/>
  <c r="BZ86" i="2"/>
  <c r="CA86" i="2" s="1"/>
  <c r="BY87" i="2"/>
  <c r="AE135" i="2"/>
  <c r="O84" i="2"/>
  <c r="P84" i="2" s="1"/>
  <c r="N85" i="2"/>
  <c r="R55" i="1"/>
  <c r="S55" i="1" s="1"/>
  <c r="CW91" i="2"/>
  <c r="AZ70" i="2"/>
  <c r="AQ79" i="2"/>
  <c r="AR79" i="2" s="1"/>
  <c r="AP80" i="2"/>
  <c r="DD79" i="2"/>
  <c r="BN82" i="2"/>
  <c r="CU92" i="2"/>
  <c r="CV92" i="2" s="1"/>
  <c r="CT93" i="2"/>
  <c r="E55" i="1"/>
  <c r="K54" i="1"/>
  <c r="J54" i="1" s="1"/>
  <c r="N54" i="1"/>
  <c r="AX71" i="2"/>
  <c r="AY71" i="2" s="1"/>
  <c r="AW72" i="2"/>
  <c r="P55" i="1"/>
  <c r="Q55" i="1" s="1"/>
  <c r="O56" i="1"/>
  <c r="BK84" i="2"/>
  <c r="BL83" i="2"/>
  <c r="BM83" i="2" s="1"/>
  <c r="M66" i="1"/>
  <c r="G67" i="1"/>
  <c r="DI86" i="2"/>
  <c r="DJ86" i="2" s="1"/>
  <c r="DH87" i="2"/>
  <c r="BD89" i="2"/>
  <c r="BE88" i="2"/>
  <c r="BF88" i="2" s="1"/>
  <c r="AL72" i="2"/>
  <c r="CP87" i="2"/>
  <c r="H74" i="2"/>
  <c r="I74" i="2" s="1"/>
  <c r="G75" i="2"/>
  <c r="BU88" i="2"/>
  <c r="DK85" i="2"/>
  <c r="CG76" i="2"/>
  <c r="CH76" i="2" s="1"/>
  <c r="CF77" i="2"/>
  <c r="CB85" i="2"/>
  <c r="BG87" i="2"/>
  <c r="AJ73" i="2"/>
  <c r="AK73" i="2" s="1"/>
  <c r="AI74" i="2"/>
  <c r="U81" i="2"/>
  <c r="V80" i="2"/>
  <c r="W80" i="2" s="1"/>
  <c r="CI75" i="2"/>
  <c r="Q83" i="2"/>
  <c r="CN88" i="2"/>
  <c r="CO88" i="2" s="1"/>
  <c r="CM89" i="2"/>
  <c r="CF78" i="2" l="1"/>
  <c r="CG77" i="2"/>
  <c r="CH77" i="2" s="1"/>
  <c r="J74" i="2"/>
  <c r="BG88" i="2"/>
  <c r="BN83" i="2"/>
  <c r="DD80" i="2"/>
  <c r="CI77" i="2"/>
  <c r="CI76" i="2"/>
  <c r="BE89" i="2"/>
  <c r="BF89" i="2" s="1"/>
  <c r="BD90" i="2"/>
  <c r="BL84" i="2"/>
  <c r="BM84" i="2" s="1"/>
  <c r="BK85" i="2"/>
  <c r="AX72" i="2"/>
  <c r="AY72" i="2" s="1"/>
  <c r="AW73" i="2"/>
  <c r="AQ80" i="2"/>
  <c r="AR80" i="2" s="1"/>
  <c r="AP81" i="2"/>
  <c r="AB138" i="2"/>
  <c r="AC137" i="2"/>
  <c r="AD137" i="2" s="1"/>
  <c r="AS80" i="2"/>
  <c r="AE136" i="2"/>
  <c r="AZ72" i="2"/>
  <c r="CN89" i="2"/>
  <c r="CO89" i="2" s="1"/>
  <c r="CM90" i="2"/>
  <c r="DH88" i="2"/>
  <c r="DI87" i="2"/>
  <c r="DJ87" i="2" s="1"/>
  <c r="O57" i="1"/>
  <c r="P56" i="1"/>
  <c r="Q56" i="1" s="1"/>
  <c r="BN84" i="2"/>
  <c r="N86" i="2"/>
  <c r="O85" i="2"/>
  <c r="P85" i="2" s="1"/>
  <c r="BZ87" i="2"/>
  <c r="CA87" i="2" s="1"/>
  <c r="BY88" i="2"/>
  <c r="CP88" i="2"/>
  <c r="DK86" i="2"/>
  <c r="DK87" i="2"/>
  <c r="Q84" i="2"/>
  <c r="Q85" i="2"/>
  <c r="CB86" i="2"/>
  <c r="AJ74" i="2"/>
  <c r="AK74" i="2" s="1"/>
  <c r="AI75" i="2"/>
  <c r="M67" i="1"/>
  <c r="G68" i="1"/>
  <c r="K55" i="1"/>
  <c r="J55" i="1" s="1"/>
  <c r="E56" i="1"/>
  <c r="N55" i="1"/>
  <c r="BR90" i="2"/>
  <c r="BS89" i="2"/>
  <c r="BT89" i="2" s="1"/>
  <c r="V81" i="2"/>
  <c r="W81" i="2" s="1"/>
  <c r="U82" i="2"/>
  <c r="AZ71" i="2"/>
  <c r="X81" i="2"/>
  <c r="AL73" i="2"/>
  <c r="AS79" i="2"/>
  <c r="CW92" i="2"/>
  <c r="BU89" i="2"/>
  <c r="H75" i="2"/>
  <c r="I75" i="2" s="1"/>
  <c r="G76" i="2"/>
  <c r="CU93" i="2"/>
  <c r="CV93" i="2" s="1"/>
  <c r="CT94" i="2"/>
  <c r="DA82" i="2"/>
  <c r="DB81" i="2"/>
  <c r="DC81" i="2" s="1"/>
  <c r="X80" i="2"/>
  <c r="BS90" i="2" l="1"/>
  <c r="BT90" i="2" s="1"/>
  <c r="BR91" i="2"/>
  <c r="BZ88" i="2"/>
  <c r="CA88" i="2" s="1"/>
  <c r="BY89" i="2"/>
  <c r="DH89" i="2"/>
  <c r="DI88" i="2"/>
  <c r="DJ88" i="2" s="1"/>
  <c r="AE137" i="2"/>
  <c r="AI76" i="2"/>
  <c r="AJ75" i="2"/>
  <c r="AK75" i="2" s="1"/>
  <c r="CB87" i="2"/>
  <c r="AB139" i="2"/>
  <c r="AC138" i="2"/>
  <c r="AD138" i="2" s="1"/>
  <c r="BE90" i="2"/>
  <c r="BF90" i="2" s="1"/>
  <c r="BD91" i="2"/>
  <c r="V82" i="2"/>
  <c r="W82" i="2" s="1"/>
  <c r="U83" i="2"/>
  <c r="AL74" i="2"/>
  <c r="AL75" i="2"/>
  <c r="BG89" i="2"/>
  <c r="H76" i="2"/>
  <c r="I76" i="2" s="1"/>
  <c r="G77" i="2"/>
  <c r="DD81" i="2"/>
  <c r="O86" i="2"/>
  <c r="P86" i="2" s="1"/>
  <c r="N87" i="2"/>
  <c r="AQ81" i="2"/>
  <c r="AR81" i="2" s="1"/>
  <c r="AP82" i="2"/>
  <c r="CF79" i="2"/>
  <c r="CG78" i="2"/>
  <c r="CH78" i="2" s="1"/>
  <c r="E57" i="1"/>
  <c r="K56" i="1"/>
  <c r="J56" i="1" s="1"/>
  <c r="N56" i="1"/>
  <c r="R56" i="1"/>
  <c r="S56" i="1" s="1"/>
  <c r="R57" i="1"/>
  <c r="CN90" i="2"/>
  <c r="CO90" i="2" s="1"/>
  <c r="CM91" i="2"/>
  <c r="AW74" i="2"/>
  <c r="AX73" i="2"/>
  <c r="AY73" i="2" s="1"/>
  <c r="CT95" i="2"/>
  <c r="CU94" i="2"/>
  <c r="CV94" i="2" s="1"/>
  <c r="M68" i="1"/>
  <c r="G69" i="1"/>
  <c r="P57" i="1"/>
  <c r="Q57" i="1" s="1"/>
  <c r="O58" i="1"/>
  <c r="CP89" i="2"/>
  <c r="CW93" i="2"/>
  <c r="J75" i="2"/>
  <c r="DA83" i="2"/>
  <c r="DB82" i="2"/>
  <c r="DC82" i="2" s="1"/>
  <c r="BU90" i="2"/>
  <c r="DD82" i="2"/>
  <c r="BL85" i="2"/>
  <c r="BM85" i="2" s="1"/>
  <c r="BK86" i="2"/>
  <c r="S57" i="1" l="1"/>
  <c r="CN91" i="2"/>
  <c r="CO91" i="2" s="1"/>
  <c r="CM92" i="2"/>
  <c r="K57" i="1"/>
  <c r="J57" i="1" s="1"/>
  <c r="E58" i="1"/>
  <c r="N57" i="1"/>
  <c r="Q86" i="2"/>
  <c r="AC139" i="2"/>
  <c r="AD139" i="2" s="1"/>
  <c r="AB140" i="2"/>
  <c r="CB88" i="2"/>
  <c r="CP90" i="2"/>
  <c r="CP91" i="2"/>
  <c r="CI78" i="2"/>
  <c r="BS91" i="2"/>
  <c r="BT91" i="2" s="1"/>
  <c r="BR92" i="2"/>
  <c r="CG79" i="2"/>
  <c r="CH79" i="2" s="1"/>
  <c r="CF80" i="2"/>
  <c r="V83" i="2"/>
  <c r="W83" i="2" s="1"/>
  <c r="U84" i="2"/>
  <c r="O59" i="1"/>
  <c r="P58" i="1"/>
  <c r="Q58" i="1" s="1"/>
  <c r="CT96" i="2"/>
  <c r="CU95" i="2"/>
  <c r="CV95" i="2" s="1"/>
  <c r="H77" i="2"/>
  <c r="I77" i="2" s="1"/>
  <c r="G78" i="2"/>
  <c r="X82" i="2"/>
  <c r="AQ82" i="2"/>
  <c r="AR82" i="2" s="1"/>
  <c r="AP83" i="2"/>
  <c r="J76" i="2"/>
  <c r="CW94" i="2"/>
  <c r="BN85" i="2"/>
  <c r="AS81" i="2"/>
  <c r="CI79" i="2"/>
  <c r="BE91" i="2"/>
  <c r="BF91" i="2" s="1"/>
  <c r="BD92" i="2"/>
  <c r="AJ76" i="2"/>
  <c r="AK76" i="2" s="1"/>
  <c r="AI77" i="2"/>
  <c r="DK88" i="2"/>
  <c r="BL86" i="2"/>
  <c r="BM86" i="2" s="1"/>
  <c r="BK87" i="2"/>
  <c r="AZ73" i="2"/>
  <c r="BG90" i="2"/>
  <c r="DI89" i="2"/>
  <c r="DJ89" i="2" s="1"/>
  <c r="DH90" i="2"/>
  <c r="DB83" i="2"/>
  <c r="DC83" i="2" s="1"/>
  <c r="DA84" i="2"/>
  <c r="G70" i="1"/>
  <c r="M69" i="1"/>
  <c r="AX74" i="2"/>
  <c r="AY74" i="2" s="1"/>
  <c r="AW75" i="2"/>
  <c r="O87" i="2"/>
  <c r="P87" i="2" s="1"/>
  <c r="N88" i="2"/>
  <c r="AE138" i="2"/>
  <c r="BZ89" i="2"/>
  <c r="CA89" i="2" s="1"/>
  <c r="BY90" i="2"/>
  <c r="J77" i="2" l="1"/>
  <c r="N89" i="2"/>
  <c r="O88" i="2"/>
  <c r="P88" i="2" s="1"/>
  <c r="AQ83" i="2"/>
  <c r="AR83" i="2" s="1"/>
  <c r="AP84" i="2"/>
  <c r="V84" i="2"/>
  <c r="W84" i="2" s="1"/>
  <c r="U85" i="2"/>
  <c r="AS82" i="2"/>
  <c r="CW95" i="2"/>
  <c r="X83" i="2"/>
  <c r="E59" i="1"/>
  <c r="K58" i="1"/>
  <c r="J58" i="1" s="1"/>
  <c r="N58" i="1"/>
  <c r="CU96" i="2"/>
  <c r="CV96" i="2" s="1"/>
  <c r="CT97" i="2"/>
  <c r="CG80" i="2"/>
  <c r="CH80" i="2" s="1"/>
  <c r="CF81" i="2"/>
  <c r="AC140" i="2"/>
  <c r="AD140" i="2" s="1"/>
  <c r="AB141" i="2"/>
  <c r="DB84" i="2"/>
  <c r="DC84" i="2" s="1"/>
  <c r="DA85" i="2"/>
  <c r="AJ77" i="2"/>
  <c r="AK77" i="2" s="1"/>
  <c r="AI78" i="2"/>
  <c r="R58" i="1"/>
  <c r="S58" i="1" s="1"/>
  <c r="AE139" i="2"/>
  <c r="CN92" i="2"/>
  <c r="CO92" i="2" s="1"/>
  <c r="CM93" i="2"/>
  <c r="CB89" i="2"/>
  <c r="DI90" i="2"/>
  <c r="DJ90" i="2" s="1"/>
  <c r="DH91" i="2"/>
  <c r="AL76" i="2"/>
  <c r="AL77" i="2"/>
  <c r="CW96" i="2"/>
  <c r="X84" i="2"/>
  <c r="P59" i="1"/>
  <c r="Q59" i="1" s="1"/>
  <c r="O60" i="1"/>
  <c r="BR93" i="2"/>
  <c r="BS92" i="2"/>
  <c r="BT92" i="2" s="1"/>
  <c r="Q87" i="2"/>
  <c r="BY91" i="2"/>
  <c r="BZ90" i="2"/>
  <c r="CA90" i="2" s="1"/>
  <c r="DK89" i="2"/>
  <c r="BL87" i="2"/>
  <c r="BM87" i="2" s="1"/>
  <c r="BK88" i="2"/>
  <c r="BE92" i="2"/>
  <c r="BF92" i="2" s="1"/>
  <c r="BD93" i="2"/>
  <c r="BU91" i="2"/>
  <c r="DD83" i="2"/>
  <c r="AX75" i="2"/>
  <c r="AY75" i="2" s="1"/>
  <c r="AW76" i="2"/>
  <c r="M70" i="1"/>
  <c r="G71" i="1"/>
  <c r="J78" i="2"/>
  <c r="AZ74" i="2"/>
  <c r="BG91" i="2"/>
  <c r="BG92" i="2"/>
  <c r="BN86" i="2"/>
  <c r="H78" i="2"/>
  <c r="I78" i="2" s="1"/>
  <c r="G79" i="2"/>
  <c r="BN87" i="2" l="1"/>
  <c r="DI91" i="2"/>
  <c r="DJ91" i="2" s="1"/>
  <c r="DH92" i="2"/>
  <c r="AB142" i="2"/>
  <c r="AC141" i="2"/>
  <c r="AD141" i="2" s="1"/>
  <c r="AP85" i="2"/>
  <c r="AQ84" i="2"/>
  <c r="AR84" i="2" s="1"/>
  <c r="DK90" i="2"/>
  <c r="AE140" i="2"/>
  <c r="AS83" i="2"/>
  <c r="CG81" i="2"/>
  <c r="CH81" i="2" s="1"/>
  <c r="CF82" i="2"/>
  <c r="K59" i="1"/>
  <c r="J59" i="1" s="1"/>
  <c r="E60" i="1"/>
  <c r="N59" i="1"/>
  <c r="G72" i="1"/>
  <c r="M71" i="1"/>
  <c r="DK91" i="2"/>
  <c r="BU92" i="2"/>
  <c r="CI80" i="2"/>
  <c r="N90" i="2"/>
  <c r="O89" i="2"/>
  <c r="P89" i="2" s="1"/>
  <c r="BR94" i="2"/>
  <c r="BS93" i="2"/>
  <c r="BT93" i="2" s="1"/>
  <c r="CB90" i="2"/>
  <c r="AJ78" i="2"/>
  <c r="AK78" i="2" s="1"/>
  <c r="AI79" i="2"/>
  <c r="CU97" i="2"/>
  <c r="CV97" i="2" s="1"/>
  <c r="CT98" i="2"/>
  <c r="O61" i="1"/>
  <c r="P60" i="1"/>
  <c r="Q60" i="1" s="1"/>
  <c r="BE93" i="2"/>
  <c r="BF93" i="2" s="1"/>
  <c r="BD94" i="2"/>
  <c r="G80" i="2"/>
  <c r="H79" i="2"/>
  <c r="I79" i="2" s="1"/>
  <c r="BZ91" i="2"/>
  <c r="CA91" i="2" s="1"/>
  <c r="BY92" i="2"/>
  <c r="R59" i="1"/>
  <c r="S59" i="1" s="1"/>
  <c r="CN93" i="2"/>
  <c r="CO93" i="2" s="1"/>
  <c r="CM94" i="2"/>
  <c r="DA86" i="2"/>
  <c r="DB85" i="2"/>
  <c r="DC85" i="2" s="1"/>
  <c r="V85" i="2"/>
  <c r="W85" i="2" s="1"/>
  <c r="U86" i="2"/>
  <c r="Q88" i="2"/>
  <c r="AW77" i="2"/>
  <c r="AX76" i="2"/>
  <c r="AY76" i="2" s="1"/>
  <c r="BU93" i="2"/>
  <c r="BK89" i="2"/>
  <c r="BL88" i="2"/>
  <c r="BM88" i="2" s="1"/>
  <c r="AZ75" i="2"/>
  <c r="CP92" i="2"/>
  <c r="CP93" i="2"/>
  <c r="DD84" i="2"/>
  <c r="DD85" i="2" l="1"/>
  <c r="BE94" i="2"/>
  <c r="BF94" i="2" s="1"/>
  <c r="BD95" i="2"/>
  <c r="BS94" i="2"/>
  <c r="BT94" i="2" s="1"/>
  <c r="BR95" i="2"/>
  <c r="M72" i="1"/>
  <c r="G73" i="1"/>
  <c r="DA87" i="2"/>
  <c r="DB86" i="2"/>
  <c r="DC86" i="2" s="1"/>
  <c r="BY93" i="2"/>
  <c r="BZ92" i="2"/>
  <c r="CA92" i="2" s="1"/>
  <c r="BG93" i="2"/>
  <c r="CT99" i="2"/>
  <c r="CU98" i="2"/>
  <c r="CV98" i="2" s="1"/>
  <c r="Q89" i="2"/>
  <c r="CB91" i="2"/>
  <c r="CW97" i="2"/>
  <c r="O90" i="2"/>
  <c r="P90" i="2" s="1"/>
  <c r="N91" i="2"/>
  <c r="AS84" i="2"/>
  <c r="BN88" i="2"/>
  <c r="CN94" i="2"/>
  <c r="CO94" i="2" s="1"/>
  <c r="CM95" i="2"/>
  <c r="AI80" i="2"/>
  <c r="AJ79" i="2"/>
  <c r="AK79" i="2" s="1"/>
  <c r="AP86" i="2"/>
  <c r="AQ85" i="2"/>
  <c r="AR85" i="2" s="1"/>
  <c r="BK90" i="2"/>
  <c r="BL89" i="2"/>
  <c r="BM89" i="2" s="1"/>
  <c r="AL78" i="2"/>
  <c r="E61" i="1"/>
  <c r="K60" i="1"/>
  <c r="J60" i="1" s="1"/>
  <c r="N60" i="1"/>
  <c r="AE141" i="2"/>
  <c r="V86" i="2"/>
  <c r="W86" i="2" s="1"/>
  <c r="U87" i="2"/>
  <c r="R60" i="1"/>
  <c r="S60" i="1" s="1"/>
  <c r="AB143" i="2"/>
  <c r="AC142" i="2"/>
  <c r="AD142" i="2" s="1"/>
  <c r="P61" i="1"/>
  <c r="Q61" i="1" s="1"/>
  <c r="O62" i="1"/>
  <c r="CF83" i="2"/>
  <c r="CG82" i="2"/>
  <c r="CH82" i="2" s="1"/>
  <c r="DH93" i="2"/>
  <c r="DI92" i="2"/>
  <c r="DJ92" i="2" s="1"/>
  <c r="AZ76" i="2"/>
  <c r="X85" i="2"/>
  <c r="CP94" i="2"/>
  <c r="AW78" i="2"/>
  <c r="AX77" i="2"/>
  <c r="AY77" i="2" s="1"/>
  <c r="G81" i="2"/>
  <c r="H80" i="2"/>
  <c r="I80" i="2" s="1"/>
  <c r="CI81" i="2"/>
  <c r="CI82" i="2"/>
  <c r="J79" i="2"/>
  <c r="AX78" i="2" l="1"/>
  <c r="AY78" i="2" s="1"/>
  <c r="AW79" i="2"/>
  <c r="DK92" i="2"/>
  <c r="AE142" i="2"/>
  <c r="X86" i="2"/>
  <c r="BN89" i="2"/>
  <c r="CW98" i="2"/>
  <c r="DD86" i="2"/>
  <c r="BG94" i="2"/>
  <c r="DI93" i="2"/>
  <c r="DJ93" i="2" s="1"/>
  <c r="DH94" i="2"/>
  <c r="AC143" i="2"/>
  <c r="AD143" i="2" s="1"/>
  <c r="AB144" i="2"/>
  <c r="BL90" i="2"/>
  <c r="BM90" i="2" s="1"/>
  <c r="BK91" i="2"/>
  <c r="CU99" i="2"/>
  <c r="CV99" i="2" s="1"/>
  <c r="CT100" i="2"/>
  <c r="DB87" i="2"/>
  <c r="DC87" i="2" s="1"/>
  <c r="DA88" i="2"/>
  <c r="CN95" i="2"/>
  <c r="CO95" i="2" s="1"/>
  <c r="CM96" i="2"/>
  <c r="M73" i="1"/>
  <c r="G74" i="1"/>
  <c r="J80" i="2"/>
  <c r="AE143" i="2"/>
  <c r="AS85" i="2"/>
  <c r="AP87" i="2"/>
  <c r="AQ86" i="2"/>
  <c r="AR86" i="2" s="1"/>
  <c r="O63" i="1"/>
  <c r="P62" i="1"/>
  <c r="Q62" i="1" s="1"/>
  <c r="O91" i="2"/>
  <c r="P91" i="2" s="1"/>
  <c r="N92" i="2"/>
  <c r="BS95" i="2"/>
  <c r="BT95" i="2" s="1"/>
  <c r="BR96" i="2"/>
  <c r="H81" i="2"/>
  <c r="I81" i="2" s="1"/>
  <c r="G82" i="2"/>
  <c r="AL79" i="2"/>
  <c r="Q90" i="2"/>
  <c r="CB92" i="2"/>
  <c r="BU94" i="2"/>
  <c r="CG83" i="2"/>
  <c r="CH83" i="2" s="1"/>
  <c r="CF84" i="2"/>
  <c r="R61" i="1"/>
  <c r="S61" i="1" s="1"/>
  <c r="AZ77" i="2"/>
  <c r="U88" i="2"/>
  <c r="V87" i="2"/>
  <c r="W87" i="2" s="1"/>
  <c r="K61" i="1"/>
  <c r="J61" i="1" s="1"/>
  <c r="E62" i="1"/>
  <c r="N61" i="1"/>
  <c r="AJ80" i="2"/>
  <c r="AK80" i="2" s="1"/>
  <c r="AI81" i="2"/>
  <c r="BZ93" i="2"/>
  <c r="CA93" i="2" s="1"/>
  <c r="BY94" i="2"/>
  <c r="BD96" i="2"/>
  <c r="BE95" i="2"/>
  <c r="BF95" i="2" s="1"/>
  <c r="H82" i="2" l="1"/>
  <c r="I82" i="2" s="1"/>
  <c r="G83" i="2"/>
  <c r="R62" i="1"/>
  <c r="S62" i="1" s="1"/>
  <c r="DA89" i="2"/>
  <c r="DB88" i="2"/>
  <c r="DC88" i="2" s="1"/>
  <c r="DI94" i="2"/>
  <c r="DJ94" i="2" s="1"/>
  <c r="DH95" i="2"/>
  <c r="J81" i="2"/>
  <c r="P63" i="1"/>
  <c r="Q63" i="1" s="1"/>
  <c r="O64" i="1"/>
  <c r="DD87" i="2"/>
  <c r="DK93" i="2"/>
  <c r="BR97" i="2"/>
  <c r="BS96" i="2"/>
  <c r="BT96" i="2" s="1"/>
  <c r="M74" i="1"/>
  <c r="G75" i="1"/>
  <c r="CU100" i="2"/>
  <c r="CV100" i="2" s="1"/>
  <c r="CT101" i="2"/>
  <c r="CB93" i="2"/>
  <c r="BU95" i="2"/>
  <c r="BD97" i="2"/>
  <c r="BE96" i="2"/>
  <c r="BF96" i="2" s="1"/>
  <c r="AS86" i="2"/>
  <c r="J82" i="2"/>
  <c r="BL91" i="2"/>
  <c r="BM91" i="2" s="1"/>
  <c r="BK92" i="2"/>
  <c r="N93" i="2"/>
  <c r="O92" i="2"/>
  <c r="P92" i="2" s="1"/>
  <c r="AP88" i="2"/>
  <c r="AQ87" i="2"/>
  <c r="AR87" i="2" s="1"/>
  <c r="CN96" i="2"/>
  <c r="CO96" i="2" s="1"/>
  <c r="CM97" i="2"/>
  <c r="BN90" i="2"/>
  <c r="BZ94" i="2"/>
  <c r="CA94" i="2" s="1"/>
  <c r="BY95" i="2"/>
  <c r="E63" i="1"/>
  <c r="K62" i="1"/>
  <c r="J62" i="1" s="1"/>
  <c r="N62" i="1"/>
  <c r="AJ81" i="2"/>
  <c r="AK81" i="2" s="1"/>
  <c r="AI82" i="2"/>
  <c r="CG84" i="2"/>
  <c r="CH84" i="2" s="1"/>
  <c r="CF85" i="2"/>
  <c r="Q91" i="2"/>
  <c r="CP95" i="2"/>
  <c r="AC144" i="2"/>
  <c r="AD144" i="2" s="1"/>
  <c r="AB145" i="2"/>
  <c r="CW99" i="2"/>
  <c r="AX79" i="2"/>
  <c r="AY79" i="2" s="1"/>
  <c r="AW80" i="2"/>
  <c r="X87" i="2"/>
  <c r="V88" i="2"/>
  <c r="W88" i="2" s="1"/>
  <c r="U89" i="2"/>
  <c r="BG95" i="2"/>
  <c r="BG96" i="2"/>
  <c r="AL80" i="2"/>
  <c r="CI83" i="2"/>
  <c r="AZ78" i="2"/>
  <c r="AZ79" i="2"/>
  <c r="K63" i="1" l="1"/>
  <c r="J63" i="1" s="1"/>
  <c r="E64" i="1"/>
  <c r="N63" i="1"/>
  <c r="CP96" i="2"/>
  <c r="BK93" i="2"/>
  <c r="BL92" i="2"/>
  <c r="BM92" i="2" s="1"/>
  <c r="BE97" i="2"/>
  <c r="BF97" i="2" s="1"/>
  <c r="BD98" i="2"/>
  <c r="DK94" i="2"/>
  <c r="H83" i="2"/>
  <c r="I83" i="2" s="1"/>
  <c r="G84" i="2"/>
  <c r="CF86" i="2"/>
  <c r="CG85" i="2"/>
  <c r="CH85" i="2" s="1"/>
  <c r="BY96" i="2"/>
  <c r="BZ95" i="2"/>
  <c r="CA95" i="2" s="1"/>
  <c r="BN92" i="2"/>
  <c r="BN91" i="2"/>
  <c r="DD88" i="2"/>
  <c r="CI84" i="2"/>
  <c r="CB94" i="2"/>
  <c r="M75" i="1"/>
  <c r="G76" i="1"/>
  <c r="DB89" i="2"/>
  <c r="DC89" i="2" s="1"/>
  <c r="DA90" i="2"/>
  <c r="AX80" i="2"/>
  <c r="AY80" i="2" s="1"/>
  <c r="AW81" i="2"/>
  <c r="AQ88" i="2"/>
  <c r="AR88" i="2" s="1"/>
  <c r="AP89" i="2"/>
  <c r="O65" i="1"/>
  <c r="P64" i="1"/>
  <c r="Q64" i="1" s="1"/>
  <c r="AJ82" i="2"/>
  <c r="AK82" i="2" s="1"/>
  <c r="AI83" i="2"/>
  <c r="Q92" i="2"/>
  <c r="BU96" i="2"/>
  <c r="O93" i="2"/>
  <c r="P93" i="2" s="1"/>
  <c r="N94" i="2"/>
  <c r="AS87" i="2"/>
  <c r="CW100" i="2"/>
  <c r="BR98" i="2"/>
  <c r="BS97" i="2"/>
  <c r="BT97" i="2" s="1"/>
  <c r="R63" i="1"/>
  <c r="S63" i="1" s="1"/>
  <c r="V89" i="2"/>
  <c r="W89" i="2" s="1"/>
  <c r="U90" i="2"/>
  <c r="AB146" i="2"/>
  <c r="AC145" i="2"/>
  <c r="AD145" i="2" s="1"/>
  <c r="AL81" i="2"/>
  <c r="X88" i="2"/>
  <c r="AE145" i="2"/>
  <c r="AE144" i="2"/>
  <c r="CN97" i="2"/>
  <c r="CO97" i="2" s="1"/>
  <c r="CP97" i="2" s="1"/>
  <c r="CM98" i="2"/>
  <c r="BG97" i="2"/>
  <c r="CU101" i="2"/>
  <c r="CV101" i="2" s="1"/>
  <c r="CT102" i="2"/>
  <c r="DI95" i="2"/>
  <c r="DJ95" i="2" s="1"/>
  <c r="DK95" i="2" s="1"/>
  <c r="DH96" i="2"/>
  <c r="BU97" i="2" l="1"/>
  <c r="J83" i="2"/>
  <c r="BS98" i="2"/>
  <c r="BT98" i="2" s="1"/>
  <c r="BR99" i="2"/>
  <c r="BL93" i="2"/>
  <c r="BM93" i="2" s="1"/>
  <c r="BK94" i="2"/>
  <c r="E65" i="1"/>
  <c r="K64" i="1"/>
  <c r="J64" i="1" s="1"/>
  <c r="N64" i="1"/>
  <c r="AE146" i="2"/>
  <c r="AX81" i="2"/>
  <c r="AY81" i="2" s="1"/>
  <c r="AW82" i="2"/>
  <c r="AC146" i="2"/>
  <c r="AD146" i="2" s="1"/>
  <c r="AB147" i="2"/>
  <c r="AZ80" i="2"/>
  <c r="CB95" i="2"/>
  <c r="R64" i="1"/>
  <c r="S64" i="1" s="1"/>
  <c r="CU102" i="2"/>
  <c r="CV102" i="2" s="1"/>
  <c r="CT103" i="2"/>
  <c r="CW101" i="2"/>
  <c r="V90" i="2"/>
  <c r="W90" i="2" s="1"/>
  <c r="U91" i="2"/>
  <c r="O94" i="2"/>
  <c r="P94" i="2" s="1"/>
  <c r="N95" i="2"/>
  <c r="BU98" i="2"/>
  <c r="P65" i="1"/>
  <c r="Q65" i="1" s="1"/>
  <c r="O66" i="1"/>
  <c r="DB90" i="2"/>
  <c r="DC90" i="2" s="1"/>
  <c r="DA91" i="2"/>
  <c r="BZ96" i="2"/>
  <c r="CA96" i="2" s="1"/>
  <c r="BY97" i="2"/>
  <c r="X89" i="2"/>
  <c r="Q93" i="2"/>
  <c r="AJ83" i="2"/>
  <c r="AK83" i="2" s="1"/>
  <c r="AI84" i="2"/>
  <c r="DD89" i="2"/>
  <c r="AS88" i="2"/>
  <c r="CI85" i="2"/>
  <c r="CF87" i="2"/>
  <c r="CG86" i="2"/>
  <c r="CH86" i="2" s="1"/>
  <c r="BE98" i="2"/>
  <c r="BF98" i="2" s="1"/>
  <c r="BD99" i="2"/>
  <c r="CN98" i="2"/>
  <c r="CO98" i="2" s="1"/>
  <c r="CP98" i="2" s="1"/>
  <c r="CM99" i="2"/>
  <c r="DH97" i="2"/>
  <c r="DI96" i="2"/>
  <c r="DJ96" i="2" s="1"/>
  <c r="AL82" i="2"/>
  <c r="AQ89" i="2"/>
  <c r="AR89" i="2" s="1"/>
  <c r="AP90" i="2"/>
  <c r="M76" i="1"/>
  <c r="G77" i="1"/>
  <c r="H84" i="2"/>
  <c r="I84" i="2" s="1"/>
  <c r="G85" i="2"/>
  <c r="DK96" i="2" l="1"/>
  <c r="AJ84" i="2"/>
  <c r="AK84" i="2" s="1"/>
  <c r="AI85" i="2"/>
  <c r="AW83" i="2"/>
  <c r="AX82" i="2"/>
  <c r="AY82" i="2" s="1"/>
  <c r="BL94" i="2"/>
  <c r="BM94" i="2" s="1"/>
  <c r="BK95" i="2"/>
  <c r="AL83" i="2"/>
  <c r="O95" i="2"/>
  <c r="P95" i="2" s="1"/>
  <c r="N96" i="2"/>
  <c r="CT104" i="2"/>
  <c r="CU103" i="2"/>
  <c r="CV103" i="2" s="1"/>
  <c r="AZ81" i="2"/>
  <c r="BN93" i="2"/>
  <c r="BN94" i="2"/>
  <c r="BZ97" i="2"/>
  <c r="CA97" i="2" s="1"/>
  <c r="BY98" i="2"/>
  <c r="CW102" i="2"/>
  <c r="DI97" i="2"/>
  <c r="DJ97" i="2" s="1"/>
  <c r="DH98" i="2"/>
  <c r="Q94" i="2"/>
  <c r="CB96" i="2"/>
  <c r="V91" i="2"/>
  <c r="W91" i="2" s="1"/>
  <c r="U92" i="2"/>
  <c r="BS99" i="2"/>
  <c r="BT99" i="2" s="1"/>
  <c r="BR100" i="2"/>
  <c r="CN99" i="2"/>
  <c r="CO99" i="2" s="1"/>
  <c r="CM100" i="2"/>
  <c r="BD100" i="2"/>
  <c r="BE99" i="2"/>
  <c r="BF99" i="2" s="1"/>
  <c r="DB91" i="2"/>
  <c r="DC91" i="2" s="1"/>
  <c r="DA92" i="2"/>
  <c r="X90" i="2"/>
  <c r="AS89" i="2"/>
  <c r="AS90" i="2"/>
  <c r="BG98" i="2"/>
  <c r="AB148" i="2"/>
  <c r="AC147" i="2"/>
  <c r="AD147" i="2" s="1"/>
  <c r="AP91" i="2"/>
  <c r="AQ90" i="2"/>
  <c r="AR90" i="2" s="1"/>
  <c r="P66" i="1"/>
  <c r="Q66" i="1" s="1"/>
  <c r="O67" i="1"/>
  <c r="CW103" i="2"/>
  <c r="DD90" i="2"/>
  <c r="G86" i="2"/>
  <c r="H85" i="2"/>
  <c r="I85" i="2" s="1"/>
  <c r="CI86" i="2"/>
  <c r="M77" i="1"/>
  <c r="G78" i="1"/>
  <c r="CG87" i="2"/>
  <c r="CH87" i="2" s="1"/>
  <c r="CF88" i="2"/>
  <c r="R66" i="1"/>
  <c r="R65" i="1"/>
  <c r="S65" i="1" s="1"/>
  <c r="E66" i="1"/>
  <c r="K65" i="1"/>
  <c r="J65" i="1" s="1"/>
  <c r="N65" i="1"/>
  <c r="J84" i="2"/>
  <c r="AP92" i="2" l="1"/>
  <c r="AQ91" i="2"/>
  <c r="AR91" i="2" s="1"/>
  <c r="BD101" i="2"/>
  <c r="BE100" i="2"/>
  <c r="BF100" i="2" s="1"/>
  <c r="AL84" i="2"/>
  <c r="CM101" i="2"/>
  <c r="CN100" i="2"/>
  <c r="CO100" i="2" s="1"/>
  <c r="AE147" i="2"/>
  <c r="CP99" i="2"/>
  <c r="AB149" i="2"/>
  <c r="AC148" i="2"/>
  <c r="AD148" i="2" s="1"/>
  <c r="BR101" i="2"/>
  <c r="BS100" i="2"/>
  <c r="BT100" i="2" s="1"/>
  <c r="BL95" i="2"/>
  <c r="BM95" i="2" s="1"/>
  <c r="BK96" i="2"/>
  <c r="CG88" i="2"/>
  <c r="CH88" i="2" s="1"/>
  <c r="CF89" i="2"/>
  <c r="P67" i="1"/>
  <c r="Q67" i="1" s="1"/>
  <c r="O68" i="1"/>
  <c r="BU99" i="2"/>
  <c r="BU100" i="2"/>
  <c r="CW104" i="2"/>
  <c r="K66" i="1"/>
  <c r="J66" i="1" s="1"/>
  <c r="E67" i="1"/>
  <c r="N66" i="1"/>
  <c r="CI87" i="2"/>
  <c r="DB92" i="2"/>
  <c r="DC92" i="2" s="1"/>
  <c r="DA93" i="2"/>
  <c r="DI98" i="2"/>
  <c r="DJ98" i="2" s="1"/>
  <c r="DH99" i="2"/>
  <c r="BZ98" i="2"/>
  <c r="CA98" i="2" s="1"/>
  <c r="BY99" i="2"/>
  <c r="CU104" i="2"/>
  <c r="CV104" i="2" s="1"/>
  <c r="CT105" i="2"/>
  <c r="S66" i="1"/>
  <c r="J85" i="2"/>
  <c r="DD91" i="2"/>
  <c r="V92" i="2"/>
  <c r="W92" i="2" s="1"/>
  <c r="U93" i="2"/>
  <c r="CB97" i="2"/>
  <c r="AZ82" i="2"/>
  <c r="N97" i="2"/>
  <c r="O96" i="2"/>
  <c r="P96" i="2" s="1"/>
  <c r="AX83" i="2"/>
  <c r="AY83" i="2" s="1"/>
  <c r="AZ83" i="2" s="1"/>
  <c r="AW84" i="2"/>
  <c r="M78" i="1"/>
  <c r="G79" i="1"/>
  <c r="H86" i="2"/>
  <c r="I86" i="2" s="1"/>
  <c r="G87" i="2"/>
  <c r="BG99" i="2"/>
  <c r="BG100" i="2"/>
  <c r="X91" i="2"/>
  <c r="DK97" i="2"/>
  <c r="Q95" i="2"/>
  <c r="AJ85" i="2"/>
  <c r="AK85" i="2" s="1"/>
  <c r="AI86" i="2"/>
  <c r="CB98" i="2" l="1"/>
  <c r="R67" i="1"/>
  <c r="S67" i="1" s="1"/>
  <c r="AE148" i="2"/>
  <c r="DH100" i="2"/>
  <c r="DI99" i="2"/>
  <c r="DJ99" i="2" s="1"/>
  <c r="CF90" i="2"/>
  <c r="CG89" i="2"/>
  <c r="CH89" i="2" s="1"/>
  <c r="AB150" i="2"/>
  <c r="AC149" i="2"/>
  <c r="AD149" i="2" s="1"/>
  <c r="DK98" i="2"/>
  <c r="DK99" i="2"/>
  <c r="CI88" i="2"/>
  <c r="AJ86" i="2"/>
  <c r="AK86" i="2" s="1"/>
  <c r="AI87" i="2"/>
  <c r="AX84" i="2"/>
  <c r="AY84" i="2" s="1"/>
  <c r="AW85" i="2"/>
  <c r="U94" i="2"/>
  <c r="V93" i="2"/>
  <c r="W93" i="2" s="1"/>
  <c r="DB93" i="2"/>
  <c r="DC93" i="2" s="1"/>
  <c r="DA94" i="2"/>
  <c r="E68" i="1"/>
  <c r="K67" i="1"/>
  <c r="J67" i="1" s="1"/>
  <c r="N67" i="1"/>
  <c r="BL96" i="2"/>
  <c r="BM96" i="2" s="1"/>
  <c r="BK97" i="2"/>
  <c r="BE101" i="2"/>
  <c r="BF101" i="2" s="1"/>
  <c r="BD102" i="2"/>
  <c r="AL85" i="2"/>
  <c r="H87" i="2"/>
  <c r="I87" i="2" s="1"/>
  <c r="G88" i="2"/>
  <c r="X92" i="2"/>
  <c r="DD92" i="2"/>
  <c r="BN95" i="2"/>
  <c r="BN96" i="2"/>
  <c r="AS91" i="2"/>
  <c r="AS92" i="2"/>
  <c r="J86" i="2"/>
  <c r="J87" i="2"/>
  <c r="Q96" i="2"/>
  <c r="CU105" i="2"/>
  <c r="CV105" i="2" s="1"/>
  <c r="CT106" i="2"/>
  <c r="CP100" i="2"/>
  <c r="AQ92" i="2"/>
  <c r="AR92" i="2" s="1"/>
  <c r="AP93" i="2"/>
  <c r="O97" i="2"/>
  <c r="P97" i="2" s="1"/>
  <c r="N98" i="2"/>
  <c r="BR102" i="2"/>
  <c r="BS101" i="2"/>
  <c r="BT101" i="2" s="1"/>
  <c r="CN101" i="2"/>
  <c r="CO101" i="2" s="1"/>
  <c r="CM102" i="2"/>
  <c r="M79" i="1"/>
  <c r="G80" i="1"/>
  <c r="BZ99" i="2"/>
  <c r="CA99" i="2" s="1"/>
  <c r="BY100" i="2"/>
  <c r="P68" i="1"/>
  <c r="Q68" i="1" s="1"/>
  <c r="O69" i="1"/>
  <c r="AE149" i="2" l="1"/>
  <c r="BK98" i="2"/>
  <c r="BL97" i="2"/>
  <c r="BM97" i="2" s="1"/>
  <c r="U95" i="2"/>
  <c r="V94" i="2"/>
  <c r="W94" i="2" s="1"/>
  <c r="AC150" i="2"/>
  <c r="AD150" i="2" s="1"/>
  <c r="AB151" i="2"/>
  <c r="CB99" i="2"/>
  <c r="AX85" i="2"/>
  <c r="AY85" i="2" s="1"/>
  <c r="AW86" i="2"/>
  <c r="CI89" i="2"/>
  <c r="BU101" i="2"/>
  <c r="AQ93" i="2"/>
  <c r="AR93" i="2" s="1"/>
  <c r="AP94" i="2"/>
  <c r="CU106" i="2"/>
  <c r="CV106" i="2" s="1"/>
  <c r="CT107" i="2"/>
  <c r="AZ84" i="2"/>
  <c r="CG90" i="2"/>
  <c r="CH90" i="2" s="1"/>
  <c r="CF91" i="2"/>
  <c r="O98" i="2"/>
  <c r="P98" i="2" s="1"/>
  <c r="N99" i="2"/>
  <c r="CW105" i="2"/>
  <c r="AJ87" i="2"/>
  <c r="AK87" i="2" s="1"/>
  <c r="AI88" i="2"/>
  <c r="R68" i="1"/>
  <c r="S68" i="1" s="1"/>
  <c r="BZ100" i="2"/>
  <c r="CA100" i="2" s="1"/>
  <c r="CB100" i="2" s="1"/>
  <c r="BY101" i="2"/>
  <c r="BS102" i="2"/>
  <c r="BT102" i="2" s="1"/>
  <c r="BR103" i="2"/>
  <c r="E69" i="1"/>
  <c r="K68" i="1"/>
  <c r="J68" i="1" s="1"/>
  <c r="N68" i="1"/>
  <c r="DH101" i="2"/>
  <c r="DI100" i="2"/>
  <c r="DJ100" i="2" s="1"/>
  <c r="CP102" i="2"/>
  <c r="CP101" i="2"/>
  <c r="M80" i="1"/>
  <c r="G81" i="1"/>
  <c r="Q97" i="2"/>
  <c r="BE102" i="2"/>
  <c r="BF102" i="2" s="1"/>
  <c r="BD103" i="2"/>
  <c r="DB94" i="2"/>
  <c r="DC94" i="2" s="1"/>
  <c r="DA95" i="2"/>
  <c r="P69" i="1"/>
  <c r="Q69" i="1" s="1"/>
  <c r="O70" i="1"/>
  <c r="CN102" i="2"/>
  <c r="CO102" i="2" s="1"/>
  <c r="CM103" i="2"/>
  <c r="X93" i="2"/>
  <c r="H88" i="2"/>
  <c r="I88" i="2" s="1"/>
  <c r="G89" i="2"/>
  <c r="BG101" i="2"/>
  <c r="DD93" i="2"/>
  <c r="DD94" i="2"/>
  <c r="AL86" i="2"/>
  <c r="Q98" i="2" l="1"/>
  <c r="CW106" i="2"/>
  <c r="K69" i="1"/>
  <c r="J69" i="1" s="1"/>
  <c r="E70" i="1"/>
  <c r="N69" i="1"/>
  <c r="BL98" i="2"/>
  <c r="BM98" i="2" s="1"/>
  <c r="BK99" i="2"/>
  <c r="BS103" i="2"/>
  <c r="BT103" i="2" s="1"/>
  <c r="BR104" i="2"/>
  <c r="AJ88" i="2"/>
  <c r="AK88" i="2" s="1"/>
  <c r="AI89" i="2"/>
  <c r="DB95" i="2"/>
  <c r="DC95" i="2" s="1"/>
  <c r="DA96" i="2"/>
  <c r="M81" i="1"/>
  <c r="G82" i="1"/>
  <c r="AL87" i="2"/>
  <c r="CG91" i="2"/>
  <c r="CH91" i="2" s="1"/>
  <c r="CF92" i="2"/>
  <c r="H89" i="2"/>
  <c r="I89" i="2" s="1"/>
  <c r="G90" i="2"/>
  <c r="R69" i="1"/>
  <c r="S69" i="1" s="1"/>
  <c r="DD95" i="2"/>
  <c r="DK100" i="2"/>
  <c r="BZ101" i="2"/>
  <c r="CA101" i="2" s="1"/>
  <c r="BY102" i="2"/>
  <c r="CI90" i="2"/>
  <c r="AQ94" i="2"/>
  <c r="AR94" i="2" s="1"/>
  <c r="AP95" i="2"/>
  <c r="AB152" i="2"/>
  <c r="AC151" i="2"/>
  <c r="AD151" i="2" s="1"/>
  <c r="CM104" i="2"/>
  <c r="CN103" i="2"/>
  <c r="CO103" i="2" s="1"/>
  <c r="BD104" i="2"/>
  <c r="BE103" i="2"/>
  <c r="BF103" i="2" s="1"/>
  <c r="DI101" i="2"/>
  <c r="DJ101" i="2" s="1"/>
  <c r="DH102" i="2"/>
  <c r="AS93" i="2"/>
  <c r="AE150" i="2"/>
  <c r="J88" i="2"/>
  <c r="AX86" i="2"/>
  <c r="AY86" i="2" s="1"/>
  <c r="AW87" i="2"/>
  <c r="BG102" i="2"/>
  <c r="O71" i="1"/>
  <c r="P70" i="1"/>
  <c r="Q70" i="1" s="1"/>
  <c r="BN97" i="2"/>
  <c r="O99" i="2"/>
  <c r="P99" i="2" s="1"/>
  <c r="N100" i="2"/>
  <c r="CT108" i="2"/>
  <c r="CU107" i="2"/>
  <c r="CV107" i="2" s="1"/>
  <c r="BU102" i="2"/>
  <c r="AZ85" i="2"/>
  <c r="V95" i="2"/>
  <c r="W95" i="2" s="1"/>
  <c r="U96" i="2"/>
  <c r="X94" i="2"/>
  <c r="V96" i="2" l="1"/>
  <c r="W96" i="2" s="1"/>
  <c r="U97" i="2"/>
  <c r="P71" i="1"/>
  <c r="Q71" i="1" s="1"/>
  <c r="O72" i="1"/>
  <c r="AE152" i="2"/>
  <c r="AE151" i="2"/>
  <c r="BZ102" i="2"/>
  <c r="CA102" i="2" s="1"/>
  <c r="BY103" i="2"/>
  <c r="CI91" i="2"/>
  <c r="AJ89" i="2"/>
  <c r="AK89" i="2" s="1"/>
  <c r="AI90" i="2"/>
  <c r="X95" i="2"/>
  <c r="CW107" i="2"/>
  <c r="AX87" i="2"/>
  <c r="AY87" i="2" s="1"/>
  <c r="AW88" i="2"/>
  <c r="DI102" i="2"/>
  <c r="DJ102" i="2" s="1"/>
  <c r="DH103" i="2"/>
  <c r="AC152" i="2"/>
  <c r="AD152" i="2" s="1"/>
  <c r="AB153" i="2"/>
  <c r="E71" i="1"/>
  <c r="K70" i="1"/>
  <c r="J70" i="1" s="1"/>
  <c r="N70" i="1"/>
  <c r="DK101" i="2"/>
  <c r="AP96" i="2"/>
  <c r="AQ95" i="2"/>
  <c r="AR95" i="2" s="1"/>
  <c r="M82" i="1"/>
  <c r="G83" i="1"/>
  <c r="BS104" i="2"/>
  <c r="BT104" i="2" s="1"/>
  <c r="BR105" i="2"/>
  <c r="CU108" i="2"/>
  <c r="CV108" i="2" s="1"/>
  <c r="CT109" i="2"/>
  <c r="N101" i="2"/>
  <c r="O100" i="2"/>
  <c r="P100" i="2" s="1"/>
  <c r="BG103" i="2"/>
  <c r="AS94" i="2"/>
  <c r="AS95" i="2"/>
  <c r="G91" i="2"/>
  <c r="H90" i="2"/>
  <c r="I90" i="2" s="1"/>
  <c r="AL88" i="2"/>
  <c r="BU103" i="2"/>
  <c r="BN99" i="2"/>
  <c r="R70" i="1"/>
  <c r="S70" i="1" s="1"/>
  <c r="AZ86" i="2"/>
  <c r="Q99" i="2"/>
  <c r="Q100" i="2"/>
  <c r="BE104" i="2"/>
  <c r="BF104" i="2" s="1"/>
  <c r="BD105" i="2"/>
  <c r="J89" i="2"/>
  <c r="DA97" i="2"/>
  <c r="DB96" i="2"/>
  <c r="DC96" i="2" s="1"/>
  <c r="BL99" i="2"/>
  <c r="BM99" i="2" s="1"/>
  <c r="BK100" i="2"/>
  <c r="BN98" i="2"/>
  <c r="X96" i="2"/>
  <c r="CP103" i="2"/>
  <c r="CM105" i="2"/>
  <c r="CN104" i="2"/>
  <c r="CO104" i="2" s="1"/>
  <c r="DD96" i="2"/>
  <c r="CG92" i="2"/>
  <c r="CH92" i="2" s="1"/>
  <c r="CF93" i="2"/>
  <c r="CB101" i="2"/>
  <c r="K71" i="1" l="1"/>
  <c r="J71" i="1" s="1"/>
  <c r="E72" i="1"/>
  <c r="N71" i="1"/>
  <c r="DH104" i="2"/>
  <c r="DI103" i="2"/>
  <c r="DJ103" i="2" s="1"/>
  <c r="BY104" i="2"/>
  <c r="BZ103" i="2"/>
  <c r="CA103" i="2" s="1"/>
  <c r="V97" i="2"/>
  <c r="W97" i="2" s="1"/>
  <c r="U98" i="2"/>
  <c r="CN105" i="2"/>
  <c r="CO105" i="2" s="1"/>
  <c r="CM106" i="2"/>
  <c r="BL100" i="2"/>
  <c r="BM100" i="2" s="1"/>
  <c r="BK101" i="2"/>
  <c r="CU109" i="2"/>
  <c r="CV109" i="2" s="1"/>
  <c r="CT110" i="2"/>
  <c r="DK102" i="2"/>
  <c r="BE105" i="2"/>
  <c r="BF105" i="2" s="1"/>
  <c r="BD106" i="2"/>
  <c r="AQ96" i="2"/>
  <c r="AR96" i="2" s="1"/>
  <c r="AP97" i="2"/>
  <c r="AX88" i="2"/>
  <c r="AY88" i="2" s="1"/>
  <c r="AW89" i="2"/>
  <c r="BG104" i="2"/>
  <c r="BR106" i="2"/>
  <c r="BS105" i="2"/>
  <c r="BT105" i="2" s="1"/>
  <c r="CB102" i="2"/>
  <c r="DB97" i="2"/>
  <c r="DC97" i="2" s="1"/>
  <c r="DA98" i="2"/>
  <c r="BU104" i="2"/>
  <c r="AJ90" i="2"/>
  <c r="AK90" i="2" s="1"/>
  <c r="AI91" i="2"/>
  <c r="O101" i="2"/>
  <c r="P101" i="2" s="1"/>
  <c r="N102" i="2"/>
  <c r="CW108" i="2"/>
  <c r="AL89" i="2"/>
  <c r="CP104" i="2"/>
  <c r="CP105" i="2"/>
  <c r="CG93" i="2"/>
  <c r="CH93" i="2" s="1"/>
  <c r="CF94" i="2"/>
  <c r="CI92" i="2"/>
  <c r="J90" i="2"/>
  <c r="AZ87" i="2"/>
  <c r="M83" i="1"/>
  <c r="G84" i="1"/>
  <c r="AC153" i="2"/>
  <c r="AD153" i="2" s="1"/>
  <c r="AB154" i="2"/>
  <c r="P72" i="1"/>
  <c r="Q72" i="1" s="1"/>
  <c r="O73" i="1"/>
  <c r="G92" i="2"/>
  <c r="H91" i="2"/>
  <c r="I91" i="2" s="1"/>
  <c r="BG105" i="2"/>
  <c r="R71" i="1"/>
  <c r="S71" i="1" s="1"/>
  <c r="R72" i="1" l="1"/>
  <c r="S72" i="1" s="1"/>
  <c r="CG94" i="2"/>
  <c r="CH94" i="2" s="1"/>
  <c r="CF95" i="2"/>
  <c r="CU110" i="2"/>
  <c r="CV110" i="2" s="1"/>
  <c r="CT111" i="2"/>
  <c r="CB103" i="2"/>
  <c r="AC154" i="2"/>
  <c r="AD154" i="2" s="1"/>
  <c r="AB155" i="2"/>
  <c r="CI93" i="2"/>
  <c r="AX89" i="2"/>
  <c r="AY89" i="2" s="1"/>
  <c r="AW90" i="2"/>
  <c r="CW109" i="2"/>
  <c r="BZ104" i="2"/>
  <c r="CA104" i="2" s="1"/>
  <c r="BY105" i="2"/>
  <c r="J91" i="2"/>
  <c r="O102" i="2"/>
  <c r="P102" i="2" s="1"/>
  <c r="N103" i="2"/>
  <c r="BL101" i="2"/>
  <c r="BM101" i="2" s="1"/>
  <c r="BK102" i="2"/>
  <c r="DK103" i="2"/>
  <c r="H92" i="2"/>
  <c r="I92" i="2" s="1"/>
  <c r="G93" i="2"/>
  <c r="M84" i="1"/>
  <c r="G85" i="1"/>
  <c r="Q101" i="2"/>
  <c r="Q102" i="2"/>
  <c r="AZ88" i="2"/>
  <c r="AQ97" i="2"/>
  <c r="AR97" i="2" s="1"/>
  <c r="AP98" i="2"/>
  <c r="BN100" i="2"/>
  <c r="DH105" i="2"/>
  <c r="DI104" i="2"/>
  <c r="DJ104" i="2" s="1"/>
  <c r="AS96" i="2"/>
  <c r="CN106" i="2"/>
  <c r="CO106" i="2" s="1"/>
  <c r="CM107" i="2"/>
  <c r="CI94" i="2"/>
  <c r="AJ91" i="2"/>
  <c r="AK91" i="2" s="1"/>
  <c r="AI92" i="2"/>
  <c r="E73" i="1"/>
  <c r="K72" i="1"/>
  <c r="J72" i="1" s="1"/>
  <c r="N72" i="1"/>
  <c r="AL90" i="2"/>
  <c r="DA99" i="2"/>
  <c r="DB98" i="2"/>
  <c r="DC98" i="2" s="1"/>
  <c r="BU105" i="2"/>
  <c r="BE106" i="2"/>
  <c r="BF106" i="2" s="1"/>
  <c r="BD107" i="2"/>
  <c r="U99" i="2"/>
  <c r="V98" i="2"/>
  <c r="W98" i="2" s="1"/>
  <c r="AE153" i="2"/>
  <c r="P73" i="1"/>
  <c r="Q73" i="1" s="1"/>
  <c r="O74" i="1"/>
  <c r="DD97" i="2"/>
  <c r="BS106" i="2"/>
  <c r="BT106" i="2" s="1"/>
  <c r="BR107" i="2"/>
  <c r="X98" i="2"/>
  <c r="X97" i="2"/>
  <c r="AL91" i="2" l="1"/>
  <c r="M85" i="1"/>
  <c r="G86" i="1"/>
  <c r="BZ105" i="2"/>
  <c r="CA105" i="2" s="1"/>
  <c r="BY106" i="2"/>
  <c r="CB104" i="2"/>
  <c r="CB105" i="2"/>
  <c r="AB156" i="2"/>
  <c r="AC155" i="2"/>
  <c r="AD155" i="2" s="1"/>
  <c r="U100" i="2"/>
  <c r="V99" i="2"/>
  <c r="W99" i="2" s="1"/>
  <c r="CN107" i="2"/>
  <c r="CO107" i="2" s="1"/>
  <c r="CM108" i="2"/>
  <c r="AP99" i="2"/>
  <c r="AQ98" i="2"/>
  <c r="AR98" i="2" s="1"/>
  <c r="O103" i="2"/>
  <c r="P103" i="2" s="1"/>
  <c r="N104" i="2"/>
  <c r="R73" i="1"/>
  <c r="S73" i="1" s="1"/>
  <c r="BU106" i="2"/>
  <c r="DD98" i="2"/>
  <c r="BD108" i="2"/>
  <c r="BE107" i="2"/>
  <c r="BF107" i="2" s="1"/>
  <c r="DB99" i="2"/>
  <c r="DC99" i="2" s="1"/>
  <c r="DA100" i="2"/>
  <c r="K73" i="1"/>
  <c r="J73" i="1" s="1"/>
  <c r="E74" i="1"/>
  <c r="N73" i="1"/>
  <c r="CP106" i="2"/>
  <c r="CP107" i="2"/>
  <c r="DK104" i="2"/>
  <c r="DK105" i="2"/>
  <c r="AS97" i="2"/>
  <c r="H93" i="2"/>
  <c r="I93" i="2" s="1"/>
  <c r="G94" i="2"/>
  <c r="BG106" i="2"/>
  <c r="BG107" i="2"/>
  <c r="DI105" i="2"/>
  <c r="DJ105" i="2" s="1"/>
  <c r="DH106" i="2"/>
  <c r="AW91" i="2"/>
  <c r="AX90" i="2"/>
  <c r="AY90" i="2" s="1"/>
  <c r="BL102" i="2"/>
  <c r="BM102" i="2" s="1"/>
  <c r="BK103" i="2"/>
  <c r="J92" i="2"/>
  <c r="AZ89" i="2"/>
  <c r="AZ90" i="2"/>
  <c r="CT112" i="2"/>
  <c r="CU111" i="2"/>
  <c r="CV111" i="2" s="1"/>
  <c r="O75" i="1"/>
  <c r="P74" i="1"/>
  <c r="Q74" i="1" s="1"/>
  <c r="R74" i="1"/>
  <c r="S74" i="1" s="1"/>
  <c r="BN101" i="2"/>
  <c r="CW110" i="2"/>
  <c r="CW111" i="2"/>
  <c r="BS107" i="2"/>
  <c r="BT107" i="2" s="1"/>
  <c r="BR108" i="2"/>
  <c r="AJ92" i="2"/>
  <c r="AK92" i="2" s="1"/>
  <c r="AI93" i="2"/>
  <c r="AE154" i="2"/>
  <c r="CG95" i="2"/>
  <c r="CH95" i="2" s="1"/>
  <c r="CF96" i="2"/>
  <c r="AW92" i="2" l="1"/>
  <c r="AX91" i="2"/>
  <c r="AY91" i="2" s="1"/>
  <c r="H94" i="2"/>
  <c r="I94" i="2" s="1"/>
  <c r="G95" i="2"/>
  <c r="AS98" i="2"/>
  <c r="AI94" i="2"/>
  <c r="AJ93" i="2"/>
  <c r="AK93" i="2" s="1"/>
  <c r="BL103" i="2"/>
  <c r="BM103" i="2" s="1"/>
  <c r="BK104" i="2"/>
  <c r="J93" i="2"/>
  <c r="DB100" i="2"/>
  <c r="DC100" i="2" s="1"/>
  <c r="DA101" i="2"/>
  <c r="AQ99" i="2"/>
  <c r="AR99" i="2" s="1"/>
  <c r="AP100" i="2"/>
  <c r="M86" i="1"/>
  <c r="G87" i="1"/>
  <c r="BN102" i="2"/>
  <c r="CN108" i="2"/>
  <c r="CO108" i="2" s="1"/>
  <c r="CM109" i="2"/>
  <c r="CI95" i="2"/>
  <c r="CG96" i="2"/>
  <c r="CH96" i="2" s="1"/>
  <c r="CF97" i="2"/>
  <c r="CU112" i="2"/>
  <c r="CV112" i="2" s="1"/>
  <c r="CT113" i="2"/>
  <c r="BD109" i="2"/>
  <c r="BE108" i="2"/>
  <c r="BF108" i="2" s="1"/>
  <c r="X99" i="2"/>
  <c r="DI106" i="2"/>
  <c r="DJ106" i="2" s="1"/>
  <c r="DH107" i="2"/>
  <c r="U101" i="2"/>
  <c r="V100" i="2"/>
  <c r="W100" i="2" s="1"/>
  <c r="AL92" i="2"/>
  <c r="BS108" i="2"/>
  <c r="BT108" i="2" s="1"/>
  <c r="BR109" i="2"/>
  <c r="O104" i="2"/>
  <c r="P104" i="2" s="1"/>
  <c r="N105" i="2"/>
  <c r="AE155" i="2"/>
  <c r="BZ106" i="2"/>
  <c r="CA106" i="2" s="1"/>
  <c r="BY107" i="2"/>
  <c r="BU107" i="2"/>
  <c r="O76" i="1"/>
  <c r="P75" i="1"/>
  <c r="Q75" i="1" s="1"/>
  <c r="AZ91" i="2"/>
  <c r="E75" i="1"/>
  <c r="K74" i="1"/>
  <c r="J74" i="1" s="1"/>
  <c r="N74" i="1"/>
  <c r="DD99" i="2"/>
  <c r="Q103" i="2"/>
  <c r="AC156" i="2"/>
  <c r="AD156" i="2" s="1"/>
  <c r="AB157" i="2"/>
  <c r="O77" i="1" l="1"/>
  <c r="P76" i="1"/>
  <c r="Q76" i="1" s="1"/>
  <c r="BG108" i="2"/>
  <c r="CP108" i="2"/>
  <c r="M87" i="1"/>
  <c r="G88" i="1"/>
  <c r="BL104" i="2"/>
  <c r="BM104" i="2" s="1"/>
  <c r="BK105" i="2"/>
  <c r="H95" i="2"/>
  <c r="I95" i="2" s="1"/>
  <c r="G96" i="2"/>
  <c r="K75" i="1"/>
  <c r="J75" i="1" s="1"/>
  <c r="E76" i="1"/>
  <c r="N75" i="1"/>
  <c r="X100" i="2"/>
  <c r="X101" i="2"/>
  <c r="BE109" i="2"/>
  <c r="BF109" i="2" s="1"/>
  <c r="BD110" i="2"/>
  <c r="BN103" i="2"/>
  <c r="J94" i="2"/>
  <c r="V101" i="2"/>
  <c r="W101" i="2" s="1"/>
  <c r="U102" i="2"/>
  <c r="AQ100" i="2"/>
  <c r="AR100" i="2" s="1"/>
  <c r="AP101" i="2"/>
  <c r="AL93" i="2"/>
  <c r="AE156" i="2"/>
  <c r="CT114" i="2"/>
  <c r="CU113" i="2"/>
  <c r="CV113" i="2" s="1"/>
  <c r="AS100" i="2"/>
  <c r="AJ94" i="2"/>
  <c r="AK94" i="2" s="1"/>
  <c r="AI95" i="2"/>
  <c r="AX92" i="2"/>
  <c r="AY92" i="2" s="1"/>
  <c r="AW93" i="2"/>
  <c r="N106" i="2"/>
  <c r="O105" i="2"/>
  <c r="P105" i="2" s="1"/>
  <c r="BR110" i="2"/>
  <c r="BS109" i="2"/>
  <c r="BT109" i="2" s="1"/>
  <c r="DH108" i="2"/>
  <c r="DI107" i="2"/>
  <c r="DJ107" i="2" s="1"/>
  <c r="CW112" i="2"/>
  <c r="DB101" i="2"/>
  <c r="DC101" i="2" s="1"/>
  <c r="DA102" i="2"/>
  <c r="BZ107" i="2"/>
  <c r="CA107" i="2" s="1"/>
  <c r="BY108" i="2"/>
  <c r="Q104" i="2"/>
  <c r="Q105" i="2"/>
  <c r="BU108" i="2"/>
  <c r="DK106" i="2"/>
  <c r="CF98" i="2"/>
  <c r="CG97" i="2"/>
  <c r="CH97" i="2" s="1"/>
  <c r="DD100" i="2"/>
  <c r="CB106" i="2"/>
  <c r="CB107" i="2"/>
  <c r="CI96" i="2"/>
  <c r="AS99" i="2"/>
  <c r="AC157" i="2"/>
  <c r="AD157" i="2" s="1"/>
  <c r="AB158" i="2"/>
  <c r="R75" i="1"/>
  <c r="S75" i="1" s="1"/>
  <c r="CM110" i="2"/>
  <c r="CN109" i="2"/>
  <c r="CO109" i="2" s="1"/>
  <c r="BZ108" i="2" l="1"/>
  <c r="CA108" i="2" s="1"/>
  <c r="BY109" i="2"/>
  <c r="CP109" i="2"/>
  <c r="CN110" i="2"/>
  <c r="CO110" i="2" s="1"/>
  <c r="CM111" i="2"/>
  <c r="DK107" i="2"/>
  <c r="AJ95" i="2"/>
  <c r="AK95" i="2" s="1"/>
  <c r="AI96" i="2"/>
  <c r="CT115" i="2"/>
  <c r="CU114" i="2"/>
  <c r="CV114" i="2" s="1"/>
  <c r="H96" i="2"/>
  <c r="I96" i="2" s="1"/>
  <c r="G97" i="2"/>
  <c r="CI97" i="2"/>
  <c r="DB102" i="2"/>
  <c r="DC102" i="2" s="1"/>
  <c r="DA103" i="2"/>
  <c r="DI108" i="2"/>
  <c r="DJ108" i="2" s="1"/>
  <c r="DH109" i="2"/>
  <c r="AL94" i="2"/>
  <c r="J95" i="2"/>
  <c r="R76" i="1"/>
  <c r="S76" i="1" s="1"/>
  <c r="R77" i="1"/>
  <c r="S77" i="1" s="1"/>
  <c r="AC158" i="2"/>
  <c r="AD158" i="2" s="1"/>
  <c r="AB159" i="2"/>
  <c r="AE158" i="2"/>
  <c r="CF99" i="2"/>
  <c r="CG98" i="2"/>
  <c r="CH98" i="2" s="1"/>
  <c r="DD101" i="2"/>
  <c r="BU109" i="2"/>
  <c r="AQ101" i="2"/>
  <c r="AR101" i="2" s="1"/>
  <c r="AP102" i="2"/>
  <c r="BL105" i="2"/>
  <c r="BM105" i="2" s="1"/>
  <c r="BK106" i="2"/>
  <c r="P77" i="1"/>
  <c r="Q77" i="1" s="1"/>
  <c r="O78" i="1"/>
  <c r="BS110" i="2"/>
  <c r="BT110" i="2" s="1"/>
  <c r="BR111" i="2"/>
  <c r="BN104" i="2"/>
  <c r="M88" i="1"/>
  <c r="G89" i="1"/>
  <c r="AE157" i="2"/>
  <c r="O106" i="2"/>
  <c r="P106" i="2" s="1"/>
  <c r="N107" i="2"/>
  <c r="AZ92" i="2"/>
  <c r="V102" i="2"/>
  <c r="W102" i="2" s="1"/>
  <c r="U103" i="2"/>
  <c r="DD102" i="2"/>
  <c r="CW113" i="2"/>
  <c r="AX93" i="2"/>
  <c r="AY93" i="2" s="1"/>
  <c r="AW94" i="2"/>
  <c r="BG109" i="2"/>
  <c r="BE110" i="2"/>
  <c r="BF110" i="2" s="1"/>
  <c r="BD111" i="2"/>
  <c r="E77" i="1"/>
  <c r="K76" i="1"/>
  <c r="J76" i="1" s="1"/>
  <c r="N76" i="1"/>
  <c r="BN105" i="2" l="1"/>
  <c r="CW114" i="2"/>
  <c r="AZ93" i="2"/>
  <c r="AP103" i="2"/>
  <c r="AQ102" i="2"/>
  <c r="AR102" i="2" s="1"/>
  <c r="CI98" i="2"/>
  <c r="CI99" i="2"/>
  <c r="CU115" i="2"/>
  <c r="CV115" i="2" s="1"/>
  <c r="CT116" i="2"/>
  <c r="CM112" i="2"/>
  <c r="CN111" i="2"/>
  <c r="CO111" i="2" s="1"/>
  <c r="AS101" i="2"/>
  <c r="AS102" i="2"/>
  <c r="CG99" i="2"/>
  <c r="CH99" i="2" s="1"/>
  <c r="CF100" i="2"/>
  <c r="AJ96" i="2"/>
  <c r="AK96" i="2" s="1"/>
  <c r="AI97" i="2"/>
  <c r="AX94" i="2"/>
  <c r="AY94" i="2" s="1"/>
  <c r="AW95" i="2"/>
  <c r="U104" i="2"/>
  <c r="V103" i="2"/>
  <c r="W103" i="2" s="1"/>
  <c r="Q106" i="2"/>
  <c r="BS111" i="2"/>
  <c r="BT111" i="2" s="1"/>
  <c r="BR112" i="2"/>
  <c r="AL95" i="2"/>
  <c r="BU110" i="2"/>
  <c r="BZ109" i="2"/>
  <c r="CA109" i="2" s="1"/>
  <c r="BY110" i="2"/>
  <c r="K77" i="1"/>
  <c r="J77" i="1" s="1"/>
  <c r="E78" i="1"/>
  <c r="N77" i="1"/>
  <c r="BE111" i="2"/>
  <c r="BF111" i="2" s="1"/>
  <c r="BD112" i="2"/>
  <c r="O79" i="1"/>
  <c r="P78" i="1"/>
  <c r="Q78" i="1" s="1"/>
  <c r="AC159" i="2"/>
  <c r="AD159" i="2" s="1"/>
  <c r="AB160" i="2"/>
  <c r="DI109" i="2"/>
  <c r="DJ109" i="2" s="1"/>
  <c r="DH110" i="2"/>
  <c r="CP110" i="2"/>
  <c r="CB108" i="2"/>
  <c r="CB109" i="2"/>
  <c r="X102" i="2"/>
  <c r="M89" i="1"/>
  <c r="G90" i="1"/>
  <c r="DK108" i="2"/>
  <c r="DK109" i="2"/>
  <c r="G98" i="2"/>
  <c r="H97" i="2"/>
  <c r="I97" i="2" s="1"/>
  <c r="BG110" i="2"/>
  <c r="O107" i="2"/>
  <c r="P107" i="2" s="1"/>
  <c r="N108" i="2"/>
  <c r="BL106" i="2"/>
  <c r="BM106" i="2" s="1"/>
  <c r="BK107" i="2"/>
  <c r="DB103" i="2"/>
  <c r="DC103" i="2" s="1"/>
  <c r="DA104" i="2"/>
  <c r="J96" i="2"/>
  <c r="J97" i="2"/>
  <c r="M90" i="1" l="1"/>
  <c r="G91" i="1"/>
  <c r="AC160" i="2"/>
  <c r="AD160" i="2" s="1"/>
  <c r="AB161" i="2"/>
  <c r="AW96" i="2"/>
  <c r="AX95" i="2"/>
  <c r="AY95" i="2" s="1"/>
  <c r="CW115" i="2"/>
  <c r="AE159" i="2"/>
  <c r="E79" i="1"/>
  <c r="K78" i="1"/>
  <c r="J78" i="1" s="1"/>
  <c r="N78" i="1"/>
  <c r="BR113" i="2"/>
  <c r="BS112" i="2"/>
  <c r="BT112" i="2" s="1"/>
  <c r="BK108" i="2"/>
  <c r="BL107" i="2"/>
  <c r="BM107" i="2" s="1"/>
  <c r="R78" i="1"/>
  <c r="S78" i="1" s="1"/>
  <c r="BZ110" i="2"/>
  <c r="CA110" i="2" s="1"/>
  <c r="BY111" i="2"/>
  <c r="AJ97" i="2"/>
  <c r="AK97" i="2" s="1"/>
  <c r="AI98" i="2"/>
  <c r="P79" i="1"/>
  <c r="Q79" i="1" s="1"/>
  <c r="O80" i="1"/>
  <c r="AL96" i="2"/>
  <c r="AZ94" i="2"/>
  <c r="DD103" i="2"/>
  <c r="N109" i="2"/>
  <c r="O108" i="2"/>
  <c r="P108" i="2" s="1"/>
  <c r="X103" i="2"/>
  <c r="CG100" i="2"/>
  <c r="CH100" i="2" s="1"/>
  <c r="CF101" i="2"/>
  <c r="CP111" i="2"/>
  <c r="Q107" i="2"/>
  <c r="J98" i="2"/>
  <c r="R79" i="1"/>
  <c r="DI110" i="2"/>
  <c r="DJ110" i="2" s="1"/>
  <c r="DH111" i="2"/>
  <c r="BD113" i="2"/>
  <c r="BE112" i="2"/>
  <c r="BF112" i="2" s="1"/>
  <c r="V104" i="2"/>
  <c r="W104" i="2" s="1"/>
  <c r="U105" i="2"/>
  <c r="CN112" i="2"/>
  <c r="CO112" i="2" s="1"/>
  <c r="CM113" i="2"/>
  <c r="AQ103" i="2"/>
  <c r="AR103" i="2" s="1"/>
  <c r="AP104" i="2"/>
  <c r="BN106" i="2"/>
  <c r="DB104" i="2"/>
  <c r="DC104" i="2" s="1"/>
  <c r="DA105" i="2"/>
  <c r="H98" i="2"/>
  <c r="I98" i="2" s="1"/>
  <c r="G99" i="2"/>
  <c r="BG111" i="2"/>
  <c r="BU111" i="2"/>
  <c r="AS103" i="2"/>
  <c r="CU116" i="2"/>
  <c r="CV116" i="2" s="1"/>
  <c r="CT117" i="2"/>
  <c r="BN107" i="2"/>
  <c r="S79" i="1" l="1"/>
  <c r="N110" i="2"/>
  <c r="O109" i="2"/>
  <c r="P109" i="2" s="1"/>
  <c r="AI99" i="2"/>
  <c r="AJ98" i="2"/>
  <c r="AK98" i="2" s="1"/>
  <c r="M91" i="1"/>
  <c r="G92" i="1"/>
  <c r="V105" i="2"/>
  <c r="W105" i="2" s="1"/>
  <c r="U106" i="2"/>
  <c r="CW116" i="2"/>
  <c r="AQ104" i="2"/>
  <c r="AR104" i="2" s="1"/>
  <c r="AP105" i="2"/>
  <c r="AL97" i="2"/>
  <c r="BL108" i="2"/>
  <c r="BM108" i="2" s="1"/>
  <c r="BK109" i="2"/>
  <c r="K79" i="1"/>
  <c r="J79" i="1" s="1"/>
  <c r="E80" i="1"/>
  <c r="N79" i="1"/>
  <c r="P80" i="1"/>
  <c r="Q80" i="1" s="1"/>
  <c r="O81" i="1"/>
  <c r="Q108" i="2"/>
  <c r="AE160" i="2"/>
  <c r="X104" i="2"/>
  <c r="CG101" i="2"/>
  <c r="CH101" i="2" s="1"/>
  <c r="CF102" i="2"/>
  <c r="R80" i="1"/>
  <c r="S80" i="1" s="1"/>
  <c r="AZ95" i="2"/>
  <c r="DA106" i="2"/>
  <c r="DB105" i="2"/>
  <c r="DC105" i="2" s="1"/>
  <c r="BE113" i="2"/>
  <c r="BF113" i="2" s="1"/>
  <c r="BD114" i="2"/>
  <c r="H99" i="2"/>
  <c r="I99" i="2" s="1"/>
  <c r="G100" i="2"/>
  <c r="CP112" i="2"/>
  <c r="DH112" i="2"/>
  <c r="DI111" i="2"/>
  <c r="DJ111" i="2" s="1"/>
  <c r="CI100" i="2"/>
  <c r="BZ111" i="2"/>
  <c r="CA111" i="2" s="1"/>
  <c r="BY112" i="2"/>
  <c r="BU112" i="2"/>
  <c r="AX96" i="2"/>
  <c r="AY96" i="2" s="1"/>
  <c r="AW97" i="2"/>
  <c r="DD104" i="2"/>
  <c r="CU117" i="2"/>
  <c r="CV117" i="2" s="1"/>
  <c r="CT118" i="2"/>
  <c r="BG112" i="2"/>
  <c r="CN113" i="2"/>
  <c r="CO113" i="2" s="1"/>
  <c r="CM114" i="2"/>
  <c r="J99" i="2"/>
  <c r="DK110" i="2"/>
  <c r="CB110" i="2"/>
  <c r="BR114" i="2"/>
  <c r="BS113" i="2"/>
  <c r="BT113" i="2" s="1"/>
  <c r="AB162" i="2"/>
  <c r="AC161" i="2"/>
  <c r="AD161" i="2" s="1"/>
  <c r="DK111" i="2" l="1"/>
  <c r="DH113" i="2"/>
  <c r="DI112" i="2"/>
  <c r="DJ112" i="2" s="1"/>
  <c r="DD105" i="2"/>
  <c r="AQ105" i="2"/>
  <c r="AR105" i="2" s="1"/>
  <c r="AP106" i="2"/>
  <c r="CT119" i="2"/>
  <c r="CU118" i="2"/>
  <c r="CV118" i="2" s="1"/>
  <c r="DB106" i="2"/>
  <c r="DC106" i="2" s="1"/>
  <c r="DA107" i="2"/>
  <c r="CF103" i="2"/>
  <c r="CG102" i="2"/>
  <c r="CH102" i="2" s="1"/>
  <c r="AE161" i="2"/>
  <c r="AB163" i="2"/>
  <c r="AC162" i="2"/>
  <c r="AD162" i="2" s="1"/>
  <c r="CW117" i="2"/>
  <c r="CI101" i="2"/>
  <c r="K80" i="1"/>
  <c r="J80" i="1" s="1"/>
  <c r="E81" i="1"/>
  <c r="N80" i="1"/>
  <c r="AL98" i="2"/>
  <c r="AL99" i="2"/>
  <c r="AE162" i="2"/>
  <c r="CN114" i="2"/>
  <c r="CO114" i="2" s="1"/>
  <c r="CM115" i="2"/>
  <c r="AJ99" i="2"/>
  <c r="AK99" i="2" s="1"/>
  <c r="AI100" i="2"/>
  <c r="BU113" i="2"/>
  <c r="CP113" i="2"/>
  <c r="H100" i="2"/>
  <c r="I100" i="2" s="1"/>
  <c r="G101" i="2"/>
  <c r="P81" i="1"/>
  <c r="Q81" i="1" s="1"/>
  <c r="O82" i="1"/>
  <c r="BK110" i="2"/>
  <c r="BL109" i="2"/>
  <c r="BM109" i="2" s="1"/>
  <c r="V106" i="2"/>
  <c r="W106" i="2" s="1"/>
  <c r="U107" i="2"/>
  <c r="Q109" i="2"/>
  <c r="BS114" i="2"/>
  <c r="BT114" i="2" s="1"/>
  <c r="BR115" i="2"/>
  <c r="BG113" i="2"/>
  <c r="AW98" i="2"/>
  <c r="AX97" i="2"/>
  <c r="AY97" i="2" s="1"/>
  <c r="BY113" i="2"/>
  <c r="BZ112" i="2"/>
  <c r="CA112" i="2" s="1"/>
  <c r="X105" i="2"/>
  <c r="O110" i="2"/>
  <c r="P110" i="2" s="1"/>
  <c r="N111" i="2"/>
  <c r="AZ96" i="2"/>
  <c r="CB111" i="2"/>
  <c r="BE114" i="2"/>
  <c r="BF114" i="2" s="1"/>
  <c r="BD115" i="2"/>
  <c r="AS104" i="2"/>
  <c r="M92" i="1"/>
  <c r="G93" i="1"/>
  <c r="BN108" i="2"/>
  <c r="O111" i="2" l="1"/>
  <c r="P111" i="2" s="1"/>
  <c r="N112" i="2"/>
  <c r="Q110" i="2"/>
  <c r="BY114" i="2"/>
  <c r="BZ113" i="2"/>
  <c r="CA113" i="2" s="1"/>
  <c r="J100" i="2"/>
  <c r="CG103" i="2"/>
  <c r="CH103" i="2" s="1"/>
  <c r="CF104" i="2"/>
  <c r="DB107" i="2"/>
  <c r="DC107" i="2" s="1"/>
  <c r="DA108" i="2"/>
  <c r="AB164" i="2"/>
  <c r="AC163" i="2"/>
  <c r="AD163" i="2" s="1"/>
  <c r="DD106" i="2"/>
  <c r="DI113" i="2"/>
  <c r="DJ113" i="2" s="1"/>
  <c r="DH114" i="2"/>
  <c r="CN115" i="2"/>
  <c r="CO115" i="2" s="1"/>
  <c r="CM116" i="2"/>
  <c r="CI102" i="2"/>
  <c r="CI103" i="2"/>
  <c r="BD116" i="2"/>
  <c r="BE115" i="2"/>
  <c r="BF115" i="2" s="1"/>
  <c r="AZ98" i="2"/>
  <c r="X106" i="2"/>
  <c r="CW118" i="2"/>
  <c r="H101" i="2"/>
  <c r="I101" i="2" s="1"/>
  <c r="G102" i="2"/>
  <c r="K81" i="1"/>
  <c r="J81" i="1" s="1"/>
  <c r="E82" i="1"/>
  <c r="N81" i="1"/>
  <c r="BG114" i="2"/>
  <c r="CB112" i="2"/>
  <c r="DK113" i="2"/>
  <c r="BL110" i="2"/>
  <c r="BM110" i="2" s="1"/>
  <c r="BK111" i="2"/>
  <c r="CP114" i="2"/>
  <c r="AJ100" i="2"/>
  <c r="AK100" i="2" s="1"/>
  <c r="AI101" i="2"/>
  <c r="CT120" i="2"/>
  <c r="CU119" i="2"/>
  <c r="CV119" i="2" s="1"/>
  <c r="V107" i="2"/>
  <c r="W107" i="2" s="1"/>
  <c r="U108" i="2"/>
  <c r="AX98" i="2"/>
  <c r="AY98" i="2" s="1"/>
  <c r="AW99" i="2"/>
  <c r="M93" i="1"/>
  <c r="G94" i="1"/>
  <c r="BN109" i="2"/>
  <c r="BR116" i="2"/>
  <c r="BS115" i="2"/>
  <c r="BT115" i="2" s="1"/>
  <c r="O83" i="1"/>
  <c r="P82" i="1"/>
  <c r="Q82" i="1" s="1"/>
  <c r="AL100" i="2"/>
  <c r="AP107" i="2"/>
  <c r="AQ106" i="2"/>
  <c r="AR106" i="2" s="1"/>
  <c r="DK112" i="2"/>
  <c r="BU115" i="2"/>
  <c r="BU114" i="2"/>
  <c r="R81" i="1"/>
  <c r="S81" i="1" s="1"/>
  <c r="AZ97" i="2"/>
  <c r="AS105" i="2"/>
  <c r="BG116" i="2" l="1"/>
  <c r="X107" i="2"/>
  <c r="BK112" i="2"/>
  <c r="BL111" i="2"/>
  <c r="BM111" i="2" s="1"/>
  <c r="BE116" i="2"/>
  <c r="BF116" i="2" s="1"/>
  <c r="BD117" i="2"/>
  <c r="DH115" i="2"/>
  <c r="DI114" i="2"/>
  <c r="DJ114" i="2" s="1"/>
  <c r="N113" i="2"/>
  <c r="O112" i="2"/>
  <c r="P112" i="2" s="1"/>
  <c r="BG115" i="2"/>
  <c r="CG104" i="2"/>
  <c r="CH104" i="2" s="1"/>
  <c r="CF105" i="2"/>
  <c r="Q111" i="2"/>
  <c r="V108" i="2"/>
  <c r="W108" i="2" s="1"/>
  <c r="U109" i="2"/>
  <c r="AS106" i="2"/>
  <c r="R82" i="1"/>
  <c r="S82" i="1" s="1"/>
  <c r="R83" i="1"/>
  <c r="M94" i="1"/>
  <c r="G95" i="1"/>
  <c r="DD107" i="2"/>
  <c r="DB108" i="2"/>
  <c r="DC108" i="2" s="1"/>
  <c r="DA109" i="2"/>
  <c r="P83" i="1"/>
  <c r="Q83" i="1" s="1"/>
  <c r="O84" i="1"/>
  <c r="CW119" i="2"/>
  <c r="BN110" i="2"/>
  <c r="E83" i="1"/>
  <c r="K82" i="1"/>
  <c r="J82" i="1" s="1"/>
  <c r="N82" i="1"/>
  <c r="CP115" i="2"/>
  <c r="BZ114" i="2"/>
  <c r="CA114" i="2" s="1"/>
  <c r="BY115" i="2"/>
  <c r="CB113" i="2"/>
  <c r="AP108" i="2"/>
  <c r="AQ107" i="2"/>
  <c r="AR107" i="2" s="1"/>
  <c r="CU120" i="2"/>
  <c r="CV120" i="2" s="1"/>
  <c r="CT121" i="2"/>
  <c r="BR117" i="2"/>
  <c r="BS116" i="2"/>
  <c r="BT116" i="2" s="1"/>
  <c r="AX99" i="2"/>
  <c r="AY99" i="2" s="1"/>
  <c r="AW100" i="2"/>
  <c r="AJ101" i="2"/>
  <c r="AK101" i="2" s="1"/>
  <c r="AI102" i="2"/>
  <c r="G103" i="2"/>
  <c r="H102" i="2"/>
  <c r="I102" i="2" s="1"/>
  <c r="AE163" i="2"/>
  <c r="AZ99" i="2"/>
  <c r="AL101" i="2"/>
  <c r="J101" i="2"/>
  <c r="CN116" i="2"/>
  <c r="CO116" i="2" s="1"/>
  <c r="CM117" i="2"/>
  <c r="AC164" i="2"/>
  <c r="AD164" i="2" s="1"/>
  <c r="AB165" i="2"/>
  <c r="J102" i="2"/>
  <c r="S83" i="1" l="1"/>
  <c r="BU116" i="2"/>
  <c r="X108" i="2"/>
  <c r="N114" i="2"/>
  <c r="O113" i="2"/>
  <c r="P113" i="2" s="1"/>
  <c r="BK113" i="2"/>
  <c r="BL112" i="2"/>
  <c r="BM112" i="2" s="1"/>
  <c r="Q113" i="2"/>
  <c r="P84" i="1"/>
  <c r="Q84" i="1" s="1"/>
  <c r="O85" i="1"/>
  <c r="BN111" i="2"/>
  <c r="AE164" i="2"/>
  <c r="H103" i="2"/>
  <c r="I103" i="2" s="1"/>
  <c r="G104" i="2"/>
  <c r="AS107" i="2"/>
  <c r="K83" i="1"/>
  <c r="J83" i="1" s="1"/>
  <c r="E84" i="1"/>
  <c r="N83" i="1"/>
  <c r="CF106" i="2"/>
  <c r="CG105" i="2"/>
  <c r="CH105" i="2" s="1"/>
  <c r="BN112" i="2"/>
  <c r="DK114" i="2"/>
  <c r="AJ102" i="2"/>
  <c r="AK102" i="2" s="1"/>
  <c r="AI103" i="2"/>
  <c r="AQ108" i="2"/>
  <c r="AR108" i="2" s="1"/>
  <c r="AP109" i="2"/>
  <c r="DB109" i="2"/>
  <c r="DC109" i="2" s="1"/>
  <c r="DA110" i="2"/>
  <c r="CI104" i="2"/>
  <c r="CI105" i="2"/>
  <c r="DH116" i="2"/>
  <c r="DI115" i="2"/>
  <c r="DJ115" i="2" s="1"/>
  <c r="CU121" i="2"/>
  <c r="CV121" i="2" s="1"/>
  <c r="CT122" i="2"/>
  <c r="Q112" i="2"/>
  <c r="BR118" i="2"/>
  <c r="BS117" i="2"/>
  <c r="BT117" i="2" s="1"/>
  <c r="AC165" i="2"/>
  <c r="AD165" i="2" s="1"/>
  <c r="AE165" i="2" s="1"/>
  <c r="AB166" i="2"/>
  <c r="CP116" i="2"/>
  <c r="DD108" i="2"/>
  <c r="M95" i="1"/>
  <c r="G96" i="1"/>
  <c r="DK115" i="2"/>
  <c r="BE117" i="2"/>
  <c r="BF117" i="2" s="1"/>
  <c r="BD118" i="2"/>
  <c r="CB114" i="2"/>
  <c r="V109" i="2"/>
  <c r="W109" i="2" s="1"/>
  <c r="X109" i="2" s="1"/>
  <c r="U110" i="2"/>
  <c r="CM118" i="2"/>
  <c r="CN117" i="2"/>
  <c r="CO117" i="2" s="1"/>
  <c r="AX100" i="2"/>
  <c r="AY100" i="2" s="1"/>
  <c r="AW101" i="2"/>
  <c r="BY116" i="2"/>
  <c r="BZ115" i="2"/>
  <c r="CA115" i="2" s="1"/>
  <c r="CW120" i="2"/>
  <c r="CP117" i="2" l="1"/>
  <c r="CM119" i="2"/>
  <c r="CN118" i="2"/>
  <c r="CO118" i="2" s="1"/>
  <c r="AJ103" i="2"/>
  <c r="AK103" i="2" s="1"/>
  <c r="AI104" i="2"/>
  <c r="H104" i="2"/>
  <c r="I104" i="2" s="1"/>
  <c r="G105" i="2"/>
  <c r="K84" i="1"/>
  <c r="J84" i="1" s="1"/>
  <c r="E85" i="1"/>
  <c r="N84" i="1"/>
  <c r="P85" i="1"/>
  <c r="Q85" i="1" s="1"/>
  <c r="O86" i="1"/>
  <c r="BK114" i="2"/>
  <c r="BL113" i="2"/>
  <c r="BM113" i="2" s="1"/>
  <c r="CB115" i="2"/>
  <c r="BE118" i="2"/>
  <c r="BF118" i="2" s="1"/>
  <c r="BD119" i="2"/>
  <c r="AB167" i="2"/>
  <c r="AC166" i="2"/>
  <c r="AD166" i="2" s="1"/>
  <c r="CT123" i="2"/>
  <c r="CU122" i="2"/>
  <c r="CV122" i="2" s="1"/>
  <c r="CI106" i="2"/>
  <c r="R84" i="1"/>
  <c r="S84" i="1" s="1"/>
  <c r="BG117" i="2"/>
  <c r="AL102" i="2"/>
  <c r="CW121" i="2"/>
  <c r="J104" i="2"/>
  <c r="CF107" i="2"/>
  <c r="CG106" i="2"/>
  <c r="CH106" i="2" s="1"/>
  <c r="AS108" i="2"/>
  <c r="O114" i="2"/>
  <c r="P114" i="2" s="1"/>
  <c r="N115" i="2"/>
  <c r="BU117" i="2"/>
  <c r="BU118" i="2"/>
  <c r="DA111" i="2"/>
  <c r="DB110" i="2"/>
  <c r="DC110" i="2" s="1"/>
  <c r="J103" i="2"/>
  <c r="U111" i="2"/>
  <c r="V110" i="2"/>
  <c r="W110" i="2" s="1"/>
  <c r="M96" i="1"/>
  <c r="G97" i="1"/>
  <c r="AL103" i="2"/>
  <c r="BS118" i="2"/>
  <c r="BT118" i="2" s="1"/>
  <c r="BR119" i="2"/>
  <c r="DH117" i="2"/>
  <c r="DI116" i="2"/>
  <c r="DJ116" i="2" s="1"/>
  <c r="DD109" i="2"/>
  <c r="BY117" i="2"/>
  <c r="BZ116" i="2"/>
  <c r="CA116" i="2" s="1"/>
  <c r="AW102" i="2"/>
  <c r="AX101" i="2"/>
  <c r="AY101" i="2" s="1"/>
  <c r="X110" i="2"/>
  <c r="AZ100" i="2"/>
  <c r="AQ109" i="2"/>
  <c r="AR109" i="2" s="1"/>
  <c r="AP110" i="2"/>
  <c r="K85" i="1" l="1"/>
  <c r="J85" i="1" s="1"/>
  <c r="E86" i="1"/>
  <c r="N85" i="1"/>
  <c r="M97" i="1"/>
  <c r="G98" i="1"/>
  <c r="AX102" i="2"/>
  <c r="AY102" i="2" s="1"/>
  <c r="AW103" i="2"/>
  <c r="CI107" i="2"/>
  <c r="CT124" i="2"/>
  <c r="CU123" i="2"/>
  <c r="CV123" i="2" s="1"/>
  <c r="CW123" i="2" s="1"/>
  <c r="BN113" i="2"/>
  <c r="AI105" i="2"/>
  <c r="AJ104" i="2"/>
  <c r="AK104" i="2" s="1"/>
  <c r="CB116" i="2"/>
  <c r="DB111" i="2"/>
  <c r="DC111" i="2" s="1"/>
  <c r="DA112" i="2"/>
  <c r="CG107" i="2"/>
  <c r="CH107" i="2" s="1"/>
  <c r="CF108" i="2"/>
  <c r="AE166" i="2"/>
  <c r="BL114" i="2"/>
  <c r="BM114" i="2" s="1"/>
  <c r="BK115" i="2"/>
  <c r="AS109" i="2"/>
  <c r="AZ101" i="2"/>
  <c r="BY118" i="2"/>
  <c r="BZ117" i="2"/>
  <c r="CA117" i="2" s="1"/>
  <c r="DI117" i="2"/>
  <c r="DJ117" i="2" s="1"/>
  <c r="DH118" i="2"/>
  <c r="AB168" i="2"/>
  <c r="AC167" i="2"/>
  <c r="AD167" i="2" s="1"/>
  <c r="O87" i="1"/>
  <c r="P86" i="1"/>
  <c r="Q86" i="1" s="1"/>
  <c r="H105" i="2"/>
  <c r="I105" i="2" s="1"/>
  <c r="G106" i="2"/>
  <c r="CP118" i="2"/>
  <c r="BS119" i="2"/>
  <c r="BT119" i="2" s="1"/>
  <c r="BR120" i="2"/>
  <c r="V111" i="2"/>
  <c r="W111" i="2" s="1"/>
  <c r="U112" i="2"/>
  <c r="N116" i="2"/>
  <c r="O115" i="2"/>
  <c r="P115" i="2" s="1"/>
  <c r="CW122" i="2"/>
  <c r="BE119" i="2"/>
  <c r="BF119" i="2" s="1"/>
  <c r="BD120" i="2"/>
  <c r="R85" i="1"/>
  <c r="S85" i="1" s="1"/>
  <c r="CN119" i="2"/>
  <c r="CO119" i="2" s="1"/>
  <c r="CM120" i="2"/>
  <c r="DK116" i="2"/>
  <c r="AP111" i="2"/>
  <c r="AQ110" i="2"/>
  <c r="AR110" i="2" s="1"/>
  <c r="DD110" i="2"/>
  <c r="Q114" i="2"/>
  <c r="BG118" i="2"/>
  <c r="AQ111" i="2" l="1"/>
  <c r="AR111" i="2" s="1"/>
  <c r="AP112" i="2"/>
  <c r="N117" i="2"/>
  <c r="O116" i="2"/>
  <c r="P116" i="2" s="1"/>
  <c r="DI118" i="2"/>
  <c r="DJ118" i="2" s="1"/>
  <c r="DH119" i="2"/>
  <c r="CU124" i="2"/>
  <c r="CV124" i="2" s="1"/>
  <c r="CT125" i="2"/>
  <c r="E87" i="1"/>
  <c r="K86" i="1"/>
  <c r="J86" i="1" s="1"/>
  <c r="N86" i="1"/>
  <c r="Q115" i="2"/>
  <c r="AZ102" i="2"/>
  <c r="V112" i="2"/>
  <c r="W112" i="2" s="1"/>
  <c r="U113" i="2"/>
  <c r="DK117" i="2"/>
  <c r="CG108" i="2"/>
  <c r="CH108" i="2" s="1"/>
  <c r="CF109" i="2"/>
  <c r="AL105" i="2"/>
  <c r="AL104" i="2"/>
  <c r="X111" i="2"/>
  <c r="J105" i="2"/>
  <c r="CB117" i="2"/>
  <c r="AJ105" i="2"/>
  <c r="AK105" i="2" s="1"/>
  <c r="AI106" i="2"/>
  <c r="G107" i="2"/>
  <c r="H106" i="2"/>
  <c r="I106" i="2" s="1"/>
  <c r="BS120" i="2"/>
  <c r="BT120" i="2" s="1"/>
  <c r="BR121" i="2"/>
  <c r="R86" i="1"/>
  <c r="S86" i="1" s="1"/>
  <c r="BZ118" i="2"/>
  <c r="CA118" i="2" s="1"/>
  <c r="BY119" i="2"/>
  <c r="DB112" i="2"/>
  <c r="DC112" i="2" s="1"/>
  <c r="DA113" i="2"/>
  <c r="BD121" i="2"/>
  <c r="BE120" i="2"/>
  <c r="BF120" i="2" s="1"/>
  <c r="BU119" i="2"/>
  <c r="P87" i="1"/>
  <c r="Q87" i="1" s="1"/>
  <c r="O88" i="1"/>
  <c r="DD111" i="2"/>
  <c r="DD112" i="2"/>
  <c r="AS110" i="2"/>
  <c r="CP119" i="2"/>
  <c r="BG119" i="2"/>
  <c r="BG120" i="2"/>
  <c r="AE167" i="2"/>
  <c r="BL115" i="2"/>
  <c r="BM115" i="2" s="1"/>
  <c r="BK116" i="2"/>
  <c r="M98" i="1"/>
  <c r="G99" i="1"/>
  <c r="Q116" i="2"/>
  <c r="CM121" i="2"/>
  <c r="CN120" i="2"/>
  <c r="CO120" i="2" s="1"/>
  <c r="J106" i="2"/>
  <c r="AC168" i="2"/>
  <c r="AD168" i="2" s="1"/>
  <c r="AB169" i="2"/>
  <c r="BN114" i="2"/>
  <c r="AX103" i="2"/>
  <c r="AY103" i="2" s="1"/>
  <c r="AW104" i="2"/>
  <c r="AZ103" i="2" l="1"/>
  <c r="M99" i="1"/>
  <c r="G100" i="1"/>
  <c r="BE121" i="2"/>
  <c r="BF121" i="2" s="1"/>
  <c r="BD122" i="2"/>
  <c r="BY120" i="2"/>
  <c r="BZ119" i="2"/>
  <c r="CA119" i="2" s="1"/>
  <c r="X112" i="2"/>
  <c r="BU120" i="2"/>
  <c r="DK118" i="2"/>
  <c r="P88" i="1"/>
  <c r="Q88" i="1" s="1"/>
  <c r="O89" i="1"/>
  <c r="CB118" i="2"/>
  <c r="G108" i="2"/>
  <c r="H107" i="2"/>
  <c r="I107" i="2" s="1"/>
  <c r="J107" i="2" s="1"/>
  <c r="V113" i="2"/>
  <c r="W113" i="2" s="1"/>
  <c r="U114" i="2"/>
  <c r="N118" i="2"/>
  <c r="O117" i="2"/>
  <c r="P117" i="2" s="1"/>
  <c r="AQ112" i="2"/>
  <c r="AR112" i="2" s="1"/>
  <c r="AP113" i="2"/>
  <c r="AE168" i="2"/>
  <c r="CP120" i="2"/>
  <c r="R87" i="1"/>
  <c r="S87" i="1" s="1"/>
  <c r="E88" i="1"/>
  <c r="K87" i="1"/>
  <c r="J87" i="1" s="1"/>
  <c r="N87" i="1"/>
  <c r="AS111" i="2"/>
  <c r="BN115" i="2"/>
  <c r="AJ106" i="2"/>
  <c r="AK106" i="2" s="1"/>
  <c r="AI107" i="2"/>
  <c r="CF110" i="2"/>
  <c r="CG109" i="2"/>
  <c r="CH109" i="2" s="1"/>
  <c r="CU125" i="2"/>
  <c r="CV125" i="2" s="1"/>
  <c r="CT126" i="2"/>
  <c r="R88" i="1"/>
  <c r="BK117" i="2"/>
  <c r="BL116" i="2"/>
  <c r="BM116" i="2" s="1"/>
  <c r="BG121" i="2"/>
  <c r="DA114" i="2"/>
  <c r="DB113" i="2"/>
  <c r="DC113" i="2" s="1"/>
  <c r="CI108" i="2"/>
  <c r="CW124" i="2"/>
  <c r="CN121" i="2"/>
  <c r="CO121" i="2" s="1"/>
  <c r="CM122" i="2"/>
  <c r="AX104" i="2"/>
  <c r="AY104" i="2" s="1"/>
  <c r="AW105" i="2"/>
  <c r="AB170" i="2"/>
  <c r="AC169" i="2"/>
  <c r="AD169" i="2" s="1"/>
  <c r="BR122" i="2"/>
  <c r="BS121" i="2"/>
  <c r="BT121" i="2" s="1"/>
  <c r="BU121" i="2" s="1"/>
  <c r="DH120" i="2"/>
  <c r="DI119" i="2"/>
  <c r="DJ119" i="2" s="1"/>
  <c r="S88" i="1" l="1"/>
  <c r="P89" i="1"/>
  <c r="Q89" i="1" s="1"/>
  <c r="O90" i="1"/>
  <c r="CB119" i="2"/>
  <c r="CN122" i="2"/>
  <c r="CO122" i="2" s="1"/>
  <c r="CM123" i="2"/>
  <c r="CI109" i="2"/>
  <c r="CI110" i="2"/>
  <c r="K88" i="1"/>
  <c r="J88" i="1" s="1"/>
  <c r="E89" i="1"/>
  <c r="N88" i="1"/>
  <c r="U115" i="2"/>
  <c r="V114" i="2"/>
  <c r="W114" i="2" s="1"/>
  <c r="BZ120" i="2"/>
  <c r="CA120" i="2" s="1"/>
  <c r="CB120" i="2" s="1"/>
  <c r="BY121" i="2"/>
  <c r="CG110" i="2"/>
  <c r="CH110" i="2" s="1"/>
  <c r="CF111" i="2"/>
  <c r="X113" i="2"/>
  <c r="BE122" i="2"/>
  <c r="BF122" i="2" s="1"/>
  <c r="BD123" i="2"/>
  <c r="O118" i="2"/>
  <c r="P118" i="2" s="1"/>
  <c r="N119" i="2"/>
  <c r="DD114" i="2"/>
  <c r="DD113" i="2"/>
  <c r="DK119" i="2"/>
  <c r="DB114" i="2"/>
  <c r="DC114" i="2" s="1"/>
  <c r="DA115" i="2"/>
  <c r="AI108" i="2"/>
  <c r="AJ107" i="2"/>
  <c r="AK107" i="2" s="1"/>
  <c r="AP114" i="2"/>
  <c r="AQ113" i="2"/>
  <c r="AR113" i="2" s="1"/>
  <c r="AL106" i="2"/>
  <c r="AS112" i="2"/>
  <c r="AE169" i="2"/>
  <c r="AB171" i="2"/>
  <c r="AC170" i="2"/>
  <c r="AD170" i="2" s="1"/>
  <c r="H108" i="2"/>
  <c r="I108" i="2" s="1"/>
  <c r="G109" i="2"/>
  <c r="M100" i="1"/>
  <c r="G101" i="1"/>
  <c r="DH121" i="2"/>
  <c r="DI120" i="2"/>
  <c r="DJ120" i="2" s="1"/>
  <c r="AW106" i="2"/>
  <c r="AX105" i="2"/>
  <c r="AY105" i="2" s="1"/>
  <c r="BN116" i="2"/>
  <c r="CT127" i="2"/>
  <c r="CU126" i="2"/>
  <c r="CV126" i="2" s="1"/>
  <c r="CP121" i="2"/>
  <c r="BS122" i="2"/>
  <c r="BT122" i="2" s="1"/>
  <c r="BR123" i="2"/>
  <c r="AZ104" i="2"/>
  <c r="BK118" i="2"/>
  <c r="BL117" i="2"/>
  <c r="BM117" i="2" s="1"/>
  <c r="CW125" i="2"/>
  <c r="Q117" i="2"/>
  <c r="Q118" i="2"/>
  <c r="AZ105" i="2" l="1"/>
  <c r="M101" i="1"/>
  <c r="G102" i="1"/>
  <c r="AB172" i="2"/>
  <c r="AC171" i="2"/>
  <c r="AD171" i="2" s="1"/>
  <c r="K89" i="1"/>
  <c r="J89" i="1" s="1"/>
  <c r="E90" i="1"/>
  <c r="N89" i="1"/>
  <c r="CM124" i="2"/>
  <c r="CN123" i="2"/>
  <c r="CO123" i="2" s="1"/>
  <c r="O91" i="1"/>
  <c r="P90" i="1"/>
  <c r="Q90" i="1" s="1"/>
  <c r="BS123" i="2"/>
  <c r="BT123" i="2" s="1"/>
  <c r="BR124" i="2"/>
  <c r="AE170" i="2"/>
  <c r="CG111" i="2"/>
  <c r="CH111" i="2" s="1"/>
  <c r="CF112" i="2"/>
  <c r="BU122" i="2"/>
  <c r="AX106" i="2"/>
  <c r="AY106" i="2" s="1"/>
  <c r="AZ106" i="2" s="1"/>
  <c r="AW107" i="2"/>
  <c r="AS113" i="2"/>
  <c r="O119" i="2"/>
  <c r="P119" i="2" s="1"/>
  <c r="N120" i="2"/>
  <c r="CP122" i="2"/>
  <c r="R89" i="1"/>
  <c r="S89" i="1" s="1"/>
  <c r="BN118" i="2"/>
  <c r="CW126" i="2"/>
  <c r="DK120" i="2"/>
  <c r="AP115" i="2"/>
  <c r="AQ114" i="2"/>
  <c r="AR114" i="2" s="1"/>
  <c r="BZ121" i="2"/>
  <c r="CA121" i="2" s="1"/>
  <c r="BY122" i="2"/>
  <c r="BL118" i="2"/>
  <c r="BM118" i="2" s="1"/>
  <c r="BK119" i="2"/>
  <c r="BD124" i="2"/>
  <c r="BE123" i="2"/>
  <c r="BF123" i="2" s="1"/>
  <c r="BN117" i="2"/>
  <c r="DI121" i="2"/>
  <c r="DJ121" i="2" s="1"/>
  <c r="DK121" i="2" s="1"/>
  <c r="DH122" i="2"/>
  <c r="J108" i="2"/>
  <c r="AI109" i="2"/>
  <c r="AJ108" i="2"/>
  <c r="AK108" i="2" s="1"/>
  <c r="BG123" i="2"/>
  <c r="BG122" i="2"/>
  <c r="CT128" i="2"/>
  <c r="CU127" i="2"/>
  <c r="CV127" i="2" s="1"/>
  <c r="H109" i="2"/>
  <c r="I109" i="2" s="1"/>
  <c r="G110" i="2"/>
  <c r="AL107" i="2"/>
  <c r="DB115" i="2"/>
  <c r="DC115" i="2" s="1"/>
  <c r="DA116" i="2"/>
  <c r="X114" i="2"/>
  <c r="V115" i="2"/>
  <c r="W115" i="2" s="1"/>
  <c r="U116" i="2"/>
  <c r="BN119" i="2" l="1"/>
  <c r="V116" i="2"/>
  <c r="W116" i="2" s="1"/>
  <c r="U117" i="2"/>
  <c r="G111" i="2"/>
  <c r="H110" i="2"/>
  <c r="I110" i="2" s="1"/>
  <c r="BK120" i="2"/>
  <c r="BL119" i="2"/>
  <c r="BM119" i="2" s="1"/>
  <c r="DB116" i="2"/>
  <c r="DC116" i="2" s="1"/>
  <c r="DA117" i="2"/>
  <c r="CW127" i="2"/>
  <c r="N121" i="2"/>
  <c r="O120" i="2"/>
  <c r="P120" i="2" s="1"/>
  <c r="R90" i="1"/>
  <c r="S90" i="1" s="1"/>
  <c r="Q119" i="2"/>
  <c r="Q120" i="2"/>
  <c r="P91" i="1"/>
  <c r="Q91" i="1" s="1"/>
  <c r="O92" i="1"/>
  <c r="X115" i="2"/>
  <c r="X116" i="2"/>
  <c r="J109" i="2"/>
  <c r="AL108" i="2"/>
  <c r="AJ109" i="2"/>
  <c r="AK109" i="2" s="1"/>
  <c r="AI110" i="2"/>
  <c r="BZ122" i="2"/>
  <c r="CA122" i="2" s="1"/>
  <c r="BY123" i="2"/>
  <c r="CG112" i="2"/>
  <c r="CH112" i="2" s="1"/>
  <c r="CF113" i="2"/>
  <c r="CP123" i="2"/>
  <c r="AE171" i="2"/>
  <c r="BD125" i="2"/>
  <c r="BE124" i="2"/>
  <c r="BF124" i="2" s="1"/>
  <c r="CB121" i="2"/>
  <c r="CI111" i="2"/>
  <c r="CM125" i="2"/>
  <c r="CN124" i="2"/>
  <c r="CO124" i="2" s="1"/>
  <c r="AC172" i="2"/>
  <c r="AD172" i="2" s="1"/>
  <c r="AB173" i="2"/>
  <c r="AS114" i="2"/>
  <c r="BR125" i="2"/>
  <c r="BS124" i="2"/>
  <c r="BT124" i="2" s="1"/>
  <c r="AP116" i="2"/>
  <c r="AQ115" i="2"/>
  <c r="AR115" i="2" s="1"/>
  <c r="AS115" i="2" s="1"/>
  <c r="BU123" i="2"/>
  <c r="DD115" i="2"/>
  <c r="CU128" i="2"/>
  <c r="CV128" i="2" s="1"/>
  <c r="CT129" i="2"/>
  <c r="DI122" i="2"/>
  <c r="DJ122" i="2" s="1"/>
  <c r="DH123" i="2"/>
  <c r="AX107" i="2"/>
  <c r="AY107" i="2" s="1"/>
  <c r="AW108" i="2"/>
  <c r="E91" i="1"/>
  <c r="K90" i="1"/>
  <c r="J90" i="1" s="1"/>
  <c r="N90" i="1"/>
  <c r="M102" i="1"/>
  <c r="G103" i="1"/>
  <c r="CU129" i="2" l="1"/>
  <c r="CV129" i="2" s="1"/>
  <c r="CT130" i="2"/>
  <c r="AQ116" i="2"/>
  <c r="AR116" i="2" s="1"/>
  <c r="AP117" i="2"/>
  <c r="AE172" i="2"/>
  <c r="CI112" i="2"/>
  <c r="R91" i="1"/>
  <c r="S91" i="1" s="1"/>
  <c r="V117" i="2"/>
  <c r="W117" i="2" s="1"/>
  <c r="U118" i="2"/>
  <c r="H111" i="2"/>
  <c r="I111" i="2" s="1"/>
  <c r="G112" i="2"/>
  <c r="M103" i="1"/>
  <c r="G104" i="1"/>
  <c r="BU124" i="2"/>
  <c r="BY124" i="2"/>
  <c r="BZ123" i="2"/>
  <c r="CA123" i="2" s="1"/>
  <c r="CB123" i="2" s="1"/>
  <c r="AZ107" i="2"/>
  <c r="BS125" i="2"/>
  <c r="BT125" i="2" s="1"/>
  <c r="BR126" i="2"/>
  <c r="CB122" i="2"/>
  <c r="DB117" i="2"/>
  <c r="DC117" i="2" s="1"/>
  <c r="DA118" i="2"/>
  <c r="N122" i="2"/>
  <c r="O121" i="2"/>
  <c r="P121" i="2" s="1"/>
  <c r="DD116" i="2"/>
  <c r="P92" i="1"/>
  <c r="Q92" i="1" s="1"/>
  <c r="R92" i="1" s="1"/>
  <c r="O93" i="1"/>
  <c r="CM126" i="2"/>
  <c r="CN125" i="2"/>
  <c r="CO125" i="2" s="1"/>
  <c r="K91" i="1"/>
  <c r="J91" i="1" s="1"/>
  <c r="E92" i="1"/>
  <c r="N91" i="1"/>
  <c r="DI123" i="2"/>
  <c r="DJ123" i="2" s="1"/>
  <c r="DH124" i="2"/>
  <c r="BG124" i="2"/>
  <c r="CP124" i="2"/>
  <c r="AC173" i="2"/>
  <c r="AD173" i="2" s="1"/>
  <c r="AB174" i="2"/>
  <c r="CG113" i="2"/>
  <c r="CH113" i="2" s="1"/>
  <c r="CF114" i="2"/>
  <c r="DK122" i="2"/>
  <c r="BE125" i="2"/>
  <c r="BF125" i="2" s="1"/>
  <c r="BD126" i="2"/>
  <c r="AJ110" i="2"/>
  <c r="AK110" i="2" s="1"/>
  <c r="AI111" i="2"/>
  <c r="BL120" i="2"/>
  <c r="BM120" i="2" s="1"/>
  <c r="BK121" i="2"/>
  <c r="AX108" i="2"/>
  <c r="AY108" i="2" s="1"/>
  <c r="AW109" i="2"/>
  <c r="AL109" i="2"/>
  <c r="CW128" i="2"/>
  <c r="J110" i="2"/>
  <c r="S92" i="1" l="1"/>
  <c r="AS116" i="2"/>
  <c r="AC174" i="2"/>
  <c r="AD174" i="2" s="1"/>
  <c r="AB175" i="2"/>
  <c r="K92" i="1"/>
  <c r="J92" i="1" s="1"/>
  <c r="E93" i="1"/>
  <c r="N92" i="1"/>
  <c r="DB118" i="2"/>
  <c r="DC118" i="2" s="1"/>
  <c r="DA119" i="2"/>
  <c r="J111" i="2"/>
  <c r="AW110" i="2"/>
  <c r="AX109" i="2"/>
  <c r="AY109" i="2" s="1"/>
  <c r="DK123" i="2"/>
  <c r="AE173" i="2"/>
  <c r="Q121" i="2"/>
  <c r="DD117" i="2"/>
  <c r="V118" i="2"/>
  <c r="W118" i="2" s="1"/>
  <c r="U119" i="2"/>
  <c r="CT131" i="2"/>
  <c r="CU130" i="2"/>
  <c r="CV130" i="2" s="1"/>
  <c r="CF115" i="2"/>
  <c r="CG114" i="2"/>
  <c r="CH114" i="2" s="1"/>
  <c r="BZ124" i="2"/>
  <c r="CA124" i="2" s="1"/>
  <c r="BY125" i="2"/>
  <c r="BG125" i="2"/>
  <c r="CP125" i="2"/>
  <c r="O122" i="2"/>
  <c r="P122" i="2" s="1"/>
  <c r="N123" i="2"/>
  <c r="X117" i="2"/>
  <c r="X118" i="2"/>
  <c r="CW129" i="2"/>
  <c r="CI113" i="2"/>
  <c r="BN120" i="2"/>
  <c r="CN126" i="2"/>
  <c r="CO126" i="2" s="1"/>
  <c r="CM127" i="2"/>
  <c r="O94" i="1"/>
  <c r="P93" i="1"/>
  <c r="Q93" i="1" s="1"/>
  <c r="M104" i="1"/>
  <c r="G105" i="1"/>
  <c r="BE126" i="2"/>
  <c r="BF126" i="2" s="1"/>
  <c r="BD127" i="2"/>
  <c r="BU125" i="2"/>
  <c r="AZ108" i="2"/>
  <c r="H112" i="2"/>
  <c r="I112" i="2" s="1"/>
  <c r="G113" i="2"/>
  <c r="BL121" i="2"/>
  <c r="BM121" i="2" s="1"/>
  <c r="BK122" i="2"/>
  <c r="AJ111" i="2"/>
  <c r="AK111" i="2" s="1"/>
  <c r="AI112" i="2"/>
  <c r="AL110" i="2"/>
  <c r="BU126" i="2"/>
  <c r="DH125" i="2"/>
  <c r="DI124" i="2"/>
  <c r="DJ124" i="2" s="1"/>
  <c r="BS126" i="2"/>
  <c r="BT126" i="2" s="1"/>
  <c r="BR127" i="2"/>
  <c r="AQ117" i="2"/>
  <c r="AR117" i="2" s="1"/>
  <c r="AP118" i="2"/>
  <c r="R93" i="1" l="1"/>
  <c r="S93" i="1" s="1"/>
  <c r="AL111" i="2"/>
  <c r="O95" i="1"/>
  <c r="P94" i="1"/>
  <c r="Q94" i="1" s="1"/>
  <c r="K93" i="1"/>
  <c r="J93" i="1" s="1"/>
  <c r="E94" i="1"/>
  <c r="N93" i="1"/>
  <c r="AJ112" i="2"/>
  <c r="AK112" i="2" s="1"/>
  <c r="AI113" i="2"/>
  <c r="CB124" i="2"/>
  <c r="CG115" i="2"/>
  <c r="CH115" i="2" s="1"/>
  <c r="CF116" i="2"/>
  <c r="BD128" i="2"/>
  <c r="BE127" i="2"/>
  <c r="BF127" i="2" s="1"/>
  <c r="AC175" i="2"/>
  <c r="AD175" i="2" s="1"/>
  <c r="AB176" i="2"/>
  <c r="BS127" i="2"/>
  <c r="BT127" i="2" s="1"/>
  <c r="BR128" i="2"/>
  <c r="H113" i="2"/>
  <c r="I113" i="2" s="1"/>
  <c r="G114" i="2"/>
  <c r="BG126" i="2"/>
  <c r="O123" i="2"/>
  <c r="P123" i="2" s="1"/>
  <c r="N124" i="2"/>
  <c r="CT132" i="2"/>
  <c r="CU131" i="2"/>
  <c r="CV131" i="2" s="1"/>
  <c r="AE174" i="2"/>
  <c r="DI125" i="2"/>
  <c r="DJ125" i="2" s="1"/>
  <c r="DH126" i="2"/>
  <c r="J112" i="2"/>
  <c r="M105" i="1"/>
  <c r="G106" i="1"/>
  <c r="CN127" i="2"/>
  <c r="CO127" i="2" s="1"/>
  <c r="CM128" i="2"/>
  <c r="CW130" i="2"/>
  <c r="Q122" i="2"/>
  <c r="CI114" i="2"/>
  <c r="CP126" i="2"/>
  <c r="V119" i="2"/>
  <c r="W119" i="2" s="1"/>
  <c r="U120" i="2"/>
  <c r="AZ109" i="2"/>
  <c r="DA120" i="2"/>
  <c r="DB119" i="2"/>
  <c r="DC119" i="2" s="1"/>
  <c r="BL122" i="2"/>
  <c r="BM122" i="2" s="1"/>
  <c r="BK123" i="2"/>
  <c r="BN121" i="2"/>
  <c r="AP119" i="2"/>
  <c r="AQ118" i="2"/>
  <c r="AR118" i="2" s="1"/>
  <c r="AS117" i="2"/>
  <c r="DK124" i="2"/>
  <c r="CP127" i="2"/>
  <c r="BZ125" i="2"/>
  <c r="CA125" i="2" s="1"/>
  <c r="BY126" i="2"/>
  <c r="AW111" i="2"/>
  <c r="AX110" i="2"/>
  <c r="AY110" i="2" s="1"/>
  <c r="DD118" i="2"/>
  <c r="CW131" i="2" l="1"/>
  <c r="AE175" i="2"/>
  <c r="CG116" i="2"/>
  <c r="CH116" i="2" s="1"/>
  <c r="CF117" i="2"/>
  <c r="BZ126" i="2"/>
  <c r="CA126" i="2" s="1"/>
  <c r="BY127" i="2"/>
  <c r="BL123" i="2"/>
  <c r="BM123" i="2" s="1"/>
  <c r="BK124" i="2"/>
  <c r="V120" i="2"/>
  <c r="W120" i="2" s="1"/>
  <c r="U121" i="2"/>
  <c r="CM129" i="2"/>
  <c r="CN128" i="2"/>
  <c r="CO128" i="2" s="1"/>
  <c r="CU132" i="2"/>
  <c r="CV132" i="2" s="1"/>
  <c r="CT133" i="2"/>
  <c r="J113" i="2"/>
  <c r="CI115" i="2"/>
  <c r="H114" i="2"/>
  <c r="I114" i="2" s="1"/>
  <c r="G115" i="2"/>
  <c r="AZ110" i="2"/>
  <c r="X119" i="2"/>
  <c r="DI126" i="2"/>
  <c r="DJ126" i="2" s="1"/>
  <c r="DH127" i="2"/>
  <c r="N125" i="2"/>
  <c r="O124" i="2"/>
  <c r="P124" i="2" s="1"/>
  <c r="AL112" i="2"/>
  <c r="BN122" i="2"/>
  <c r="AJ113" i="2"/>
  <c r="AK113" i="2" s="1"/>
  <c r="AI114" i="2"/>
  <c r="R94" i="1"/>
  <c r="S94" i="1" s="1"/>
  <c r="DK125" i="2"/>
  <c r="BG127" i="2"/>
  <c r="P95" i="1"/>
  <c r="Q95" i="1" s="1"/>
  <c r="O96" i="1"/>
  <c r="DD119" i="2"/>
  <c r="M106" i="1"/>
  <c r="G107" i="1"/>
  <c r="BD129" i="2"/>
  <c r="BE128" i="2"/>
  <c r="BF128" i="2" s="1"/>
  <c r="Q123" i="2"/>
  <c r="AS118" i="2"/>
  <c r="DB120" i="2"/>
  <c r="DC120" i="2" s="1"/>
  <c r="DA121" i="2"/>
  <c r="BR129" i="2"/>
  <c r="BS128" i="2"/>
  <c r="BT128" i="2" s="1"/>
  <c r="CB125" i="2"/>
  <c r="E95" i="1"/>
  <c r="K94" i="1"/>
  <c r="J94" i="1" s="1"/>
  <c r="N94" i="1"/>
  <c r="AP120" i="2"/>
  <c r="AQ119" i="2"/>
  <c r="AR119" i="2" s="1"/>
  <c r="BU127" i="2"/>
  <c r="AX111" i="2"/>
  <c r="AY111" i="2" s="1"/>
  <c r="AW112" i="2"/>
  <c r="AC176" i="2"/>
  <c r="AD176" i="2" s="1"/>
  <c r="AB177" i="2"/>
  <c r="AS119" i="2" l="1"/>
  <c r="BN123" i="2"/>
  <c r="AQ120" i="2"/>
  <c r="AR120" i="2" s="1"/>
  <c r="AP121" i="2"/>
  <c r="BY128" i="2"/>
  <c r="BZ127" i="2"/>
  <c r="CA127" i="2" s="1"/>
  <c r="BU128" i="2"/>
  <c r="M107" i="1"/>
  <c r="G108" i="1"/>
  <c r="O125" i="2"/>
  <c r="P125" i="2" s="1"/>
  <c r="N126" i="2"/>
  <c r="CB126" i="2"/>
  <c r="BR130" i="2"/>
  <c r="BS129" i="2"/>
  <c r="BT129" i="2" s="1"/>
  <c r="DH128" i="2"/>
  <c r="DI127" i="2"/>
  <c r="DJ127" i="2" s="1"/>
  <c r="CP128" i="2"/>
  <c r="CF118" i="2"/>
  <c r="CG117" i="2"/>
  <c r="CH117" i="2" s="1"/>
  <c r="AZ111" i="2"/>
  <c r="BE129" i="2"/>
  <c r="BF129" i="2" s="1"/>
  <c r="BD130" i="2"/>
  <c r="Q124" i="2"/>
  <c r="P96" i="1"/>
  <c r="Q96" i="1" s="1"/>
  <c r="O97" i="1"/>
  <c r="J115" i="2"/>
  <c r="CW132" i="2"/>
  <c r="R95" i="1"/>
  <c r="S95" i="1" s="1"/>
  <c r="R96" i="1"/>
  <c r="S96" i="1" s="1"/>
  <c r="AJ114" i="2"/>
  <c r="AK114" i="2" s="1"/>
  <c r="AI115" i="2"/>
  <c r="DK126" i="2"/>
  <c r="CM130" i="2"/>
  <c r="CN129" i="2"/>
  <c r="CO129" i="2" s="1"/>
  <c r="CP129" i="2" s="1"/>
  <c r="CI116" i="2"/>
  <c r="H115" i="2"/>
  <c r="I115" i="2" s="1"/>
  <c r="G116" i="2"/>
  <c r="AL113" i="2"/>
  <c r="V121" i="2"/>
  <c r="W121" i="2" s="1"/>
  <c r="U122" i="2"/>
  <c r="CU133" i="2"/>
  <c r="CV133" i="2" s="1"/>
  <c r="CT134" i="2"/>
  <c r="AB178" i="2"/>
  <c r="AC177" i="2"/>
  <c r="AD177" i="2" s="1"/>
  <c r="X120" i="2"/>
  <c r="DD120" i="2"/>
  <c r="J114" i="2"/>
  <c r="AE176" i="2"/>
  <c r="AX112" i="2"/>
  <c r="AY112" i="2" s="1"/>
  <c r="AW113" i="2"/>
  <c r="K95" i="1"/>
  <c r="J95" i="1" s="1"/>
  <c r="E96" i="1"/>
  <c r="N95" i="1"/>
  <c r="DB121" i="2"/>
  <c r="DC121" i="2" s="1"/>
  <c r="DA122" i="2"/>
  <c r="BG128" i="2"/>
  <c r="BL124" i="2"/>
  <c r="BM124" i="2" s="1"/>
  <c r="BK125" i="2"/>
  <c r="X121" i="2" l="1"/>
  <c r="AJ115" i="2"/>
  <c r="AK115" i="2" s="1"/>
  <c r="AI116" i="2"/>
  <c r="BG129" i="2"/>
  <c r="BN125" i="2"/>
  <c r="AQ121" i="2"/>
  <c r="AR121" i="2" s="1"/>
  <c r="AP122" i="2"/>
  <c r="CT135" i="2"/>
  <c r="CU134" i="2"/>
  <c r="CV134" i="2" s="1"/>
  <c r="O126" i="2"/>
  <c r="P126" i="2" s="1"/>
  <c r="N127" i="2"/>
  <c r="BL125" i="2"/>
  <c r="BM125" i="2" s="1"/>
  <c r="BK126" i="2"/>
  <c r="BN124" i="2"/>
  <c r="DH129" i="2"/>
  <c r="DI128" i="2"/>
  <c r="DJ128" i="2" s="1"/>
  <c r="M108" i="1"/>
  <c r="G109" i="1"/>
  <c r="AL114" i="2"/>
  <c r="Q125" i="2"/>
  <c r="CI117" i="2"/>
  <c r="BU129" i="2"/>
  <c r="CB127" i="2"/>
  <c r="P97" i="1"/>
  <c r="Q97" i="1" s="1"/>
  <c r="O98" i="1"/>
  <c r="AE177" i="2"/>
  <c r="AC178" i="2"/>
  <c r="AD178" i="2" s="1"/>
  <c r="AB179" i="2"/>
  <c r="CN130" i="2"/>
  <c r="CO130" i="2" s="1"/>
  <c r="CM131" i="2"/>
  <c r="CF119" i="2"/>
  <c r="CG118" i="2"/>
  <c r="CH118" i="2" s="1"/>
  <c r="BS130" i="2"/>
  <c r="BT130" i="2" s="1"/>
  <c r="BR131" i="2"/>
  <c r="BZ128" i="2"/>
  <c r="CA128" i="2" s="1"/>
  <c r="BY129" i="2"/>
  <c r="H116" i="2"/>
  <c r="I116" i="2" s="1"/>
  <c r="G117" i="2"/>
  <c r="AS120" i="2"/>
  <c r="AZ112" i="2"/>
  <c r="DA123" i="2"/>
  <c r="DB122" i="2"/>
  <c r="DC122" i="2" s="1"/>
  <c r="DD121" i="2"/>
  <c r="CW133" i="2"/>
  <c r="DK127" i="2"/>
  <c r="K96" i="1"/>
  <c r="J96" i="1" s="1"/>
  <c r="E97" i="1"/>
  <c r="N96" i="1"/>
  <c r="AW114" i="2"/>
  <c r="AX113" i="2"/>
  <c r="AY113" i="2" s="1"/>
  <c r="U123" i="2"/>
  <c r="V122" i="2"/>
  <c r="W122" i="2" s="1"/>
  <c r="BE130" i="2"/>
  <c r="BF130" i="2" s="1"/>
  <c r="BD131" i="2"/>
  <c r="G118" i="2" l="1"/>
  <c r="H117" i="2"/>
  <c r="I117" i="2" s="1"/>
  <c r="BZ129" i="2"/>
  <c r="CA129" i="2" s="1"/>
  <c r="BY130" i="2"/>
  <c r="O99" i="1"/>
  <c r="P98" i="1"/>
  <c r="Q98" i="1" s="1"/>
  <c r="DI129" i="2"/>
  <c r="DJ129" i="2" s="1"/>
  <c r="DH130" i="2"/>
  <c r="BL126" i="2"/>
  <c r="BM126" i="2" s="1"/>
  <c r="BK127" i="2"/>
  <c r="V123" i="2"/>
  <c r="W123" i="2" s="1"/>
  <c r="U124" i="2"/>
  <c r="DK128" i="2"/>
  <c r="AC179" i="2"/>
  <c r="AD179" i="2" s="1"/>
  <c r="AB180" i="2"/>
  <c r="R97" i="1"/>
  <c r="S97" i="1" s="1"/>
  <c r="R98" i="1"/>
  <c r="CW134" i="2"/>
  <c r="BD132" i="2"/>
  <c r="BE131" i="2"/>
  <c r="BF131" i="2" s="1"/>
  <c r="BS131" i="2"/>
  <c r="BT131" i="2" s="1"/>
  <c r="BR132" i="2"/>
  <c r="BG130" i="2"/>
  <c r="BU130" i="2"/>
  <c r="CT136" i="2"/>
  <c r="CU135" i="2"/>
  <c r="CV135" i="2" s="1"/>
  <c r="AZ113" i="2"/>
  <c r="K97" i="1"/>
  <c r="J97" i="1" s="1"/>
  <c r="E98" i="1"/>
  <c r="N97" i="1"/>
  <c r="CI118" i="2"/>
  <c r="CB128" i="2"/>
  <c r="M109" i="1"/>
  <c r="G110" i="1"/>
  <c r="O127" i="2"/>
  <c r="P127" i="2" s="1"/>
  <c r="N128" i="2"/>
  <c r="AI117" i="2"/>
  <c r="AJ116" i="2"/>
  <c r="AK116" i="2" s="1"/>
  <c r="CP130" i="2"/>
  <c r="CP131" i="2"/>
  <c r="AX114" i="2"/>
  <c r="AY114" i="2" s="1"/>
  <c r="AW115" i="2"/>
  <c r="CG119" i="2"/>
  <c r="CH119" i="2" s="1"/>
  <c r="CF120" i="2"/>
  <c r="Q126" i="2"/>
  <c r="AP123" i="2"/>
  <c r="AQ122" i="2"/>
  <c r="AR122" i="2" s="1"/>
  <c r="AL115" i="2"/>
  <c r="J116" i="2"/>
  <c r="DA124" i="2"/>
  <c r="DB123" i="2"/>
  <c r="DC123" i="2" s="1"/>
  <c r="AE178" i="2"/>
  <c r="X122" i="2"/>
  <c r="DD122" i="2"/>
  <c r="CN131" i="2"/>
  <c r="CO131" i="2" s="1"/>
  <c r="CM132" i="2"/>
  <c r="AS121" i="2"/>
  <c r="S98" i="1" l="1"/>
  <c r="N129" i="2"/>
  <c r="O128" i="2"/>
  <c r="P128" i="2" s="1"/>
  <c r="BD133" i="2"/>
  <c r="BE132" i="2"/>
  <c r="BF132" i="2" s="1"/>
  <c r="DI130" i="2"/>
  <c r="DJ130" i="2" s="1"/>
  <c r="DH131" i="2"/>
  <c r="Q127" i="2"/>
  <c r="DK129" i="2"/>
  <c r="CW135" i="2"/>
  <c r="M110" i="1"/>
  <c r="G111" i="1"/>
  <c r="CU136" i="2"/>
  <c r="CV136" i="2" s="1"/>
  <c r="CT137" i="2"/>
  <c r="P99" i="1"/>
  <c r="Q99" i="1" s="1"/>
  <c r="O100" i="1"/>
  <c r="CG120" i="2"/>
  <c r="CH120" i="2" s="1"/>
  <c r="CF121" i="2"/>
  <c r="E99" i="1"/>
  <c r="K98" i="1"/>
  <c r="J98" i="1" s="1"/>
  <c r="N98" i="1"/>
  <c r="V124" i="2"/>
  <c r="W124" i="2" s="1"/>
  <c r="U125" i="2"/>
  <c r="BZ130" i="2"/>
  <c r="CA130" i="2" s="1"/>
  <c r="BY131" i="2"/>
  <c r="BR133" i="2"/>
  <c r="BS132" i="2"/>
  <c r="BT132" i="2" s="1"/>
  <c r="AC180" i="2"/>
  <c r="AD180" i="2" s="1"/>
  <c r="AB181" i="2"/>
  <c r="X124" i="2"/>
  <c r="X123" i="2"/>
  <c r="CB129" i="2"/>
  <c r="CM133" i="2"/>
  <c r="CN132" i="2"/>
  <c r="CO132" i="2" s="1"/>
  <c r="DD123" i="2"/>
  <c r="AS122" i="2"/>
  <c r="AL116" i="2"/>
  <c r="BU131" i="2"/>
  <c r="AE179" i="2"/>
  <c r="BK128" i="2"/>
  <c r="BL127" i="2"/>
  <c r="BM127" i="2" s="1"/>
  <c r="J117" i="2"/>
  <c r="DB124" i="2"/>
  <c r="DC124" i="2" s="1"/>
  <c r="DA125" i="2"/>
  <c r="AP124" i="2"/>
  <c r="AQ123" i="2"/>
  <c r="AR123" i="2" s="1"/>
  <c r="AX115" i="2"/>
  <c r="AY115" i="2" s="1"/>
  <c r="AW116" i="2"/>
  <c r="AJ117" i="2"/>
  <c r="AK117" i="2" s="1"/>
  <c r="AI118" i="2"/>
  <c r="CI119" i="2"/>
  <c r="BG131" i="2"/>
  <c r="AZ114" i="2"/>
  <c r="BN126" i="2"/>
  <c r="BN127" i="2"/>
  <c r="H118" i="2"/>
  <c r="I118" i="2" s="1"/>
  <c r="G119" i="2"/>
  <c r="BR134" i="2" l="1"/>
  <c r="BS133" i="2"/>
  <c r="BT133" i="2" s="1"/>
  <c r="Q128" i="2"/>
  <c r="AL117" i="2"/>
  <c r="BZ131" i="2"/>
  <c r="CA131" i="2" s="1"/>
  <c r="BY132" i="2"/>
  <c r="E100" i="1"/>
  <c r="K99" i="1"/>
  <c r="J99" i="1" s="1"/>
  <c r="N99" i="1"/>
  <c r="CU137" i="2"/>
  <c r="CV137" i="2" s="1"/>
  <c r="CT138" i="2"/>
  <c r="N130" i="2"/>
  <c r="O129" i="2"/>
  <c r="P129" i="2" s="1"/>
  <c r="AZ115" i="2"/>
  <c r="CB130" i="2"/>
  <c r="CG121" i="2"/>
  <c r="CH121" i="2" s="1"/>
  <c r="CF122" i="2"/>
  <c r="CW136" i="2"/>
  <c r="BL128" i="2"/>
  <c r="BM128" i="2" s="1"/>
  <c r="BK129" i="2"/>
  <c r="CP132" i="2"/>
  <c r="AB182" i="2"/>
  <c r="AC181" i="2"/>
  <c r="AD181" i="2" s="1"/>
  <c r="V125" i="2"/>
  <c r="W125" i="2" s="1"/>
  <c r="U126" i="2"/>
  <c r="CI120" i="2"/>
  <c r="DI131" i="2"/>
  <c r="DJ131" i="2" s="1"/>
  <c r="DH132" i="2"/>
  <c r="AQ124" i="2"/>
  <c r="AR124" i="2" s="1"/>
  <c r="AP125" i="2"/>
  <c r="CN133" i="2"/>
  <c r="CO133" i="2" s="1"/>
  <c r="CM134" i="2"/>
  <c r="AE180" i="2"/>
  <c r="P100" i="1"/>
  <c r="Q100" i="1" s="1"/>
  <c r="O101" i="1"/>
  <c r="M111" i="1"/>
  <c r="G112" i="1"/>
  <c r="DK130" i="2"/>
  <c r="AJ118" i="2"/>
  <c r="AK118" i="2" s="1"/>
  <c r="AI119" i="2"/>
  <c r="AX116" i="2"/>
  <c r="AY116" i="2" s="1"/>
  <c r="AW117" i="2"/>
  <c r="J118" i="2"/>
  <c r="DB125" i="2"/>
  <c r="DC125" i="2" s="1"/>
  <c r="DA126" i="2"/>
  <c r="AS123" i="2"/>
  <c r="R99" i="1"/>
  <c r="S99" i="1" s="1"/>
  <c r="BG132" i="2"/>
  <c r="H119" i="2"/>
  <c r="I119" i="2" s="1"/>
  <c r="G120" i="2"/>
  <c r="DD124" i="2"/>
  <c r="BU132" i="2"/>
  <c r="Q129" i="2"/>
  <c r="BE133" i="2"/>
  <c r="BF133" i="2" s="1"/>
  <c r="BD134" i="2"/>
  <c r="DD125" i="2" l="1"/>
  <c r="R100" i="1"/>
  <c r="S100" i="1" s="1"/>
  <c r="BL129" i="2"/>
  <c r="BM129" i="2" s="1"/>
  <c r="BK130" i="2"/>
  <c r="CW137" i="2"/>
  <c r="DH133" i="2"/>
  <c r="DI132" i="2"/>
  <c r="DJ132" i="2" s="1"/>
  <c r="AB183" i="2"/>
  <c r="AC182" i="2"/>
  <c r="AD182" i="2" s="1"/>
  <c r="BN128" i="2"/>
  <c r="CF123" i="2"/>
  <c r="CG122" i="2"/>
  <c r="CH122" i="2" s="1"/>
  <c r="CN134" i="2"/>
  <c r="CO134" i="2" s="1"/>
  <c r="CM135" i="2"/>
  <c r="DK131" i="2"/>
  <c r="CI121" i="2"/>
  <c r="BU133" i="2"/>
  <c r="H120" i="2"/>
  <c r="I120" i="2" s="1"/>
  <c r="G121" i="2"/>
  <c r="AS124" i="2"/>
  <c r="K100" i="1"/>
  <c r="J100" i="1" s="1"/>
  <c r="E101" i="1"/>
  <c r="N100" i="1"/>
  <c r="BS134" i="2"/>
  <c r="BT134" i="2" s="1"/>
  <c r="BR135" i="2"/>
  <c r="J119" i="2"/>
  <c r="M112" i="1"/>
  <c r="G113" i="1"/>
  <c r="CP133" i="2"/>
  <c r="BY133" i="2"/>
  <c r="BZ132" i="2"/>
  <c r="CA132" i="2" s="1"/>
  <c r="AL118" i="2"/>
  <c r="AX117" i="2"/>
  <c r="AY117" i="2" s="1"/>
  <c r="AW118" i="2"/>
  <c r="AQ125" i="2"/>
  <c r="AR125" i="2" s="1"/>
  <c r="AP126" i="2"/>
  <c r="CB131" i="2"/>
  <c r="BE134" i="2"/>
  <c r="BF134" i="2" s="1"/>
  <c r="BD135" i="2"/>
  <c r="AZ116" i="2"/>
  <c r="AE181" i="2"/>
  <c r="V126" i="2"/>
  <c r="W126" i="2" s="1"/>
  <c r="U127" i="2"/>
  <c r="O130" i="2"/>
  <c r="P130" i="2" s="1"/>
  <c r="N131" i="2"/>
  <c r="BG133" i="2"/>
  <c r="DA127" i="2"/>
  <c r="DB126" i="2"/>
  <c r="DC126" i="2" s="1"/>
  <c r="AJ119" i="2"/>
  <c r="AK119" i="2" s="1"/>
  <c r="AL119" i="2" s="1"/>
  <c r="AI120" i="2"/>
  <c r="P101" i="1"/>
  <c r="Q101" i="1" s="1"/>
  <c r="O102" i="1"/>
  <c r="X125" i="2"/>
  <c r="CT139" i="2"/>
  <c r="CU138" i="2"/>
  <c r="CV138" i="2" s="1"/>
  <c r="X126" i="2" l="1"/>
  <c r="BG134" i="2"/>
  <c r="BZ133" i="2"/>
  <c r="CA133" i="2" s="1"/>
  <c r="BY134" i="2"/>
  <c r="DK132" i="2"/>
  <c r="CT140" i="2"/>
  <c r="CU139" i="2"/>
  <c r="CV139" i="2" s="1"/>
  <c r="AQ126" i="2"/>
  <c r="AR126" i="2" s="1"/>
  <c r="AP127" i="2"/>
  <c r="CG123" i="2"/>
  <c r="CH123" i="2" s="1"/>
  <c r="CF124" i="2"/>
  <c r="DI133" i="2"/>
  <c r="DJ133" i="2" s="1"/>
  <c r="DH134" i="2"/>
  <c r="O103" i="1"/>
  <c r="P102" i="1"/>
  <c r="Q102" i="1" s="1"/>
  <c r="AS125" i="2"/>
  <c r="R102" i="1"/>
  <c r="O131" i="2"/>
  <c r="P131" i="2" s="1"/>
  <c r="N132" i="2"/>
  <c r="M113" i="1"/>
  <c r="G114" i="1"/>
  <c r="BS135" i="2"/>
  <c r="BT135" i="2" s="1"/>
  <c r="BR136" i="2"/>
  <c r="DK133" i="2"/>
  <c r="BN129" i="2"/>
  <c r="CW138" i="2"/>
  <c r="AJ120" i="2"/>
  <c r="AK120" i="2" s="1"/>
  <c r="AI121" i="2"/>
  <c r="Q130" i="2"/>
  <c r="AX118" i="2"/>
  <c r="AY118" i="2" s="1"/>
  <c r="AW119" i="2"/>
  <c r="BU134" i="2"/>
  <c r="R101" i="1"/>
  <c r="S101" i="1" s="1"/>
  <c r="AZ117" i="2"/>
  <c r="K101" i="1"/>
  <c r="J101" i="1" s="1"/>
  <c r="E102" i="1"/>
  <c r="N101" i="1"/>
  <c r="CI122" i="2"/>
  <c r="CN135" i="2"/>
  <c r="CO135" i="2" s="1"/>
  <c r="CM136" i="2"/>
  <c r="AE182" i="2"/>
  <c r="DD126" i="2"/>
  <c r="DA128" i="2"/>
  <c r="DB127" i="2"/>
  <c r="DC127" i="2" s="1"/>
  <c r="U128" i="2"/>
  <c r="V127" i="2"/>
  <c r="W127" i="2" s="1"/>
  <c r="BE135" i="2"/>
  <c r="BF135" i="2" s="1"/>
  <c r="BD136" i="2"/>
  <c r="CB132" i="2"/>
  <c r="CB133" i="2"/>
  <c r="J120" i="2"/>
  <c r="H121" i="2"/>
  <c r="I121" i="2" s="1"/>
  <c r="G122" i="2"/>
  <c r="CP134" i="2"/>
  <c r="AC183" i="2"/>
  <c r="AD183" i="2" s="1"/>
  <c r="AB184" i="2"/>
  <c r="BK131" i="2"/>
  <c r="BL130" i="2"/>
  <c r="BM130" i="2" s="1"/>
  <c r="BN130" i="2" s="1"/>
  <c r="S102" i="1" l="1"/>
  <c r="AB185" i="2"/>
  <c r="AC184" i="2"/>
  <c r="AD184" i="2" s="1"/>
  <c r="DB128" i="2"/>
  <c r="DC128" i="2" s="1"/>
  <c r="DA129" i="2"/>
  <c r="Q131" i="2"/>
  <c r="AQ127" i="2"/>
  <c r="AR127" i="2" s="1"/>
  <c r="AP128" i="2"/>
  <c r="AE184" i="2"/>
  <c r="AE183" i="2"/>
  <c r="AS126" i="2"/>
  <c r="E103" i="1"/>
  <c r="K102" i="1"/>
  <c r="J102" i="1" s="1"/>
  <c r="N102" i="1"/>
  <c r="AJ121" i="2"/>
  <c r="AK121" i="2" s="1"/>
  <c r="AI122" i="2"/>
  <c r="BR137" i="2"/>
  <c r="BS136" i="2"/>
  <c r="BT136" i="2" s="1"/>
  <c r="P103" i="1"/>
  <c r="Q103" i="1" s="1"/>
  <c r="O104" i="1"/>
  <c r="BD137" i="2"/>
  <c r="BE136" i="2"/>
  <c r="BF136" i="2" s="1"/>
  <c r="AL120" i="2"/>
  <c r="BU135" i="2"/>
  <c r="CU140" i="2"/>
  <c r="CV140" i="2" s="1"/>
  <c r="CT141" i="2"/>
  <c r="BZ134" i="2"/>
  <c r="CA134" i="2" s="1"/>
  <c r="BY135" i="2"/>
  <c r="H122" i="2"/>
  <c r="I122" i="2" s="1"/>
  <c r="G123" i="2"/>
  <c r="BG135" i="2"/>
  <c r="DI134" i="2"/>
  <c r="DJ134" i="2" s="1"/>
  <c r="DH135" i="2"/>
  <c r="J121" i="2"/>
  <c r="X127" i="2"/>
  <c r="CN136" i="2"/>
  <c r="CO136" i="2" s="1"/>
  <c r="CM137" i="2"/>
  <c r="AX119" i="2"/>
  <c r="AY119" i="2" s="1"/>
  <c r="AW120" i="2"/>
  <c r="M114" i="1"/>
  <c r="G115" i="1"/>
  <c r="CW140" i="2"/>
  <c r="V128" i="2"/>
  <c r="W128" i="2" s="1"/>
  <c r="X128" i="2" s="1"/>
  <c r="U129" i="2"/>
  <c r="CP136" i="2"/>
  <c r="CP135" i="2"/>
  <c r="AZ118" i="2"/>
  <c r="AS127" i="2"/>
  <c r="CG124" i="2"/>
  <c r="CH124" i="2" s="1"/>
  <c r="CF125" i="2"/>
  <c r="CW139" i="2"/>
  <c r="BL131" i="2"/>
  <c r="BM131" i="2" s="1"/>
  <c r="BK132" i="2"/>
  <c r="DD127" i="2"/>
  <c r="N133" i="2"/>
  <c r="O132" i="2"/>
  <c r="P132" i="2" s="1"/>
  <c r="CI123" i="2"/>
  <c r="BG136" i="2"/>
  <c r="BL132" i="2" l="1"/>
  <c r="BM132" i="2" s="1"/>
  <c r="BK133" i="2"/>
  <c r="BU136" i="2"/>
  <c r="DB129" i="2"/>
  <c r="DC129" i="2" s="1"/>
  <c r="DA130" i="2"/>
  <c r="BY136" i="2"/>
  <c r="BZ135" i="2"/>
  <c r="CA135" i="2" s="1"/>
  <c r="BR138" i="2"/>
  <c r="BS137" i="2"/>
  <c r="BT137" i="2" s="1"/>
  <c r="DD128" i="2"/>
  <c r="V129" i="2"/>
  <c r="W129" i="2" s="1"/>
  <c r="U130" i="2"/>
  <c r="CB134" i="2"/>
  <c r="AJ122" i="2"/>
  <c r="AK122" i="2" s="1"/>
  <c r="AI123" i="2"/>
  <c r="BN131" i="2"/>
  <c r="Q132" i="2"/>
  <c r="M115" i="1"/>
  <c r="G116" i="1"/>
  <c r="CU141" i="2"/>
  <c r="CV141" i="2" s="1"/>
  <c r="CT142" i="2"/>
  <c r="BE137" i="2"/>
  <c r="BF137" i="2" s="1"/>
  <c r="BD138" i="2"/>
  <c r="AL121" i="2"/>
  <c r="AQ128" i="2"/>
  <c r="AR128" i="2" s="1"/>
  <c r="AP129" i="2"/>
  <c r="AC185" i="2"/>
  <c r="AD185" i="2" s="1"/>
  <c r="AB186" i="2"/>
  <c r="N134" i="2"/>
  <c r="O133" i="2"/>
  <c r="P133" i="2" s="1"/>
  <c r="CG125" i="2"/>
  <c r="CH125" i="2" s="1"/>
  <c r="CF126" i="2"/>
  <c r="BN132" i="2"/>
  <c r="AX120" i="2"/>
  <c r="AY120" i="2" s="1"/>
  <c r="AW121" i="2"/>
  <c r="DH136" i="2"/>
  <c r="DI135" i="2"/>
  <c r="DJ135" i="2" s="1"/>
  <c r="AZ119" i="2"/>
  <c r="DK134" i="2"/>
  <c r="G124" i="2"/>
  <c r="H123" i="2"/>
  <c r="I123" i="2" s="1"/>
  <c r="P104" i="1"/>
  <c r="Q104" i="1" s="1"/>
  <c r="O105" i="1"/>
  <c r="K103" i="1"/>
  <c r="J103" i="1" s="1"/>
  <c r="E104" i="1"/>
  <c r="N103" i="1"/>
  <c r="CI124" i="2"/>
  <c r="CM138" i="2"/>
  <c r="CN137" i="2"/>
  <c r="CO137" i="2" s="1"/>
  <c r="J122" i="2"/>
  <c r="R103" i="1"/>
  <c r="S103" i="1" s="1"/>
  <c r="R104" i="1"/>
  <c r="AC186" i="2" l="1"/>
  <c r="AD186" i="2" s="1"/>
  <c r="AB187" i="2"/>
  <c r="BG137" i="2"/>
  <c r="K104" i="1"/>
  <c r="J104" i="1" s="1"/>
  <c r="E105" i="1"/>
  <c r="N104" i="1"/>
  <c r="DK135" i="2"/>
  <c r="CU142" i="2"/>
  <c r="CV142" i="2" s="1"/>
  <c r="CT143" i="2"/>
  <c r="BU137" i="2"/>
  <c r="BU138" i="2"/>
  <c r="DH137" i="2"/>
  <c r="DI136" i="2"/>
  <c r="DJ136" i="2" s="1"/>
  <c r="AQ129" i="2"/>
  <c r="AR129" i="2" s="1"/>
  <c r="AP130" i="2"/>
  <c r="CW141" i="2"/>
  <c r="CW142" i="2"/>
  <c r="BS138" i="2"/>
  <c r="BT138" i="2" s="1"/>
  <c r="BR139" i="2"/>
  <c r="O106" i="1"/>
  <c r="P105" i="1"/>
  <c r="Q105" i="1" s="1"/>
  <c r="AW122" i="2"/>
  <c r="AX121" i="2"/>
  <c r="AY121" i="2" s="1"/>
  <c r="AS128" i="2"/>
  <c r="V130" i="2"/>
  <c r="W130" i="2" s="1"/>
  <c r="U131" i="2"/>
  <c r="CB135" i="2"/>
  <c r="J123" i="2"/>
  <c r="R105" i="1"/>
  <c r="S105" i="1" s="1"/>
  <c r="AZ120" i="2"/>
  <c r="CG126" i="2"/>
  <c r="CH126" i="2" s="1"/>
  <c r="CF127" i="2"/>
  <c r="X129" i="2"/>
  <c r="BY137" i="2"/>
  <c r="BZ136" i="2"/>
  <c r="CA136" i="2" s="1"/>
  <c r="CI125" i="2"/>
  <c r="AI124" i="2"/>
  <c r="AJ123" i="2"/>
  <c r="AK123" i="2" s="1"/>
  <c r="DB130" i="2"/>
  <c r="DC130" i="2" s="1"/>
  <c r="DA131" i="2"/>
  <c r="CP138" i="2"/>
  <c r="AL122" i="2"/>
  <c r="DD129" i="2"/>
  <c r="BL133" i="2"/>
  <c r="BM133" i="2" s="1"/>
  <c r="BK134" i="2"/>
  <c r="H124" i="2"/>
  <c r="I124" i="2" s="1"/>
  <c r="G125" i="2"/>
  <c r="Q133" i="2"/>
  <c r="M116" i="1"/>
  <c r="G117" i="1"/>
  <c r="S104" i="1"/>
  <c r="CN138" i="2"/>
  <c r="CO138" i="2" s="1"/>
  <c r="CM139" i="2"/>
  <c r="AE185" i="2"/>
  <c r="CP137" i="2"/>
  <c r="O134" i="2"/>
  <c r="P134" i="2" s="1"/>
  <c r="Q134" i="2" s="1"/>
  <c r="N135" i="2"/>
  <c r="BE138" i="2"/>
  <c r="BF138" i="2" s="1"/>
  <c r="BD139" i="2"/>
  <c r="BL134" i="2" l="1"/>
  <c r="BM134" i="2" s="1"/>
  <c r="BK135" i="2"/>
  <c r="DI137" i="2"/>
  <c r="DJ137" i="2" s="1"/>
  <c r="DH138" i="2"/>
  <c r="O135" i="2"/>
  <c r="P135" i="2" s="1"/>
  <c r="N136" i="2"/>
  <c r="V131" i="2"/>
  <c r="W131" i="2" s="1"/>
  <c r="U132" i="2"/>
  <c r="AX122" i="2"/>
  <c r="AY122" i="2" s="1"/>
  <c r="AW123" i="2"/>
  <c r="X131" i="2"/>
  <c r="AC187" i="2"/>
  <c r="AD187" i="2" s="1"/>
  <c r="AB188" i="2"/>
  <c r="BN133" i="2"/>
  <c r="DB131" i="2"/>
  <c r="DC131" i="2" s="1"/>
  <c r="DA132" i="2"/>
  <c r="AE186" i="2"/>
  <c r="AE187" i="2"/>
  <c r="CG127" i="2"/>
  <c r="CH127" i="2" s="1"/>
  <c r="CF128" i="2"/>
  <c r="O107" i="1"/>
  <c r="P106" i="1"/>
  <c r="Q106" i="1" s="1"/>
  <c r="CT144" i="2"/>
  <c r="CU143" i="2"/>
  <c r="CV143" i="2" s="1"/>
  <c r="AL123" i="2"/>
  <c r="BZ137" i="2"/>
  <c r="CA137" i="2" s="1"/>
  <c r="BY138" i="2"/>
  <c r="CI126" i="2"/>
  <c r="AP131" i="2"/>
  <c r="AQ130" i="2"/>
  <c r="AR130" i="2" s="1"/>
  <c r="CW143" i="2"/>
  <c r="K105" i="1"/>
  <c r="J105" i="1" s="1"/>
  <c r="E106" i="1"/>
  <c r="N105" i="1"/>
  <c r="BG138" i="2"/>
  <c r="CN139" i="2"/>
  <c r="CO139" i="2" s="1"/>
  <c r="CM140" i="2"/>
  <c r="H125" i="2"/>
  <c r="I125" i="2" s="1"/>
  <c r="G126" i="2"/>
  <c r="AJ124" i="2"/>
  <c r="AK124" i="2" s="1"/>
  <c r="AI125" i="2"/>
  <c r="X130" i="2"/>
  <c r="AZ121" i="2"/>
  <c r="CB137" i="2"/>
  <c r="BS139" i="2"/>
  <c r="BT139" i="2" s="1"/>
  <c r="BR140" i="2"/>
  <c r="AS129" i="2"/>
  <c r="DD130" i="2"/>
  <c r="M117" i="1"/>
  <c r="G118" i="1"/>
  <c r="BD140" i="2"/>
  <c r="BE139" i="2"/>
  <c r="BF139" i="2" s="1"/>
  <c r="J124" i="2"/>
  <c r="CI127" i="2"/>
  <c r="AZ122" i="2"/>
  <c r="CB136" i="2"/>
  <c r="DK136" i="2"/>
  <c r="DK137" i="2"/>
  <c r="CU144" i="2" l="1"/>
  <c r="CV144" i="2" s="1"/>
  <c r="CT145" i="2"/>
  <c r="AX123" i="2"/>
  <c r="AY123" i="2" s="1"/>
  <c r="AW124" i="2"/>
  <c r="R106" i="1"/>
  <c r="S106" i="1" s="1"/>
  <c r="AS130" i="2"/>
  <c r="P107" i="1"/>
  <c r="Q107" i="1" s="1"/>
  <c r="O108" i="1"/>
  <c r="AC188" i="2"/>
  <c r="AD188" i="2" s="1"/>
  <c r="AB189" i="2"/>
  <c r="U133" i="2"/>
  <c r="V132" i="2"/>
  <c r="W132" i="2" s="1"/>
  <c r="AI126" i="2"/>
  <c r="AJ125" i="2"/>
  <c r="AK125" i="2" s="1"/>
  <c r="AP132" i="2"/>
  <c r="AQ131" i="2"/>
  <c r="AR131" i="2" s="1"/>
  <c r="CG128" i="2"/>
  <c r="CH128" i="2" s="1"/>
  <c r="CF129" i="2"/>
  <c r="DB132" i="2"/>
  <c r="DC132" i="2" s="1"/>
  <c r="DA133" i="2"/>
  <c r="BK136" i="2"/>
  <c r="BL135" i="2"/>
  <c r="BM135" i="2" s="1"/>
  <c r="BG139" i="2"/>
  <c r="AL124" i="2"/>
  <c r="DD131" i="2"/>
  <c r="N137" i="2"/>
  <c r="O136" i="2"/>
  <c r="P136" i="2" s="1"/>
  <c r="BN134" i="2"/>
  <c r="BE140" i="2"/>
  <c r="BF140" i="2" s="1"/>
  <c r="BD141" i="2"/>
  <c r="H126" i="2"/>
  <c r="I126" i="2" s="1"/>
  <c r="G127" i="2"/>
  <c r="E107" i="1"/>
  <c r="K106" i="1"/>
  <c r="J106" i="1" s="1"/>
  <c r="N106" i="1"/>
  <c r="Q135" i="2"/>
  <c r="BS140" i="2"/>
  <c r="BT140" i="2" s="1"/>
  <c r="BR141" i="2"/>
  <c r="J125" i="2"/>
  <c r="CP139" i="2"/>
  <c r="DI138" i="2"/>
  <c r="DJ138" i="2" s="1"/>
  <c r="DH139" i="2"/>
  <c r="M118" i="1"/>
  <c r="G119" i="1"/>
  <c r="BU139" i="2"/>
  <c r="BU140" i="2"/>
  <c r="CM141" i="2"/>
  <c r="CN140" i="2"/>
  <c r="CO140" i="2" s="1"/>
  <c r="CP140" i="2" s="1"/>
  <c r="BZ138" i="2"/>
  <c r="CA138" i="2" s="1"/>
  <c r="BY139" i="2"/>
  <c r="CW144" i="2"/>
  <c r="J126" i="2" l="1"/>
  <c r="AL125" i="2"/>
  <c r="AE188" i="2"/>
  <c r="BY140" i="2"/>
  <c r="BZ139" i="2"/>
  <c r="CA139" i="2" s="1"/>
  <c r="BE141" i="2"/>
  <c r="BF141" i="2" s="1"/>
  <c r="BD142" i="2"/>
  <c r="AJ126" i="2"/>
  <c r="AK126" i="2" s="1"/>
  <c r="AI127" i="2"/>
  <c r="AW125" i="2"/>
  <c r="AX124" i="2"/>
  <c r="AY124" i="2" s="1"/>
  <c r="BG140" i="2"/>
  <c r="DB133" i="2"/>
  <c r="DC133" i="2" s="1"/>
  <c r="DA134" i="2"/>
  <c r="P108" i="1"/>
  <c r="Q108" i="1" s="1"/>
  <c r="O109" i="1"/>
  <c r="M119" i="1"/>
  <c r="G120" i="1"/>
  <c r="CB138" i="2"/>
  <c r="BN135" i="2"/>
  <c r="DD132" i="2"/>
  <c r="CU145" i="2"/>
  <c r="CV145" i="2" s="1"/>
  <c r="CT146" i="2"/>
  <c r="CN141" i="2"/>
  <c r="CO141" i="2" s="1"/>
  <c r="CP141" i="2" s="1"/>
  <c r="CM142" i="2"/>
  <c r="BL136" i="2"/>
  <c r="BM136" i="2" s="1"/>
  <c r="BK137" i="2"/>
  <c r="CF130" i="2"/>
  <c r="CG129" i="2"/>
  <c r="CH129" i="2" s="1"/>
  <c r="AZ123" i="2"/>
  <c r="Q136" i="2"/>
  <c r="CI128" i="2"/>
  <c r="X132" i="2"/>
  <c r="R108" i="1"/>
  <c r="DH140" i="2"/>
  <c r="DI139" i="2"/>
  <c r="DJ139" i="2" s="1"/>
  <c r="BR142" i="2"/>
  <c r="BS141" i="2"/>
  <c r="BT141" i="2" s="1"/>
  <c r="K107" i="1"/>
  <c r="J107" i="1" s="1"/>
  <c r="E108" i="1"/>
  <c r="N107" i="1"/>
  <c r="N138" i="2"/>
  <c r="O137" i="2"/>
  <c r="P137" i="2" s="1"/>
  <c r="AS131" i="2"/>
  <c r="V133" i="2"/>
  <c r="W133" i="2" s="1"/>
  <c r="U134" i="2"/>
  <c r="R107" i="1"/>
  <c r="S107" i="1" s="1"/>
  <c r="DK138" i="2"/>
  <c r="BU141" i="2"/>
  <c r="H127" i="2"/>
  <c r="I127" i="2" s="1"/>
  <c r="J127" i="2" s="1"/>
  <c r="G128" i="2"/>
  <c r="DD133" i="2"/>
  <c r="AQ132" i="2"/>
  <c r="AR132" i="2" s="1"/>
  <c r="AP133" i="2"/>
  <c r="AC189" i="2"/>
  <c r="AD189" i="2" s="1"/>
  <c r="AB190" i="2"/>
  <c r="DK140" i="2" l="1"/>
  <c r="DK139" i="2"/>
  <c r="CF131" i="2"/>
  <c r="CG130" i="2"/>
  <c r="CH130" i="2" s="1"/>
  <c r="CW145" i="2"/>
  <c r="DH141" i="2"/>
  <c r="DI140" i="2"/>
  <c r="DJ140" i="2" s="1"/>
  <c r="BL137" i="2"/>
  <c r="BM137" i="2" s="1"/>
  <c r="BK138" i="2"/>
  <c r="O138" i="2"/>
  <c r="P138" i="2" s="1"/>
  <c r="N139" i="2"/>
  <c r="BN137" i="2"/>
  <c r="O110" i="1"/>
  <c r="P109" i="1"/>
  <c r="Q109" i="1" s="1"/>
  <c r="CB139" i="2"/>
  <c r="V134" i="2"/>
  <c r="W134" i="2" s="1"/>
  <c r="U135" i="2"/>
  <c r="AZ124" i="2"/>
  <c r="AZ125" i="2"/>
  <c r="BZ140" i="2"/>
  <c r="CA140" i="2" s="1"/>
  <c r="BY141" i="2"/>
  <c r="X133" i="2"/>
  <c r="K108" i="1"/>
  <c r="J108" i="1" s="1"/>
  <c r="E109" i="1"/>
  <c r="N108" i="1"/>
  <c r="S108" i="1"/>
  <c r="Q137" i="2"/>
  <c r="CW146" i="2"/>
  <c r="CN142" i="2"/>
  <c r="CO142" i="2" s="1"/>
  <c r="CM143" i="2"/>
  <c r="DB134" i="2"/>
  <c r="DC134" i="2" s="1"/>
  <c r="DA135" i="2"/>
  <c r="AX125" i="2"/>
  <c r="AY125" i="2" s="1"/>
  <c r="AW126" i="2"/>
  <c r="X134" i="2"/>
  <c r="G121" i="1"/>
  <c r="M120" i="1"/>
  <c r="AJ127" i="2"/>
  <c r="AK127" i="2" s="1"/>
  <c r="AI128" i="2"/>
  <c r="AS132" i="2"/>
  <c r="BU142" i="2"/>
  <c r="AL126" i="2"/>
  <c r="AE189" i="2"/>
  <c r="H128" i="2"/>
  <c r="I128" i="2" s="1"/>
  <c r="G129" i="2"/>
  <c r="AC190" i="2"/>
  <c r="AD190" i="2" s="1"/>
  <c r="AE190" i="2" s="1"/>
  <c r="AB191" i="2"/>
  <c r="AQ133" i="2"/>
  <c r="AR133" i="2" s="1"/>
  <c r="AP134" i="2"/>
  <c r="BS142" i="2"/>
  <c r="BT142" i="2" s="1"/>
  <c r="BR143" i="2"/>
  <c r="Q138" i="2"/>
  <c r="CI129" i="2"/>
  <c r="CU146" i="2"/>
  <c r="CV146" i="2" s="1"/>
  <c r="CT147" i="2"/>
  <c r="BN136" i="2"/>
  <c r="BG141" i="2"/>
  <c r="BE142" i="2"/>
  <c r="BF142" i="2" s="1"/>
  <c r="BD143" i="2"/>
  <c r="J128" i="2" l="1"/>
  <c r="DB135" i="2"/>
  <c r="DC135" i="2" s="1"/>
  <c r="DA136" i="2"/>
  <c r="K109" i="1"/>
  <c r="J109" i="1" s="1"/>
  <c r="E110" i="1"/>
  <c r="N109" i="1"/>
  <c r="BZ141" i="2"/>
  <c r="CA141" i="2" s="1"/>
  <c r="BY142" i="2"/>
  <c r="CG131" i="2"/>
  <c r="CH131" i="2" s="1"/>
  <c r="CF132" i="2"/>
  <c r="M121" i="1"/>
  <c r="G122" i="1"/>
  <c r="DD134" i="2"/>
  <c r="CB140" i="2"/>
  <c r="O139" i="2"/>
  <c r="P139" i="2" s="1"/>
  <c r="N140" i="2"/>
  <c r="AI129" i="2"/>
  <c r="AJ128" i="2"/>
  <c r="AK128" i="2" s="1"/>
  <c r="CN143" i="2"/>
  <c r="CO143" i="2" s="1"/>
  <c r="CM144" i="2"/>
  <c r="BE143" i="2"/>
  <c r="BF143" i="2" s="1"/>
  <c r="BD144" i="2"/>
  <c r="BG142" i="2"/>
  <c r="AP135" i="2"/>
  <c r="AQ134" i="2"/>
  <c r="AR134" i="2" s="1"/>
  <c r="AL127" i="2"/>
  <c r="CP142" i="2"/>
  <c r="V135" i="2"/>
  <c r="W135" i="2" s="1"/>
  <c r="U136" i="2"/>
  <c r="R109" i="1"/>
  <c r="S109" i="1" s="1"/>
  <c r="BL138" i="2"/>
  <c r="BM138" i="2" s="1"/>
  <c r="BK139" i="2"/>
  <c r="AS133" i="2"/>
  <c r="O111" i="1"/>
  <c r="P110" i="1"/>
  <c r="Q110" i="1" s="1"/>
  <c r="AC191" i="2"/>
  <c r="AD191" i="2" s="1"/>
  <c r="AB192" i="2"/>
  <c r="AX126" i="2"/>
  <c r="AY126" i="2" s="1"/>
  <c r="AW127" i="2"/>
  <c r="CU147" i="2"/>
  <c r="CV147" i="2" s="1"/>
  <c r="CT148" i="2"/>
  <c r="BS143" i="2"/>
  <c r="BT143" i="2" s="1"/>
  <c r="BR144" i="2"/>
  <c r="H129" i="2"/>
  <c r="I129" i="2" s="1"/>
  <c r="G130" i="2"/>
  <c r="DI141" i="2"/>
  <c r="DJ141" i="2" s="1"/>
  <c r="DH142" i="2"/>
  <c r="CI130" i="2"/>
  <c r="BU143" i="2" l="1"/>
  <c r="X135" i="2"/>
  <c r="H130" i="2"/>
  <c r="I130" i="2" s="1"/>
  <c r="G131" i="2"/>
  <c r="CU148" i="2"/>
  <c r="CV148" i="2" s="1"/>
  <c r="CT149" i="2"/>
  <c r="P111" i="1"/>
  <c r="Q111" i="1" s="1"/>
  <c r="O112" i="1"/>
  <c r="BL139" i="2"/>
  <c r="BM139" i="2" s="1"/>
  <c r="BK140" i="2"/>
  <c r="M122" i="1"/>
  <c r="G123" i="1"/>
  <c r="BZ142" i="2"/>
  <c r="CA142" i="2" s="1"/>
  <c r="BY143" i="2"/>
  <c r="J129" i="2"/>
  <c r="BN138" i="2"/>
  <c r="CP143" i="2"/>
  <c r="AP136" i="2"/>
  <c r="AQ135" i="2"/>
  <c r="AR135" i="2" s="1"/>
  <c r="CM145" i="2"/>
  <c r="CN144" i="2"/>
  <c r="CO144" i="2" s="1"/>
  <c r="CB141" i="2"/>
  <c r="AB193" i="2"/>
  <c r="AC192" i="2"/>
  <c r="AD192" i="2" s="1"/>
  <c r="AS134" i="2"/>
  <c r="R110" i="1"/>
  <c r="S110" i="1" s="1"/>
  <c r="AL128" i="2"/>
  <c r="CG132" i="2"/>
  <c r="CH132" i="2" s="1"/>
  <c r="CF133" i="2"/>
  <c r="E111" i="1"/>
  <c r="K110" i="1"/>
  <c r="J110" i="1" s="1"/>
  <c r="N110" i="1"/>
  <c r="AI130" i="2"/>
  <c r="AJ129" i="2"/>
  <c r="AK129" i="2" s="1"/>
  <c r="CI131" i="2"/>
  <c r="DI142" i="2"/>
  <c r="DJ142" i="2" s="1"/>
  <c r="DH143" i="2"/>
  <c r="AX127" i="2"/>
  <c r="AY127" i="2" s="1"/>
  <c r="AW128" i="2"/>
  <c r="CW147" i="2"/>
  <c r="BD145" i="2"/>
  <c r="BE144" i="2"/>
  <c r="BF144" i="2" s="1"/>
  <c r="O140" i="2"/>
  <c r="P140" i="2" s="1"/>
  <c r="N141" i="2"/>
  <c r="DB136" i="2"/>
  <c r="DC136" i="2" s="1"/>
  <c r="DA137" i="2"/>
  <c r="DK141" i="2"/>
  <c r="AE191" i="2"/>
  <c r="BS144" i="2"/>
  <c r="BT144" i="2" s="1"/>
  <c r="BR145" i="2"/>
  <c r="AZ126" i="2"/>
  <c r="V136" i="2"/>
  <c r="W136" i="2" s="1"/>
  <c r="U137" i="2"/>
  <c r="BG143" i="2"/>
  <c r="Q139" i="2"/>
  <c r="DD135" i="2"/>
  <c r="BG144" i="2" l="1"/>
  <c r="DK142" i="2"/>
  <c r="M123" i="1"/>
  <c r="G124" i="1"/>
  <c r="BE145" i="2"/>
  <c r="BF145" i="2" s="1"/>
  <c r="BD146" i="2"/>
  <c r="CP144" i="2"/>
  <c r="CU149" i="2"/>
  <c r="CV149" i="2" s="1"/>
  <c r="CT150" i="2"/>
  <c r="P112" i="1"/>
  <c r="Q112" i="1" s="1"/>
  <c r="O113" i="1"/>
  <c r="V137" i="2"/>
  <c r="W137" i="2" s="1"/>
  <c r="U138" i="2"/>
  <c r="E112" i="1"/>
  <c r="K111" i="1"/>
  <c r="J111" i="1" s="1"/>
  <c r="N111" i="1"/>
  <c r="CM146" i="2"/>
  <c r="CN145" i="2"/>
  <c r="CO145" i="2" s="1"/>
  <c r="CW148" i="2"/>
  <c r="R111" i="1"/>
  <c r="S111" i="1" s="1"/>
  <c r="CG133" i="2"/>
  <c r="CH133" i="2" s="1"/>
  <c r="CF134" i="2"/>
  <c r="AS135" i="2"/>
  <c r="AS136" i="2"/>
  <c r="G132" i="2"/>
  <c r="H131" i="2"/>
  <c r="I131" i="2" s="1"/>
  <c r="X137" i="2"/>
  <c r="DA138" i="2"/>
  <c r="DB137" i="2"/>
  <c r="DC137" i="2" s="1"/>
  <c r="AX128" i="2"/>
  <c r="AY128" i="2" s="1"/>
  <c r="AZ128" i="2" s="1"/>
  <c r="AW129" i="2"/>
  <c r="CI132" i="2"/>
  <c r="AE192" i="2"/>
  <c r="AQ136" i="2"/>
  <c r="AR136" i="2" s="1"/>
  <c r="AP137" i="2"/>
  <c r="J130" i="2"/>
  <c r="Q140" i="2"/>
  <c r="DD136" i="2"/>
  <c r="AZ127" i="2"/>
  <c r="AL129" i="2"/>
  <c r="AC193" i="2"/>
  <c r="AD193" i="2" s="1"/>
  <c r="AB194" i="2"/>
  <c r="BL140" i="2"/>
  <c r="BM140" i="2" s="1"/>
  <c r="BK141" i="2"/>
  <c r="DI143" i="2"/>
  <c r="DJ143" i="2" s="1"/>
  <c r="DH144" i="2"/>
  <c r="CB142" i="2"/>
  <c r="BR146" i="2"/>
  <c r="BS145" i="2"/>
  <c r="BT145" i="2" s="1"/>
  <c r="O141" i="2"/>
  <c r="P141" i="2" s="1"/>
  <c r="N142" i="2"/>
  <c r="AJ130" i="2"/>
  <c r="AK130" i="2" s="1"/>
  <c r="AI131" i="2"/>
  <c r="AL130" i="2"/>
  <c r="BU144" i="2"/>
  <c r="BZ143" i="2"/>
  <c r="CA143" i="2" s="1"/>
  <c r="BY144" i="2"/>
  <c r="BN139" i="2"/>
  <c r="X136" i="2"/>
  <c r="CP145" i="2" l="1"/>
  <c r="DK144" i="2"/>
  <c r="DK143" i="2"/>
  <c r="CN146" i="2"/>
  <c r="CO146" i="2" s="1"/>
  <c r="CM147" i="2"/>
  <c r="DH145" i="2"/>
  <c r="DI144" i="2"/>
  <c r="DJ144" i="2" s="1"/>
  <c r="BS146" i="2"/>
  <c r="BT146" i="2" s="1"/>
  <c r="BR147" i="2"/>
  <c r="BU145" i="2"/>
  <c r="CF135" i="2"/>
  <c r="CG134" i="2"/>
  <c r="CH134" i="2" s="1"/>
  <c r="CU150" i="2"/>
  <c r="CV150" i="2" s="1"/>
  <c r="CT151" i="2"/>
  <c r="CB143" i="2"/>
  <c r="AQ137" i="2"/>
  <c r="AR137" i="2" s="1"/>
  <c r="AP138" i="2"/>
  <c r="BL141" i="2"/>
  <c r="BM141" i="2" s="1"/>
  <c r="BK142" i="2"/>
  <c r="AW130" i="2"/>
  <c r="AX129" i="2"/>
  <c r="AY129" i="2" s="1"/>
  <c r="CI133" i="2"/>
  <c r="CW149" i="2"/>
  <c r="R112" i="1"/>
  <c r="S112" i="1" s="1"/>
  <c r="Q141" i="2"/>
  <c r="O114" i="1"/>
  <c r="P113" i="1"/>
  <c r="Q113" i="1" s="1"/>
  <c r="BZ144" i="2"/>
  <c r="CA144" i="2" s="1"/>
  <c r="BY145" i="2"/>
  <c r="BN141" i="2"/>
  <c r="J131" i="2"/>
  <c r="K112" i="1"/>
  <c r="J112" i="1" s="1"/>
  <c r="E113" i="1"/>
  <c r="N112" i="1"/>
  <c r="AJ131" i="2"/>
  <c r="AK131" i="2" s="1"/>
  <c r="AI132" i="2"/>
  <c r="AL131" i="2"/>
  <c r="AE193" i="2"/>
  <c r="DD137" i="2"/>
  <c r="G133" i="2"/>
  <c r="H132" i="2"/>
  <c r="I132" i="2" s="1"/>
  <c r="V138" i="2"/>
  <c r="W138" i="2" s="1"/>
  <c r="U139" i="2"/>
  <c r="BG145" i="2"/>
  <c r="BN140" i="2"/>
  <c r="O142" i="2"/>
  <c r="P142" i="2" s="1"/>
  <c r="N143" i="2"/>
  <c r="AC194" i="2"/>
  <c r="AD194" i="2" s="1"/>
  <c r="AB195" i="2"/>
  <c r="DB138" i="2"/>
  <c r="DC138" i="2" s="1"/>
  <c r="DA139" i="2"/>
  <c r="BE146" i="2"/>
  <c r="BF146" i="2" s="1"/>
  <c r="BD147" i="2"/>
  <c r="G125" i="1"/>
  <c r="M124" i="1"/>
  <c r="BG146" i="2"/>
  <c r="O143" i="2" l="1"/>
  <c r="P143" i="2" s="1"/>
  <c r="N144" i="2"/>
  <c r="U140" i="2"/>
  <c r="V139" i="2"/>
  <c r="W139" i="2" s="1"/>
  <c r="CB144" i="2"/>
  <c r="CT152" i="2"/>
  <c r="CU151" i="2"/>
  <c r="CV151" i="2" s="1"/>
  <c r="CP146" i="2"/>
  <c r="X138" i="2"/>
  <c r="R113" i="1"/>
  <c r="S113" i="1" s="1"/>
  <c r="AZ129" i="2"/>
  <c r="BR148" i="2"/>
  <c r="BS147" i="2"/>
  <c r="BT147" i="2" s="1"/>
  <c r="DB139" i="2"/>
  <c r="DC139" i="2" s="1"/>
  <c r="DA140" i="2"/>
  <c r="DD138" i="2"/>
  <c r="K113" i="1"/>
  <c r="J113" i="1" s="1"/>
  <c r="E114" i="1"/>
  <c r="N113" i="1"/>
  <c r="O115" i="1"/>
  <c r="P114" i="1"/>
  <c r="Q114" i="1" s="1"/>
  <c r="AW131" i="2"/>
  <c r="AX130" i="2"/>
  <c r="AY130" i="2" s="1"/>
  <c r="CI134" i="2"/>
  <c r="M125" i="1"/>
  <c r="G126" i="1"/>
  <c r="H133" i="2"/>
  <c r="I133" i="2" s="1"/>
  <c r="G134" i="2"/>
  <c r="BK143" i="2"/>
  <c r="BL142" i="2"/>
  <c r="BM142" i="2" s="1"/>
  <c r="CG135" i="2"/>
  <c r="CH135" i="2" s="1"/>
  <c r="CF136" i="2"/>
  <c r="AE194" i="2"/>
  <c r="DI145" i="2"/>
  <c r="DJ145" i="2" s="1"/>
  <c r="DH146" i="2"/>
  <c r="BU146" i="2"/>
  <c r="J132" i="2"/>
  <c r="BE147" i="2"/>
  <c r="BF147" i="2" s="1"/>
  <c r="BD148" i="2"/>
  <c r="AB196" i="2"/>
  <c r="AC195" i="2"/>
  <c r="AD195" i="2" s="1"/>
  <c r="X139" i="2"/>
  <c r="AI133" i="2"/>
  <c r="AJ132" i="2"/>
  <c r="AK132" i="2" s="1"/>
  <c r="AP139" i="2"/>
  <c r="AQ138" i="2"/>
  <c r="AR138" i="2" s="1"/>
  <c r="Q142" i="2"/>
  <c r="BZ145" i="2"/>
  <c r="CA145" i="2" s="1"/>
  <c r="BY146" i="2"/>
  <c r="CW150" i="2"/>
  <c r="AS137" i="2"/>
  <c r="CM148" i="2"/>
  <c r="CN147" i="2"/>
  <c r="CO147" i="2" s="1"/>
  <c r="BL143" i="2" l="1"/>
  <c r="BM143" i="2" s="1"/>
  <c r="BK144" i="2"/>
  <c r="AW132" i="2"/>
  <c r="AX131" i="2"/>
  <c r="AY131" i="2" s="1"/>
  <c r="DH147" i="2"/>
  <c r="DI146" i="2"/>
  <c r="DJ146" i="2" s="1"/>
  <c r="R114" i="1"/>
  <c r="S114" i="1" s="1"/>
  <c r="AI134" i="2"/>
  <c r="AJ133" i="2"/>
  <c r="AK133" i="2" s="1"/>
  <c r="DK145" i="2"/>
  <c r="G135" i="2"/>
  <c r="H134" i="2"/>
  <c r="I134" i="2" s="1"/>
  <c r="P115" i="1"/>
  <c r="Q115" i="1" s="1"/>
  <c r="O116" i="1"/>
  <c r="BU147" i="2"/>
  <c r="V140" i="2"/>
  <c r="W140" i="2" s="1"/>
  <c r="U141" i="2"/>
  <c r="CB145" i="2"/>
  <c r="J133" i="2"/>
  <c r="DD139" i="2"/>
  <c r="BR149" i="2"/>
  <c r="BS148" i="2"/>
  <c r="BT148" i="2" s="1"/>
  <c r="O144" i="2"/>
  <c r="P144" i="2" s="1"/>
  <c r="N145" i="2"/>
  <c r="CP147" i="2"/>
  <c r="AE195" i="2"/>
  <c r="CG136" i="2"/>
  <c r="CH136" i="2" s="1"/>
  <c r="CF137" i="2"/>
  <c r="Q143" i="2"/>
  <c r="BY147" i="2"/>
  <c r="BZ146" i="2"/>
  <c r="CA146" i="2" s="1"/>
  <c r="CM149" i="2"/>
  <c r="CN148" i="2"/>
  <c r="CO148" i="2" s="1"/>
  <c r="CI135" i="2"/>
  <c r="E115" i="1"/>
  <c r="K114" i="1"/>
  <c r="J114" i="1" s="1"/>
  <c r="N114" i="1"/>
  <c r="X140" i="2"/>
  <c r="CW151" i="2"/>
  <c r="AL133" i="2"/>
  <c r="AC196" i="2"/>
  <c r="AD196" i="2" s="1"/>
  <c r="AB197" i="2"/>
  <c r="AS138" i="2"/>
  <c r="AS139" i="2"/>
  <c r="BE148" i="2"/>
  <c r="BF148" i="2" s="1"/>
  <c r="BD149" i="2"/>
  <c r="M126" i="1"/>
  <c r="G127" i="1"/>
  <c r="CU152" i="2"/>
  <c r="CV152" i="2" s="1"/>
  <c r="CT153" i="2"/>
  <c r="AL132" i="2"/>
  <c r="AP140" i="2"/>
  <c r="AQ139" i="2"/>
  <c r="AR139" i="2" s="1"/>
  <c r="BG147" i="2"/>
  <c r="BN142" i="2"/>
  <c r="AZ130" i="2"/>
  <c r="AZ131" i="2"/>
  <c r="DB140" i="2"/>
  <c r="DC140" i="2" s="1"/>
  <c r="DA141" i="2"/>
  <c r="DD140" i="2" l="1"/>
  <c r="BE149" i="2"/>
  <c r="BF149" i="2" s="1"/>
  <c r="BD150" i="2"/>
  <c r="AE196" i="2"/>
  <c r="K115" i="1"/>
  <c r="J115" i="1" s="1"/>
  <c r="E116" i="1"/>
  <c r="N115" i="1"/>
  <c r="BY148" i="2"/>
  <c r="BZ147" i="2"/>
  <c r="CA147" i="2" s="1"/>
  <c r="BS149" i="2"/>
  <c r="BT149" i="2" s="1"/>
  <c r="BR150" i="2"/>
  <c r="G136" i="2"/>
  <c r="H135" i="2"/>
  <c r="I135" i="2" s="1"/>
  <c r="AX132" i="2"/>
  <c r="AY132" i="2" s="1"/>
  <c r="AW133" i="2"/>
  <c r="BL144" i="2"/>
  <c r="BM144" i="2" s="1"/>
  <c r="BK145" i="2"/>
  <c r="BN143" i="2"/>
  <c r="G128" i="1"/>
  <c r="M127" i="1"/>
  <c r="DK146" i="2"/>
  <c r="CP148" i="2"/>
  <c r="N146" i="2"/>
  <c r="O145" i="2"/>
  <c r="P145" i="2" s="1"/>
  <c r="P116" i="1"/>
  <c r="Q116" i="1" s="1"/>
  <c r="O117" i="1"/>
  <c r="DI147" i="2"/>
  <c r="DJ147" i="2" s="1"/>
  <c r="DH148" i="2"/>
  <c r="CM150" i="2"/>
  <c r="CN149" i="2"/>
  <c r="CO149" i="2" s="1"/>
  <c r="CG137" i="2"/>
  <c r="CH137" i="2" s="1"/>
  <c r="CF138" i="2"/>
  <c r="Q144" i="2"/>
  <c r="R115" i="1"/>
  <c r="S115" i="1" s="1"/>
  <c r="AJ134" i="2"/>
  <c r="AK134" i="2" s="1"/>
  <c r="AI135" i="2"/>
  <c r="CU153" i="2"/>
  <c r="CV153" i="2" s="1"/>
  <c r="CT154" i="2"/>
  <c r="CW152" i="2"/>
  <c r="DB141" i="2"/>
  <c r="DC141" i="2" s="1"/>
  <c r="DA142" i="2"/>
  <c r="AQ140" i="2"/>
  <c r="AR140" i="2" s="1"/>
  <c r="AP141" i="2"/>
  <c r="BG148" i="2"/>
  <c r="AB198" i="2"/>
  <c r="AC197" i="2"/>
  <c r="AD197" i="2" s="1"/>
  <c r="CB146" i="2"/>
  <c r="CI136" i="2"/>
  <c r="BU148" i="2"/>
  <c r="V141" i="2"/>
  <c r="W141" i="2" s="1"/>
  <c r="U142" i="2"/>
  <c r="J134" i="2"/>
  <c r="AQ141" i="2" l="1"/>
  <c r="AR141" i="2" s="1"/>
  <c r="AP142" i="2"/>
  <c r="CF139" i="2"/>
  <c r="CG138" i="2"/>
  <c r="CH138" i="2" s="1"/>
  <c r="DI148" i="2"/>
  <c r="DJ148" i="2" s="1"/>
  <c r="DH149" i="2"/>
  <c r="M128" i="1"/>
  <c r="G129" i="1"/>
  <c r="AZ132" i="2"/>
  <c r="BU149" i="2"/>
  <c r="AS140" i="2"/>
  <c r="CU154" i="2"/>
  <c r="CV154" i="2" s="1"/>
  <c r="CT155" i="2"/>
  <c r="CI138" i="2"/>
  <c r="DK147" i="2"/>
  <c r="CB147" i="2"/>
  <c r="CB148" i="2"/>
  <c r="BE150" i="2"/>
  <c r="BF150" i="2" s="1"/>
  <c r="BD151" i="2"/>
  <c r="DA143" i="2"/>
  <c r="DB142" i="2"/>
  <c r="DC142" i="2" s="1"/>
  <c r="CW153" i="2"/>
  <c r="CP149" i="2"/>
  <c r="J135" i="2"/>
  <c r="J136" i="2"/>
  <c r="BY149" i="2"/>
  <c r="BZ148" i="2"/>
  <c r="CA148" i="2" s="1"/>
  <c r="BG149" i="2"/>
  <c r="DD141" i="2"/>
  <c r="CN150" i="2"/>
  <c r="CO150" i="2" s="1"/>
  <c r="CM151" i="2"/>
  <c r="O118" i="1"/>
  <c r="P117" i="1"/>
  <c r="Q117" i="1" s="1"/>
  <c r="H136" i="2"/>
  <c r="I136" i="2" s="1"/>
  <c r="G137" i="2"/>
  <c r="AE197" i="2"/>
  <c r="R117" i="1"/>
  <c r="R116" i="1"/>
  <c r="S116" i="1" s="1"/>
  <c r="K116" i="1"/>
  <c r="J116" i="1" s="1"/>
  <c r="E117" i="1"/>
  <c r="N116" i="1"/>
  <c r="X141" i="2"/>
  <c r="CW154" i="2"/>
  <c r="Q145" i="2"/>
  <c r="BL145" i="2"/>
  <c r="BM145" i="2" s="1"/>
  <c r="BK146" i="2"/>
  <c r="CI137" i="2"/>
  <c r="AJ135" i="2"/>
  <c r="AK135" i="2" s="1"/>
  <c r="AI136" i="2"/>
  <c r="O146" i="2"/>
  <c r="P146" i="2" s="1"/>
  <c r="N147" i="2"/>
  <c r="BN144" i="2"/>
  <c r="AC198" i="2"/>
  <c r="AD198" i="2" s="1"/>
  <c r="AB199" i="2"/>
  <c r="V142" i="2"/>
  <c r="W142" i="2" s="1"/>
  <c r="U143" i="2"/>
  <c r="AL134" i="2"/>
  <c r="AX133" i="2"/>
  <c r="AY133" i="2" s="1"/>
  <c r="AW134" i="2"/>
  <c r="BS150" i="2"/>
  <c r="BT150" i="2" s="1"/>
  <c r="BR151" i="2"/>
  <c r="U144" i="2" l="1"/>
  <c r="V143" i="2"/>
  <c r="W143" i="2" s="1"/>
  <c r="AE198" i="2"/>
  <c r="BZ149" i="2"/>
  <c r="CA149" i="2" s="1"/>
  <c r="BY150" i="2"/>
  <c r="BD152" i="2"/>
  <c r="BE151" i="2"/>
  <c r="BF151" i="2" s="1"/>
  <c r="CU155" i="2"/>
  <c r="CV155" i="2" s="1"/>
  <c r="CT156" i="2"/>
  <c r="DI149" i="2"/>
  <c r="DJ149" i="2" s="1"/>
  <c r="DH150" i="2"/>
  <c r="BG150" i="2"/>
  <c r="AZ133" i="2"/>
  <c r="S117" i="1"/>
  <c r="O147" i="2"/>
  <c r="P147" i="2" s="1"/>
  <c r="N148" i="2"/>
  <c r="H137" i="2"/>
  <c r="I137" i="2" s="1"/>
  <c r="G138" i="2"/>
  <c r="CG139" i="2"/>
  <c r="CH139" i="2" s="1"/>
  <c r="CF140" i="2"/>
  <c r="Q147" i="2"/>
  <c r="Q146" i="2"/>
  <c r="BK147" i="2"/>
  <c r="BL146" i="2"/>
  <c r="BM146" i="2" s="1"/>
  <c r="AP143" i="2"/>
  <c r="AQ142" i="2"/>
  <c r="AR142" i="2" s="1"/>
  <c r="BN145" i="2"/>
  <c r="R118" i="1"/>
  <c r="S118" i="1" s="1"/>
  <c r="M129" i="1"/>
  <c r="G130" i="1"/>
  <c r="AS141" i="2"/>
  <c r="AB200" i="2"/>
  <c r="AC199" i="2"/>
  <c r="AD199" i="2" s="1"/>
  <c r="X142" i="2"/>
  <c r="AI137" i="2"/>
  <c r="AJ136" i="2"/>
  <c r="AK136" i="2" s="1"/>
  <c r="K117" i="1"/>
  <c r="J117" i="1" s="1"/>
  <c r="E118" i="1"/>
  <c r="N117" i="1"/>
  <c r="O119" i="1"/>
  <c r="P118" i="1"/>
  <c r="Q118" i="1" s="1"/>
  <c r="DD142" i="2"/>
  <c r="BR152" i="2"/>
  <c r="BS151" i="2"/>
  <c r="BT151" i="2" s="1"/>
  <c r="BU151" i="2"/>
  <c r="BU150" i="2"/>
  <c r="AX134" i="2"/>
  <c r="AY134" i="2" s="1"/>
  <c r="AW135" i="2"/>
  <c r="AL135" i="2"/>
  <c r="CM152" i="2"/>
  <c r="CN151" i="2"/>
  <c r="CO151" i="2" s="1"/>
  <c r="CP150" i="2"/>
  <c r="DB143" i="2"/>
  <c r="DC143" i="2" s="1"/>
  <c r="DA144" i="2"/>
  <c r="DK148" i="2"/>
  <c r="P119" i="1" l="1"/>
  <c r="Q119" i="1" s="1"/>
  <c r="O120" i="1"/>
  <c r="CG140" i="2"/>
  <c r="CH140" i="2" s="1"/>
  <c r="CF141" i="2"/>
  <c r="CU156" i="2"/>
  <c r="CV156" i="2" s="1"/>
  <c r="CT157" i="2"/>
  <c r="AE199" i="2"/>
  <c r="CI139" i="2"/>
  <c r="CW155" i="2"/>
  <c r="CW156" i="2"/>
  <c r="E119" i="1"/>
  <c r="K118" i="1"/>
  <c r="J118" i="1" s="1"/>
  <c r="N118" i="1"/>
  <c r="AC200" i="2"/>
  <c r="AD200" i="2" s="1"/>
  <c r="AB201" i="2"/>
  <c r="AS143" i="2"/>
  <c r="AS142" i="2"/>
  <c r="BK148" i="2"/>
  <c r="BL147" i="2"/>
  <c r="BM147" i="2" s="1"/>
  <c r="BG151" i="2"/>
  <c r="X143" i="2"/>
  <c r="DB144" i="2"/>
  <c r="DC144" i="2" s="1"/>
  <c r="DA145" i="2"/>
  <c r="AX135" i="2"/>
  <c r="AY135" i="2" s="1"/>
  <c r="AW136" i="2"/>
  <c r="BR153" i="2"/>
  <c r="BS152" i="2"/>
  <c r="BT152" i="2" s="1"/>
  <c r="AP144" i="2"/>
  <c r="AQ143" i="2"/>
  <c r="AR143" i="2" s="1"/>
  <c r="AZ134" i="2"/>
  <c r="BE152" i="2"/>
  <c r="BF152" i="2" s="1"/>
  <c r="BD153" i="2"/>
  <c r="V144" i="2"/>
  <c r="W144" i="2" s="1"/>
  <c r="U145" i="2"/>
  <c r="CM153" i="2"/>
  <c r="CN152" i="2"/>
  <c r="CO152" i="2" s="1"/>
  <c r="DD143" i="2"/>
  <c r="DD144" i="2"/>
  <c r="G139" i="2"/>
  <c r="H138" i="2"/>
  <c r="I138" i="2" s="1"/>
  <c r="AL136" i="2"/>
  <c r="M130" i="1"/>
  <c r="G131" i="1"/>
  <c r="BY151" i="2"/>
  <c r="BZ150" i="2"/>
  <c r="CA150" i="2" s="1"/>
  <c r="BN146" i="2"/>
  <c r="BU152" i="2"/>
  <c r="AJ137" i="2"/>
  <c r="AK137" i="2" s="1"/>
  <c r="AI138" i="2"/>
  <c r="J137" i="2"/>
  <c r="N149" i="2"/>
  <c r="O148" i="2"/>
  <c r="P148" i="2" s="1"/>
  <c r="DI150" i="2"/>
  <c r="DJ150" i="2" s="1"/>
  <c r="DH151" i="2"/>
  <c r="CB149" i="2"/>
  <c r="CP151" i="2"/>
  <c r="R119" i="1"/>
  <c r="S119" i="1" s="1"/>
  <c r="BN147" i="2"/>
  <c r="DK149" i="2"/>
  <c r="DK150" i="2"/>
  <c r="G140" i="2" l="1"/>
  <c r="H139" i="2"/>
  <c r="I139" i="2" s="1"/>
  <c r="V145" i="2"/>
  <c r="W145" i="2" s="1"/>
  <c r="U146" i="2"/>
  <c r="K119" i="1"/>
  <c r="J119" i="1" s="1"/>
  <c r="E120" i="1"/>
  <c r="N119" i="1"/>
  <c r="CF142" i="2"/>
  <c r="CG141" i="2"/>
  <c r="CH141" i="2" s="1"/>
  <c r="Q148" i="2"/>
  <c r="CB150" i="2"/>
  <c r="X144" i="2"/>
  <c r="BS153" i="2"/>
  <c r="BT153" i="2" s="1"/>
  <c r="BR154" i="2"/>
  <c r="CI140" i="2"/>
  <c r="CI141" i="2"/>
  <c r="N150" i="2"/>
  <c r="O149" i="2"/>
  <c r="P149" i="2" s="1"/>
  <c r="BY152" i="2"/>
  <c r="BZ151" i="2"/>
  <c r="CA151" i="2" s="1"/>
  <c r="BE153" i="2"/>
  <c r="BF153" i="2" s="1"/>
  <c r="BD154" i="2"/>
  <c r="AX136" i="2"/>
  <c r="AY136" i="2" s="1"/>
  <c r="AW137" i="2"/>
  <c r="P120" i="1"/>
  <c r="Q120" i="1" s="1"/>
  <c r="O121" i="1"/>
  <c r="BG152" i="2"/>
  <c r="AZ135" i="2"/>
  <c r="AZ136" i="2"/>
  <c r="AJ138" i="2"/>
  <c r="AK138" i="2" s="1"/>
  <c r="AI139" i="2"/>
  <c r="DB145" i="2"/>
  <c r="DC145" i="2" s="1"/>
  <c r="DA146" i="2"/>
  <c r="AC201" i="2"/>
  <c r="AD201" i="2" s="1"/>
  <c r="AB202" i="2"/>
  <c r="AL137" i="2"/>
  <c r="BL148" i="2"/>
  <c r="BM148" i="2" s="1"/>
  <c r="BK149" i="2"/>
  <c r="AE200" i="2"/>
  <c r="AE201" i="2"/>
  <c r="G132" i="1"/>
  <c r="M131" i="1"/>
  <c r="CU157" i="2"/>
  <c r="CV157" i="2" s="1"/>
  <c r="CT158" i="2"/>
  <c r="CP152" i="2"/>
  <c r="DK151" i="2"/>
  <c r="DI151" i="2"/>
  <c r="DJ151" i="2" s="1"/>
  <c r="DH152" i="2"/>
  <c r="J138" i="2"/>
  <c r="CN153" i="2"/>
  <c r="CO153" i="2" s="1"/>
  <c r="CM154" i="2"/>
  <c r="AQ144" i="2"/>
  <c r="AR144" i="2" s="1"/>
  <c r="AP145" i="2"/>
  <c r="CW157" i="2"/>
  <c r="K120" i="1" l="1"/>
  <c r="J120" i="1" s="1"/>
  <c r="E121" i="1"/>
  <c r="N120" i="1"/>
  <c r="H140" i="2"/>
  <c r="I140" i="2" s="1"/>
  <c r="G141" i="2"/>
  <c r="BZ152" i="2"/>
  <c r="CA152" i="2" s="1"/>
  <c r="BY153" i="2"/>
  <c r="BS154" i="2"/>
  <c r="BT154" i="2" s="1"/>
  <c r="BR155" i="2"/>
  <c r="DA147" i="2"/>
  <c r="DB146" i="2"/>
  <c r="DC146" i="2" s="1"/>
  <c r="P121" i="1"/>
  <c r="Q121" i="1" s="1"/>
  <c r="O122" i="1"/>
  <c r="BU153" i="2"/>
  <c r="Q149" i="2"/>
  <c r="AQ145" i="2"/>
  <c r="AR145" i="2" s="1"/>
  <c r="AP146" i="2"/>
  <c r="AS144" i="2"/>
  <c r="DD145" i="2"/>
  <c r="DD146" i="2"/>
  <c r="R120" i="1"/>
  <c r="S120" i="1" s="1"/>
  <c r="N151" i="2"/>
  <c r="O150" i="2"/>
  <c r="P150" i="2" s="1"/>
  <c r="DI152" i="2"/>
  <c r="DJ152" i="2" s="1"/>
  <c r="DH153" i="2"/>
  <c r="M132" i="1"/>
  <c r="G133" i="1"/>
  <c r="BL149" i="2"/>
  <c r="BM149" i="2" s="1"/>
  <c r="BK150" i="2"/>
  <c r="AW138" i="2"/>
  <c r="AX137" i="2"/>
  <c r="AY137" i="2" s="1"/>
  <c r="BN148" i="2"/>
  <c r="AB203" i="2"/>
  <c r="AC202" i="2"/>
  <c r="AD202" i="2" s="1"/>
  <c r="AJ139" i="2"/>
  <c r="AK139" i="2" s="1"/>
  <c r="AI140" i="2"/>
  <c r="AZ137" i="2"/>
  <c r="V146" i="2"/>
  <c r="W146" i="2" s="1"/>
  <c r="U147" i="2"/>
  <c r="CN154" i="2"/>
  <c r="CO154" i="2" s="1"/>
  <c r="CM155" i="2"/>
  <c r="CP153" i="2"/>
  <c r="CP154" i="2"/>
  <c r="CU158" i="2"/>
  <c r="CV158" i="2" s="1"/>
  <c r="CT159" i="2"/>
  <c r="AL138" i="2"/>
  <c r="BE154" i="2"/>
  <c r="BF154" i="2" s="1"/>
  <c r="BD155" i="2"/>
  <c r="CB152" i="2"/>
  <c r="CF143" i="2"/>
  <c r="CG142" i="2"/>
  <c r="CH142" i="2" s="1"/>
  <c r="X145" i="2"/>
  <c r="CB151" i="2"/>
  <c r="BG153" i="2"/>
  <c r="J140" i="2"/>
  <c r="J139" i="2"/>
  <c r="CI142" i="2" l="1"/>
  <c r="BK151" i="2"/>
  <c r="BL150" i="2"/>
  <c r="BM150" i="2" s="1"/>
  <c r="DB147" i="2"/>
  <c r="DC147" i="2" s="1"/>
  <c r="DA148" i="2"/>
  <c r="BN149" i="2"/>
  <c r="K121" i="1"/>
  <c r="J121" i="1" s="1"/>
  <c r="E122" i="1"/>
  <c r="N121" i="1"/>
  <c r="M133" i="1"/>
  <c r="G134" i="1"/>
  <c r="O151" i="2"/>
  <c r="P151" i="2" s="1"/>
  <c r="N152" i="2"/>
  <c r="AP147" i="2"/>
  <c r="AQ146" i="2"/>
  <c r="AR146" i="2" s="1"/>
  <c r="Q151" i="2"/>
  <c r="BR156" i="2"/>
  <c r="BS155" i="2"/>
  <c r="BT155" i="2" s="1"/>
  <c r="BD156" i="2"/>
  <c r="BE155" i="2"/>
  <c r="BF155" i="2" s="1"/>
  <c r="CM156" i="2"/>
  <c r="CN155" i="2"/>
  <c r="CO155" i="2" s="1"/>
  <c r="AS145" i="2"/>
  <c r="Q150" i="2"/>
  <c r="BG154" i="2"/>
  <c r="BG155" i="2"/>
  <c r="CT160" i="2"/>
  <c r="CU159" i="2"/>
  <c r="CV159" i="2" s="1"/>
  <c r="AI141" i="2"/>
  <c r="AJ140" i="2"/>
  <c r="AK140" i="2" s="1"/>
  <c r="BZ153" i="2"/>
  <c r="CA153" i="2" s="1"/>
  <c r="BY154" i="2"/>
  <c r="CW159" i="2"/>
  <c r="CW158" i="2"/>
  <c r="U148" i="2"/>
  <c r="V147" i="2"/>
  <c r="W147" i="2" s="1"/>
  <c r="AL139" i="2"/>
  <c r="DI153" i="2"/>
  <c r="DJ153" i="2" s="1"/>
  <c r="DH154" i="2"/>
  <c r="P122" i="1"/>
  <c r="Q122" i="1" s="1"/>
  <c r="O123" i="1"/>
  <c r="CG143" i="2"/>
  <c r="CH143" i="2" s="1"/>
  <c r="CI143" i="2" s="1"/>
  <c r="CF144" i="2"/>
  <c r="X146" i="2"/>
  <c r="AE202" i="2"/>
  <c r="DK152" i="2"/>
  <c r="R121" i="1"/>
  <c r="S121" i="1" s="1"/>
  <c r="H141" i="2"/>
  <c r="I141" i="2" s="1"/>
  <c r="G142" i="2"/>
  <c r="AL140" i="2"/>
  <c r="AC203" i="2"/>
  <c r="AD203" i="2" s="1"/>
  <c r="AB204" i="2"/>
  <c r="AW139" i="2"/>
  <c r="AX138" i="2"/>
  <c r="AY138" i="2" s="1"/>
  <c r="BU154" i="2"/>
  <c r="R122" i="1" l="1"/>
  <c r="S122" i="1" s="1"/>
  <c r="X147" i="2"/>
  <c r="M134" i="1"/>
  <c r="G135" i="1"/>
  <c r="BL151" i="2"/>
  <c r="BM151" i="2" s="1"/>
  <c r="BK152" i="2"/>
  <c r="DI154" i="2"/>
  <c r="DJ154" i="2" s="1"/>
  <c r="DH155" i="2"/>
  <c r="U149" i="2"/>
  <c r="V148" i="2"/>
  <c r="W148" i="2" s="1"/>
  <c r="X148" i="2" s="1"/>
  <c r="BU155" i="2"/>
  <c r="DK153" i="2"/>
  <c r="BR157" i="2"/>
  <c r="BS156" i="2"/>
  <c r="BT156" i="2" s="1"/>
  <c r="CG144" i="2"/>
  <c r="CH144" i="2" s="1"/>
  <c r="CF145" i="2"/>
  <c r="AJ141" i="2"/>
  <c r="AK141" i="2" s="1"/>
  <c r="AI142" i="2"/>
  <c r="AL141" i="2"/>
  <c r="CP155" i="2"/>
  <c r="AZ138" i="2"/>
  <c r="AX139" i="2"/>
  <c r="AY139" i="2" s="1"/>
  <c r="AW140" i="2"/>
  <c r="CB153" i="2"/>
  <c r="CM157" i="2"/>
  <c r="CN156" i="2"/>
  <c r="CO156" i="2" s="1"/>
  <c r="AQ147" i="2"/>
  <c r="AR147" i="2" s="1"/>
  <c r="AP148" i="2"/>
  <c r="K122" i="1"/>
  <c r="J122" i="1" s="1"/>
  <c r="E123" i="1"/>
  <c r="N122" i="1"/>
  <c r="DA149" i="2"/>
  <c r="DB148" i="2"/>
  <c r="DC148" i="2" s="1"/>
  <c r="J141" i="2"/>
  <c r="AS146" i="2"/>
  <c r="O152" i="2"/>
  <c r="P152" i="2" s="1"/>
  <c r="N153" i="2"/>
  <c r="DD147" i="2"/>
  <c r="G143" i="2"/>
  <c r="H142" i="2"/>
  <c r="I142" i="2" s="1"/>
  <c r="AB205" i="2"/>
  <c r="AC204" i="2"/>
  <c r="AD204" i="2" s="1"/>
  <c r="AE203" i="2"/>
  <c r="O124" i="1"/>
  <c r="P123" i="1"/>
  <c r="Q123" i="1" s="1"/>
  <c r="BY155" i="2"/>
  <c r="BZ154" i="2"/>
  <c r="CA154" i="2" s="1"/>
  <c r="CU160" i="2"/>
  <c r="CV160" i="2" s="1"/>
  <c r="CT161" i="2"/>
  <c r="BE156" i="2"/>
  <c r="BF156" i="2" s="1"/>
  <c r="BD157" i="2"/>
  <c r="BN150" i="2"/>
  <c r="BD158" i="2" l="1"/>
  <c r="BE157" i="2"/>
  <c r="BF157" i="2" s="1"/>
  <c r="AE204" i="2"/>
  <c r="CI144" i="2"/>
  <c r="G136" i="1"/>
  <c r="M135" i="1"/>
  <c r="R123" i="1"/>
  <c r="S123" i="1" s="1"/>
  <c r="K123" i="1"/>
  <c r="J123" i="1" s="1"/>
  <c r="E124" i="1"/>
  <c r="N123" i="1"/>
  <c r="J143" i="2"/>
  <c r="N154" i="2"/>
  <c r="O153" i="2"/>
  <c r="P153" i="2" s="1"/>
  <c r="AX140" i="2"/>
  <c r="AY140" i="2" s="1"/>
  <c r="AW141" i="2"/>
  <c r="V149" i="2"/>
  <c r="W149" i="2" s="1"/>
  <c r="U150" i="2"/>
  <c r="P124" i="1"/>
  <c r="Q124" i="1" s="1"/>
  <c r="O125" i="1"/>
  <c r="J142" i="2"/>
  <c r="CU161" i="2"/>
  <c r="CV161" i="2" s="1"/>
  <c r="CT162" i="2"/>
  <c r="H143" i="2"/>
  <c r="I143" i="2" s="1"/>
  <c r="G144" i="2"/>
  <c r="Q152" i="2"/>
  <c r="AQ148" i="2"/>
  <c r="AR148" i="2" s="1"/>
  <c r="AP149" i="2"/>
  <c r="BS157" i="2"/>
  <c r="BT157" i="2" s="1"/>
  <c r="BR158" i="2"/>
  <c r="DH156" i="2"/>
  <c r="DI155" i="2"/>
  <c r="DJ155" i="2" s="1"/>
  <c r="R124" i="1"/>
  <c r="S124" i="1" s="1"/>
  <c r="AS147" i="2"/>
  <c r="BU156" i="2"/>
  <c r="DK154" i="2"/>
  <c r="BG156" i="2"/>
  <c r="CP156" i="2"/>
  <c r="AJ142" i="2"/>
  <c r="AK142" i="2" s="1"/>
  <c r="AI143" i="2"/>
  <c r="AZ139" i="2"/>
  <c r="CB154" i="2"/>
  <c r="AB206" i="2"/>
  <c r="AC205" i="2"/>
  <c r="AD205" i="2" s="1"/>
  <c r="CW160" i="2"/>
  <c r="BY156" i="2"/>
  <c r="BZ155" i="2"/>
  <c r="CA155" i="2" s="1"/>
  <c r="CB155" i="2" s="1"/>
  <c r="DD148" i="2"/>
  <c r="CN157" i="2"/>
  <c r="CO157" i="2" s="1"/>
  <c r="CM158" i="2"/>
  <c r="CP157" i="2"/>
  <c r="BL152" i="2"/>
  <c r="BM152" i="2" s="1"/>
  <c r="BK153" i="2"/>
  <c r="CW161" i="2"/>
  <c r="DA150" i="2"/>
  <c r="DB149" i="2"/>
  <c r="DC149" i="2" s="1"/>
  <c r="CF146" i="2"/>
  <c r="CG145" i="2"/>
  <c r="CH145" i="2" s="1"/>
  <c r="BN152" i="2"/>
  <c r="BN151" i="2"/>
  <c r="BZ156" i="2" l="1"/>
  <c r="CA156" i="2" s="1"/>
  <c r="BY157" i="2"/>
  <c r="AW142" i="2"/>
  <c r="AX141" i="2"/>
  <c r="AY141" i="2" s="1"/>
  <c r="CI145" i="2"/>
  <c r="BS158" i="2"/>
  <c r="BT158" i="2" s="1"/>
  <c r="BR159" i="2"/>
  <c r="AZ140" i="2"/>
  <c r="CN158" i="2"/>
  <c r="CO158" i="2" s="1"/>
  <c r="CM159" i="2"/>
  <c r="BU157" i="2"/>
  <c r="M136" i="1"/>
  <c r="G137" i="1"/>
  <c r="BG157" i="2"/>
  <c r="DD149" i="2"/>
  <c r="AJ143" i="2"/>
  <c r="AK143" i="2" s="1"/>
  <c r="AI144" i="2"/>
  <c r="P125" i="1"/>
  <c r="Q125" i="1" s="1"/>
  <c r="R125" i="1" s="1"/>
  <c r="S125" i="1" s="1"/>
  <c r="O126" i="1"/>
  <c r="Q153" i="2"/>
  <c r="BE158" i="2"/>
  <c r="BF158" i="2" s="1"/>
  <c r="BD159" i="2"/>
  <c r="DB150" i="2"/>
  <c r="DC150" i="2" s="1"/>
  <c r="DA151" i="2"/>
  <c r="AL142" i="2"/>
  <c r="H144" i="2"/>
  <c r="I144" i="2" s="1"/>
  <c r="G145" i="2"/>
  <c r="N155" i="2"/>
  <c r="O154" i="2"/>
  <c r="P154" i="2" s="1"/>
  <c r="AE205" i="2"/>
  <c r="CB156" i="2"/>
  <c r="AQ149" i="2"/>
  <c r="AR149" i="2" s="1"/>
  <c r="AP150" i="2"/>
  <c r="V150" i="2"/>
  <c r="W150" i="2" s="1"/>
  <c r="U151" i="2"/>
  <c r="K124" i="1"/>
  <c r="J124" i="1" s="1"/>
  <c r="E125" i="1"/>
  <c r="N124" i="1"/>
  <c r="BL153" i="2"/>
  <c r="BM153" i="2" s="1"/>
  <c r="BK154" i="2"/>
  <c r="AC206" i="2"/>
  <c r="AD206" i="2" s="1"/>
  <c r="AB207" i="2"/>
  <c r="CP158" i="2"/>
  <c r="DK155" i="2"/>
  <c r="AS149" i="2"/>
  <c r="AS148" i="2"/>
  <c r="CU162" i="2"/>
  <c r="CV162" i="2" s="1"/>
  <c r="CT163" i="2"/>
  <c r="X149" i="2"/>
  <c r="CG146" i="2"/>
  <c r="CH146" i="2" s="1"/>
  <c r="CF147" i="2"/>
  <c r="DI156" i="2"/>
  <c r="DJ156" i="2" s="1"/>
  <c r="DH157" i="2"/>
  <c r="AW143" i="2" l="1"/>
  <c r="AX142" i="2"/>
  <c r="AY142" i="2" s="1"/>
  <c r="U152" i="2"/>
  <c r="V151" i="2"/>
  <c r="W151" i="2" s="1"/>
  <c r="BD160" i="2"/>
  <c r="BE159" i="2"/>
  <c r="BF159" i="2" s="1"/>
  <c r="AI145" i="2"/>
  <c r="AJ144" i="2"/>
  <c r="AK144" i="2" s="1"/>
  <c r="BZ157" i="2"/>
  <c r="CA157" i="2" s="1"/>
  <c r="BY158" i="2"/>
  <c r="X150" i="2"/>
  <c r="BG158" i="2"/>
  <c r="BG159" i="2"/>
  <c r="BS159" i="2"/>
  <c r="BT159" i="2" s="1"/>
  <c r="BR160" i="2"/>
  <c r="DK156" i="2"/>
  <c r="BK155" i="2"/>
  <c r="BL154" i="2"/>
  <c r="BM154" i="2" s="1"/>
  <c r="Q154" i="2"/>
  <c r="M137" i="1"/>
  <c r="G138" i="1"/>
  <c r="CN159" i="2"/>
  <c r="CO159" i="2" s="1"/>
  <c r="CM160" i="2"/>
  <c r="BU158" i="2"/>
  <c r="BU159" i="2"/>
  <c r="CT164" i="2"/>
  <c r="CU163" i="2"/>
  <c r="CV163" i="2" s="1"/>
  <c r="BN153" i="2"/>
  <c r="AQ150" i="2"/>
  <c r="AR150" i="2" s="1"/>
  <c r="AP151" i="2"/>
  <c r="O155" i="2"/>
  <c r="P155" i="2" s="1"/>
  <c r="N156" i="2"/>
  <c r="AL143" i="2"/>
  <c r="CW162" i="2"/>
  <c r="O127" i="1"/>
  <c r="P126" i="1"/>
  <c r="Q126" i="1" s="1"/>
  <c r="DI157" i="2"/>
  <c r="DJ157" i="2" s="1"/>
  <c r="DH158" i="2"/>
  <c r="H145" i="2"/>
  <c r="I145" i="2" s="1"/>
  <c r="G146" i="2"/>
  <c r="R126" i="1"/>
  <c r="S126" i="1" s="1"/>
  <c r="DD150" i="2"/>
  <c r="AE206" i="2"/>
  <c r="AC207" i="2"/>
  <c r="AD207" i="2" s="1"/>
  <c r="AB208" i="2"/>
  <c r="CG147" i="2"/>
  <c r="CH147" i="2" s="1"/>
  <c r="CF148" i="2"/>
  <c r="CI146" i="2"/>
  <c r="E126" i="1"/>
  <c r="K125" i="1"/>
  <c r="J125" i="1" s="1"/>
  <c r="N125" i="1"/>
  <c r="J144" i="2"/>
  <c r="DB151" i="2"/>
  <c r="DC151" i="2" s="1"/>
  <c r="DA152" i="2"/>
  <c r="AZ141" i="2"/>
  <c r="AE207" i="2" l="1"/>
  <c r="CW163" i="2"/>
  <c r="V152" i="2"/>
  <c r="W152" i="2" s="1"/>
  <c r="U153" i="2"/>
  <c r="K126" i="1"/>
  <c r="J126" i="1" s="1"/>
  <c r="E127" i="1"/>
  <c r="N126" i="1"/>
  <c r="DD151" i="2"/>
  <c r="G147" i="2"/>
  <c r="H146" i="2"/>
  <c r="I146" i="2" s="1"/>
  <c r="AQ151" i="2"/>
  <c r="AR151" i="2" s="1"/>
  <c r="AP152" i="2"/>
  <c r="CT165" i="2"/>
  <c r="CU164" i="2"/>
  <c r="CV164" i="2" s="1"/>
  <c r="BL155" i="2"/>
  <c r="BM155" i="2" s="1"/>
  <c r="BK156" i="2"/>
  <c r="BY159" i="2"/>
  <c r="BZ158" i="2"/>
  <c r="CA158" i="2" s="1"/>
  <c r="AZ142" i="2"/>
  <c r="J145" i="2"/>
  <c r="P127" i="1"/>
  <c r="Q127" i="1" s="1"/>
  <c r="O128" i="1"/>
  <c r="AS150" i="2"/>
  <c r="CB157" i="2"/>
  <c r="AX143" i="2"/>
  <c r="AY143" i="2" s="1"/>
  <c r="AW144" i="2"/>
  <c r="Q155" i="2"/>
  <c r="BR161" i="2"/>
  <c r="BS160" i="2"/>
  <c r="BT160" i="2" s="1"/>
  <c r="AL144" i="2"/>
  <c r="DA153" i="2"/>
  <c r="DB152" i="2"/>
  <c r="DC152" i="2" s="1"/>
  <c r="BN154" i="2"/>
  <c r="AJ145" i="2"/>
  <c r="AK145" i="2" s="1"/>
  <c r="AI146" i="2"/>
  <c r="DI158" i="2"/>
  <c r="DJ158" i="2" s="1"/>
  <c r="DH159" i="2"/>
  <c r="CN160" i="2"/>
  <c r="CO160" i="2" s="1"/>
  <c r="CM161" i="2"/>
  <c r="CP159" i="2"/>
  <c r="DK157" i="2"/>
  <c r="BE160" i="2"/>
  <c r="BF160" i="2" s="1"/>
  <c r="BD161" i="2"/>
  <c r="CF149" i="2"/>
  <c r="CG148" i="2"/>
  <c r="CH148" i="2" s="1"/>
  <c r="CI147" i="2"/>
  <c r="AC208" i="2"/>
  <c r="AD208" i="2" s="1"/>
  <c r="AB209" i="2"/>
  <c r="O156" i="2"/>
  <c r="P156" i="2" s="1"/>
  <c r="N157" i="2"/>
  <c r="M138" i="1"/>
  <c r="G139" i="1"/>
  <c r="X151" i="2"/>
  <c r="AL145" i="2" l="1"/>
  <c r="DD152" i="2"/>
  <c r="BL156" i="2"/>
  <c r="BM156" i="2" s="1"/>
  <c r="BK157" i="2"/>
  <c r="J146" i="2"/>
  <c r="V153" i="2"/>
  <c r="W153" i="2" s="1"/>
  <c r="U154" i="2"/>
  <c r="G140" i="1"/>
  <c r="M139" i="1"/>
  <c r="AB210" i="2"/>
  <c r="AC209" i="2"/>
  <c r="AD209" i="2" s="1"/>
  <c r="BE161" i="2"/>
  <c r="BF161" i="2" s="1"/>
  <c r="BD162" i="2"/>
  <c r="CM162" i="2"/>
  <c r="CN161" i="2"/>
  <c r="CO161" i="2" s="1"/>
  <c r="DA154" i="2"/>
  <c r="DB153" i="2"/>
  <c r="DC153" i="2" s="1"/>
  <c r="BN155" i="2"/>
  <c r="G148" i="2"/>
  <c r="H147" i="2"/>
  <c r="I147" i="2" s="1"/>
  <c r="X152" i="2"/>
  <c r="CW164" i="2"/>
  <c r="AX144" i="2"/>
  <c r="AY144" i="2" s="1"/>
  <c r="AW145" i="2"/>
  <c r="CU165" i="2"/>
  <c r="CV165" i="2" s="1"/>
  <c r="CT166" i="2"/>
  <c r="CP161" i="2"/>
  <c r="AZ143" i="2"/>
  <c r="AP153" i="2"/>
  <c r="AQ152" i="2"/>
  <c r="AR152" i="2" s="1"/>
  <c r="BN156" i="2"/>
  <c r="AE208" i="2"/>
  <c r="N158" i="2"/>
  <c r="O157" i="2"/>
  <c r="P157" i="2" s="1"/>
  <c r="CP160" i="2"/>
  <c r="DH160" i="2"/>
  <c r="DI159" i="2"/>
  <c r="DJ159" i="2" s="1"/>
  <c r="P128" i="1"/>
  <c r="Q128" i="1" s="1"/>
  <c r="O129" i="1"/>
  <c r="AS151" i="2"/>
  <c r="Q156" i="2"/>
  <c r="DK158" i="2"/>
  <c r="BU160" i="2"/>
  <c r="R127" i="1"/>
  <c r="S127" i="1" s="1"/>
  <c r="CB158" i="2"/>
  <c r="CB159" i="2"/>
  <c r="K127" i="1"/>
  <c r="J127" i="1" s="1"/>
  <c r="E128" i="1"/>
  <c r="N127" i="1"/>
  <c r="BG160" i="2"/>
  <c r="BG161" i="2"/>
  <c r="CI148" i="2"/>
  <c r="CG149" i="2"/>
  <c r="CH149" i="2" s="1"/>
  <c r="CF150" i="2"/>
  <c r="AJ146" i="2"/>
  <c r="AK146" i="2" s="1"/>
  <c r="AL146" i="2" s="1"/>
  <c r="AI147" i="2"/>
  <c r="BR162" i="2"/>
  <c r="BS161" i="2"/>
  <c r="BT161" i="2" s="1"/>
  <c r="BZ159" i="2"/>
  <c r="CA159" i="2" s="1"/>
  <c r="BY160" i="2"/>
  <c r="O130" i="1" l="1"/>
  <c r="P129" i="1"/>
  <c r="Q129" i="1" s="1"/>
  <c r="H148" i="2"/>
  <c r="I148" i="2" s="1"/>
  <c r="G149" i="2"/>
  <c r="R128" i="1"/>
  <c r="S128" i="1" s="1"/>
  <c r="AE209" i="2"/>
  <c r="AB211" i="2"/>
  <c r="AC210" i="2"/>
  <c r="AD210" i="2" s="1"/>
  <c r="AJ147" i="2"/>
  <c r="AK147" i="2" s="1"/>
  <c r="AI148" i="2"/>
  <c r="DK160" i="2"/>
  <c r="DK159" i="2"/>
  <c r="DD153" i="2"/>
  <c r="BL157" i="2"/>
  <c r="BM157" i="2" s="1"/>
  <c r="BK158" i="2"/>
  <c r="CG150" i="2"/>
  <c r="CH150" i="2" s="1"/>
  <c r="CF151" i="2"/>
  <c r="DH161" i="2"/>
  <c r="DI160" i="2"/>
  <c r="DJ160" i="2" s="1"/>
  <c r="AS152" i="2"/>
  <c r="DB154" i="2"/>
  <c r="DC154" i="2" s="1"/>
  <c r="DA155" i="2"/>
  <c r="M140" i="1"/>
  <c r="G141" i="1"/>
  <c r="BN157" i="2"/>
  <c r="CI149" i="2"/>
  <c r="R129" i="1"/>
  <c r="AQ153" i="2"/>
  <c r="AR153" i="2" s="1"/>
  <c r="AP154" i="2"/>
  <c r="CU166" i="2"/>
  <c r="CV166" i="2" s="1"/>
  <c r="CT167" i="2"/>
  <c r="K128" i="1"/>
  <c r="J128" i="1" s="1"/>
  <c r="E129" i="1"/>
  <c r="N128" i="1"/>
  <c r="Q157" i="2"/>
  <c r="AZ144" i="2"/>
  <c r="CW165" i="2"/>
  <c r="CN162" i="2"/>
  <c r="CO162" i="2" s="1"/>
  <c r="CM163" i="2"/>
  <c r="U155" i="2"/>
  <c r="V154" i="2"/>
  <c r="W154" i="2" s="1"/>
  <c r="BY161" i="2"/>
  <c r="BZ160" i="2"/>
  <c r="CA160" i="2" s="1"/>
  <c r="BU161" i="2"/>
  <c r="BS162" i="2"/>
  <c r="BT162" i="2" s="1"/>
  <c r="BR163" i="2"/>
  <c r="O158" i="2"/>
  <c r="P158" i="2" s="1"/>
  <c r="N159" i="2"/>
  <c r="AW146" i="2"/>
  <c r="AX145" i="2"/>
  <c r="AY145" i="2" s="1"/>
  <c r="CP162" i="2"/>
  <c r="J147" i="2"/>
  <c r="BE162" i="2"/>
  <c r="BF162" i="2" s="1"/>
  <c r="BD163" i="2"/>
  <c r="X153" i="2"/>
  <c r="S129" i="1" l="1"/>
  <c r="BS163" i="2"/>
  <c r="BT163" i="2" s="1"/>
  <c r="BR164" i="2"/>
  <c r="BZ161" i="2"/>
  <c r="CA161" i="2" s="1"/>
  <c r="BY162" i="2"/>
  <c r="K129" i="1"/>
  <c r="J129" i="1" s="1"/>
  <c r="E130" i="1"/>
  <c r="N129" i="1"/>
  <c r="CW166" i="2"/>
  <c r="DD154" i="2"/>
  <c r="CF152" i="2"/>
  <c r="CG151" i="2"/>
  <c r="CH151" i="2" s="1"/>
  <c r="AE210" i="2"/>
  <c r="AP155" i="2"/>
  <c r="AQ154" i="2"/>
  <c r="AR154" i="2" s="1"/>
  <c r="AB212" i="2"/>
  <c r="AC211" i="2"/>
  <c r="AD211" i="2" s="1"/>
  <c r="BD164" i="2"/>
  <c r="BE163" i="2"/>
  <c r="BF163" i="2" s="1"/>
  <c r="AS153" i="2"/>
  <c r="H149" i="2"/>
  <c r="I149" i="2" s="1"/>
  <c r="G150" i="2"/>
  <c r="BG162" i="2"/>
  <c r="O159" i="2"/>
  <c r="P159" i="2" s="1"/>
  <c r="N160" i="2"/>
  <c r="BU163" i="2"/>
  <c r="X154" i="2"/>
  <c r="AS154" i="2"/>
  <c r="J148" i="2"/>
  <c r="Q158" i="2"/>
  <c r="U156" i="2"/>
  <c r="V155" i="2"/>
  <c r="W155" i="2" s="1"/>
  <c r="M141" i="1"/>
  <c r="G142" i="1"/>
  <c r="BK159" i="2"/>
  <c r="BL158" i="2"/>
  <c r="BM158" i="2" s="1"/>
  <c r="CN163" i="2"/>
  <c r="CO163" i="2" s="1"/>
  <c r="CM164" i="2"/>
  <c r="CI150" i="2"/>
  <c r="AZ145" i="2"/>
  <c r="AW147" i="2"/>
  <c r="AX146" i="2"/>
  <c r="AY146" i="2" s="1"/>
  <c r="AI149" i="2"/>
  <c r="AJ148" i="2"/>
  <c r="AK148" i="2" s="1"/>
  <c r="P130" i="1"/>
  <c r="Q130" i="1" s="1"/>
  <c r="O131" i="1"/>
  <c r="BU162" i="2"/>
  <c r="CB160" i="2"/>
  <c r="CU167" i="2"/>
  <c r="CV167" i="2" s="1"/>
  <c r="CT168" i="2"/>
  <c r="DB155" i="2"/>
  <c r="DC155" i="2" s="1"/>
  <c r="DA156" i="2"/>
  <c r="DI161" i="2"/>
  <c r="DJ161" i="2" s="1"/>
  <c r="DH162" i="2"/>
  <c r="AL147" i="2"/>
  <c r="AB213" i="2" l="1"/>
  <c r="AC212" i="2"/>
  <c r="AD212" i="2" s="1"/>
  <c r="E131" i="1"/>
  <c r="K130" i="1"/>
  <c r="J130" i="1" s="1"/>
  <c r="N130" i="1"/>
  <c r="P131" i="1"/>
  <c r="Q131" i="1" s="1"/>
  <c r="O132" i="1"/>
  <c r="AZ146" i="2"/>
  <c r="CM165" i="2"/>
  <c r="CN164" i="2"/>
  <c r="CO164" i="2" s="1"/>
  <c r="N161" i="2"/>
  <c r="O160" i="2"/>
  <c r="P160" i="2" s="1"/>
  <c r="G151" i="2"/>
  <c r="H150" i="2"/>
  <c r="I150" i="2" s="1"/>
  <c r="AX147" i="2"/>
  <c r="AY147" i="2" s="1"/>
  <c r="AW148" i="2"/>
  <c r="X155" i="2"/>
  <c r="Q159" i="2"/>
  <c r="J149" i="2"/>
  <c r="J150" i="2"/>
  <c r="BZ162" i="2"/>
  <c r="CA162" i="2" s="1"/>
  <c r="BY163" i="2"/>
  <c r="R131" i="1"/>
  <c r="AZ147" i="2"/>
  <c r="V156" i="2"/>
  <c r="W156" i="2" s="1"/>
  <c r="U157" i="2"/>
  <c r="CB161" i="2"/>
  <c r="CU168" i="2"/>
  <c r="CV168" i="2" s="1"/>
  <c r="CT169" i="2"/>
  <c r="AL148" i="2"/>
  <c r="BN158" i="2"/>
  <c r="X156" i="2"/>
  <c r="AQ155" i="2"/>
  <c r="AR155" i="2" s="1"/>
  <c r="AP156" i="2"/>
  <c r="BS164" i="2"/>
  <c r="BT164" i="2" s="1"/>
  <c r="BR165" i="2"/>
  <c r="BL159" i="2"/>
  <c r="BM159" i="2" s="1"/>
  <c r="BN159" i="2" s="1"/>
  <c r="BK160" i="2"/>
  <c r="DI162" i="2"/>
  <c r="DJ162" i="2" s="1"/>
  <c r="DH163" i="2"/>
  <c r="AJ149" i="2"/>
  <c r="AK149" i="2" s="1"/>
  <c r="AI150" i="2"/>
  <c r="DK161" i="2"/>
  <c r="DD155" i="2"/>
  <c r="CP163" i="2"/>
  <c r="BG163" i="2"/>
  <c r="BD165" i="2"/>
  <c r="BE164" i="2"/>
  <c r="BF164" i="2" s="1"/>
  <c r="CI152" i="2"/>
  <c r="CI151" i="2"/>
  <c r="CW167" i="2"/>
  <c r="DB156" i="2"/>
  <c r="DC156" i="2" s="1"/>
  <c r="DA157" i="2"/>
  <c r="R130" i="1"/>
  <c r="S130" i="1" s="1"/>
  <c r="M142" i="1"/>
  <c r="G143" i="1"/>
  <c r="AE211" i="2"/>
  <c r="CF153" i="2"/>
  <c r="CG152" i="2"/>
  <c r="CH152" i="2" s="1"/>
  <c r="BE165" i="2" l="1"/>
  <c r="BF165" i="2" s="1"/>
  <c r="BD166" i="2"/>
  <c r="CP164" i="2"/>
  <c r="E132" i="1"/>
  <c r="K131" i="1"/>
  <c r="J131" i="1" s="1"/>
  <c r="N131" i="1"/>
  <c r="AJ150" i="2"/>
  <c r="AK150" i="2" s="1"/>
  <c r="AI151" i="2"/>
  <c r="BL160" i="2"/>
  <c r="BM160" i="2" s="1"/>
  <c r="BK161" i="2"/>
  <c r="BY164" i="2"/>
  <c r="BZ163" i="2"/>
  <c r="CA163" i="2" s="1"/>
  <c r="CM166" i="2"/>
  <c r="CN165" i="2"/>
  <c r="CO165" i="2" s="1"/>
  <c r="AE212" i="2"/>
  <c r="BN160" i="2"/>
  <c r="CB162" i="2"/>
  <c r="AC213" i="2"/>
  <c r="AD213" i="2" s="1"/>
  <c r="AB214" i="2"/>
  <c r="DI163" i="2"/>
  <c r="DJ163" i="2" s="1"/>
  <c r="DH164" i="2"/>
  <c r="BR166" i="2"/>
  <c r="BS165" i="2"/>
  <c r="BT165" i="2" s="1"/>
  <c r="DD157" i="2"/>
  <c r="DA158" i="2"/>
  <c r="DB157" i="2"/>
  <c r="DC157" i="2" s="1"/>
  <c r="DK162" i="2"/>
  <c r="BU164" i="2"/>
  <c r="CU169" i="2"/>
  <c r="CV169" i="2" s="1"/>
  <c r="CT170" i="2"/>
  <c r="V157" i="2"/>
  <c r="W157" i="2" s="1"/>
  <c r="U158" i="2"/>
  <c r="P132" i="1"/>
  <c r="Q132" i="1" s="1"/>
  <c r="O133" i="1"/>
  <c r="CG153" i="2"/>
  <c r="CH153" i="2" s="1"/>
  <c r="CF154" i="2"/>
  <c r="G144" i="1"/>
  <c r="M143" i="1"/>
  <c r="AP157" i="2"/>
  <c r="AQ156" i="2"/>
  <c r="AR156" i="2" s="1"/>
  <c r="H151" i="2"/>
  <c r="I151" i="2" s="1"/>
  <c r="G152" i="2"/>
  <c r="CW168" i="2"/>
  <c r="AS155" i="2"/>
  <c r="AS156" i="2"/>
  <c r="AL149" i="2"/>
  <c r="CB163" i="2"/>
  <c r="AX148" i="2"/>
  <c r="AY148" i="2" s="1"/>
  <c r="AW149" i="2"/>
  <c r="Q160" i="2"/>
  <c r="DD156" i="2"/>
  <c r="CI153" i="2"/>
  <c r="BG164" i="2"/>
  <c r="BG165" i="2"/>
  <c r="AL150" i="2"/>
  <c r="S131" i="1"/>
  <c r="O161" i="2"/>
  <c r="P161" i="2" s="1"/>
  <c r="N162" i="2"/>
  <c r="CG154" i="2" l="1"/>
  <c r="CH154" i="2" s="1"/>
  <c r="CF155" i="2"/>
  <c r="U159" i="2"/>
  <c r="V158" i="2"/>
  <c r="W158" i="2" s="1"/>
  <c r="AE213" i="2"/>
  <c r="AI152" i="2"/>
  <c r="AJ151" i="2"/>
  <c r="AK151" i="2" s="1"/>
  <c r="X157" i="2"/>
  <c r="CU170" i="2"/>
  <c r="CV170" i="2" s="1"/>
  <c r="CT171" i="2"/>
  <c r="CP165" i="2"/>
  <c r="BE166" i="2"/>
  <c r="BF166" i="2" s="1"/>
  <c r="BD167" i="2"/>
  <c r="O162" i="2"/>
  <c r="P162" i="2" s="1"/>
  <c r="N163" i="2"/>
  <c r="AW150" i="2"/>
  <c r="AX149" i="2"/>
  <c r="AY149" i="2" s="1"/>
  <c r="P133" i="1"/>
  <c r="Q133" i="1" s="1"/>
  <c r="O134" i="1"/>
  <c r="CW169" i="2"/>
  <c r="BR167" i="2"/>
  <c r="BS166" i="2"/>
  <c r="BT166" i="2" s="1"/>
  <c r="CN166" i="2"/>
  <c r="CO166" i="2" s="1"/>
  <c r="CM167" i="2"/>
  <c r="Q161" i="2"/>
  <c r="AZ148" i="2"/>
  <c r="AZ149" i="2"/>
  <c r="AQ157" i="2"/>
  <c r="AR157" i="2" s="1"/>
  <c r="AP158" i="2"/>
  <c r="R132" i="1"/>
  <c r="S132" i="1" s="1"/>
  <c r="R133" i="1"/>
  <c r="S133" i="1" s="1"/>
  <c r="DI164" i="2"/>
  <c r="DJ164" i="2" s="1"/>
  <c r="DH165" i="2"/>
  <c r="K132" i="1"/>
  <c r="J132" i="1" s="1"/>
  <c r="E133" i="1"/>
  <c r="N132" i="1"/>
  <c r="DK163" i="2"/>
  <c r="DK164" i="2"/>
  <c r="BZ164" i="2"/>
  <c r="CA164" i="2" s="1"/>
  <c r="BY165" i="2"/>
  <c r="H152" i="2"/>
  <c r="I152" i="2" s="1"/>
  <c r="G153" i="2"/>
  <c r="M144" i="1"/>
  <c r="G145" i="1"/>
  <c r="BU165" i="2"/>
  <c r="BK162" i="2"/>
  <c r="BL161" i="2"/>
  <c r="BM161" i="2" s="1"/>
  <c r="J151" i="2"/>
  <c r="DB158" i="2"/>
  <c r="DC158" i="2" s="1"/>
  <c r="DA159" i="2"/>
  <c r="AB215" i="2"/>
  <c r="AC214" i="2"/>
  <c r="AD214" i="2" s="1"/>
  <c r="CP166" i="2"/>
  <c r="BN161" i="2" l="1"/>
  <c r="BN162" i="2"/>
  <c r="BE167" i="2"/>
  <c r="BF167" i="2" s="1"/>
  <c r="BD168" i="2"/>
  <c r="CW170" i="2"/>
  <c r="DD158" i="2"/>
  <c r="BL162" i="2"/>
  <c r="BM162" i="2" s="1"/>
  <c r="BK163" i="2"/>
  <c r="G154" i="2"/>
  <c r="H153" i="2"/>
  <c r="I153" i="2" s="1"/>
  <c r="AP159" i="2"/>
  <c r="AQ158" i="2"/>
  <c r="AR158" i="2" s="1"/>
  <c r="BU166" i="2"/>
  <c r="BG166" i="2"/>
  <c r="U160" i="2"/>
  <c r="V159" i="2"/>
  <c r="W159" i="2" s="1"/>
  <c r="DH166" i="2"/>
  <c r="DI165" i="2"/>
  <c r="DJ165" i="2" s="1"/>
  <c r="AS157" i="2"/>
  <c r="BS167" i="2"/>
  <c r="BT167" i="2" s="1"/>
  <c r="BR168" i="2"/>
  <c r="AL151" i="2"/>
  <c r="CG155" i="2"/>
  <c r="CH155" i="2" s="1"/>
  <c r="CF156" i="2"/>
  <c r="J152" i="2"/>
  <c r="J153" i="2"/>
  <c r="BZ165" i="2"/>
  <c r="CA165" i="2" s="1"/>
  <c r="BY166" i="2"/>
  <c r="DK165" i="2"/>
  <c r="AI153" i="2"/>
  <c r="AJ152" i="2"/>
  <c r="AK152" i="2" s="1"/>
  <c r="CI154" i="2"/>
  <c r="CB164" i="2"/>
  <c r="E134" i="1"/>
  <c r="K133" i="1"/>
  <c r="J133" i="1" s="1"/>
  <c r="N133" i="1"/>
  <c r="AX150" i="2"/>
  <c r="AY150" i="2" s="1"/>
  <c r="AW151" i="2"/>
  <c r="X158" i="2"/>
  <c r="Q162" i="2"/>
  <c r="AB216" i="2"/>
  <c r="AC215" i="2"/>
  <c r="AD215" i="2" s="1"/>
  <c r="M145" i="1"/>
  <c r="G146" i="1"/>
  <c r="CB165" i="2"/>
  <c r="CN167" i="2"/>
  <c r="CO167" i="2" s="1"/>
  <c r="CM168" i="2"/>
  <c r="O163" i="2"/>
  <c r="P163" i="2" s="1"/>
  <c r="N164" i="2"/>
  <c r="AE214" i="2"/>
  <c r="DB159" i="2"/>
  <c r="DC159" i="2" s="1"/>
  <c r="DA160" i="2"/>
  <c r="O135" i="1"/>
  <c r="P134" i="1"/>
  <c r="Q134" i="1" s="1"/>
  <c r="CT172" i="2"/>
  <c r="CU171" i="2"/>
  <c r="CV171" i="2" s="1"/>
  <c r="CT173" i="2" l="1"/>
  <c r="CU172" i="2"/>
  <c r="CV172" i="2" s="1"/>
  <c r="Q163" i="2"/>
  <c r="AJ153" i="2"/>
  <c r="AK153" i="2" s="1"/>
  <c r="AI154" i="2"/>
  <c r="BZ166" i="2"/>
  <c r="CA166" i="2" s="1"/>
  <c r="BY167" i="2"/>
  <c r="DD159" i="2"/>
  <c r="AX151" i="2"/>
  <c r="AY151" i="2" s="1"/>
  <c r="AW152" i="2"/>
  <c r="BD169" i="2"/>
  <c r="BE168" i="2"/>
  <c r="BF168" i="2" s="1"/>
  <c r="R134" i="1"/>
  <c r="S134" i="1" s="1"/>
  <c r="AZ150" i="2"/>
  <c r="AZ151" i="2"/>
  <c r="AP160" i="2"/>
  <c r="AQ159" i="2"/>
  <c r="AR159" i="2" s="1"/>
  <c r="BG167" i="2"/>
  <c r="CM169" i="2"/>
  <c r="CN168" i="2"/>
  <c r="CO168" i="2" s="1"/>
  <c r="P135" i="1"/>
  <c r="Q135" i="1" s="1"/>
  <c r="O136" i="1"/>
  <c r="CP167" i="2"/>
  <c r="AC216" i="2"/>
  <c r="AD216" i="2" s="1"/>
  <c r="AB217" i="2"/>
  <c r="DI166" i="2"/>
  <c r="DJ166" i="2" s="1"/>
  <c r="DH167" i="2"/>
  <c r="BS168" i="2"/>
  <c r="BT168" i="2" s="1"/>
  <c r="BR169" i="2"/>
  <c r="AE215" i="2"/>
  <c r="G155" i="2"/>
  <c r="H154" i="2"/>
  <c r="I154" i="2" s="1"/>
  <c r="DA161" i="2"/>
  <c r="DB160" i="2"/>
  <c r="DC160" i="2" s="1"/>
  <c r="BU168" i="2"/>
  <c r="BL163" i="2"/>
  <c r="BM163" i="2" s="1"/>
  <c r="BK164" i="2"/>
  <c r="E135" i="1"/>
  <c r="K134" i="1"/>
  <c r="J134" i="1" s="1"/>
  <c r="N134" i="1"/>
  <c r="CF157" i="2"/>
  <c r="CG156" i="2"/>
  <c r="CH156" i="2" s="1"/>
  <c r="AS158" i="2"/>
  <c r="X159" i="2"/>
  <c r="BN163" i="2"/>
  <c r="CW171" i="2"/>
  <c r="O164" i="2"/>
  <c r="P164" i="2" s="1"/>
  <c r="Q164" i="2" s="1"/>
  <c r="N165" i="2"/>
  <c r="M146" i="1"/>
  <c r="G147" i="1"/>
  <c r="AL152" i="2"/>
  <c r="AL153" i="2"/>
  <c r="CI155" i="2"/>
  <c r="V160" i="2"/>
  <c r="W160" i="2" s="1"/>
  <c r="U161" i="2"/>
  <c r="BU167" i="2"/>
  <c r="E136" i="1" l="1"/>
  <c r="K135" i="1"/>
  <c r="J135" i="1" s="1"/>
  <c r="N135" i="1"/>
  <c r="DK166" i="2"/>
  <c r="BD170" i="2"/>
  <c r="BE169" i="2"/>
  <c r="BF169" i="2" s="1"/>
  <c r="DD160" i="2"/>
  <c r="BY168" i="2"/>
  <c r="BZ167" i="2"/>
  <c r="CA167" i="2" s="1"/>
  <c r="G148" i="1"/>
  <c r="M147" i="1"/>
  <c r="DB161" i="2"/>
  <c r="DC161" i="2" s="1"/>
  <c r="DA162" i="2"/>
  <c r="P136" i="1"/>
  <c r="Q136" i="1" s="1"/>
  <c r="O137" i="1"/>
  <c r="AS159" i="2"/>
  <c r="CB166" i="2"/>
  <c r="CB167" i="2"/>
  <c r="CW172" i="2"/>
  <c r="CI156" i="2"/>
  <c r="J154" i="2"/>
  <c r="J155" i="2"/>
  <c r="R135" i="1"/>
  <c r="S135" i="1" s="1"/>
  <c r="AQ160" i="2"/>
  <c r="AR160" i="2" s="1"/>
  <c r="AP161" i="2"/>
  <c r="AJ154" i="2"/>
  <c r="AK154" i="2" s="1"/>
  <c r="AI155" i="2"/>
  <c r="CU173" i="2"/>
  <c r="CV173" i="2" s="1"/>
  <c r="CT174" i="2"/>
  <c r="CG157" i="2"/>
  <c r="CH157" i="2" s="1"/>
  <c r="CF158" i="2"/>
  <c r="H155" i="2"/>
  <c r="I155" i="2" s="1"/>
  <c r="G156" i="2"/>
  <c r="AC217" i="2"/>
  <c r="AD217" i="2" s="1"/>
  <c r="AB218" i="2"/>
  <c r="X160" i="2"/>
  <c r="N166" i="2"/>
  <c r="O165" i="2"/>
  <c r="P165" i="2" s="1"/>
  <c r="BL164" i="2"/>
  <c r="BM164" i="2" s="1"/>
  <c r="BK165" i="2"/>
  <c r="AE216" i="2"/>
  <c r="CN169" i="2"/>
  <c r="CO169" i="2" s="1"/>
  <c r="CM170" i="2"/>
  <c r="AW153" i="2"/>
  <c r="AX152" i="2"/>
  <c r="AY152" i="2" s="1"/>
  <c r="BN164" i="2"/>
  <c r="BR170" i="2"/>
  <c r="BS169" i="2"/>
  <c r="BT169" i="2" s="1"/>
  <c r="CP168" i="2"/>
  <c r="V161" i="2"/>
  <c r="W161" i="2" s="1"/>
  <c r="U162" i="2"/>
  <c r="DH168" i="2"/>
  <c r="DI167" i="2"/>
  <c r="DJ167" i="2" s="1"/>
  <c r="BG168" i="2"/>
  <c r="BR171" i="2" l="1"/>
  <c r="BS170" i="2"/>
  <c r="BT170" i="2" s="1"/>
  <c r="AW154" i="2"/>
  <c r="AX153" i="2"/>
  <c r="AY153" i="2" s="1"/>
  <c r="AE217" i="2"/>
  <c r="AI156" i="2"/>
  <c r="AJ155" i="2"/>
  <c r="AK155" i="2" s="1"/>
  <c r="BE170" i="2"/>
  <c r="BF170" i="2" s="1"/>
  <c r="BD171" i="2"/>
  <c r="O166" i="2"/>
  <c r="P166" i="2" s="1"/>
  <c r="N167" i="2"/>
  <c r="CN170" i="2"/>
  <c r="CO170" i="2" s="1"/>
  <c r="CM171" i="2"/>
  <c r="H156" i="2"/>
  <c r="I156" i="2" s="1"/>
  <c r="G157" i="2"/>
  <c r="O138" i="1"/>
  <c r="P137" i="1"/>
  <c r="Q137" i="1" s="1"/>
  <c r="DK167" i="2"/>
  <c r="U163" i="2"/>
  <c r="V162" i="2"/>
  <c r="W162" i="2" s="1"/>
  <c r="DH169" i="2"/>
  <c r="DI168" i="2"/>
  <c r="DJ168" i="2" s="1"/>
  <c r="AQ161" i="2"/>
  <c r="AR161" i="2" s="1"/>
  <c r="AP162" i="2"/>
  <c r="R136" i="1"/>
  <c r="S136" i="1" s="1"/>
  <c r="BY169" i="2"/>
  <c r="BZ168" i="2"/>
  <c r="CA168" i="2" s="1"/>
  <c r="CP169" i="2"/>
  <c r="CG158" i="2"/>
  <c r="CH158" i="2" s="1"/>
  <c r="CF159" i="2"/>
  <c r="AS160" i="2"/>
  <c r="DB162" i="2"/>
  <c r="DC162" i="2" s="1"/>
  <c r="DA163" i="2"/>
  <c r="CP170" i="2"/>
  <c r="CI157" i="2"/>
  <c r="CI158" i="2"/>
  <c r="DD161" i="2"/>
  <c r="Q165" i="2"/>
  <c r="BK166" i="2"/>
  <c r="BL165" i="2"/>
  <c r="BM165" i="2" s="1"/>
  <c r="AL154" i="2"/>
  <c r="CT175" i="2"/>
  <c r="CU174" i="2"/>
  <c r="CV174" i="2" s="1"/>
  <c r="K136" i="1"/>
  <c r="J136" i="1" s="1"/>
  <c r="E137" i="1"/>
  <c r="N136" i="1"/>
  <c r="X161" i="2"/>
  <c r="BU169" i="2"/>
  <c r="AZ152" i="2"/>
  <c r="BN165" i="2"/>
  <c r="AC218" i="2"/>
  <c r="AD218" i="2" s="1"/>
  <c r="AB219" i="2"/>
  <c r="CW173" i="2"/>
  <c r="J156" i="2"/>
  <c r="M148" i="1"/>
  <c r="G149" i="1"/>
  <c r="BG169" i="2"/>
  <c r="AQ162" i="2" l="1"/>
  <c r="AR162" i="2" s="1"/>
  <c r="AP163" i="2"/>
  <c r="P138" i="1"/>
  <c r="Q138" i="1" s="1"/>
  <c r="O139" i="1"/>
  <c r="BG170" i="2"/>
  <c r="AZ153" i="2"/>
  <c r="AB220" i="2"/>
  <c r="AC219" i="2"/>
  <c r="AD219" i="2" s="1"/>
  <c r="DB163" i="2"/>
  <c r="DC163" i="2" s="1"/>
  <c r="DA164" i="2"/>
  <c r="DH170" i="2"/>
  <c r="DI169" i="2"/>
  <c r="DJ169" i="2" s="1"/>
  <c r="G158" i="2"/>
  <c r="H157" i="2"/>
  <c r="I157" i="2" s="1"/>
  <c r="AX154" i="2"/>
  <c r="AY154" i="2" s="1"/>
  <c r="AW155" i="2"/>
  <c r="CW174" i="2"/>
  <c r="CB168" i="2"/>
  <c r="X162" i="2"/>
  <c r="AI157" i="2"/>
  <c r="AJ156" i="2"/>
  <c r="AK156" i="2" s="1"/>
  <c r="BU170" i="2"/>
  <c r="BU171" i="2"/>
  <c r="M149" i="1"/>
  <c r="G150" i="1"/>
  <c r="AE218" i="2"/>
  <c r="CT176" i="2"/>
  <c r="CU175" i="2"/>
  <c r="CV175" i="2" s="1"/>
  <c r="AS161" i="2"/>
  <c r="BZ169" i="2"/>
  <c r="CA169" i="2" s="1"/>
  <c r="BY170" i="2"/>
  <c r="U164" i="2"/>
  <c r="V163" i="2"/>
  <c r="W163" i="2" s="1"/>
  <c r="CN171" i="2"/>
  <c r="CO171" i="2" s="1"/>
  <c r="CM172" i="2"/>
  <c r="AL155" i="2"/>
  <c r="BS171" i="2"/>
  <c r="BT171" i="2" s="1"/>
  <c r="BR172" i="2"/>
  <c r="K137" i="1"/>
  <c r="J137" i="1" s="1"/>
  <c r="E138" i="1"/>
  <c r="N137" i="1"/>
  <c r="AE219" i="2"/>
  <c r="DD162" i="2"/>
  <c r="O167" i="2"/>
  <c r="P167" i="2" s="1"/>
  <c r="N168" i="2"/>
  <c r="CG159" i="2"/>
  <c r="CH159" i="2" s="1"/>
  <c r="CF160" i="2"/>
  <c r="DK168" i="2"/>
  <c r="Q166" i="2"/>
  <c r="Q167" i="2"/>
  <c r="BK167" i="2"/>
  <c r="BL166" i="2"/>
  <c r="BM166" i="2" s="1"/>
  <c r="R137" i="1"/>
  <c r="S137" i="1" s="1"/>
  <c r="R138" i="1"/>
  <c r="BE171" i="2"/>
  <c r="BF171" i="2" s="1"/>
  <c r="BD172" i="2"/>
  <c r="CG160" i="2" l="1"/>
  <c r="CH160" i="2" s="1"/>
  <c r="CF161" i="2"/>
  <c r="N169" i="2"/>
  <c r="O168" i="2"/>
  <c r="P168" i="2" s="1"/>
  <c r="CW175" i="2"/>
  <c r="DA165" i="2"/>
  <c r="DB164" i="2"/>
  <c r="DC164" i="2" s="1"/>
  <c r="CI159" i="2"/>
  <c r="E139" i="1"/>
  <c r="K138" i="1"/>
  <c r="J138" i="1" s="1"/>
  <c r="N138" i="1"/>
  <c r="X163" i="2"/>
  <c r="CU176" i="2"/>
  <c r="CV176" i="2" s="1"/>
  <c r="CT177" i="2"/>
  <c r="CW176" i="2"/>
  <c r="G159" i="2"/>
  <c r="H158" i="2"/>
  <c r="I158" i="2" s="1"/>
  <c r="DD163" i="2"/>
  <c r="U165" i="2"/>
  <c r="V164" i="2"/>
  <c r="W164" i="2" s="1"/>
  <c r="DK169" i="2"/>
  <c r="P139" i="1"/>
  <c r="Q139" i="1" s="1"/>
  <c r="O140" i="1"/>
  <c r="BD173" i="2"/>
  <c r="BE172" i="2"/>
  <c r="BF172" i="2" s="1"/>
  <c r="BS172" i="2"/>
  <c r="BT172" i="2" s="1"/>
  <c r="BR173" i="2"/>
  <c r="DI170" i="2"/>
  <c r="DJ170" i="2" s="1"/>
  <c r="DH171" i="2"/>
  <c r="AB221" i="2"/>
  <c r="AC220" i="2"/>
  <c r="AD220" i="2" s="1"/>
  <c r="R139" i="1"/>
  <c r="S139" i="1" s="1"/>
  <c r="BY171" i="2"/>
  <c r="BZ170" i="2"/>
  <c r="CA170" i="2" s="1"/>
  <c r="AL156" i="2"/>
  <c r="AX155" i="2"/>
  <c r="AY155" i="2" s="1"/>
  <c r="AW156" i="2"/>
  <c r="CB169" i="2"/>
  <c r="M150" i="1"/>
  <c r="G151" i="1"/>
  <c r="AJ157" i="2"/>
  <c r="AK157" i="2" s="1"/>
  <c r="AI158" i="2"/>
  <c r="AZ154" i="2"/>
  <c r="AP164" i="2"/>
  <c r="AQ163" i="2"/>
  <c r="AR163" i="2" s="1"/>
  <c r="S138" i="1"/>
  <c r="CP171" i="2"/>
  <c r="J157" i="2"/>
  <c r="AS162" i="2"/>
  <c r="BG171" i="2"/>
  <c r="BG172" i="2"/>
  <c r="BN166" i="2"/>
  <c r="BL167" i="2"/>
  <c r="BM167" i="2" s="1"/>
  <c r="BK168" i="2"/>
  <c r="CM173" i="2"/>
  <c r="CN172" i="2"/>
  <c r="CO172" i="2" s="1"/>
  <c r="CP172" i="2" s="1"/>
  <c r="J158" i="2"/>
  <c r="BL168" i="2" l="1"/>
  <c r="BM168" i="2" s="1"/>
  <c r="BK169" i="2"/>
  <c r="N170" i="2"/>
  <c r="O169" i="2"/>
  <c r="P169" i="2" s="1"/>
  <c r="CB170" i="2"/>
  <c r="BR174" i="2"/>
  <c r="BS173" i="2"/>
  <c r="BT173" i="2" s="1"/>
  <c r="CG161" i="2"/>
  <c r="CH161" i="2" s="1"/>
  <c r="CF162" i="2"/>
  <c r="BZ171" i="2"/>
  <c r="CA171" i="2" s="1"/>
  <c r="BY172" i="2"/>
  <c r="BU172" i="2"/>
  <c r="CI160" i="2"/>
  <c r="BN168" i="2"/>
  <c r="AS163" i="2"/>
  <c r="AJ158" i="2"/>
  <c r="AK158" i="2" s="1"/>
  <c r="AI159" i="2"/>
  <c r="AW157" i="2"/>
  <c r="AX156" i="2"/>
  <c r="AY156" i="2" s="1"/>
  <c r="BN167" i="2"/>
  <c r="H159" i="2"/>
  <c r="I159" i="2" s="1"/>
  <c r="G160" i="2"/>
  <c r="AP165" i="2"/>
  <c r="AQ164" i="2"/>
  <c r="AR164" i="2" s="1"/>
  <c r="AE220" i="2"/>
  <c r="DD164" i="2"/>
  <c r="AZ155" i="2"/>
  <c r="G152" i="1"/>
  <c r="M151" i="1"/>
  <c r="AC221" i="2"/>
  <c r="AD221" i="2" s="1"/>
  <c r="AB222" i="2"/>
  <c r="BD174" i="2"/>
  <c r="BE173" i="2"/>
  <c r="BF173" i="2" s="1"/>
  <c r="X164" i="2"/>
  <c r="CT178" i="2"/>
  <c r="CU177" i="2"/>
  <c r="CV177" i="2" s="1"/>
  <c r="E140" i="1"/>
  <c r="K139" i="1"/>
  <c r="J139" i="1" s="1"/>
  <c r="N139" i="1"/>
  <c r="DA166" i="2"/>
  <c r="DB165" i="2"/>
  <c r="DC165" i="2" s="1"/>
  <c r="CN173" i="2"/>
  <c r="CO173" i="2" s="1"/>
  <c r="CM174" i="2"/>
  <c r="AZ156" i="2"/>
  <c r="AL158" i="2"/>
  <c r="DI171" i="2"/>
  <c r="DJ171" i="2" s="1"/>
  <c r="DH172" i="2"/>
  <c r="P140" i="1"/>
  <c r="Q140" i="1" s="1"/>
  <c r="O141" i="1"/>
  <c r="V165" i="2"/>
  <c r="W165" i="2" s="1"/>
  <c r="U166" i="2"/>
  <c r="J159" i="2"/>
  <c r="AL157" i="2"/>
  <c r="DK170" i="2"/>
  <c r="X165" i="2"/>
  <c r="Q168" i="2"/>
  <c r="DA167" i="2" l="1"/>
  <c r="DB166" i="2"/>
  <c r="DC166" i="2" s="1"/>
  <c r="BG173" i="2"/>
  <c r="BG174" i="2"/>
  <c r="AJ159" i="2"/>
  <c r="AK159" i="2" s="1"/>
  <c r="AI160" i="2"/>
  <c r="BS174" i="2"/>
  <c r="BT174" i="2" s="1"/>
  <c r="BR175" i="2"/>
  <c r="BE174" i="2"/>
  <c r="BF174" i="2" s="1"/>
  <c r="BD175" i="2"/>
  <c r="AS164" i="2"/>
  <c r="AC222" i="2"/>
  <c r="AD222" i="2" s="1"/>
  <c r="AB223" i="2"/>
  <c r="AQ165" i="2"/>
  <c r="AR165" i="2" s="1"/>
  <c r="AP166" i="2"/>
  <c r="U167" i="2"/>
  <c r="V166" i="2"/>
  <c r="W166" i="2" s="1"/>
  <c r="CM175" i="2"/>
  <c r="CN174" i="2"/>
  <c r="CO174" i="2" s="1"/>
  <c r="CP173" i="2"/>
  <c r="K140" i="1"/>
  <c r="J140" i="1" s="1"/>
  <c r="E141" i="1"/>
  <c r="N140" i="1"/>
  <c r="AE221" i="2"/>
  <c r="H160" i="2"/>
  <c r="I160" i="2" s="1"/>
  <c r="G161" i="2"/>
  <c r="BY173" i="2"/>
  <c r="BZ172" i="2"/>
  <c r="CA172" i="2" s="1"/>
  <c r="O142" i="1"/>
  <c r="P141" i="1"/>
  <c r="Q141" i="1" s="1"/>
  <c r="CW177" i="2"/>
  <c r="CB171" i="2"/>
  <c r="Q169" i="2"/>
  <c r="R141" i="1"/>
  <c r="CU178" i="2"/>
  <c r="CV178" i="2" s="1"/>
  <c r="CT179" i="2"/>
  <c r="J160" i="2"/>
  <c r="CF163" i="2"/>
  <c r="CG162" i="2"/>
  <c r="CH162" i="2" s="1"/>
  <c r="N171" i="2"/>
  <c r="O170" i="2"/>
  <c r="P170" i="2" s="1"/>
  <c r="DH173" i="2"/>
  <c r="DI172" i="2"/>
  <c r="DJ172" i="2" s="1"/>
  <c r="M152" i="1"/>
  <c r="G153" i="1"/>
  <c r="CI161" i="2"/>
  <c r="BL169" i="2"/>
  <c r="BM169" i="2" s="1"/>
  <c r="BK170" i="2"/>
  <c r="R140" i="1"/>
  <c r="S140" i="1" s="1"/>
  <c r="DK171" i="2"/>
  <c r="DK172" i="2"/>
  <c r="DD165" i="2"/>
  <c r="AW158" i="2"/>
  <c r="AX157" i="2"/>
  <c r="AY157" i="2" s="1"/>
  <c r="BU173" i="2"/>
  <c r="S141" i="1" l="1"/>
  <c r="BN169" i="2"/>
  <c r="P142" i="1"/>
  <c r="Q142" i="1" s="1"/>
  <c r="O143" i="1"/>
  <c r="Q170" i="2"/>
  <c r="Q171" i="2"/>
  <c r="CB172" i="2"/>
  <c r="CB173" i="2"/>
  <c r="AB224" i="2"/>
  <c r="AC223" i="2"/>
  <c r="AD223" i="2" s="1"/>
  <c r="O171" i="2"/>
  <c r="P171" i="2" s="1"/>
  <c r="N172" i="2"/>
  <c r="CW178" i="2"/>
  <c r="BZ173" i="2"/>
  <c r="CA173" i="2" s="1"/>
  <c r="BY174" i="2"/>
  <c r="AE222" i="2"/>
  <c r="BD176" i="2"/>
  <c r="BE175" i="2"/>
  <c r="BF175" i="2" s="1"/>
  <c r="AX158" i="2"/>
  <c r="AY158" i="2" s="1"/>
  <c r="AW159" i="2"/>
  <c r="M153" i="1"/>
  <c r="G154" i="1"/>
  <c r="CI162" i="2"/>
  <c r="AS165" i="2"/>
  <c r="K141" i="1"/>
  <c r="J141" i="1" s="1"/>
  <c r="E142" i="1"/>
  <c r="N141" i="1"/>
  <c r="CP175" i="2"/>
  <c r="AZ157" i="2"/>
  <c r="CF164" i="2"/>
  <c r="CG163" i="2"/>
  <c r="CH163" i="2" s="1"/>
  <c r="H161" i="2"/>
  <c r="I161" i="2" s="1"/>
  <c r="G162" i="2"/>
  <c r="CM176" i="2"/>
  <c r="CN175" i="2"/>
  <c r="CO175" i="2" s="1"/>
  <c r="BS175" i="2"/>
  <c r="BT175" i="2" s="1"/>
  <c r="BR176" i="2"/>
  <c r="X166" i="2"/>
  <c r="BU174" i="2"/>
  <c r="DD166" i="2"/>
  <c r="CP174" i="2"/>
  <c r="U168" i="2"/>
  <c r="V167" i="2"/>
  <c r="W167" i="2" s="1"/>
  <c r="AJ160" i="2"/>
  <c r="AK160" i="2" s="1"/>
  <c r="AI161" i="2"/>
  <c r="DB167" i="2"/>
  <c r="DC167" i="2" s="1"/>
  <c r="DA168" i="2"/>
  <c r="BL170" i="2"/>
  <c r="BM170" i="2" s="1"/>
  <c r="BK171" i="2"/>
  <c r="AZ158" i="2"/>
  <c r="DI173" i="2"/>
  <c r="DJ173" i="2" s="1"/>
  <c r="DH174" i="2"/>
  <c r="CU179" i="2"/>
  <c r="CV179" i="2" s="1"/>
  <c r="CW179" i="2" s="1"/>
  <c r="CT180" i="2"/>
  <c r="X167" i="2"/>
  <c r="AQ166" i="2"/>
  <c r="AR166" i="2" s="1"/>
  <c r="AP167" i="2"/>
  <c r="AL159" i="2"/>
  <c r="CU180" i="2" l="1"/>
  <c r="CV180" i="2" s="1"/>
  <c r="CT181" i="2"/>
  <c r="CN176" i="2"/>
  <c r="CO176" i="2" s="1"/>
  <c r="CM177" i="2"/>
  <c r="E143" i="1"/>
  <c r="K142" i="1"/>
  <c r="J142" i="1" s="1"/>
  <c r="N142" i="1"/>
  <c r="AI162" i="2"/>
  <c r="AJ161" i="2"/>
  <c r="AK161" i="2" s="1"/>
  <c r="DD167" i="2"/>
  <c r="H162" i="2"/>
  <c r="I162" i="2" s="1"/>
  <c r="G163" i="2"/>
  <c r="AC224" i="2"/>
  <c r="AD224" i="2" s="1"/>
  <c r="AB225" i="2"/>
  <c r="J161" i="2"/>
  <c r="J162" i="2"/>
  <c r="AW160" i="2"/>
  <c r="AX159" i="2"/>
  <c r="AY159" i="2" s="1"/>
  <c r="BY175" i="2"/>
  <c r="BZ174" i="2"/>
  <c r="CA174" i="2" s="1"/>
  <c r="AP168" i="2"/>
  <c r="AQ167" i="2"/>
  <c r="AR167" i="2" s="1"/>
  <c r="AS166" i="2"/>
  <c r="DK173" i="2"/>
  <c r="CB174" i="2"/>
  <c r="DI174" i="2"/>
  <c r="DJ174" i="2" s="1"/>
  <c r="DH175" i="2"/>
  <c r="BG175" i="2"/>
  <c r="P143" i="1"/>
  <c r="Q143" i="1" s="1"/>
  <c r="O144" i="1"/>
  <c r="BN170" i="2"/>
  <c r="BK172" i="2"/>
  <c r="BL171" i="2"/>
  <c r="BM171" i="2" s="1"/>
  <c r="U169" i="2"/>
  <c r="V168" i="2"/>
  <c r="W168" i="2" s="1"/>
  <c r="BR177" i="2"/>
  <c r="BS176" i="2"/>
  <c r="BT176" i="2" s="1"/>
  <c r="CI163" i="2"/>
  <c r="BD177" i="2"/>
  <c r="BE176" i="2"/>
  <c r="BF176" i="2" s="1"/>
  <c r="O172" i="2"/>
  <c r="P172" i="2" s="1"/>
  <c r="N173" i="2"/>
  <c r="R142" i="1"/>
  <c r="S142" i="1" s="1"/>
  <c r="R143" i="1"/>
  <c r="S143" i="1" s="1"/>
  <c r="AL161" i="2"/>
  <c r="AL160" i="2"/>
  <c r="BU175" i="2"/>
  <c r="CG164" i="2"/>
  <c r="CH164" i="2" s="1"/>
  <c r="CF165" i="2"/>
  <c r="AE223" i="2"/>
  <c r="CW180" i="2"/>
  <c r="DB168" i="2"/>
  <c r="DC168" i="2" s="1"/>
  <c r="DD168" i="2" s="1"/>
  <c r="DA169" i="2"/>
  <c r="M154" i="1"/>
  <c r="G155" i="1"/>
  <c r="BN172" i="2" l="1"/>
  <c r="E144" i="1"/>
  <c r="K143" i="1"/>
  <c r="J143" i="1" s="1"/>
  <c r="N143" i="1"/>
  <c r="CU181" i="2"/>
  <c r="CV181" i="2" s="1"/>
  <c r="CT182" i="2"/>
  <c r="CI164" i="2"/>
  <c r="V169" i="2"/>
  <c r="W169" i="2" s="1"/>
  <c r="U170" i="2"/>
  <c r="P144" i="1"/>
  <c r="Q144" i="1" s="1"/>
  <c r="O145" i="1"/>
  <c r="CM178" i="2"/>
  <c r="CN177" i="2"/>
  <c r="CO177" i="2" s="1"/>
  <c r="BN171" i="2"/>
  <c r="BZ175" i="2"/>
  <c r="CA175" i="2" s="1"/>
  <c r="BY176" i="2"/>
  <c r="AJ162" i="2"/>
  <c r="AK162" i="2" s="1"/>
  <c r="AI163" i="2"/>
  <c r="CP176" i="2"/>
  <c r="CG165" i="2"/>
  <c r="CH165" i="2" s="1"/>
  <c r="CI165" i="2" s="1"/>
  <c r="CF166" i="2"/>
  <c r="N174" i="2"/>
  <c r="O173" i="2"/>
  <c r="P173" i="2" s="1"/>
  <c r="BL172" i="2"/>
  <c r="BM172" i="2" s="1"/>
  <c r="BK173" i="2"/>
  <c r="DH176" i="2"/>
  <c r="DI175" i="2"/>
  <c r="DJ175" i="2" s="1"/>
  <c r="AZ159" i="2"/>
  <c r="Q172" i="2"/>
  <c r="DK174" i="2"/>
  <c r="AX160" i="2"/>
  <c r="AY160" i="2" s="1"/>
  <c r="AW161" i="2"/>
  <c r="AC225" i="2"/>
  <c r="AD225" i="2" s="1"/>
  <c r="AB226" i="2"/>
  <c r="BG176" i="2"/>
  <c r="BU176" i="2"/>
  <c r="BU177" i="2"/>
  <c r="AE225" i="2"/>
  <c r="AE224" i="2"/>
  <c r="DD169" i="2"/>
  <c r="BE177" i="2"/>
  <c r="BF177" i="2" s="1"/>
  <c r="BD178" i="2"/>
  <c r="BR178" i="2"/>
  <c r="BS177" i="2"/>
  <c r="BT177" i="2" s="1"/>
  <c r="X169" i="2"/>
  <c r="H163" i="2"/>
  <c r="I163" i="2" s="1"/>
  <c r="G164" i="2"/>
  <c r="G156" i="1"/>
  <c r="M155" i="1"/>
  <c r="DA170" i="2"/>
  <c r="DB169" i="2"/>
  <c r="DC169" i="2" s="1"/>
  <c r="R144" i="1"/>
  <c r="S144" i="1" s="1"/>
  <c r="X168" i="2"/>
  <c r="AQ168" i="2"/>
  <c r="AR168" i="2" s="1"/>
  <c r="AP169" i="2"/>
  <c r="J163" i="2"/>
  <c r="AS167" i="2"/>
  <c r="Q173" i="2" l="1"/>
  <c r="O174" i="2"/>
  <c r="P174" i="2" s="1"/>
  <c r="N175" i="2"/>
  <c r="AI164" i="2"/>
  <c r="AJ163" i="2"/>
  <c r="AK163" i="2" s="1"/>
  <c r="CU182" i="2"/>
  <c r="CV182" i="2" s="1"/>
  <c r="CT183" i="2"/>
  <c r="CG166" i="2"/>
  <c r="CH166" i="2" s="1"/>
  <c r="CF167" i="2"/>
  <c r="AL162" i="2"/>
  <c r="CW181" i="2"/>
  <c r="AQ169" i="2"/>
  <c r="AR169" i="2" s="1"/>
  <c r="AP170" i="2"/>
  <c r="AC226" i="2"/>
  <c r="AD226" i="2" s="1"/>
  <c r="AB227" i="2"/>
  <c r="DK175" i="2"/>
  <c r="BZ176" i="2"/>
  <c r="CA176" i="2" s="1"/>
  <c r="BY177" i="2"/>
  <c r="DH177" i="2"/>
  <c r="DI176" i="2"/>
  <c r="DJ176" i="2" s="1"/>
  <c r="P145" i="1"/>
  <c r="Q145" i="1" s="1"/>
  <c r="O146" i="1"/>
  <c r="CB175" i="2"/>
  <c r="H164" i="2"/>
  <c r="I164" i="2" s="1"/>
  <c r="G165" i="2"/>
  <c r="DB170" i="2"/>
  <c r="DC170" i="2" s="1"/>
  <c r="DA171" i="2"/>
  <c r="BS178" i="2"/>
  <c r="BT178" i="2" s="1"/>
  <c r="BR179" i="2"/>
  <c r="AX161" i="2"/>
  <c r="AY161" i="2" s="1"/>
  <c r="AW162" i="2"/>
  <c r="BL173" i="2"/>
  <c r="BM173" i="2" s="1"/>
  <c r="BK174" i="2"/>
  <c r="CP177" i="2"/>
  <c r="K144" i="1"/>
  <c r="J144" i="1" s="1"/>
  <c r="E145" i="1"/>
  <c r="N144" i="1"/>
  <c r="BG177" i="2"/>
  <c r="AS168" i="2"/>
  <c r="AS169" i="2"/>
  <c r="M156" i="1"/>
  <c r="G157" i="1"/>
  <c r="BE178" i="2"/>
  <c r="BF178" i="2" s="1"/>
  <c r="BD179" i="2"/>
  <c r="AZ161" i="2"/>
  <c r="AZ160" i="2"/>
  <c r="CN178" i="2"/>
  <c r="CO178" i="2" s="1"/>
  <c r="CM179" i="2"/>
  <c r="V170" i="2"/>
  <c r="W170" i="2" s="1"/>
  <c r="U171" i="2"/>
  <c r="J164" i="2" l="1"/>
  <c r="BY178" i="2"/>
  <c r="BZ177" i="2"/>
  <c r="CA177" i="2" s="1"/>
  <c r="AB228" i="2"/>
  <c r="AC227" i="2"/>
  <c r="AD227" i="2" s="1"/>
  <c r="CB176" i="2"/>
  <c r="CB177" i="2"/>
  <c r="AE226" i="2"/>
  <c r="BS179" i="2"/>
  <c r="BT179" i="2" s="1"/>
  <c r="BR180" i="2"/>
  <c r="O147" i="1"/>
  <c r="P146" i="1"/>
  <c r="Q146" i="1" s="1"/>
  <c r="AQ170" i="2"/>
  <c r="AR170" i="2" s="1"/>
  <c r="AP171" i="2"/>
  <c r="CU183" i="2"/>
  <c r="CV183" i="2" s="1"/>
  <c r="CT184" i="2"/>
  <c r="K145" i="1"/>
  <c r="J145" i="1" s="1"/>
  <c r="E146" i="1"/>
  <c r="N145" i="1"/>
  <c r="BU178" i="2"/>
  <c r="R145" i="1"/>
  <c r="S145" i="1" s="1"/>
  <c r="CW182" i="2"/>
  <c r="M157" i="1"/>
  <c r="G158" i="1"/>
  <c r="U172" i="2"/>
  <c r="V171" i="2"/>
  <c r="W171" i="2" s="1"/>
  <c r="BL174" i="2"/>
  <c r="BM174" i="2" s="1"/>
  <c r="BK175" i="2"/>
  <c r="DB171" i="2"/>
  <c r="DC171" i="2" s="1"/>
  <c r="DA172" i="2"/>
  <c r="AL163" i="2"/>
  <c r="BN173" i="2"/>
  <c r="DD170" i="2"/>
  <c r="CG167" i="2"/>
  <c r="CH167" i="2" s="1"/>
  <c r="CF168" i="2"/>
  <c r="AJ164" i="2"/>
  <c r="AK164" i="2" s="1"/>
  <c r="AI165" i="2"/>
  <c r="Q174" i="2"/>
  <c r="CP178" i="2"/>
  <c r="BD180" i="2"/>
  <c r="BE179" i="2"/>
  <c r="BF179" i="2" s="1"/>
  <c r="AX162" i="2"/>
  <c r="AY162" i="2" s="1"/>
  <c r="AW163" i="2"/>
  <c r="DK176" i="2"/>
  <c r="CI166" i="2"/>
  <c r="X170" i="2"/>
  <c r="CM180" i="2"/>
  <c r="CN179" i="2"/>
  <c r="CO179" i="2" s="1"/>
  <c r="BG178" i="2"/>
  <c r="H165" i="2"/>
  <c r="I165" i="2" s="1"/>
  <c r="G166" i="2"/>
  <c r="DI177" i="2"/>
  <c r="DJ177" i="2" s="1"/>
  <c r="DH178" i="2"/>
  <c r="N176" i="2"/>
  <c r="O175" i="2"/>
  <c r="P175" i="2" s="1"/>
  <c r="AL164" i="2" l="1"/>
  <c r="M158" i="1"/>
  <c r="G159" i="1"/>
  <c r="P147" i="1"/>
  <c r="Q147" i="1" s="1"/>
  <c r="O148" i="1"/>
  <c r="CG168" i="2"/>
  <c r="CH168" i="2" s="1"/>
  <c r="CF169" i="2"/>
  <c r="E147" i="1"/>
  <c r="K146" i="1"/>
  <c r="J146" i="1" s="1"/>
  <c r="N146" i="1"/>
  <c r="BR181" i="2"/>
  <c r="BS180" i="2"/>
  <c r="BT180" i="2" s="1"/>
  <c r="BY179" i="2"/>
  <c r="BZ178" i="2"/>
  <c r="CA178" i="2" s="1"/>
  <c r="CI167" i="2"/>
  <c r="CI168" i="2"/>
  <c r="DB172" i="2"/>
  <c r="DC172" i="2" s="1"/>
  <c r="DA173" i="2"/>
  <c r="BU179" i="2"/>
  <c r="DI178" i="2"/>
  <c r="DJ178" i="2" s="1"/>
  <c r="DH179" i="2"/>
  <c r="G167" i="2"/>
  <c r="H166" i="2"/>
  <c r="I166" i="2" s="1"/>
  <c r="AX163" i="2"/>
  <c r="AY163" i="2" s="1"/>
  <c r="AW164" i="2"/>
  <c r="CP179" i="2"/>
  <c r="DD171" i="2"/>
  <c r="CU184" i="2"/>
  <c r="CV184" i="2" s="1"/>
  <c r="CT185" i="2"/>
  <c r="J165" i="2"/>
  <c r="AZ162" i="2"/>
  <c r="BL175" i="2"/>
  <c r="BM175" i="2" s="1"/>
  <c r="BK176" i="2"/>
  <c r="CW184" i="2"/>
  <c r="J166" i="2"/>
  <c r="BN174" i="2"/>
  <c r="AP172" i="2"/>
  <c r="AQ171" i="2"/>
  <c r="AR171" i="2" s="1"/>
  <c r="DK177" i="2"/>
  <c r="N177" i="2"/>
  <c r="O176" i="2"/>
  <c r="P176" i="2" s="1"/>
  <c r="CN180" i="2"/>
  <c r="CO180" i="2" s="1"/>
  <c r="CP180" i="2" s="1"/>
  <c r="CM181" i="2"/>
  <c r="X171" i="2"/>
  <c r="CW183" i="2"/>
  <c r="AS170" i="2"/>
  <c r="AE227" i="2"/>
  <c r="Q175" i="2"/>
  <c r="BG179" i="2"/>
  <c r="BE180" i="2"/>
  <c r="BF180" i="2" s="1"/>
  <c r="BD181" i="2"/>
  <c r="AI166" i="2"/>
  <c r="AJ165" i="2"/>
  <c r="AK165" i="2" s="1"/>
  <c r="U173" i="2"/>
  <c r="V172" i="2"/>
  <c r="W172" i="2" s="1"/>
  <c r="R146" i="1"/>
  <c r="S146" i="1" s="1"/>
  <c r="AC228" i="2"/>
  <c r="AD228" i="2" s="1"/>
  <c r="AB229" i="2"/>
  <c r="AL165" i="2" l="1"/>
  <c r="AP173" i="2"/>
  <c r="AQ172" i="2"/>
  <c r="AR172" i="2" s="1"/>
  <c r="G168" i="2"/>
  <c r="H167" i="2"/>
  <c r="I167" i="2" s="1"/>
  <c r="BS181" i="2"/>
  <c r="BT181" i="2" s="1"/>
  <c r="BR182" i="2"/>
  <c r="P148" i="1"/>
  <c r="Q148" i="1" s="1"/>
  <c r="O149" i="1"/>
  <c r="AJ166" i="2"/>
  <c r="AK166" i="2" s="1"/>
  <c r="AI167" i="2"/>
  <c r="DI179" i="2"/>
  <c r="DJ179" i="2" s="1"/>
  <c r="DH180" i="2"/>
  <c r="R148" i="1"/>
  <c r="R147" i="1"/>
  <c r="S147" i="1" s="1"/>
  <c r="CN181" i="2"/>
  <c r="CO181" i="2" s="1"/>
  <c r="CM182" i="2"/>
  <c r="AW165" i="2"/>
  <c r="AX164" i="2"/>
  <c r="AY164" i="2" s="1"/>
  <c r="DK178" i="2"/>
  <c r="G160" i="1"/>
  <c r="M159" i="1"/>
  <c r="BL176" i="2"/>
  <c r="BM176" i="2" s="1"/>
  <c r="BK177" i="2"/>
  <c r="AZ163" i="2"/>
  <c r="E148" i="1"/>
  <c r="K147" i="1"/>
  <c r="J147" i="1" s="1"/>
  <c r="N147" i="1"/>
  <c r="BN175" i="2"/>
  <c r="CP181" i="2"/>
  <c r="CG169" i="2"/>
  <c r="CH169" i="2" s="1"/>
  <c r="CF170" i="2"/>
  <c r="N178" i="2"/>
  <c r="O177" i="2"/>
  <c r="P177" i="2" s="1"/>
  <c r="CT186" i="2"/>
  <c r="CU185" i="2"/>
  <c r="CV185" i="2" s="1"/>
  <c r="CB178" i="2"/>
  <c r="BE181" i="2"/>
  <c r="BF181" i="2" s="1"/>
  <c r="BD182" i="2"/>
  <c r="Q176" i="2"/>
  <c r="DB173" i="2"/>
  <c r="DC173" i="2" s="1"/>
  <c r="DA174" i="2"/>
  <c r="BZ179" i="2"/>
  <c r="CA179" i="2" s="1"/>
  <c r="BY180" i="2"/>
  <c r="AL166" i="2"/>
  <c r="X172" i="2"/>
  <c r="V173" i="2"/>
  <c r="W173" i="2" s="1"/>
  <c r="U174" i="2"/>
  <c r="AC229" i="2"/>
  <c r="AD229" i="2" s="1"/>
  <c r="AB230" i="2"/>
  <c r="AE228" i="2"/>
  <c r="BG180" i="2"/>
  <c r="AS171" i="2"/>
  <c r="DD172" i="2"/>
  <c r="DD173" i="2"/>
  <c r="BU180" i="2"/>
  <c r="BU181" i="2"/>
  <c r="X173" i="2" l="1"/>
  <c r="BZ180" i="2"/>
  <c r="CA180" i="2" s="1"/>
  <c r="BY181" i="2"/>
  <c r="M160" i="1"/>
  <c r="G161" i="1"/>
  <c r="AJ167" i="2"/>
  <c r="AK167" i="2" s="1"/>
  <c r="AI168" i="2"/>
  <c r="H168" i="2"/>
  <c r="I168" i="2" s="1"/>
  <c r="G169" i="2"/>
  <c r="Q177" i="2"/>
  <c r="AS172" i="2"/>
  <c r="DB174" i="2"/>
  <c r="DC174" i="2" s="1"/>
  <c r="DA175" i="2"/>
  <c r="O178" i="2"/>
  <c r="P178" i="2" s="1"/>
  <c r="N179" i="2"/>
  <c r="BK178" i="2"/>
  <c r="BL177" i="2"/>
  <c r="BM177" i="2" s="1"/>
  <c r="AQ173" i="2"/>
  <c r="AR173" i="2" s="1"/>
  <c r="AP174" i="2"/>
  <c r="CF171" i="2"/>
  <c r="CG170" i="2"/>
  <c r="CH170" i="2" s="1"/>
  <c r="BN176" i="2"/>
  <c r="P149" i="1"/>
  <c r="Q149" i="1" s="1"/>
  <c r="O150" i="1"/>
  <c r="BE182" i="2"/>
  <c r="BF182" i="2" s="1"/>
  <c r="BD183" i="2"/>
  <c r="AZ164" i="2"/>
  <c r="AZ165" i="2"/>
  <c r="S148" i="1"/>
  <c r="BG181" i="2"/>
  <c r="AW166" i="2"/>
  <c r="AX165" i="2"/>
  <c r="AY165" i="2" s="1"/>
  <c r="BS182" i="2"/>
  <c r="BT182" i="2" s="1"/>
  <c r="BR183" i="2"/>
  <c r="AE229" i="2"/>
  <c r="CI169" i="2"/>
  <c r="CW185" i="2"/>
  <c r="CM183" i="2"/>
  <c r="CN182" i="2"/>
  <c r="CO182" i="2" s="1"/>
  <c r="DI180" i="2"/>
  <c r="DJ180" i="2" s="1"/>
  <c r="DH181" i="2"/>
  <c r="BU182" i="2"/>
  <c r="AC230" i="2"/>
  <c r="AD230" i="2" s="1"/>
  <c r="AB231" i="2"/>
  <c r="V174" i="2"/>
  <c r="W174" i="2" s="1"/>
  <c r="U175" i="2"/>
  <c r="CB179" i="2"/>
  <c r="CT187" i="2"/>
  <c r="CU186" i="2"/>
  <c r="CV186" i="2" s="1"/>
  <c r="BN177" i="2"/>
  <c r="K148" i="1"/>
  <c r="J148" i="1" s="1"/>
  <c r="E149" i="1"/>
  <c r="N148" i="1"/>
  <c r="DK179" i="2"/>
  <c r="J167" i="2"/>
  <c r="AW167" i="2" l="1"/>
  <c r="AX166" i="2"/>
  <c r="AY166" i="2" s="1"/>
  <c r="Q178" i="2"/>
  <c r="M161" i="1"/>
  <c r="G162" i="1"/>
  <c r="E150" i="1"/>
  <c r="K149" i="1"/>
  <c r="J149" i="1" s="1"/>
  <c r="N149" i="1"/>
  <c r="DB175" i="2"/>
  <c r="DC175" i="2" s="1"/>
  <c r="DA176" i="2"/>
  <c r="DD174" i="2"/>
  <c r="DI181" i="2"/>
  <c r="DJ181" i="2" s="1"/>
  <c r="DH182" i="2"/>
  <c r="CP182" i="2"/>
  <c r="BE183" i="2"/>
  <c r="BF183" i="2" s="1"/>
  <c r="BD184" i="2"/>
  <c r="AP175" i="2"/>
  <c r="AQ174" i="2"/>
  <c r="AR174" i="2" s="1"/>
  <c r="BY182" i="2"/>
  <c r="BZ181" i="2"/>
  <c r="CA181" i="2" s="1"/>
  <c r="CW186" i="2"/>
  <c r="CN183" i="2"/>
  <c r="CO183" i="2" s="1"/>
  <c r="CM184" i="2"/>
  <c r="BG182" i="2"/>
  <c r="CI170" i="2"/>
  <c r="AS173" i="2"/>
  <c r="H169" i="2"/>
  <c r="I169" i="2" s="1"/>
  <c r="G170" i="2"/>
  <c r="CB180" i="2"/>
  <c r="DK181" i="2"/>
  <c r="BS183" i="2"/>
  <c r="BT183" i="2" s="1"/>
  <c r="BR184" i="2"/>
  <c r="CF172" i="2"/>
  <c r="CG171" i="2"/>
  <c r="CH171" i="2" s="1"/>
  <c r="J168" i="2"/>
  <c r="J169" i="2"/>
  <c r="AC231" i="2"/>
  <c r="AD231" i="2" s="1"/>
  <c r="AB232" i="2"/>
  <c r="AE230" i="2"/>
  <c r="P150" i="1"/>
  <c r="Q150" i="1" s="1"/>
  <c r="O151" i="1"/>
  <c r="BK179" i="2"/>
  <c r="BL178" i="2"/>
  <c r="BM178" i="2" s="1"/>
  <c r="AJ168" i="2"/>
  <c r="AK168" i="2" s="1"/>
  <c r="AI169" i="2"/>
  <c r="X174" i="2"/>
  <c r="X175" i="2"/>
  <c r="DK180" i="2"/>
  <c r="CU187" i="2"/>
  <c r="CV187" i="2" s="1"/>
  <c r="CT188" i="2"/>
  <c r="V175" i="2"/>
  <c r="W175" i="2" s="1"/>
  <c r="U176" i="2"/>
  <c r="AZ166" i="2"/>
  <c r="R149" i="1"/>
  <c r="S149" i="1" s="1"/>
  <c r="R150" i="1"/>
  <c r="S150" i="1" s="1"/>
  <c r="O179" i="2"/>
  <c r="P179" i="2" s="1"/>
  <c r="N180" i="2"/>
  <c r="AL167" i="2"/>
  <c r="G171" i="2" l="1"/>
  <c r="H170" i="2"/>
  <c r="I170" i="2" s="1"/>
  <c r="CW187" i="2"/>
  <c r="BG183" i="2"/>
  <c r="CU188" i="2"/>
  <c r="CV188" i="2" s="1"/>
  <c r="CT189" i="2"/>
  <c r="CG172" i="2"/>
  <c r="CH172" i="2" s="1"/>
  <c r="CF173" i="2"/>
  <c r="BN178" i="2"/>
  <c r="CB181" i="2"/>
  <c r="DB176" i="2"/>
  <c r="DC176" i="2" s="1"/>
  <c r="DA177" i="2"/>
  <c r="Q179" i="2"/>
  <c r="AL168" i="2"/>
  <c r="BK180" i="2"/>
  <c r="BL179" i="2"/>
  <c r="BM179" i="2" s="1"/>
  <c r="BR185" i="2"/>
  <c r="BS184" i="2"/>
  <c r="BT184" i="2" s="1"/>
  <c r="CN184" i="2"/>
  <c r="CO184" i="2" s="1"/>
  <c r="CM185" i="2"/>
  <c r="BZ182" i="2"/>
  <c r="CA182" i="2" s="1"/>
  <c r="CB182" i="2" s="1"/>
  <c r="BY183" i="2"/>
  <c r="DH183" i="2"/>
  <c r="DI182" i="2"/>
  <c r="DJ182" i="2" s="1"/>
  <c r="DD175" i="2"/>
  <c r="P151" i="1"/>
  <c r="Q151" i="1" s="1"/>
  <c r="O152" i="1"/>
  <c r="BU184" i="2"/>
  <c r="V176" i="2"/>
  <c r="W176" i="2" s="1"/>
  <c r="U177" i="2"/>
  <c r="BN179" i="2"/>
  <c r="AS174" i="2"/>
  <c r="AX167" i="2"/>
  <c r="AY167" i="2" s="1"/>
  <c r="AW168" i="2"/>
  <c r="AB233" i="2"/>
  <c r="AC232" i="2"/>
  <c r="AD232" i="2" s="1"/>
  <c r="AQ175" i="2"/>
  <c r="AR175" i="2" s="1"/>
  <c r="AP176" i="2"/>
  <c r="CP183" i="2"/>
  <c r="E151" i="1"/>
  <c r="K150" i="1"/>
  <c r="J150" i="1" s="1"/>
  <c r="N150" i="1"/>
  <c r="N181" i="2"/>
  <c r="O180" i="2"/>
  <c r="P180" i="2" s="1"/>
  <c r="CI171" i="2"/>
  <c r="AJ169" i="2"/>
  <c r="AK169" i="2" s="1"/>
  <c r="AL169" i="2" s="1"/>
  <c r="AI170" i="2"/>
  <c r="BU183" i="2"/>
  <c r="AE231" i="2"/>
  <c r="BE184" i="2"/>
  <c r="BF184" i="2" s="1"/>
  <c r="BD185" i="2"/>
  <c r="M162" i="1"/>
  <c r="G163" i="1"/>
  <c r="O181" i="2" l="1"/>
  <c r="P181" i="2" s="1"/>
  <c r="N182" i="2"/>
  <c r="BS185" i="2"/>
  <c r="BT185" i="2" s="1"/>
  <c r="BR186" i="2"/>
  <c r="DB177" i="2"/>
  <c r="DC177" i="2" s="1"/>
  <c r="DA178" i="2"/>
  <c r="AQ176" i="2"/>
  <c r="AR176" i="2" s="1"/>
  <c r="AP177" i="2"/>
  <c r="AW169" i="2"/>
  <c r="AX168" i="2"/>
  <c r="AY168" i="2" s="1"/>
  <c r="P152" i="1"/>
  <c r="Q152" i="1" s="1"/>
  <c r="O153" i="1"/>
  <c r="DK182" i="2"/>
  <c r="DK183" i="2"/>
  <c r="CU189" i="2"/>
  <c r="CV189" i="2" s="1"/>
  <c r="CT190" i="2"/>
  <c r="AS175" i="2"/>
  <c r="R151" i="1"/>
  <c r="S151" i="1" s="1"/>
  <c r="DH184" i="2"/>
  <c r="DI183" i="2"/>
  <c r="DJ183" i="2" s="1"/>
  <c r="BZ183" i="2"/>
  <c r="CA183" i="2" s="1"/>
  <c r="BY184" i="2"/>
  <c r="BL180" i="2"/>
  <c r="BM180" i="2" s="1"/>
  <c r="BK181" i="2"/>
  <c r="BG184" i="2"/>
  <c r="J170" i="2"/>
  <c r="CW188" i="2"/>
  <c r="G164" i="1"/>
  <c r="M163" i="1"/>
  <c r="V177" i="2"/>
  <c r="W177" i="2" s="1"/>
  <c r="U178" i="2"/>
  <c r="G172" i="2"/>
  <c r="H171" i="2"/>
  <c r="I171" i="2" s="1"/>
  <c r="BE185" i="2"/>
  <c r="BF185" i="2" s="1"/>
  <c r="BD186" i="2"/>
  <c r="AE232" i="2"/>
  <c r="X176" i="2"/>
  <c r="DD176" i="2"/>
  <c r="CN185" i="2"/>
  <c r="CO185" i="2" s="1"/>
  <c r="CM186" i="2"/>
  <c r="AJ170" i="2"/>
  <c r="AK170" i="2" s="1"/>
  <c r="AI171" i="2"/>
  <c r="AC233" i="2"/>
  <c r="AD233" i="2" s="1"/>
  <c r="AE233" i="2" s="1"/>
  <c r="AB234" i="2"/>
  <c r="AZ168" i="2"/>
  <c r="CP184" i="2"/>
  <c r="AL170" i="2"/>
  <c r="Q180" i="2"/>
  <c r="E152" i="1"/>
  <c r="K151" i="1"/>
  <c r="J151" i="1" s="1"/>
  <c r="N151" i="1"/>
  <c r="CI172" i="2"/>
  <c r="AZ167" i="2"/>
  <c r="BU185" i="2"/>
  <c r="CG173" i="2"/>
  <c r="CH173" i="2" s="1"/>
  <c r="CF174" i="2"/>
  <c r="AJ171" i="2" l="1"/>
  <c r="AK171" i="2" s="1"/>
  <c r="AI172" i="2"/>
  <c r="BE186" i="2"/>
  <c r="BF186" i="2" s="1"/>
  <c r="BD187" i="2"/>
  <c r="X177" i="2"/>
  <c r="AQ177" i="2"/>
  <c r="AR177" i="2" s="1"/>
  <c r="AP178" i="2"/>
  <c r="BS186" i="2"/>
  <c r="BT186" i="2" s="1"/>
  <c r="BR187" i="2"/>
  <c r="J171" i="2"/>
  <c r="M164" i="1"/>
  <c r="G165" i="1"/>
  <c r="BL181" i="2"/>
  <c r="BM181" i="2" s="1"/>
  <c r="BK182" i="2"/>
  <c r="CG174" i="2"/>
  <c r="CH174" i="2" s="1"/>
  <c r="CF175" i="2"/>
  <c r="CI173" i="2"/>
  <c r="H172" i="2"/>
  <c r="I172" i="2" s="1"/>
  <c r="G173" i="2"/>
  <c r="BN181" i="2"/>
  <c r="CU190" i="2"/>
  <c r="CV190" i="2" s="1"/>
  <c r="CT191" i="2"/>
  <c r="O182" i="2"/>
  <c r="P182" i="2" s="1"/>
  <c r="N183" i="2"/>
  <c r="AC234" i="2"/>
  <c r="AD234" i="2" s="1"/>
  <c r="AB235" i="2"/>
  <c r="CM187" i="2"/>
  <c r="CN186" i="2"/>
  <c r="CO186" i="2" s="1"/>
  <c r="BG185" i="2"/>
  <c r="BZ184" i="2"/>
  <c r="CA184" i="2" s="1"/>
  <c r="BY185" i="2"/>
  <c r="CW190" i="2"/>
  <c r="CW189" i="2"/>
  <c r="P153" i="1"/>
  <c r="Q153" i="1" s="1"/>
  <c r="O154" i="1"/>
  <c r="Q181" i="2"/>
  <c r="CP185" i="2"/>
  <c r="CP186" i="2"/>
  <c r="J172" i="2"/>
  <c r="CB183" i="2"/>
  <c r="CB184" i="2"/>
  <c r="DI184" i="2"/>
  <c r="DJ184" i="2" s="1"/>
  <c r="DH185" i="2"/>
  <c r="R152" i="1"/>
  <c r="S152" i="1" s="1"/>
  <c r="BN180" i="2"/>
  <c r="AS176" i="2"/>
  <c r="DB178" i="2"/>
  <c r="DC178" i="2" s="1"/>
  <c r="DA179" i="2"/>
  <c r="K152" i="1"/>
  <c r="J152" i="1" s="1"/>
  <c r="E153" i="1"/>
  <c r="N152" i="1"/>
  <c r="V178" i="2"/>
  <c r="W178" i="2" s="1"/>
  <c r="U179" i="2"/>
  <c r="AW170" i="2"/>
  <c r="AX169" i="2"/>
  <c r="AY169" i="2" s="1"/>
  <c r="DD177" i="2"/>
  <c r="DD178" i="2"/>
  <c r="CN187" i="2" l="1"/>
  <c r="CO187" i="2" s="1"/>
  <c r="CM188" i="2"/>
  <c r="CG175" i="2"/>
  <c r="CH175" i="2" s="1"/>
  <c r="CF176" i="2"/>
  <c r="AB236" i="2"/>
  <c r="AC235" i="2"/>
  <c r="AD235" i="2" s="1"/>
  <c r="CI174" i="2"/>
  <c r="P154" i="1"/>
  <c r="Q154" i="1" s="1"/>
  <c r="O155" i="1"/>
  <c r="X178" i="2"/>
  <c r="DB179" i="2"/>
  <c r="DC179" i="2" s="1"/>
  <c r="DA180" i="2"/>
  <c r="R153" i="1"/>
  <c r="S153" i="1" s="1"/>
  <c r="N184" i="2"/>
  <c r="O183" i="2"/>
  <c r="P183" i="2" s="1"/>
  <c r="BL182" i="2"/>
  <c r="BM182" i="2" s="1"/>
  <c r="BK183" i="2"/>
  <c r="BD188" i="2"/>
  <c r="BE187" i="2"/>
  <c r="BF187" i="2" s="1"/>
  <c r="V179" i="2"/>
  <c r="W179" i="2" s="1"/>
  <c r="U180" i="2"/>
  <c r="AZ169" i="2"/>
  <c r="DD179" i="2"/>
  <c r="BY186" i="2"/>
  <c r="BZ185" i="2"/>
  <c r="CA185" i="2" s="1"/>
  <c r="Q182" i="2"/>
  <c r="H173" i="2"/>
  <c r="I173" i="2" s="1"/>
  <c r="G174" i="2"/>
  <c r="BR188" i="2"/>
  <c r="BS187" i="2"/>
  <c r="BT187" i="2" s="1"/>
  <c r="BG186" i="2"/>
  <c r="AX170" i="2"/>
  <c r="AY170" i="2" s="1"/>
  <c r="AW171" i="2"/>
  <c r="CB185" i="2"/>
  <c r="M165" i="1"/>
  <c r="G166" i="1"/>
  <c r="BU186" i="2"/>
  <c r="AJ172" i="2"/>
  <c r="AK172" i="2" s="1"/>
  <c r="AI173" i="2"/>
  <c r="DK184" i="2"/>
  <c r="AE234" i="2"/>
  <c r="CU191" i="2"/>
  <c r="CV191" i="2" s="1"/>
  <c r="CT192" i="2"/>
  <c r="BU187" i="2"/>
  <c r="AQ178" i="2"/>
  <c r="AR178" i="2" s="1"/>
  <c r="AP179" i="2"/>
  <c r="AL171" i="2"/>
  <c r="K153" i="1"/>
  <c r="J153" i="1" s="1"/>
  <c r="E154" i="1"/>
  <c r="N153" i="1"/>
  <c r="DI185" i="2"/>
  <c r="DJ185" i="2" s="1"/>
  <c r="DH186" i="2"/>
  <c r="CP187" i="2"/>
  <c r="CI175" i="2"/>
  <c r="AS177" i="2"/>
  <c r="AS178" i="2" l="1"/>
  <c r="AL172" i="2"/>
  <c r="AX171" i="2"/>
  <c r="AY171" i="2" s="1"/>
  <c r="AW172" i="2"/>
  <c r="BZ186" i="2"/>
  <c r="CA186" i="2" s="1"/>
  <c r="BY187" i="2"/>
  <c r="BN182" i="2"/>
  <c r="DB180" i="2"/>
  <c r="DC180" i="2" s="1"/>
  <c r="DA181" i="2"/>
  <c r="H174" i="2"/>
  <c r="I174" i="2" s="1"/>
  <c r="G175" i="2"/>
  <c r="Q183" i="2"/>
  <c r="Q184" i="2"/>
  <c r="CN188" i="2"/>
  <c r="CO188" i="2" s="1"/>
  <c r="CM189" i="2"/>
  <c r="J173" i="2"/>
  <c r="N185" i="2"/>
  <c r="O184" i="2"/>
  <c r="P184" i="2" s="1"/>
  <c r="CP188" i="2"/>
  <c r="CU192" i="2"/>
  <c r="CV192" i="2" s="1"/>
  <c r="CT193" i="2"/>
  <c r="CW191" i="2"/>
  <c r="V180" i="2"/>
  <c r="W180" i="2" s="1"/>
  <c r="U181" i="2"/>
  <c r="E155" i="1"/>
  <c r="K154" i="1"/>
  <c r="J154" i="1" s="1"/>
  <c r="N154" i="1"/>
  <c r="X179" i="2"/>
  <c r="AE235" i="2"/>
  <c r="DK185" i="2"/>
  <c r="M166" i="1"/>
  <c r="G167" i="1"/>
  <c r="BR189" i="2"/>
  <c r="BS188" i="2"/>
  <c r="BT188" i="2" s="1"/>
  <c r="AZ171" i="2"/>
  <c r="BG187" i="2"/>
  <c r="P155" i="1"/>
  <c r="Q155" i="1" s="1"/>
  <c r="O156" i="1"/>
  <c r="AB237" i="2"/>
  <c r="AC236" i="2"/>
  <c r="AD236" i="2" s="1"/>
  <c r="BE188" i="2"/>
  <c r="BF188" i="2" s="1"/>
  <c r="BD189" i="2"/>
  <c r="R154" i="1"/>
  <c r="S154" i="1" s="1"/>
  <c r="DH187" i="2"/>
  <c r="DI186" i="2"/>
  <c r="DJ186" i="2" s="1"/>
  <c r="AQ179" i="2"/>
  <c r="AR179" i="2" s="1"/>
  <c r="AP180" i="2"/>
  <c r="AJ173" i="2"/>
  <c r="AK173" i="2" s="1"/>
  <c r="AI174" i="2"/>
  <c r="CB186" i="2"/>
  <c r="AZ170" i="2"/>
  <c r="BL183" i="2"/>
  <c r="BM183" i="2" s="1"/>
  <c r="BK184" i="2"/>
  <c r="CG176" i="2"/>
  <c r="CH176" i="2" s="1"/>
  <c r="CF177" i="2"/>
  <c r="G168" i="1" l="1"/>
  <c r="M167" i="1"/>
  <c r="E156" i="1"/>
  <c r="K155" i="1"/>
  <c r="J155" i="1" s="1"/>
  <c r="N155" i="1"/>
  <c r="DB181" i="2"/>
  <c r="DC181" i="2" s="1"/>
  <c r="DA182" i="2"/>
  <c r="AX172" i="2"/>
  <c r="AY172" i="2" s="1"/>
  <c r="AW173" i="2"/>
  <c r="DK186" i="2"/>
  <c r="DD181" i="2"/>
  <c r="CF178" i="2"/>
  <c r="CG177" i="2"/>
  <c r="CH177" i="2" s="1"/>
  <c r="BE189" i="2"/>
  <c r="BF189" i="2" s="1"/>
  <c r="BD190" i="2"/>
  <c r="AC237" i="2"/>
  <c r="AD237" i="2" s="1"/>
  <c r="AB238" i="2"/>
  <c r="CM190" i="2"/>
  <c r="CN189" i="2"/>
  <c r="CO189" i="2" s="1"/>
  <c r="H175" i="2"/>
  <c r="I175" i="2" s="1"/>
  <c r="G176" i="2"/>
  <c r="BN183" i="2"/>
  <c r="AS179" i="2"/>
  <c r="P156" i="1"/>
  <c r="Q156" i="1" s="1"/>
  <c r="O157" i="1"/>
  <c r="R156" i="1"/>
  <c r="AE236" i="2"/>
  <c r="V181" i="2"/>
  <c r="W181" i="2" s="1"/>
  <c r="U182" i="2"/>
  <c r="CU193" i="2"/>
  <c r="CV193" i="2" s="1"/>
  <c r="CT194" i="2"/>
  <c r="O185" i="2"/>
  <c r="P185" i="2" s="1"/>
  <c r="N186" i="2"/>
  <c r="DD180" i="2"/>
  <c r="AL173" i="2"/>
  <c r="DI187" i="2"/>
  <c r="DJ187" i="2" s="1"/>
  <c r="DH188" i="2"/>
  <c r="CI176" i="2"/>
  <c r="BK185" i="2"/>
  <c r="BL184" i="2"/>
  <c r="BM184" i="2" s="1"/>
  <c r="BG188" i="2"/>
  <c r="BU188" i="2"/>
  <c r="X180" i="2"/>
  <c r="CW192" i="2"/>
  <c r="AI175" i="2"/>
  <c r="AJ174" i="2"/>
  <c r="AK174" i="2" s="1"/>
  <c r="AQ180" i="2"/>
  <c r="AR180" i="2" s="1"/>
  <c r="AP181" i="2"/>
  <c r="R155" i="1"/>
  <c r="S155" i="1" s="1"/>
  <c r="BS189" i="2"/>
  <c r="BT189" i="2" s="1"/>
  <c r="BR190" i="2"/>
  <c r="J174" i="2"/>
  <c r="BZ187" i="2"/>
  <c r="CA187" i="2" s="1"/>
  <c r="BY188" i="2"/>
  <c r="BL185" i="2" l="1"/>
  <c r="BM185" i="2" s="1"/>
  <c r="BK186" i="2"/>
  <c r="CP189" i="2"/>
  <c r="AW174" i="2"/>
  <c r="AX173" i="2"/>
  <c r="AY173" i="2" s="1"/>
  <c r="CB187" i="2"/>
  <c r="CM191" i="2"/>
  <c r="CN190" i="2"/>
  <c r="CO190" i="2" s="1"/>
  <c r="AZ172" i="2"/>
  <c r="O186" i="2"/>
  <c r="P186" i="2" s="1"/>
  <c r="N187" i="2"/>
  <c r="S156" i="1"/>
  <c r="AC238" i="2"/>
  <c r="AD238" i="2" s="1"/>
  <c r="AB239" i="2"/>
  <c r="DB182" i="2"/>
  <c r="DC182" i="2" s="1"/>
  <c r="DA183" i="2"/>
  <c r="BU189" i="2"/>
  <c r="Q185" i="2"/>
  <c r="BS190" i="2"/>
  <c r="BT190" i="2" s="1"/>
  <c r="BR191" i="2"/>
  <c r="BU190" i="2"/>
  <c r="AI176" i="2"/>
  <c r="AJ175" i="2"/>
  <c r="AK175" i="2" s="1"/>
  <c r="DI188" i="2"/>
  <c r="DJ188" i="2" s="1"/>
  <c r="DH189" i="2"/>
  <c r="CU194" i="2"/>
  <c r="CV194" i="2" s="1"/>
  <c r="CT195" i="2"/>
  <c r="AL174" i="2"/>
  <c r="BD191" i="2"/>
  <c r="BE190" i="2"/>
  <c r="BF190" i="2" s="1"/>
  <c r="AE237" i="2"/>
  <c r="BZ188" i="2"/>
  <c r="CA188" i="2" s="1"/>
  <c r="BY189" i="2"/>
  <c r="DK187" i="2"/>
  <c r="CW193" i="2"/>
  <c r="BG190" i="2"/>
  <c r="BG189" i="2"/>
  <c r="M168" i="1"/>
  <c r="G169" i="1"/>
  <c r="AP182" i="2"/>
  <c r="AQ181" i="2"/>
  <c r="AR181" i="2" s="1"/>
  <c r="U183" i="2"/>
  <c r="V182" i="2"/>
  <c r="W182" i="2" s="1"/>
  <c r="G177" i="2"/>
  <c r="H176" i="2"/>
  <c r="I176" i="2" s="1"/>
  <c r="CI177" i="2"/>
  <c r="K156" i="1"/>
  <c r="J156" i="1" s="1"/>
  <c r="E157" i="1"/>
  <c r="N156" i="1"/>
  <c r="BN184" i="2"/>
  <c r="X181" i="2"/>
  <c r="P157" i="1"/>
  <c r="Q157" i="1" s="1"/>
  <c r="O158" i="1"/>
  <c r="J175" i="2"/>
  <c r="J176" i="2"/>
  <c r="CG178" i="2"/>
  <c r="CH178" i="2" s="1"/>
  <c r="CF179" i="2"/>
  <c r="AS180" i="2"/>
  <c r="AP183" i="2" l="1"/>
  <c r="AQ182" i="2"/>
  <c r="AR182" i="2" s="1"/>
  <c r="AJ176" i="2"/>
  <c r="AK176" i="2" s="1"/>
  <c r="AI177" i="2"/>
  <c r="O187" i="2"/>
  <c r="P187" i="2" s="1"/>
  <c r="N188" i="2"/>
  <c r="AX174" i="2"/>
  <c r="AY174" i="2" s="1"/>
  <c r="AW175" i="2"/>
  <c r="BL186" i="2"/>
  <c r="BM186" i="2" s="1"/>
  <c r="BK187" i="2"/>
  <c r="Q187" i="2"/>
  <c r="BN185" i="2"/>
  <c r="H177" i="2"/>
  <c r="I177" i="2" s="1"/>
  <c r="G178" i="2"/>
  <c r="BY190" i="2"/>
  <c r="BZ189" i="2"/>
  <c r="CA189" i="2" s="1"/>
  <c r="BS191" i="2"/>
  <c r="BT191" i="2" s="1"/>
  <c r="BR192" i="2"/>
  <c r="CB188" i="2"/>
  <c r="CT196" i="2"/>
  <c r="CU195" i="2"/>
  <c r="CV195" i="2" s="1"/>
  <c r="DB183" i="2"/>
  <c r="DC183" i="2" s="1"/>
  <c r="DA184" i="2"/>
  <c r="P158" i="1"/>
  <c r="Q158" i="1" s="1"/>
  <c r="O159" i="1"/>
  <c r="K157" i="1"/>
  <c r="J157" i="1" s="1"/>
  <c r="E158" i="1"/>
  <c r="N157" i="1"/>
  <c r="X182" i="2"/>
  <c r="M169" i="1"/>
  <c r="G170" i="1"/>
  <c r="CW194" i="2"/>
  <c r="DD182" i="2"/>
  <c r="CP190" i="2"/>
  <c r="CG179" i="2"/>
  <c r="CH179" i="2" s="1"/>
  <c r="CF180" i="2"/>
  <c r="V183" i="2"/>
  <c r="W183" i="2" s="1"/>
  <c r="U184" i="2"/>
  <c r="DI189" i="2"/>
  <c r="DJ189" i="2" s="1"/>
  <c r="DH190" i="2"/>
  <c r="AB240" i="2"/>
  <c r="AC239" i="2"/>
  <c r="AD239" i="2" s="1"/>
  <c r="CN191" i="2"/>
  <c r="CO191" i="2" s="1"/>
  <c r="CM192" i="2"/>
  <c r="R158" i="1"/>
  <c r="S158" i="1" s="1"/>
  <c r="DK188" i="2"/>
  <c r="Q186" i="2"/>
  <c r="AE238" i="2"/>
  <c r="R157" i="1"/>
  <c r="S157" i="1" s="1"/>
  <c r="CI178" i="2"/>
  <c r="CI179" i="2"/>
  <c r="AS181" i="2"/>
  <c r="BD192" i="2"/>
  <c r="BE191" i="2"/>
  <c r="BF191" i="2" s="1"/>
  <c r="AL175" i="2"/>
  <c r="AZ173" i="2"/>
  <c r="AB241" i="2" l="1"/>
  <c r="AC240" i="2"/>
  <c r="AD240" i="2" s="1"/>
  <c r="AI178" i="2"/>
  <c r="AJ177" i="2"/>
  <c r="AK177" i="2" s="1"/>
  <c r="DA185" i="2"/>
  <c r="DB184" i="2"/>
  <c r="DC184" i="2" s="1"/>
  <c r="BR193" i="2"/>
  <c r="BS192" i="2"/>
  <c r="BT192" i="2" s="1"/>
  <c r="BL187" i="2"/>
  <c r="BM187" i="2" s="1"/>
  <c r="BK188" i="2"/>
  <c r="AL176" i="2"/>
  <c r="BG191" i="2"/>
  <c r="DH191" i="2"/>
  <c r="DI190" i="2"/>
  <c r="DJ190" i="2" s="1"/>
  <c r="DD183" i="2"/>
  <c r="BU191" i="2"/>
  <c r="BN186" i="2"/>
  <c r="AS182" i="2"/>
  <c r="DK189" i="2"/>
  <c r="AW176" i="2"/>
  <c r="AX175" i="2"/>
  <c r="AY175" i="2" s="1"/>
  <c r="AP184" i="2"/>
  <c r="AQ183" i="2"/>
  <c r="AR183" i="2" s="1"/>
  <c r="U185" i="2"/>
  <c r="V184" i="2"/>
  <c r="W184" i="2" s="1"/>
  <c r="CW195" i="2"/>
  <c r="CB189" i="2"/>
  <c r="AZ174" i="2"/>
  <c r="CN192" i="2"/>
  <c r="CO192" i="2" s="1"/>
  <c r="CM193" i="2"/>
  <c r="X184" i="2"/>
  <c r="X183" i="2"/>
  <c r="E159" i="1"/>
  <c r="K158" i="1"/>
  <c r="J158" i="1" s="1"/>
  <c r="N158" i="1"/>
  <c r="CT197" i="2"/>
  <c r="CU196" i="2"/>
  <c r="CV196" i="2" s="1"/>
  <c r="BZ190" i="2"/>
  <c r="CA190" i="2" s="1"/>
  <c r="BY191" i="2"/>
  <c r="O188" i="2"/>
  <c r="P188" i="2" s="1"/>
  <c r="N189" i="2"/>
  <c r="BE192" i="2"/>
  <c r="BF192" i="2" s="1"/>
  <c r="BD193" i="2"/>
  <c r="CP191" i="2"/>
  <c r="CF181" i="2"/>
  <c r="CG180" i="2"/>
  <c r="CH180" i="2" s="1"/>
  <c r="M170" i="1"/>
  <c r="G171" i="1"/>
  <c r="G179" i="2"/>
  <c r="H178" i="2"/>
  <c r="I178" i="2" s="1"/>
  <c r="AE239" i="2"/>
  <c r="P159" i="1"/>
  <c r="Q159" i="1" s="1"/>
  <c r="O160" i="1"/>
  <c r="J177" i="2"/>
  <c r="J178" i="2"/>
  <c r="BU192" i="2"/>
  <c r="H179" i="2" l="1"/>
  <c r="I179" i="2" s="1"/>
  <c r="G180" i="2"/>
  <c r="BZ191" i="2"/>
  <c r="CA191" i="2" s="1"/>
  <c r="BY192" i="2"/>
  <c r="AW177" i="2"/>
  <c r="AX176" i="2"/>
  <c r="AY176" i="2" s="1"/>
  <c r="BR194" i="2"/>
  <c r="BS193" i="2"/>
  <c r="BT193" i="2" s="1"/>
  <c r="G172" i="1"/>
  <c r="M171" i="1"/>
  <c r="CB190" i="2"/>
  <c r="AE240" i="2"/>
  <c r="CW196" i="2"/>
  <c r="DB185" i="2"/>
  <c r="DC185" i="2" s="1"/>
  <c r="DA186" i="2"/>
  <c r="AC241" i="2"/>
  <c r="AD241" i="2" s="1"/>
  <c r="AB242" i="2"/>
  <c r="CU197" i="2"/>
  <c r="CV197" i="2" s="1"/>
  <c r="CT198" i="2"/>
  <c r="BG192" i="2"/>
  <c r="BE193" i="2"/>
  <c r="BF193" i="2" s="1"/>
  <c r="BD194" i="2"/>
  <c r="CN193" i="2"/>
  <c r="CO193" i="2" s="1"/>
  <c r="CM194" i="2"/>
  <c r="U186" i="2"/>
  <c r="V185" i="2"/>
  <c r="W185" i="2" s="1"/>
  <c r="DD184" i="2"/>
  <c r="CI180" i="2"/>
  <c r="CI181" i="2"/>
  <c r="CP192" i="2"/>
  <c r="AS183" i="2"/>
  <c r="BK189" i="2"/>
  <c r="BL188" i="2"/>
  <c r="BM188" i="2" s="1"/>
  <c r="AL177" i="2"/>
  <c r="P160" i="1"/>
  <c r="Q160" i="1" s="1"/>
  <c r="O161" i="1"/>
  <c r="CF182" i="2"/>
  <c r="CG181" i="2"/>
  <c r="CH181" i="2" s="1"/>
  <c r="O189" i="2"/>
  <c r="P189" i="2" s="1"/>
  <c r="N190" i="2"/>
  <c r="E160" i="1"/>
  <c r="K159" i="1"/>
  <c r="J159" i="1" s="1"/>
  <c r="N159" i="1"/>
  <c r="CB191" i="2"/>
  <c r="AQ184" i="2"/>
  <c r="AR184" i="2" s="1"/>
  <c r="AP185" i="2"/>
  <c r="DK190" i="2"/>
  <c r="BN187" i="2"/>
  <c r="AJ178" i="2"/>
  <c r="AK178" i="2" s="1"/>
  <c r="AI179" i="2"/>
  <c r="Q189" i="2"/>
  <c r="Q188" i="2"/>
  <c r="AZ176" i="2"/>
  <c r="AZ175" i="2"/>
  <c r="DI191" i="2"/>
  <c r="DJ191" i="2" s="1"/>
  <c r="DH192" i="2"/>
  <c r="R159" i="1"/>
  <c r="S159" i="1" s="1"/>
  <c r="AL178" i="2" l="1"/>
  <c r="CG182" i="2"/>
  <c r="CH182" i="2" s="1"/>
  <c r="CF183" i="2"/>
  <c r="BG193" i="2"/>
  <c r="AC242" i="2"/>
  <c r="AD242" i="2" s="1"/>
  <c r="AB243" i="2"/>
  <c r="AX177" i="2"/>
  <c r="AY177" i="2" s="1"/>
  <c r="AW178" i="2"/>
  <c r="BN188" i="2"/>
  <c r="AE241" i="2"/>
  <c r="AE242" i="2"/>
  <c r="BY193" i="2"/>
  <c r="BZ192" i="2"/>
  <c r="CA192" i="2" s="1"/>
  <c r="DA187" i="2"/>
  <c r="DB186" i="2"/>
  <c r="DC186" i="2" s="1"/>
  <c r="BL189" i="2"/>
  <c r="BM189" i="2" s="1"/>
  <c r="BK190" i="2"/>
  <c r="DI192" i="2"/>
  <c r="DJ192" i="2" s="1"/>
  <c r="DH193" i="2"/>
  <c r="O162" i="1"/>
  <c r="P161" i="1"/>
  <c r="Q161" i="1" s="1"/>
  <c r="X185" i="2"/>
  <c r="DD186" i="2"/>
  <c r="DD185" i="2"/>
  <c r="M172" i="1"/>
  <c r="G173" i="1"/>
  <c r="G181" i="2"/>
  <c r="H180" i="2"/>
  <c r="I180" i="2" s="1"/>
  <c r="K160" i="1"/>
  <c r="J160" i="1" s="1"/>
  <c r="E161" i="1"/>
  <c r="N160" i="1"/>
  <c r="R160" i="1"/>
  <c r="S160" i="1" s="1"/>
  <c r="V186" i="2"/>
  <c r="W186" i="2" s="1"/>
  <c r="U187" i="2"/>
  <c r="J179" i="2"/>
  <c r="DK191" i="2"/>
  <c r="O190" i="2"/>
  <c r="P190" i="2" s="1"/>
  <c r="N191" i="2"/>
  <c r="CN194" i="2"/>
  <c r="CO194" i="2" s="1"/>
  <c r="CM195" i="2"/>
  <c r="CU198" i="2"/>
  <c r="CV198" i="2" s="1"/>
  <c r="CT199" i="2"/>
  <c r="BU193" i="2"/>
  <c r="AP186" i="2"/>
  <c r="AQ185" i="2"/>
  <c r="AR185" i="2" s="1"/>
  <c r="Q190" i="2"/>
  <c r="AL179" i="2"/>
  <c r="CP193" i="2"/>
  <c r="BR195" i="2"/>
  <c r="BS194" i="2"/>
  <c r="BT194" i="2" s="1"/>
  <c r="AJ179" i="2"/>
  <c r="AK179" i="2" s="1"/>
  <c r="AI180" i="2"/>
  <c r="AS184" i="2"/>
  <c r="BE194" i="2"/>
  <c r="BF194" i="2" s="1"/>
  <c r="BD195" i="2"/>
  <c r="CW198" i="2"/>
  <c r="CW197" i="2"/>
  <c r="X186" i="2" l="1"/>
  <c r="G182" i="2"/>
  <c r="H181" i="2"/>
  <c r="I181" i="2" s="1"/>
  <c r="N192" i="2"/>
  <c r="O191" i="2"/>
  <c r="P191" i="2" s="1"/>
  <c r="M173" i="1"/>
  <c r="G174" i="1"/>
  <c r="BL190" i="2"/>
  <c r="BM190" i="2" s="1"/>
  <c r="BK191" i="2"/>
  <c r="CG183" i="2"/>
  <c r="CH183" i="2" s="1"/>
  <c r="CF184" i="2"/>
  <c r="BU194" i="2"/>
  <c r="BN189" i="2"/>
  <c r="AX178" i="2"/>
  <c r="AY178" i="2" s="1"/>
  <c r="AW179" i="2"/>
  <c r="CI182" i="2"/>
  <c r="AZ177" i="2"/>
  <c r="AS185" i="2"/>
  <c r="CT200" i="2"/>
  <c r="CU199" i="2"/>
  <c r="CV199" i="2" s="1"/>
  <c r="R161" i="1"/>
  <c r="S161" i="1" s="1"/>
  <c r="AC243" i="2"/>
  <c r="AD243" i="2" s="1"/>
  <c r="AB244" i="2"/>
  <c r="BE195" i="2"/>
  <c r="BF195" i="2" s="1"/>
  <c r="BD196" i="2"/>
  <c r="AP187" i="2"/>
  <c r="AQ186" i="2"/>
  <c r="AR186" i="2" s="1"/>
  <c r="K161" i="1"/>
  <c r="J161" i="1" s="1"/>
  <c r="E162" i="1"/>
  <c r="N161" i="1"/>
  <c r="P162" i="1"/>
  <c r="Q162" i="1" s="1"/>
  <c r="O163" i="1"/>
  <c r="DA188" i="2"/>
  <c r="DB187" i="2"/>
  <c r="DC187" i="2" s="1"/>
  <c r="BG194" i="2"/>
  <c r="BU195" i="2"/>
  <c r="CM196" i="2"/>
  <c r="CN195" i="2"/>
  <c r="CO195" i="2" s="1"/>
  <c r="DK192" i="2"/>
  <c r="CB192" i="2"/>
  <c r="CB193" i="2"/>
  <c r="BN190" i="2"/>
  <c r="BS195" i="2"/>
  <c r="BT195" i="2" s="1"/>
  <c r="BR196" i="2"/>
  <c r="AJ180" i="2"/>
  <c r="AK180" i="2" s="1"/>
  <c r="AI181" i="2"/>
  <c r="CP194" i="2"/>
  <c r="V187" i="2"/>
  <c r="W187" i="2" s="1"/>
  <c r="U188" i="2"/>
  <c r="J180" i="2"/>
  <c r="J181" i="2"/>
  <c r="DH194" i="2"/>
  <c r="DI193" i="2"/>
  <c r="DJ193" i="2" s="1"/>
  <c r="BZ193" i="2"/>
  <c r="CA193" i="2" s="1"/>
  <c r="BY194" i="2"/>
  <c r="E163" i="1" l="1"/>
  <c r="K162" i="1"/>
  <c r="J162" i="1" s="1"/>
  <c r="N162" i="1"/>
  <c r="BE196" i="2"/>
  <c r="BF196" i="2" s="1"/>
  <c r="BD197" i="2"/>
  <c r="X187" i="2"/>
  <c r="AJ181" i="2"/>
  <c r="AK181" i="2" s="1"/>
  <c r="AI182" i="2"/>
  <c r="CN196" i="2"/>
  <c r="CO196" i="2" s="1"/>
  <c r="CM197" i="2"/>
  <c r="AX179" i="2"/>
  <c r="AY179" i="2" s="1"/>
  <c r="AW180" i="2"/>
  <c r="M174" i="1"/>
  <c r="G175" i="1"/>
  <c r="AB245" i="2"/>
  <c r="AC244" i="2"/>
  <c r="AD244" i="2" s="1"/>
  <c r="CW199" i="2"/>
  <c r="AZ178" i="2"/>
  <c r="H182" i="2"/>
  <c r="I182" i="2" s="1"/>
  <c r="G183" i="2"/>
  <c r="CP195" i="2"/>
  <c r="DD187" i="2"/>
  <c r="DD188" i="2"/>
  <c r="AE243" i="2"/>
  <c r="CU200" i="2"/>
  <c r="CV200" i="2" s="1"/>
  <c r="CT201" i="2"/>
  <c r="CP196" i="2"/>
  <c r="BR197" i="2"/>
  <c r="BS196" i="2"/>
  <c r="BT196" i="2" s="1"/>
  <c r="BG195" i="2"/>
  <c r="DB188" i="2"/>
  <c r="DC188" i="2" s="1"/>
  <c r="DA189" i="2"/>
  <c r="CF185" i="2"/>
  <c r="CG184" i="2"/>
  <c r="CH184" i="2" s="1"/>
  <c r="BZ194" i="2"/>
  <c r="CA194" i="2" s="1"/>
  <c r="BY195" i="2"/>
  <c r="P163" i="1"/>
  <c r="Q163" i="1" s="1"/>
  <c r="O164" i="1"/>
  <c r="CI183" i="2"/>
  <c r="CI184" i="2"/>
  <c r="O192" i="2"/>
  <c r="P192" i="2" s="1"/>
  <c r="N193" i="2"/>
  <c r="DI194" i="2"/>
  <c r="DJ194" i="2" s="1"/>
  <c r="DH195" i="2"/>
  <c r="AL181" i="2"/>
  <c r="R163" i="1"/>
  <c r="AS186" i="2"/>
  <c r="R162" i="1"/>
  <c r="S162" i="1" s="1"/>
  <c r="AL180" i="2"/>
  <c r="Q191" i="2"/>
  <c r="BL191" i="2"/>
  <c r="BM191" i="2" s="1"/>
  <c r="BK192" i="2"/>
  <c r="CB194" i="2"/>
  <c r="DK193" i="2"/>
  <c r="DK194" i="2"/>
  <c r="U189" i="2"/>
  <c r="V188" i="2"/>
  <c r="W188" i="2" s="1"/>
  <c r="AQ187" i="2"/>
  <c r="AR187" i="2" s="1"/>
  <c r="AP188" i="2"/>
  <c r="Q192" i="2"/>
  <c r="S163" i="1" l="1"/>
  <c r="H183" i="2"/>
  <c r="I183" i="2" s="1"/>
  <c r="G184" i="2"/>
  <c r="BK193" i="2"/>
  <c r="BL192" i="2"/>
  <c r="BM192" i="2" s="1"/>
  <c r="DI195" i="2"/>
  <c r="DJ195" i="2" s="1"/>
  <c r="DH196" i="2"/>
  <c r="BZ195" i="2"/>
  <c r="CA195" i="2" s="1"/>
  <c r="BY196" i="2"/>
  <c r="CU201" i="2"/>
  <c r="CV201" i="2" s="1"/>
  <c r="CT202" i="2"/>
  <c r="J182" i="2"/>
  <c r="CB195" i="2"/>
  <c r="DB189" i="2"/>
  <c r="DC189" i="2" s="1"/>
  <c r="DA190" i="2"/>
  <c r="CW200" i="2"/>
  <c r="AB246" i="2"/>
  <c r="AC245" i="2"/>
  <c r="AD245" i="2" s="1"/>
  <c r="AW181" i="2"/>
  <c r="AX180" i="2"/>
  <c r="AY180" i="2" s="1"/>
  <c r="BD198" i="2"/>
  <c r="BE197" i="2"/>
  <c r="BF197" i="2" s="1"/>
  <c r="AS187" i="2"/>
  <c r="AE245" i="2"/>
  <c r="J183" i="2"/>
  <c r="AZ179" i="2"/>
  <c r="BG196" i="2"/>
  <c r="O193" i="2"/>
  <c r="P193" i="2" s="1"/>
  <c r="Q193" i="2" s="1"/>
  <c r="N194" i="2"/>
  <c r="AQ188" i="2"/>
  <c r="AR188" i="2" s="1"/>
  <c r="AP189" i="2"/>
  <c r="P164" i="1"/>
  <c r="Q164" i="1" s="1"/>
  <c r="O165" i="1"/>
  <c r="BU196" i="2"/>
  <c r="AE244" i="2"/>
  <c r="CN197" i="2"/>
  <c r="CO197" i="2" s="1"/>
  <c r="CM198" i="2"/>
  <c r="BN191" i="2"/>
  <c r="X188" i="2"/>
  <c r="BR198" i="2"/>
  <c r="BS197" i="2"/>
  <c r="BT197" i="2" s="1"/>
  <c r="G176" i="1"/>
  <c r="M175" i="1"/>
  <c r="E164" i="1"/>
  <c r="K163" i="1"/>
  <c r="J163" i="1" s="1"/>
  <c r="N163" i="1"/>
  <c r="BN192" i="2"/>
  <c r="U190" i="2"/>
  <c r="V189" i="2"/>
  <c r="W189" i="2" s="1"/>
  <c r="X189" i="2" s="1"/>
  <c r="CF186" i="2"/>
  <c r="CG185" i="2"/>
  <c r="CH185" i="2" s="1"/>
  <c r="AI183" i="2"/>
  <c r="AJ182" i="2"/>
  <c r="AK182" i="2" s="1"/>
  <c r="M176" i="1" l="1"/>
  <c r="G177" i="1"/>
  <c r="BE198" i="2"/>
  <c r="BF198" i="2" s="1"/>
  <c r="BD199" i="2"/>
  <c r="DD189" i="2"/>
  <c r="CG186" i="2"/>
  <c r="CH186" i="2" s="1"/>
  <c r="CF187" i="2"/>
  <c r="AP190" i="2"/>
  <c r="AQ189" i="2"/>
  <c r="AR189" i="2" s="1"/>
  <c r="AZ180" i="2"/>
  <c r="DH197" i="2"/>
  <c r="DI196" i="2"/>
  <c r="DJ196" i="2" s="1"/>
  <c r="AX181" i="2"/>
  <c r="AY181" i="2" s="1"/>
  <c r="AW182" i="2"/>
  <c r="AS188" i="2"/>
  <c r="CN198" i="2"/>
  <c r="CO198" i="2" s="1"/>
  <c r="CM199" i="2"/>
  <c r="O166" i="1"/>
  <c r="P165" i="1"/>
  <c r="Q165" i="1" s="1"/>
  <c r="AL182" i="2"/>
  <c r="BU197" i="2"/>
  <c r="CP197" i="2"/>
  <c r="CP198" i="2"/>
  <c r="R164" i="1"/>
  <c r="S164" i="1" s="1"/>
  <c r="R165" i="1"/>
  <c r="AC246" i="2"/>
  <c r="AD246" i="2" s="1"/>
  <c r="AB247" i="2"/>
  <c r="BR199" i="2"/>
  <c r="BS198" i="2"/>
  <c r="BT198" i="2" s="1"/>
  <c r="DK195" i="2"/>
  <c r="CT203" i="2"/>
  <c r="CU202" i="2"/>
  <c r="CV202" i="2" s="1"/>
  <c r="BL193" i="2"/>
  <c r="BM193" i="2" s="1"/>
  <c r="BK194" i="2"/>
  <c r="K164" i="1"/>
  <c r="J164" i="1" s="1"/>
  <c r="E165" i="1"/>
  <c r="N164" i="1"/>
  <c r="N195" i="2"/>
  <c r="O194" i="2"/>
  <c r="P194" i="2" s="1"/>
  <c r="CW201" i="2"/>
  <c r="AJ183" i="2"/>
  <c r="AK183" i="2" s="1"/>
  <c r="AI184" i="2"/>
  <c r="V190" i="2"/>
  <c r="W190" i="2" s="1"/>
  <c r="U191" i="2"/>
  <c r="CI185" i="2"/>
  <c r="BG197" i="2"/>
  <c r="BG198" i="2"/>
  <c r="DB190" i="2"/>
  <c r="DC190" i="2" s="1"/>
  <c r="DA191" i="2"/>
  <c r="BZ196" i="2"/>
  <c r="CA196" i="2" s="1"/>
  <c r="BY197" i="2"/>
  <c r="G185" i="2"/>
  <c r="H184" i="2"/>
  <c r="I184" i="2" s="1"/>
  <c r="S165" i="1" l="1"/>
  <c r="AZ181" i="2"/>
  <c r="M177" i="1"/>
  <c r="G178" i="1"/>
  <c r="DD190" i="2"/>
  <c r="X190" i="2"/>
  <c r="CT204" i="2"/>
  <c r="CU203" i="2"/>
  <c r="CV203" i="2" s="1"/>
  <c r="P166" i="1"/>
  <c r="Q166" i="1" s="1"/>
  <c r="O167" i="1"/>
  <c r="CM200" i="2"/>
  <c r="CN199" i="2"/>
  <c r="CO199" i="2" s="1"/>
  <c r="AS189" i="2"/>
  <c r="AL183" i="2"/>
  <c r="BU198" i="2"/>
  <c r="BU199" i="2"/>
  <c r="DK196" i="2"/>
  <c r="AP191" i="2"/>
  <c r="AQ190" i="2"/>
  <c r="AR190" i="2" s="1"/>
  <c r="G186" i="2"/>
  <c r="H185" i="2"/>
  <c r="I185" i="2" s="1"/>
  <c r="Q194" i="2"/>
  <c r="E166" i="1"/>
  <c r="K165" i="1"/>
  <c r="J165" i="1" s="1"/>
  <c r="N165" i="1"/>
  <c r="BS199" i="2"/>
  <c r="BT199" i="2" s="1"/>
  <c r="BR200" i="2"/>
  <c r="DI197" i="2"/>
  <c r="DJ197" i="2" s="1"/>
  <c r="DH198" i="2"/>
  <c r="DA192" i="2"/>
  <c r="DB191" i="2"/>
  <c r="DC191" i="2" s="1"/>
  <c r="DD191" i="2" s="1"/>
  <c r="AJ184" i="2"/>
  <c r="AK184" i="2" s="1"/>
  <c r="AI185" i="2"/>
  <c r="O195" i="2"/>
  <c r="P195" i="2" s="1"/>
  <c r="N196" i="2"/>
  <c r="CG187" i="2"/>
  <c r="CH187" i="2" s="1"/>
  <c r="CF188" i="2"/>
  <c r="BE199" i="2"/>
  <c r="BF199" i="2" s="1"/>
  <c r="BD200" i="2"/>
  <c r="CW202" i="2"/>
  <c r="BL194" i="2"/>
  <c r="BM194" i="2" s="1"/>
  <c r="BK195" i="2"/>
  <c r="AC247" i="2"/>
  <c r="AD247" i="2" s="1"/>
  <c r="AB248" i="2"/>
  <c r="V191" i="2"/>
  <c r="W191" i="2" s="1"/>
  <c r="U192" i="2"/>
  <c r="J184" i="2"/>
  <c r="BZ197" i="2"/>
  <c r="CA197" i="2" s="1"/>
  <c r="BY198" i="2"/>
  <c r="CB196" i="2"/>
  <c r="BN193" i="2"/>
  <c r="AE246" i="2"/>
  <c r="AE247" i="2"/>
  <c r="AL184" i="2"/>
  <c r="AX182" i="2"/>
  <c r="AY182" i="2" s="1"/>
  <c r="AZ182" i="2" s="1"/>
  <c r="AW183" i="2"/>
  <c r="CI186" i="2"/>
  <c r="BL195" i="2" l="1"/>
  <c r="BM195" i="2" s="1"/>
  <c r="BK196" i="2"/>
  <c r="DB192" i="2"/>
  <c r="DC192" i="2" s="1"/>
  <c r="DA193" i="2"/>
  <c r="R166" i="1"/>
  <c r="S166" i="1" s="1"/>
  <c r="BN194" i="2"/>
  <c r="E167" i="1"/>
  <c r="K166" i="1"/>
  <c r="J166" i="1" s="1"/>
  <c r="N166" i="1"/>
  <c r="M178" i="1"/>
  <c r="G179" i="1"/>
  <c r="DI198" i="2"/>
  <c r="DJ198" i="2" s="1"/>
  <c r="DH199" i="2"/>
  <c r="H186" i="2"/>
  <c r="I186" i="2" s="1"/>
  <c r="G187" i="2"/>
  <c r="CP199" i="2"/>
  <c r="CU204" i="2"/>
  <c r="CV204" i="2" s="1"/>
  <c r="CT205" i="2"/>
  <c r="V192" i="2"/>
  <c r="W192" i="2" s="1"/>
  <c r="U193" i="2"/>
  <c r="O196" i="2"/>
  <c r="P196" i="2" s="1"/>
  <c r="N197" i="2"/>
  <c r="CN200" i="2"/>
  <c r="CO200" i="2" s="1"/>
  <c r="CM201" i="2"/>
  <c r="CW203" i="2"/>
  <c r="BY199" i="2"/>
  <c r="BZ198" i="2"/>
  <c r="CA198" i="2" s="1"/>
  <c r="X191" i="2"/>
  <c r="BD201" i="2"/>
  <c r="BE200" i="2"/>
  <c r="BF200" i="2" s="1"/>
  <c r="Q196" i="2"/>
  <c r="CB197" i="2"/>
  <c r="AJ185" i="2"/>
  <c r="AK185" i="2" s="1"/>
  <c r="AI186" i="2"/>
  <c r="BS200" i="2"/>
  <c r="BT200" i="2" s="1"/>
  <c r="BR201" i="2"/>
  <c r="Q195" i="2"/>
  <c r="AQ191" i="2"/>
  <c r="AR191" i="2" s="1"/>
  <c r="AP192" i="2"/>
  <c r="AC248" i="2"/>
  <c r="AD248" i="2" s="1"/>
  <c r="AB249" i="2"/>
  <c r="CG188" i="2"/>
  <c r="CH188" i="2" s="1"/>
  <c r="CF189" i="2"/>
  <c r="DK197" i="2"/>
  <c r="AW184" i="2"/>
  <c r="AX183" i="2"/>
  <c r="AY183" i="2" s="1"/>
  <c r="J185" i="2"/>
  <c r="BG199" i="2"/>
  <c r="AE248" i="2"/>
  <c r="CI187" i="2"/>
  <c r="AS190" i="2"/>
  <c r="P167" i="1"/>
  <c r="Q167" i="1" s="1"/>
  <c r="O168" i="1"/>
  <c r="R167" i="1"/>
  <c r="S167" i="1" s="1"/>
  <c r="AL185" i="2" l="1"/>
  <c r="X192" i="2"/>
  <c r="DD192" i="2"/>
  <c r="CM202" i="2"/>
  <c r="CN201" i="2"/>
  <c r="CO201" i="2" s="1"/>
  <c r="CP201" i="2" s="1"/>
  <c r="BL196" i="2"/>
  <c r="BM196" i="2" s="1"/>
  <c r="BK197" i="2"/>
  <c r="AQ192" i="2"/>
  <c r="AR192" i="2" s="1"/>
  <c r="AP193" i="2"/>
  <c r="CB198" i="2"/>
  <c r="CP200" i="2"/>
  <c r="G188" i="2"/>
  <c r="H187" i="2"/>
  <c r="I187" i="2" s="1"/>
  <c r="BN195" i="2"/>
  <c r="CF190" i="2"/>
  <c r="CG189" i="2"/>
  <c r="CH189" i="2" s="1"/>
  <c r="AS191" i="2"/>
  <c r="BZ199" i="2"/>
  <c r="CA199" i="2" s="1"/>
  <c r="BY200" i="2"/>
  <c r="CU205" i="2"/>
  <c r="CV205" i="2" s="1"/>
  <c r="CT206" i="2"/>
  <c r="J186" i="2"/>
  <c r="CW204" i="2"/>
  <c r="DH200" i="2"/>
  <c r="DI199" i="2"/>
  <c r="DJ199" i="2" s="1"/>
  <c r="AC249" i="2"/>
  <c r="AD249" i="2" s="1"/>
  <c r="AB250" i="2"/>
  <c r="BR202" i="2"/>
  <c r="BS201" i="2"/>
  <c r="BT201" i="2" s="1"/>
  <c r="AZ183" i="2"/>
  <c r="N198" i="2"/>
  <c r="O197" i="2"/>
  <c r="P197" i="2" s="1"/>
  <c r="DK198" i="2"/>
  <c r="DK199" i="2"/>
  <c r="P168" i="1"/>
  <c r="Q168" i="1" s="1"/>
  <c r="O169" i="1"/>
  <c r="BU200" i="2"/>
  <c r="BG200" i="2"/>
  <c r="AX184" i="2"/>
  <c r="AY184" i="2" s="1"/>
  <c r="AW185" i="2"/>
  <c r="CI188" i="2"/>
  <c r="CI189" i="2"/>
  <c r="AI187" i="2"/>
  <c r="AJ186" i="2"/>
  <c r="AK186" i="2" s="1"/>
  <c r="BE201" i="2"/>
  <c r="BF201" i="2" s="1"/>
  <c r="BD202" i="2"/>
  <c r="V193" i="2"/>
  <c r="W193" i="2" s="1"/>
  <c r="U194" i="2"/>
  <c r="G180" i="1"/>
  <c r="M179" i="1"/>
  <c r="K167" i="1"/>
  <c r="J167" i="1" s="1"/>
  <c r="E168" i="1"/>
  <c r="N167" i="1"/>
  <c r="DB193" i="2"/>
  <c r="DC193" i="2" s="1"/>
  <c r="DA194" i="2"/>
  <c r="AX185" i="2" l="1"/>
  <c r="AY185" i="2" s="1"/>
  <c r="AW186" i="2"/>
  <c r="BU201" i="2"/>
  <c r="AP194" i="2"/>
  <c r="AQ193" i="2"/>
  <c r="AR193" i="2" s="1"/>
  <c r="DD193" i="2"/>
  <c r="BS202" i="2"/>
  <c r="BT202" i="2" s="1"/>
  <c r="BR203" i="2"/>
  <c r="AS192" i="2"/>
  <c r="AS193" i="2"/>
  <c r="M180" i="1"/>
  <c r="G181" i="1"/>
  <c r="AJ187" i="2"/>
  <c r="AK187" i="2" s="1"/>
  <c r="AI188" i="2"/>
  <c r="AC250" i="2"/>
  <c r="AD250" i="2" s="1"/>
  <c r="AB251" i="2"/>
  <c r="CT207" i="2"/>
  <c r="CU206" i="2"/>
  <c r="CV206" i="2" s="1"/>
  <c r="CG190" i="2"/>
  <c r="CH190" i="2" s="1"/>
  <c r="CF191" i="2"/>
  <c r="G189" i="2"/>
  <c r="H188" i="2"/>
  <c r="I188" i="2" s="1"/>
  <c r="BK198" i="2"/>
  <c r="BL197" i="2"/>
  <c r="BM197" i="2" s="1"/>
  <c r="AE249" i="2"/>
  <c r="CW205" i="2"/>
  <c r="CW206" i="2"/>
  <c r="AZ184" i="2"/>
  <c r="BN197" i="2"/>
  <c r="O170" i="1"/>
  <c r="P169" i="1"/>
  <c r="Q169" i="1" s="1"/>
  <c r="BZ200" i="2"/>
  <c r="CA200" i="2" s="1"/>
  <c r="BY201" i="2"/>
  <c r="X193" i="2"/>
  <c r="Q197" i="2"/>
  <c r="J187" i="2"/>
  <c r="CB199" i="2"/>
  <c r="CN202" i="2"/>
  <c r="CO202" i="2" s="1"/>
  <c r="CM203" i="2"/>
  <c r="V194" i="2"/>
  <c r="W194" i="2" s="1"/>
  <c r="U195" i="2"/>
  <c r="AZ185" i="2"/>
  <c r="R168" i="1"/>
  <c r="S168" i="1" s="1"/>
  <c r="N199" i="2"/>
  <c r="O198" i="2"/>
  <c r="P198" i="2" s="1"/>
  <c r="BN196" i="2"/>
  <c r="DA195" i="2"/>
  <c r="DB194" i="2"/>
  <c r="DC194" i="2" s="1"/>
  <c r="K168" i="1"/>
  <c r="J168" i="1" s="1"/>
  <c r="E169" i="1"/>
  <c r="N168" i="1"/>
  <c r="BE202" i="2"/>
  <c r="BF202" i="2" s="1"/>
  <c r="BD203" i="2"/>
  <c r="BG201" i="2"/>
  <c r="DH201" i="2"/>
  <c r="DI200" i="2"/>
  <c r="DJ200" i="2" s="1"/>
  <c r="AL186" i="2"/>
  <c r="K169" i="1" l="1"/>
  <c r="J169" i="1" s="1"/>
  <c r="E170" i="1"/>
  <c r="N169" i="1"/>
  <c r="V195" i="2"/>
  <c r="W195" i="2" s="1"/>
  <c r="U196" i="2"/>
  <c r="BL198" i="2"/>
  <c r="BM198" i="2" s="1"/>
  <c r="BK199" i="2"/>
  <c r="AC251" i="2"/>
  <c r="AD251" i="2" s="1"/>
  <c r="AB252" i="2"/>
  <c r="DK200" i="2"/>
  <c r="BZ201" i="2"/>
  <c r="CA201" i="2" s="1"/>
  <c r="BY202" i="2"/>
  <c r="AE250" i="2"/>
  <c r="BR204" i="2"/>
  <c r="BS203" i="2"/>
  <c r="BT203" i="2" s="1"/>
  <c r="DI201" i="2"/>
  <c r="DJ201" i="2" s="1"/>
  <c r="DH202" i="2"/>
  <c r="CB200" i="2"/>
  <c r="H189" i="2"/>
  <c r="I189" i="2" s="1"/>
  <c r="G190" i="2"/>
  <c r="AJ188" i="2"/>
  <c r="AK188" i="2" s="1"/>
  <c r="AI189" i="2"/>
  <c r="BU202" i="2"/>
  <c r="BU203" i="2"/>
  <c r="AP195" i="2"/>
  <c r="AQ194" i="2"/>
  <c r="AR194" i="2" s="1"/>
  <c r="Q198" i="2"/>
  <c r="J188" i="2"/>
  <c r="CG191" i="2"/>
  <c r="CH191" i="2" s="1"/>
  <c r="CF192" i="2"/>
  <c r="AL187" i="2"/>
  <c r="DD194" i="2"/>
  <c r="O199" i="2"/>
  <c r="P199" i="2" s="1"/>
  <c r="N200" i="2"/>
  <c r="CM204" i="2"/>
  <c r="CN203" i="2"/>
  <c r="CO203" i="2" s="1"/>
  <c r="X194" i="2"/>
  <c r="R169" i="1"/>
  <c r="S169" i="1" s="1"/>
  <c r="M181" i="1"/>
  <c r="G182" i="1"/>
  <c r="DA196" i="2"/>
  <c r="DB195" i="2"/>
  <c r="DC195" i="2" s="1"/>
  <c r="CP202" i="2"/>
  <c r="CP203" i="2"/>
  <c r="P170" i="1"/>
  <c r="Q170" i="1" s="1"/>
  <c r="O171" i="1"/>
  <c r="BE203" i="2"/>
  <c r="BF203" i="2" s="1"/>
  <c r="BD204" i="2"/>
  <c r="CT208" i="2"/>
  <c r="CU207" i="2"/>
  <c r="CV207" i="2" s="1"/>
  <c r="CW207" i="2" s="1"/>
  <c r="CI190" i="2"/>
  <c r="BG202" i="2"/>
  <c r="CI191" i="2"/>
  <c r="AX186" i="2"/>
  <c r="AY186" i="2" s="1"/>
  <c r="AW187" i="2"/>
  <c r="R170" i="1" l="1"/>
  <c r="S170" i="1" s="1"/>
  <c r="AL188" i="2"/>
  <c r="BG203" i="2"/>
  <c r="V196" i="2"/>
  <c r="W196" i="2" s="1"/>
  <c r="U197" i="2"/>
  <c r="M182" i="1"/>
  <c r="G183" i="1"/>
  <c r="AS194" i="2"/>
  <c r="H190" i="2"/>
  <c r="I190" i="2" s="1"/>
  <c r="G191" i="2"/>
  <c r="X195" i="2"/>
  <c r="CM205" i="2"/>
  <c r="CN204" i="2"/>
  <c r="CO204" i="2" s="1"/>
  <c r="AP196" i="2"/>
  <c r="AQ195" i="2"/>
  <c r="AR195" i="2" s="1"/>
  <c r="J190" i="2"/>
  <c r="J189" i="2"/>
  <c r="CU208" i="2"/>
  <c r="CV208" i="2" s="1"/>
  <c r="CT209" i="2"/>
  <c r="O200" i="2"/>
  <c r="P200" i="2" s="1"/>
  <c r="N201" i="2"/>
  <c r="E171" i="1"/>
  <c r="K170" i="1"/>
  <c r="J170" i="1" s="1"/>
  <c r="N170" i="1"/>
  <c r="Q199" i="2"/>
  <c r="BR205" i="2"/>
  <c r="BS204" i="2"/>
  <c r="BT204" i="2" s="1"/>
  <c r="BZ202" i="2"/>
  <c r="CA202" i="2" s="1"/>
  <c r="BY203" i="2"/>
  <c r="AC252" i="2"/>
  <c r="AD252" i="2" s="1"/>
  <c r="AB253" i="2"/>
  <c r="CW208" i="2"/>
  <c r="CG192" i="2"/>
  <c r="CH192" i="2" s="1"/>
  <c r="CF193" i="2"/>
  <c r="CB201" i="2"/>
  <c r="AE251" i="2"/>
  <c r="AZ186" i="2"/>
  <c r="DI202" i="2"/>
  <c r="DJ202" i="2" s="1"/>
  <c r="DH203" i="2"/>
  <c r="BL199" i="2"/>
  <c r="BM199" i="2" s="1"/>
  <c r="BK200" i="2"/>
  <c r="AW188" i="2"/>
  <c r="AX187" i="2"/>
  <c r="AY187" i="2" s="1"/>
  <c r="DD195" i="2"/>
  <c r="BD205" i="2"/>
  <c r="BE204" i="2"/>
  <c r="BF204" i="2" s="1"/>
  <c r="P171" i="1"/>
  <c r="Q171" i="1" s="1"/>
  <c r="O172" i="1"/>
  <c r="DA197" i="2"/>
  <c r="DB196" i="2"/>
  <c r="DC196" i="2" s="1"/>
  <c r="AJ189" i="2"/>
  <c r="AK189" i="2" s="1"/>
  <c r="AI190" i="2"/>
  <c r="DK201" i="2"/>
  <c r="BN198" i="2"/>
  <c r="AC253" i="2" l="1"/>
  <c r="AD253" i="2" s="1"/>
  <c r="AB254" i="2"/>
  <c r="AX188" i="2"/>
  <c r="AY188" i="2" s="1"/>
  <c r="AW189" i="2"/>
  <c r="CG193" i="2"/>
  <c r="CH193" i="2" s="1"/>
  <c r="CF194" i="2"/>
  <c r="AE252" i="2"/>
  <c r="N202" i="2"/>
  <c r="O201" i="2"/>
  <c r="P201" i="2" s="1"/>
  <c r="G192" i="2"/>
  <c r="H191" i="2"/>
  <c r="I191" i="2" s="1"/>
  <c r="G184" i="1"/>
  <c r="M183" i="1"/>
  <c r="CI192" i="2"/>
  <c r="BZ203" i="2"/>
  <c r="CA203" i="2" s="1"/>
  <c r="BY204" i="2"/>
  <c r="Q201" i="2"/>
  <c r="Q200" i="2"/>
  <c r="BL200" i="2"/>
  <c r="BM200" i="2" s="1"/>
  <c r="BK201" i="2"/>
  <c r="CB202" i="2"/>
  <c r="CB203" i="2"/>
  <c r="CU209" i="2"/>
  <c r="CV209" i="2" s="1"/>
  <c r="CT210" i="2"/>
  <c r="AQ196" i="2"/>
  <c r="AR196" i="2" s="1"/>
  <c r="AP197" i="2"/>
  <c r="BN199" i="2"/>
  <c r="BU204" i="2"/>
  <c r="CP204" i="2"/>
  <c r="AS195" i="2"/>
  <c r="U198" i="2"/>
  <c r="V197" i="2"/>
  <c r="W197" i="2" s="1"/>
  <c r="AZ187" i="2"/>
  <c r="BS205" i="2"/>
  <c r="BT205" i="2" s="1"/>
  <c r="BR206" i="2"/>
  <c r="CN205" i="2"/>
  <c r="CO205" i="2" s="1"/>
  <c r="CM206" i="2"/>
  <c r="X196" i="2"/>
  <c r="X197" i="2"/>
  <c r="AI191" i="2"/>
  <c r="AJ190" i="2"/>
  <c r="AK190" i="2" s="1"/>
  <c r="BE205" i="2"/>
  <c r="BF205" i="2" s="1"/>
  <c r="BD206" i="2"/>
  <c r="DD196" i="2"/>
  <c r="DB197" i="2"/>
  <c r="DC197" i="2" s="1"/>
  <c r="DD197" i="2" s="1"/>
  <c r="DA198" i="2"/>
  <c r="DH204" i="2"/>
  <c r="DI203" i="2"/>
  <c r="DJ203" i="2" s="1"/>
  <c r="AZ188" i="2"/>
  <c r="K171" i="1"/>
  <c r="J171" i="1" s="1"/>
  <c r="E172" i="1"/>
  <c r="N171" i="1"/>
  <c r="R171" i="1"/>
  <c r="S171" i="1" s="1"/>
  <c r="AL189" i="2"/>
  <c r="P172" i="1"/>
  <c r="Q172" i="1" s="1"/>
  <c r="O173" i="1"/>
  <c r="DK203" i="2"/>
  <c r="DK202" i="2"/>
  <c r="BG204" i="2"/>
  <c r="BR207" i="2" l="1"/>
  <c r="BS206" i="2"/>
  <c r="BT206" i="2" s="1"/>
  <c r="BL201" i="2"/>
  <c r="BM201" i="2" s="1"/>
  <c r="BK202" i="2"/>
  <c r="M184" i="1"/>
  <c r="G185" i="1"/>
  <c r="CT211" i="2"/>
  <c r="CU210" i="2"/>
  <c r="CV210" i="2" s="1"/>
  <c r="BN200" i="2"/>
  <c r="BN201" i="2"/>
  <c r="CW209" i="2"/>
  <c r="CW210" i="2"/>
  <c r="BZ204" i="2"/>
  <c r="CA204" i="2" s="1"/>
  <c r="BY205" i="2"/>
  <c r="J191" i="2"/>
  <c r="BE206" i="2"/>
  <c r="BF206" i="2" s="1"/>
  <c r="BD207" i="2"/>
  <c r="BU205" i="2"/>
  <c r="G193" i="2"/>
  <c r="H192" i="2"/>
  <c r="I192" i="2" s="1"/>
  <c r="CF195" i="2"/>
  <c r="CG194" i="2"/>
  <c r="CH194" i="2" s="1"/>
  <c r="R172" i="1"/>
  <c r="S172" i="1" s="1"/>
  <c r="DH205" i="2"/>
  <c r="DI204" i="2"/>
  <c r="DJ204" i="2" s="1"/>
  <c r="BG205" i="2"/>
  <c r="BU206" i="2"/>
  <c r="CI193" i="2"/>
  <c r="AL190" i="2"/>
  <c r="CN206" i="2"/>
  <c r="CO206" i="2" s="1"/>
  <c r="CM207" i="2"/>
  <c r="U199" i="2"/>
  <c r="V198" i="2"/>
  <c r="W198" i="2" s="1"/>
  <c r="O202" i="2"/>
  <c r="P202" i="2" s="1"/>
  <c r="N203" i="2"/>
  <c r="AX189" i="2"/>
  <c r="AY189" i="2" s="1"/>
  <c r="AW190" i="2"/>
  <c r="O174" i="1"/>
  <c r="P173" i="1"/>
  <c r="Q173" i="1" s="1"/>
  <c r="K172" i="1"/>
  <c r="J172" i="1" s="1"/>
  <c r="E173" i="1"/>
  <c r="N172" i="1"/>
  <c r="DB198" i="2"/>
  <c r="DC198" i="2" s="1"/>
  <c r="DA199" i="2"/>
  <c r="AJ191" i="2"/>
  <c r="AK191" i="2" s="1"/>
  <c r="AI192" i="2"/>
  <c r="CP205" i="2"/>
  <c r="CP206" i="2"/>
  <c r="AS196" i="2"/>
  <c r="AE253" i="2"/>
  <c r="J192" i="2"/>
  <c r="AQ197" i="2"/>
  <c r="AR197" i="2" s="1"/>
  <c r="AP198" i="2"/>
  <c r="AB255" i="2"/>
  <c r="AC254" i="2"/>
  <c r="AD254" i="2" s="1"/>
  <c r="R173" i="1" l="1"/>
  <c r="S173" i="1" s="1"/>
  <c r="DH206" i="2"/>
  <c r="DI205" i="2"/>
  <c r="DJ205" i="2" s="1"/>
  <c r="CT212" i="2"/>
  <c r="CU211" i="2"/>
  <c r="CV211" i="2" s="1"/>
  <c r="BL202" i="2"/>
  <c r="BM202" i="2" s="1"/>
  <c r="BK203" i="2"/>
  <c r="X198" i="2"/>
  <c r="BZ205" i="2"/>
  <c r="CA205" i="2" s="1"/>
  <c r="BY206" i="2"/>
  <c r="P174" i="1"/>
  <c r="Q174" i="1" s="1"/>
  <c r="O175" i="1"/>
  <c r="DA200" i="2"/>
  <c r="DB199" i="2"/>
  <c r="DC199" i="2" s="1"/>
  <c r="AW191" i="2"/>
  <c r="AX190" i="2"/>
  <c r="AY190" i="2" s="1"/>
  <c r="V199" i="2"/>
  <c r="W199" i="2" s="1"/>
  <c r="U200" i="2"/>
  <c r="CI194" i="2"/>
  <c r="BD208" i="2"/>
  <c r="BE207" i="2"/>
  <c r="BF207" i="2" s="1"/>
  <c r="CB204" i="2"/>
  <c r="DD198" i="2"/>
  <c r="AZ189" i="2"/>
  <c r="CN207" i="2"/>
  <c r="CO207" i="2" s="1"/>
  <c r="CM208" i="2"/>
  <c r="CG195" i="2"/>
  <c r="CH195" i="2" s="1"/>
  <c r="CF196" i="2"/>
  <c r="BG206" i="2"/>
  <c r="BS207" i="2"/>
  <c r="BT207" i="2" s="1"/>
  <c r="BR208" i="2"/>
  <c r="AE254" i="2"/>
  <c r="O203" i="2"/>
  <c r="P203" i="2" s="1"/>
  <c r="N204" i="2"/>
  <c r="CP207" i="2"/>
  <c r="M185" i="1"/>
  <c r="G186" i="1"/>
  <c r="AC255" i="2"/>
  <c r="AD255" i="2" s="1"/>
  <c r="AB256" i="2"/>
  <c r="AP199" i="2"/>
  <c r="AQ198" i="2"/>
  <c r="AR198" i="2" s="1"/>
  <c r="AS197" i="2"/>
  <c r="K173" i="1"/>
  <c r="J173" i="1" s="1"/>
  <c r="E174" i="1"/>
  <c r="N173" i="1"/>
  <c r="Q202" i="2"/>
  <c r="H193" i="2"/>
  <c r="I193" i="2" s="1"/>
  <c r="G194" i="2"/>
  <c r="AJ192" i="2"/>
  <c r="AK192" i="2" s="1"/>
  <c r="AI193" i="2"/>
  <c r="AL192" i="2"/>
  <c r="AL191" i="2"/>
  <c r="DK204" i="2"/>
  <c r="DK205" i="2"/>
  <c r="CB205" i="2"/>
  <c r="E175" i="1" l="1"/>
  <c r="K174" i="1"/>
  <c r="J174" i="1" s="1"/>
  <c r="N174" i="1"/>
  <c r="AP200" i="2"/>
  <c r="AQ199" i="2"/>
  <c r="AR199" i="2" s="1"/>
  <c r="CI195" i="2"/>
  <c r="V200" i="2"/>
  <c r="W200" i="2" s="1"/>
  <c r="U201" i="2"/>
  <c r="R174" i="1"/>
  <c r="S174" i="1" s="1"/>
  <c r="DI206" i="2"/>
  <c r="DJ206" i="2" s="1"/>
  <c r="DH207" i="2"/>
  <c r="BZ206" i="2"/>
  <c r="CA206" i="2" s="1"/>
  <c r="BY207" i="2"/>
  <c r="AC256" i="2"/>
  <c r="AD256" i="2" s="1"/>
  <c r="AB257" i="2"/>
  <c r="BR209" i="2"/>
  <c r="BS208" i="2"/>
  <c r="BT208" i="2" s="1"/>
  <c r="CN208" i="2"/>
  <c r="CO208" i="2" s="1"/>
  <c r="CM209" i="2"/>
  <c r="G195" i="2"/>
  <c r="H194" i="2"/>
  <c r="I194" i="2" s="1"/>
  <c r="J193" i="2"/>
  <c r="BU208" i="2"/>
  <c r="BU207" i="2"/>
  <c r="BG207" i="2"/>
  <c r="AW192" i="2"/>
  <c r="AX191" i="2"/>
  <c r="AY191" i="2" s="1"/>
  <c r="BK204" i="2"/>
  <c r="BL203" i="2"/>
  <c r="BM203" i="2" s="1"/>
  <c r="O204" i="2"/>
  <c r="P204" i="2" s="1"/>
  <c r="N205" i="2"/>
  <c r="BD209" i="2"/>
  <c r="BE208" i="2"/>
  <c r="BF208" i="2" s="1"/>
  <c r="DD199" i="2"/>
  <c r="BN202" i="2"/>
  <c r="AJ193" i="2"/>
  <c r="AK193" i="2" s="1"/>
  <c r="AI194" i="2"/>
  <c r="M186" i="1"/>
  <c r="G187" i="1"/>
  <c r="Q203" i="2"/>
  <c r="DB200" i="2"/>
  <c r="DC200" i="2" s="1"/>
  <c r="DA201" i="2"/>
  <c r="X199" i="2"/>
  <c r="CW211" i="2"/>
  <c r="AE255" i="2"/>
  <c r="AZ190" i="2"/>
  <c r="CT213" i="2"/>
  <c r="CU212" i="2"/>
  <c r="CV212" i="2" s="1"/>
  <c r="AS198" i="2"/>
  <c r="CG196" i="2"/>
  <c r="CH196" i="2" s="1"/>
  <c r="CF197" i="2"/>
  <c r="P175" i="1"/>
  <c r="Q175" i="1" s="1"/>
  <c r="O176" i="1"/>
  <c r="BS209" i="2" l="1"/>
  <c r="BT209" i="2" s="1"/>
  <c r="BR210" i="2"/>
  <c r="G188" i="1"/>
  <c r="M187" i="1"/>
  <c r="BN203" i="2"/>
  <c r="AB258" i="2"/>
  <c r="AC257" i="2"/>
  <c r="AD257" i="2" s="1"/>
  <c r="AS199" i="2"/>
  <c r="DB201" i="2"/>
  <c r="DC201" i="2" s="1"/>
  <c r="DA202" i="2"/>
  <c r="BL204" i="2"/>
  <c r="BM204" i="2" s="1"/>
  <c r="BK205" i="2"/>
  <c r="AE256" i="2"/>
  <c r="U202" i="2"/>
  <c r="V201" i="2"/>
  <c r="W201" i="2" s="1"/>
  <c r="AQ200" i="2"/>
  <c r="AR200" i="2" s="1"/>
  <c r="AP201" i="2"/>
  <c r="R175" i="1"/>
  <c r="S175" i="1" s="1"/>
  <c r="DD200" i="2"/>
  <c r="DD201" i="2"/>
  <c r="BY208" i="2"/>
  <c r="BZ207" i="2"/>
  <c r="CA207" i="2" s="1"/>
  <c r="X200" i="2"/>
  <c r="CI196" i="2"/>
  <c r="AJ194" i="2"/>
  <c r="AK194" i="2" s="1"/>
  <c r="AI195" i="2"/>
  <c r="BG208" i="2"/>
  <c r="AZ191" i="2"/>
  <c r="CB206" i="2"/>
  <c r="AL193" i="2"/>
  <c r="BE209" i="2"/>
  <c r="BF209" i="2" s="1"/>
  <c r="BD210" i="2"/>
  <c r="AX192" i="2"/>
  <c r="AY192" i="2" s="1"/>
  <c r="AW193" i="2"/>
  <c r="CM210" i="2"/>
  <c r="CN209" i="2"/>
  <c r="CO209" i="2" s="1"/>
  <c r="E176" i="1"/>
  <c r="K175" i="1"/>
  <c r="J175" i="1" s="1"/>
  <c r="N175" i="1"/>
  <c r="P176" i="1"/>
  <c r="Q176" i="1" s="1"/>
  <c r="O177" i="1"/>
  <c r="CU213" i="2"/>
  <c r="CV213" i="2" s="1"/>
  <c r="CT214" i="2"/>
  <c r="CG197" i="2"/>
  <c r="CH197" i="2" s="1"/>
  <c r="CF198" i="2"/>
  <c r="CW212" i="2"/>
  <c r="AZ192" i="2"/>
  <c r="N206" i="2"/>
  <c r="O205" i="2"/>
  <c r="P205" i="2" s="1"/>
  <c r="J194" i="2"/>
  <c r="CP208" i="2"/>
  <c r="DI207" i="2"/>
  <c r="DJ207" i="2" s="1"/>
  <c r="DH208" i="2"/>
  <c r="Q204" i="2"/>
  <c r="Q205" i="2"/>
  <c r="H195" i="2"/>
  <c r="I195" i="2" s="1"/>
  <c r="G196" i="2"/>
  <c r="DK206" i="2"/>
  <c r="CI197" i="2" l="1"/>
  <c r="BZ208" i="2"/>
  <c r="CA208" i="2" s="1"/>
  <c r="BY209" i="2"/>
  <c r="DH209" i="2"/>
  <c r="DI208" i="2"/>
  <c r="DJ208" i="2" s="1"/>
  <c r="CU214" i="2"/>
  <c r="CV214" i="2" s="1"/>
  <c r="CW214" i="2" s="1"/>
  <c r="CT215" i="2"/>
  <c r="CP209" i="2"/>
  <c r="BL205" i="2"/>
  <c r="BM205" i="2" s="1"/>
  <c r="BK206" i="2"/>
  <c r="AE257" i="2"/>
  <c r="AE258" i="2"/>
  <c r="M188" i="1"/>
  <c r="G189" i="1"/>
  <c r="DK207" i="2"/>
  <c r="CM211" i="2"/>
  <c r="CN210" i="2"/>
  <c r="CO210" i="2" s="1"/>
  <c r="AQ201" i="2"/>
  <c r="AR201" i="2" s="1"/>
  <c r="AP202" i="2"/>
  <c r="AC258" i="2"/>
  <c r="AD258" i="2" s="1"/>
  <c r="AB259" i="2"/>
  <c r="O206" i="2"/>
  <c r="P206" i="2" s="1"/>
  <c r="N207" i="2"/>
  <c r="P177" i="1"/>
  <c r="Q177" i="1" s="1"/>
  <c r="O178" i="1"/>
  <c r="AX193" i="2"/>
  <c r="AY193" i="2" s="1"/>
  <c r="AW194" i="2"/>
  <c r="AS201" i="2"/>
  <c r="DB202" i="2"/>
  <c r="DC202" i="2" s="1"/>
  <c r="DA203" i="2"/>
  <c r="R176" i="1"/>
  <c r="S176" i="1" s="1"/>
  <c r="X202" i="2"/>
  <c r="X201" i="2"/>
  <c r="BR211" i="2"/>
  <c r="BS210" i="2"/>
  <c r="BT210" i="2" s="1"/>
  <c r="BE210" i="2"/>
  <c r="BF210" i="2" s="1"/>
  <c r="BD211" i="2"/>
  <c r="AI196" i="2"/>
  <c r="AJ195" i="2"/>
  <c r="AK195" i="2" s="1"/>
  <c r="U203" i="2"/>
  <c r="V202" i="2"/>
  <c r="W202" i="2" s="1"/>
  <c r="AS200" i="2"/>
  <c r="BU209" i="2"/>
  <c r="CW213" i="2"/>
  <c r="BG209" i="2"/>
  <c r="AL194" i="2"/>
  <c r="AL195" i="2"/>
  <c r="BN204" i="2"/>
  <c r="H196" i="2"/>
  <c r="I196" i="2" s="1"/>
  <c r="G197" i="2"/>
  <c r="J195" i="2"/>
  <c r="J196" i="2"/>
  <c r="CF199" i="2"/>
  <c r="CG198" i="2"/>
  <c r="CH198" i="2" s="1"/>
  <c r="K176" i="1"/>
  <c r="J176" i="1" s="1"/>
  <c r="E177" i="1"/>
  <c r="N176" i="1"/>
  <c r="CB207" i="2"/>
  <c r="CB208" i="2"/>
  <c r="BD212" i="2" l="1"/>
  <c r="BE211" i="2"/>
  <c r="BF211" i="2" s="1"/>
  <c r="BZ209" i="2"/>
  <c r="CA209" i="2" s="1"/>
  <c r="BY210" i="2"/>
  <c r="BG210" i="2"/>
  <c r="BG211" i="2"/>
  <c r="DB203" i="2"/>
  <c r="DC203" i="2" s="1"/>
  <c r="DA204" i="2"/>
  <c r="P178" i="1"/>
  <c r="Q178" i="1" s="1"/>
  <c r="O179" i="1"/>
  <c r="DD202" i="2"/>
  <c r="R177" i="1"/>
  <c r="S177" i="1" s="1"/>
  <c r="AP203" i="2"/>
  <c r="AQ202" i="2"/>
  <c r="AR202" i="2" s="1"/>
  <c r="E178" i="1"/>
  <c r="K177" i="1"/>
  <c r="J177" i="1" s="1"/>
  <c r="N177" i="1"/>
  <c r="BU210" i="2"/>
  <c r="AZ193" i="2"/>
  <c r="O207" i="2"/>
  <c r="P207" i="2" s="1"/>
  <c r="N208" i="2"/>
  <c r="BR212" i="2"/>
  <c r="BS211" i="2"/>
  <c r="BT211" i="2" s="1"/>
  <c r="Q207" i="2"/>
  <c r="Q206" i="2"/>
  <c r="CU215" i="2"/>
  <c r="CV215" i="2" s="1"/>
  <c r="CT216" i="2"/>
  <c r="U204" i="2"/>
  <c r="V203" i="2"/>
  <c r="W203" i="2" s="1"/>
  <c r="DD203" i="2"/>
  <c r="CP210" i="2"/>
  <c r="BL206" i="2"/>
  <c r="BM206" i="2" s="1"/>
  <c r="BK207" i="2"/>
  <c r="CG199" i="2"/>
  <c r="CH199" i="2" s="1"/>
  <c r="CF200" i="2"/>
  <c r="AB260" i="2"/>
  <c r="AC259" i="2"/>
  <c r="AD259" i="2" s="1"/>
  <c r="CN211" i="2"/>
  <c r="CO211" i="2" s="1"/>
  <c r="CM212" i="2"/>
  <c r="M189" i="1"/>
  <c r="G190" i="1"/>
  <c r="BN205" i="2"/>
  <c r="DK208" i="2"/>
  <c r="CI198" i="2"/>
  <c r="G198" i="2"/>
  <c r="H197" i="2"/>
  <c r="I197" i="2" s="1"/>
  <c r="AJ196" i="2"/>
  <c r="AK196" i="2" s="1"/>
  <c r="AI197" i="2"/>
  <c r="AX194" i="2"/>
  <c r="AY194" i="2" s="1"/>
  <c r="AW195" i="2"/>
  <c r="DI209" i="2"/>
  <c r="DJ209" i="2" s="1"/>
  <c r="DH210" i="2"/>
  <c r="CI199" i="2" l="1"/>
  <c r="R178" i="1"/>
  <c r="S178" i="1" s="1"/>
  <c r="CB209" i="2"/>
  <c r="DA205" i="2"/>
  <c r="DB204" i="2"/>
  <c r="DC204" i="2" s="1"/>
  <c r="AW196" i="2"/>
  <c r="AX195" i="2"/>
  <c r="AY195" i="2" s="1"/>
  <c r="U205" i="2"/>
  <c r="V204" i="2"/>
  <c r="W204" i="2" s="1"/>
  <c r="AZ194" i="2"/>
  <c r="BL207" i="2"/>
  <c r="BM207" i="2" s="1"/>
  <c r="BK208" i="2"/>
  <c r="CT217" i="2"/>
  <c r="CU216" i="2"/>
  <c r="CV216" i="2" s="1"/>
  <c r="BU211" i="2"/>
  <c r="N209" i="2"/>
  <c r="O208" i="2"/>
  <c r="P208" i="2" s="1"/>
  <c r="E179" i="1"/>
  <c r="K178" i="1"/>
  <c r="J178" i="1" s="1"/>
  <c r="N178" i="1"/>
  <c r="H198" i="2"/>
  <c r="I198" i="2" s="1"/>
  <c r="G199" i="2"/>
  <c r="CN212" i="2"/>
  <c r="CO212" i="2" s="1"/>
  <c r="CM213" i="2"/>
  <c r="BN206" i="2"/>
  <c r="CW215" i="2"/>
  <c r="BS212" i="2"/>
  <c r="BT212" i="2" s="1"/>
  <c r="BR213" i="2"/>
  <c r="AS202" i="2"/>
  <c r="BE212" i="2"/>
  <c r="BF212" i="2" s="1"/>
  <c r="BD213" i="2"/>
  <c r="M190" i="1"/>
  <c r="G191" i="1"/>
  <c r="AI198" i="2"/>
  <c r="AJ197" i="2"/>
  <c r="AK197" i="2" s="1"/>
  <c r="X203" i="2"/>
  <c r="AQ203" i="2"/>
  <c r="AR203" i="2" s="1"/>
  <c r="AP204" i="2"/>
  <c r="AL196" i="2"/>
  <c r="AE259" i="2"/>
  <c r="AE260" i="2"/>
  <c r="J197" i="2"/>
  <c r="CP212" i="2"/>
  <c r="CP211" i="2"/>
  <c r="DI210" i="2"/>
  <c r="DJ210" i="2" s="1"/>
  <c r="DH211" i="2"/>
  <c r="DK209" i="2"/>
  <c r="DK210" i="2"/>
  <c r="AC260" i="2"/>
  <c r="AD260" i="2" s="1"/>
  <c r="AB261" i="2"/>
  <c r="CG200" i="2"/>
  <c r="CH200" i="2" s="1"/>
  <c r="CF201" i="2"/>
  <c r="R179" i="1"/>
  <c r="S179" i="1" s="1"/>
  <c r="P179" i="1"/>
  <c r="Q179" i="1" s="1"/>
  <c r="O180" i="1"/>
  <c r="BZ210" i="2"/>
  <c r="CA210" i="2" s="1"/>
  <c r="BY211" i="2"/>
  <c r="BG212" i="2" l="1"/>
  <c r="E180" i="1"/>
  <c r="K179" i="1"/>
  <c r="J179" i="1" s="1"/>
  <c r="N179" i="1"/>
  <c r="BL208" i="2"/>
  <c r="BM208" i="2" s="1"/>
  <c r="BK209" i="2"/>
  <c r="V205" i="2"/>
  <c r="W205" i="2" s="1"/>
  <c r="U206" i="2"/>
  <c r="CB210" i="2"/>
  <c r="H199" i="2"/>
  <c r="I199" i="2" s="1"/>
  <c r="G200" i="2"/>
  <c r="Q208" i="2"/>
  <c r="CI200" i="2"/>
  <c r="AL197" i="2"/>
  <c r="BR214" i="2"/>
  <c r="BS213" i="2"/>
  <c r="BT213" i="2" s="1"/>
  <c r="J198" i="2"/>
  <c r="N210" i="2"/>
  <c r="O209" i="2"/>
  <c r="P209" i="2" s="1"/>
  <c r="AW197" i="2"/>
  <c r="AX196" i="2"/>
  <c r="AY196" i="2" s="1"/>
  <c r="CG201" i="2"/>
  <c r="CH201" i="2" s="1"/>
  <c r="CF202" i="2"/>
  <c r="AI199" i="2"/>
  <c r="AJ198" i="2"/>
  <c r="AK198" i="2" s="1"/>
  <c r="AS203" i="2"/>
  <c r="BU212" i="2"/>
  <c r="BU213" i="2"/>
  <c r="AZ195" i="2"/>
  <c r="G192" i="1"/>
  <c r="M191" i="1"/>
  <c r="BN207" i="2"/>
  <c r="AZ196" i="2"/>
  <c r="DH212" i="2"/>
  <c r="DI211" i="2"/>
  <c r="DJ211" i="2" s="1"/>
  <c r="BZ211" i="2"/>
  <c r="CA211" i="2" s="1"/>
  <c r="BY212" i="2"/>
  <c r="AC261" i="2"/>
  <c r="AD261" i="2" s="1"/>
  <c r="AB262" i="2"/>
  <c r="AE261" i="2"/>
  <c r="CW216" i="2"/>
  <c r="DD204" i="2"/>
  <c r="DD205" i="2"/>
  <c r="P180" i="1"/>
  <c r="Q180" i="1" s="1"/>
  <c r="O181" i="1"/>
  <c r="DK211" i="2"/>
  <c r="AP205" i="2"/>
  <c r="AQ204" i="2"/>
  <c r="AR204" i="2" s="1"/>
  <c r="BD214" i="2"/>
  <c r="BE213" i="2"/>
  <c r="BF213" i="2" s="1"/>
  <c r="Q209" i="2"/>
  <c r="CN213" i="2"/>
  <c r="CO213" i="2" s="1"/>
  <c r="CM214" i="2"/>
  <c r="CT218" i="2"/>
  <c r="CU217" i="2"/>
  <c r="CV217" i="2" s="1"/>
  <c r="X204" i="2"/>
  <c r="DB205" i="2"/>
  <c r="DC205" i="2" s="1"/>
  <c r="DA206" i="2"/>
  <c r="BE214" i="2" l="1"/>
  <c r="BF214" i="2" s="1"/>
  <c r="BD215" i="2"/>
  <c r="P181" i="1"/>
  <c r="Q181" i="1" s="1"/>
  <c r="O182" i="1"/>
  <c r="BY213" i="2"/>
  <c r="BZ212" i="2"/>
  <c r="CA212" i="2" s="1"/>
  <c r="BL209" i="2"/>
  <c r="BM209" i="2" s="1"/>
  <c r="BK210" i="2"/>
  <c r="BG213" i="2"/>
  <c r="M192" i="1"/>
  <c r="G193" i="1"/>
  <c r="Q210" i="2"/>
  <c r="BN208" i="2"/>
  <c r="CB211" i="2"/>
  <c r="AL198" i="2"/>
  <c r="O210" i="2"/>
  <c r="P210" i="2" s="1"/>
  <c r="N211" i="2"/>
  <c r="CW217" i="2"/>
  <c r="CU218" i="2"/>
  <c r="CV218" i="2" s="1"/>
  <c r="CT219" i="2"/>
  <c r="AJ199" i="2"/>
  <c r="AK199" i="2" s="1"/>
  <c r="AI200" i="2"/>
  <c r="G201" i="2"/>
  <c r="H200" i="2"/>
  <c r="I200" i="2" s="1"/>
  <c r="R180" i="1"/>
  <c r="S180" i="1" s="1"/>
  <c r="CM215" i="2"/>
  <c r="CN214" i="2"/>
  <c r="CO214" i="2" s="1"/>
  <c r="CG202" i="2"/>
  <c r="CH202" i="2" s="1"/>
  <c r="CF203" i="2"/>
  <c r="J199" i="2"/>
  <c r="K180" i="1"/>
  <c r="J180" i="1" s="1"/>
  <c r="E181" i="1"/>
  <c r="N180" i="1"/>
  <c r="CI201" i="2"/>
  <c r="AP206" i="2"/>
  <c r="AQ205" i="2"/>
  <c r="AR205" i="2" s="1"/>
  <c r="CP213" i="2"/>
  <c r="CP214" i="2"/>
  <c r="CB212" i="2"/>
  <c r="AC262" i="2"/>
  <c r="AD262" i="2" s="1"/>
  <c r="AB263" i="2"/>
  <c r="BR215" i="2"/>
  <c r="BS214" i="2"/>
  <c r="BT214" i="2" s="1"/>
  <c r="V206" i="2"/>
  <c r="W206" i="2" s="1"/>
  <c r="U207" i="2"/>
  <c r="DB206" i="2"/>
  <c r="DC206" i="2" s="1"/>
  <c r="DA207" i="2"/>
  <c r="DI212" i="2"/>
  <c r="DJ212" i="2" s="1"/>
  <c r="DH213" i="2"/>
  <c r="AX197" i="2"/>
  <c r="AY197" i="2" s="1"/>
  <c r="AW198" i="2"/>
  <c r="AS204" i="2"/>
  <c r="X206" i="2"/>
  <c r="X205" i="2"/>
  <c r="K181" i="1" l="1"/>
  <c r="J181" i="1" s="1"/>
  <c r="E182" i="1"/>
  <c r="N181" i="1"/>
  <c r="AJ200" i="2"/>
  <c r="AK200" i="2" s="1"/>
  <c r="AI201" i="2"/>
  <c r="P182" i="1"/>
  <c r="Q182" i="1" s="1"/>
  <c r="O183" i="1"/>
  <c r="BU214" i="2"/>
  <c r="R181" i="1"/>
  <c r="S181" i="1" s="1"/>
  <c r="CN215" i="2"/>
  <c r="CO215" i="2" s="1"/>
  <c r="CM216" i="2"/>
  <c r="AS205" i="2"/>
  <c r="BE215" i="2"/>
  <c r="BF215" i="2" s="1"/>
  <c r="BD216" i="2"/>
  <c r="DA208" i="2"/>
  <c r="DB207" i="2"/>
  <c r="DC207" i="2" s="1"/>
  <c r="BS215" i="2"/>
  <c r="BT215" i="2" s="1"/>
  <c r="BR216" i="2"/>
  <c r="CU219" i="2"/>
  <c r="CV219" i="2" s="1"/>
  <c r="CT220" i="2"/>
  <c r="BG214" i="2"/>
  <c r="AX198" i="2"/>
  <c r="AY198" i="2" s="1"/>
  <c r="AW199" i="2"/>
  <c r="DK212" i="2"/>
  <c r="BK211" i="2"/>
  <c r="BL210" i="2"/>
  <c r="BM210" i="2" s="1"/>
  <c r="AL199" i="2"/>
  <c r="AZ197" i="2"/>
  <c r="V207" i="2"/>
  <c r="W207" i="2" s="1"/>
  <c r="U208" i="2"/>
  <c r="N212" i="2"/>
  <c r="O211" i="2"/>
  <c r="P211" i="2" s="1"/>
  <c r="M193" i="1"/>
  <c r="G194" i="1"/>
  <c r="BN209" i="2"/>
  <c r="DH214" i="2"/>
  <c r="DI213" i="2"/>
  <c r="DJ213" i="2" s="1"/>
  <c r="DD206" i="2"/>
  <c r="AC263" i="2"/>
  <c r="AD263" i="2" s="1"/>
  <c r="AB264" i="2"/>
  <c r="CF204" i="2"/>
  <c r="CG203" i="2"/>
  <c r="CH203" i="2" s="1"/>
  <c r="J200" i="2"/>
  <c r="CW219" i="2"/>
  <c r="AE262" i="2"/>
  <c r="AQ206" i="2"/>
  <c r="AR206" i="2" s="1"/>
  <c r="AP207" i="2"/>
  <c r="CI202" i="2"/>
  <c r="G202" i="2"/>
  <c r="H201" i="2"/>
  <c r="I201" i="2" s="1"/>
  <c r="CW218" i="2"/>
  <c r="AL200" i="2"/>
  <c r="BN210" i="2"/>
  <c r="BZ213" i="2"/>
  <c r="CA213" i="2" s="1"/>
  <c r="BY214" i="2"/>
  <c r="AS206" i="2" l="1"/>
  <c r="CI203" i="2"/>
  <c r="M194" i="1"/>
  <c r="G195" i="1"/>
  <c r="V208" i="2"/>
  <c r="W208" i="2" s="1"/>
  <c r="U209" i="2"/>
  <c r="BL211" i="2"/>
  <c r="BM211" i="2" s="1"/>
  <c r="BK212" i="2"/>
  <c r="BU215" i="2"/>
  <c r="CM217" i="2"/>
  <c r="CN216" i="2"/>
  <c r="CO216" i="2" s="1"/>
  <c r="CF205" i="2"/>
  <c r="CG204" i="2"/>
  <c r="CH204" i="2" s="1"/>
  <c r="X207" i="2"/>
  <c r="AX199" i="2"/>
  <c r="AY199" i="2" s="1"/>
  <c r="AW200" i="2"/>
  <c r="DD207" i="2"/>
  <c r="CP215" i="2"/>
  <c r="AZ198" i="2"/>
  <c r="DB208" i="2"/>
  <c r="DC208" i="2" s="1"/>
  <c r="DA209" i="2"/>
  <c r="P183" i="1"/>
  <c r="Q183" i="1" s="1"/>
  <c r="O184" i="1"/>
  <c r="DI214" i="2"/>
  <c r="DJ214" i="2" s="1"/>
  <c r="DH215" i="2"/>
  <c r="Q211" i="2"/>
  <c r="BD217" i="2"/>
  <c r="BE216" i="2"/>
  <c r="BF216" i="2" s="1"/>
  <c r="R183" i="1"/>
  <c r="S183" i="1" s="1"/>
  <c r="R182" i="1"/>
  <c r="S182" i="1" s="1"/>
  <c r="AB265" i="2"/>
  <c r="AC264" i="2"/>
  <c r="AD264" i="2" s="1"/>
  <c r="N213" i="2"/>
  <c r="O212" i="2"/>
  <c r="P212" i="2" s="1"/>
  <c r="BG216" i="2"/>
  <c r="BG215" i="2"/>
  <c r="AI202" i="2"/>
  <c r="AJ201" i="2"/>
  <c r="AK201" i="2" s="1"/>
  <c r="AE263" i="2"/>
  <c r="CT221" i="2"/>
  <c r="CU220" i="2"/>
  <c r="CV220" i="2" s="1"/>
  <c r="H202" i="2"/>
  <c r="I202" i="2" s="1"/>
  <c r="G203" i="2"/>
  <c r="J201" i="2"/>
  <c r="BZ214" i="2"/>
  <c r="CA214" i="2" s="1"/>
  <c r="BY215" i="2"/>
  <c r="CB213" i="2"/>
  <c r="AP208" i="2"/>
  <c r="AQ207" i="2"/>
  <c r="AR207" i="2" s="1"/>
  <c r="BN211" i="2"/>
  <c r="BS216" i="2"/>
  <c r="BT216" i="2" s="1"/>
  <c r="BU216" i="2" s="1"/>
  <c r="BR217" i="2"/>
  <c r="E183" i="1"/>
  <c r="K182" i="1"/>
  <c r="J182" i="1" s="1"/>
  <c r="N182" i="1"/>
  <c r="DK213" i="2"/>
  <c r="E184" i="1" l="1"/>
  <c r="K183" i="1"/>
  <c r="J183" i="1" s="1"/>
  <c r="N183" i="1"/>
  <c r="BE217" i="2"/>
  <c r="BF217" i="2" s="1"/>
  <c r="BD218" i="2"/>
  <c r="CI204" i="2"/>
  <c r="V209" i="2"/>
  <c r="W209" i="2" s="1"/>
  <c r="U210" i="2"/>
  <c r="AW201" i="2"/>
  <c r="AX200" i="2"/>
  <c r="AY200" i="2" s="1"/>
  <c r="CG205" i="2"/>
  <c r="CH205" i="2" s="1"/>
  <c r="CF206" i="2"/>
  <c r="H203" i="2"/>
  <c r="I203" i="2" s="1"/>
  <c r="G204" i="2"/>
  <c r="BY216" i="2"/>
  <c r="BZ215" i="2"/>
  <c r="CA215" i="2" s="1"/>
  <c r="P184" i="1"/>
  <c r="Q184" i="1" s="1"/>
  <c r="O185" i="1"/>
  <c r="AZ199" i="2"/>
  <c r="CP216" i="2"/>
  <c r="G196" i="1"/>
  <c r="M195" i="1"/>
  <c r="AS207" i="2"/>
  <c r="AL201" i="2"/>
  <c r="Q212" i="2"/>
  <c r="X208" i="2"/>
  <c r="CM218" i="2"/>
  <c r="CN217" i="2"/>
  <c r="CO217" i="2" s="1"/>
  <c r="CW220" i="2"/>
  <c r="AJ202" i="2"/>
  <c r="AK202" i="2" s="1"/>
  <c r="AI203" i="2"/>
  <c r="O213" i="2"/>
  <c r="P213" i="2" s="1"/>
  <c r="N214" i="2"/>
  <c r="BS217" i="2"/>
  <c r="BT217" i="2" s="1"/>
  <c r="BR218" i="2"/>
  <c r="AQ208" i="2"/>
  <c r="AR208" i="2" s="1"/>
  <c r="AP209" i="2"/>
  <c r="CU221" i="2"/>
  <c r="CV221" i="2" s="1"/>
  <c r="CT222" i="2"/>
  <c r="AE264" i="2"/>
  <c r="DI215" i="2"/>
  <c r="DJ215" i="2" s="1"/>
  <c r="DH216" i="2"/>
  <c r="DA210" i="2"/>
  <c r="DB209" i="2"/>
  <c r="DC209" i="2" s="1"/>
  <c r="DD209" i="2" s="1"/>
  <c r="J202" i="2"/>
  <c r="CB214" i="2"/>
  <c r="AB266" i="2"/>
  <c r="AC265" i="2"/>
  <c r="AD265" i="2" s="1"/>
  <c r="DK214" i="2"/>
  <c r="DD208" i="2"/>
  <c r="BL212" i="2"/>
  <c r="BM212" i="2" s="1"/>
  <c r="BK213" i="2"/>
  <c r="CU222" i="2" l="1"/>
  <c r="CV222" i="2" s="1"/>
  <c r="CT223" i="2"/>
  <c r="BU217" i="2"/>
  <c r="BY217" i="2"/>
  <c r="BZ216" i="2"/>
  <c r="CA216" i="2" s="1"/>
  <c r="CW221" i="2"/>
  <c r="AX201" i="2"/>
  <c r="AY201" i="2" s="1"/>
  <c r="AW202" i="2"/>
  <c r="BN212" i="2"/>
  <c r="K184" i="1"/>
  <c r="J184" i="1" s="1"/>
  <c r="E185" i="1"/>
  <c r="N184" i="1"/>
  <c r="AC266" i="2"/>
  <c r="AD266" i="2" s="1"/>
  <c r="AB267" i="2"/>
  <c r="M196" i="1"/>
  <c r="G197" i="1"/>
  <c r="DH217" i="2"/>
  <c r="DI216" i="2"/>
  <c r="DJ216" i="2" s="1"/>
  <c r="AQ209" i="2"/>
  <c r="AR209" i="2" s="1"/>
  <c r="AP210" i="2"/>
  <c r="N215" i="2"/>
  <c r="O214" i="2"/>
  <c r="P214" i="2" s="1"/>
  <c r="CP217" i="2"/>
  <c r="H204" i="2"/>
  <c r="I204" i="2" s="1"/>
  <c r="G205" i="2"/>
  <c r="U211" i="2"/>
  <c r="V210" i="2"/>
  <c r="W210" i="2" s="1"/>
  <c r="DK216" i="2"/>
  <c r="DK215" i="2"/>
  <c r="AS208" i="2"/>
  <c r="Q213" i="2"/>
  <c r="CM219" i="2"/>
  <c r="CN218" i="2"/>
  <c r="CO218" i="2" s="1"/>
  <c r="P185" i="1"/>
  <c r="Q185" i="1" s="1"/>
  <c r="O186" i="1"/>
  <c r="J203" i="2"/>
  <c r="X210" i="2"/>
  <c r="X209" i="2"/>
  <c r="CW222" i="2"/>
  <c r="BL213" i="2"/>
  <c r="BM213" i="2" s="1"/>
  <c r="BK214" i="2"/>
  <c r="AI204" i="2"/>
  <c r="AJ203" i="2"/>
  <c r="AK203" i="2" s="1"/>
  <c r="R184" i="1"/>
  <c r="S184" i="1" s="1"/>
  <c r="R185" i="1"/>
  <c r="BE218" i="2"/>
  <c r="BF218" i="2" s="1"/>
  <c r="BD219" i="2"/>
  <c r="AL202" i="2"/>
  <c r="AZ200" i="2"/>
  <c r="CF207" i="2"/>
  <c r="CG206" i="2"/>
  <c r="CH206" i="2" s="1"/>
  <c r="BG217" i="2"/>
  <c r="BG218" i="2"/>
  <c r="AE265" i="2"/>
  <c r="DA211" i="2"/>
  <c r="DB210" i="2"/>
  <c r="DC210" i="2" s="1"/>
  <c r="BN213" i="2"/>
  <c r="BS218" i="2"/>
  <c r="BT218" i="2" s="1"/>
  <c r="BR219" i="2"/>
  <c r="AZ201" i="2"/>
  <c r="CB215" i="2"/>
  <c r="CI205" i="2"/>
  <c r="DB211" i="2" l="1"/>
  <c r="DC211" i="2" s="1"/>
  <c r="DA212" i="2"/>
  <c r="DI217" i="2"/>
  <c r="DJ217" i="2" s="1"/>
  <c r="DH218" i="2"/>
  <c r="AE266" i="2"/>
  <c r="CI206" i="2"/>
  <c r="E186" i="1"/>
  <c r="K185" i="1"/>
  <c r="J185" i="1" s="1"/>
  <c r="N185" i="1"/>
  <c r="CB216" i="2"/>
  <c r="CG207" i="2"/>
  <c r="CH207" i="2" s="1"/>
  <c r="CF208" i="2"/>
  <c r="BE219" i="2"/>
  <c r="BF219" i="2" s="1"/>
  <c r="BD220" i="2"/>
  <c r="P186" i="1"/>
  <c r="Q186" i="1" s="1"/>
  <c r="O187" i="1"/>
  <c r="Q214" i="2"/>
  <c r="Q215" i="2"/>
  <c r="BY218" i="2"/>
  <c r="BZ217" i="2"/>
  <c r="CA217" i="2" s="1"/>
  <c r="AJ204" i="2"/>
  <c r="AK204" i="2" s="1"/>
  <c r="AI205" i="2"/>
  <c r="V211" i="2"/>
  <c r="W211" i="2" s="1"/>
  <c r="U212" i="2"/>
  <c r="O215" i="2"/>
  <c r="P215" i="2" s="1"/>
  <c r="N216" i="2"/>
  <c r="M197" i="1"/>
  <c r="G198" i="1"/>
  <c r="BL214" i="2"/>
  <c r="BM214" i="2" s="1"/>
  <c r="BK215" i="2"/>
  <c r="CP218" i="2"/>
  <c r="H205" i="2"/>
  <c r="I205" i="2" s="1"/>
  <c r="G206" i="2"/>
  <c r="AP211" i="2"/>
  <c r="AQ210" i="2"/>
  <c r="AR210" i="2" s="1"/>
  <c r="AW203" i="2"/>
  <c r="AX202" i="2"/>
  <c r="AY202" i="2" s="1"/>
  <c r="AL203" i="2"/>
  <c r="S185" i="1"/>
  <c r="CN219" i="2"/>
  <c r="CO219" i="2" s="1"/>
  <c r="CM220" i="2"/>
  <c r="J204" i="2"/>
  <c r="AS209" i="2"/>
  <c r="BS219" i="2"/>
  <c r="BT219" i="2" s="1"/>
  <c r="BR220" i="2"/>
  <c r="DD210" i="2"/>
  <c r="BG219" i="2"/>
  <c r="BU218" i="2"/>
  <c r="AB268" i="2"/>
  <c r="AC267" i="2"/>
  <c r="AD267" i="2" s="1"/>
  <c r="CU223" i="2"/>
  <c r="CV223" i="2" s="1"/>
  <c r="CT224" i="2"/>
  <c r="CN220" i="2" l="1"/>
  <c r="CO220" i="2" s="1"/>
  <c r="CM221" i="2"/>
  <c r="AP212" i="2"/>
  <c r="AQ211" i="2"/>
  <c r="AR211" i="2" s="1"/>
  <c r="V212" i="2"/>
  <c r="W212" i="2" s="1"/>
  <c r="U213" i="2"/>
  <c r="BD221" i="2"/>
  <c r="BE220" i="2"/>
  <c r="BF220" i="2" s="1"/>
  <c r="BS220" i="2"/>
  <c r="BT220" i="2" s="1"/>
  <c r="BR221" i="2"/>
  <c r="G207" i="2"/>
  <c r="H206" i="2"/>
  <c r="I206" i="2" s="1"/>
  <c r="X212" i="2"/>
  <c r="BU219" i="2"/>
  <c r="CB217" i="2"/>
  <c r="CG208" i="2"/>
  <c r="CH208" i="2" s="1"/>
  <c r="CF209" i="2"/>
  <c r="E187" i="1"/>
  <c r="K186" i="1"/>
  <c r="J186" i="1" s="1"/>
  <c r="N186" i="1"/>
  <c r="DI218" i="2"/>
  <c r="DJ218" i="2" s="1"/>
  <c r="DH219" i="2"/>
  <c r="M198" i="1"/>
  <c r="G199" i="1"/>
  <c r="BZ218" i="2"/>
  <c r="CA218" i="2" s="1"/>
  <c r="BY219" i="2"/>
  <c r="X211" i="2"/>
  <c r="DK217" i="2"/>
  <c r="AJ205" i="2"/>
  <c r="AK205" i="2" s="1"/>
  <c r="AI206" i="2"/>
  <c r="CB218" i="2"/>
  <c r="DB212" i="2"/>
  <c r="DC212" i="2" s="1"/>
  <c r="DA213" i="2"/>
  <c r="CW223" i="2"/>
  <c r="J205" i="2"/>
  <c r="AZ202" i="2"/>
  <c r="AL204" i="2"/>
  <c r="P187" i="1"/>
  <c r="Q187" i="1" s="1"/>
  <c r="O188" i="1"/>
  <c r="CI207" i="2"/>
  <c r="DD211" i="2"/>
  <c r="CP219" i="2"/>
  <c r="CU224" i="2"/>
  <c r="CV224" i="2" s="1"/>
  <c r="CT225" i="2"/>
  <c r="AX203" i="2"/>
  <c r="AY203" i="2" s="1"/>
  <c r="AW204" i="2"/>
  <c r="BK216" i="2"/>
  <c r="BL215" i="2"/>
  <c r="BM215" i="2" s="1"/>
  <c r="O216" i="2"/>
  <c r="P216" i="2" s="1"/>
  <c r="N217" i="2"/>
  <c r="R186" i="1"/>
  <c r="S186" i="1" s="1"/>
  <c r="AE267" i="2"/>
  <c r="AZ203" i="2"/>
  <c r="AC268" i="2"/>
  <c r="AD268" i="2" s="1"/>
  <c r="AB269" i="2"/>
  <c r="AS210" i="2"/>
  <c r="BN214" i="2"/>
  <c r="BG220" i="2"/>
  <c r="CW224" i="2" l="1"/>
  <c r="J206" i="2"/>
  <c r="AS211" i="2"/>
  <c r="O217" i="2"/>
  <c r="P217" i="2" s="1"/>
  <c r="N218" i="2"/>
  <c r="AJ206" i="2"/>
  <c r="AK206" i="2" s="1"/>
  <c r="AI207" i="2"/>
  <c r="DI219" i="2"/>
  <c r="DJ219" i="2" s="1"/>
  <c r="DH220" i="2"/>
  <c r="G208" i="2"/>
  <c r="H207" i="2"/>
  <c r="I207" i="2" s="1"/>
  <c r="AQ212" i="2"/>
  <c r="AR212" i="2" s="1"/>
  <c r="AP213" i="2"/>
  <c r="AL205" i="2"/>
  <c r="DK218" i="2"/>
  <c r="BS221" i="2"/>
  <c r="BT221" i="2" s="1"/>
  <c r="BR222" i="2"/>
  <c r="CN221" i="2"/>
  <c r="CO221" i="2" s="1"/>
  <c r="CM222" i="2"/>
  <c r="AC269" i="2"/>
  <c r="AD269" i="2" s="1"/>
  <c r="AB270" i="2"/>
  <c r="Q216" i="2"/>
  <c r="AE268" i="2"/>
  <c r="BZ219" i="2"/>
  <c r="CA219" i="2" s="1"/>
  <c r="BY220" i="2"/>
  <c r="BU220" i="2"/>
  <c r="CP220" i="2"/>
  <c r="BL216" i="2"/>
  <c r="BM216" i="2" s="1"/>
  <c r="BK217" i="2"/>
  <c r="P188" i="1"/>
  <c r="Q188" i="1" s="1"/>
  <c r="O189" i="1"/>
  <c r="DA214" i="2"/>
  <c r="DB213" i="2"/>
  <c r="DC213" i="2" s="1"/>
  <c r="DK219" i="2"/>
  <c r="AX204" i="2"/>
  <c r="AY204" i="2" s="1"/>
  <c r="AW205" i="2"/>
  <c r="R187" i="1"/>
  <c r="S187" i="1" s="1"/>
  <c r="DD212" i="2"/>
  <c r="G200" i="1"/>
  <c r="M199" i="1"/>
  <c r="E188" i="1"/>
  <c r="K187" i="1"/>
  <c r="J187" i="1" s="1"/>
  <c r="N187" i="1"/>
  <c r="BD222" i="2"/>
  <c r="BE221" i="2"/>
  <c r="BF221" i="2" s="1"/>
  <c r="CF210" i="2"/>
  <c r="CG209" i="2"/>
  <c r="CH209" i="2" s="1"/>
  <c r="V213" i="2"/>
  <c r="W213" i="2" s="1"/>
  <c r="U214" i="2"/>
  <c r="AE269" i="2"/>
  <c r="CU225" i="2"/>
  <c r="CV225" i="2" s="1"/>
  <c r="CT226" i="2"/>
  <c r="CW225" i="2"/>
  <c r="CI208" i="2"/>
  <c r="BN215" i="2"/>
  <c r="M200" i="1" l="1"/>
  <c r="G201" i="1"/>
  <c r="AX205" i="2"/>
  <c r="AY205" i="2" s="1"/>
  <c r="AW206" i="2"/>
  <c r="DD213" i="2"/>
  <c r="CM223" i="2"/>
  <c r="CN222" i="2"/>
  <c r="CO222" i="2" s="1"/>
  <c r="AJ207" i="2"/>
  <c r="AK207" i="2" s="1"/>
  <c r="AI208" i="2"/>
  <c r="X213" i="2"/>
  <c r="AZ204" i="2"/>
  <c r="AZ205" i="2"/>
  <c r="DA215" i="2"/>
  <c r="DB214" i="2"/>
  <c r="DC214" i="2" s="1"/>
  <c r="CP222" i="2"/>
  <c r="CP221" i="2"/>
  <c r="AL206" i="2"/>
  <c r="CU226" i="2"/>
  <c r="CV226" i="2" s="1"/>
  <c r="CT227" i="2"/>
  <c r="BE222" i="2"/>
  <c r="BF222" i="2" s="1"/>
  <c r="BD223" i="2"/>
  <c r="P189" i="1"/>
  <c r="Q189" i="1" s="1"/>
  <c r="O190" i="1"/>
  <c r="BZ220" i="2"/>
  <c r="CA220" i="2" s="1"/>
  <c r="BY221" i="2"/>
  <c r="BR223" i="2"/>
  <c r="BS222" i="2"/>
  <c r="BT222" i="2" s="1"/>
  <c r="AQ213" i="2"/>
  <c r="AR213" i="2" s="1"/>
  <c r="AP214" i="2"/>
  <c r="CI209" i="2"/>
  <c r="R189" i="1"/>
  <c r="CB219" i="2"/>
  <c r="BU221" i="2"/>
  <c r="AS212" i="2"/>
  <c r="N219" i="2"/>
  <c r="O218" i="2"/>
  <c r="P218" i="2" s="1"/>
  <c r="BL217" i="2"/>
  <c r="BM217" i="2" s="1"/>
  <c r="BK218" i="2"/>
  <c r="DK220" i="2"/>
  <c r="J207" i="2"/>
  <c r="Q217" i="2"/>
  <c r="BG221" i="2"/>
  <c r="BG222" i="2"/>
  <c r="CF211" i="2"/>
  <c r="CG210" i="2"/>
  <c r="CH210" i="2" s="1"/>
  <c r="CI210" i="2"/>
  <c r="K188" i="1"/>
  <c r="J188" i="1" s="1"/>
  <c r="E189" i="1"/>
  <c r="N188" i="1"/>
  <c r="BN216" i="2"/>
  <c r="H208" i="2"/>
  <c r="I208" i="2" s="1"/>
  <c r="G209" i="2"/>
  <c r="V214" i="2"/>
  <c r="W214" i="2" s="1"/>
  <c r="U215" i="2"/>
  <c r="R188" i="1"/>
  <c r="S188" i="1" s="1"/>
  <c r="AB271" i="2"/>
  <c r="AC270" i="2"/>
  <c r="AD270" i="2" s="1"/>
  <c r="DH221" i="2"/>
  <c r="DI220" i="2"/>
  <c r="DJ220" i="2" s="1"/>
  <c r="Q219" i="2" l="1"/>
  <c r="Q218" i="2"/>
  <c r="S189" i="1"/>
  <c r="AE271" i="2"/>
  <c r="N220" i="2"/>
  <c r="O219" i="2"/>
  <c r="P219" i="2" s="1"/>
  <c r="P190" i="1"/>
  <c r="Q190" i="1" s="1"/>
  <c r="O191" i="1"/>
  <c r="DH222" i="2"/>
  <c r="DI221" i="2"/>
  <c r="DJ221" i="2" s="1"/>
  <c r="DD214" i="2"/>
  <c r="AC271" i="2"/>
  <c r="AD271" i="2" s="1"/>
  <c r="AB272" i="2"/>
  <c r="AQ214" i="2"/>
  <c r="AR214" i="2" s="1"/>
  <c r="AP215" i="2"/>
  <c r="DA216" i="2"/>
  <c r="DB215" i="2"/>
  <c r="DC215" i="2" s="1"/>
  <c r="M201" i="1"/>
  <c r="G202" i="1"/>
  <c r="K189" i="1"/>
  <c r="J189" i="1" s="1"/>
  <c r="E190" i="1"/>
  <c r="N189" i="1"/>
  <c r="AS213" i="2"/>
  <c r="BE223" i="2"/>
  <c r="BF223" i="2" s="1"/>
  <c r="BD224" i="2"/>
  <c r="AI209" i="2"/>
  <c r="AJ208" i="2"/>
  <c r="AK208" i="2" s="1"/>
  <c r="AE270" i="2"/>
  <c r="H209" i="2"/>
  <c r="I209" i="2" s="1"/>
  <c r="G210" i="2"/>
  <c r="CB220" i="2"/>
  <c r="BU222" i="2"/>
  <c r="AL207" i="2"/>
  <c r="AW207" i="2"/>
  <c r="AX206" i="2"/>
  <c r="AY206" i="2" s="1"/>
  <c r="CG211" i="2"/>
  <c r="CH211" i="2" s="1"/>
  <c r="CF212" i="2"/>
  <c r="BN217" i="2"/>
  <c r="BS223" i="2"/>
  <c r="BT223" i="2" s="1"/>
  <c r="BR224" i="2"/>
  <c r="CT228" i="2"/>
  <c r="CU227" i="2"/>
  <c r="CV227" i="2" s="1"/>
  <c r="BK219" i="2"/>
  <c r="BL218" i="2"/>
  <c r="BM218" i="2" s="1"/>
  <c r="DK221" i="2"/>
  <c r="U216" i="2"/>
  <c r="V215" i="2"/>
  <c r="W215" i="2" s="1"/>
  <c r="J208" i="2"/>
  <c r="R190" i="1"/>
  <c r="S190" i="1" s="1"/>
  <c r="BY222" i="2"/>
  <c r="BZ221" i="2"/>
  <c r="CA221" i="2" s="1"/>
  <c r="CW226" i="2"/>
  <c r="X214" i="2"/>
  <c r="CN223" i="2"/>
  <c r="CO223" i="2" s="1"/>
  <c r="CM224" i="2"/>
  <c r="CN224" i="2" l="1"/>
  <c r="CO224" i="2" s="1"/>
  <c r="CM225" i="2"/>
  <c r="BK220" i="2"/>
  <c r="BL219" i="2"/>
  <c r="BM219" i="2" s="1"/>
  <c r="CT229" i="2"/>
  <c r="CU228" i="2"/>
  <c r="CV228" i="2" s="1"/>
  <c r="BG223" i="2"/>
  <c r="E191" i="1"/>
  <c r="K190" i="1"/>
  <c r="J190" i="1" s="1"/>
  <c r="N190" i="1"/>
  <c r="AP216" i="2"/>
  <c r="AQ215" i="2"/>
  <c r="AR215" i="2" s="1"/>
  <c r="BS224" i="2"/>
  <c r="BT224" i="2" s="1"/>
  <c r="BR225" i="2"/>
  <c r="CF213" i="2"/>
  <c r="CG212" i="2"/>
  <c r="CH212" i="2" s="1"/>
  <c r="AS214" i="2"/>
  <c r="DI222" i="2"/>
  <c r="DJ222" i="2" s="1"/>
  <c r="DH223" i="2"/>
  <c r="DD215" i="2"/>
  <c r="M202" i="1"/>
  <c r="G203" i="1"/>
  <c r="J209" i="2"/>
  <c r="CP223" i="2"/>
  <c r="BU223" i="2"/>
  <c r="AZ206" i="2"/>
  <c r="CI211" i="2"/>
  <c r="P191" i="1"/>
  <c r="Q191" i="1" s="1"/>
  <c r="O192" i="1"/>
  <c r="AX207" i="2"/>
  <c r="AY207" i="2" s="1"/>
  <c r="AW208" i="2"/>
  <c r="AL208" i="2"/>
  <c r="AB273" i="2"/>
  <c r="AC272" i="2"/>
  <c r="AD272" i="2" s="1"/>
  <c r="U217" i="2"/>
  <c r="V216" i="2"/>
  <c r="W216" i="2" s="1"/>
  <c r="CB221" i="2"/>
  <c r="AJ209" i="2"/>
  <c r="AK209" i="2" s="1"/>
  <c r="AI210" i="2"/>
  <c r="BZ222" i="2"/>
  <c r="CA222" i="2" s="1"/>
  <c r="CB222" i="2" s="1"/>
  <c r="BY223" i="2"/>
  <c r="BN218" i="2"/>
  <c r="CW227" i="2"/>
  <c r="CW228" i="2"/>
  <c r="H210" i="2"/>
  <c r="I210" i="2" s="1"/>
  <c r="G211" i="2"/>
  <c r="BD225" i="2"/>
  <c r="BE224" i="2"/>
  <c r="BF224" i="2" s="1"/>
  <c r="DB216" i="2"/>
  <c r="DC216" i="2" s="1"/>
  <c r="DA217" i="2"/>
  <c r="X215" i="2"/>
  <c r="O220" i="2"/>
  <c r="P220" i="2" s="1"/>
  <c r="N221" i="2"/>
  <c r="O221" i="2" l="1"/>
  <c r="P221" i="2" s="1"/>
  <c r="N222" i="2"/>
  <c r="H211" i="2"/>
  <c r="I211" i="2" s="1"/>
  <c r="G212" i="2"/>
  <c r="AC273" i="2"/>
  <c r="AD273" i="2" s="1"/>
  <c r="AB274" i="2"/>
  <c r="AX208" i="2"/>
  <c r="AY208" i="2" s="1"/>
  <c r="AW209" i="2"/>
  <c r="BK221" i="2"/>
  <c r="BL220" i="2"/>
  <c r="BM220" i="2" s="1"/>
  <c r="X216" i="2"/>
  <c r="AZ207" i="2"/>
  <c r="CI212" i="2"/>
  <c r="AQ216" i="2"/>
  <c r="AR216" i="2" s="1"/>
  <c r="AP217" i="2"/>
  <c r="CM226" i="2"/>
  <c r="CN225" i="2"/>
  <c r="CO225" i="2" s="1"/>
  <c r="U218" i="2"/>
  <c r="V217" i="2"/>
  <c r="W217" i="2" s="1"/>
  <c r="DI223" i="2"/>
  <c r="DJ223" i="2" s="1"/>
  <c r="DH224" i="2"/>
  <c r="CG213" i="2"/>
  <c r="CH213" i="2" s="1"/>
  <c r="CF214" i="2"/>
  <c r="J210" i="2"/>
  <c r="CP224" i="2"/>
  <c r="AL209" i="2"/>
  <c r="BS225" i="2"/>
  <c r="BT225" i="2" s="1"/>
  <c r="BR226" i="2"/>
  <c r="Q221" i="2"/>
  <c r="DA218" i="2"/>
  <c r="DB217" i="2"/>
  <c r="DC217" i="2" s="1"/>
  <c r="AJ210" i="2"/>
  <c r="AK210" i="2" s="1"/>
  <c r="AI211" i="2"/>
  <c r="P192" i="1"/>
  <c r="Q192" i="1" s="1"/>
  <c r="O193" i="1"/>
  <c r="BU224" i="2"/>
  <c r="E192" i="1"/>
  <c r="K191" i="1"/>
  <c r="J191" i="1" s="1"/>
  <c r="N191" i="1"/>
  <c r="R191" i="1"/>
  <c r="S191" i="1" s="1"/>
  <c r="R192" i="1"/>
  <c r="G204" i="1"/>
  <c r="M203" i="1"/>
  <c r="AS216" i="2"/>
  <c r="BY224" i="2"/>
  <c r="BZ223" i="2"/>
  <c r="CA223" i="2" s="1"/>
  <c r="DK222" i="2"/>
  <c r="BG224" i="2"/>
  <c r="CT230" i="2"/>
  <c r="CU229" i="2"/>
  <c r="CV229" i="2" s="1"/>
  <c r="DD216" i="2"/>
  <c r="Q220" i="2"/>
  <c r="BE225" i="2"/>
  <c r="BF225" i="2" s="1"/>
  <c r="BG225" i="2" s="1"/>
  <c r="BD226" i="2"/>
  <c r="AE272" i="2"/>
  <c r="AE273" i="2"/>
  <c r="CI213" i="2"/>
  <c r="AS215" i="2"/>
  <c r="BN219" i="2"/>
  <c r="S192" i="1" l="1"/>
  <c r="O194" i="1"/>
  <c r="P193" i="1"/>
  <c r="Q193" i="1" s="1"/>
  <c r="CP225" i="2"/>
  <c r="J211" i="2"/>
  <c r="CM227" i="2"/>
  <c r="CN226" i="2"/>
  <c r="CO226" i="2" s="1"/>
  <c r="N223" i="2"/>
  <c r="O222" i="2"/>
  <c r="P222" i="2" s="1"/>
  <c r="AJ211" i="2"/>
  <c r="AK211" i="2" s="1"/>
  <c r="AI212" i="2"/>
  <c r="CF215" i="2"/>
  <c r="CG214" i="2"/>
  <c r="CH214" i="2" s="1"/>
  <c r="AQ217" i="2"/>
  <c r="AR217" i="2" s="1"/>
  <c r="AP218" i="2"/>
  <c r="AL210" i="2"/>
  <c r="AW210" i="2"/>
  <c r="AX209" i="2"/>
  <c r="AY209" i="2" s="1"/>
  <c r="CW229" i="2"/>
  <c r="CW230" i="2"/>
  <c r="DD217" i="2"/>
  <c r="BR227" i="2"/>
  <c r="BS226" i="2"/>
  <c r="BT226" i="2" s="1"/>
  <c r="DH225" i="2"/>
  <c r="DI224" i="2"/>
  <c r="DJ224" i="2" s="1"/>
  <c r="AZ208" i="2"/>
  <c r="CU230" i="2"/>
  <c r="CV230" i="2" s="1"/>
  <c r="CT231" i="2"/>
  <c r="CB223" i="2"/>
  <c r="K192" i="1"/>
  <c r="J192" i="1" s="1"/>
  <c r="E193" i="1"/>
  <c r="N192" i="1"/>
  <c r="DA219" i="2"/>
  <c r="DB218" i="2"/>
  <c r="DC218" i="2" s="1"/>
  <c r="BU225" i="2"/>
  <c r="AB275" i="2"/>
  <c r="AC274" i="2"/>
  <c r="AD274" i="2" s="1"/>
  <c r="BE226" i="2"/>
  <c r="BF226" i="2" s="1"/>
  <c r="BD227" i="2"/>
  <c r="BY225" i="2"/>
  <c r="BZ224" i="2"/>
  <c r="CA224" i="2" s="1"/>
  <c r="M204" i="1"/>
  <c r="G205" i="1"/>
  <c r="AL211" i="2"/>
  <c r="X217" i="2"/>
  <c r="BN220" i="2"/>
  <c r="Q222" i="2"/>
  <c r="DK223" i="2"/>
  <c r="V218" i="2"/>
  <c r="W218" i="2" s="1"/>
  <c r="U219" i="2"/>
  <c r="BL221" i="2"/>
  <c r="BM221" i="2" s="1"/>
  <c r="BK222" i="2"/>
  <c r="G213" i="2"/>
  <c r="H212" i="2"/>
  <c r="I212" i="2" s="1"/>
  <c r="E194" i="1" l="1"/>
  <c r="K193" i="1"/>
  <c r="J193" i="1" s="1"/>
  <c r="N193" i="1"/>
  <c r="AX210" i="2"/>
  <c r="AY210" i="2" s="1"/>
  <c r="AW211" i="2"/>
  <c r="Q223" i="2"/>
  <c r="O223" i="2"/>
  <c r="P223" i="2" s="1"/>
  <c r="N224" i="2"/>
  <c r="U220" i="2"/>
  <c r="V219" i="2"/>
  <c r="W219" i="2" s="1"/>
  <c r="AQ218" i="2"/>
  <c r="AR218" i="2" s="1"/>
  <c r="AP219" i="2"/>
  <c r="CP226" i="2"/>
  <c r="BY226" i="2"/>
  <c r="BZ225" i="2"/>
  <c r="CA225" i="2" s="1"/>
  <c r="X218" i="2"/>
  <c r="BE227" i="2"/>
  <c r="BF227" i="2" s="1"/>
  <c r="BD228" i="2"/>
  <c r="DK224" i="2"/>
  <c r="AS217" i="2"/>
  <c r="AS218" i="2"/>
  <c r="CN227" i="2"/>
  <c r="CO227" i="2" s="1"/>
  <c r="CM228" i="2"/>
  <c r="CB224" i="2"/>
  <c r="CB225" i="2"/>
  <c r="BN222" i="2"/>
  <c r="BG226" i="2"/>
  <c r="BG227" i="2"/>
  <c r="DH226" i="2"/>
  <c r="DI225" i="2"/>
  <c r="DJ225" i="2" s="1"/>
  <c r="CI214" i="2"/>
  <c r="BK223" i="2"/>
  <c r="BL222" i="2"/>
  <c r="BM222" i="2" s="1"/>
  <c r="DD218" i="2"/>
  <c r="BU226" i="2"/>
  <c r="CF216" i="2"/>
  <c r="CG215" i="2"/>
  <c r="CH215" i="2" s="1"/>
  <c r="AE274" i="2"/>
  <c r="M205" i="1"/>
  <c r="G206" i="1"/>
  <c r="AC275" i="2"/>
  <c r="AD275" i="2" s="1"/>
  <c r="AB276" i="2"/>
  <c r="DA220" i="2"/>
  <c r="DB219" i="2"/>
  <c r="DC219" i="2" s="1"/>
  <c r="CU231" i="2"/>
  <c r="CV231" i="2" s="1"/>
  <c r="CT232" i="2"/>
  <c r="BR228" i="2"/>
  <c r="BS227" i="2"/>
  <c r="BT227" i="2" s="1"/>
  <c r="AJ212" i="2"/>
  <c r="AK212" i="2" s="1"/>
  <c r="AI213" i="2"/>
  <c r="R193" i="1"/>
  <c r="S193" i="1" s="1"/>
  <c r="BN221" i="2"/>
  <c r="J212" i="2"/>
  <c r="H213" i="2"/>
  <c r="I213" i="2" s="1"/>
  <c r="G214" i="2"/>
  <c r="AZ210" i="2"/>
  <c r="AZ209" i="2"/>
  <c r="O195" i="1"/>
  <c r="P194" i="1"/>
  <c r="Q194" i="1" s="1"/>
  <c r="BS228" i="2" l="1"/>
  <c r="BT228" i="2" s="1"/>
  <c r="BR229" i="2"/>
  <c r="CF217" i="2"/>
  <c r="CG216" i="2"/>
  <c r="CH216" i="2" s="1"/>
  <c r="BK224" i="2"/>
  <c r="BL223" i="2"/>
  <c r="BM223" i="2" s="1"/>
  <c r="CN228" i="2"/>
  <c r="CO228" i="2" s="1"/>
  <c r="CM229" i="2"/>
  <c r="E195" i="1"/>
  <c r="K194" i="1"/>
  <c r="J194" i="1" s="1"/>
  <c r="N194" i="1"/>
  <c r="P195" i="1"/>
  <c r="Q195" i="1" s="1"/>
  <c r="O196" i="1"/>
  <c r="AQ219" i="2"/>
  <c r="AR219" i="2" s="1"/>
  <c r="AP220" i="2"/>
  <c r="CT233" i="2"/>
  <c r="CU232" i="2"/>
  <c r="CV232" i="2" s="1"/>
  <c r="DD219" i="2"/>
  <c r="AS219" i="2"/>
  <c r="J213" i="2"/>
  <c r="AJ213" i="2"/>
  <c r="AK213" i="2" s="1"/>
  <c r="AI214" i="2"/>
  <c r="DB220" i="2"/>
  <c r="DC220" i="2" s="1"/>
  <c r="DA221" i="2"/>
  <c r="DI226" i="2"/>
  <c r="DJ226" i="2" s="1"/>
  <c r="DH227" i="2"/>
  <c r="BD229" i="2"/>
  <c r="BE228" i="2"/>
  <c r="BF228" i="2" s="1"/>
  <c r="X219" i="2"/>
  <c r="AX211" i="2"/>
  <c r="AY211" i="2" s="1"/>
  <c r="AW212" i="2"/>
  <c r="CW231" i="2"/>
  <c r="AL212" i="2"/>
  <c r="AC276" i="2"/>
  <c r="AD276" i="2" s="1"/>
  <c r="AB277" i="2"/>
  <c r="BZ226" i="2"/>
  <c r="CA226" i="2" s="1"/>
  <c r="BY227" i="2"/>
  <c r="U221" i="2"/>
  <c r="V220" i="2"/>
  <c r="W220" i="2" s="1"/>
  <c r="AE275" i="2"/>
  <c r="DK226" i="2"/>
  <c r="O224" i="2"/>
  <c r="P224" i="2" s="1"/>
  <c r="N225" i="2"/>
  <c r="R194" i="1"/>
  <c r="S194" i="1" s="1"/>
  <c r="R195" i="1"/>
  <c r="S195" i="1" s="1"/>
  <c r="G215" i="2"/>
  <c r="H214" i="2"/>
  <c r="I214" i="2" s="1"/>
  <c r="BU227" i="2"/>
  <c r="BU228" i="2"/>
  <c r="M206" i="1"/>
  <c r="G207" i="1"/>
  <c r="CI215" i="2"/>
  <c r="CI216" i="2"/>
  <c r="DK225" i="2"/>
  <c r="CP227" i="2"/>
  <c r="U222" i="2" l="1"/>
  <c r="V221" i="2"/>
  <c r="W221" i="2" s="1"/>
  <c r="AZ211" i="2"/>
  <c r="BL224" i="2"/>
  <c r="BM224" i="2" s="1"/>
  <c r="BK225" i="2"/>
  <c r="BZ227" i="2"/>
  <c r="CA227" i="2" s="1"/>
  <c r="BY228" i="2"/>
  <c r="DA222" i="2"/>
  <c r="DB221" i="2"/>
  <c r="DC221" i="2" s="1"/>
  <c r="CW232" i="2"/>
  <c r="G208" i="1"/>
  <c r="M207" i="1"/>
  <c r="J214" i="2"/>
  <c r="CB226" i="2"/>
  <c r="DD220" i="2"/>
  <c r="CT234" i="2"/>
  <c r="CU233" i="2"/>
  <c r="CV233" i="2" s="1"/>
  <c r="CG217" i="2"/>
  <c r="CH217" i="2" s="1"/>
  <c r="CF218" i="2"/>
  <c r="O225" i="2"/>
  <c r="P225" i="2" s="1"/>
  <c r="N226" i="2"/>
  <c r="G216" i="2"/>
  <c r="H215" i="2"/>
  <c r="I215" i="2" s="1"/>
  <c r="Q224" i="2"/>
  <c r="AJ214" i="2"/>
  <c r="AK214" i="2" s="1"/>
  <c r="AI215" i="2"/>
  <c r="AP221" i="2"/>
  <c r="AQ220" i="2"/>
  <c r="AR220" i="2" s="1"/>
  <c r="BS229" i="2"/>
  <c r="BT229" i="2" s="1"/>
  <c r="BR230" i="2"/>
  <c r="CW233" i="2"/>
  <c r="BG228" i="2"/>
  <c r="AL213" i="2"/>
  <c r="E196" i="1"/>
  <c r="K195" i="1"/>
  <c r="J195" i="1" s="1"/>
  <c r="N195" i="1"/>
  <c r="AB278" i="2"/>
  <c r="AC277" i="2"/>
  <c r="AD277" i="2" s="1"/>
  <c r="BD230" i="2"/>
  <c r="BE229" i="2"/>
  <c r="BF229" i="2" s="1"/>
  <c r="P196" i="1"/>
  <c r="Q196" i="1" s="1"/>
  <c r="O197" i="1"/>
  <c r="CN229" i="2"/>
  <c r="CO229" i="2" s="1"/>
  <c r="CM230" i="2"/>
  <c r="AE276" i="2"/>
  <c r="DI227" i="2"/>
  <c r="DJ227" i="2" s="1"/>
  <c r="DH228" i="2"/>
  <c r="CP228" i="2"/>
  <c r="X220" i="2"/>
  <c r="AX212" i="2"/>
  <c r="AY212" i="2" s="1"/>
  <c r="AZ212" i="2" s="1"/>
  <c r="AW213" i="2"/>
  <c r="DK227" i="2"/>
  <c r="BN223" i="2"/>
  <c r="BD231" i="2" l="1"/>
  <c r="BE230" i="2"/>
  <c r="BF230" i="2" s="1"/>
  <c r="K196" i="1"/>
  <c r="J196" i="1" s="1"/>
  <c r="E197" i="1"/>
  <c r="N196" i="1"/>
  <c r="AQ221" i="2"/>
  <c r="AR221" i="2" s="1"/>
  <c r="AP222" i="2"/>
  <c r="CU234" i="2"/>
  <c r="CV234" i="2" s="1"/>
  <c r="CT235" i="2"/>
  <c r="BN224" i="2"/>
  <c r="AE277" i="2"/>
  <c r="AJ215" i="2"/>
  <c r="AK215" i="2" s="1"/>
  <c r="AI216" i="2"/>
  <c r="J215" i="2"/>
  <c r="DI228" i="2"/>
  <c r="DJ228" i="2" s="1"/>
  <c r="DH229" i="2"/>
  <c r="AB279" i="2"/>
  <c r="AC278" i="2"/>
  <c r="AD278" i="2" s="1"/>
  <c r="AL215" i="2"/>
  <c r="H216" i="2"/>
  <c r="I216" i="2" s="1"/>
  <c r="G217" i="2"/>
  <c r="AW214" i="2"/>
  <c r="AX213" i="2"/>
  <c r="AY213" i="2" s="1"/>
  <c r="CM231" i="2"/>
  <c r="CN230" i="2"/>
  <c r="CO230" i="2" s="1"/>
  <c r="N227" i="2"/>
  <c r="O226" i="2"/>
  <c r="P226" i="2" s="1"/>
  <c r="DD221" i="2"/>
  <c r="DD222" i="2"/>
  <c r="CP229" i="2"/>
  <c r="CP230" i="2"/>
  <c r="AL214" i="2"/>
  <c r="Q225" i="2"/>
  <c r="M208" i="1"/>
  <c r="G209" i="1"/>
  <c r="DA223" i="2"/>
  <c r="DB222" i="2"/>
  <c r="DC222" i="2" s="1"/>
  <c r="AE278" i="2"/>
  <c r="P197" i="1"/>
  <c r="Q197" i="1" s="1"/>
  <c r="O198" i="1"/>
  <c r="BR231" i="2"/>
  <c r="BS230" i="2"/>
  <c r="BT230" i="2" s="1"/>
  <c r="BU230" i="2" s="1"/>
  <c r="CG218" i="2"/>
  <c r="CH218" i="2" s="1"/>
  <c r="CF219" i="2"/>
  <c r="BY229" i="2"/>
  <c r="BZ228" i="2"/>
  <c r="CA228" i="2" s="1"/>
  <c r="R197" i="1"/>
  <c r="BU229" i="2"/>
  <c r="Q226" i="2"/>
  <c r="CI217" i="2"/>
  <c r="CB227" i="2"/>
  <c r="X221" i="2"/>
  <c r="DK228" i="2"/>
  <c r="R196" i="1"/>
  <c r="S196" i="1" s="1"/>
  <c r="BG229" i="2"/>
  <c r="AS220" i="2"/>
  <c r="CW234" i="2"/>
  <c r="BL225" i="2"/>
  <c r="BM225" i="2" s="1"/>
  <c r="BK226" i="2"/>
  <c r="V222" i="2"/>
  <c r="W222" i="2" s="1"/>
  <c r="U223" i="2"/>
  <c r="S197" i="1" l="1"/>
  <c r="BR232" i="2"/>
  <c r="BS231" i="2"/>
  <c r="BT231" i="2" s="1"/>
  <c r="K197" i="1"/>
  <c r="J197" i="1" s="1"/>
  <c r="E198" i="1"/>
  <c r="N197" i="1"/>
  <c r="AS221" i="2"/>
  <c r="M209" i="1"/>
  <c r="G210" i="1"/>
  <c r="O199" i="1"/>
  <c r="P198" i="1"/>
  <c r="Q198" i="1" s="1"/>
  <c r="AJ216" i="2"/>
  <c r="AK216" i="2" s="1"/>
  <c r="AI217" i="2"/>
  <c r="X222" i="2"/>
  <c r="O227" i="2"/>
  <c r="P227" i="2" s="1"/>
  <c r="N228" i="2"/>
  <c r="AW215" i="2"/>
  <c r="AX214" i="2"/>
  <c r="AY214" i="2" s="1"/>
  <c r="AC279" i="2"/>
  <c r="AD279" i="2" s="1"/>
  <c r="AB280" i="2"/>
  <c r="BG230" i="2"/>
  <c r="U224" i="2"/>
  <c r="V223" i="2"/>
  <c r="W223" i="2" s="1"/>
  <c r="BN225" i="2"/>
  <c r="BU231" i="2"/>
  <c r="CB228" i="2"/>
  <c r="DI229" i="2"/>
  <c r="DJ229" i="2" s="1"/>
  <c r="DH230" i="2"/>
  <c r="CU235" i="2"/>
  <c r="CV235" i="2" s="1"/>
  <c r="CT236" i="2"/>
  <c r="BD232" i="2"/>
  <c r="BE231" i="2"/>
  <c r="BF231" i="2" s="1"/>
  <c r="BZ229" i="2"/>
  <c r="CA229" i="2" s="1"/>
  <c r="BY230" i="2"/>
  <c r="AZ213" i="2"/>
  <c r="H217" i="2"/>
  <c r="I217" i="2" s="1"/>
  <c r="G218" i="2"/>
  <c r="DA224" i="2"/>
  <c r="DB223" i="2"/>
  <c r="DC223" i="2" s="1"/>
  <c r="BK227" i="2"/>
  <c r="BL226" i="2"/>
  <c r="BM226" i="2" s="1"/>
  <c r="CI218" i="2"/>
  <c r="CF220" i="2"/>
  <c r="CG219" i="2"/>
  <c r="CH219" i="2" s="1"/>
  <c r="CM232" i="2"/>
  <c r="CN231" i="2"/>
  <c r="CO231" i="2" s="1"/>
  <c r="AQ222" i="2"/>
  <c r="AR222" i="2" s="1"/>
  <c r="AP223" i="2"/>
  <c r="J216" i="2"/>
  <c r="BZ230" i="2" l="1"/>
  <c r="CA230" i="2" s="1"/>
  <c r="BY231" i="2"/>
  <c r="AZ214" i="2"/>
  <c r="AW216" i="2"/>
  <c r="AX215" i="2"/>
  <c r="AY215" i="2" s="1"/>
  <c r="DD223" i="2"/>
  <c r="G219" i="2"/>
  <c r="H218" i="2"/>
  <c r="I218" i="2" s="1"/>
  <c r="BS232" i="2"/>
  <c r="BT232" i="2" s="1"/>
  <c r="BR233" i="2"/>
  <c r="DB224" i="2"/>
  <c r="DC224" i="2" s="1"/>
  <c r="DA225" i="2"/>
  <c r="AE279" i="2"/>
  <c r="O228" i="2"/>
  <c r="P228" i="2" s="1"/>
  <c r="N229" i="2"/>
  <c r="J217" i="2"/>
  <c r="DI230" i="2"/>
  <c r="DJ230" i="2" s="1"/>
  <c r="DH231" i="2"/>
  <c r="X223" i="2"/>
  <c r="Q227" i="2"/>
  <c r="Q228" i="2"/>
  <c r="CG220" i="2"/>
  <c r="CH220" i="2" s="1"/>
  <c r="CF221" i="2"/>
  <c r="DK229" i="2"/>
  <c r="U225" i="2"/>
  <c r="V224" i="2"/>
  <c r="W224" i="2" s="1"/>
  <c r="AL216" i="2"/>
  <c r="BN226" i="2"/>
  <c r="M210" i="1"/>
  <c r="G211" i="1"/>
  <c r="BK228" i="2"/>
  <c r="BL227" i="2"/>
  <c r="BM227" i="2" s="1"/>
  <c r="CU236" i="2"/>
  <c r="CV236" i="2" s="1"/>
  <c r="CT237" i="2"/>
  <c r="AS222" i="2"/>
  <c r="R198" i="1"/>
  <c r="S198" i="1" s="1"/>
  <c r="BE232" i="2"/>
  <c r="BF232" i="2" s="1"/>
  <c r="BD233" i="2"/>
  <c r="E199" i="1"/>
  <c r="K198" i="1"/>
  <c r="J198" i="1" s="1"/>
  <c r="N198" i="1"/>
  <c r="CW235" i="2"/>
  <c r="CP232" i="2"/>
  <c r="CP231" i="2"/>
  <c r="CN232" i="2"/>
  <c r="CO232" i="2" s="1"/>
  <c r="CM233" i="2"/>
  <c r="AQ223" i="2"/>
  <c r="AR223" i="2" s="1"/>
  <c r="AP224" i="2"/>
  <c r="CI219" i="2"/>
  <c r="BG231" i="2"/>
  <c r="CB229" i="2"/>
  <c r="BN227" i="2"/>
  <c r="AB281" i="2"/>
  <c r="AC280" i="2"/>
  <c r="AD280" i="2" s="1"/>
  <c r="R199" i="1"/>
  <c r="S199" i="1" s="1"/>
  <c r="AI218" i="2"/>
  <c r="AJ217" i="2"/>
  <c r="AK217" i="2" s="1"/>
  <c r="P199" i="1"/>
  <c r="Q199" i="1" s="1"/>
  <c r="O200" i="1"/>
  <c r="P200" i="1" l="1"/>
  <c r="Q200" i="1" s="1"/>
  <c r="O201" i="1"/>
  <c r="AP225" i="2"/>
  <c r="AQ224" i="2"/>
  <c r="AR224" i="2" s="1"/>
  <c r="G212" i="1"/>
  <c r="M211" i="1"/>
  <c r="CG221" i="2"/>
  <c r="CH221" i="2" s="1"/>
  <c r="CF222" i="2"/>
  <c r="AS223" i="2"/>
  <c r="CB230" i="2"/>
  <c r="X224" i="2"/>
  <c r="CI220" i="2"/>
  <c r="DI231" i="2"/>
  <c r="DJ231" i="2" s="1"/>
  <c r="DH232" i="2"/>
  <c r="O229" i="2"/>
  <c r="P229" i="2" s="1"/>
  <c r="N230" i="2"/>
  <c r="BZ231" i="2"/>
  <c r="CA231" i="2" s="1"/>
  <c r="BY232" i="2"/>
  <c r="E200" i="1"/>
  <c r="K199" i="1"/>
  <c r="J199" i="1" s="1"/>
  <c r="N199" i="1"/>
  <c r="AE280" i="2"/>
  <c r="U226" i="2"/>
  <c r="V225" i="2"/>
  <c r="W225" i="2" s="1"/>
  <c r="DK230" i="2"/>
  <c r="J218" i="2"/>
  <c r="AZ215" i="2"/>
  <c r="BU232" i="2"/>
  <c r="AI219" i="2"/>
  <c r="AJ218" i="2"/>
  <c r="AK218" i="2" s="1"/>
  <c r="CN233" i="2"/>
  <c r="CO233" i="2" s="1"/>
  <c r="CM234" i="2"/>
  <c r="R200" i="1"/>
  <c r="S200" i="1" s="1"/>
  <c r="CI221" i="2"/>
  <c r="H219" i="2"/>
  <c r="I219" i="2" s="1"/>
  <c r="G220" i="2"/>
  <c r="AX216" i="2"/>
  <c r="AY216" i="2" s="1"/>
  <c r="AW217" i="2"/>
  <c r="CT238" i="2"/>
  <c r="CU237" i="2"/>
  <c r="CV237" i="2" s="1"/>
  <c r="DA226" i="2"/>
  <c r="DB225" i="2"/>
  <c r="DC225" i="2" s="1"/>
  <c r="BE233" i="2"/>
  <c r="BF233" i="2" s="1"/>
  <c r="BD234" i="2"/>
  <c r="CW236" i="2"/>
  <c r="AL217" i="2"/>
  <c r="DD225" i="2"/>
  <c r="DD224" i="2"/>
  <c r="BL228" i="2"/>
  <c r="BM228" i="2" s="1"/>
  <c r="BK229" i="2"/>
  <c r="AC281" i="2"/>
  <c r="AD281" i="2" s="1"/>
  <c r="AE281" i="2" s="1"/>
  <c r="AB282" i="2"/>
  <c r="BG232" i="2"/>
  <c r="BS233" i="2"/>
  <c r="BT233" i="2" s="1"/>
  <c r="BU233" i="2" s="1"/>
  <c r="BR234" i="2"/>
  <c r="BL229" i="2" l="1"/>
  <c r="BM229" i="2" s="1"/>
  <c r="BK230" i="2"/>
  <c r="AZ216" i="2"/>
  <c r="AL218" i="2"/>
  <c r="CB231" i="2"/>
  <c r="M212" i="1"/>
  <c r="G213" i="1"/>
  <c r="AW218" i="2"/>
  <c r="AX217" i="2"/>
  <c r="AY217" i="2" s="1"/>
  <c r="V226" i="2"/>
  <c r="W226" i="2" s="1"/>
  <c r="U227" i="2"/>
  <c r="H220" i="2"/>
  <c r="I220" i="2" s="1"/>
  <c r="G221" i="2"/>
  <c r="AJ219" i="2"/>
  <c r="AK219" i="2" s="1"/>
  <c r="AI220" i="2"/>
  <c r="CP233" i="2"/>
  <c r="BZ232" i="2"/>
  <c r="CA232" i="2" s="1"/>
  <c r="BY233" i="2"/>
  <c r="BN228" i="2"/>
  <c r="O230" i="2"/>
  <c r="P230" i="2" s="1"/>
  <c r="N231" i="2"/>
  <c r="BS234" i="2"/>
  <c r="BT234" i="2" s="1"/>
  <c r="BR235" i="2"/>
  <c r="DA227" i="2"/>
  <c r="DB226" i="2"/>
  <c r="DC226" i="2" s="1"/>
  <c r="J219" i="2"/>
  <c r="Q230" i="2"/>
  <c r="AS224" i="2"/>
  <c r="BE234" i="2"/>
  <c r="BF234" i="2" s="1"/>
  <c r="BD235" i="2"/>
  <c r="DI232" i="2"/>
  <c r="DJ232" i="2" s="1"/>
  <c r="DH233" i="2"/>
  <c r="AP226" i="2"/>
  <c r="AQ225" i="2"/>
  <c r="AR225" i="2" s="1"/>
  <c r="AB283" i="2"/>
  <c r="AC282" i="2"/>
  <c r="AD282" i="2" s="1"/>
  <c r="BG233" i="2"/>
  <c r="CW238" i="2"/>
  <c r="CW237" i="2"/>
  <c r="DK231" i="2"/>
  <c r="CG222" i="2"/>
  <c r="CH222" i="2" s="1"/>
  <c r="CF223" i="2"/>
  <c r="O202" i="1"/>
  <c r="P201" i="1"/>
  <c r="Q201" i="1" s="1"/>
  <c r="CU238" i="2"/>
  <c r="CV238" i="2" s="1"/>
  <c r="CT239" i="2"/>
  <c r="CN234" i="2"/>
  <c r="CO234" i="2" s="1"/>
  <c r="CM235" i="2"/>
  <c r="Q229" i="2"/>
  <c r="X225" i="2"/>
  <c r="K200" i="1"/>
  <c r="J200" i="1" s="1"/>
  <c r="E201" i="1"/>
  <c r="N200" i="1"/>
  <c r="BU234" i="2" l="1"/>
  <c r="N232" i="2"/>
  <c r="O231" i="2"/>
  <c r="P231" i="2" s="1"/>
  <c r="CB232" i="2"/>
  <c r="BG234" i="2"/>
  <c r="H221" i="2"/>
  <c r="I221" i="2" s="1"/>
  <c r="G222" i="2"/>
  <c r="U228" i="2"/>
  <c r="V227" i="2"/>
  <c r="W227" i="2" s="1"/>
  <c r="AS225" i="2"/>
  <c r="X226" i="2"/>
  <c r="X227" i="2"/>
  <c r="CM236" i="2"/>
  <c r="CN235" i="2"/>
  <c r="CO235" i="2" s="1"/>
  <c r="CP234" i="2"/>
  <c r="R202" i="1"/>
  <c r="R201" i="1"/>
  <c r="S201" i="1" s="1"/>
  <c r="AQ226" i="2"/>
  <c r="AR226" i="2" s="1"/>
  <c r="AP227" i="2"/>
  <c r="AZ217" i="2"/>
  <c r="BL230" i="2"/>
  <c r="BM230" i="2" s="1"/>
  <c r="BK231" i="2"/>
  <c r="AB284" i="2"/>
  <c r="AC283" i="2"/>
  <c r="AD283" i="2" s="1"/>
  <c r="DI233" i="2"/>
  <c r="DJ233" i="2" s="1"/>
  <c r="DH234" i="2"/>
  <c r="DD226" i="2"/>
  <c r="AW219" i="2"/>
  <c r="AX218" i="2"/>
  <c r="AY218" i="2" s="1"/>
  <c r="BN229" i="2"/>
  <c r="P202" i="1"/>
  <c r="Q202" i="1" s="1"/>
  <c r="O203" i="1"/>
  <c r="CF224" i="2"/>
  <c r="CG223" i="2"/>
  <c r="CH223" i="2" s="1"/>
  <c r="DK232" i="2"/>
  <c r="DA228" i="2"/>
  <c r="DB227" i="2"/>
  <c r="DC227" i="2" s="1"/>
  <c r="J221" i="2"/>
  <c r="AJ220" i="2"/>
  <c r="AK220" i="2" s="1"/>
  <c r="AI221" i="2"/>
  <c r="M213" i="1"/>
  <c r="G214" i="1"/>
  <c r="BY234" i="2"/>
  <c r="BZ233" i="2"/>
  <c r="CA233" i="2" s="1"/>
  <c r="CB233" i="2" s="1"/>
  <c r="CU239" i="2"/>
  <c r="CV239" i="2" s="1"/>
  <c r="CT240" i="2"/>
  <c r="K201" i="1"/>
  <c r="J201" i="1" s="1"/>
  <c r="E202" i="1"/>
  <c r="N201" i="1"/>
  <c r="CI222" i="2"/>
  <c r="AE282" i="2"/>
  <c r="BE235" i="2"/>
  <c r="BF235" i="2" s="1"/>
  <c r="BD236" i="2"/>
  <c r="BR236" i="2"/>
  <c r="BS235" i="2"/>
  <c r="BT235" i="2" s="1"/>
  <c r="J220" i="2"/>
  <c r="AL219" i="2"/>
  <c r="S202" i="1" l="1"/>
  <c r="DB228" i="2"/>
  <c r="DC228" i="2" s="1"/>
  <c r="DA229" i="2"/>
  <c r="E203" i="1"/>
  <c r="K202" i="1"/>
  <c r="J202" i="1" s="1"/>
  <c r="N202" i="1"/>
  <c r="M214" i="1"/>
  <c r="G215" i="1"/>
  <c r="DK233" i="2"/>
  <c r="V228" i="2"/>
  <c r="W228" i="2" s="1"/>
  <c r="U229" i="2"/>
  <c r="O232" i="2"/>
  <c r="P232" i="2" s="1"/>
  <c r="N233" i="2"/>
  <c r="BE236" i="2"/>
  <c r="BF236" i="2" s="1"/>
  <c r="BD237" i="2"/>
  <c r="CG224" i="2"/>
  <c r="CH224" i="2" s="1"/>
  <c r="CF225" i="2"/>
  <c r="AZ218" i="2"/>
  <c r="BU235" i="2"/>
  <c r="CN236" i="2"/>
  <c r="CO236" i="2" s="1"/>
  <c r="CM237" i="2"/>
  <c r="AE283" i="2"/>
  <c r="CU240" i="2"/>
  <c r="CV240" i="2" s="1"/>
  <c r="CT241" i="2"/>
  <c r="AI222" i="2"/>
  <c r="AJ221" i="2"/>
  <c r="AK221" i="2" s="1"/>
  <c r="AC284" i="2"/>
  <c r="AD284" i="2" s="1"/>
  <c r="AB285" i="2"/>
  <c r="AL220" i="2"/>
  <c r="P203" i="1"/>
  <c r="Q203" i="1" s="1"/>
  <c r="O204" i="1"/>
  <c r="BL231" i="2"/>
  <c r="BM231" i="2" s="1"/>
  <c r="BK232" i="2"/>
  <c r="BY235" i="2"/>
  <c r="BZ234" i="2"/>
  <c r="CA234" i="2" s="1"/>
  <c r="DH235" i="2"/>
  <c r="DI234" i="2"/>
  <c r="DJ234" i="2" s="1"/>
  <c r="BS236" i="2"/>
  <c r="BT236" i="2" s="1"/>
  <c r="BR237" i="2"/>
  <c r="BG235" i="2"/>
  <c r="CW239" i="2"/>
  <c r="BN230" i="2"/>
  <c r="AQ227" i="2"/>
  <c r="AR227" i="2" s="1"/>
  <c r="AP228" i="2"/>
  <c r="H222" i="2"/>
  <c r="I222" i="2" s="1"/>
  <c r="G223" i="2"/>
  <c r="AW220" i="2"/>
  <c r="AX219" i="2"/>
  <c r="AY219" i="2" s="1"/>
  <c r="Q231" i="2"/>
  <c r="DD227" i="2"/>
  <c r="CI224" i="2"/>
  <c r="CI223" i="2"/>
  <c r="AS226" i="2"/>
  <c r="CP235" i="2"/>
  <c r="BN231" i="2" l="1"/>
  <c r="CB234" i="2"/>
  <c r="AI223" i="2"/>
  <c r="AJ222" i="2"/>
  <c r="AK222" i="2" s="1"/>
  <c r="AZ219" i="2"/>
  <c r="O233" i="2"/>
  <c r="P233" i="2" s="1"/>
  <c r="N234" i="2"/>
  <c r="DD228" i="2"/>
  <c r="AP229" i="2"/>
  <c r="AQ228" i="2"/>
  <c r="AR228" i="2" s="1"/>
  <c r="BZ235" i="2"/>
  <c r="CA235" i="2" s="1"/>
  <c r="BY236" i="2"/>
  <c r="AL221" i="2"/>
  <c r="CT242" i="2"/>
  <c r="CU241" i="2"/>
  <c r="CV241" i="2" s="1"/>
  <c r="Q232" i="2"/>
  <c r="E204" i="1"/>
  <c r="K203" i="1"/>
  <c r="J203" i="1" s="1"/>
  <c r="N203" i="1"/>
  <c r="G224" i="2"/>
  <c r="H223" i="2"/>
  <c r="I223" i="2" s="1"/>
  <c r="BD238" i="2"/>
  <c r="BE237" i="2"/>
  <c r="BF237" i="2" s="1"/>
  <c r="J223" i="2"/>
  <c r="J222" i="2"/>
  <c r="AS227" i="2"/>
  <c r="CW241" i="2"/>
  <c r="BG236" i="2"/>
  <c r="R203" i="1"/>
  <c r="S203" i="1" s="1"/>
  <c r="P204" i="1"/>
  <c r="Q204" i="1" s="1"/>
  <c r="O205" i="1"/>
  <c r="DB229" i="2"/>
  <c r="DC229" i="2" s="1"/>
  <c r="DA230" i="2"/>
  <c r="AC285" i="2"/>
  <c r="AD285" i="2" s="1"/>
  <c r="AB286" i="2"/>
  <c r="CN237" i="2"/>
  <c r="CO237" i="2" s="1"/>
  <c r="CM238" i="2"/>
  <c r="V229" i="2"/>
  <c r="W229" i="2" s="1"/>
  <c r="U230" i="2"/>
  <c r="CW240" i="2"/>
  <c r="DK234" i="2"/>
  <c r="AZ220" i="2"/>
  <c r="BS237" i="2"/>
  <c r="BT237" i="2" s="1"/>
  <c r="BR238" i="2"/>
  <c r="AE284" i="2"/>
  <c r="CP236" i="2"/>
  <c r="CG225" i="2"/>
  <c r="CH225" i="2" s="1"/>
  <c r="CF226" i="2"/>
  <c r="X228" i="2"/>
  <c r="M215" i="1"/>
  <c r="G216" i="1"/>
  <c r="DI235" i="2"/>
  <c r="DJ235" i="2" s="1"/>
  <c r="DH236" i="2"/>
  <c r="AX220" i="2"/>
  <c r="AY220" i="2" s="1"/>
  <c r="AW221" i="2"/>
  <c r="BU236" i="2"/>
  <c r="BK233" i="2"/>
  <c r="BL232" i="2"/>
  <c r="BM232" i="2" s="1"/>
  <c r="CI225" i="2"/>
  <c r="CU242" i="2" l="1"/>
  <c r="CV242" i="2" s="1"/>
  <c r="CT243" i="2"/>
  <c r="AL222" i="2"/>
  <c r="BK234" i="2"/>
  <c r="BL233" i="2"/>
  <c r="BM233" i="2" s="1"/>
  <c r="AJ223" i="2"/>
  <c r="AK223" i="2" s="1"/>
  <c r="AI224" i="2"/>
  <c r="DI236" i="2"/>
  <c r="DJ236" i="2" s="1"/>
  <c r="DH237" i="2"/>
  <c r="DB230" i="2"/>
  <c r="DC230" i="2" s="1"/>
  <c r="DA231" i="2"/>
  <c r="K204" i="1"/>
  <c r="J204" i="1" s="1"/>
  <c r="E205" i="1"/>
  <c r="N204" i="1"/>
  <c r="DK235" i="2"/>
  <c r="CB235" i="2"/>
  <c r="U231" i="2"/>
  <c r="V230" i="2"/>
  <c r="W230" i="2" s="1"/>
  <c r="DD230" i="2"/>
  <c r="DD229" i="2"/>
  <c r="BN232" i="2"/>
  <c r="X229" i="2"/>
  <c r="O206" i="1"/>
  <c r="P205" i="1"/>
  <c r="Q205" i="1" s="1"/>
  <c r="BD239" i="2"/>
  <c r="BE238" i="2"/>
  <c r="BF238" i="2" s="1"/>
  <c r="AS228" i="2"/>
  <c r="AE285" i="2"/>
  <c r="AW222" i="2"/>
  <c r="AX221" i="2"/>
  <c r="AY221" i="2" s="1"/>
  <c r="M216" i="1"/>
  <c r="G217" i="1"/>
  <c r="BS238" i="2"/>
  <c r="BT238" i="2" s="1"/>
  <c r="BR239" i="2"/>
  <c r="R204" i="1"/>
  <c r="S204" i="1" s="1"/>
  <c r="DK236" i="2"/>
  <c r="AP230" i="2"/>
  <c r="AQ229" i="2"/>
  <c r="AR229" i="2" s="1"/>
  <c r="O234" i="2"/>
  <c r="P234" i="2" s="1"/>
  <c r="N235" i="2"/>
  <c r="AC286" i="2"/>
  <c r="AD286" i="2" s="1"/>
  <c r="AB287" i="2"/>
  <c r="BG237" i="2"/>
  <c r="Q233" i="2"/>
  <c r="CG226" i="2"/>
  <c r="CH226" i="2" s="1"/>
  <c r="CF227" i="2"/>
  <c r="BZ236" i="2"/>
  <c r="CA236" i="2" s="1"/>
  <c r="BY237" i="2"/>
  <c r="BU237" i="2"/>
  <c r="CM239" i="2"/>
  <c r="CN238" i="2"/>
  <c r="CO238" i="2" s="1"/>
  <c r="CP237" i="2"/>
  <c r="H224" i="2"/>
  <c r="I224" i="2" s="1"/>
  <c r="G225" i="2"/>
  <c r="H225" i="2" l="1"/>
  <c r="I225" i="2" s="1"/>
  <c r="G226" i="2"/>
  <c r="CM240" i="2"/>
  <c r="CN239" i="2"/>
  <c r="CO239" i="2" s="1"/>
  <c r="BZ237" i="2"/>
  <c r="CA237" i="2" s="1"/>
  <c r="BY238" i="2"/>
  <c r="R205" i="1"/>
  <c r="S205" i="1" s="1"/>
  <c r="AL223" i="2"/>
  <c r="CU243" i="2"/>
  <c r="CV243" i="2" s="1"/>
  <c r="CT244" i="2"/>
  <c r="AX222" i="2"/>
  <c r="AY222" i="2" s="1"/>
  <c r="AW223" i="2"/>
  <c r="J224" i="2"/>
  <c r="AS229" i="2"/>
  <c r="BR240" i="2"/>
  <c r="BS239" i="2"/>
  <c r="BT239" i="2" s="1"/>
  <c r="P206" i="1"/>
  <c r="Q206" i="1" s="1"/>
  <c r="O207" i="1"/>
  <c r="K205" i="1"/>
  <c r="J205" i="1" s="1"/>
  <c r="E206" i="1"/>
  <c r="N205" i="1"/>
  <c r="CW242" i="2"/>
  <c r="AI225" i="2"/>
  <c r="AJ224" i="2"/>
  <c r="AK224" i="2" s="1"/>
  <c r="CF228" i="2"/>
  <c r="CG227" i="2"/>
  <c r="CH227" i="2" s="1"/>
  <c r="AQ230" i="2"/>
  <c r="AR230" i="2" s="1"/>
  <c r="AP231" i="2"/>
  <c r="BU238" i="2"/>
  <c r="X230" i="2"/>
  <c r="V231" i="2"/>
  <c r="W231" i="2" s="1"/>
  <c r="U232" i="2"/>
  <c r="BE239" i="2"/>
  <c r="BF239" i="2" s="1"/>
  <c r="BD240" i="2"/>
  <c r="CB236" i="2"/>
  <c r="CI226" i="2"/>
  <c r="AC287" i="2"/>
  <c r="AD287" i="2" s="1"/>
  <c r="AB288" i="2"/>
  <c r="M217" i="1"/>
  <c r="G218" i="1"/>
  <c r="DA232" i="2"/>
  <c r="DB231" i="2"/>
  <c r="DC231" i="2" s="1"/>
  <c r="O235" i="2"/>
  <c r="P235" i="2" s="1"/>
  <c r="N236" i="2"/>
  <c r="BN233" i="2"/>
  <c r="CP238" i="2"/>
  <c r="CP239" i="2"/>
  <c r="AE286" i="2"/>
  <c r="DI237" i="2"/>
  <c r="DJ237" i="2" s="1"/>
  <c r="DH238" i="2"/>
  <c r="BL234" i="2"/>
  <c r="BM234" i="2" s="1"/>
  <c r="BK235" i="2"/>
  <c r="Q234" i="2"/>
  <c r="AZ221" i="2"/>
  <c r="BG238" i="2"/>
  <c r="AE287" i="2" l="1"/>
  <c r="DB232" i="2"/>
  <c r="DC232" i="2" s="1"/>
  <c r="DA233" i="2"/>
  <c r="CG228" i="2"/>
  <c r="CH228" i="2" s="1"/>
  <c r="CF229" i="2"/>
  <c r="BU239" i="2"/>
  <c r="CI227" i="2"/>
  <c r="AL225" i="2"/>
  <c r="E207" i="1"/>
  <c r="K206" i="1"/>
  <c r="J206" i="1" s="1"/>
  <c r="N206" i="1"/>
  <c r="BS240" i="2"/>
  <c r="BT240" i="2" s="1"/>
  <c r="BR241" i="2"/>
  <c r="AL224" i="2"/>
  <c r="DD231" i="2"/>
  <c r="DD232" i="2"/>
  <c r="CW243" i="2"/>
  <c r="AI226" i="2"/>
  <c r="AJ225" i="2"/>
  <c r="AK225" i="2" s="1"/>
  <c r="AS230" i="2"/>
  <c r="BY239" i="2"/>
  <c r="BZ238" i="2"/>
  <c r="CA238" i="2" s="1"/>
  <c r="R206" i="1"/>
  <c r="S206" i="1" s="1"/>
  <c r="M218" i="1"/>
  <c r="G219" i="1"/>
  <c r="X231" i="2"/>
  <c r="CB237" i="2"/>
  <c r="DK237" i="2"/>
  <c r="BL235" i="2"/>
  <c r="BM235" i="2" s="1"/>
  <c r="BK236" i="2"/>
  <c r="BE240" i="2"/>
  <c r="BF240" i="2" s="1"/>
  <c r="BD241" i="2"/>
  <c r="AQ231" i="2"/>
  <c r="AR231" i="2" s="1"/>
  <c r="AP232" i="2"/>
  <c r="AW224" i="2"/>
  <c r="AX223" i="2"/>
  <c r="AY223" i="2" s="1"/>
  <c r="BN234" i="2"/>
  <c r="O236" i="2"/>
  <c r="P236" i="2" s="1"/>
  <c r="N237" i="2"/>
  <c r="BG239" i="2"/>
  <c r="AZ222" i="2"/>
  <c r="CN240" i="2"/>
  <c r="CO240" i="2" s="1"/>
  <c r="CM241" i="2"/>
  <c r="R207" i="1"/>
  <c r="DH239" i="2"/>
  <c r="DI238" i="2"/>
  <c r="DJ238" i="2" s="1"/>
  <c r="Q235" i="2"/>
  <c r="AC288" i="2"/>
  <c r="AD288" i="2" s="1"/>
  <c r="AB289" i="2"/>
  <c r="U233" i="2"/>
  <c r="V232" i="2"/>
  <c r="W232" i="2" s="1"/>
  <c r="P207" i="1"/>
  <c r="Q207" i="1" s="1"/>
  <c r="O208" i="1"/>
  <c r="J225" i="2"/>
  <c r="CT245" i="2"/>
  <c r="CU244" i="2"/>
  <c r="CV244" i="2" s="1"/>
  <c r="G227" i="2"/>
  <c r="H226" i="2"/>
  <c r="I226" i="2" s="1"/>
  <c r="S207" i="1" l="1"/>
  <c r="AC289" i="2"/>
  <c r="AD289" i="2" s="1"/>
  <c r="AE289" i="2" s="1"/>
  <c r="AB290" i="2"/>
  <c r="O237" i="2"/>
  <c r="P237" i="2" s="1"/>
  <c r="N238" i="2"/>
  <c r="AZ223" i="2"/>
  <c r="BK237" i="2"/>
  <c r="BL236" i="2"/>
  <c r="BM236" i="2" s="1"/>
  <c r="AI227" i="2"/>
  <c r="AJ226" i="2"/>
  <c r="AK226" i="2" s="1"/>
  <c r="BU240" i="2"/>
  <c r="CU245" i="2"/>
  <c r="CV245" i="2" s="1"/>
  <c r="CT246" i="2"/>
  <c r="Q236" i="2"/>
  <c r="Q237" i="2"/>
  <c r="AX224" i="2"/>
  <c r="AY224" i="2" s="1"/>
  <c r="AW225" i="2"/>
  <c r="BN235" i="2"/>
  <c r="DI239" i="2"/>
  <c r="DJ239" i="2" s="1"/>
  <c r="DH240" i="2"/>
  <c r="P208" i="1"/>
  <c r="Q208" i="1" s="1"/>
  <c r="O209" i="1"/>
  <c r="AQ232" i="2"/>
  <c r="AR232" i="2" s="1"/>
  <c r="AP233" i="2"/>
  <c r="DK238" i="2"/>
  <c r="CB238" i="2"/>
  <c r="E208" i="1"/>
  <c r="K207" i="1"/>
  <c r="J207" i="1" s="1"/>
  <c r="N207" i="1"/>
  <c r="CG229" i="2"/>
  <c r="CH229" i="2" s="1"/>
  <c r="CF230" i="2"/>
  <c r="U234" i="2"/>
  <c r="V233" i="2"/>
  <c r="W233" i="2" s="1"/>
  <c r="AS231" i="2"/>
  <c r="AS232" i="2"/>
  <c r="BZ239" i="2"/>
  <c r="CA239" i="2" s="1"/>
  <c r="BY240" i="2"/>
  <c r="AL226" i="2"/>
  <c r="CI228" i="2"/>
  <c r="CW244" i="2"/>
  <c r="BS241" i="2"/>
  <c r="BT241" i="2" s="1"/>
  <c r="BR242" i="2"/>
  <c r="H227" i="2"/>
  <c r="I227" i="2" s="1"/>
  <c r="G228" i="2"/>
  <c r="AE288" i="2"/>
  <c r="CN241" i="2"/>
  <c r="CO241" i="2" s="1"/>
  <c r="CM242" i="2"/>
  <c r="BE241" i="2"/>
  <c r="BF241" i="2" s="1"/>
  <c r="BD242" i="2"/>
  <c r="M219" i="1"/>
  <c r="G220" i="1"/>
  <c r="DB233" i="2"/>
  <c r="DC233" i="2" s="1"/>
  <c r="DA234" i="2"/>
  <c r="X232" i="2"/>
  <c r="CP240" i="2"/>
  <c r="J226" i="2"/>
  <c r="BG240" i="2"/>
  <c r="CW245" i="2"/>
  <c r="BU241" i="2"/>
  <c r="CP241" i="2" l="1"/>
  <c r="CI229" i="2"/>
  <c r="AZ224" i="2"/>
  <c r="CT247" i="2"/>
  <c r="CU246" i="2"/>
  <c r="CV246" i="2" s="1"/>
  <c r="BN236" i="2"/>
  <c r="M220" i="1"/>
  <c r="G221" i="1"/>
  <c r="DI240" i="2"/>
  <c r="DJ240" i="2" s="1"/>
  <c r="DH241" i="2"/>
  <c r="BK238" i="2"/>
  <c r="BL237" i="2"/>
  <c r="BM237" i="2" s="1"/>
  <c r="DK239" i="2"/>
  <c r="H228" i="2"/>
  <c r="I228" i="2" s="1"/>
  <c r="G229" i="2"/>
  <c r="AQ233" i="2"/>
  <c r="AR233" i="2" s="1"/>
  <c r="AP234" i="2"/>
  <c r="DB234" i="2"/>
  <c r="DC234" i="2" s="1"/>
  <c r="DA235" i="2"/>
  <c r="BE242" i="2"/>
  <c r="BF242" i="2" s="1"/>
  <c r="BD243" i="2"/>
  <c r="J227" i="2"/>
  <c r="X233" i="2"/>
  <c r="K208" i="1"/>
  <c r="J208" i="1" s="1"/>
  <c r="E209" i="1"/>
  <c r="N208" i="1"/>
  <c r="DD233" i="2"/>
  <c r="BG241" i="2"/>
  <c r="U235" i="2"/>
  <c r="V234" i="2"/>
  <c r="W234" i="2" s="1"/>
  <c r="O238" i="2"/>
  <c r="P238" i="2" s="1"/>
  <c r="N239" i="2"/>
  <c r="BS242" i="2"/>
  <c r="BT242" i="2" s="1"/>
  <c r="BR243" i="2"/>
  <c r="BZ240" i="2"/>
  <c r="CA240" i="2" s="1"/>
  <c r="BY241" i="2"/>
  <c r="O210" i="1"/>
  <c r="P209" i="1"/>
  <c r="Q209" i="1" s="1"/>
  <c r="CM243" i="2"/>
  <c r="CN242" i="2"/>
  <c r="CO242" i="2" s="1"/>
  <c r="CB239" i="2"/>
  <c r="CG230" i="2"/>
  <c r="CH230" i="2" s="1"/>
  <c r="CF231" i="2"/>
  <c r="R208" i="1"/>
  <c r="S208" i="1" s="1"/>
  <c r="AW226" i="2"/>
  <c r="AX225" i="2"/>
  <c r="AY225" i="2" s="1"/>
  <c r="AJ227" i="2"/>
  <c r="AK227" i="2" s="1"/>
  <c r="AI228" i="2"/>
  <c r="AB291" i="2"/>
  <c r="AC290" i="2"/>
  <c r="AD290" i="2" s="1"/>
  <c r="AZ225" i="2" l="1"/>
  <c r="CB240" i="2"/>
  <c r="E210" i="1"/>
  <c r="K209" i="1"/>
  <c r="J209" i="1" s="1"/>
  <c r="N209" i="1"/>
  <c r="BG242" i="2"/>
  <c r="J228" i="2"/>
  <c r="DK240" i="2"/>
  <c r="CU247" i="2"/>
  <c r="CV247" i="2" s="1"/>
  <c r="CT248" i="2"/>
  <c r="CI230" i="2"/>
  <c r="AW227" i="2"/>
  <c r="AX226" i="2"/>
  <c r="AY226" i="2" s="1"/>
  <c r="BS243" i="2"/>
  <c r="BT243" i="2" s="1"/>
  <c r="BR244" i="2"/>
  <c r="V235" i="2"/>
  <c r="W235" i="2" s="1"/>
  <c r="U236" i="2"/>
  <c r="DA236" i="2"/>
  <c r="DB235" i="2"/>
  <c r="DC235" i="2" s="1"/>
  <c r="M221" i="1"/>
  <c r="G222" i="1"/>
  <c r="DD234" i="2"/>
  <c r="CP242" i="2"/>
  <c r="BU242" i="2"/>
  <c r="N240" i="2"/>
  <c r="O239" i="2"/>
  <c r="P239" i="2" s="1"/>
  <c r="AP235" i="2"/>
  <c r="AQ234" i="2"/>
  <c r="AR234" i="2" s="1"/>
  <c r="BN237" i="2"/>
  <c r="AE290" i="2"/>
  <c r="R209" i="1"/>
  <c r="S209" i="1" s="1"/>
  <c r="Q239" i="2"/>
  <c r="Q238" i="2"/>
  <c r="AS233" i="2"/>
  <c r="BL238" i="2"/>
  <c r="BM238" i="2" s="1"/>
  <c r="BK239" i="2"/>
  <c r="X234" i="2"/>
  <c r="AC291" i="2"/>
  <c r="AD291" i="2" s="1"/>
  <c r="AE291" i="2" s="1"/>
  <c r="AB292" i="2"/>
  <c r="AL227" i="2"/>
  <c r="AL228" i="2"/>
  <c r="CG231" i="2"/>
  <c r="CH231" i="2" s="1"/>
  <c r="CF232" i="2"/>
  <c r="CM244" i="2"/>
  <c r="CN243" i="2"/>
  <c r="CO243" i="2" s="1"/>
  <c r="P210" i="1"/>
  <c r="Q210" i="1" s="1"/>
  <c r="O211" i="1"/>
  <c r="AJ228" i="2"/>
  <c r="AK228" i="2" s="1"/>
  <c r="AI229" i="2"/>
  <c r="CP243" i="2"/>
  <c r="BY242" i="2"/>
  <c r="BZ241" i="2"/>
  <c r="CA241" i="2" s="1"/>
  <c r="DD235" i="2"/>
  <c r="BE243" i="2"/>
  <c r="BF243" i="2" s="1"/>
  <c r="BD244" i="2"/>
  <c r="G230" i="2"/>
  <c r="H229" i="2"/>
  <c r="I229" i="2" s="1"/>
  <c r="DI241" i="2"/>
  <c r="DJ241" i="2" s="1"/>
  <c r="DH242" i="2"/>
  <c r="CW246" i="2"/>
  <c r="CW247" i="2"/>
  <c r="AB293" i="2" l="1"/>
  <c r="AC292" i="2"/>
  <c r="AD292" i="2" s="1"/>
  <c r="M222" i="1"/>
  <c r="G223" i="1"/>
  <c r="CB241" i="2"/>
  <c r="CF233" i="2"/>
  <c r="CG232" i="2"/>
  <c r="CH232" i="2" s="1"/>
  <c r="AZ226" i="2"/>
  <c r="CI231" i="2"/>
  <c r="AW228" i="2"/>
  <c r="AX227" i="2"/>
  <c r="AY227" i="2" s="1"/>
  <c r="J229" i="2"/>
  <c r="J230" i="2"/>
  <c r="H230" i="2"/>
  <c r="I230" i="2" s="1"/>
  <c r="G231" i="2"/>
  <c r="AQ235" i="2"/>
  <c r="AR235" i="2" s="1"/>
  <c r="AP236" i="2"/>
  <c r="E211" i="1"/>
  <c r="K210" i="1"/>
  <c r="J210" i="1" s="1"/>
  <c r="N210" i="1"/>
  <c r="BL239" i="2"/>
  <c r="BM239" i="2" s="1"/>
  <c r="BK240" i="2"/>
  <c r="BU243" i="2"/>
  <c r="DA237" i="2"/>
  <c r="DB236" i="2"/>
  <c r="DC236" i="2" s="1"/>
  <c r="CU248" i="2"/>
  <c r="CV248" i="2" s="1"/>
  <c r="CT249" i="2"/>
  <c r="P211" i="1"/>
  <c r="Q211" i="1" s="1"/>
  <c r="O212" i="1"/>
  <c r="V236" i="2"/>
  <c r="W236" i="2" s="1"/>
  <c r="U237" i="2"/>
  <c r="CM245" i="2"/>
  <c r="CN244" i="2"/>
  <c r="CO244" i="2" s="1"/>
  <c r="BG243" i="2"/>
  <c r="R210" i="1"/>
  <c r="S210" i="1" s="1"/>
  <c r="AS234" i="2"/>
  <c r="BN238" i="2"/>
  <c r="O240" i="2"/>
  <c r="P240" i="2" s="1"/>
  <c r="N241" i="2"/>
  <c r="X235" i="2"/>
  <c r="DK241" i="2"/>
  <c r="BE244" i="2"/>
  <c r="BF244" i="2" s="1"/>
  <c r="BG244" i="2" s="1"/>
  <c r="BD245" i="2"/>
  <c r="AJ229" i="2"/>
  <c r="AK229" i="2" s="1"/>
  <c r="AI230" i="2"/>
  <c r="DI242" i="2"/>
  <c r="DJ242" i="2" s="1"/>
  <c r="DH243" i="2"/>
  <c r="BY243" i="2"/>
  <c r="BZ242" i="2"/>
  <c r="CA242" i="2" s="1"/>
  <c r="BR245" i="2"/>
  <c r="BS244" i="2"/>
  <c r="BT244" i="2" s="1"/>
  <c r="BU244" i="2" l="1"/>
  <c r="AI231" i="2"/>
  <c r="AJ230" i="2"/>
  <c r="AK230" i="2" s="1"/>
  <c r="R211" i="1"/>
  <c r="S211" i="1" s="1"/>
  <c r="AC293" i="2"/>
  <c r="AD293" i="2" s="1"/>
  <c r="AB294" i="2"/>
  <c r="CP244" i="2"/>
  <c r="CN245" i="2"/>
  <c r="CO245" i="2" s="1"/>
  <c r="CM246" i="2"/>
  <c r="BK241" i="2"/>
  <c r="BL240" i="2"/>
  <c r="BM240" i="2" s="1"/>
  <c r="AQ236" i="2"/>
  <c r="AR236" i="2" s="1"/>
  <c r="AP237" i="2"/>
  <c r="BN239" i="2"/>
  <c r="AS235" i="2"/>
  <c r="CU249" i="2"/>
  <c r="CV249" i="2" s="1"/>
  <c r="CT250" i="2"/>
  <c r="AZ227" i="2"/>
  <c r="M223" i="1"/>
  <c r="G224" i="1"/>
  <c r="BZ243" i="2"/>
  <c r="CA243" i="2" s="1"/>
  <c r="BY244" i="2"/>
  <c r="BD246" i="2"/>
  <c r="BE245" i="2"/>
  <c r="BF245" i="2" s="1"/>
  <c r="O241" i="2"/>
  <c r="P241" i="2" s="1"/>
  <c r="N242" i="2"/>
  <c r="CW248" i="2"/>
  <c r="AX228" i="2"/>
  <c r="AY228" i="2" s="1"/>
  <c r="AW229" i="2"/>
  <c r="DH244" i="2"/>
  <c r="DI243" i="2"/>
  <c r="DJ243" i="2" s="1"/>
  <c r="Q240" i="2"/>
  <c r="V237" i="2"/>
  <c r="W237" i="2" s="1"/>
  <c r="U238" i="2"/>
  <c r="DD236" i="2"/>
  <c r="E212" i="1"/>
  <c r="K211" i="1"/>
  <c r="J211" i="1" s="1"/>
  <c r="N211" i="1"/>
  <c r="H231" i="2"/>
  <c r="I231" i="2" s="1"/>
  <c r="G232" i="2"/>
  <c r="CI232" i="2"/>
  <c r="BR246" i="2"/>
  <c r="BS245" i="2"/>
  <c r="BT245" i="2" s="1"/>
  <c r="AL229" i="2"/>
  <c r="DK242" i="2"/>
  <c r="X236" i="2"/>
  <c r="X237" i="2"/>
  <c r="P212" i="1"/>
  <c r="Q212" i="1" s="1"/>
  <c r="O213" i="1"/>
  <c r="DB237" i="2"/>
  <c r="DC237" i="2" s="1"/>
  <c r="DA238" i="2"/>
  <c r="CG233" i="2"/>
  <c r="CH233" i="2" s="1"/>
  <c r="CF234" i="2"/>
  <c r="AE292" i="2"/>
  <c r="CB242" i="2"/>
  <c r="BN240" i="2" l="1"/>
  <c r="AI232" i="2"/>
  <c r="AJ231" i="2"/>
  <c r="AK231" i="2" s="1"/>
  <c r="DK243" i="2"/>
  <c r="CU250" i="2"/>
  <c r="CV250" i="2" s="1"/>
  <c r="CT251" i="2"/>
  <c r="BK242" i="2"/>
  <c r="BL241" i="2"/>
  <c r="BM241" i="2" s="1"/>
  <c r="AC294" i="2"/>
  <c r="AD294" i="2" s="1"/>
  <c r="AE294" i="2" s="1"/>
  <c r="AB295" i="2"/>
  <c r="J231" i="2"/>
  <c r="U239" i="2"/>
  <c r="V238" i="2"/>
  <c r="W238" i="2" s="1"/>
  <c r="DH245" i="2"/>
  <c r="DI244" i="2"/>
  <c r="DJ244" i="2" s="1"/>
  <c r="O242" i="2"/>
  <c r="P242" i="2" s="1"/>
  <c r="N243" i="2"/>
  <c r="M224" i="1"/>
  <c r="G225" i="1"/>
  <c r="CW249" i="2"/>
  <c r="CN246" i="2"/>
  <c r="CO246" i="2" s="1"/>
  <c r="CM247" i="2"/>
  <c r="AE293" i="2"/>
  <c r="DD237" i="2"/>
  <c r="BU245" i="2"/>
  <c r="Q241" i="2"/>
  <c r="CP245" i="2"/>
  <c r="BS246" i="2"/>
  <c r="BT246" i="2" s="1"/>
  <c r="BR247" i="2"/>
  <c r="AX229" i="2"/>
  <c r="AY229" i="2" s="1"/>
  <c r="AW230" i="2"/>
  <c r="BG245" i="2"/>
  <c r="AZ228" i="2"/>
  <c r="BD247" i="2"/>
  <c r="BE246" i="2"/>
  <c r="BF246" i="2" s="1"/>
  <c r="H232" i="2"/>
  <c r="I232" i="2" s="1"/>
  <c r="G233" i="2"/>
  <c r="DB238" i="2"/>
  <c r="DC238" i="2" s="1"/>
  <c r="DA239" i="2"/>
  <c r="K212" i="1"/>
  <c r="J212" i="1" s="1"/>
  <c r="E213" i="1"/>
  <c r="N212" i="1"/>
  <c r="O214" i="1"/>
  <c r="P213" i="1"/>
  <c r="Q213" i="1" s="1"/>
  <c r="CW250" i="2"/>
  <c r="BZ244" i="2"/>
  <c r="CA244" i="2" s="1"/>
  <c r="BY245" i="2"/>
  <c r="AP238" i="2"/>
  <c r="AQ237" i="2"/>
  <c r="AR237" i="2" s="1"/>
  <c r="CI233" i="2"/>
  <c r="CG234" i="2"/>
  <c r="CH234" i="2" s="1"/>
  <c r="CI234" i="2" s="1"/>
  <c r="CF235" i="2"/>
  <c r="R212" i="1"/>
  <c r="S212" i="1" s="1"/>
  <c r="CB243" i="2"/>
  <c r="AS236" i="2"/>
  <c r="AL230" i="2"/>
  <c r="R213" i="1" l="1"/>
  <c r="S213" i="1" s="1"/>
  <c r="J232" i="2"/>
  <c r="AX230" i="2"/>
  <c r="AY230" i="2" s="1"/>
  <c r="AW231" i="2"/>
  <c r="Q242" i="2"/>
  <c r="P214" i="1"/>
  <c r="Q214" i="1" s="1"/>
  <c r="O215" i="1"/>
  <c r="DK244" i="2"/>
  <c r="BS247" i="2"/>
  <c r="BT247" i="2" s="1"/>
  <c r="BR248" i="2"/>
  <c r="DI245" i="2"/>
  <c r="DJ245" i="2" s="1"/>
  <c r="DH246" i="2"/>
  <c r="AC295" i="2"/>
  <c r="AD295" i="2" s="1"/>
  <c r="AB296" i="2"/>
  <c r="AC296" i="2" s="1"/>
  <c r="AD296" i="2" s="1"/>
  <c r="BZ245" i="2"/>
  <c r="CA245" i="2" s="1"/>
  <c r="BY246" i="2"/>
  <c r="K213" i="1"/>
  <c r="J213" i="1" s="1"/>
  <c r="E214" i="1"/>
  <c r="N213" i="1"/>
  <c r="BD248" i="2"/>
  <c r="BE247" i="2"/>
  <c r="BF247" i="2" s="1"/>
  <c r="BG247" i="2" s="1"/>
  <c r="BU246" i="2"/>
  <c r="AL231" i="2"/>
  <c r="CB244" i="2"/>
  <c r="M225" i="1"/>
  <c r="G226" i="1"/>
  <c r="V239" i="2"/>
  <c r="W239" i="2" s="1"/>
  <c r="U240" i="2"/>
  <c r="AJ232" i="2"/>
  <c r="AK232" i="2" s="1"/>
  <c r="AI233" i="2"/>
  <c r="AZ229" i="2"/>
  <c r="BG246" i="2"/>
  <c r="BL242" i="2"/>
  <c r="BM242" i="2" s="1"/>
  <c r="BK243" i="2"/>
  <c r="BN241" i="2"/>
  <c r="CG235" i="2"/>
  <c r="CH235" i="2" s="1"/>
  <c r="CF236" i="2"/>
  <c r="DD238" i="2"/>
  <c r="X238" i="2"/>
  <c r="CM248" i="2"/>
  <c r="CN247" i="2"/>
  <c r="CO247" i="2" s="1"/>
  <c r="CT252" i="2"/>
  <c r="CU251" i="2"/>
  <c r="CV251" i="2" s="1"/>
  <c r="AQ238" i="2"/>
  <c r="AR238" i="2" s="1"/>
  <c r="AS238" i="2" s="1"/>
  <c r="AP239" i="2"/>
  <c r="AS237" i="2"/>
  <c r="DA240" i="2"/>
  <c r="DB239" i="2"/>
  <c r="DC239" i="2" s="1"/>
  <c r="H233" i="2"/>
  <c r="I233" i="2" s="1"/>
  <c r="G234" i="2"/>
  <c r="CP246" i="2"/>
  <c r="O243" i="2"/>
  <c r="P243" i="2" s="1"/>
  <c r="N244" i="2"/>
  <c r="DI246" i="2" l="1"/>
  <c r="DJ246" i="2" s="1"/>
  <c r="DH247" i="2"/>
  <c r="M226" i="1"/>
  <c r="G227" i="1"/>
  <c r="X239" i="2"/>
  <c r="E215" i="1"/>
  <c r="K214" i="1"/>
  <c r="J214" i="1" s="1"/>
  <c r="N214" i="1"/>
  <c r="DK245" i="2"/>
  <c r="DA241" i="2"/>
  <c r="DB240" i="2"/>
  <c r="DC240" i="2" s="1"/>
  <c r="CN248" i="2"/>
  <c r="CO248" i="2" s="1"/>
  <c r="CM249" i="2"/>
  <c r="AJ233" i="2"/>
  <c r="AK233" i="2" s="1"/>
  <c r="AI234" i="2"/>
  <c r="BS248" i="2"/>
  <c r="BT248" i="2" s="1"/>
  <c r="BR249" i="2"/>
  <c r="AW232" i="2"/>
  <c r="AX231" i="2"/>
  <c r="AY231" i="2" s="1"/>
  <c r="CP247" i="2"/>
  <c r="CP248" i="2"/>
  <c r="BL243" i="2"/>
  <c r="BM243" i="2" s="1"/>
  <c r="BK244" i="2"/>
  <c r="AL232" i="2"/>
  <c r="AL233" i="2"/>
  <c r="BY247" i="2"/>
  <c r="BZ246" i="2"/>
  <c r="CA246" i="2" s="1"/>
  <c r="BU247" i="2"/>
  <c r="AZ230" i="2"/>
  <c r="DD239" i="2"/>
  <c r="N245" i="2"/>
  <c r="O244" i="2"/>
  <c r="P244" i="2" s="1"/>
  <c r="H234" i="2"/>
  <c r="I234" i="2" s="1"/>
  <c r="G235" i="2"/>
  <c r="AQ239" i="2"/>
  <c r="AR239" i="2" s="1"/>
  <c r="AP240" i="2"/>
  <c r="CB245" i="2"/>
  <c r="BN242" i="2"/>
  <c r="P215" i="1"/>
  <c r="Q215" i="1" s="1"/>
  <c r="O216" i="1"/>
  <c r="J233" i="2"/>
  <c r="CF237" i="2"/>
  <c r="CG236" i="2"/>
  <c r="CH236" i="2" s="1"/>
  <c r="R214" i="1"/>
  <c r="S214" i="1" s="1"/>
  <c r="Q244" i="2"/>
  <c r="Q243" i="2"/>
  <c r="CW251" i="2"/>
  <c r="CT253" i="2"/>
  <c r="CU252" i="2"/>
  <c r="CV252" i="2" s="1"/>
  <c r="CI235" i="2"/>
  <c r="CI236" i="2"/>
  <c r="V240" i="2"/>
  <c r="W240" i="2" s="1"/>
  <c r="U241" i="2"/>
  <c r="BE248" i="2"/>
  <c r="BF248" i="2" s="1"/>
  <c r="BD249" i="2"/>
  <c r="AE295" i="2"/>
  <c r="AE296" i="2"/>
  <c r="BG248" i="2" l="1"/>
  <c r="P216" i="1"/>
  <c r="Q216" i="1" s="1"/>
  <c r="O217" i="1"/>
  <c r="CB246" i="2"/>
  <c r="BN243" i="2"/>
  <c r="AW233" i="2"/>
  <c r="AX232" i="2"/>
  <c r="AY232" i="2" s="1"/>
  <c r="DK246" i="2"/>
  <c r="CW252" i="2"/>
  <c r="R215" i="1"/>
  <c r="S215" i="1" s="1"/>
  <c r="H235" i="2"/>
  <c r="I235" i="2" s="1"/>
  <c r="G236" i="2"/>
  <c r="AS239" i="2"/>
  <c r="BY248" i="2"/>
  <c r="BZ247" i="2"/>
  <c r="CA247" i="2" s="1"/>
  <c r="DD240" i="2"/>
  <c r="E216" i="1"/>
  <c r="K215" i="1"/>
  <c r="J215" i="1" s="1"/>
  <c r="N215" i="1"/>
  <c r="U242" i="2"/>
  <c r="V241" i="2"/>
  <c r="W241" i="2" s="1"/>
  <c r="BS249" i="2"/>
  <c r="BT249" i="2" s="1"/>
  <c r="BR250" i="2"/>
  <c r="DB241" i="2"/>
  <c r="DC241" i="2" s="1"/>
  <c r="DA242" i="2"/>
  <c r="X240" i="2"/>
  <c r="BU248" i="2"/>
  <c r="M227" i="1"/>
  <c r="G228" i="1"/>
  <c r="CW253" i="2"/>
  <c r="CG237" i="2"/>
  <c r="CH237" i="2" s="1"/>
  <c r="CF238" i="2"/>
  <c r="O245" i="2"/>
  <c r="P245" i="2" s="1"/>
  <c r="N246" i="2"/>
  <c r="J234" i="2"/>
  <c r="BG249" i="2"/>
  <c r="CU253" i="2"/>
  <c r="CV253" i="2" s="1"/>
  <c r="CT254" i="2"/>
  <c r="AI235" i="2"/>
  <c r="AJ234" i="2"/>
  <c r="AK234" i="2" s="1"/>
  <c r="DD241" i="2"/>
  <c r="BD250" i="2"/>
  <c r="BE249" i="2"/>
  <c r="BF249" i="2" s="1"/>
  <c r="AQ240" i="2"/>
  <c r="AR240" i="2" s="1"/>
  <c r="AP241" i="2"/>
  <c r="BK245" i="2"/>
  <c r="BL244" i="2"/>
  <c r="BM244" i="2" s="1"/>
  <c r="AZ231" i="2"/>
  <c r="CN249" i="2"/>
  <c r="CO249" i="2" s="1"/>
  <c r="CP249" i="2" s="1"/>
  <c r="CM250" i="2"/>
  <c r="DI247" i="2"/>
  <c r="DJ247" i="2" s="1"/>
  <c r="DH248" i="2"/>
  <c r="CI237" i="2" l="1"/>
  <c r="CB247" i="2"/>
  <c r="AS240" i="2"/>
  <c r="AL234" i="2"/>
  <c r="U243" i="2"/>
  <c r="V242" i="2"/>
  <c r="W242" i="2" s="1"/>
  <c r="BZ248" i="2"/>
  <c r="CA248" i="2" s="1"/>
  <c r="BY249" i="2"/>
  <c r="AZ232" i="2"/>
  <c r="DB242" i="2"/>
  <c r="DC242" i="2" s="1"/>
  <c r="DA243" i="2"/>
  <c r="AX233" i="2"/>
  <c r="AY233" i="2" s="1"/>
  <c r="AW234" i="2"/>
  <c r="AI236" i="2"/>
  <c r="AJ235" i="2"/>
  <c r="AK235" i="2" s="1"/>
  <c r="DK247" i="2"/>
  <c r="BN244" i="2"/>
  <c r="M228" i="1"/>
  <c r="G229" i="1"/>
  <c r="H236" i="2"/>
  <c r="I236" i="2" s="1"/>
  <c r="G237" i="2"/>
  <c r="O218" i="1"/>
  <c r="P217" i="1"/>
  <c r="Q217" i="1" s="1"/>
  <c r="DH249" i="2"/>
  <c r="DI248" i="2"/>
  <c r="DJ248" i="2" s="1"/>
  <c r="BR251" i="2"/>
  <c r="BS250" i="2"/>
  <c r="BT250" i="2" s="1"/>
  <c r="J235" i="2"/>
  <c r="R216" i="1"/>
  <c r="S216" i="1" s="1"/>
  <c r="BD251" i="2"/>
  <c r="BE250" i="2"/>
  <c r="BF250" i="2" s="1"/>
  <c r="CT255" i="2"/>
  <c r="CU254" i="2"/>
  <c r="CV254" i="2" s="1"/>
  <c r="CW254" i="2" s="1"/>
  <c r="O246" i="2"/>
  <c r="P246" i="2" s="1"/>
  <c r="N247" i="2"/>
  <c r="BU249" i="2"/>
  <c r="K216" i="1"/>
  <c r="J216" i="1" s="1"/>
  <c r="E217" i="1"/>
  <c r="N216" i="1"/>
  <c r="Q245" i="2"/>
  <c r="AS241" i="2"/>
  <c r="CB248" i="2"/>
  <c r="CN250" i="2"/>
  <c r="CO250" i="2" s="1"/>
  <c r="CM251" i="2"/>
  <c r="BL245" i="2"/>
  <c r="BM245" i="2" s="1"/>
  <c r="BK246" i="2"/>
  <c r="AP242" i="2"/>
  <c r="AQ241" i="2"/>
  <c r="AR241" i="2" s="1"/>
  <c r="CG238" i="2"/>
  <c r="CH238" i="2" s="1"/>
  <c r="CF239" i="2"/>
  <c r="X241" i="2"/>
  <c r="BU250" i="2" l="1"/>
  <c r="G238" i="2"/>
  <c r="H237" i="2"/>
  <c r="I237" i="2" s="1"/>
  <c r="AQ242" i="2"/>
  <c r="AR242" i="2" s="1"/>
  <c r="AP243" i="2"/>
  <c r="N248" i="2"/>
  <c r="O247" i="2"/>
  <c r="P247" i="2" s="1"/>
  <c r="CP250" i="2"/>
  <c r="BS251" i="2"/>
  <c r="BT251" i="2" s="1"/>
  <c r="BR252" i="2"/>
  <c r="J236" i="2"/>
  <c r="DA244" i="2"/>
  <c r="DB243" i="2"/>
  <c r="DC243" i="2" s="1"/>
  <c r="X242" i="2"/>
  <c r="DD242" i="2"/>
  <c r="DD243" i="2"/>
  <c r="V243" i="2"/>
  <c r="W243" i="2" s="1"/>
  <c r="U244" i="2"/>
  <c r="CI238" i="2"/>
  <c r="BK247" i="2"/>
  <c r="BL246" i="2"/>
  <c r="BM246" i="2" s="1"/>
  <c r="Q246" i="2"/>
  <c r="E218" i="1"/>
  <c r="K217" i="1"/>
  <c r="J217" i="1" s="1"/>
  <c r="N217" i="1"/>
  <c r="CW255" i="2"/>
  <c r="DK248" i="2"/>
  <c r="AL235" i="2"/>
  <c r="CU255" i="2"/>
  <c r="CV255" i="2" s="1"/>
  <c r="CT256" i="2"/>
  <c r="DI249" i="2"/>
  <c r="DJ249" i="2" s="1"/>
  <c r="DH250" i="2"/>
  <c r="AJ236" i="2"/>
  <c r="AK236" i="2" s="1"/>
  <c r="AI237" i="2"/>
  <c r="AL236" i="2"/>
  <c r="R217" i="1"/>
  <c r="S217" i="1" s="1"/>
  <c r="M229" i="1"/>
  <c r="G230" i="1"/>
  <c r="BN245" i="2"/>
  <c r="CF240" i="2"/>
  <c r="CG239" i="2"/>
  <c r="CH239" i="2" s="1"/>
  <c r="BG250" i="2"/>
  <c r="P218" i="1"/>
  <c r="Q218" i="1" s="1"/>
  <c r="O219" i="1"/>
  <c r="AX234" i="2"/>
  <c r="AY234" i="2" s="1"/>
  <c r="AW235" i="2"/>
  <c r="CM252" i="2"/>
  <c r="CN251" i="2"/>
  <c r="CO251" i="2" s="1"/>
  <c r="BU251" i="2"/>
  <c r="BE251" i="2"/>
  <c r="BF251" i="2" s="1"/>
  <c r="BD252" i="2"/>
  <c r="AZ233" i="2"/>
  <c r="BZ249" i="2"/>
  <c r="CA249" i="2" s="1"/>
  <c r="BY250" i="2"/>
  <c r="P219" i="1" l="1"/>
  <c r="Q219" i="1" s="1"/>
  <c r="O220" i="1"/>
  <c r="CG240" i="2"/>
  <c r="CH240" i="2" s="1"/>
  <c r="CF241" i="2"/>
  <c r="AS242" i="2"/>
  <c r="AJ237" i="2"/>
  <c r="AK237" i="2" s="1"/>
  <c r="AI238" i="2"/>
  <c r="E219" i="1"/>
  <c r="K218" i="1"/>
  <c r="J218" i="1" s="1"/>
  <c r="N218" i="1"/>
  <c r="R218" i="1"/>
  <c r="S218" i="1" s="1"/>
  <c r="X243" i="2"/>
  <c r="BS252" i="2"/>
  <c r="BT252" i="2" s="1"/>
  <c r="BR253" i="2"/>
  <c r="BN246" i="2"/>
  <c r="J237" i="2"/>
  <c r="M230" i="1"/>
  <c r="G231" i="1"/>
  <c r="DI250" i="2"/>
  <c r="DJ250" i="2" s="1"/>
  <c r="DH251" i="2"/>
  <c r="BL247" i="2"/>
  <c r="BM247" i="2" s="1"/>
  <c r="BK248" i="2"/>
  <c r="H238" i="2"/>
  <c r="I238" i="2" s="1"/>
  <c r="G239" i="2"/>
  <c r="CP252" i="2"/>
  <c r="CP251" i="2"/>
  <c r="BY251" i="2"/>
  <c r="BZ250" i="2"/>
  <c r="CA250" i="2" s="1"/>
  <c r="BG251" i="2"/>
  <c r="DK249" i="2"/>
  <c r="Q247" i="2"/>
  <c r="BU252" i="2"/>
  <c r="CM253" i="2"/>
  <c r="CN252" i="2"/>
  <c r="CO252" i="2" s="1"/>
  <c r="BE252" i="2"/>
  <c r="BF252" i="2" s="1"/>
  <c r="BD253" i="2"/>
  <c r="AZ234" i="2"/>
  <c r="CU256" i="2"/>
  <c r="CV256" i="2" s="1"/>
  <c r="CT257" i="2"/>
  <c r="DA245" i="2"/>
  <c r="DB244" i="2"/>
  <c r="DC244" i="2" s="1"/>
  <c r="N249" i="2"/>
  <c r="O248" i="2"/>
  <c r="P248" i="2" s="1"/>
  <c r="AX235" i="2"/>
  <c r="AY235" i="2" s="1"/>
  <c r="AW236" i="2"/>
  <c r="CI239" i="2"/>
  <c r="CI240" i="2"/>
  <c r="CB249" i="2"/>
  <c r="V244" i="2"/>
  <c r="W244" i="2" s="1"/>
  <c r="U245" i="2"/>
  <c r="AQ243" i="2"/>
  <c r="AR243" i="2" s="1"/>
  <c r="AS243" i="2" s="1"/>
  <c r="AP244" i="2"/>
  <c r="CU257" i="2" l="1"/>
  <c r="CV257" i="2" s="1"/>
  <c r="CT258" i="2"/>
  <c r="CN253" i="2"/>
  <c r="CO253" i="2" s="1"/>
  <c r="CM254" i="2"/>
  <c r="BY252" i="2"/>
  <c r="BZ251" i="2"/>
  <c r="CA251" i="2" s="1"/>
  <c r="BS253" i="2"/>
  <c r="BT253" i="2" s="1"/>
  <c r="BR254" i="2"/>
  <c r="P220" i="1"/>
  <c r="Q220" i="1" s="1"/>
  <c r="O221" i="1"/>
  <c r="AQ244" i="2"/>
  <c r="AR244" i="2" s="1"/>
  <c r="AP245" i="2"/>
  <c r="DI251" i="2"/>
  <c r="DJ251" i="2" s="1"/>
  <c r="DH252" i="2"/>
  <c r="DK250" i="2"/>
  <c r="DK251" i="2"/>
  <c r="E220" i="1"/>
  <c r="K219" i="1"/>
  <c r="J219" i="1" s="1"/>
  <c r="N219" i="1"/>
  <c r="Q248" i="2"/>
  <c r="Q249" i="2"/>
  <c r="O249" i="2"/>
  <c r="P249" i="2" s="1"/>
  <c r="N250" i="2"/>
  <c r="R219" i="1"/>
  <c r="S219" i="1" s="1"/>
  <c r="V245" i="2"/>
  <c r="W245" i="2" s="1"/>
  <c r="U246" i="2"/>
  <c r="DD244" i="2"/>
  <c r="H239" i="2"/>
  <c r="I239" i="2" s="1"/>
  <c r="G240" i="2"/>
  <c r="M231" i="1"/>
  <c r="G232" i="1"/>
  <c r="AJ238" i="2"/>
  <c r="AK238" i="2" s="1"/>
  <c r="AI239" i="2"/>
  <c r="X244" i="2"/>
  <c r="BD254" i="2"/>
  <c r="BE253" i="2"/>
  <c r="BF253" i="2" s="1"/>
  <c r="J238" i="2"/>
  <c r="AL237" i="2"/>
  <c r="CB250" i="2"/>
  <c r="DB245" i="2"/>
  <c r="DC245" i="2" s="1"/>
  <c r="DA246" i="2"/>
  <c r="AZ235" i="2"/>
  <c r="BG252" i="2"/>
  <c r="CF242" i="2"/>
  <c r="CG241" i="2"/>
  <c r="CH241" i="2" s="1"/>
  <c r="CW256" i="2"/>
  <c r="CW257" i="2"/>
  <c r="AW237" i="2"/>
  <c r="AX236" i="2"/>
  <c r="AY236" i="2" s="1"/>
  <c r="BN247" i="2"/>
  <c r="CB251" i="2"/>
  <c r="BK249" i="2"/>
  <c r="BL248" i="2"/>
  <c r="BM248" i="2" s="1"/>
  <c r="BN248" i="2" l="1"/>
  <c r="BD255" i="2"/>
  <c r="BE254" i="2"/>
  <c r="BF254" i="2" s="1"/>
  <c r="R220" i="1"/>
  <c r="S220" i="1" s="1"/>
  <c r="CP253" i="2"/>
  <c r="H240" i="2"/>
  <c r="I240" i="2" s="1"/>
  <c r="G241" i="2"/>
  <c r="U247" i="2"/>
  <c r="V246" i="2"/>
  <c r="W246" i="2" s="1"/>
  <c r="BS254" i="2"/>
  <c r="BT254" i="2" s="1"/>
  <c r="BR255" i="2"/>
  <c r="CU258" i="2"/>
  <c r="CV258" i="2" s="1"/>
  <c r="CT259" i="2"/>
  <c r="J239" i="2"/>
  <c r="X245" i="2"/>
  <c r="BU253" i="2"/>
  <c r="DB246" i="2"/>
  <c r="DC246" i="2" s="1"/>
  <c r="DA247" i="2"/>
  <c r="AI240" i="2"/>
  <c r="AJ239" i="2"/>
  <c r="AK239" i="2" s="1"/>
  <c r="DI252" i="2"/>
  <c r="DJ252" i="2" s="1"/>
  <c r="DH253" i="2"/>
  <c r="DD246" i="2"/>
  <c r="DD245" i="2"/>
  <c r="DK252" i="2"/>
  <c r="AQ245" i="2"/>
  <c r="AR245" i="2" s="1"/>
  <c r="AP246" i="2"/>
  <c r="CB252" i="2"/>
  <c r="BK250" i="2"/>
  <c r="BL249" i="2"/>
  <c r="BM249" i="2" s="1"/>
  <c r="M232" i="1"/>
  <c r="G233" i="1"/>
  <c r="AS244" i="2"/>
  <c r="BZ252" i="2"/>
  <c r="CA252" i="2" s="1"/>
  <c r="BY253" i="2"/>
  <c r="AX237" i="2"/>
  <c r="AY237" i="2" s="1"/>
  <c r="AW238" i="2"/>
  <c r="CI241" i="2"/>
  <c r="X246" i="2"/>
  <c r="AZ236" i="2"/>
  <c r="CG242" i="2"/>
  <c r="CH242" i="2" s="1"/>
  <c r="CF243" i="2"/>
  <c r="AL238" i="2"/>
  <c r="BG253" i="2"/>
  <c r="O250" i="2"/>
  <c r="P250" i="2" s="1"/>
  <c r="N251" i="2"/>
  <c r="K220" i="1"/>
  <c r="J220" i="1" s="1"/>
  <c r="E221" i="1"/>
  <c r="N220" i="1"/>
  <c r="O222" i="1"/>
  <c r="P221" i="1"/>
  <c r="Q221" i="1" s="1"/>
  <c r="CN254" i="2"/>
  <c r="CO254" i="2" s="1"/>
  <c r="CM255" i="2"/>
  <c r="BL250" i="2" l="1"/>
  <c r="BM250" i="2" s="1"/>
  <c r="BK251" i="2"/>
  <c r="BR256" i="2"/>
  <c r="BS255" i="2"/>
  <c r="BT255" i="2" s="1"/>
  <c r="BG254" i="2"/>
  <c r="R221" i="1"/>
  <c r="S221" i="1" s="1"/>
  <c r="BE255" i="2"/>
  <c r="BF255" i="2" s="1"/>
  <c r="BD256" i="2"/>
  <c r="M233" i="1"/>
  <c r="G234" i="1"/>
  <c r="AJ240" i="2"/>
  <c r="AK240" i="2" s="1"/>
  <c r="AI241" i="2"/>
  <c r="AZ237" i="2"/>
  <c r="DA248" i="2"/>
  <c r="DB247" i="2"/>
  <c r="DC247" i="2" s="1"/>
  <c r="U248" i="2"/>
  <c r="V247" i="2"/>
  <c r="W247" i="2" s="1"/>
  <c r="CM256" i="2"/>
  <c r="CN255" i="2"/>
  <c r="CO255" i="2" s="1"/>
  <c r="BZ253" i="2"/>
  <c r="CA253" i="2" s="1"/>
  <c r="BY254" i="2"/>
  <c r="AQ246" i="2"/>
  <c r="AR246" i="2" s="1"/>
  <c r="AP247" i="2"/>
  <c r="G242" i="2"/>
  <c r="H241" i="2"/>
  <c r="I241" i="2" s="1"/>
  <c r="AS245" i="2"/>
  <c r="J240" i="2"/>
  <c r="AX238" i="2"/>
  <c r="AY238" i="2" s="1"/>
  <c r="AW239" i="2"/>
  <c r="CP254" i="2"/>
  <c r="CI242" i="2"/>
  <c r="AL239" i="2"/>
  <c r="DH254" i="2"/>
  <c r="DI253" i="2"/>
  <c r="DJ253" i="2" s="1"/>
  <c r="BU254" i="2"/>
  <c r="CU259" i="2"/>
  <c r="CV259" i="2" s="1"/>
  <c r="CT260" i="2"/>
  <c r="CG243" i="2"/>
  <c r="CH243" i="2" s="1"/>
  <c r="CF244" i="2"/>
  <c r="K221" i="1"/>
  <c r="J221" i="1" s="1"/>
  <c r="E222" i="1"/>
  <c r="N221" i="1"/>
  <c r="O251" i="2"/>
  <c r="P251" i="2" s="1"/>
  <c r="N252" i="2"/>
  <c r="Q250" i="2"/>
  <c r="CB253" i="2"/>
  <c r="P222" i="1"/>
  <c r="Q222" i="1" s="1"/>
  <c r="O223" i="1"/>
  <c r="BN249" i="2"/>
  <c r="CW258" i="2"/>
  <c r="AZ238" i="2" l="1"/>
  <c r="BE256" i="2"/>
  <c r="BF256" i="2" s="1"/>
  <c r="BD257" i="2"/>
  <c r="BL251" i="2"/>
  <c r="BM251" i="2" s="1"/>
  <c r="BK252" i="2"/>
  <c r="J241" i="2"/>
  <c r="CP255" i="2"/>
  <c r="BN250" i="2"/>
  <c r="R222" i="1"/>
  <c r="S222" i="1" s="1"/>
  <c r="H242" i="2"/>
  <c r="I242" i="2" s="1"/>
  <c r="G243" i="2"/>
  <c r="CM257" i="2"/>
  <c r="CN256" i="2"/>
  <c r="CO256" i="2" s="1"/>
  <c r="BG255" i="2"/>
  <c r="O252" i="2"/>
  <c r="P252" i="2" s="1"/>
  <c r="N253" i="2"/>
  <c r="Q251" i="2"/>
  <c r="CU260" i="2"/>
  <c r="CV260" i="2" s="1"/>
  <c r="CT261" i="2"/>
  <c r="R223" i="1"/>
  <c r="AJ241" i="2"/>
  <c r="AK241" i="2" s="1"/>
  <c r="AI242" i="2"/>
  <c r="E223" i="1"/>
  <c r="K222" i="1"/>
  <c r="J222" i="1" s="1"/>
  <c r="N222" i="1"/>
  <c r="CW259" i="2"/>
  <c r="X247" i="2"/>
  <c r="AQ247" i="2"/>
  <c r="AR247" i="2" s="1"/>
  <c r="AP248" i="2"/>
  <c r="V248" i="2"/>
  <c r="W248" i="2" s="1"/>
  <c r="U249" i="2"/>
  <c r="M234" i="1"/>
  <c r="G235" i="1"/>
  <c r="DK253" i="2"/>
  <c r="AS246" i="2"/>
  <c r="DD247" i="2"/>
  <c r="AL240" i="2"/>
  <c r="BU255" i="2"/>
  <c r="P223" i="1"/>
  <c r="Q223" i="1" s="1"/>
  <c r="O224" i="1"/>
  <c r="Q252" i="2"/>
  <c r="CG244" i="2"/>
  <c r="CH244" i="2" s="1"/>
  <c r="CF245" i="2"/>
  <c r="DK254" i="2"/>
  <c r="CI243" i="2"/>
  <c r="DI254" i="2"/>
  <c r="DJ254" i="2" s="1"/>
  <c r="DH255" i="2"/>
  <c r="AW240" i="2"/>
  <c r="AX239" i="2"/>
  <c r="AY239" i="2" s="1"/>
  <c r="BY255" i="2"/>
  <c r="BZ254" i="2"/>
  <c r="CA254" i="2" s="1"/>
  <c r="DA249" i="2"/>
  <c r="DB248" i="2"/>
  <c r="DC248" i="2" s="1"/>
  <c r="BS256" i="2"/>
  <c r="BT256" i="2" s="1"/>
  <c r="BR257" i="2"/>
  <c r="S223" i="1" l="1"/>
  <c r="O253" i="2"/>
  <c r="P253" i="2" s="1"/>
  <c r="N254" i="2"/>
  <c r="BD258" i="2"/>
  <c r="BE257" i="2"/>
  <c r="BF257" i="2" s="1"/>
  <c r="V249" i="2"/>
  <c r="W249" i="2" s="1"/>
  <c r="U250" i="2"/>
  <c r="E224" i="1"/>
  <c r="K223" i="1"/>
  <c r="J223" i="1" s="1"/>
  <c r="N223" i="1"/>
  <c r="BG256" i="2"/>
  <c r="AW241" i="2"/>
  <c r="AX240" i="2"/>
  <c r="AY240" i="2" s="1"/>
  <c r="X248" i="2"/>
  <c r="AZ239" i="2"/>
  <c r="DI255" i="2"/>
  <c r="DJ255" i="2" s="1"/>
  <c r="DH256" i="2"/>
  <c r="AP249" i="2"/>
  <c r="AQ248" i="2"/>
  <c r="AR248" i="2" s="1"/>
  <c r="CT262" i="2"/>
  <c r="CU261" i="2"/>
  <c r="CV261" i="2" s="1"/>
  <c r="CP256" i="2"/>
  <c r="CP257" i="2"/>
  <c r="BZ255" i="2"/>
  <c r="CA255" i="2" s="1"/>
  <c r="BY256" i="2"/>
  <c r="DK255" i="2"/>
  <c r="DD248" i="2"/>
  <c r="AS247" i="2"/>
  <c r="AS248" i="2"/>
  <c r="CW260" i="2"/>
  <c r="CN257" i="2"/>
  <c r="CO257" i="2" s="1"/>
  <c r="CM258" i="2"/>
  <c r="BU256" i="2"/>
  <c r="AI243" i="2"/>
  <c r="AJ242" i="2"/>
  <c r="AK242" i="2" s="1"/>
  <c r="H243" i="2"/>
  <c r="I243" i="2" s="1"/>
  <c r="G244" i="2"/>
  <c r="CG245" i="2"/>
  <c r="CH245" i="2" s="1"/>
  <c r="CF246" i="2"/>
  <c r="P224" i="1"/>
  <c r="Q224" i="1" s="1"/>
  <c r="O225" i="1"/>
  <c r="DB249" i="2"/>
  <c r="DC249" i="2" s="1"/>
  <c r="DA250" i="2"/>
  <c r="M235" i="1"/>
  <c r="G236" i="1"/>
  <c r="AL241" i="2"/>
  <c r="AL242" i="2"/>
  <c r="J242" i="2"/>
  <c r="BK253" i="2"/>
  <c r="BL252" i="2"/>
  <c r="BM252" i="2" s="1"/>
  <c r="BS257" i="2"/>
  <c r="BT257" i="2" s="1"/>
  <c r="BR258" i="2"/>
  <c r="CI244" i="2"/>
  <c r="CI245" i="2"/>
  <c r="DD249" i="2"/>
  <c r="CB254" i="2"/>
  <c r="BN251" i="2"/>
  <c r="DI256" i="2" l="1"/>
  <c r="DJ256" i="2" s="1"/>
  <c r="DH257" i="2"/>
  <c r="AZ240" i="2"/>
  <c r="G245" i="2"/>
  <c r="H244" i="2"/>
  <c r="I244" i="2" s="1"/>
  <c r="AX241" i="2"/>
  <c r="AY241" i="2" s="1"/>
  <c r="AW242" i="2"/>
  <c r="K224" i="1"/>
  <c r="J224" i="1" s="1"/>
  <c r="E225" i="1"/>
  <c r="N224" i="1"/>
  <c r="DB250" i="2"/>
  <c r="DC250" i="2" s="1"/>
  <c r="DA251" i="2"/>
  <c r="U251" i="2"/>
  <c r="V250" i="2"/>
  <c r="W250" i="2" s="1"/>
  <c r="BR259" i="2"/>
  <c r="BS258" i="2"/>
  <c r="BT258" i="2" s="1"/>
  <c r="DK256" i="2"/>
  <c r="X249" i="2"/>
  <c r="BN252" i="2"/>
  <c r="O226" i="1"/>
  <c r="P225" i="1"/>
  <c r="Q225" i="1" s="1"/>
  <c r="AI244" i="2"/>
  <c r="AJ243" i="2"/>
  <c r="AK243" i="2" s="1"/>
  <c r="AL243" i="2" s="1"/>
  <c r="CN258" i="2"/>
  <c r="CO258" i="2" s="1"/>
  <c r="CM259" i="2"/>
  <c r="CU262" i="2"/>
  <c r="CV262" i="2" s="1"/>
  <c r="CT263" i="2"/>
  <c r="BG257" i="2"/>
  <c r="BU257" i="2"/>
  <c r="BL253" i="2"/>
  <c r="BM253" i="2" s="1"/>
  <c r="BK254" i="2"/>
  <c r="R224" i="1"/>
  <c r="S224" i="1" s="1"/>
  <c r="BE258" i="2"/>
  <c r="BF258" i="2" s="1"/>
  <c r="BD259" i="2"/>
  <c r="J244" i="2"/>
  <c r="J243" i="2"/>
  <c r="M236" i="1"/>
  <c r="G237" i="1"/>
  <c r="CF247" i="2"/>
  <c r="CG246" i="2"/>
  <c r="CH246" i="2" s="1"/>
  <c r="CW261" i="2"/>
  <c r="BZ256" i="2"/>
  <c r="CA256" i="2" s="1"/>
  <c r="BY257" i="2"/>
  <c r="AQ249" i="2"/>
  <c r="AR249" i="2" s="1"/>
  <c r="AP250" i="2"/>
  <c r="N255" i="2"/>
  <c r="O254" i="2"/>
  <c r="P254" i="2" s="1"/>
  <c r="BU258" i="2"/>
  <c r="CW262" i="2"/>
  <c r="CB255" i="2"/>
  <c r="Q253" i="2"/>
  <c r="BN253" i="2" l="1"/>
  <c r="DH258" i="2"/>
  <c r="DI257" i="2"/>
  <c r="DJ257" i="2" s="1"/>
  <c r="BS259" i="2"/>
  <c r="BT259" i="2" s="1"/>
  <c r="BR260" i="2"/>
  <c r="AX242" i="2"/>
  <c r="AY242" i="2" s="1"/>
  <c r="AW243" i="2"/>
  <c r="CM260" i="2"/>
  <c r="CN259" i="2"/>
  <c r="CO259" i="2" s="1"/>
  <c r="X250" i="2"/>
  <c r="AZ241" i="2"/>
  <c r="AP251" i="2"/>
  <c r="AQ250" i="2"/>
  <c r="AR250" i="2" s="1"/>
  <c r="M237" i="1"/>
  <c r="G238" i="1"/>
  <c r="CP258" i="2"/>
  <c r="U252" i="2"/>
  <c r="V251" i="2"/>
  <c r="W251" i="2" s="1"/>
  <c r="AS249" i="2"/>
  <c r="BE259" i="2"/>
  <c r="BF259" i="2" s="1"/>
  <c r="BD260" i="2"/>
  <c r="BG258" i="2"/>
  <c r="AL244" i="2"/>
  <c r="DA252" i="2"/>
  <c r="DB251" i="2"/>
  <c r="DC251" i="2" s="1"/>
  <c r="AJ244" i="2"/>
  <c r="AK244" i="2" s="1"/>
  <c r="AI245" i="2"/>
  <c r="DD250" i="2"/>
  <c r="G246" i="2"/>
  <c r="H245" i="2"/>
  <c r="I245" i="2" s="1"/>
  <c r="Q254" i="2"/>
  <c r="Q255" i="2"/>
  <c r="O255" i="2"/>
  <c r="P255" i="2" s="1"/>
  <c r="N256" i="2"/>
  <c r="CG247" i="2"/>
  <c r="CH247" i="2" s="1"/>
  <c r="CF248" i="2"/>
  <c r="CB256" i="2"/>
  <c r="R225" i="1"/>
  <c r="S225" i="1" s="1"/>
  <c r="CI246" i="2"/>
  <c r="BZ257" i="2"/>
  <c r="CA257" i="2" s="1"/>
  <c r="BY258" i="2"/>
  <c r="BG259" i="2"/>
  <c r="BK255" i="2"/>
  <c r="BL254" i="2"/>
  <c r="BM254" i="2" s="1"/>
  <c r="CU263" i="2"/>
  <c r="CV263" i="2" s="1"/>
  <c r="CT264" i="2"/>
  <c r="O227" i="1"/>
  <c r="P226" i="1"/>
  <c r="Q226" i="1" s="1"/>
  <c r="K225" i="1"/>
  <c r="J225" i="1" s="1"/>
  <c r="E226" i="1"/>
  <c r="N225" i="1"/>
  <c r="X251" i="2" l="1"/>
  <c r="X252" i="2"/>
  <c r="AZ242" i="2"/>
  <c r="BN254" i="2"/>
  <c r="BY259" i="2"/>
  <c r="BZ258" i="2"/>
  <c r="CA258" i="2" s="1"/>
  <c r="BE260" i="2"/>
  <c r="BF260" i="2" s="1"/>
  <c r="BD261" i="2"/>
  <c r="V252" i="2"/>
  <c r="W252" i="2" s="1"/>
  <c r="U253" i="2"/>
  <c r="AS250" i="2"/>
  <c r="BS260" i="2"/>
  <c r="BT260" i="2" s="1"/>
  <c r="BR261" i="2"/>
  <c r="DD251" i="2"/>
  <c r="AQ251" i="2"/>
  <c r="AR251" i="2" s="1"/>
  <c r="AP252" i="2"/>
  <c r="BU259" i="2"/>
  <c r="CB257" i="2"/>
  <c r="CG248" i="2"/>
  <c r="CH248" i="2" s="1"/>
  <c r="CF249" i="2"/>
  <c r="DB252" i="2"/>
  <c r="DC252" i="2" s="1"/>
  <c r="DA253" i="2"/>
  <c r="AS251" i="2"/>
  <c r="CP259" i="2"/>
  <c r="E227" i="1"/>
  <c r="K226" i="1"/>
  <c r="J226" i="1" s="1"/>
  <c r="N226" i="1"/>
  <c r="CI247" i="2"/>
  <c r="CM261" i="2"/>
  <c r="CN260" i="2"/>
  <c r="CO260" i="2" s="1"/>
  <c r="O256" i="2"/>
  <c r="P256" i="2" s="1"/>
  <c r="N257" i="2"/>
  <c r="J246" i="2"/>
  <c r="J245" i="2"/>
  <c r="AJ245" i="2"/>
  <c r="AK245" i="2" s="1"/>
  <c r="AI246" i="2"/>
  <c r="DK257" i="2"/>
  <c r="DK258" i="2"/>
  <c r="BL255" i="2"/>
  <c r="BM255" i="2" s="1"/>
  <c r="BK256" i="2"/>
  <c r="R226" i="1"/>
  <c r="S226" i="1" s="1"/>
  <c r="CB258" i="2"/>
  <c r="H246" i="2"/>
  <c r="I246" i="2" s="1"/>
  <c r="G247" i="2"/>
  <c r="AL245" i="2"/>
  <c r="M238" i="1"/>
  <c r="G239" i="1"/>
  <c r="DI258" i="2"/>
  <c r="DJ258" i="2" s="1"/>
  <c r="DH259" i="2"/>
  <c r="CW263" i="2"/>
  <c r="P227" i="1"/>
  <c r="Q227" i="1" s="1"/>
  <c r="O228" i="1"/>
  <c r="CI248" i="2"/>
  <c r="CU264" i="2"/>
  <c r="CV264" i="2" s="1"/>
  <c r="CT265" i="2"/>
  <c r="Q256" i="2"/>
  <c r="AW244" i="2"/>
  <c r="AX243" i="2"/>
  <c r="AY243" i="2" s="1"/>
  <c r="R227" i="1" l="1"/>
  <c r="S227" i="1" s="1"/>
  <c r="CP260" i="2"/>
  <c r="CF250" i="2"/>
  <c r="CG249" i="2"/>
  <c r="CH249" i="2" s="1"/>
  <c r="BE261" i="2"/>
  <c r="BF261" i="2" s="1"/>
  <c r="BD262" i="2"/>
  <c r="CN261" i="2"/>
  <c r="CO261" i="2" s="1"/>
  <c r="CM262" i="2"/>
  <c r="CI249" i="2"/>
  <c r="BS261" i="2"/>
  <c r="BT261" i="2" s="1"/>
  <c r="BR262" i="2"/>
  <c r="BG260" i="2"/>
  <c r="AQ252" i="2"/>
  <c r="AR252" i="2" s="1"/>
  <c r="AP253" i="2"/>
  <c r="AW245" i="2"/>
  <c r="AX244" i="2"/>
  <c r="AY244" i="2" s="1"/>
  <c r="AZ244" i="2"/>
  <c r="BY260" i="2"/>
  <c r="BZ259" i="2"/>
  <c r="CA259" i="2" s="1"/>
  <c r="CU265" i="2"/>
  <c r="CV265" i="2" s="1"/>
  <c r="CT266" i="2"/>
  <c r="DI259" i="2"/>
  <c r="DJ259" i="2" s="1"/>
  <c r="DH260" i="2"/>
  <c r="H247" i="2"/>
  <c r="I247" i="2" s="1"/>
  <c r="G248" i="2"/>
  <c r="BK257" i="2"/>
  <c r="BL256" i="2"/>
  <c r="BM256" i="2" s="1"/>
  <c r="O257" i="2"/>
  <c r="P257" i="2" s="1"/>
  <c r="N258" i="2"/>
  <c r="BU260" i="2"/>
  <c r="AJ246" i="2"/>
  <c r="AK246" i="2" s="1"/>
  <c r="AI247" i="2"/>
  <c r="CW264" i="2"/>
  <c r="AL246" i="2"/>
  <c r="BN255" i="2"/>
  <c r="E228" i="1"/>
  <c r="K227" i="1"/>
  <c r="J227" i="1" s="1"/>
  <c r="N227" i="1"/>
  <c r="DA254" i="2"/>
  <c r="DB253" i="2"/>
  <c r="DC253" i="2" s="1"/>
  <c r="V253" i="2"/>
  <c r="W253" i="2" s="1"/>
  <c r="U254" i="2"/>
  <c r="AZ243" i="2"/>
  <c r="P228" i="1"/>
  <c r="Q228" i="1" s="1"/>
  <c r="O229" i="1"/>
  <c r="M239" i="1"/>
  <c r="G240" i="1"/>
  <c r="DD252" i="2"/>
  <c r="AP254" i="2" l="1"/>
  <c r="AQ253" i="2"/>
  <c r="AR253" i="2" s="1"/>
  <c r="BU261" i="2"/>
  <c r="DD253" i="2"/>
  <c r="N259" i="2"/>
  <c r="O258" i="2"/>
  <c r="P258" i="2" s="1"/>
  <c r="CU266" i="2"/>
  <c r="CV266" i="2" s="1"/>
  <c r="CT267" i="2"/>
  <c r="BE262" i="2"/>
  <c r="BF262" i="2" s="1"/>
  <c r="BD263" i="2"/>
  <c r="AI248" i="2"/>
  <c r="AJ247" i="2"/>
  <c r="AK247" i="2" s="1"/>
  <c r="CW265" i="2"/>
  <c r="DB254" i="2"/>
  <c r="DC254" i="2" s="1"/>
  <c r="DA255" i="2"/>
  <c r="BN256" i="2"/>
  <c r="CB259" i="2"/>
  <c r="BK258" i="2"/>
  <c r="BL257" i="2"/>
  <c r="BM257" i="2" s="1"/>
  <c r="BZ260" i="2"/>
  <c r="CA260" i="2" s="1"/>
  <c r="BY261" i="2"/>
  <c r="BG261" i="2"/>
  <c r="CG250" i="2"/>
  <c r="CH250" i="2" s="1"/>
  <c r="CF251" i="2"/>
  <c r="O230" i="1"/>
  <c r="P229" i="1"/>
  <c r="Q229" i="1" s="1"/>
  <c r="K228" i="1"/>
  <c r="J228" i="1" s="1"/>
  <c r="E229" i="1"/>
  <c r="N228" i="1"/>
  <c r="Q258" i="2"/>
  <c r="H248" i="2"/>
  <c r="I248" i="2" s="1"/>
  <c r="G249" i="2"/>
  <c r="AS253" i="2"/>
  <c r="AW246" i="2"/>
  <c r="AX245" i="2"/>
  <c r="AY245" i="2" s="1"/>
  <c r="CN262" i="2"/>
  <c r="CO262" i="2" s="1"/>
  <c r="CM263" i="2"/>
  <c r="J247" i="2"/>
  <c r="AS252" i="2"/>
  <c r="CP261" i="2"/>
  <c r="CP262" i="2"/>
  <c r="M240" i="1"/>
  <c r="G241" i="1"/>
  <c r="R228" i="1"/>
  <c r="S228" i="1" s="1"/>
  <c r="U255" i="2"/>
  <c r="V254" i="2"/>
  <c r="W254" i="2" s="1"/>
  <c r="DK259" i="2"/>
  <c r="X253" i="2"/>
  <c r="Q257" i="2"/>
  <c r="DH261" i="2"/>
  <c r="DI260" i="2"/>
  <c r="DJ260" i="2" s="1"/>
  <c r="BS262" i="2"/>
  <c r="BT262" i="2" s="1"/>
  <c r="BR263" i="2"/>
  <c r="CI250" i="2" l="1"/>
  <c r="DH262" i="2"/>
  <c r="DI261" i="2"/>
  <c r="DJ261" i="2" s="1"/>
  <c r="AX246" i="2"/>
  <c r="AY246" i="2" s="1"/>
  <c r="AW247" i="2"/>
  <c r="R229" i="1"/>
  <c r="S229" i="1" s="1"/>
  <c r="AP255" i="2"/>
  <c r="AQ254" i="2"/>
  <c r="AR254" i="2" s="1"/>
  <c r="P230" i="1"/>
  <c r="Q230" i="1" s="1"/>
  <c r="O231" i="1"/>
  <c r="BN257" i="2"/>
  <c r="CB260" i="2"/>
  <c r="H249" i="2"/>
  <c r="I249" i="2" s="1"/>
  <c r="G250" i="2"/>
  <c r="CG251" i="2"/>
  <c r="CH251" i="2" s="1"/>
  <c r="CF252" i="2"/>
  <c r="BL258" i="2"/>
  <c r="BM258" i="2" s="1"/>
  <c r="BK259" i="2"/>
  <c r="CB261" i="2"/>
  <c r="DA256" i="2"/>
  <c r="DB255" i="2"/>
  <c r="DC255" i="2" s="1"/>
  <c r="CW266" i="2"/>
  <c r="BR264" i="2"/>
  <c r="BS263" i="2"/>
  <c r="BT263" i="2" s="1"/>
  <c r="J248" i="2"/>
  <c r="U256" i="2"/>
  <c r="V255" i="2"/>
  <c r="W255" i="2" s="1"/>
  <c r="CN263" i="2"/>
  <c r="CO263" i="2" s="1"/>
  <c r="CM264" i="2"/>
  <c r="AL247" i="2"/>
  <c r="K229" i="1"/>
  <c r="J229" i="1" s="1"/>
  <c r="E230" i="1"/>
  <c r="N229" i="1"/>
  <c r="AI249" i="2"/>
  <c r="AJ248" i="2"/>
  <c r="AK248" i="2" s="1"/>
  <c r="O259" i="2"/>
  <c r="P259" i="2" s="1"/>
  <c r="N260" i="2"/>
  <c r="CT268" i="2"/>
  <c r="CU267" i="2"/>
  <c r="CV267" i="2" s="1"/>
  <c r="BU262" i="2"/>
  <c r="BU263" i="2"/>
  <c r="DK260" i="2"/>
  <c r="X254" i="2"/>
  <c r="M241" i="1"/>
  <c r="G242" i="1"/>
  <c r="AZ245" i="2"/>
  <c r="AZ246" i="2"/>
  <c r="BZ261" i="2"/>
  <c r="CA261" i="2" s="1"/>
  <c r="BY262" i="2"/>
  <c r="BG262" i="2"/>
  <c r="BE263" i="2"/>
  <c r="BF263" i="2" s="1"/>
  <c r="BD264" i="2"/>
  <c r="DD254" i="2"/>
  <c r="CT269" i="2" l="1"/>
  <c r="CU268" i="2"/>
  <c r="CV268" i="2" s="1"/>
  <c r="CP263" i="2"/>
  <c r="AX247" i="2"/>
  <c r="AY247" i="2" s="1"/>
  <c r="AW248" i="2"/>
  <c r="O260" i="2"/>
  <c r="P260" i="2" s="1"/>
  <c r="N261" i="2"/>
  <c r="V256" i="2"/>
  <c r="W256" i="2" s="1"/>
  <c r="U257" i="2"/>
  <c r="BN258" i="2"/>
  <c r="BG263" i="2"/>
  <c r="DD255" i="2"/>
  <c r="DD256" i="2"/>
  <c r="CG252" i="2"/>
  <c r="CH252" i="2" s="1"/>
  <c r="CF253" i="2"/>
  <c r="P231" i="1"/>
  <c r="Q231" i="1" s="1"/>
  <c r="O232" i="1"/>
  <c r="DK261" i="2"/>
  <c r="M242" i="1"/>
  <c r="G243" i="1"/>
  <c r="AL248" i="2"/>
  <c r="DB256" i="2"/>
  <c r="DC256" i="2" s="1"/>
  <c r="DA257" i="2"/>
  <c r="DH263" i="2"/>
  <c r="DI262" i="2"/>
  <c r="DJ262" i="2" s="1"/>
  <c r="BE264" i="2"/>
  <c r="BF264" i="2" s="1"/>
  <c r="BD265" i="2"/>
  <c r="AQ255" i="2"/>
  <c r="AR255" i="2" s="1"/>
  <c r="AP256" i="2"/>
  <c r="BZ262" i="2"/>
  <c r="CA262" i="2" s="1"/>
  <c r="BY263" i="2"/>
  <c r="AJ249" i="2"/>
  <c r="AK249" i="2" s="1"/>
  <c r="AI250" i="2"/>
  <c r="H250" i="2"/>
  <c r="I250" i="2" s="1"/>
  <c r="G251" i="2"/>
  <c r="E231" i="1"/>
  <c r="K230" i="1"/>
  <c r="J230" i="1" s="1"/>
  <c r="N230" i="1"/>
  <c r="BL259" i="2"/>
  <c r="BM259" i="2" s="1"/>
  <c r="BK260" i="2"/>
  <c r="Q259" i="2"/>
  <c r="X256" i="2"/>
  <c r="BN259" i="2"/>
  <c r="X255" i="2"/>
  <c r="CW267" i="2"/>
  <c r="CM265" i="2"/>
  <c r="CN264" i="2"/>
  <c r="CO264" i="2" s="1"/>
  <c r="BR265" i="2"/>
  <c r="BS264" i="2"/>
  <c r="BT264" i="2" s="1"/>
  <c r="R230" i="1"/>
  <c r="S230" i="1" s="1"/>
  <c r="AS254" i="2"/>
  <c r="AS255" i="2"/>
  <c r="CI251" i="2"/>
  <c r="J249" i="2"/>
  <c r="H251" i="2" l="1"/>
  <c r="I251" i="2" s="1"/>
  <c r="G252" i="2"/>
  <c r="BU264" i="2"/>
  <c r="J250" i="2"/>
  <c r="AQ256" i="2"/>
  <c r="AR256" i="2" s="1"/>
  <c r="AP257" i="2"/>
  <c r="CW268" i="2"/>
  <c r="CP264" i="2"/>
  <c r="M243" i="1"/>
  <c r="G244" i="1"/>
  <c r="O261" i="2"/>
  <c r="P261" i="2" s="1"/>
  <c r="N262" i="2"/>
  <c r="CT270" i="2"/>
  <c r="CU269" i="2"/>
  <c r="CV269" i="2" s="1"/>
  <c r="BL260" i="2"/>
  <c r="BM260" i="2" s="1"/>
  <c r="BK261" i="2"/>
  <c r="CM266" i="2"/>
  <c r="CN265" i="2"/>
  <c r="CO265" i="2" s="1"/>
  <c r="AJ250" i="2"/>
  <c r="AK250" i="2" s="1"/>
  <c r="AI251" i="2"/>
  <c r="BE265" i="2"/>
  <c r="BF265" i="2" s="1"/>
  <c r="BD266" i="2"/>
  <c r="DB257" i="2"/>
  <c r="DC257" i="2" s="1"/>
  <c r="DA258" i="2"/>
  <c r="P232" i="1"/>
  <c r="Q232" i="1" s="1"/>
  <c r="O233" i="1"/>
  <c r="Q260" i="2"/>
  <c r="R231" i="1"/>
  <c r="S231" i="1" s="1"/>
  <c r="BG264" i="2"/>
  <c r="AW249" i="2"/>
  <c r="AX248" i="2"/>
  <c r="AY248" i="2" s="1"/>
  <c r="DI263" i="2"/>
  <c r="DJ263" i="2" s="1"/>
  <c r="DH264" i="2"/>
  <c r="V257" i="2"/>
  <c r="W257" i="2" s="1"/>
  <c r="U258" i="2"/>
  <c r="BZ263" i="2"/>
  <c r="CA263" i="2" s="1"/>
  <c r="BY264" i="2"/>
  <c r="CF254" i="2"/>
  <c r="CG253" i="2"/>
  <c r="CH253" i="2" s="1"/>
  <c r="AZ247" i="2"/>
  <c r="BS265" i="2"/>
  <c r="BT265" i="2" s="1"/>
  <c r="BU265" i="2" s="1"/>
  <c r="BR266" i="2"/>
  <c r="E232" i="1"/>
  <c r="K231" i="1"/>
  <c r="J231" i="1" s="1"/>
  <c r="N231" i="1"/>
  <c r="CB262" i="2"/>
  <c r="DK262" i="2"/>
  <c r="AL249" i="2"/>
  <c r="CI252" i="2"/>
  <c r="BY265" i="2" l="1"/>
  <c r="BZ264" i="2"/>
  <c r="CA264" i="2" s="1"/>
  <c r="AW250" i="2"/>
  <c r="AX249" i="2"/>
  <c r="AY249" i="2" s="1"/>
  <c r="AL250" i="2"/>
  <c r="Q261" i="2"/>
  <c r="Q262" i="2"/>
  <c r="AP258" i="2"/>
  <c r="AQ257" i="2"/>
  <c r="AR257" i="2" s="1"/>
  <c r="O262" i="2"/>
  <c r="P262" i="2" s="1"/>
  <c r="N263" i="2"/>
  <c r="P233" i="1"/>
  <c r="Q233" i="1" s="1"/>
  <c r="O234" i="1"/>
  <c r="CP265" i="2"/>
  <c r="M244" i="1"/>
  <c r="G245" i="1"/>
  <c r="AS256" i="2"/>
  <c r="U259" i="2"/>
  <c r="V258" i="2"/>
  <c r="W258" i="2" s="1"/>
  <c r="R232" i="1"/>
  <c r="S232" i="1" s="1"/>
  <c r="CN266" i="2"/>
  <c r="CO266" i="2" s="1"/>
  <c r="CM267" i="2"/>
  <c r="G253" i="2"/>
  <c r="H252" i="2"/>
  <c r="I252" i="2" s="1"/>
  <c r="CF255" i="2"/>
  <c r="CG254" i="2"/>
  <c r="CH254" i="2" s="1"/>
  <c r="AJ251" i="2"/>
  <c r="AK251" i="2" s="1"/>
  <c r="AI252" i="2"/>
  <c r="X257" i="2"/>
  <c r="X258" i="2"/>
  <c r="DB258" i="2"/>
  <c r="DC258" i="2" s="1"/>
  <c r="DA259" i="2"/>
  <c r="BK262" i="2"/>
  <c r="BL261" i="2"/>
  <c r="BM261" i="2" s="1"/>
  <c r="J251" i="2"/>
  <c r="AZ248" i="2"/>
  <c r="DI264" i="2"/>
  <c r="DJ264" i="2" s="1"/>
  <c r="DH265" i="2"/>
  <c r="DD257" i="2"/>
  <c r="CB263" i="2"/>
  <c r="K232" i="1"/>
  <c r="J232" i="1" s="1"/>
  <c r="E233" i="1"/>
  <c r="N232" i="1"/>
  <c r="DK263" i="2"/>
  <c r="BE266" i="2"/>
  <c r="BF266" i="2" s="1"/>
  <c r="BD267" i="2"/>
  <c r="CW269" i="2"/>
  <c r="CW270" i="2"/>
  <c r="BR267" i="2"/>
  <c r="BS266" i="2"/>
  <c r="BT266" i="2" s="1"/>
  <c r="CI253" i="2"/>
  <c r="CI254" i="2"/>
  <c r="BG265" i="2"/>
  <c r="CU270" i="2"/>
  <c r="CV270" i="2" s="1"/>
  <c r="CT271" i="2"/>
  <c r="BN260" i="2"/>
  <c r="DI265" i="2" l="1"/>
  <c r="DJ265" i="2" s="1"/>
  <c r="DH266" i="2"/>
  <c r="CI255" i="2"/>
  <c r="DK264" i="2"/>
  <c r="CG255" i="2"/>
  <c r="CH255" i="2" s="1"/>
  <c r="CF256" i="2"/>
  <c r="P234" i="1"/>
  <c r="Q234" i="1" s="1"/>
  <c r="O235" i="1"/>
  <c r="AX250" i="2"/>
  <c r="AY250" i="2" s="1"/>
  <c r="AW251" i="2"/>
  <c r="AL251" i="2"/>
  <c r="BG266" i="2"/>
  <c r="J252" i="2"/>
  <c r="R233" i="1"/>
  <c r="S233" i="1" s="1"/>
  <c r="R234" i="1"/>
  <c r="CB264" i="2"/>
  <c r="DA260" i="2"/>
  <c r="DB259" i="2"/>
  <c r="DC259" i="2" s="1"/>
  <c r="DD259" i="2"/>
  <c r="G254" i="2"/>
  <c r="H253" i="2"/>
  <c r="I253" i="2" s="1"/>
  <c r="N264" i="2"/>
  <c r="O263" i="2"/>
  <c r="P263" i="2" s="1"/>
  <c r="BZ265" i="2"/>
  <c r="CA265" i="2" s="1"/>
  <c r="BY266" i="2"/>
  <c r="E234" i="1"/>
  <c r="K233" i="1"/>
  <c r="J233" i="1" s="1"/>
  <c r="N233" i="1"/>
  <c r="M245" i="1"/>
  <c r="G246" i="1"/>
  <c r="AZ249" i="2"/>
  <c r="BE267" i="2"/>
  <c r="BF267" i="2" s="1"/>
  <c r="BD268" i="2"/>
  <c r="BU266" i="2"/>
  <c r="DD258" i="2"/>
  <c r="BN261" i="2"/>
  <c r="CN267" i="2"/>
  <c r="CO267" i="2" s="1"/>
  <c r="CM268" i="2"/>
  <c r="V259" i="2"/>
  <c r="W259" i="2" s="1"/>
  <c r="U260" i="2"/>
  <c r="AS257" i="2"/>
  <c r="CT272" i="2"/>
  <c r="CU271" i="2"/>
  <c r="CV271" i="2" s="1"/>
  <c r="BS267" i="2"/>
  <c r="BT267" i="2" s="1"/>
  <c r="BR268" i="2"/>
  <c r="BK263" i="2"/>
  <c r="BL262" i="2"/>
  <c r="BM262" i="2" s="1"/>
  <c r="AI253" i="2"/>
  <c r="AJ252" i="2"/>
  <c r="AK252" i="2" s="1"/>
  <c r="CP266" i="2"/>
  <c r="AQ258" i="2"/>
  <c r="AR258" i="2" s="1"/>
  <c r="AP259" i="2"/>
  <c r="S234" i="1" l="1"/>
  <c r="BU267" i="2"/>
  <c r="AJ253" i="2"/>
  <c r="AK253" i="2" s="1"/>
  <c r="AI254" i="2"/>
  <c r="BG267" i="2"/>
  <c r="BN262" i="2"/>
  <c r="CG256" i="2"/>
  <c r="CH256" i="2" s="1"/>
  <c r="CF257" i="2"/>
  <c r="V260" i="2"/>
  <c r="W260" i="2" s="1"/>
  <c r="U261" i="2"/>
  <c r="X259" i="2"/>
  <c r="AQ259" i="2"/>
  <c r="AR259" i="2" s="1"/>
  <c r="AP260" i="2"/>
  <c r="CM269" i="2"/>
  <c r="CN268" i="2"/>
  <c r="CO268" i="2" s="1"/>
  <c r="H254" i="2"/>
  <c r="I254" i="2" s="1"/>
  <c r="G255" i="2"/>
  <c r="AL253" i="2"/>
  <c r="E235" i="1"/>
  <c r="K234" i="1"/>
  <c r="J234" i="1" s="1"/>
  <c r="N234" i="1"/>
  <c r="BE268" i="2"/>
  <c r="BF268" i="2" s="1"/>
  <c r="BD269" i="2"/>
  <c r="CT273" i="2"/>
  <c r="CU272" i="2"/>
  <c r="CV272" i="2" s="1"/>
  <c r="BZ266" i="2"/>
  <c r="CA266" i="2" s="1"/>
  <c r="BY267" i="2"/>
  <c r="DI266" i="2"/>
  <c r="DJ266" i="2" s="1"/>
  <c r="DH267" i="2"/>
  <c r="P235" i="1"/>
  <c r="Q235" i="1" s="1"/>
  <c r="R235" i="1" s="1"/>
  <c r="S235" i="1" s="1"/>
  <c r="O236" i="1"/>
  <c r="BL263" i="2"/>
  <c r="BM263" i="2" s="1"/>
  <c r="BK264" i="2"/>
  <c r="CP267" i="2"/>
  <c r="CW271" i="2"/>
  <c r="BN263" i="2"/>
  <c r="M246" i="1"/>
  <c r="G247" i="1"/>
  <c r="CB265" i="2"/>
  <c r="DA261" i="2"/>
  <c r="DB260" i="2"/>
  <c r="DC260" i="2" s="1"/>
  <c r="AW252" i="2"/>
  <c r="AX251" i="2"/>
  <c r="AY251" i="2" s="1"/>
  <c r="DK265" i="2"/>
  <c r="O264" i="2"/>
  <c r="P264" i="2" s="1"/>
  <c r="N265" i="2"/>
  <c r="AL252" i="2"/>
  <c r="J253" i="2"/>
  <c r="AS258" i="2"/>
  <c r="BR269" i="2"/>
  <c r="BS268" i="2"/>
  <c r="BT268" i="2" s="1"/>
  <c r="DD260" i="2"/>
  <c r="Q263" i="2"/>
  <c r="AZ250" i="2"/>
  <c r="O265" i="2" l="1"/>
  <c r="P265" i="2" s="1"/>
  <c r="N266" i="2"/>
  <c r="E236" i="1"/>
  <c r="K235" i="1"/>
  <c r="J235" i="1" s="1"/>
  <c r="N235" i="1"/>
  <c r="J254" i="2"/>
  <c r="DA262" i="2"/>
  <c r="DB261" i="2"/>
  <c r="DC261" i="2" s="1"/>
  <c r="BL264" i="2"/>
  <c r="BM264" i="2" s="1"/>
  <c r="BK265" i="2"/>
  <c r="CP268" i="2"/>
  <c r="V261" i="2"/>
  <c r="W261" i="2" s="1"/>
  <c r="U262" i="2"/>
  <c r="J255" i="2"/>
  <c r="BY268" i="2"/>
  <c r="BZ267" i="2"/>
  <c r="CA267" i="2" s="1"/>
  <c r="CM270" i="2"/>
  <c r="CN269" i="2"/>
  <c r="CO269" i="2" s="1"/>
  <c r="X260" i="2"/>
  <c r="AJ254" i="2"/>
  <c r="AK254" i="2" s="1"/>
  <c r="AI255" i="2"/>
  <c r="AW253" i="2"/>
  <c r="AX252" i="2"/>
  <c r="AY252" i="2" s="1"/>
  <c r="P236" i="1"/>
  <c r="Q236" i="1" s="1"/>
  <c r="O237" i="1"/>
  <c r="CB266" i="2"/>
  <c r="BE269" i="2"/>
  <c r="BF269" i="2" s="1"/>
  <c r="BD270" i="2"/>
  <c r="AP261" i="2"/>
  <c r="AQ260" i="2"/>
  <c r="AR260" i="2" s="1"/>
  <c r="CG257" i="2"/>
  <c r="CH257" i="2" s="1"/>
  <c r="CF258" i="2"/>
  <c r="BG268" i="2"/>
  <c r="AS259" i="2"/>
  <c r="CI256" i="2"/>
  <c r="DI267" i="2"/>
  <c r="DJ267" i="2" s="1"/>
  <c r="DH268" i="2"/>
  <c r="CW272" i="2"/>
  <c r="BU268" i="2"/>
  <c r="BR270" i="2"/>
  <c r="BS269" i="2"/>
  <c r="BT269" i="2" s="1"/>
  <c r="Q264" i="2"/>
  <c r="Q265" i="2"/>
  <c r="AZ251" i="2"/>
  <c r="M247" i="1"/>
  <c r="G248" i="1"/>
  <c r="DK266" i="2"/>
  <c r="DK267" i="2"/>
  <c r="CU273" i="2"/>
  <c r="CV273" i="2" s="1"/>
  <c r="CT274" i="2"/>
  <c r="H255" i="2"/>
  <c r="I255" i="2" s="1"/>
  <c r="G256" i="2"/>
  <c r="CI257" i="2" l="1"/>
  <c r="BS270" i="2"/>
  <c r="BT270" i="2" s="1"/>
  <c r="BR271" i="2"/>
  <c r="BU270" i="2"/>
  <c r="AS261" i="2"/>
  <c r="AS260" i="2"/>
  <c r="P237" i="1"/>
  <c r="Q237" i="1" s="1"/>
  <c r="O238" i="1"/>
  <c r="DD261" i="2"/>
  <c r="BN264" i="2"/>
  <c r="AQ261" i="2"/>
  <c r="AR261" i="2" s="1"/>
  <c r="AP262" i="2"/>
  <c r="R236" i="1"/>
  <c r="S236" i="1" s="1"/>
  <c r="CP269" i="2"/>
  <c r="U263" i="2"/>
  <c r="V262" i="2"/>
  <c r="W262" i="2" s="1"/>
  <c r="DB262" i="2"/>
  <c r="DC262" i="2" s="1"/>
  <c r="DA263" i="2"/>
  <c r="BE270" i="2"/>
  <c r="BF270" i="2" s="1"/>
  <c r="BD271" i="2"/>
  <c r="CN270" i="2"/>
  <c r="CO270" i="2" s="1"/>
  <c r="CM271" i="2"/>
  <c r="X261" i="2"/>
  <c r="O266" i="2"/>
  <c r="P266" i="2" s="1"/>
  <c r="N267" i="2"/>
  <c r="DI268" i="2"/>
  <c r="DJ268" i="2" s="1"/>
  <c r="DH269" i="2"/>
  <c r="BG269" i="2"/>
  <c r="AZ252" i="2"/>
  <c r="G257" i="2"/>
  <c r="H256" i="2"/>
  <c r="I256" i="2" s="1"/>
  <c r="DK268" i="2"/>
  <c r="AX253" i="2"/>
  <c r="AY253" i="2" s="1"/>
  <c r="AW254" i="2"/>
  <c r="CB267" i="2"/>
  <c r="CW273" i="2"/>
  <c r="M248" i="1"/>
  <c r="G249" i="1"/>
  <c r="AJ255" i="2"/>
  <c r="AK255" i="2" s="1"/>
  <c r="AI256" i="2"/>
  <c r="BY269" i="2"/>
  <c r="BZ268" i="2"/>
  <c r="CA268" i="2" s="1"/>
  <c r="BU269" i="2"/>
  <c r="CU274" i="2"/>
  <c r="CV274" i="2" s="1"/>
  <c r="CT275" i="2"/>
  <c r="CG258" i="2"/>
  <c r="CH258" i="2" s="1"/>
  <c r="CF259" i="2"/>
  <c r="AL254" i="2"/>
  <c r="BK266" i="2"/>
  <c r="BL265" i="2"/>
  <c r="BM265" i="2" s="1"/>
  <c r="K236" i="1"/>
  <c r="J236" i="1" s="1"/>
  <c r="E237" i="1"/>
  <c r="N236" i="1"/>
  <c r="DD263" i="2" l="1"/>
  <c r="M249" i="1"/>
  <c r="G250" i="1"/>
  <c r="DB263" i="2"/>
  <c r="DC263" i="2" s="1"/>
  <c r="DA264" i="2"/>
  <c r="CN271" i="2"/>
  <c r="CO271" i="2" s="1"/>
  <c r="CM272" i="2"/>
  <c r="DD262" i="2"/>
  <c r="CG259" i="2"/>
  <c r="CH259" i="2" s="1"/>
  <c r="CF260" i="2"/>
  <c r="DI269" i="2"/>
  <c r="DJ269" i="2" s="1"/>
  <c r="DH270" i="2"/>
  <c r="CP270" i="2"/>
  <c r="X262" i="2"/>
  <c r="CB268" i="2"/>
  <c r="J256" i="2"/>
  <c r="AZ253" i="2"/>
  <c r="BE271" i="2"/>
  <c r="BF271" i="2" s="1"/>
  <c r="BD272" i="2"/>
  <c r="V263" i="2"/>
  <c r="W263" i="2" s="1"/>
  <c r="U264" i="2"/>
  <c r="AQ262" i="2"/>
  <c r="AR262" i="2" s="1"/>
  <c r="AP263" i="2"/>
  <c r="BZ269" i="2"/>
  <c r="CA269" i="2" s="1"/>
  <c r="BY270" i="2"/>
  <c r="AX254" i="2"/>
  <c r="AY254" i="2" s="1"/>
  <c r="AW255" i="2"/>
  <c r="G258" i="2"/>
  <c r="H257" i="2"/>
  <c r="I257" i="2" s="1"/>
  <c r="N268" i="2"/>
  <c r="O267" i="2"/>
  <c r="P267" i="2" s="1"/>
  <c r="BG270" i="2"/>
  <c r="O239" i="1"/>
  <c r="P238" i="1"/>
  <c r="Q238" i="1" s="1"/>
  <c r="BR272" i="2"/>
  <c r="BS271" i="2"/>
  <c r="BT271" i="2" s="1"/>
  <c r="K237" i="1"/>
  <c r="J237" i="1" s="1"/>
  <c r="E238" i="1"/>
  <c r="N237" i="1"/>
  <c r="AJ256" i="2"/>
  <c r="AK256" i="2" s="1"/>
  <c r="AI257" i="2"/>
  <c r="AZ254" i="2"/>
  <c r="Q266" i="2"/>
  <c r="CI258" i="2"/>
  <c r="BN265" i="2"/>
  <c r="R237" i="1"/>
  <c r="S237" i="1" s="1"/>
  <c r="BK267" i="2"/>
  <c r="BL266" i="2"/>
  <c r="BM266" i="2" s="1"/>
  <c r="CT276" i="2"/>
  <c r="CU275" i="2"/>
  <c r="CV275" i="2" s="1"/>
  <c r="CW274" i="2"/>
  <c r="AL255" i="2"/>
  <c r="BS272" i="2" l="1"/>
  <c r="BT272" i="2" s="1"/>
  <c r="BR273" i="2"/>
  <c r="CB269" i="2"/>
  <c r="BU271" i="2"/>
  <c r="AJ257" i="2"/>
  <c r="AK257" i="2" s="1"/>
  <c r="AI258" i="2"/>
  <c r="Q267" i="2"/>
  <c r="BY271" i="2"/>
  <c r="BZ270" i="2"/>
  <c r="CA270" i="2" s="1"/>
  <c r="AL257" i="2"/>
  <c r="AL256" i="2"/>
  <c r="P239" i="1"/>
  <c r="Q239" i="1" s="1"/>
  <c r="O240" i="1"/>
  <c r="O268" i="2"/>
  <c r="P268" i="2" s="1"/>
  <c r="N269" i="2"/>
  <c r="AQ263" i="2"/>
  <c r="AR263" i="2" s="1"/>
  <c r="AP264" i="2"/>
  <c r="BN266" i="2"/>
  <c r="BN267" i="2"/>
  <c r="J257" i="2"/>
  <c r="AS262" i="2"/>
  <c r="DI270" i="2"/>
  <c r="DJ270" i="2" s="1"/>
  <c r="DH271" i="2"/>
  <c r="CM273" i="2"/>
  <c r="CN272" i="2"/>
  <c r="CO272" i="2" s="1"/>
  <c r="CT277" i="2"/>
  <c r="CU276" i="2"/>
  <c r="CV276" i="2" s="1"/>
  <c r="BK268" i="2"/>
  <c r="BL267" i="2"/>
  <c r="BM267" i="2" s="1"/>
  <c r="R238" i="1"/>
  <c r="S238" i="1" s="1"/>
  <c r="H258" i="2"/>
  <c r="I258" i="2" s="1"/>
  <c r="G259" i="2"/>
  <c r="U265" i="2"/>
  <c r="V264" i="2"/>
  <c r="W264" i="2" s="1"/>
  <c r="DK269" i="2"/>
  <c r="CP271" i="2"/>
  <c r="M250" i="1"/>
  <c r="G251" i="1"/>
  <c r="E239" i="1"/>
  <c r="K238" i="1"/>
  <c r="J238" i="1" s="1"/>
  <c r="N238" i="1"/>
  <c r="AW256" i="2"/>
  <c r="AX255" i="2"/>
  <c r="AY255" i="2" s="1"/>
  <c r="X263" i="2"/>
  <c r="DA265" i="2"/>
  <c r="DB264" i="2"/>
  <c r="DC264" i="2" s="1"/>
  <c r="CI259" i="2"/>
  <c r="BG271" i="2"/>
  <c r="CW275" i="2"/>
  <c r="BE272" i="2"/>
  <c r="BF272" i="2" s="1"/>
  <c r="BD273" i="2"/>
  <c r="CF261" i="2"/>
  <c r="CG260" i="2"/>
  <c r="CH260" i="2" s="1"/>
  <c r="CW276" i="2" l="1"/>
  <c r="E240" i="1"/>
  <c r="K239" i="1"/>
  <c r="J239" i="1" s="1"/>
  <c r="N239" i="1"/>
  <c r="V265" i="2"/>
  <c r="W265" i="2" s="1"/>
  <c r="U266" i="2"/>
  <c r="CU277" i="2"/>
  <c r="CV277" i="2" s="1"/>
  <c r="CT278" i="2"/>
  <c r="AS264" i="2"/>
  <c r="BZ271" i="2"/>
  <c r="CA271" i="2" s="1"/>
  <c r="BY272" i="2"/>
  <c r="CG261" i="2"/>
  <c r="CH261" i="2" s="1"/>
  <c r="CF262" i="2"/>
  <c r="AQ264" i="2"/>
  <c r="AR264" i="2" s="1"/>
  <c r="AP265" i="2"/>
  <c r="H259" i="2"/>
  <c r="I259" i="2" s="1"/>
  <c r="G260" i="2"/>
  <c r="O269" i="2"/>
  <c r="P269" i="2" s="1"/>
  <c r="Q269" i="2" s="1"/>
  <c r="N270" i="2"/>
  <c r="BS273" i="2"/>
  <c r="BT273" i="2" s="1"/>
  <c r="BR274" i="2"/>
  <c r="BE273" i="2"/>
  <c r="BF273" i="2" s="1"/>
  <c r="BD274" i="2"/>
  <c r="BG272" i="2"/>
  <c r="M251" i="1"/>
  <c r="G252" i="1"/>
  <c r="J258" i="2"/>
  <c r="CP273" i="2"/>
  <c r="CP272" i="2"/>
  <c r="Q268" i="2"/>
  <c r="BU272" i="2"/>
  <c r="X264" i="2"/>
  <c r="CN273" i="2"/>
  <c r="CO273" i="2" s="1"/>
  <c r="CM274" i="2"/>
  <c r="P240" i="1"/>
  <c r="Q240" i="1" s="1"/>
  <c r="O241" i="1"/>
  <c r="DB265" i="2"/>
  <c r="DC265" i="2" s="1"/>
  <c r="DA266" i="2"/>
  <c r="AZ255" i="2"/>
  <c r="DH272" i="2"/>
  <c r="DI271" i="2"/>
  <c r="DJ271" i="2" s="1"/>
  <c r="BG273" i="2"/>
  <c r="CI261" i="2"/>
  <c r="CW277" i="2"/>
  <c r="DK270" i="2"/>
  <c r="R239" i="1"/>
  <c r="S239" i="1" s="1"/>
  <c r="AJ258" i="2"/>
  <c r="AK258" i="2" s="1"/>
  <c r="AI259" i="2"/>
  <c r="AW257" i="2"/>
  <c r="AX256" i="2"/>
  <c r="AY256" i="2" s="1"/>
  <c r="CI260" i="2"/>
  <c r="DD264" i="2"/>
  <c r="BL268" i="2"/>
  <c r="BM268" i="2" s="1"/>
  <c r="BK269" i="2"/>
  <c r="AS263" i="2"/>
  <c r="CB270" i="2"/>
  <c r="DI272" i="2" l="1"/>
  <c r="DJ272" i="2" s="1"/>
  <c r="DH273" i="2"/>
  <c r="CN274" i="2"/>
  <c r="CO274" i="2" s="1"/>
  <c r="CM275" i="2"/>
  <c r="H260" i="2"/>
  <c r="I260" i="2" s="1"/>
  <c r="G261" i="2"/>
  <c r="CB271" i="2"/>
  <c r="BN268" i="2"/>
  <c r="CP274" i="2"/>
  <c r="BE274" i="2"/>
  <c r="BF274" i="2" s="1"/>
  <c r="BD275" i="2"/>
  <c r="J259" i="2"/>
  <c r="AZ256" i="2"/>
  <c r="K240" i="1"/>
  <c r="J240" i="1" s="1"/>
  <c r="E241" i="1"/>
  <c r="N240" i="1"/>
  <c r="X265" i="2"/>
  <c r="AP266" i="2"/>
  <c r="AQ265" i="2"/>
  <c r="AR265" i="2" s="1"/>
  <c r="O270" i="2"/>
  <c r="P270" i="2" s="1"/>
  <c r="N271" i="2"/>
  <c r="BZ272" i="2"/>
  <c r="CA272" i="2" s="1"/>
  <c r="BY273" i="2"/>
  <c r="AX257" i="2"/>
  <c r="AY257" i="2" s="1"/>
  <c r="AW258" i="2"/>
  <c r="AL258" i="2"/>
  <c r="DD265" i="2"/>
  <c r="M252" i="1"/>
  <c r="G253" i="1"/>
  <c r="BS274" i="2"/>
  <c r="BT274" i="2" s="1"/>
  <c r="BR275" i="2"/>
  <c r="CU278" i="2"/>
  <c r="CV278" i="2" s="1"/>
  <c r="CT279" i="2"/>
  <c r="R240" i="1"/>
  <c r="S240" i="1" s="1"/>
  <c r="V266" i="2"/>
  <c r="W266" i="2" s="1"/>
  <c r="U267" i="2"/>
  <c r="BL269" i="2"/>
  <c r="BM269" i="2" s="1"/>
  <c r="BK270" i="2"/>
  <c r="AI260" i="2"/>
  <c r="AJ259" i="2"/>
  <c r="AK259" i="2" s="1"/>
  <c r="DA267" i="2"/>
  <c r="DB266" i="2"/>
  <c r="DC266" i="2" s="1"/>
  <c r="DK271" i="2"/>
  <c r="P241" i="1"/>
  <c r="Q241" i="1" s="1"/>
  <c r="O242" i="1"/>
  <c r="BU273" i="2"/>
  <c r="BU274" i="2"/>
  <c r="CG262" i="2"/>
  <c r="CH262" i="2" s="1"/>
  <c r="CF263" i="2"/>
  <c r="DD266" i="2" l="1"/>
  <c r="AQ266" i="2"/>
  <c r="AR266" i="2" s="1"/>
  <c r="AP267" i="2"/>
  <c r="E242" i="1"/>
  <c r="K241" i="1"/>
  <c r="J241" i="1" s="1"/>
  <c r="N241" i="1"/>
  <c r="BN270" i="2"/>
  <c r="G262" i="2"/>
  <c r="H261" i="2"/>
  <c r="I261" i="2" s="1"/>
  <c r="DK272" i="2"/>
  <c r="X266" i="2"/>
  <c r="AL259" i="2"/>
  <c r="BS275" i="2"/>
  <c r="BT275" i="2" s="1"/>
  <c r="BR276" i="2"/>
  <c r="AX258" i="2"/>
  <c r="AY258" i="2" s="1"/>
  <c r="AW259" i="2"/>
  <c r="BE275" i="2"/>
  <c r="BF275" i="2" s="1"/>
  <c r="BD276" i="2"/>
  <c r="J260" i="2"/>
  <c r="P242" i="1"/>
  <c r="Q242" i="1" s="1"/>
  <c r="O243" i="1"/>
  <c r="AJ260" i="2"/>
  <c r="AK260" i="2" s="1"/>
  <c r="AI261" i="2"/>
  <c r="BG274" i="2"/>
  <c r="CN275" i="2"/>
  <c r="CO275" i="2" s="1"/>
  <c r="CM276" i="2"/>
  <c r="DD267" i="2"/>
  <c r="Q270" i="2"/>
  <c r="R241" i="1"/>
  <c r="S241" i="1" s="1"/>
  <c r="AS265" i="2"/>
  <c r="DI273" i="2"/>
  <c r="DJ273" i="2" s="1"/>
  <c r="DH274" i="2"/>
  <c r="R242" i="1"/>
  <c r="CU279" i="2"/>
  <c r="CV279" i="2" s="1"/>
  <c r="CT280" i="2"/>
  <c r="M253" i="1"/>
  <c r="G254" i="1"/>
  <c r="BZ273" i="2"/>
  <c r="CA273" i="2" s="1"/>
  <c r="BY274" i="2"/>
  <c r="CW278" i="2"/>
  <c r="CB273" i="2"/>
  <c r="CB272" i="2"/>
  <c r="AZ257" i="2"/>
  <c r="CI262" i="2"/>
  <c r="U268" i="2"/>
  <c r="V267" i="2"/>
  <c r="W267" i="2" s="1"/>
  <c r="DB267" i="2"/>
  <c r="DC267" i="2" s="1"/>
  <c r="DA268" i="2"/>
  <c r="BK271" i="2"/>
  <c r="BL270" i="2"/>
  <c r="BM270" i="2" s="1"/>
  <c r="CF264" i="2"/>
  <c r="CG263" i="2"/>
  <c r="CH263" i="2" s="1"/>
  <c r="BN269" i="2"/>
  <c r="AS266" i="2"/>
  <c r="AL260" i="2"/>
  <c r="O271" i="2"/>
  <c r="P271" i="2" s="1"/>
  <c r="N272" i="2"/>
  <c r="CP275" i="2"/>
  <c r="CI263" i="2" l="1"/>
  <c r="U269" i="2"/>
  <c r="V268" i="2"/>
  <c r="W268" i="2" s="1"/>
  <c r="O272" i="2"/>
  <c r="P272" i="2" s="1"/>
  <c r="N273" i="2"/>
  <c r="CF265" i="2"/>
  <c r="CG264" i="2"/>
  <c r="CH264" i="2" s="1"/>
  <c r="BR277" i="2"/>
  <c r="BS276" i="2"/>
  <c r="BT276" i="2" s="1"/>
  <c r="E243" i="1"/>
  <c r="K242" i="1"/>
  <c r="J242" i="1" s="1"/>
  <c r="N242" i="1"/>
  <c r="CT281" i="2"/>
  <c r="CU280" i="2"/>
  <c r="CV280" i="2" s="1"/>
  <c r="Q271" i="2"/>
  <c r="CM277" i="2"/>
  <c r="CN276" i="2"/>
  <c r="CO276" i="2" s="1"/>
  <c r="AJ261" i="2"/>
  <c r="AK261" i="2" s="1"/>
  <c r="AI262" i="2"/>
  <c r="BD277" i="2"/>
  <c r="BE276" i="2"/>
  <c r="BF276" i="2" s="1"/>
  <c r="AP268" i="2"/>
  <c r="AQ267" i="2"/>
  <c r="AR267" i="2" s="1"/>
  <c r="AZ258" i="2"/>
  <c r="S242" i="1"/>
  <c r="BG275" i="2"/>
  <c r="AS267" i="2"/>
  <c r="X267" i="2"/>
  <c r="M254" i="1"/>
  <c r="G255" i="1"/>
  <c r="BL271" i="2"/>
  <c r="BM271" i="2" s="1"/>
  <c r="BK272" i="2"/>
  <c r="DB268" i="2"/>
  <c r="DC268" i="2" s="1"/>
  <c r="DA269" i="2"/>
  <c r="CW279" i="2"/>
  <c r="BY275" i="2"/>
  <c r="BZ274" i="2"/>
  <c r="CA274" i="2" s="1"/>
  <c r="DI274" i="2"/>
  <c r="DJ274" i="2" s="1"/>
  <c r="DH275" i="2"/>
  <c r="P243" i="1"/>
  <c r="Q243" i="1" s="1"/>
  <c r="O244" i="1"/>
  <c r="J261" i="2"/>
  <c r="BU275" i="2"/>
  <c r="DK273" i="2"/>
  <c r="AW260" i="2"/>
  <c r="AX259" i="2"/>
  <c r="AY259" i="2" s="1"/>
  <c r="G263" i="2"/>
  <c r="H262" i="2"/>
  <c r="I262" i="2" s="1"/>
  <c r="BD278" i="2" l="1"/>
  <c r="BE277" i="2"/>
  <c r="BF277" i="2" s="1"/>
  <c r="V269" i="2"/>
  <c r="W269" i="2" s="1"/>
  <c r="U270" i="2"/>
  <c r="BN271" i="2"/>
  <c r="CB274" i="2"/>
  <c r="M255" i="1"/>
  <c r="G256" i="1"/>
  <c r="CP276" i="2"/>
  <c r="CI264" i="2"/>
  <c r="BR278" i="2"/>
  <c r="BS277" i="2"/>
  <c r="BT277" i="2" s="1"/>
  <c r="DK274" i="2"/>
  <c r="CT282" i="2"/>
  <c r="CU281" i="2"/>
  <c r="CV281" i="2" s="1"/>
  <c r="AZ259" i="2"/>
  <c r="BY276" i="2"/>
  <c r="BZ275" i="2"/>
  <c r="CA275" i="2" s="1"/>
  <c r="CN277" i="2"/>
  <c r="CO277" i="2" s="1"/>
  <c r="CM278" i="2"/>
  <c r="CF266" i="2"/>
  <c r="CG265" i="2"/>
  <c r="CH265" i="2" s="1"/>
  <c r="H263" i="2"/>
  <c r="I263" i="2" s="1"/>
  <c r="G264" i="2"/>
  <c r="AW261" i="2"/>
  <c r="AX260" i="2"/>
  <c r="AY260" i="2" s="1"/>
  <c r="AL261" i="2"/>
  <c r="O273" i="2"/>
  <c r="P273" i="2" s="1"/>
  <c r="N274" i="2"/>
  <c r="P244" i="1"/>
  <c r="Q244" i="1" s="1"/>
  <c r="O245" i="1"/>
  <c r="DA270" i="2"/>
  <c r="DB269" i="2"/>
  <c r="DC269" i="2" s="1"/>
  <c r="AQ268" i="2"/>
  <c r="AR268" i="2" s="1"/>
  <c r="AP269" i="2"/>
  <c r="E244" i="1"/>
  <c r="K243" i="1"/>
  <c r="J243" i="1" s="1"/>
  <c r="N243" i="1"/>
  <c r="Q272" i="2"/>
  <c r="R243" i="1"/>
  <c r="S243" i="1" s="1"/>
  <c r="DD268" i="2"/>
  <c r="BG276" i="2"/>
  <c r="BU276" i="2"/>
  <c r="X268" i="2"/>
  <c r="J262" i="2"/>
  <c r="DH276" i="2"/>
  <c r="DI275" i="2"/>
  <c r="DJ275" i="2" s="1"/>
  <c r="BL272" i="2"/>
  <c r="BM272" i="2" s="1"/>
  <c r="BK273" i="2"/>
  <c r="AJ262" i="2"/>
  <c r="AK262" i="2" s="1"/>
  <c r="AI263" i="2"/>
  <c r="CW280" i="2"/>
  <c r="CI265" i="2" l="1"/>
  <c r="CG266" i="2"/>
  <c r="CH266" i="2" s="1"/>
  <c r="CF267" i="2"/>
  <c r="CW281" i="2"/>
  <c r="DB270" i="2"/>
  <c r="DC270" i="2" s="1"/>
  <c r="DA271" i="2"/>
  <c r="CN278" i="2"/>
  <c r="CO278" i="2" s="1"/>
  <c r="CM279" i="2"/>
  <c r="CU282" i="2"/>
  <c r="CV282" i="2" s="1"/>
  <c r="CT283" i="2"/>
  <c r="V270" i="2"/>
  <c r="W270" i="2" s="1"/>
  <c r="U271" i="2"/>
  <c r="P245" i="1"/>
  <c r="Q245" i="1" s="1"/>
  <c r="O246" i="1"/>
  <c r="CP277" i="2"/>
  <c r="X269" i="2"/>
  <c r="R244" i="1"/>
  <c r="S244" i="1" s="1"/>
  <c r="AZ260" i="2"/>
  <c r="DK276" i="2"/>
  <c r="BG277" i="2"/>
  <c r="AS268" i="2"/>
  <c r="BL273" i="2"/>
  <c r="BM273" i="2" s="1"/>
  <c r="BK274" i="2"/>
  <c r="N275" i="2"/>
  <c r="O274" i="2"/>
  <c r="P274" i="2" s="1"/>
  <c r="AW262" i="2"/>
  <c r="AX261" i="2"/>
  <c r="AY261" i="2" s="1"/>
  <c r="CB275" i="2"/>
  <c r="BE278" i="2"/>
  <c r="BF278" i="2" s="1"/>
  <c r="BD279" i="2"/>
  <c r="BN272" i="2"/>
  <c r="K244" i="1"/>
  <c r="J244" i="1" s="1"/>
  <c r="E245" i="1"/>
  <c r="N244" i="1"/>
  <c r="Q273" i="2"/>
  <c r="Q274" i="2"/>
  <c r="H264" i="2"/>
  <c r="I264" i="2" s="1"/>
  <c r="G265" i="2"/>
  <c r="BZ276" i="2"/>
  <c r="CA276" i="2" s="1"/>
  <c r="BY277" i="2"/>
  <c r="BU277" i="2"/>
  <c r="AL262" i="2"/>
  <c r="DI276" i="2"/>
  <c r="DJ276" i="2" s="1"/>
  <c r="DH277" i="2"/>
  <c r="AJ263" i="2"/>
  <c r="AK263" i="2" s="1"/>
  <c r="AI264" i="2"/>
  <c r="DK275" i="2"/>
  <c r="DD269" i="2"/>
  <c r="AQ269" i="2"/>
  <c r="AR269" i="2" s="1"/>
  <c r="AP270" i="2"/>
  <c r="J263" i="2"/>
  <c r="BR279" i="2"/>
  <c r="BS278" i="2"/>
  <c r="BT278" i="2" s="1"/>
  <c r="M256" i="1"/>
  <c r="G257" i="1"/>
  <c r="CW282" i="2" l="1"/>
  <c r="CN279" i="2"/>
  <c r="CO279" i="2" s="1"/>
  <c r="CM280" i="2"/>
  <c r="BE279" i="2"/>
  <c r="BF279" i="2" s="1"/>
  <c r="BD280" i="2"/>
  <c r="AZ261" i="2"/>
  <c r="CG267" i="2"/>
  <c r="CH267" i="2" s="1"/>
  <c r="CF268" i="2"/>
  <c r="O247" i="1"/>
  <c r="P246" i="1"/>
  <c r="Q246" i="1" s="1"/>
  <c r="DB271" i="2"/>
  <c r="DC271" i="2" s="1"/>
  <c r="DA272" i="2"/>
  <c r="Q275" i="2"/>
  <c r="R245" i="1"/>
  <c r="S245" i="1" s="1"/>
  <c r="DD270" i="2"/>
  <c r="AP271" i="2"/>
  <c r="AQ270" i="2"/>
  <c r="AR270" i="2" s="1"/>
  <c r="DH278" i="2"/>
  <c r="DI277" i="2"/>
  <c r="DJ277" i="2" s="1"/>
  <c r="BZ277" i="2"/>
  <c r="CA277" i="2" s="1"/>
  <c r="BY278" i="2"/>
  <c r="K245" i="1"/>
  <c r="J245" i="1" s="1"/>
  <c r="E246" i="1"/>
  <c r="N245" i="1"/>
  <c r="O275" i="2"/>
  <c r="P275" i="2" s="1"/>
  <c r="N276" i="2"/>
  <c r="U272" i="2"/>
  <c r="V271" i="2"/>
  <c r="W271" i="2" s="1"/>
  <c r="X271" i="2" s="1"/>
  <c r="AL263" i="2"/>
  <c r="BN273" i="2"/>
  <c r="J264" i="2"/>
  <c r="M257" i="1"/>
  <c r="G258" i="1"/>
  <c r="BG278" i="2"/>
  <c r="AS269" i="2"/>
  <c r="CB276" i="2"/>
  <c r="X270" i="2"/>
  <c r="CP278" i="2"/>
  <c r="AJ264" i="2"/>
  <c r="AK264" i="2" s="1"/>
  <c r="AI265" i="2"/>
  <c r="AX262" i="2"/>
  <c r="AY262" i="2" s="1"/>
  <c r="AW263" i="2"/>
  <c r="BU278" i="2"/>
  <c r="BS279" i="2"/>
  <c r="BT279" i="2" s="1"/>
  <c r="BR280" i="2"/>
  <c r="G266" i="2"/>
  <c r="H265" i="2"/>
  <c r="I265" i="2" s="1"/>
  <c r="BL274" i="2"/>
  <c r="BM274" i="2" s="1"/>
  <c r="BK275" i="2"/>
  <c r="CP279" i="2"/>
  <c r="CT284" i="2"/>
  <c r="CU283" i="2"/>
  <c r="CV283" i="2" s="1"/>
  <c r="CW283" i="2"/>
  <c r="CI266" i="2"/>
  <c r="P247" i="1" l="1"/>
  <c r="Q247" i="1" s="1"/>
  <c r="O248" i="1"/>
  <c r="O276" i="2"/>
  <c r="P276" i="2" s="1"/>
  <c r="N277" i="2"/>
  <c r="BG279" i="2"/>
  <c r="J265" i="2"/>
  <c r="M258" i="1"/>
  <c r="G259" i="1"/>
  <c r="DI278" i="2"/>
  <c r="DJ278" i="2" s="1"/>
  <c r="DH279" i="2"/>
  <c r="CG268" i="2"/>
  <c r="CH268" i="2" s="1"/>
  <c r="CF269" i="2"/>
  <c r="U273" i="2"/>
  <c r="V272" i="2"/>
  <c r="W272" i="2" s="1"/>
  <c r="AS270" i="2"/>
  <c r="CI267" i="2"/>
  <c r="CM281" i="2"/>
  <c r="CN280" i="2"/>
  <c r="CO280" i="2" s="1"/>
  <c r="AL264" i="2"/>
  <c r="BS280" i="2"/>
  <c r="BT280" i="2" s="1"/>
  <c r="BR281" i="2"/>
  <c r="AP272" i="2"/>
  <c r="AQ271" i="2"/>
  <c r="AR271" i="2" s="1"/>
  <c r="CP280" i="2"/>
  <c r="BU279" i="2"/>
  <c r="AX263" i="2"/>
  <c r="AY263" i="2" s="1"/>
  <c r="AW264" i="2"/>
  <c r="K246" i="1"/>
  <c r="J246" i="1" s="1"/>
  <c r="E247" i="1"/>
  <c r="N246" i="1"/>
  <c r="DA273" i="2"/>
  <c r="DB272" i="2"/>
  <c r="DC272" i="2" s="1"/>
  <c r="H266" i="2"/>
  <c r="I266" i="2" s="1"/>
  <c r="J266" i="2" s="1"/>
  <c r="G267" i="2"/>
  <c r="BL275" i="2"/>
  <c r="BM275" i="2" s="1"/>
  <c r="BK276" i="2"/>
  <c r="AZ262" i="2"/>
  <c r="DD271" i="2"/>
  <c r="CW284" i="2"/>
  <c r="BE280" i="2"/>
  <c r="BF280" i="2" s="1"/>
  <c r="BD281" i="2"/>
  <c r="CU284" i="2"/>
  <c r="CV284" i="2" s="1"/>
  <c r="CT285" i="2"/>
  <c r="BN274" i="2"/>
  <c r="DK277" i="2"/>
  <c r="AI266" i="2"/>
  <c r="AJ265" i="2"/>
  <c r="AK265" i="2" s="1"/>
  <c r="CB277" i="2"/>
  <c r="X272" i="2"/>
  <c r="BY279" i="2"/>
  <c r="BZ278" i="2"/>
  <c r="CA278" i="2" s="1"/>
  <c r="R246" i="1"/>
  <c r="S246" i="1" s="1"/>
  <c r="DB273" i="2" l="1"/>
  <c r="DC273" i="2" s="1"/>
  <c r="DA274" i="2"/>
  <c r="BU280" i="2"/>
  <c r="CN281" i="2"/>
  <c r="CO281" i="2" s="1"/>
  <c r="CM282" i="2"/>
  <c r="V273" i="2"/>
  <c r="W273" i="2" s="1"/>
  <c r="U274" i="2"/>
  <c r="CB278" i="2"/>
  <c r="BY280" i="2"/>
  <c r="BZ279" i="2"/>
  <c r="CA279" i="2" s="1"/>
  <c r="BK277" i="2"/>
  <c r="BL276" i="2"/>
  <c r="BM276" i="2" s="1"/>
  <c r="CF270" i="2"/>
  <c r="CG269" i="2"/>
  <c r="CH269" i="2" s="1"/>
  <c r="M259" i="1"/>
  <c r="G260" i="1"/>
  <c r="CI268" i="2"/>
  <c r="E248" i="1"/>
  <c r="K247" i="1"/>
  <c r="J247" i="1" s="1"/>
  <c r="N247" i="1"/>
  <c r="N278" i="2"/>
  <c r="O277" i="2"/>
  <c r="P277" i="2" s="1"/>
  <c r="AJ266" i="2"/>
  <c r="AK266" i="2" s="1"/>
  <c r="AI267" i="2"/>
  <c r="CU285" i="2"/>
  <c r="CV285" i="2" s="1"/>
  <c r="CT286" i="2"/>
  <c r="G268" i="2"/>
  <c r="H267" i="2"/>
  <c r="I267" i="2" s="1"/>
  <c r="AL266" i="2"/>
  <c r="DI279" i="2"/>
  <c r="DJ279" i="2" s="1"/>
  <c r="DH280" i="2"/>
  <c r="Q276" i="2"/>
  <c r="AS271" i="2"/>
  <c r="DK278" i="2"/>
  <c r="BD282" i="2"/>
  <c r="BE281" i="2"/>
  <c r="BF281" i="2" s="1"/>
  <c r="AX264" i="2"/>
  <c r="AY264" i="2" s="1"/>
  <c r="AW265" i="2"/>
  <c r="AP273" i="2"/>
  <c r="AQ272" i="2"/>
  <c r="AR272" i="2" s="1"/>
  <c r="P248" i="1"/>
  <c r="Q248" i="1" s="1"/>
  <c r="O249" i="1"/>
  <c r="BN275" i="2"/>
  <c r="AL265" i="2"/>
  <c r="BG281" i="2"/>
  <c r="BG280" i="2"/>
  <c r="DD272" i="2"/>
  <c r="DD273" i="2"/>
  <c r="AZ263" i="2"/>
  <c r="BS281" i="2"/>
  <c r="BT281" i="2" s="1"/>
  <c r="BR282" i="2"/>
  <c r="R247" i="1"/>
  <c r="S247" i="1" s="1"/>
  <c r="AX265" i="2" l="1"/>
  <c r="AY265" i="2" s="1"/>
  <c r="AW266" i="2"/>
  <c r="H268" i="2"/>
  <c r="I268" i="2" s="1"/>
  <c r="G269" i="2"/>
  <c r="CW285" i="2"/>
  <c r="V274" i="2"/>
  <c r="W274" i="2" s="1"/>
  <c r="U275" i="2"/>
  <c r="O250" i="1"/>
  <c r="P249" i="1"/>
  <c r="Q249" i="1" s="1"/>
  <c r="AZ264" i="2"/>
  <c r="CT287" i="2"/>
  <c r="CU286" i="2"/>
  <c r="CV286" i="2" s="1"/>
  <c r="BZ280" i="2"/>
  <c r="CA280" i="2" s="1"/>
  <c r="BY281" i="2"/>
  <c r="X273" i="2"/>
  <c r="CN282" i="2"/>
  <c r="CO282" i="2" s="1"/>
  <c r="CM283" i="2"/>
  <c r="CI269" i="2"/>
  <c r="BR283" i="2"/>
  <c r="BS282" i="2"/>
  <c r="BT282" i="2" s="1"/>
  <c r="DI280" i="2"/>
  <c r="DJ280" i="2" s="1"/>
  <c r="DH281" i="2"/>
  <c r="AJ267" i="2"/>
  <c r="AK267" i="2" s="1"/>
  <c r="AI268" i="2"/>
  <c r="K248" i="1"/>
  <c r="J248" i="1" s="1"/>
  <c r="E249" i="1"/>
  <c r="N248" i="1"/>
  <c r="CF271" i="2"/>
  <c r="CG270" i="2"/>
  <c r="CH270" i="2" s="1"/>
  <c r="CB279" i="2"/>
  <c r="CP281" i="2"/>
  <c r="R248" i="1"/>
  <c r="S248" i="1" s="1"/>
  <c r="BD283" i="2"/>
  <c r="BE282" i="2"/>
  <c r="BF282" i="2" s="1"/>
  <c r="DK279" i="2"/>
  <c r="BU281" i="2"/>
  <c r="BU282" i="2"/>
  <c r="AS272" i="2"/>
  <c r="AS273" i="2"/>
  <c r="Q277" i="2"/>
  <c r="AP274" i="2"/>
  <c r="AQ273" i="2"/>
  <c r="AR273" i="2" s="1"/>
  <c r="N279" i="2"/>
  <c r="O278" i="2"/>
  <c r="P278" i="2" s="1"/>
  <c r="BN276" i="2"/>
  <c r="J267" i="2"/>
  <c r="M260" i="1"/>
  <c r="G261" i="1"/>
  <c r="BL277" i="2"/>
  <c r="BM277" i="2" s="1"/>
  <c r="BK278" i="2"/>
  <c r="J268" i="2"/>
  <c r="DB274" i="2"/>
  <c r="DC274" i="2" s="1"/>
  <c r="DA275" i="2"/>
  <c r="AL267" i="2" l="1"/>
  <c r="CP282" i="2"/>
  <c r="CW286" i="2"/>
  <c r="O251" i="1"/>
  <c r="P250" i="1"/>
  <c r="Q250" i="1" s="1"/>
  <c r="DH282" i="2"/>
  <c r="DI281" i="2"/>
  <c r="DJ281" i="2" s="1"/>
  <c r="CT288" i="2"/>
  <c r="CU287" i="2"/>
  <c r="CV287" i="2" s="1"/>
  <c r="BL278" i="2"/>
  <c r="BM278" i="2" s="1"/>
  <c r="BK279" i="2"/>
  <c r="CI270" i="2"/>
  <c r="DK280" i="2"/>
  <c r="AW267" i="2"/>
  <c r="AX266" i="2"/>
  <c r="AY266" i="2" s="1"/>
  <c r="BN277" i="2"/>
  <c r="Q278" i="2"/>
  <c r="CG271" i="2"/>
  <c r="CH271" i="2" s="1"/>
  <c r="CF272" i="2"/>
  <c r="U276" i="2"/>
  <c r="V275" i="2"/>
  <c r="W275" i="2" s="1"/>
  <c r="AZ265" i="2"/>
  <c r="O279" i="2"/>
  <c r="P279" i="2" s="1"/>
  <c r="N280" i="2"/>
  <c r="Q279" i="2"/>
  <c r="BG282" i="2"/>
  <c r="X274" i="2"/>
  <c r="BE283" i="2"/>
  <c r="BF283" i="2" s="1"/>
  <c r="BD284" i="2"/>
  <c r="K249" i="1"/>
  <c r="J249" i="1" s="1"/>
  <c r="E250" i="1"/>
  <c r="N249" i="1"/>
  <c r="BS283" i="2"/>
  <c r="BT283" i="2" s="1"/>
  <c r="BR284" i="2"/>
  <c r="M261" i="1"/>
  <c r="G262" i="1"/>
  <c r="BZ281" i="2"/>
  <c r="CA281" i="2" s="1"/>
  <c r="BY282" i="2"/>
  <c r="DD275" i="2"/>
  <c r="DD274" i="2"/>
  <c r="DA276" i="2"/>
  <c r="DB275" i="2"/>
  <c r="DC275" i="2" s="1"/>
  <c r="AQ274" i="2"/>
  <c r="AR274" i="2" s="1"/>
  <c r="AP275" i="2"/>
  <c r="AI269" i="2"/>
  <c r="AJ268" i="2"/>
  <c r="AK268" i="2" s="1"/>
  <c r="CM284" i="2"/>
  <c r="CN283" i="2"/>
  <c r="CO283" i="2" s="1"/>
  <c r="CB280" i="2"/>
  <c r="CB281" i="2"/>
  <c r="R249" i="1"/>
  <c r="S249" i="1" s="1"/>
  <c r="H269" i="2"/>
  <c r="I269" i="2" s="1"/>
  <c r="G270" i="2"/>
  <c r="AQ275" i="2" l="1"/>
  <c r="AR275" i="2" s="1"/>
  <c r="AP276" i="2"/>
  <c r="BG283" i="2"/>
  <c r="X275" i="2"/>
  <c r="R250" i="1"/>
  <c r="S250" i="1" s="1"/>
  <c r="V276" i="2"/>
  <c r="W276" i="2" s="1"/>
  <c r="U277" i="2"/>
  <c r="CW287" i="2"/>
  <c r="P251" i="1"/>
  <c r="Q251" i="1" s="1"/>
  <c r="O252" i="1"/>
  <c r="BR285" i="2"/>
  <c r="BS284" i="2"/>
  <c r="BT284" i="2" s="1"/>
  <c r="CF273" i="2"/>
  <c r="CG272" i="2"/>
  <c r="CH272" i="2" s="1"/>
  <c r="CU288" i="2"/>
  <c r="CV288" i="2" s="1"/>
  <c r="CT289" i="2"/>
  <c r="BU283" i="2"/>
  <c r="CI271" i="2"/>
  <c r="DK281" i="2"/>
  <c r="CN284" i="2"/>
  <c r="CO284" i="2" s="1"/>
  <c r="CM285" i="2"/>
  <c r="AL268" i="2"/>
  <c r="DH283" i="2"/>
  <c r="DI282" i="2"/>
  <c r="DJ282" i="2" s="1"/>
  <c r="CP283" i="2"/>
  <c r="O280" i="2"/>
  <c r="P280" i="2" s="1"/>
  <c r="N281" i="2"/>
  <c r="DB276" i="2"/>
  <c r="DC276" i="2" s="1"/>
  <c r="DA277" i="2"/>
  <c r="BZ282" i="2"/>
  <c r="CA282" i="2" s="1"/>
  <c r="BY283" i="2"/>
  <c r="K250" i="1"/>
  <c r="J250" i="1" s="1"/>
  <c r="E251" i="1"/>
  <c r="N250" i="1"/>
  <c r="AZ266" i="2"/>
  <c r="BK280" i="2"/>
  <c r="BL279" i="2"/>
  <c r="BM279" i="2" s="1"/>
  <c r="J269" i="2"/>
  <c r="AI270" i="2"/>
  <c r="AJ269" i="2"/>
  <c r="AK269" i="2" s="1"/>
  <c r="AX267" i="2"/>
  <c r="AY267" i="2" s="1"/>
  <c r="AW268" i="2"/>
  <c r="BN278" i="2"/>
  <c r="CP284" i="2"/>
  <c r="AS274" i="2"/>
  <c r="AS275" i="2"/>
  <c r="H270" i="2"/>
  <c r="I270" i="2" s="1"/>
  <c r="G271" i="2"/>
  <c r="M262" i="1"/>
  <c r="G263" i="1"/>
  <c r="BD285" i="2"/>
  <c r="BE284" i="2"/>
  <c r="BF284" i="2" s="1"/>
  <c r="BG284" i="2" s="1"/>
  <c r="DB277" i="2" l="1"/>
  <c r="DC277" i="2" s="1"/>
  <c r="DA278" i="2"/>
  <c r="H271" i="2"/>
  <c r="I271" i="2" s="1"/>
  <c r="G272" i="2"/>
  <c r="BN279" i="2"/>
  <c r="DD276" i="2"/>
  <c r="BU284" i="2"/>
  <c r="U278" i="2"/>
  <c r="V277" i="2"/>
  <c r="W277" i="2" s="1"/>
  <c r="AL269" i="2"/>
  <c r="BK281" i="2"/>
  <c r="BL280" i="2"/>
  <c r="BM280" i="2" s="1"/>
  <c r="DI283" i="2"/>
  <c r="DJ283" i="2" s="1"/>
  <c r="DH284" i="2"/>
  <c r="BR286" i="2"/>
  <c r="BS285" i="2"/>
  <c r="BT285" i="2" s="1"/>
  <c r="X276" i="2"/>
  <c r="DD277" i="2"/>
  <c r="AQ276" i="2"/>
  <c r="AR276" i="2" s="1"/>
  <c r="AP277" i="2"/>
  <c r="BE285" i="2"/>
  <c r="BF285" i="2" s="1"/>
  <c r="BD286" i="2"/>
  <c r="AJ270" i="2"/>
  <c r="AK270" i="2" s="1"/>
  <c r="AI271" i="2"/>
  <c r="AZ267" i="2"/>
  <c r="O281" i="2"/>
  <c r="P281" i="2" s="1"/>
  <c r="N282" i="2"/>
  <c r="DK283" i="2"/>
  <c r="P252" i="1"/>
  <c r="Q252" i="1" s="1"/>
  <c r="O253" i="1"/>
  <c r="M263" i="1"/>
  <c r="G264" i="1"/>
  <c r="J270" i="2"/>
  <c r="E252" i="1"/>
  <c r="K251" i="1"/>
  <c r="J251" i="1" s="1"/>
  <c r="N251" i="1"/>
  <c r="Q280" i="2"/>
  <c r="Q281" i="2"/>
  <c r="CU289" i="2"/>
  <c r="CV289" i="2" s="1"/>
  <c r="CT290" i="2"/>
  <c r="R251" i="1"/>
  <c r="S251" i="1" s="1"/>
  <c r="X277" i="2"/>
  <c r="CW288" i="2"/>
  <c r="BG285" i="2"/>
  <c r="BZ283" i="2"/>
  <c r="CA283" i="2" s="1"/>
  <c r="BY284" i="2"/>
  <c r="CI272" i="2"/>
  <c r="DK282" i="2"/>
  <c r="AX268" i="2"/>
  <c r="AY268" i="2" s="1"/>
  <c r="AW269" i="2"/>
  <c r="CB283" i="2"/>
  <c r="CB282" i="2"/>
  <c r="CM286" i="2"/>
  <c r="CN285" i="2"/>
  <c r="CO285" i="2" s="1"/>
  <c r="CF274" i="2"/>
  <c r="CG273" i="2"/>
  <c r="CH273" i="2" s="1"/>
  <c r="R252" i="1"/>
  <c r="S252" i="1" s="1"/>
  <c r="CW289" i="2" l="1"/>
  <c r="O254" i="1"/>
  <c r="P253" i="1"/>
  <c r="Q253" i="1" s="1"/>
  <c r="AL270" i="2"/>
  <c r="BU285" i="2"/>
  <c r="K252" i="1"/>
  <c r="J252" i="1" s="1"/>
  <c r="E253" i="1"/>
  <c r="N252" i="1"/>
  <c r="BD287" i="2"/>
  <c r="BE286" i="2"/>
  <c r="BF286" i="2" s="1"/>
  <c r="BS286" i="2"/>
  <c r="BT286" i="2" s="1"/>
  <c r="BR287" i="2"/>
  <c r="H272" i="2"/>
  <c r="I272" i="2" s="1"/>
  <c r="G273" i="2"/>
  <c r="DH285" i="2"/>
  <c r="DI284" i="2"/>
  <c r="DJ284" i="2" s="1"/>
  <c r="X278" i="2"/>
  <c r="J271" i="2"/>
  <c r="AQ277" i="2"/>
  <c r="AR277" i="2" s="1"/>
  <c r="AP278" i="2"/>
  <c r="V278" i="2"/>
  <c r="W278" i="2" s="1"/>
  <c r="U279" i="2"/>
  <c r="M264" i="1"/>
  <c r="G265" i="1"/>
  <c r="O282" i="2"/>
  <c r="P282" i="2" s="1"/>
  <c r="N283" i="2"/>
  <c r="AS276" i="2"/>
  <c r="BN280" i="2"/>
  <c r="CP285" i="2"/>
  <c r="Q282" i="2"/>
  <c r="BL281" i="2"/>
  <c r="BM281" i="2" s="1"/>
  <c r="BK282" i="2"/>
  <c r="DA279" i="2"/>
  <c r="DB278" i="2"/>
  <c r="DC278" i="2" s="1"/>
  <c r="CF275" i="2"/>
  <c r="CG274" i="2"/>
  <c r="CH274" i="2" s="1"/>
  <c r="AX269" i="2"/>
  <c r="AY269" i="2" s="1"/>
  <c r="AW270" i="2"/>
  <c r="DK284" i="2"/>
  <c r="CI273" i="2"/>
  <c r="CI274" i="2"/>
  <c r="CM287" i="2"/>
  <c r="CN286" i="2"/>
  <c r="CO286" i="2" s="1"/>
  <c r="AZ268" i="2"/>
  <c r="BZ284" i="2"/>
  <c r="CA284" i="2" s="1"/>
  <c r="CB284" i="2" s="1"/>
  <c r="BY285" i="2"/>
  <c r="CU290" i="2"/>
  <c r="CV290" i="2" s="1"/>
  <c r="CT291" i="2"/>
  <c r="AI272" i="2"/>
  <c r="AJ271" i="2"/>
  <c r="AK271" i="2" s="1"/>
  <c r="CM288" i="2" l="1"/>
  <c r="CN287" i="2"/>
  <c r="CO287" i="2" s="1"/>
  <c r="J272" i="2"/>
  <c r="BL282" i="2"/>
  <c r="BM282" i="2" s="1"/>
  <c r="BK283" i="2"/>
  <c r="BR288" i="2"/>
  <c r="BS287" i="2"/>
  <c r="BT287" i="2" s="1"/>
  <c r="K253" i="1"/>
  <c r="J253" i="1" s="1"/>
  <c r="E254" i="1"/>
  <c r="N253" i="1"/>
  <c r="U280" i="2"/>
  <c r="V279" i="2"/>
  <c r="W279" i="2" s="1"/>
  <c r="R253" i="1"/>
  <c r="S253" i="1" s="1"/>
  <c r="AL271" i="2"/>
  <c r="AZ269" i="2"/>
  <c r="X279" i="2"/>
  <c r="BG286" i="2"/>
  <c r="BU286" i="2"/>
  <c r="O255" i="1"/>
  <c r="P254" i="1"/>
  <c r="Q254" i="1" s="1"/>
  <c r="AI273" i="2"/>
  <c r="AJ272" i="2"/>
  <c r="AK272" i="2" s="1"/>
  <c r="BN282" i="2"/>
  <c r="N284" i="2"/>
  <c r="O283" i="2"/>
  <c r="P283" i="2" s="1"/>
  <c r="DK285" i="2"/>
  <c r="BD288" i="2"/>
  <c r="BE287" i="2"/>
  <c r="BF287" i="2" s="1"/>
  <c r="AX270" i="2"/>
  <c r="AY270" i="2" s="1"/>
  <c r="AW271" i="2"/>
  <c r="CF276" i="2"/>
  <c r="CG275" i="2"/>
  <c r="CH275" i="2" s="1"/>
  <c r="Q283" i="2"/>
  <c r="AP279" i="2"/>
  <c r="AQ278" i="2"/>
  <c r="AR278" i="2" s="1"/>
  <c r="DI285" i="2"/>
  <c r="DJ285" i="2" s="1"/>
  <c r="DH286" i="2"/>
  <c r="R254" i="1"/>
  <c r="S254" i="1" s="1"/>
  <c r="BY286" i="2"/>
  <c r="BZ285" i="2"/>
  <c r="CA285" i="2" s="1"/>
  <c r="CT292" i="2"/>
  <c r="CU291" i="2"/>
  <c r="CV291" i="2" s="1"/>
  <c r="CW291" i="2" s="1"/>
  <c r="DD278" i="2"/>
  <c r="M265" i="1"/>
  <c r="G266" i="1"/>
  <c r="AS277" i="2"/>
  <c r="CW290" i="2"/>
  <c r="BN281" i="2"/>
  <c r="DA280" i="2"/>
  <c r="DB279" i="2"/>
  <c r="DC279" i="2" s="1"/>
  <c r="CP286" i="2"/>
  <c r="H273" i="2"/>
  <c r="I273" i="2" s="1"/>
  <c r="G274" i="2"/>
  <c r="CU292" i="2" l="1"/>
  <c r="CV292" i="2" s="1"/>
  <c r="CT293" i="2"/>
  <c r="AP280" i="2"/>
  <c r="AQ279" i="2"/>
  <c r="AR279" i="2" s="1"/>
  <c r="BU287" i="2"/>
  <c r="CB285" i="2"/>
  <c r="P255" i="1"/>
  <c r="Q255" i="1" s="1"/>
  <c r="R255" i="1" s="1"/>
  <c r="S255" i="1" s="1"/>
  <c r="O256" i="1"/>
  <c r="V280" i="2"/>
  <c r="W280" i="2" s="1"/>
  <c r="U281" i="2"/>
  <c r="BS288" i="2"/>
  <c r="BT288" i="2" s="1"/>
  <c r="BR289" i="2"/>
  <c r="BY287" i="2"/>
  <c r="BZ286" i="2"/>
  <c r="CA286" i="2" s="1"/>
  <c r="N285" i="2"/>
  <c r="O284" i="2"/>
  <c r="P284" i="2" s="1"/>
  <c r="BL283" i="2"/>
  <c r="BM283" i="2" s="1"/>
  <c r="BK284" i="2"/>
  <c r="H274" i="2"/>
  <c r="I274" i="2" s="1"/>
  <c r="G275" i="2"/>
  <c r="BG287" i="2"/>
  <c r="AZ270" i="2"/>
  <c r="CP287" i="2"/>
  <c r="CP288" i="2"/>
  <c r="BE288" i="2"/>
  <c r="BF288" i="2" s="1"/>
  <c r="BD289" i="2"/>
  <c r="CN288" i="2"/>
  <c r="CO288" i="2" s="1"/>
  <c r="CM289" i="2"/>
  <c r="DA281" i="2"/>
  <c r="DB280" i="2"/>
  <c r="DC280" i="2" s="1"/>
  <c r="DI286" i="2"/>
  <c r="DJ286" i="2" s="1"/>
  <c r="DH287" i="2"/>
  <c r="CI275" i="2"/>
  <c r="AL272" i="2"/>
  <c r="DD279" i="2"/>
  <c r="CG276" i="2"/>
  <c r="CH276" i="2" s="1"/>
  <c r="CF277" i="2"/>
  <c r="AJ273" i="2"/>
  <c r="AK273" i="2" s="1"/>
  <c r="AI274" i="2"/>
  <c r="K254" i="1"/>
  <c r="J254" i="1" s="1"/>
  <c r="E255" i="1"/>
  <c r="N254" i="1"/>
  <c r="J273" i="2"/>
  <c r="M266" i="1"/>
  <c r="G267" i="1"/>
  <c r="AS278" i="2"/>
  <c r="AS279" i="2"/>
  <c r="AX271" i="2"/>
  <c r="AY271" i="2" s="1"/>
  <c r="AZ271" i="2" s="1"/>
  <c r="AW272" i="2"/>
  <c r="J274" i="2"/>
  <c r="AJ274" i="2" l="1"/>
  <c r="AK274" i="2" s="1"/>
  <c r="AI275" i="2"/>
  <c r="BE289" i="2"/>
  <c r="BF289" i="2" s="1"/>
  <c r="BD290" i="2"/>
  <c r="BK285" i="2"/>
  <c r="BL284" i="2"/>
  <c r="BM284" i="2" s="1"/>
  <c r="BU288" i="2"/>
  <c r="AL273" i="2"/>
  <c r="AL274" i="2"/>
  <c r="DI287" i="2"/>
  <c r="DJ287" i="2" s="1"/>
  <c r="DH288" i="2"/>
  <c r="BG288" i="2"/>
  <c r="BN283" i="2"/>
  <c r="U282" i="2"/>
  <c r="V281" i="2"/>
  <c r="W281" i="2" s="1"/>
  <c r="DK286" i="2"/>
  <c r="AP281" i="2"/>
  <c r="AQ280" i="2"/>
  <c r="AR280" i="2" s="1"/>
  <c r="E256" i="1"/>
  <c r="K255" i="1"/>
  <c r="J255" i="1" s="1"/>
  <c r="N255" i="1"/>
  <c r="CG277" i="2"/>
  <c r="CH277" i="2" s="1"/>
  <c r="CF278" i="2"/>
  <c r="DD280" i="2"/>
  <c r="Q284" i="2"/>
  <c r="P256" i="1"/>
  <c r="Q256" i="1" s="1"/>
  <c r="O257" i="1"/>
  <c r="CT294" i="2"/>
  <c r="CU293" i="2"/>
  <c r="CV293" i="2" s="1"/>
  <c r="CW293" i="2" s="1"/>
  <c r="DB281" i="2"/>
  <c r="DC281" i="2" s="1"/>
  <c r="DA282" i="2"/>
  <c r="N286" i="2"/>
  <c r="O285" i="2"/>
  <c r="P285" i="2" s="1"/>
  <c r="CW292" i="2"/>
  <c r="CN289" i="2"/>
  <c r="CO289" i="2" s="1"/>
  <c r="CM290" i="2"/>
  <c r="G276" i="2"/>
  <c r="H275" i="2"/>
  <c r="I275" i="2" s="1"/>
  <c r="AW273" i="2"/>
  <c r="AX272" i="2"/>
  <c r="AY272" i="2" s="1"/>
  <c r="CI276" i="2"/>
  <c r="BZ287" i="2"/>
  <c r="CA287" i="2" s="1"/>
  <c r="BY288" i="2"/>
  <c r="M267" i="1"/>
  <c r="G268" i="1"/>
  <c r="CB286" i="2"/>
  <c r="BR290" i="2"/>
  <c r="BS289" i="2"/>
  <c r="BT289" i="2" s="1"/>
  <c r="X280" i="2"/>
  <c r="BS290" i="2" l="1"/>
  <c r="BT290" i="2" s="1"/>
  <c r="BR291" i="2"/>
  <c r="AS280" i="2"/>
  <c r="CU294" i="2"/>
  <c r="CV294" i="2" s="1"/>
  <c r="CT295" i="2"/>
  <c r="AP282" i="2"/>
  <c r="AQ281" i="2"/>
  <c r="AR281" i="2" s="1"/>
  <c r="X281" i="2"/>
  <c r="M268" i="1"/>
  <c r="G269" i="1"/>
  <c r="Q285" i="2"/>
  <c r="O258" i="1"/>
  <c r="P257" i="1"/>
  <c r="Q257" i="1" s="1"/>
  <c r="V282" i="2"/>
  <c r="W282" i="2" s="1"/>
  <c r="U283" i="2"/>
  <c r="BL285" i="2"/>
  <c r="BM285" i="2" s="1"/>
  <c r="BK286" i="2"/>
  <c r="J275" i="2"/>
  <c r="H276" i="2"/>
  <c r="I276" i="2" s="1"/>
  <c r="G277" i="2"/>
  <c r="O286" i="2"/>
  <c r="P286" i="2" s="1"/>
  <c r="N287" i="2"/>
  <c r="CF279" i="2"/>
  <c r="CG278" i="2"/>
  <c r="CH278" i="2" s="1"/>
  <c r="BD291" i="2"/>
  <c r="BE290" i="2"/>
  <c r="BF290" i="2" s="1"/>
  <c r="CN290" i="2"/>
  <c r="CO290" i="2" s="1"/>
  <c r="CM291" i="2"/>
  <c r="DB282" i="2"/>
  <c r="DC282" i="2" s="1"/>
  <c r="DA283" i="2"/>
  <c r="CI277" i="2"/>
  <c r="BG289" i="2"/>
  <c r="BZ288" i="2"/>
  <c r="CA288" i="2" s="1"/>
  <c r="BY289" i="2"/>
  <c r="CP289" i="2"/>
  <c r="DD281" i="2"/>
  <c r="DD282" i="2"/>
  <c r="BN284" i="2"/>
  <c r="DI288" i="2"/>
  <c r="DJ288" i="2" s="1"/>
  <c r="DH289" i="2"/>
  <c r="AJ275" i="2"/>
  <c r="AK275" i="2" s="1"/>
  <c r="AI276" i="2"/>
  <c r="CB287" i="2"/>
  <c r="CB288" i="2"/>
  <c r="AZ272" i="2"/>
  <c r="BU290" i="2"/>
  <c r="DK288" i="2"/>
  <c r="DK287" i="2"/>
  <c r="BU289" i="2"/>
  <c r="AW274" i="2"/>
  <c r="AX273" i="2"/>
  <c r="AY273" i="2" s="1"/>
  <c r="R256" i="1"/>
  <c r="S256" i="1" s="1"/>
  <c r="K256" i="1"/>
  <c r="J256" i="1" s="1"/>
  <c r="E257" i="1"/>
  <c r="N256" i="1"/>
  <c r="BD292" i="2" l="1"/>
  <c r="BE291" i="2"/>
  <c r="BF291" i="2" s="1"/>
  <c r="BL286" i="2"/>
  <c r="BM286" i="2" s="1"/>
  <c r="BK287" i="2"/>
  <c r="AS281" i="2"/>
  <c r="H277" i="2"/>
  <c r="I277" i="2" s="1"/>
  <c r="G278" i="2"/>
  <c r="AQ282" i="2"/>
  <c r="AR282" i="2" s="1"/>
  <c r="AP283" i="2"/>
  <c r="BZ289" i="2"/>
  <c r="CA289" i="2" s="1"/>
  <c r="BY290" i="2"/>
  <c r="J276" i="2"/>
  <c r="U284" i="2"/>
  <c r="V283" i="2"/>
  <c r="W283" i="2" s="1"/>
  <c r="M269" i="1"/>
  <c r="G270" i="1"/>
  <c r="CU295" i="2"/>
  <c r="CV295" i="2" s="1"/>
  <c r="CW295" i="2" s="1"/>
  <c r="CT296" i="2"/>
  <c r="CU296" i="2" s="1"/>
  <c r="CV296" i="2" s="1"/>
  <c r="BS291" i="2"/>
  <c r="BT291" i="2" s="1"/>
  <c r="BR292" i="2"/>
  <c r="K257" i="1"/>
  <c r="J257" i="1" s="1"/>
  <c r="E258" i="1"/>
  <c r="N257" i="1"/>
  <c r="DA284" i="2"/>
  <c r="DB283" i="2"/>
  <c r="DC283" i="2" s="1"/>
  <c r="CI278" i="2"/>
  <c r="X282" i="2"/>
  <c r="AI277" i="2"/>
  <c r="AJ276" i="2"/>
  <c r="AK276" i="2" s="1"/>
  <c r="CF280" i="2"/>
  <c r="CG279" i="2"/>
  <c r="CH279" i="2" s="1"/>
  <c r="J277" i="2"/>
  <c r="CN291" i="2"/>
  <c r="CO291" i="2" s="1"/>
  <c r="CM292" i="2"/>
  <c r="R257" i="1"/>
  <c r="S257" i="1" s="1"/>
  <c r="AL275" i="2"/>
  <c r="DI289" i="2"/>
  <c r="DJ289" i="2" s="1"/>
  <c r="DH290" i="2"/>
  <c r="CP290" i="2"/>
  <c r="CP291" i="2"/>
  <c r="P258" i="1"/>
  <c r="Q258" i="1" s="1"/>
  <c r="O259" i="1"/>
  <c r="AS282" i="2"/>
  <c r="AZ273" i="2"/>
  <c r="AW275" i="2"/>
  <c r="AX274" i="2"/>
  <c r="AY274" i="2" s="1"/>
  <c r="CB289" i="2"/>
  <c r="BN285" i="2"/>
  <c r="BG291" i="2"/>
  <c r="BG290" i="2"/>
  <c r="O287" i="2"/>
  <c r="P287" i="2" s="1"/>
  <c r="N288" i="2"/>
  <c r="Q286" i="2"/>
  <c r="CW294" i="2"/>
  <c r="CW296" i="2" l="1"/>
  <c r="DB284" i="2"/>
  <c r="DC284" i="2" s="1"/>
  <c r="DA285" i="2"/>
  <c r="BU291" i="2"/>
  <c r="BK288" i="2"/>
  <c r="BL287" i="2"/>
  <c r="BM287" i="2" s="1"/>
  <c r="CF281" i="2"/>
  <c r="CG280" i="2"/>
  <c r="CH280" i="2" s="1"/>
  <c r="BN286" i="2"/>
  <c r="Q287" i="2"/>
  <c r="CM293" i="2"/>
  <c r="CN292" i="2"/>
  <c r="CO292" i="2" s="1"/>
  <c r="M270" i="1"/>
  <c r="G271" i="1"/>
  <c r="BZ290" i="2"/>
  <c r="CA290" i="2" s="1"/>
  <c r="BY291" i="2"/>
  <c r="P259" i="1"/>
  <c r="Q259" i="1" s="1"/>
  <c r="O260" i="1"/>
  <c r="CI279" i="2"/>
  <c r="G279" i="2"/>
  <c r="H278" i="2"/>
  <c r="I278" i="2" s="1"/>
  <c r="R259" i="1"/>
  <c r="DH291" i="2"/>
  <c r="DI290" i="2"/>
  <c r="DJ290" i="2" s="1"/>
  <c r="AL276" i="2"/>
  <c r="K258" i="1"/>
  <c r="J258" i="1" s="1"/>
  <c r="E259" i="1"/>
  <c r="N258" i="1"/>
  <c r="AZ274" i="2"/>
  <c r="DK289" i="2"/>
  <c r="R258" i="1"/>
  <c r="S258" i="1" s="1"/>
  <c r="AJ277" i="2"/>
  <c r="AK277" i="2" s="1"/>
  <c r="AI278" i="2"/>
  <c r="X283" i="2"/>
  <c r="AQ283" i="2"/>
  <c r="AR283" i="2" s="1"/>
  <c r="AP284" i="2"/>
  <c r="BD293" i="2"/>
  <c r="BE292" i="2"/>
  <c r="BF292" i="2" s="1"/>
  <c r="BG292" i="2" s="1"/>
  <c r="AX275" i="2"/>
  <c r="AY275" i="2" s="1"/>
  <c r="AW276" i="2"/>
  <c r="N289" i="2"/>
  <c r="O288" i="2"/>
  <c r="P288" i="2" s="1"/>
  <c r="AL277" i="2"/>
  <c r="DD283" i="2"/>
  <c r="BR293" i="2"/>
  <c r="BS292" i="2"/>
  <c r="BT292" i="2" s="1"/>
  <c r="V284" i="2"/>
  <c r="W284" i="2" s="1"/>
  <c r="U285" i="2"/>
  <c r="CG281" i="2" l="1"/>
  <c r="CH281" i="2" s="1"/>
  <c r="CF282" i="2"/>
  <c r="BS293" i="2"/>
  <c r="BT293" i="2" s="1"/>
  <c r="BU293" i="2" s="1"/>
  <c r="BR294" i="2"/>
  <c r="CP292" i="2"/>
  <c r="DB285" i="2"/>
  <c r="DC285" i="2" s="1"/>
  <c r="DA286" i="2"/>
  <c r="DK290" i="2"/>
  <c r="CN293" i="2"/>
  <c r="CO293" i="2" s="1"/>
  <c r="CM294" i="2"/>
  <c r="BK289" i="2"/>
  <c r="BL288" i="2"/>
  <c r="BM288" i="2" s="1"/>
  <c r="DD284" i="2"/>
  <c r="AX276" i="2"/>
  <c r="AY276" i="2" s="1"/>
  <c r="AW277" i="2"/>
  <c r="DH292" i="2"/>
  <c r="DI291" i="2"/>
  <c r="DJ291" i="2" s="1"/>
  <c r="AS283" i="2"/>
  <c r="S259" i="1"/>
  <c r="CP293" i="2"/>
  <c r="BZ291" i="2"/>
  <c r="CA291" i="2" s="1"/>
  <c r="BY292" i="2"/>
  <c r="BU292" i="2"/>
  <c r="E260" i="1"/>
  <c r="K259" i="1"/>
  <c r="J259" i="1" s="1"/>
  <c r="N259" i="1"/>
  <c r="CB290" i="2"/>
  <c r="BN287" i="2"/>
  <c r="O289" i="2"/>
  <c r="P289" i="2" s="1"/>
  <c r="N290" i="2"/>
  <c r="AZ275" i="2"/>
  <c r="AJ278" i="2"/>
  <c r="AK278" i="2" s="1"/>
  <c r="AI279" i="2"/>
  <c r="J279" i="2"/>
  <c r="J278" i="2"/>
  <c r="P260" i="1"/>
  <c r="Q260" i="1" s="1"/>
  <c r="O261" i="1"/>
  <c r="M271" i="1"/>
  <c r="G272" i="1"/>
  <c r="AS284" i="2"/>
  <c r="Q288" i="2"/>
  <c r="V285" i="2"/>
  <c r="W285" i="2" s="1"/>
  <c r="U286" i="2"/>
  <c r="BE293" i="2"/>
  <c r="BF293" i="2" s="1"/>
  <c r="BG293" i="2" s="1"/>
  <c r="BD294" i="2"/>
  <c r="X284" i="2"/>
  <c r="AQ284" i="2"/>
  <c r="AR284" i="2" s="1"/>
  <c r="AP285" i="2"/>
  <c r="AL278" i="2"/>
  <c r="H279" i="2"/>
  <c r="I279" i="2" s="1"/>
  <c r="G280" i="2"/>
  <c r="R260" i="1"/>
  <c r="S260" i="1" s="1"/>
  <c r="CI280" i="2"/>
  <c r="CG282" i="2" l="1"/>
  <c r="CH282" i="2" s="1"/>
  <c r="CF283" i="2"/>
  <c r="M272" i="1"/>
  <c r="G273" i="1"/>
  <c r="CI281" i="2"/>
  <c r="O290" i="2"/>
  <c r="P290" i="2" s="1"/>
  <c r="N291" i="2"/>
  <c r="K260" i="1"/>
  <c r="J260" i="1" s="1"/>
  <c r="E261" i="1"/>
  <c r="N260" i="1"/>
  <c r="DK291" i="2"/>
  <c r="Q289" i="2"/>
  <c r="BE294" i="2"/>
  <c r="BF294" i="2" s="1"/>
  <c r="BD295" i="2"/>
  <c r="O262" i="1"/>
  <c r="P261" i="1"/>
  <c r="Q261" i="1" s="1"/>
  <c r="AJ279" i="2"/>
  <c r="AK279" i="2" s="1"/>
  <c r="AI280" i="2"/>
  <c r="DI292" i="2"/>
  <c r="DJ292" i="2" s="1"/>
  <c r="DH293" i="2"/>
  <c r="AX277" i="2"/>
  <c r="AY277" i="2" s="1"/>
  <c r="AW278" i="2"/>
  <c r="BN288" i="2"/>
  <c r="BR295" i="2"/>
  <c r="BS294" i="2"/>
  <c r="BT294" i="2" s="1"/>
  <c r="BU294" i="2" s="1"/>
  <c r="H280" i="2"/>
  <c r="I280" i="2" s="1"/>
  <c r="G281" i="2"/>
  <c r="U287" i="2"/>
  <c r="V286" i="2"/>
  <c r="W286" i="2" s="1"/>
  <c r="BZ292" i="2"/>
  <c r="CA292" i="2" s="1"/>
  <c r="BY293" i="2"/>
  <c r="AZ276" i="2"/>
  <c r="BL289" i="2"/>
  <c r="BM289" i="2" s="1"/>
  <c r="BK290" i="2"/>
  <c r="DA287" i="2"/>
  <c r="DB286" i="2"/>
  <c r="DC286" i="2" s="1"/>
  <c r="AQ285" i="2"/>
  <c r="AR285" i="2" s="1"/>
  <c r="AP286" i="2"/>
  <c r="J280" i="2"/>
  <c r="X286" i="2"/>
  <c r="X285" i="2"/>
  <c r="CB291" i="2"/>
  <c r="CM295" i="2"/>
  <c r="CN294" i="2"/>
  <c r="CO294" i="2" s="1"/>
  <c r="CP294" i="2" s="1"/>
  <c r="DD285" i="2"/>
  <c r="DA288" i="2" l="1"/>
  <c r="DB287" i="2"/>
  <c r="DC287" i="2" s="1"/>
  <c r="V287" i="2"/>
  <c r="W287" i="2" s="1"/>
  <c r="U288" i="2"/>
  <c r="BD296" i="2"/>
  <c r="BE296" i="2" s="1"/>
  <c r="BF296" i="2" s="1"/>
  <c r="BE295" i="2"/>
  <c r="BF295" i="2" s="1"/>
  <c r="BG295" i="2" s="1"/>
  <c r="M273" i="1"/>
  <c r="G274" i="1"/>
  <c r="BL290" i="2"/>
  <c r="BM290" i="2" s="1"/>
  <c r="BN290" i="2" s="1"/>
  <c r="BK291" i="2"/>
  <c r="G282" i="2"/>
  <c r="H281" i="2"/>
  <c r="I281" i="2" s="1"/>
  <c r="AX278" i="2"/>
  <c r="AY278" i="2" s="1"/>
  <c r="AW279" i="2"/>
  <c r="DI293" i="2"/>
  <c r="DJ293" i="2" s="1"/>
  <c r="DK293" i="2" s="1"/>
  <c r="DH294" i="2"/>
  <c r="BG294" i="2"/>
  <c r="BN289" i="2"/>
  <c r="AZ277" i="2"/>
  <c r="DK292" i="2"/>
  <c r="O291" i="2"/>
  <c r="P291" i="2" s="1"/>
  <c r="N292" i="2"/>
  <c r="AP287" i="2"/>
  <c r="AQ286" i="2"/>
  <c r="AR286" i="2" s="1"/>
  <c r="Q290" i="2"/>
  <c r="CF284" i="2"/>
  <c r="CG283" i="2"/>
  <c r="CH283" i="2" s="1"/>
  <c r="CN295" i="2"/>
  <c r="CO295" i="2" s="1"/>
  <c r="CM296" i="2"/>
  <c r="CN296" i="2" s="1"/>
  <c r="CO296" i="2" s="1"/>
  <c r="CP296" i="2" s="1"/>
  <c r="AS285" i="2"/>
  <c r="BS295" i="2"/>
  <c r="BT295" i="2" s="1"/>
  <c r="BU295" i="2" s="1"/>
  <c r="BR296" i="2"/>
  <c r="BS296" i="2" s="1"/>
  <c r="BT296" i="2" s="1"/>
  <c r="BU296" i="2" s="1"/>
  <c r="AI281" i="2"/>
  <c r="AJ280" i="2"/>
  <c r="AK280" i="2" s="1"/>
  <c r="AL280" i="2" s="1"/>
  <c r="CI282" i="2"/>
  <c r="BZ293" i="2"/>
  <c r="CA293" i="2" s="1"/>
  <c r="BY294" i="2"/>
  <c r="AL279" i="2"/>
  <c r="CP295" i="2"/>
  <c r="CB292" i="2"/>
  <c r="R261" i="1"/>
  <c r="S261" i="1" s="1"/>
  <c r="DD287" i="2"/>
  <c r="DD286" i="2"/>
  <c r="X287" i="2"/>
  <c r="O263" i="1"/>
  <c r="P262" i="1"/>
  <c r="Q262" i="1" s="1"/>
  <c r="K261" i="1"/>
  <c r="J261" i="1" s="1"/>
  <c r="E262" i="1"/>
  <c r="N261" i="1"/>
  <c r="AZ278" i="2" l="1"/>
  <c r="AJ281" i="2"/>
  <c r="AK281" i="2" s="1"/>
  <c r="AI282" i="2"/>
  <c r="AQ287" i="2"/>
  <c r="AR287" i="2" s="1"/>
  <c r="AP288" i="2"/>
  <c r="H282" i="2"/>
  <c r="I282" i="2" s="1"/>
  <c r="G283" i="2"/>
  <c r="BY295" i="2"/>
  <c r="BZ294" i="2"/>
  <c r="CA294" i="2" s="1"/>
  <c r="CI283" i="2"/>
  <c r="O292" i="2"/>
  <c r="P292" i="2" s="1"/>
  <c r="N293" i="2"/>
  <c r="J281" i="2"/>
  <c r="BL291" i="2"/>
  <c r="BM291" i="2" s="1"/>
  <c r="BK292" i="2"/>
  <c r="U289" i="2"/>
  <c r="V288" i="2"/>
  <c r="W288" i="2" s="1"/>
  <c r="CB293" i="2"/>
  <c r="CF285" i="2"/>
  <c r="CG284" i="2"/>
  <c r="CH284" i="2" s="1"/>
  <c r="Q291" i="2"/>
  <c r="BG296" i="2"/>
  <c r="K262" i="1"/>
  <c r="J262" i="1" s="1"/>
  <c r="E263" i="1"/>
  <c r="N262" i="1"/>
  <c r="DI294" i="2"/>
  <c r="DJ294" i="2" s="1"/>
  <c r="DH295" i="2"/>
  <c r="M274" i="1"/>
  <c r="G275" i="1"/>
  <c r="R262" i="1"/>
  <c r="S262" i="1" s="1"/>
  <c r="DB288" i="2"/>
  <c r="DC288" i="2" s="1"/>
  <c r="DA289" i="2"/>
  <c r="P263" i="1"/>
  <c r="Q263" i="1" s="1"/>
  <c r="O264" i="1"/>
  <c r="AS286" i="2"/>
  <c r="AZ279" i="2"/>
  <c r="AX279" i="2"/>
  <c r="AY279" i="2" s="1"/>
  <c r="AW280" i="2"/>
  <c r="CI284" i="2" l="1"/>
  <c r="H283" i="2"/>
  <c r="I283" i="2" s="1"/>
  <c r="G284" i="2"/>
  <c r="CF286" i="2"/>
  <c r="CG285" i="2"/>
  <c r="CH285" i="2" s="1"/>
  <c r="O293" i="2"/>
  <c r="P293" i="2" s="1"/>
  <c r="Q293" i="2" s="1"/>
  <c r="N294" i="2"/>
  <c r="DK294" i="2"/>
  <c r="Q292" i="2"/>
  <c r="AQ288" i="2"/>
  <c r="AR288" i="2" s="1"/>
  <c r="AP289" i="2"/>
  <c r="AS287" i="2"/>
  <c r="X288" i="2"/>
  <c r="AJ282" i="2"/>
  <c r="AK282" i="2" s="1"/>
  <c r="AI283" i="2"/>
  <c r="E264" i="1"/>
  <c r="K263" i="1"/>
  <c r="J263" i="1" s="1"/>
  <c r="N263" i="1"/>
  <c r="V289" i="2"/>
  <c r="W289" i="2" s="1"/>
  <c r="U290" i="2"/>
  <c r="DA290" i="2"/>
  <c r="DB289" i="2"/>
  <c r="DC289" i="2" s="1"/>
  <c r="DD289" i="2" s="1"/>
  <c r="DH296" i="2"/>
  <c r="DI296" i="2" s="1"/>
  <c r="DJ296" i="2" s="1"/>
  <c r="DI295" i="2"/>
  <c r="DJ295" i="2" s="1"/>
  <c r="DK295" i="2" s="1"/>
  <c r="P264" i="1"/>
  <c r="Q264" i="1" s="1"/>
  <c r="O265" i="1"/>
  <c r="R263" i="1"/>
  <c r="S263" i="1" s="1"/>
  <c r="M275" i="1"/>
  <c r="G276" i="1"/>
  <c r="BK293" i="2"/>
  <c r="BL292" i="2"/>
  <c r="BM292" i="2" s="1"/>
  <c r="CB294" i="2"/>
  <c r="J283" i="2"/>
  <c r="AL281" i="2"/>
  <c r="DD288" i="2"/>
  <c r="AW281" i="2"/>
  <c r="AX280" i="2"/>
  <c r="AY280" i="2" s="1"/>
  <c r="BN291" i="2"/>
  <c r="BZ295" i="2"/>
  <c r="CA295" i="2" s="1"/>
  <c r="CB295" i="2" s="1"/>
  <c r="BY296" i="2"/>
  <c r="BZ296" i="2" s="1"/>
  <c r="CA296" i="2" s="1"/>
  <c r="J282" i="2"/>
  <c r="O266" i="1" l="1"/>
  <c r="P265" i="1"/>
  <c r="Q265" i="1" s="1"/>
  <c r="V290" i="2"/>
  <c r="W290" i="2" s="1"/>
  <c r="U291" i="2"/>
  <c r="M276" i="1"/>
  <c r="G277" i="1"/>
  <c r="R264" i="1"/>
  <c r="S264" i="1" s="1"/>
  <c r="X289" i="2"/>
  <c r="AQ289" i="2"/>
  <c r="AR289" i="2" s="1"/>
  <c r="AP290" i="2"/>
  <c r="AZ280" i="2"/>
  <c r="AS288" i="2"/>
  <c r="AS289" i="2"/>
  <c r="O294" i="2"/>
  <c r="P294" i="2" s="1"/>
  <c r="N295" i="2"/>
  <c r="AW282" i="2"/>
  <c r="AX281" i="2"/>
  <c r="AY281" i="2" s="1"/>
  <c r="DA291" i="2"/>
  <c r="DB290" i="2"/>
  <c r="DC290" i="2" s="1"/>
  <c r="K264" i="1"/>
  <c r="J264" i="1" s="1"/>
  <c r="E265" i="1"/>
  <c r="N264" i="1"/>
  <c r="CI285" i="2"/>
  <c r="CB296" i="2"/>
  <c r="BN292" i="2"/>
  <c r="AI284" i="2"/>
  <c r="AJ283" i="2"/>
  <c r="AK283" i="2" s="1"/>
  <c r="DK296" i="2"/>
  <c r="CG286" i="2"/>
  <c r="CH286" i="2" s="1"/>
  <c r="CI286" i="2" s="1"/>
  <c r="CF287" i="2"/>
  <c r="BK294" i="2"/>
  <c r="BL293" i="2"/>
  <c r="BM293" i="2" s="1"/>
  <c r="AL282" i="2"/>
  <c r="G285" i="2"/>
  <c r="H284" i="2"/>
  <c r="I284" i="2" s="1"/>
  <c r="CG287" i="2" l="1"/>
  <c r="CH287" i="2" s="1"/>
  <c r="CF288" i="2"/>
  <c r="AZ282" i="2"/>
  <c r="AX282" i="2"/>
  <c r="AY282" i="2" s="1"/>
  <c r="AW283" i="2"/>
  <c r="V291" i="2"/>
  <c r="W291" i="2" s="1"/>
  <c r="X291" i="2" s="1"/>
  <c r="U292" i="2"/>
  <c r="N296" i="2"/>
  <c r="O296" i="2" s="1"/>
  <c r="P296" i="2" s="1"/>
  <c r="O295" i="2"/>
  <c r="P295" i="2" s="1"/>
  <c r="Q295" i="2" s="1"/>
  <c r="AP291" i="2"/>
  <c r="AQ290" i="2"/>
  <c r="AR290" i="2" s="1"/>
  <c r="G286" i="2"/>
  <c r="H285" i="2"/>
  <c r="I285" i="2" s="1"/>
  <c r="DD290" i="2"/>
  <c r="Q294" i="2"/>
  <c r="R265" i="1"/>
  <c r="S265" i="1" s="1"/>
  <c r="CI287" i="2"/>
  <c r="BL294" i="2"/>
  <c r="BM294" i="2" s="1"/>
  <c r="BN294" i="2" s="1"/>
  <c r="BK295" i="2"/>
  <c r="AJ284" i="2"/>
  <c r="AK284" i="2" s="1"/>
  <c r="AI285" i="2"/>
  <c r="DA292" i="2"/>
  <c r="DB291" i="2"/>
  <c r="DC291" i="2" s="1"/>
  <c r="M277" i="1"/>
  <c r="G278" i="1"/>
  <c r="P266" i="1"/>
  <c r="Q266" i="1" s="1"/>
  <c r="O267" i="1"/>
  <c r="J284" i="2"/>
  <c r="K265" i="1"/>
  <c r="J265" i="1" s="1"/>
  <c r="E266" i="1"/>
  <c r="N265" i="1"/>
  <c r="BN293" i="2"/>
  <c r="AL284" i="2"/>
  <c r="X290" i="2"/>
  <c r="AZ281" i="2"/>
  <c r="AL283" i="2"/>
  <c r="DD291" i="2" l="1"/>
  <c r="AQ291" i="2"/>
  <c r="AR291" i="2" s="1"/>
  <c r="AP292" i="2"/>
  <c r="P267" i="1"/>
  <c r="Q267" i="1" s="1"/>
  <c r="O268" i="1"/>
  <c r="AL285" i="2"/>
  <c r="J285" i="2"/>
  <c r="V292" i="2"/>
  <c r="W292" i="2" s="1"/>
  <c r="X292" i="2" s="1"/>
  <c r="U293" i="2"/>
  <c r="AJ285" i="2"/>
  <c r="AK285" i="2" s="1"/>
  <c r="AI286" i="2"/>
  <c r="R266" i="1"/>
  <c r="S266" i="1" s="1"/>
  <c r="BK296" i="2"/>
  <c r="BL296" i="2" s="1"/>
  <c r="BM296" i="2" s="1"/>
  <c r="BN296" i="2" s="1"/>
  <c r="BL295" i="2"/>
  <c r="BM295" i="2" s="1"/>
  <c r="BN295" i="2" s="1"/>
  <c r="H286" i="2"/>
  <c r="I286" i="2" s="1"/>
  <c r="G287" i="2"/>
  <c r="DB292" i="2"/>
  <c r="DC292" i="2" s="1"/>
  <c r="DD292" i="2" s="1"/>
  <c r="DA293" i="2"/>
  <c r="K266" i="1"/>
  <c r="J266" i="1" s="1"/>
  <c r="E267" i="1"/>
  <c r="N266" i="1"/>
  <c r="M278" i="1"/>
  <c r="G279" i="1"/>
  <c r="CG288" i="2"/>
  <c r="CH288" i="2" s="1"/>
  <c r="CF289" i="2"/>
  <c r="Q296" i="2"/>
  <c r="AX283" i="2"/>
  <c r="AY283" i="2" s="1"/>
  <c r="AW284" i="2"/>
  <c r="AS290" i="2"/>
  <c r="AP293" i="2" l="1"/>
  <c r="AQ292" i="2"/>
  <c r="AR292" i="2" s="1"/>
  <c r="H287" i="2"/>
  <c r="I287" i="2" s="1"/>
  <c r="G288" i="2"/>
  <c r="AS291" i="2"/>
  <c r="AX284" i="2"/>
  <c r="AY284" i="2" s="1"/>
  <c r="AW285" i="2"/>
  <c r="J287" i="2"/>
  <c r="J286" i="2"/>
  <c r="E268" i="1"/>
  <c r="K267" i="1"/>
  <c r="J267" i="1" s="1"/>
  <c r="N267" i="1"/>
  <c r="CF290" i="2"/>
  <c r="CG289" i="2"/>
  <c r="CH289" i="2" s="1"/>
  <c r="CI289" i="2" s="1"/>
  <c r="DB293" i="2"/>
  <c r="DC293" i="2" s="1"/>
  <c r="DA294" i="2"/>
  <c r="AI287" i="2"/>
  <c r="AJ286" i="2"/>
  <c r="AK286" i="2" s="1"/>
  <c r="AZ283" i="2"/>
  <c r="CI288" i="2"/>
  <c r="M279" i="1"/>
  <c r="G280" i="1"/>
  <c r="R267" i="1"/>
  <c r="S267" i="1" s="1"/>
  <c r="U294" i="2"/>
  <c r="V293" i="2"/>
  <c r="W293" i="2" s="1"/>
  <c r="P268" i="1"/>
  <c r="Q268" i="1" s="1"/>
  <c r="O269" i="1"/>
  <c r="G289" i="2" l="1"/>
  <c r="H288" i="2"/>
  <c r="I288" i="2" s="1"/>
  <c r="AL286" i="2"/>
  <c r="K268" i="1"/>
  <c r="J268" i="1" s="1"/>
  <c r="E269" i="1"/>
  <c r="N268" i="1"/>
  <c r="AX285" i="2"/>
  <c r="AY285" i="2" s="1"/>
  <c r="AW286" i="2"/>
  <c r="AS292" i="2"/>
  <c r="O270" i="1"/>
  <c r="P269" i="1"/>
  <c r="Q269" i="1" s="1"/>
  <c r="AI288" i="2"/>
  <c r="AJ287" i="2"/>
  <c r="AK287" i="2" s="1"/>
  <c r="AZ284" i="2"/>
  <c r="AP294" i="2"/>
  <c r="AQ293" i="2"/>
  <c r="AR293" i="2" s="1"/>
  <c r="R268" i="1"/>
  <c r="S268" i="1" s="1"/>
  <c r="DB294" i="2"/>
  <c r="DC294" i="2" s="1"/>
  <c r="DD294" i="2" s="1"/>
  <c r="DA295" i="2"/>
  <c r="M280" i="1"/>
  <c r="G281" i="1"/>
  <c r="DD293" i="2"/>
  <c r="X293" i="2"/>
  <c r="V294" i="2"/>
  <c r="W294" i="2" s="1"/>
  <c r="X294" i="2" s="1"/>
  <c r="U295" i="2"/>
  <c r="CG290" i="2"/>
  <c r="CH290" i="2" s="1"/>
  <c r="CF291" i="2"/>
  <c r="R269" i="1" l="1"/>
  <c r="S269" i="1" s="1"/>
  <c r="O271" i="1"/>
  <c r="P270" i="1"/>
  <c r="Q270" i="1" s="1"/>
  <c r="V295" i="2"/>
  <c r="W295" i="2" s="1"/>
  <c r="U296" i="2"/>
  <c r="V296" i="2" s="1"/>
  <c r="W296" i="2" s="1"/>
  <c r="AP295" i="2"/>
  <c r="AQ294" i="2"/>
  <c r="AR294" i="2" s="1"/>
  <c r="AS294" i="2" s="1"/>
  <c r="CI290" i="2"/>
  <c r="DB295" i="2"/>
  <c r="DC295" i="2" s="1"/>
  <c r="DA296" i="2"/>
  <c r="DB296" i="2" s="1"/>
  <c r="DC296" i="2" s="1"/>
  <c r="AX286" i="2"/>
  <c r="AY286" i="2" s="1"/>
  <c r="AW287" i="2"/>
  <c r="CG291" i="2"/>
  <c r="CH291" i="2" s="1"/>
  <c r="CF292" i="2"/>
  <c r="AL287" i="2"/>
  <c r="AZ285" i="2"/>
  <c r="AZ286" i="2"/>
  <c r="X295" i="2"/>
  <c r="M281" i="1"/>
  <c r="G282" i="1"/>
  <c r="X296" i="2"/>
  <c r="R270" i="1"/>
  <c r="S270" i="1" s="1"/>
  <c r="AJ288" i="2"/>
  <c r="AK288" i="2" s="1"/>
  <c r="AI289" i="2"/>
  <c r="J288" i="2"/>
  <c r="AS293" i="2"/>
  <c r="K269" i="1"/>
  <c r="J269" i="1" s="1"/>
  <c r="E270" i="1"/>
  <c r="N269" i="1"/>
  <c r="G290" i="2"/>
  <c r="H289" i="2"/>
  <c r="I289" i="2" s="1"/>
  <c r="H290" i="2" l="1"/>
  <c r="I290" i="2" s="1"/>
  <c r="J290" i="2" s="1"/>
  <c r="G291" i="2"/>
  <c r="AJ289" i="2"/>
  <c r="AK289" i="2" s="1"/>
  <c r="AI290" i="2"/>
  <c r="CG292" i="2"/>
  <c r="CH292" i="2" s="1"/>
  <c r="CF293" i="2"/>
  <c r="AW288" i="2"/>
  <c r="AX287" i="2"/>
  <c r="AY287" i="2" s="1"/>
  <c r="P271" i="1"/>
  <c r="Q271" i="1" s="1"/>
  <c r="O272" i="1"/>
  <c r="J289" i="2"/>
  <c r="CI291" i="2"/>
  <c r="K270" i="1"/>
  <c r="J270" i="1" s="1"/>
  <c r="E271" i="1"/>
  <c r="N270" i="1"/>
  <c r="M282" i="1"/>
  <c r="G283" i="1"/>
  <c r="AL288" i="2"/>
  <c r="DD295" i="2"/>
  <c r="DD296" i="2"/>
  <c r="AP296" i="2"/>
  <c r="AQ296" i="2" s="1"/>
  <c r="AR296" i="2" s="1"/>
  <c r="AQ295" i="2"/>
  <c r="AR295" i="2" s="1"/>
  <c r="AX288" i="2" l="1"/>
  <c r="AY288" i="2" s="1"/>
  <c r="AW289" i="2"/>
  <c r="CF294" i="2"/>
  <c r="CG293" i="2"/>
  <c r="CH293" i="2" s="1"/>
  <c r="H291" i="2"/>
  <c r="I291" i="2" s="1"/>
  <c r="G292" i="2"/>
  <c r="AI291" i="2"/>
  <c r="AJ290" i="2"/>
  <c r="AK290" i="2" s="1"/>
  <c r="AL289" i="2"/>
  <c r="P272" i="1"/>
  <c r="Q272" i="1" s="1"/>
  <c r="O273" i="1"/>
  <c r="AS295" i="2"/>
  <c r="AS296" i="2"/>
  <c r="E272" i="1"/>
  <c r="K271" i="1"/>
  <c r="J271" i="1" s="1"/>
  <c r="N271" i="1"/>
  <c r="R271" i="1"/>
  <c r="S271" i="1" s="1"/>
  <c r="CI292" i="2"/>
  <c r="M283" i="1"/>
  <c r="G284" i="1"/>
  <c r="AZ287" i="2"/>
  <c r="AI292" i="2" l="1"/>
  <c r="AJ291" i="2"/>
  <c r="AK291" i="2" s="1"/>
  <c r="H292" i="2"/>
  <c r="I292" i="2" s="1"/>
  <c r="G293" i="2"/>
  <c r="J292" i="2"/>
  <c r="J291" i="2"/>
  <c r="CI293" i="2"/>
  <c r="R272" i="1"/>
  <c r="S272" i="1" s="1"/>
  <c r="CF295" i="2"/>
  <c r="CG294" i="2"/>
  <c r="CH294" i="2" s="1"/>
  <c r="CI294" i="2" s="1"/>
  <c r="M284" i="1"/>
  <c r="G285" i="1"/>
  <c r="K272" i="1"/>
  <c r="J272" i="1" s="1"/>
  <c r="E273" i="1"/>
  <c r="N272" i="1"/>
  <c r="AX289" i="2"/>
  <c r="AY289" i="2" s="1"/>
  <c r="AZ289" i="2" s="1"/>
  <c r="AW290" i="2"/>
  <c r="P273" i="1"/>
  <c r="Q273" i="1" s="1"/>
  <c r="O274" i="1"/>
  <c r="AL290" i="2"/>
  <c r="AL291" i="2"/>
  <c r="AZ288" i="2"/>
  <c r="K273" i="1" l="1"/>
  <c r="J273" i="1" s="1"/>
  <c r="E274" i="1"/>
  <c r="N273" i="1"/>
  <c r="H293" i="2"/>
  <c r="I293" i="2" s="1"/>
  <c r="G294" i="2"/>
  <c r="P274" i="1"/>
  <c r="Q274" i="1" s="1"/>
  <c r="O275" i="1"/>
  <c r="R273" i="1"/>
  <c r="S273" i="1" s="1"/>
  <c r="AX290" i="2"/>
  <c r="AY290" i="2" s="1"/>
  <c r="AW291" i="2"/>
  <c r="AJ292" i="2"/>
  <c r="AK292" i="2" s="1"/>
  <c r="AI293" i="2"/>
  <c r="M285" i="1"/>
  <c r="G286" i="1"/>
  <c r="CG295" i="2"/>
  <c r="CH295" i="2" s="1"/>
  <c r="CF296" i="2"/>
  <c r="CG296" i="2" s="1"/>
  <c r="CH296" i="2" s="1"/>
  <c r="CI295" i="2" l="1"/>
  <c r="CI296" i="2"/>
  <c r="J293" i="2"/>
  <c r="R274" i="1"/>
  <c r="S274" i="1" s="1"/>
  <c r="AW292" i="2"/>
  <c r="AX291" i="2"/>
  <c r="AY291" i="2" s="1"/>
  <c r="M286" i="1"/>
  <c r="G287" i="1"/>
  <c r="H294" i="2"/>
  <c r="I294" i="2" s="1"/>
  <c r="J294" i="2" s="1"/>
  <c r="G295" i="2"/>
  <c r="AI294" i="2"/>
  <c r="AJ293" i="2"/>
  <c r="AK293" i="2" s="1"/>
  <c r="AL293" i="2" s="1"/>
  <c r="K274" i="1"/>
  <c r="J274" i="1" s="1"/>
  <c r="E275" i="1"/>
  <c r="N274" i="1"/>
  <c r="AZ290" i="2"/>
  <c r="AL292" i="2"/>
  <c r="P275" i="1"/>
  <c r="Q275" i="1" s="1"/>
  <c r="O276" i="1"/>
  <c r="M287" i="1" l="1"/>
  <c r="G288" i="1"/>
  <c r="E276" i="1"/>
  <c r="K275" i="1"/>
  <c r="J275" i="1" s="1"/>
  <c r="N275" i="1"/>
  <c r="AX292" i="2"/>
  <c r="AY292" i="2" s="1"/>
  <c r="AW293" i="2"/>
  <c r="AI295" i="2"/>
  <c r="AJ294" i="2"/>
  <c r="AK294" i="2" s="1"/>
  <c r="P276" i="1"/>
  <c r="Q276" i="1" s="1"/>
  <c r="R276" i="1" s="1"/>
  <c r="O277" i="1"/>
  <c r="AZ291" i="2"/>
  <c r="H295" i="2"/>
  <c r="I295" i="2" s="1"/>
  <c r="J295" i="2" s="1"/>
  <c r="G296" i="2"/>
  <c r="H296" i="2" s="1"/>
  <c r="I296" i="2" s="1"/>
  <c r="J296" i="2" s="1"/>
  <c r="R275" i="1"/>
  <c r="S275" i="1" s="1"/>
  <c r="S276" i="1" l="1"/>
  <c r="K276" i="1"/>
  <c r="J276" i="1" s="1"/>
  <c r="E277" i="1"/>
  <c r="N276" i="1"/>
  <c r="AL296" i="2"/>
  <c r="AL294" i="2"/>
  <c r="P277" i="1"/>
  <c r="Q277" i="1" s="1"/>
  <c r="O278" i="1"/>
  <c r="AJ295" i="2"/>
  <c r="AK295" i="2" s="1"/>
  <c r="AL295" i="2" s="1"/>
  <c r="AI296" i="2"/>
  <c r="AJ296" i="2" s="1"/>
  <c r="AK296" i="2" s="1"/>
  <c r="M288" i="1"/>
  <c r="G289" i="1"/>
  <c r="AZ292" i="2"/>
  <c r="AX293" i="2"/>
  <c r="AY293" i="2" s="1"/>
  <c r="AW294" i="2"/>
  <c r="R277" i="1" l="1"/>
  <c r="S277" i="1" s="1"/>
  <c r="M289" i="1"/>
  <c r="G290" i="1"/>
  <c r="AX294" i="2"/>
  <c r="AY294" i="2" s="1"/>
  <c r="AW295" i="2"/>
  <c r="AZ293" i="2"/>
  <c r="O279" i="1"/>
  <c r="P278" i="1"/>
  <c r="Q278" i="1" s="1"/>
  <c r="K277" i="1"/>
  <c r="J277" i="1" s="1"/>
  <c r="E278" i="1"/>
  <c r="N277" i="1"/>
  <c r="K278" i="1" l="1"/>
  <c r="J278" i="1" s="1"/>
  <c r="E279" i="1"/>
  <c r="N278" i="1"/>
  <c r="AW296" i="2"/>
  <c r="AX296" i="2" s="1"/>
  <c r="AY296" i="2" s="1"/>
  <c r="AX295" i="2"/>
  <c r="AY295" i="2" s="1"/>
  <c r="AZ295" i="2" s="1"/>
  <c r="P279" i="1"/>
  <c r="Q279" i="1" s="1"/>
  <c r="O280" i="1"/>
  <c r="M290" i="1"/>
  <c r="G291" i="1"/>
  <c r="AZ294" i="2"/>
  <c r="R278" i="1"/>
  <c r="S278" i="1" s="1"/>
  <c r="O281" i="1" l="1"/>
  <c r="P280" i="1"/>
  <c r="Q280" i="1" s="1"/>
  <c r="R280" i="1"/>
  <c r="E280" i="1"/>
  <c r="K279" i="1"/>
  <c r="J279" i="1" s="1"/>
  <c r="N279" i="1"/>
  <c r="M291" i="1"/>
  <c r="G292" i="1"/>
  <c r="AZ296" i="2"/>
  <c r="R279" i="1"/>
  <c r="S279" i="1" s="1"/>
  <c r="K280" i="1" l="1"/>
  <c r="J280" i="1" s="1"/>
  <c r="E281" i="1"/>
  <c r="N280" i="1"/>
  <c r="S280" i="1"/>
  <c r="M292" i="1"/>
  <c r="G293" i="1"/>
  <c r="O282" i="1"/>
  <c r="P281" i="1"/>
  <c r="Q281" i="1" s="1"/>
  <c r="R281" i="1" l="1"/>
  <c r="S281" i="1" s="1"/>
  <c r="O283" i="1"/>
  <c r="P282" i="1"/>
  <c r="Q282" i="1" s="1"/>
  <c r="K281" i="1"/>
  <c r="J281" i="1" s="1"/>
  <c r="E282" i="1"/>
  <c r="N281" i="1"/>
  <c r="M293" i="1"/>
  <c r="G294" i="1"/>
  <c r="R282" i="1" l="1"/>
  <c r="S282" i="1" s="1"/>
  <c r="P283" i="1"/>
  <c r="Q283" i="1" s="1"/>
  <c r="O284" i="1"/>
  <c r="M294" i="1"/>
  <c r="G295" i="1"/>
  <c r="K282" i="1"/>
  <c r="J282" i="1" s="1"/>
  <c r="E283" i="1"/>
  <c r="N282" i="1"/>
  <c r="M295" i="1" l="1"/>
  <c r="G296" i="1"/>
  <c r="P284" i="1"/>
  <c r="Q284" i="1" s="1"/>
  <c r="O285" i="1"/>
  <c r="R284" i="1"/>
  <c r="S284" i="1" s="1"/>
  <c r="E284" i="1"/>
  <c r="K283" i="1"/>
  <c r="J283" i="1" s="1"/>
  <c r="N283" i="1"/>
  <c r="R283" i="1"/>
  <c r="S283" i="1" s="1"/>
  <c r="O286" i="1" l="1"/>
  <c r="P285" i="1"/>
  <c r="Q285" i="1" s="1"/>
  <c r="M296" i="1"/>
  <c r="G297" i="1"/>
  <c r="K284" i="1"/>
  <c r="J284" i="1" s="1"/>
  <c r="E285" i="1"/>
  <c r="N284" i="1"/>
  <c r="M297" i="1" l="1"/>
  <c r="G298" i="1"/>
  <c r="R285" i="1"/>
  <c r="S285" i="1" s="1"/>
  <c r="K285" i="1"/>
  <c r="J285" i="1" s="1"/>
  <c r="E286" i="1"/>
  <c r="N285" i="1"/>
  <c r="P286" i="1"/>
  <c r="Q286" i="1" s="1"/>
  <c r="O287" i="1"/>
  <c r="P287" i="1" l="1"/>
  <c r="Q287" i="1" s="1"/>
  <c r="O288" i="1"/>
  <c r="R287" i="1"/>
  <c r="R286" i="1"/>
  <c r="S286" i="1" s="1"/>
  <c r="M298" i="1"/>
  <c r="K286" i="1"/>
  <c r="J286" i="1" s="1"/>
  <c r="E287" i="1"/>
  <c r="N286" i="1"/>
  <c r="S287" i="1" l="1"/>
  <c r="O289" i="1"/>
  <c r="P288" i="1"/>
  <c r="Q288" i="1" s="1"/>
  <c r="E288" i="1"/>
  <c r="K287" i="1"/>
  <c r="J287" i="1" s="1"/>
  <c r="N287" i="1"/>
  <c r="R288" i="1"/>
  <c r="S288" i="1" s="1"/>
  <c r="K288" i="1" l="1"/>
  <c r="J288" i="1" s="1"/>
  <c r="E289" i="1"/>
  <c r="N288" i="1"/>
  <c r="O290" i="1"/>
  <c r="P289" i="1"/>
  <c r="Q289" i="1" s="1"/>
  <c r="R289" i="1" l="1"/>
  <c r="S289" i="1" s="1"/>
  <c r="R290" i="1"/>
  <c r="S290" i="1" s="1"/>
  <c r="K289" i="1"/>
  <c r="J289" i="1" s="1"/>
  <c r="E290" i="1"/>
  <c r="N289" i="1"/>
  <c r="P290" i="1"/>
  <c r="Q290" i="1" s="1"/>
  <c r="O291" i="1"/>
  <c r="K290" i="1" l="1"/>
  <c r="J290" i="1" s="1"/>
  <c r="E291" i="1"/>
  <c r="N290" i="1"/>
  <c r="P291" i="1"/>
  <c r="Q291" i="1" s="1"/>
  <c r="O292" i="1"/>
  <c r="P292" i="1" l="1"/>
  <c r="Q292" i="1" s="1"/>
  <c r="O293" i="1"/>
  <c r="E292" i="1"/>
  <c r="K291" i="1"/>
  <c r="J291" i="1" s="1"/>
  <c r="N291" i="1"/>
  <c r="R291" i="1"/>
  <c r="S291" i="1" s="1"/>
  <c r="R292" i="1"/>
  <c r="S292" i="1" s="1"/>
  <c r="K292" i="1" l="1"/>
  <c r="J292" i="1" s="1"/>
  <c r="E293" i="1"/>
  <c r="N292" i="1"/>
  <c r="O294" i="1"/>
  <c r="P293" i="1"/>
  <c r="Q293" i="1" s="1"/>
  <c r="P294" i="1" l="1"/>
  <c r="Q294" i="1" s="1"/>
  <c r="O295" i="1"/>
  <c r="R293" i="1"/>
  <c r="S293" i="1" s="1"/>
  <c r="R294" i="1"/>
  <c r="S294" i="1" s="1"/>
  <c r="K293" i="1"/>
  <c r="J293" i="1" s="1"/>
  <c r="E294" i="1"/>
  <c r="N293" i="1"/>
  <c r="K294" i="1" l="1"/>
  <c r="J294" i="1" s="1"/>
  <c r="E295" i="1"/>
  <c r="N294" i="1"/>
  <c r="P295" i="1"/>
  <c r="Q295" i="1" s="1"/>
  <c r="O296" i="1"/>
  <c r="R295" i="1"/>
  <c r="S295" i="1" s="1"/>
  <c r="P296" i="1" l="1"/>
  <c r="Q296" i="1" s="1"/>
  <c r="O297" i="1"/>
  <c r="E296" i="1"/>
  <c r="K295" i="1"/>
  <c r="J295" i="1" s="1"/>
  <c r="N295" i="1"/>
  <c r="O298" i="1" l="1"/>
  <c r="P298" i="1" s="1"/>
  <c r="Q298" i="1" s="1"/>
  <c r="P297" i="1"/>
  <c r="Q297" i="1" s="1"/>
  <c r="R297" i="1" s="1"/>
  <c r="R298" i="1"/>
  <c r="S298" i="1" s="1"/>
  <c r="R296" i="1"/>
  <c r="S296" i="1" s="1"/>
  <c r="K296" i="1"/>
  <c r="J296" i="1" s="1"/>
  <c r="E297" i="1"/>
  <c r="N296" i="1"/>
  <c r="K297" i="1" l="1"/>
  <c r="J297" i="1" s="1"/>
  <c r="E298" i="1"/>
  <c r="N297" i="1"/>
  <c r="S297" i="1"/>
  <c r="K298" i="1" l="1"/>
  <c r="N298" i="1"/>
  <c r="J298" i="1" l="1"/>
  <c r="L9" i="1"/>
  <c r="L10" i="1" s="1"/>
</calcChain>
</file>

<file path=xl/sharedStrings.xml><?xml version="1.0" encoding="utf-8"?>
<sst xmlns="http://schemas.openxmlformats.org/spreadsheetml/2006/main" count="357" uniqueCount="144">
  <si>
    <t>ver. 0.89</t>
  </si>
  <si>
    <t>Dane rzeczywiste</t>
  </si>
  <si>
    <t>Dane modelowe</t>
  </si>
  <si>
    <t>Pobierz kopię na swój dysk google</t>
  </si>
  <si>
    <t>Gamma (γ) wyliczona z (τ) dni</t>
  </si>
  <si>
    <t>Średnia I</t>
  </si>
  <si>
    <t>Średnia R(t)</t>
  </si>
  <si>
    <t>Data</t>
  </si>
  <si>
    <t>Data ostatnie</t>
  </si>
  <si>
    <t>Dzień</t>
  </si>
  <si>
    <t xml:space="preserve">Nowe I </t>
  </si>
  <si>
    <t>Suma I</t>
  </si>
  <si>
    <t>Nowe D</t>
  </si>
  <si>
    <t>Suma D</t>
  </si>
  <si>
    <t>Nowe R</t>
  </si>
  <si>
    <t>Suma R</t>
  </si>
  <si>
    <t>Zmiana A</t>
  </si>
  <si>
    <t>Suma A</t>
  </si>
  <si>
    <t>Nowe I (średnia)</t>
  </si>
  <si>
    <t>CFR(A)</t>
  </si>
  <si>
    <t>CFR(I)</t>
  </si>
  <si>
    <t>Suma A model</t>
  </si>
  <si>
    <t>Średni wzrost</t>
  </si>
  <si>
    <t>R(t) (dzień/dzień)</t>
  </si>
  <si>
    <t>R(t) (średnia)</t>
  </si>
  <si>
    <t>+/-</t>
  </si>
  <si>
    <t>Wykresy dodatkowe z ostatnich dni:</t>
  </si>
  <si>
    <t>Proszę o korzystanie i udostępnianie danych tylko po podaniu źródła i autora</t>
  </si>
  <si>
    <r>
      <rPr>
        <sz val="10"/>
        <color rgb="FF000000"/>
        <rFont val="Arial"/>
      </rPr>
      <t xml:space="preserve">Bezpośredni link: </t>
    </r>
    <r>
      <rPr>
        <u/>
        <sz val="10"/>
        <color rgb="FF1155CC"/>
        <rFont val="Arial"/>
      </rPr>
      <t>bit.ly/covid19-Rt</t>
    </r>
  </si>
  <si>
    <r>
      <rPr>
        <sz val="10"/>
        <color rgb="FF000000"/>
        <rFont val="Arial"/>
      </rPr>
      <t xml:space="preserve">Autor: </t>
    </r>
    <r>
      <rPr>
        <u/>
        <sz val="10"/>
        <color rgb="FF1155CC"/>
        <rFont val="Arial"/>
      </rPr>
      <t>Adam Gapiński</t>
    </r>
    <r>
      <rPr>
        <sz val="10"/>
        <color rgb="FF000000"/>
        <rFont val="Arial"/>
      </rPr>
      <t xml:space="preserve"> </t>
    </r>
  </si>
  <si>
    <r>
      <rPr>
        <sz val="10"/>
        <color rgb="FF000000"/>
        <rFont val="Arial"/>
      </rPr>
      <t xml:space="preserve">na podstawie danych od: </t>
    </r>
    <r>
      <rPr>
        <u/>
        <sz val="10"/>
        <color rgb="FF1155CC"/>
        <rFont val="Arial"/>
      </rPr>
      <t>Michała Rogalskiego</t>
    </r>
  </si>
  <si>
    <t>Dane I/D/R (zakażenia/zgony/wyzdrowienia) w rozbiciu na dni tygodnia - raportowane</t>
  </si>
  <si>
    <t>Dane od początku epidemii</t>
  </si>
  <si>
    <t>Dane za ostatnie dni - (z komórki V2)</t>
  </si>
  <si>
    <t>Nowe</t>
  </si>
  <si>
    <t>I</t>
  </si>
  <si>
    <t>I [%]</t>
  </si>
  <si>
    <t>D</t>
  </si>
  <si>
    <t>D [%]</t>
  </si>
  <si>
    <t>R</t>
  </si>
  <si>
    <t>R [%]</t>
  </si>
  <si>
    <t>Dzień/Suma</t>
  </si>
  <si>
    <t>Poniedziałek</t>
  </si>
  <si>
    <t>Wtorek</t>
  </si>
  <si>
    <t>Środa</t>
  </si>
  <si>
    <t>Czwartek</t>
  </si>
  <si>
    <t>Piątek</t>
  </si>
  <si>
    <t>Sobota</t>
  </si>
  <si>
    <t>Niedziela</t>
  </si>
  <si>
    <t>Po pobraniu arkusza mamy możliwość zmiany parametrów: γ/τ (czas zakażania - SI) oraz średnich (Z2/AA2)</t>
  </si>
  <si>
    <t>Legenda do tabeli (dane wpisywane są justowane do środka, dane wyliczone do prawej):</t>
  </si>
  <si>
    <r>
      <t xml:space="preserve">I - zakażenia </t>
    </r>
    <r>
      <rPr>
        <i/>
        <sz val="10"/>
        <rFont val="Arial"/>
      </rPr>
      <t>(infections)</t>
    </r>
  </si>
  <si>
    <r>
      <t xml:space="preserve">D - zgony </t>
    </r>
    <r>
      <rPr>
        <i/>
        <sz val="10"/>
        <rFont val="Arial"/>
      </rPr>
      <t>(deaths)</t>
    </r>
  </si>
  <si>
    <r>
      <t xml:space="preserve">R - wyzdrowienia </t>
    </r>
    <r>
      <rPr>
        <i/>
        <sz val="10"/>
        <rFont val="Arial"/>
      </rPr>
      <t>(recovery)</t>
    </r>
  </si>
  <si>
    <r>
      <t xml:space="preserve">A - aktywne </t>
    </r>
    <r>
      <rPr>
        <i/>
        <sz val="10"/>
        <rFont val="Arial"/>
      </rPr>
      <t>(active)</t>
    </r>
    <r>
      <rPr>
        <sz val="10"/>
        <color rgb="FF000000"/>
        <rFont val="Arial"/>
      </rPr>
      <t xml:space="preserve"> (Suma A)</t>
    </r>
    <r>
      <rPr>
        <sz val="10"/>
        <color rgb="FF000000"/>
        <rFont val="Arial"/>
      </rPr>
      <t>=</t>
    </r>
    <r>
      <rPr>
        <sz val="10"/>
        <color rgb="FF0000FF"/>
        <rFont val="Arial"/>
      </rPr>
      <t>(Suma I)</t>
    </r>
    <r>
      <rPr>
        <sz val="10"/>
        <color rgb="FF000000"/>
        <rFont val="Arial"/>
      </rPr>
      <t>-</t>
    </r>
    <r>
      <rPr>
        <sz val="10"/>
        <color rgb="FF6AA84F"/>
        <rFont val="Arial"/>
      </rPr>
      <t>(Suma R)</t>
    </r>
    <r>
      <rPr>
        <sz val="10"/>
        <color rgb="FF000000"/>
        <rFont val="Arial"/>
      </rPr>
      <t>-(Suma D)</t>
    </r>
  </si>
  <si>
    <t>Moje opracowania/opisy:</t>
  </si>
  <si>
    <r>
      <rPr>
        <u/>
        <sz val="10"/>
        <color rgb="FF1155CC"/>
        <rFont val="Arial"/>
      </rPr>
      <t>Prezentacja z 31 lipca 2020</t>
    </r>
    <r>
      <rPr>
        <sz val="10"/>
        <color rgb="FF000000"/>
        <rFont val="Arial"/>
      </rPr>
      <t xml:space="preserve"> na cotygodniowym XXIII WEBINARIUM SHL - "Covidowe piątki SHL"</t>
    </r>
  </si>
  <si>
    <t>Moja prezentacja on-line</t>
  </si>
  <si>
    <t>Tutaj moje krótkie wyjaśnienia w jaki sposób powstał model i jak zostało to policzone (aktualizacja 10.07.2020)</t>
  </si>
  <si>
    <t>Uwagi do obliczeń:</t>
  </si>
  <si>
    <r>
      <t xml:space="preserve">1. Model wyliczony od przekroczenia </t>
    </r>
    <r>
      <rPr>
        <b/>
        <sz val="10"/>
        <rFont val="Arial"/>
      </rPr>
      <t>100</t>
    </r>
    <r>
      <rPr>
        <sz val="10"/>
        <color rgb="FF000000"/>
        <rFont val="Arial"/>
      </rPr>
      <t xml:space="preserve"> przypadków w dniu </t>
    </r>
    <r>
      <rPr>
        <b/>
        <sz val="10"/>
        <rFont val="Arial"/>
      </rPr>
      <t>14.03</t>
    </r>
    <r>
      <rPr>
        <sz val="10"/>
        <color rgb="FF000000"/>
        <rFont val="Arial"/>
      </rPr>
      <t xml:space="preserve"> - dane na wykresie od </t>
    </r>
    <r>
      <rPr>
        <b/>
        <sz val="10"/>
        <rFont val="Arial"/>
      </rPr>
      <t>16.03</t>
    </r>
  </si>
  <si>
    <r>
      <t>2. Szacunki dla parametru gamma=</t>
    </r>
    <r>
      <rPr>
        <b/>
        <sz val="10"/>
        <rFont val="Arial"/>
      </rPr>
      <t>1/7</t>
    </r>
    <r>
      <rPr>
        <sz val="10"/>
        <color rgb="FF000000"/>
        <rFont val="Arial"/>
      </rPr>
      <t xml:space="preserve"> (patrz komórki Y</t>
    </r>
    <r>
      <rPr>
        <b/>
        <sz val="10"/>
        <rFont val="Arial"/>
      </rPr>
      <t>2/AA2</t>
    </r>
    <r>
      <rPr>
        <sz val="10"/>
        <color rgb="FF000000"/>
        <rFont val="Arial"/>
      </rPr>
      <t xml:space="preserve">) - szczegóły w wyjaśnieniach i </t>
    </r>
    <r>
      <rPr>
        <b/>
        <sz val="10"/>
        <rFont val="Arial"/>
      </rPr>
      <t>referencji 3</t>
    </r>
  </si>
  <si>
    <t>3. R(t) (dzień/dzień) wyliczone tylko na podstawie nowych przypadków zakażeń wg modelu SIR</t>
  </si>
  <si>
    <t>4. R(t) średnie wyliczone jako średnia z ostatnich 7 dni, nowe przypadki też są prezentowane jako średnia z 7 dni</t>
  </si>
  <si>
    <r>
      <t xml:space="preserve">5. W tabeli kolor </t>
    </r>
    <r>
      <rPr>
        <b/>
        <sz val="10"/>
        <rFont val="Arial"/>
      </rPr>
      <t>żółty</t>
    </r>
    <r>
      <rPr>
        <sz val="10"/>
        <color rgb="FF000000"/>
        <rFont val="Arial"/>
      </rPr>
      <t xml:space="preserve"> R(t) poniżej 1 (</t>
    </r>
    <r>
      <rPr>
        <b/>
        <sz val="10"/>
        <rFont val="Arial"/>
      </rPr>
      <t>zielony</t>
    </r>
    <r>
      <rPr>
        <sz val="10"/>
        <color rgb="FF000000"/>
        <rFont val="Arial"/>
      </rPr>
      <t xml:space="preserve"> poniżej 0,75) oraz </t>
    </r>
    <r>
      <rPr>
        <b/>
        <sz val="10"/>
        <rFont val="Arial"/>
      </rPr>
      <t>pomarańczowy</t>
    </r>
    <r>
      <rPr>
        <sz val="10"/>
        <color rgb="FF000000"/>
        <rFont val="Arial"/>
      </rPr>
      <t xml:space="preserve"> powyżej 1 (</t>
    </r>
    <r>
      <rPr>
        <b/>
        <sz val="10"/>
        <rFont val="Arial"/>
      </rPr>
      <t>czerwony</t>
    </r>
    <r>
      <rPr>
        <sz val="10"/>
        <color rgb="FF000000"/>
        <rFont val="Arial"/>
      </rPr>
      <t xml:space="preserve"> powyżej 1,25)</t>
    </r>
  </si>
  <si>
    <t>Referencje:</t>
  </si>
  <si>
    <r>
      <t xml:space="preserve">1. </t>
    </r>
    <r>
      <rPr>
        <i/>
        <u/>
        <sz val="10"/>
        <rFont val="Arial"/>
      </rPr>
      <t>Tomas Pueyo</t>
    </r>
    <r>
      <rPr>
        <u/>
        <sz val="10"/>
        <rFont val="Arial"/>
      </rPr>
      <t xml:space="preserve"> - Koronawirus: Młot i Taniec (</t>
    </r>
    <r>
      <rPr>
        <i/>
        <u/>
        <sz val="10"/>
        <rFont val="Arial"/>
      </rPr>
      <t>tłum. Justyna Janik</t>
    </r>
    <r>
      <rPr>
        <u/>
        <sz val="10"/>
        <rFont val="Arial"/>
      </rPr>
      <t>)</t>
    </r>
  </si>
  <si>
    <r>
      <t xml:space="preserve">2. </t>
    </r>
    <r>
      <rPr>
        <i/>
        <u/>
        <sz val="10"/>
        <rFont val="Arial"/>
      </rPr>
      <t>AKALib</t>
    </r>
    <r>
      <rPr>
        <u/>
        <sz val="10"/>
        <rFont val="Arial"/>
      </rPr>
      <t xml:space="preserve"> - Coronavirus Modeling - from Exponential Growth to Bell Curves</t>
    </r>
  </si>
  <si>
    <r>
      <t xml:space="preserve">3. </t>
    </r>
    <r>
      <rPr>
        <i/>
        <u/>
        <sz val="10"/>
        <rFont val="Arial"/>
      </rPr>
      <t>Simas Kučinskas, et al.</t>
    </r>
    <r>
      <rPr>
        <u/>
        <sz val="10"/>
        <rFont val="Arial"/>
      </rPr>
      <t xml:space="preserve"> - Tracking R of COVID-19: A New Real-Time Estimation Using the Kalman Filter</t>
    </r>
  </si>
  <si>
    <r>
      <rPr>
        <u/>
        <sz val="10"/>
        <color rgb="FF1155CC"/>
        <rFont val="Arial"/>
      </rPr>
      <t xml:space="preserve">4. </t>
    </r>
    <r>
      <rPr>
        <i/>
        <u/>
        <sz val="10"/>
        <color rgb="FF1155CC"/>
        <rFont val="Arial"/>
      </rPr>
      <t>Yi-Cheng Chen, et al.</t>
    </r>
    <r>
      <rPr>
        <u/>
        <sz val="10"/>
        <color rgb="FF1155CC"/>
        <rFont val="Arial"/>
      </rPr>
      <t xml:space="preserve"> - A Time-dependent SIR model for COVID-19 with Undetectable Infected Persons</t>
    </r>
  </si>
  <si>
    <r>
      <rPr>
        <u/>
        <sz val="10"/>
        <color rgb="FF1155CC"/>
        <rFont val="Arial"/>
      </rPr>
      <t xml:space="preserve">5. </t>
    </r>
    <r>
      <rPr>
        <i/>
        <u/>
        <sz val="10"/>
        <color rgb="FF1155CC"/>
        <rFont val="Arial"/>
      </rPr>
      <t xml:space="preserve">Youyang Gu </t>
    </r>
    <r>
      <rPr>
        <u/>
        <sz val="10"/>
        <color rgb="FF1155CC"/>
        <rFont val="Arial"/>
      </rPr>
      <t>- Estimating True Infections: A Simple Heuristic to Measure Implied Infection Fatality Rate</t>
    </r>
  </si>
  <si>
    <t>Opracowania i inne dane:</t>
  </si>
  <si>
    <t>Michał Rogalski - dane i wykresy</t>
  </si>
  <si>
    <t>bit.ly/covid19-poland</t>
  </si>
  <si>
    <t>Michał Rogalski - dane w powiatach</t>
  </si>
  <si>
    <t>bit.ly/covid19_powiaty</t>
  </si>
  <si>
    <t>Piotr Tarnowski - wizualizacja w powiatach</t>
  </si>
  <si>
    <t>bit.ly/powiaty</t>
  </si>
  <si>
    <t>Piotr Tarnowski - wizualizacja R(t)</t>
  </si>
  <si>
    <t>bit.ly/covid19-R</t>
  </si>
  <si>
    <t>Filip Chudy - prognoza</t>
  </si>
  <si>
    <t>bit.ly/covid19-prognoza</t>
  </si>
  <si>
    <r>
      <rPr>
        <u/>
        <sz val="10"/>
        <color rgb="FF000000"/>
        <rFont val="Arial"/>
      </rPr>
      <t xml:space="preserve">Rafał Mostowy - </t>
    </r>
    <r>
      <rPr>
        <u/>
        <sz val="10"/>
        <color rgb="FF000000"/>
        <rFont val="Arial"/>
      </rPr>
      <t>Szacunki R(t)</t>
    </r>
  </si>
  <si>
    <t>rmostowy.github.io/covid-19/czas-rzeczywisty</t>
  </si>
  <si>
    <r>
      <rPr>
        <u/>
        <sz val="10"/>
        <color rgb="FF000000"/>
        <rFont val="Arial"/>
      </rPr>
      <t xml:space="preserve">Rafał Mostowy - </t>
    </r>
    <r>
      <rPr>
        <u/>
        <sz val="10"/>
        <color rgb="FF000000"/>
        <rFont val="Arial"/>
      </rPr>
      <t>Szacunki R(t)</t>
    </r>
    <r>
      <rPr>
        <sz val="10"/>
        <color rgb="FF000000"/>
        <rFont val="Arial"/>
      </rPr>
      <t xml:space="preserve"> </t>
    </r>
    <r>
      <rPr>
        <sz val="10"/>
        <color rgb="FF000000"/>
        <rFont val="Arial"/>
      </rPr>
      <t>- aktualizacje</t>
    </r>
  </si>
  <si>
    <t>rmostowy.github.io/covid-19/pomiar-rt/index</t>
  </si>
  <si>
    <t>MOdelling COronavirus Spread</t>
  </si>
  <si>
    <t>mocos.pl</t>
  </si>
  <si>
    <t>Opracowania MimUW</t>
  </si>
  <si>
    <t>covid19.mimuw.edu.pl</t>
  </si>
  <si>
    <t>Dolnośląskie</t>
  </si>
  <si>
    <t>Kujawsko-Pomorskie</t>
  </si>
  <si>
    <t>Lubelskie</t>
  </si>
  <si>
    <t>Lubuskie</t>
  </si>
  <si>
    <t>Łódzkie</t>
  </si>
  <si>
    <t>Małopolskie</t>
  </si>
  <si>
    <t>Mazowieckie</t>
  </si>
  <si>
    <t>Opolskie</t>
  </si>
  <si>
    <t>Podkarpackie</t>
  </si>
  <si>
    <t>Podlaskie</t>
  </si>
  <si>
    <t>Pomorskie</t>
  </si>
  <si>
    <t>Śląskie</t>
  </si>
  <si>
    <t>Świętokrzyskie</t>
  </si>
  <si>
    <t>Warmińsko-Mazurskie</t>
  </si>
  <si>
    <t>Wielkopolskie</t>
  </si>
  <si>
    <t>Zachodniopomorskie</t>
  </si>
  <si>
    <t>Model A</t>
  </si>
  <si>
    <t>Wzrost</t>
  </si>
  <si>
    <t>R d/d</t>
  </si>
  <si>
    <r>
      <rPr>
        <sz val="10"/>
        <color rgb="FF000000"/>
        <rFont val="Arial"/>
      </rPr>
      <t xml:space="preserve">Bezpośredni link: </t>
    </r>
    <r>
      <rPr>
        <u/>
        <sz val="10"/>
        <color rgb="FF1155CC"/>
        <rFont val="Arial"/>
      </rPr>
      <t>bit.ly/covid19-Rt</t>
    </r>
  </si>
  <si>
    <r>
      <rPr>
        <sz val="10"/>
        <color rgb="FF000000"/>
        <rFont val="Arial"/>
      </rPr>
      <t xml:space="preserve">Autor: </t>
    </r>
    <r>
      <rPr>
        <u/>
        <sz val="10"/>
        <color rgb="FF1155CC"/>
        <rFont val="Arial"/>
      </rPr>
      <t>Adam Gapiński</t>
    </r>
    <r>
      <rPr>
        <sz val="10"/>
        <color rgb="FF000000"/>
        <rFont val="Arial"/>
      </rPr>
      <t xml:space="preserve"> </t>
    </r>
  </si>
  <si>
    <r>
      <rPr>
        <sz val="10"/>
        <color rgb="FF000000"/>
        <rFont val="Arial"/>
      </rPr>
      <t xml:space="preserve">na podstawie danych od: </t>
    </r>
    <r>
      <rPr>
        <u/>
        <sz val="10"/>
        <color rgb="FF1155CC"/>
        <rFont val="Arial"/>
      </rPr>
      <t>Michała Rogalskiego</t>
    </r>
  </si>
  <si>
    <t>MZ - www</t>
  </si>
  <si>
    <t>MZ - suma I</t>
  </si>
  <si>
    <t>Różnica</t>
  </si>
  <si>
    <t>Szkoły - nauczanie</t>
  </si>
  <si>
    <t>zdalne</t>
  </si>
  <si>
    <t>mieszane</t>
  </si>
  <si>
    <t>stacjonarne</t>
  </si>
  <si>
    <t>łącznie</t>
  </si>
  <si>
    <t>zmiana</t>
  </si>
  <si>
    <t>exp</t>
  </si>
  <si>
    <t>wszystkie</t>
  </si>
  <si>
    <t>Parametry krzywej wykładniczej (bez dzisiaj - na wykresie)</t>
  </si>
  <si>
    <t>Parametry krzywej wykładniczej (do dzisiaj - dopiero po wpisaniu danych)</t>
  </si>
  <si>
    <t>&lt;- ostatnie "pewne" dane</t>
  </si>
  <si>
    <t>&lt;- tu pewnie z błędem bo podano jedynie podział na strefy - czerwona 6178 (995674 uczniów)/żółta 5978 (821518 uczniów)</t>
  </si>
  <si>
    <t>&lt;- 1. lockdown w szkołach - wszystkie średnie zdalnie lub hybrydowo (zależy od strefy) nie było statystyk</t>
  </si>
  <si>
    <t>&lt;- zmiana sposobu raportowania w rozbiciu na przedszkola+podstawowe+średnie - w tej kolejności są w komórkach w formule</t>
  </si>
  <si>
    <t>&lt;- ani jedna szkoła ponadpodstawowa w strefie żółtej nie zmieniła sposobu nauczania - dokładnie tyle samo co wczoraj</t>
  </si>
  <si>
    <t>&lt;- przeniosłem wszystkie podstawowe do hybrydowych, średnie zółte-&gt;czerwone</t>
  </si>
  <si>
    <t>&lt;- 2. lockdown w szkołach + 4-8 zdalnie // dane odnośnie podstawowych nie podane - tylko przedszkola</t>
  </si>
  <si>
    <t>&lt;- brak danych z MEN - przepisane dane z czwartku!!!</t>
  </si>
  <si>
    <t>arkusz od 24.11.2020 w "KWA KWA Nartannie" - do odwołania</t>
  </si>
  <si>
    <t>PROTEST DO KOŃCA LISTOPADA - OSOBY ZAINTERESOWANE</t>
  </si>
  <si>
    <t>arkusz był widoczny w dniach 24 listopada 3 grudnia 2020 jako jedyny na znak protestu</t>
  </si>
  <si>
    <t>DOSTĘPEM DO DANYCH PROSZONE O KONTAKT</t>
  </si>
  <si>
    <t xml:space="preserve">Oczywiście jest dostępny dla wszystkich przez ten czas. </t>
  </si>
  <si>
    <t xml:space="preserve">Przepraszam za niedogodności aby obejrzeć zawartość należy pobrać plik </t>
  </si>
  <si>
    <t>ARKUSZ PROTESTACYJNY</t>
  </si>
  <si>
    <t>Dane na wykresie do 11.11</t>
  </si>
  <si>
    <t>Polska</t>
  </si>
  <si>
    <t>Nowe I</t>
  </si>
  <si>
    <t>MZ-www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</si>
</sst>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dd\.mm\.yyyy"/>
    <numFmt numFmtId="166" formatCode="&quot;+&quot;0.00;&quot;-&quot;0.00"/>
    <numFmt numFmtId="167" formatCode="&quot;+&quot;0;&quot;-&quot;0"/>
  </numFmts>
  <fonts count="56" x14ac:knownFonts="1">
    <font>
      <sz val="10"/>
      <color rgb="FF000000"/>
      <name val="Arial"/>
    </font>
    <font>
      <b/>
      <i/>
      <sz val="10"/>
      <color theme="1"/>
      <name val="Arial"/>
    </font>
    <font>
      <i/>
      <sz val="10"/>
      <color theme="1"/>
      <name val="Arial"/>
    </font>
    <font>
      <b/>
      <sz val="10"/>
      <color rgb="FF000000"/>
      <name val="Arial"/>
    </font>
    <font>
      <b/>
      <i/>
      <sz val="10"/>
      <color rgb="FF000000"/>
      <name val="Arial"/>
    </font>
    <font>
      <sz val="10"/>
      <name val="Arial"/>
    </font>
    <font>
      <i/>
      <sz val="10"/>
      <color rgb="FF000000"/>
      <name val="Arial"/>
    </font>
    <font>
      <b/>
      <i/>
      <sz val="10"/>
      <color theme="1"/>
      <name val="Arial"/>
    </font>
    <font>
      <b/>
      <u/>
      <sz val="12"/>
      <color rgb="FFFFFF00"/>
      <name val="Arial"/>
    </font>
    <font>
      <b/>
      <sz val="10"/>
      <color rgb="FF0000FF"/>
      <name val="Arial"/>
    </font>
    <font>
      <b/>
      <sz val="10"/>
      <color rgb="FF6AA84F"/>
      <name val="Arial"/>
    </font>
    <font>
      <b/>
      <sz val="10"/>
      <color rgb="FFFF0000"/>
      <name val="Arial"/>
    </font>
    <font>
      <b/>
      <sz val="10"/>
      <color rgb="FFFF0000"/>
      <name val="Arial"/>
    </font>
    <font>
      <b/>
      <sz val="10"/>
      <color theme="1"/>
      <name val="Arial"/>
    </font>
    <font>
      <sz val="10"/>
      <color rgb="FF0000FF"/>
      <name val="Arial"/>
    </font>
    <font>
      <sz val="10"/>
      <color rgb="FF6AA84F"/>
      <name val="Arial"/>
    </font>
    <font>
      <sz val="10"/>
      <color rgb="FFFF0000"/>
      <name val="Arial"/>
    </font>
    <font>
      <sz val="10"/>
      <color rgb="FF000000"/>
      <name val="Arial"/>
    </font>
    <font>
      <sz val="10"/>
      <color rgb="FFFF0000"/>
      <name val="Arial"/>
    </font>
    <font>
      <sz val="10"/>
      <color theme="1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b/>
      <sz val="10"/>
      <color theme="1"/>
      <name val="Arial"/>
    </font>
    <font>
      <sz val="10"/>
      <color theme="1"/>
      <name val="Arial"/>
    </font>
    <font>
      <b/>
      <u/>
      <sz val="10"/>
      <color rgb="FF00FF00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b/>
      <sz val="10"/>
      <color rgb="FF0000FF"/>
      <name val="Arial"/>
    </font>
    <font>
      <b/>
      <sz val="10"/>
      <color rgb="FF6AA84F"/>
      <name val="Arial"/>
    </font>
    <font>
      <sz val="10"/>
      <color rgb="FF6AA84F"/>
      <name val="Arial"/>
    </font>
    <font>
      <sz val="10"/>
      <color rgb="FF0000FF"/>
      <name val="Arial"/>
    </font>
    <font>
      <b/>
      <u/>
      <sz val="10"/>
      <color rgb="FFFF9900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b/>
      <u/>
      <sz val="10"/>
      <color rgb="FFFF9900"/>
      <name val="Arial"/>
    </font>
    <font>
      <u/>
      <sz val="10"/>
      <color rgb="FF000000"/>
      <name val="Arial"/>
    </font>
    <font>
      <i/>
      <u/>
      <sz val="10"/>
      <color rgb="FF000000"/>
      <name val="Arial"/>
    </font>
    <font>
      <b/>
      <u/>
      <sz val="10"/>
      <color rgb="FF1155CC"/>
      <name val="Arial"/>
    </font>
    <font>
      <u/>
      <sz val="10"/>
      <color rgb="FF0000FF"/>
      <name val="Arial"/>
    </font>
    <font>
      <b/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i/>
      <u/>
      <sz val="10"/>
      <color rgb="FF000000"/>
      <name val="Arial"/>
    </font>
    <font>
      <b/>
      <sz val="10"/>
      <color rgb="FF000000"/>
      <name val="Arial"/>
    </font>
    <font>
      <b/>
      <sz val="10"/>
      <color rgb="FFFF9900"/>
      <name val="Arial"/>
    </font>
    <font>
      <sz val="10"/>
      <color rgb="FFFF9900"/>
      <name val="Arial"/>
    </font>
    <font>
      <b/>
      <sz val="24"/>
      <color rgb="FFFF0000"/>
      <name val="Arial"/>
    </font>
    <font>
      <i/>
      <sz val="10"/>
      <color rgb="FF000000"/>
      <name val="Arial"/>
    </font>
    <font>
      <i/>
      <sz val="10"/>
      <name val="Arial"/>
    </font>
    <font>
      <b/>
      <sz val="10"/>
      <name val="Arial"/>
    </font>
    <font>
      <i/>
      <u/>
      <sz val="10"/>
      <name val="Arial"/>
    </font>
    <font>
      <u/>
      <sz val="10"/>
      <name val="Arial"/>
    </font>
    <font>
      <i/>
      <u/>
      <sz val="10"/>
      <color rgb="FF1155CC"/>
      <name val="Arial"/>
    </font>
  </fonts>
  <fills count="10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rgb="FF999999"/>
        <bgColor rgb="FF999999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0000FF"/>
        <bgColor rgb="FF0000FF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</fills>
  <borders count="4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07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 applyAlignment="1"/>
    <xf numFmtId="0" fontId="3" fillId="3" borderId="1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164" fontId="6" fillId="4" borderId="5" xfId="0" applyNumberFormat="1" applyFont="1" applyFill="1" applyBorder="1" applyAlignment="1">
      <alignment horizontal="center"/>
    </xf>
    <xf numFmtId="164" fontId="6" fillId="4" borderId="6" xfId="0" applyNumberFormat="1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0" xfId="0" applyFont="1" applyFill="1" applyAlignment="1">
      <alignment horizontal="center"/>
    </xf>
    <xf numFmtId="0" fontId="3" fillId="7" borderId="8" xfId="0" applyFont="1" applyFill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9" fillId="7" borderId="10" xfId="0" applyFont="1" applyFill="1" applyBorder="1" applyAlignment="1">
      <alignment horizontal="center"/>
    </xf>
    <xf numFmtId="0" fontId="9" fillId="7" borderId="11" xfId="0" applyFont="1" applyFill="1" applyBorder="1" applyAlignment="1">
      <alignment horizontal="center"/>
    </xf>
    <xf numFmtId="0" fontId="3" fillId="7" borderId="11" xfId="0" applyFont="1" applyFill="1" applyBorder="1" applyAlignment="1">
      <alignment horizontal="center"/>
    </xf>
    <xf numFmtId="0" fontId="3" fillId="7" borderId="11" xfId="0" applyFont="1" applyFill="1" applyBorder="1" applyAlignment="1">
      <alignment horizontal="center"/>
    </xf>
    <xf numFmtId="0" fontId="10" fillId="7" borderId="11" xfId="0" applyFont="1" applyFill="1" applyBorder="1" applyAlignment="1">
      <alignment horizontal="right"/>
    </xf>
    <xf numFmtId="0" fontId="10" fillId="7" borderId="11" xfId="0" applyFont="1" applyFill="1" applyBorder="1" applyAlignment="1">
      <alignment horizontal="center"/>
    </xf>
    <xf numFmtId="0" fontId="11" fillId="7" borderId="11" xfId="0" applyFont="1" applyFill="1" applyBorder="1" applyAlignment="1">
      <alignment horizontal="center"/>
    </xf>
    <xf numFmtId="0" fontId="11" fillId="7" borderId="12" xfId="0" applyFont="1" applyFill="1" applyBorder="1" applyAlignment="1">
      <alignment horizontal="center"/>
    </xf>
    <xf numFmtId="2" fontId="9" fillId="7" borderId="11" xfId="0" applyNumberFormat="1" applyFont="1" applyFill="1" applyBorder="1" applyAlignment="1">
      <alignment horizontal="right"/>
    </xf>
    <xf numFmtId="164" fontId="0" fillId="7" borderId="13" xfId="0" applyNumberFormat="1" applyFont="1" applyFill="1" applyBorder="1" applyAlignment="1">
      <alignment horizontal="center"/>
    </xf>
    <xf numFmtId="164" fontId="0" fillId="7" borderId="14" xfId="0" applyNumberFormat="1" applyFont="1" applyFill="1" applyBorder="1" applyAlignment="1">
      <alignment horizontal="center"/>
    </xf>
    <xf numFmtId="0" fontId="12" fillId="7" borderId="15" xfId="0" applyFont="1" applyFill="1" applyBorder="1" applyAlignment="1">
      <alignment horizontal="center"/>
    </xf>
    <xf numFmtId="0" fontId="11" fillId="7" borderId="8" xfId="0" applyFont="1" applyFill="1" applyBorder="1" applyAlignment="1">
      <alignment horizontal="center"/>
    </xf>
    <xf numFmtId="0" fontId="13" fillId="7" borderId="11" xfId="0" applyFont="1" applyFill="1" applyBorder="1" applyAlignment="1">
      <alignment horizontal="left"/>
    </xf>
    <xf numFmtId="0" fontId="13" fillId="7" borderId="12" xfId="0" quotePrefix="1" applyFont="1" applyFill="1" applyBorder="1" applyAlignment="1">
      <alignment horizontal="center"/>
    </xf>
    <xf numFmtId="0" fontId="13" fillId="2" borderId="7" xfId="0" applyFont="1" applyFill="1" applyBorder="1" applyAlignment="1">
      <alignment horizontal="center"/>
    </xf>
    <xf numFmtId="0" fontId="13" fillId="2" borderId="18" xfId="0" applyFont="1" applyFill="1" applyBorder="1" applyAlignment="1">
      <alignment horizontal="center"/>
    </xf>
    <xf numFmtId="0" fontId="13" fillId="2" borderId="4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165" fontId="0" fillId="7" borderId="19" xfId="0" applyNumberFormat="1" applyFont="1" applyFill="1" applyBorder="1" applyAlignment="1">
      <alignment horizontal="right"/>
    </xf>
    <xf numFmtId="165" fontId="0" fillId="7" borderId="11" xfId="0" applyNumberFormat="1" applyFont="1" applyFill="1" applyBorder="1" applyAlignment="1">
      <alignment horizontal="right"/>
    </xf>
    <xf numFmtId="0" fontId="0" fillId="7" borderId="20" xfId="0" applyFont="1" applyFill="1" applyBorder="1" applyAlignment="1">
      <alignment horizontal="center"/>
    </xf>
    <xf numFmtId="0" fontId="14" fillId="0" borderId="21" xfId="0" applyFont="1" applyBorder="1" applyAlignment="1">
      <alignment horizontal="center"/>
    </xf>
    <xf numFmtId="0" fontId="14" fillId="0" borderId="11" xfId="0" applyFont="1" applyBorder="1" applyAlignment="1"/>
    <xf numFmtId="0" fontId="0" fillId="0" borderId="19" xfId="0" applyFont="1" applyBorder="1" applyAlignment="1">
      <alignment horizontal="center"/>
    </xf>
    <xf numFmtId="0" fontId="0" fillId="0" borderId="11" xfId="0" applyFont="1" applyBorder="1" applyAlignment="1">
      <alignment horizontal="right"/>
    </xf>
    <xf numFmtId="0" fontId="15" fillId="0" borderId="11" xfId="0" applyFont="1" applyBorder="1" applyAlignment="1">
      <alignment horizontal="right"/>
    </xf>
    <xf numFmtId="0" fontId="15" fillId="0" borderId="19" xfId="0" applyFont="1" applyBorder="1" applyAlignment="1">
      <alignment horizontal="center"/>
    </xf>
    <xf numFmtId="1" fontId="16" fillId="0" borderId="19" xfId="0" applyNumberFormat="1" applyFont="1" applyBorder="1" applyAlignment="1">
      <alignment horizontal="right"/>
    </xf>
    <xf numFmtId="0" fontId="16" fillId="0" borderId="22" xfId="0" applyFont="1" applyBorder="1" applyAlignment="1">
      <alignment horizontal="right"/>
    </xf>
    <xf numFmtId="2" fontId="0" fillId="0" borderId="11" xfId="0" applyNumberFormat="1" applyFont="1" applyBorder="1" applyAlignment="1">
      <alignment horizontal="right"/>
    </xf>
    <xf numFmtId="164" fontId="17" fillId="0" borderId="23" xfId="0" applyNumberFormat="1" applyFont="1" applyBorder="1" applyAlignment="1">
      <alignment horizontal="right"/>
    </xf>
    <xf numFmtId="164" fontId="17" fillId="0" borderId="19" xfId="0" applyNumberFormat="1" applyFont="1" applyBorder="1" applyAlignment="1">
      <alignment horizontal="right"/>
    </xf>
    <xf numFmtId="0" fontId="18" fillId="0" borderId="19" xfId="0" applyFont="1" applyBorder="1"/>
    <xf numFmtId="0" fontId="19" fillId="0" borderId="11" xfId="0" applyFont="1" applyBorder="1"/>
    <xf numFmtId="0" fontId="19" fillId="0" borderId="20" xfId="0" applyFont="1" applyBorder="1"/>
    <xf numFmtId="0" fontId="19" fillId="0" borderId="12" xfId="0" applyFont="1" applyBorder="1" applyAlignment="1">
      <alignment horizontal="right"/>
    </xf>
    <xf numFmtId="0" fontId="19" fillId="7" borderId="0" xfId="0" applyFont="1" applyFill="1"/>
    <xf numFmtId="0" fontId="0" fillId="7" borderId="1" xfId="0" applyFont="1" applyFill="1" applyBorder="1" applyAlignment="1">
      <alignment horizontal="center"/>
    </xf>
    <xf numFmtId="0" fontId="14" fillId="0" borderId="19" xfId="0" applyFont="1" applyBorder="1"/>
    <xf numFmtId="0" fontId="0" fillId="0" borderId="19" xfId="0" applyFont="1" applyBorder="1" applyAlignment="1">
      <alignment horizontal="right"/>
    </xf>
    <xf numFmtId="0" fontId="16" fillId="0" borderId="19" xfId="0" applyFont="1" applyBorder="1" applyAlignment="1">
      <alignment horizontal="right"/>
    </xf>
    <xf numFmtId="2" fontId="0" fillId="0" borderId="19" xfId="0" applyNumberFormat="1" applyFont="1" applyBorder="1" applyAlignment="1">
      <alignment horizontal="right"/>
    </xf>
    <xf numFmtId="0" fontId="19" fillId="0" borderId="19" xfId="0" applyFont="1" applyBorder="1"/>
    <xf numFmtId="0" fontId="19" fillId="0" borderId="1" xfId="0" applyFont="1" applyBorder="1"/>
    <xf numFmtId="0" fontId="19" fillId="0" borderId="22" xfId="0" applyFont="1" applyBorder="1" applyAlignment="1">
      <alignment horizontal="right"/>
    </xf>
    <xf numFmtId="0" fontId="22" fillId="7" borderId="0" xfId="0" applyFont="1" applyFill="1" applyAlignment="1">
      <alignment horizontal="right"/>
    </xf>
    <xf numFmtId="0" fontId="23" fillId="7" borderId="0" xfId="0" applyFont="1" applyFill="1" applyAlignment="1"/>
    <xf numFmtId="165" fontId="3" fillId="7" borderId="19" xfId="0" applyNumberFormat="1" applyFont="1" applyFill="1" applyBorder="1" applyAlignment="1">
      <alignment horizontal="right"/>
    </xf>
    <xf numFmtId="165" fontId="3" fillId="7" borderId="11" xfId="0" applyNumberFormat="1" applyFont="1" applyFill="1" applyBorder="1" applyAlignment="1">
      <alignment horizontal="right"/>
    </xf>
    <xf numFmtId="0" fontId="9" fillId="0" borderId="21" xfId="0" applyFont="1" applyBorder="1" applyAlignment="1">
      <alignment horizontal="center"/>
    </xf>
    <xf numFmtId="0" fontId="9" fillId="0" borderId="19" xfId="0" applyFont="1" applyBorder="1"/>
    <xf numFmtId="0" fontId="3" fillId="0" borderId="19" xfId="0" applyFont="1" applyBorder="1" applyAlignment="1">
      <alignment horizontal="center"/>
    </xf>
    <xf numFmtId="0" fontId="3" fillId="0" borderId="19" xfId="0" applyFont="1" applyBorder="1" applyAlignment="1">
      <alignment horizontal="right"/>
    </xf>
    <xf numFmtId="0" fontId="10" fillId="0" borderId="11" xfId="0" applyFont="1" applyBorder="1" applyAlignment="1">
      <alignment horizontal="right"/>
    </xf>
    <xf numFmtId="0" fontId="10" fillId="0" borderId="19" xfId="0" applyFont="1" applyBorder="1" applyAlignment="1">
      <alignment horizontal="center"/>
    </xf>
    <xf numFmtId="0" fontId="12" fillId="0" borderId="22" xfId="0" applyFont="1" applyBorder="1" applyAlignment="1">
      <alignment horizontal="right"/>
    </xf>
    <xf numFmtId="2" fontId="3" fillId="0" borderId="19" xfId="0" applyNumberFormat="1" applyFont="1" applyBorder="1" applyAlignment="1">
      <alignment horizontal="right"/>
    </xf>
    <xf numFmtId="0" fontId="11" fillId="0" borderId="19" xfId="0" applyFont="1" applyBorder="1"/>
    <xf numFmtId="0" fontId="13" fillId="0" borderId="19" xfId="0" applyFont="1" applyBorder="1"/>
    <xf numFmtId="0" fontId="13" fillId="0" borderId="1" xfId="0" applyFont="1" applyBorder="1"/>
    <xf numFmtId="0" fontId="13" fillId="0" borderId="22" xfId="0" applyFont="1" applyBorder="1" applyAlignment="1">
      <alignment horizontal="right"/>
    </xf>
    <xf numFmtId="0" fontId="13" fillId="7" borderId="0" xfId="0" applyFont="1" applyFill="1"/>
    <xf numFmtId="0" fontId="11" fillId="8" borderId="19" xfId="0" applyFont="1" applyFill="1" applyBorder="1"/>
    <xf numFmtId="0" fontId="24" fillId="9" borderId="19" xfId="0" applyFont="1" applyFill="1" applyBorder="1" applyAlignment="1"/>
    <xf numFmtId="0" fontId="24" fillId="5" borderId="0" xfId="0" applyFont="1" applyFill="1" applyAlignment="1"/>
    <xf numFmtId="2" fontId="25" fillId="0" borderId="19" xfId="0" applyNumberFormat="1" applyFont="1" applyBorder="1" applyAlignment="1">
      <alignment horizontal="right"/>
    </xf>
    <xf numFmtId="164" fontId="19" fillId="9" borderId="19" xfId="0" applyNumberFormat="1" applyFont="1" applyFill="1" applyBorder="1"/>
    <xf numFmtId="166" fontId="19" fillId="0" borderId="22" xfId="0" applyNumberFormat="1" applyFont="1" applyBorder="1" applyAlignment="1">
      <alignment horizontal="right"/>
    </xf>
    <xf numFmtId="166" fontId="19" fillId="7" borderId="0" xfId="0" applyNumberFormat="1" applyFont="1" applyFill="1" applyAlignment="1"/>
    <xf numFmtId="166" fontId="19" fillId="7" borderId="0" xfId="0" applyNumberFormat="1" applyFont="1" applyFill="1"/>
    <xf numFmtId="2" fontId="24" fillId="0" borderId="19" xfId="0" applyNumberFormat="1" applyFont="1" applyBorder="1" applyAlignment="1">
      <alignment horizontal="right"/>
    </xf>
    <xf numFmtId="164" fontId="13" fillId="9" borderId="19" xfId="0" applyNumberFormat="1" applyFont="1" applyFill="1" applyBorder="1"/>
    <xf numFmtId="166" fontId="13" fillId="0" borderId="22" xfId="0" applyNumberFormat="1" applyFont="1" applyBorder="1" applyAlignment="1">
      <alignment horizontal="right"/>
    </xf>
    <xf numFmtId="166" fontId="13" fillId="7" borderId="0" xfId="0" applyNumberFormat="1" applyFont="1" applyFill="1"/>
    <xf numFmtId="0" fontId="24" fillId="7" borderId="0" xfId="0" applyFont="1" applyFill="1"/>
    <xf numFmtId="0" fontId="25" fillId="7" borderId="0" xfId="0" applyFont="1" applyFill="1"/>
    <xf numFmtId="0" fontId="24" fillId="0" borderId="0" xfId="0" applyFont="1"/>
    <xf numFmtId="0" fontId="26" fillId="7" borderId="0" xfId="0" applyFont="1" applyFill="1" applyAlignment="1">
      <alignment horizontal="left"/>
    </xf>
    <xf numFmtId="0" fontId="19" fillId="7" borderId="0" xfId="0" applyFont="1" applyFill="1" applyAlignment="1"/>
    <xf numFmtId="0" fontId="13" fillId="7" borderId="0" xfId="0" applyFont="1" applyFill="1" applyAlignment="1"/>
    <xf numFmtId="0" fontId="24" fillId="7" borderId="0" xfId="0" applyFont="1" applyFill="1" applyAlignment="1">
      <alignment horizontal="center"/>
    </xf>
    <xf numFmtId="0" fontId="24" fillId="2" borderId="7" xfId="0" applyFont="1" applyFill="1" applyBorder="1" applyAlignment="1">
      <alignment horizontal="center"/>
    </xf>
    <xf numFmtId="0" fontId="29" fillId="2" borderId="7" xfId="0" applyFont="1" applyFill="1" applyBorder="1" applyAlignment="1">
      <alignment horizontal="center"/>
    </xf>
    <xf numFmtId="0" fontId="30" fillId="2" borderId="7" xfId="0" applyFont="1" applyFill="1" applyBorder="1" applyAlignment="1">
      <alignment horizontal="center"/>
    </xf>
    <xf numFmtId="0" fontId="24" fillId="7" borderId="5" xfId="0" applyFont="1" applyFill="1" applyBorder="1" applyAlignment="1"/>
    <xf numFmtId="0" fontId="29" fillId="7" borderId="24" xfId="0" applyFont="1" applyFill="1" applyBorder="1" applyAlignment="1">
      <alignment horizontal="center"/>
    </xf>
    <xf numFmtId="10" fontId="29" fillId="7" borderId="24" xfId="0" applyNumberFormat="1" applyFont="1" applyFill="1" applyBorder="1" applyAlignment="1">
      <alignment horizontal="right"/>
    </xf>
    <xf numFmtId="0" fontId="24" fillId="7" borderId="24" xfId="0" applyFont="1" applyFill="1" applyBorder="1" applyAlignment="1">
      <alignment horizontal="center"/>
    </xf>
    <xf numFmtId="10" fontId="24" fillId="7" borderId="24" xfId="0" applyNumberFormat="1" applyFont="1" applyFill="1" applyBorder="1" applyAlignment="1">
      <alignment horizontal="right"/>
    </xf>
    <xf numFmtId="0" fontId="30" fillId="7" borderId="24" xfId="0" applyFont="1" applyFill="1" applyBorder="1" applyAlignment="1">
      <alignment horizontal="center"/>
    </xf>
    <xf numFmtId="10" fontId="30" fillId="7" borderId="15" xfId="0" applyNumberFormat="1" applyFont="1" applyFill="1" applyBorder="1" applyAlignment="1">
      <alignment horizontal="right"/>
    </xf>
    <xf numFmtId="0" fontId="24" fillId="7" borderId="25" xfId="0" applyFont="1" applyFill="1" applyBorder="1" applyAlignment="1"/>
    <xf numFmtId="0" fontId="29" fillId="7" borderId="25" xfId="0" applyFont="1" applyFill="1" applyBorder="1" applyAlignment="1">
      <alignment horizontal="center"/>
    </xf>
    <xf numFmtId="10" fontId="29" fillId="7" borderId="25" xfId="0" applyNumberFormat="1" applyFont="1" applyFill="1" applyBorder="1" applyAlignment="1">
      <alignment horizontal="right"/>
    </xf>
    <xf numFmtId="0" fontId="24" fillId="7" borderId="25" xfId="0" applyFont="1" applyFill="1" applyBorder="1" applyAlignment="1">
      <alignment horizontal="center"/>
    </xf>
    <xf numFmtId="10" fontId="24" fillId="7" borderId="25" xfId="0" applyNumberFormat="1" applyFont="1" applyFill="1" applyBorder="1" applyAlignment="1">
      <alignment horizontal="right"/>
    </xf>
    <xf numFmtId="0" fontId="30" fillId="7" borderId="25" xfId="0" applyFont="1" applyFill="1" applyBorder="1" applyAlignment="1">
      <alignment horizontal="center"/>
    </xf>
    <xf numFmtId="10" fontId="30" fillId="7" borderId="25" xfId="0" applyNumberFormat="1" applyFont="1" applyFill="1" applyBorder="1" applyAlignment="1">
      <alignment horizontal="right"/>
    </xf>
    <xf numFmtId="0" fontId="25" fillId="0" borderId="26" xfId="0" applyFont="1" applyBorder="1" applyAlignment="1"/>
    <xf numFmtId="0" fontId="14" fillId="0" borderId="27" xfId="0" applyFont="1" applyBorder="1" applyAlignment="1">
      <alignment horizontal="center"/>
    </xf>
    <xf numFmtId="10" fontId="14" fillId="0" borderId="28" xfId="0" applyNumberFormat="1" applyFont="1" applyBorder="1" applyAlignment="1">
      <alignment horizontal="right"/>
    </xf>
    <xf numFmtId="0" fontId="0" fillId="0" borderId="28" xfId="0" applyFont="1" applyBorder="1" applyAlignment="1">
      <alignment horizontal="center"/>
    </xf>
    <xf numFmtId="10" fontId="0" fillId="0" borderId="28" xfId="0" applyNumberFormat="1" applyFont="1" applyBorder="1" applyAlignment="1">
      <alignment horizontal="right"/>
    </xf>
    <xf numFmtId="0" fontId="31" fillId="0" borderId="28" xfId="0" applyFont="1" applyBorder="1" applyAlignment="1">
      <alignment horizontal="center"/>
    </xf>
    <xf numFmtId="10" fontId="15" fillId="0" borderId="29" xfId="0" applyNumberFormat="1" applyFont="1" applyBorder="1" applyAlignment="1">
      <alignment horizontal="right"/>
    </xf>
    <xf numFmtId="0" fontId="25" fillId="0" borderId="19" xfId="0" applyFont="1" applyBorder="1" applyAlignment="1"/>
    <xf numFmtId="0" fontId="32" fillId="0" borderId="19" xfId="0" applyFont="1" applyBorder="1" applyAlignment="1">
      <alignment horizontal="center"/>
    </xf>
    <xf numFmtId="10" fontId="32" fillId="0" borderId="19" xfId="0" applyNumberFormat="1" applyFont="1" applyBorder="1" applyAlignment="1">
      <alignment horizontal="right"/>
    </xf>
    <xf numFmtId="0" fontId="17" fillId="0" borderId="19" xfId="0" applyFont="1" applyBorder="1" applyAlignment="1">
      <alignment horizontal="center"/>
    </xf>
    <xf numFmtId="10" fontId="17" fillId="0" borderId="19" xfId="0" applyNumberFormat="1" applyFont="1" applyBorder="1" applyAlignment="1">
      <alignment horizontal="right"/>
    </xf>
    <xf numFmtId="0" fontId="31" fillId="0" borderId="19" xfId="0" applyFont="1" applyBorder="1" applyAlignment="1">
      <alignment horizontal="center"/>
    </xf>
    <xf numFmtId="10" fontId="31" fillId="0" borderId="19" xfId="0" applyNumberFormat="1" applyFont="1" applyBorder="1" applyAlignment="1">
      <alignment horizontal="right"/>
    </xf>
    <xf numFmtId="0" fontId="13" fillId="7" borderId="0" xfId="0" applyFont="1" applyFill="1" applyAlignment="1"/>
    <xf numFmtId="0" fontId="25" fillId="0" borderId="30" xfId="0" applyFont="1" applyBorder="1" applyAlignment="1"/>
    <xf numFmtId="0" fontId="14" fillId="0" borderId="21" xfId="0" applyFont="1" applyBorder="1" applyAlignment="1">
      <alignment horizontal="center"/>
    </xf>
    <xf numFmtId="10" fontId="14" fillId="0" borderId="19" xfId="0" applyNumberFormat="1" applyFont="1" applyBorder="1" applyAlignment="1">
      <alignment horizontal="right"/>
    </xf>
    <xf numFmtId="0" fontId="0" fillId="0" borderId="19" xfId="0" applyFont="1" applyBorder="1" applyAlignment="1">
      <alignment horizontal="center"/>
    </xf>
    <xf numFmtId="10" fontId="0" fillId="0" borderId="19" xfId="0" applyNumberFormat="1" applyFont="1" applyBorder="1" applyAlignment="1">
      <alignment horizontal="right"/>
    </xf>
    <xf numFmtId="0" fontId="31" fillId="0" borderId="19" xfId="0" applyFont="1" applyBorder="1" applyAlignment="1">
      <alignment horizontal="center"/>
    </xf>
    <xf numFmtId="10" fontId="15" fillId="0" borderId="22" xfId="0" applyNumberFormat="1" applyFont="1" applyBorder="1" applyAlignment="1">
      <alignment horizontal="right"/>
    </xf>
    <xf numFmtId="0" fontId="33" fillId="7" borderId="0" xfId="0" applyFont="1" applyFill="1" applyAlignment="1">
      <alignment horizontal="left"/>
    </xf>
    <xf numFmtId="0" fontId="19" fillId="0" borderId="19" xfId="0" applyFont="1" applyBorder="1" applyAlignment="1">
      <alignment horizontal="center"/>
    </xf>
    <xf numFmtId="0" fontId="25" fillId="0" borderId="19" xfId="0" applyFont="1" applyBorder="1" applyAlignment="1">
      <alignment horizontal="center"/>
    </xf>
    <xf numFmtId="0" fontId="24" fillId="7" borderId="0" xfId="0" applyFont="1" applyFill="1" applyAlignment="1"/>
    <xf numFmtId="0" fontId="25" fillId="0" borderId="31" xfId="0" applyFont="1" applyBorder="1" applyAlignment="1"/>
    <xf numFmtId="0" fontId="14" fillId="0" borderId="32" xfId="0" applyFont="1" applyBorder="1" applyAlignment="1">
      <alignment horizontal="center"/>
    </xf>
    <xf numFmtId="10" fontId="14" fillId="0" borderId="33" xfId="0" applyNumberFormat="1" applyFont="1" applyBorder="1" applyAlignment="1">
      <alignment horizontal="right"/>
    </xf>
    <xf numFmtId="0" fontId="0" fillId="0" borderId="33" xfId="0" applyFont="1" applyBorder="1" applyAlignment="1">
      <alignment horizontal="center"/>
    </xf>
    <xf numFmtId="10" fontId="0" fillId="0" borderId="33" xfId="0" applyNumberFormat="1" applyFont="1" applyBorder="1" applyAlignment="1">
      <alignment horizontal="right"/>
    </xf>
    <xf numFmtId="0" fontId="31" fillId="0" borderId="33" xfId="0" applyFont="1" applyBorder="1" applyAlignment="1">
      <alignment horizontal="center"/>
    </xf>
    <xf numFmtId="10" fontId="15" fillId="0" borderId="34" xfId="0" applyNumberFormat="1" applyFont="1" applyBorder="1" applyAlignment="1">
      <alignment horizontal="right"/>
    </xf>
    <xf numFmtId="0" fontId="29" fillId="7" borderId="0" xfId="0" applyFont="1" applyFill="1" applyAlignment="1"/>
    <xf numFmtId="0" fontId="25" fillId="7" borderId="0" xfId="0" applyFont="1" applyFill="1" applyAlignment="1"/>
    <xf numFmtId="0" fontId="19" fillId="0" borderId="0" xfId="0" applyFont="1"/>
    <xf numFmtId="0" fontId="13" fillId="0" borderId="0" xfId="0" applyFont="1"/>
    <xf numFmtId="0" fontId="24" fillId="0" borderId="0" xfId="0" applyFont="1" applyAlignment="1"/>
    <xf numFmtId="0" fontId="25" fillId="0" borderId="0" xfId="0" applyFont="1" applyAlignment="1"/>
    <xf numFmtId="0" fontId="24" fillId="0" borderId="0" xfId="0" applyFont="1" applyAlignment="1"/>
    <xf numFmtId="0" fontId="39" fillId="0" borderId="0" xfId="0" applyFont="1" applyAlignment="1"/>
    <xf numFmtId="0" fontId="40" fillId="0" borderId="0" xfId="0" applyFont="1" applyAlignment="1"/>
    <xf numFmtId="0" fontId="44" fillId="0" borderId="0" xfId="0" applyFont="1" applyAlignment="1"/>
    <xf numFmtId="0" fontId="0" fillId="0" borderId="19" xfId="0" applyFont="1" applyBorder="1"/>
    <xf numFmtId="164" fontId="19" fillId="0" borderId="19" xfId="0" applyNumberFormat="1" applyFont="1" applyBorder="1"/>
    <xf numFmtId="164" fontId="13" fillId="0" borderId="19" xfId="0" applyNumberFormat="1" applyFont="1" applyBorder="1"/>
    <xf numFmtId="0" fontId="14" fillId="8" borderId="21" xfId="0" applyFont="1" applyFill="1" applyBorder="1" applyAlignment="1">
      <alignment horizontal="center"/>
    </xf>
    <xf numFmtId="0" fontId="14" fillId="8" borderId="19" xfId="0" applyFont="1" applyFill="1" applyBorder="1"/>
    <xf numFmtId="0" fontId="19" fillId="0" borderId="0" xfId="0" applyFont="1" applyAlignment="1">
      <alignment horizontal="center"/>
    </xf>
    <xf numFmtId="0" fontId="14" fillId="0" borderId="0" xfId="0" applyFon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0" fontId="15" fillId="0" borderId="0" xfId="0" applyFont="1" applyAlignment="1">
      <alignment horizontal="center"/>
    </xf>
    <xf numFmtId="0" fontId="18" fillId="0" borderId="0" xfId="0" applyFont="1" applyAlignment="1">
      <alignment horizontal="right"/>
    </xf>
    <xf numFmtId="2" fontId="19" fillId="0" borderId="0" xfId="0" applyNumberFormat="1" applyFont="1" applyAlignment="1">
      <alignment horizontal="right"/>
    </xf>
    <xf numFmtId="164" fontId="0" fillId="0" borderId="0" xfId="0" applyNumberFormat="1" applyFont="1" applyAlignment="1">
      <alignment horizontal="right"/>
    </xf>
    <xf numFmtId="0" fontId="18" fillId="0" borderId="0" xfId="0" applyFont="1"/>
    <xf numFmtId="0" fontId="19" fillId="0" borderId="0" xfId="0" applyFont="1" applyAlignment="1">
      <alignment horizontal="right"/>
    </xf>
    <xf numFmtId="0" fontId="1" fillId="2" borderId="7" xfId="0" applyFont="1" applyFill="1" applyBorder="1" applyAlignment="1"/>
    <xf numFmtId="0" fontId="9" fillId="7" borderId="11" xfId="0" applyFont="1" applyFill="1" applyBorder="1" applyAlignment="1">
      <alignment horizontal="center"/>
    </xf>
    <xf numFmtId="0" fontId="3" fillId="7" borderId="12" xfId="0" applyFont="1" applyFill="1" applyBorder="1" applyAlignment="1">
      <alignment horizontal="center"/>
    </xf>
    <xf numFmtId="0" fontId="9" fillId="7" borderId="35" xfId="0" applyFont="1" applyFill="1" applyBorder="1" applyAlignment="1">
      <alignment horizontal="center"/>
    </xf>
    <xf numFmtId="0" fontId="3" fillId="7" borderId="20" xfId="0" applyFont="1" applyFill="1" applyBorder="1" applyAlignment="1">
      <alignment horizontal="center"/>
    </xf>
    <xf numFmtId="0" fontId="9" fillId="7" borderId="12" xfId="0" applyFont="1" applyFill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1" xfId="0" applyFont="1" applyBorder="1" applyAlignment="1">
      <alignment horizontal="right"/>
    </xf>
    <xf numFmtId="2" fontId="32" fillId="0" borderId="19" xfId="0" applyNumberFormat="1" applyFont="1" applyBorder="1" applyAlignment="1">
      <alignment horizontal="right"/>
    </xf>
    <xf numFmtId="0" fontId="18" fillId="0" borderId="11" xfId="0" applyFont="1" applyBorder="1" applyAlignment="1">
      <alignment horizontal="right"/>
    </xf>
    <xf numFmtId="0" fontId="0" fillId="0" borderId="11" xfId="0" applyFont="1" applyBorder="1" applyAlignment="1">
      <alignment horizontal="right"/>
    </xf>
    <xf numFmtId="0" fontId="0" fillId="0" borderId="12" xfId="0" applyFont="1" applyBorder="1" applyAlignment="1">
      <alignment horizontal="right"/>
    </xf>
    <xf numFmtId="0" fontId="18" fillId="0" borderId="11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14" fillId="0" borderId="12" xfId="0" applyFont="1" applyBorder="1" applyAlignment="1">
      <alignment horizontal="center"/>
    </xf>
    <xf numFmtId="0" fontId="14" fillId="0" borderId="11" xfId="0" applyFont="1" applyBorder="1" applyAlignment="1">
      <alignment horizontal="right"/>
    </xf>
    <xf numFmtId="0" fontId="18" fillId="0" borderId="11" xfId="0" applyFont="1" applyBorder="1" applyAlignment="1">
      <alignment horizontal="right"/>
    </xf>
    <xf numFmtId="0" fontId="0" fillId="0" borderId="11" xfId="0" applyFont="1" applyBorder="1" applyAlignment="1">
      <alignment horizontal="right"/>
    </xf>
    <xf numFmtId="0" fontId="0" fillId="0" borderId="12" xfId="0" applyFont="1" applyBorder="1" applyAlignment="1">
      <alignment horizontal="right"/>
    </xf>
    <xf numFmtId="0" fontId="18" fillId="0" borderId="11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14" fillId="0" borderId="12" xfId="0" applyFont="1" applyBorder="1" applyAlignment="1">
      <alignment horizontal="center"/>
    </xf>
    <xf numFmtId="0" fontId="9" fillId="0" borderId="11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0" fontId="3" fillId="0" borderId="11" xfId="0" applyFont="1" applyBorder="1" applyAlignment="1">
      <alignment horizontal="right"/>
    </xf>
    <xf numFmtId="0" fontId="3" fillId="0" borderId="12" xfId="0" applyFont="1" applyBorder="1" applyAlignment="1">
      <alignment horizontal="right"/>
    </xf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2" fontId="18" fillId="0" borderId="11" xfId="0" applyNumberFormat="1" applyFont="1" applyBorder="1" applyAlignment="1">
      <alignment horizontal="right"/>
    </xf>
    <xf numFmtId="2" fontId="18" fillId="8" borderId="11" xfId="0" applyNumberFormat="1" applyFont="1" applyFill="1" applyBorder="1" applyAlignment="1">
      <alignment horizontal="right"/>
    </xf>
    <xf numFmtId="2" fontId="11" fillId="0" borderId="11" xfId="0" applyNumberFormat="1" applyFont="1" applyBorder="1" applyAlignment="1">
      <alignment horizontal="right"/>
    </xf>
    <xf numFmtId="0" fontId="3" fillId="0" borderId="20" xfId="0" applyFont="1" applyBorder="1" applyAlignment="1">
      <alignment horizontal="right"/>
    </xf>
    <xf numFmtId="164" fontId="3" fillId="0" borderId="19" xfId="0" applyNumberFormat="1" applyFont="1" applyBorder="1"/>
    <xf numFmtId="164" fontId="3" fillId="0" borderId="22" xfId="0" applyNumberFormat="1" applyFont="1" applyBorder="1"/>
    <xf numFmtId="0" fontId="9" fillId="0" borderId="11" xfId="0" applyFont="1" applyBorder="1" applyAlignment="1">
      <alignment horizontal="right"/>
    </xf>
    <xf numFmtId="0" fontId="9" fillId="0" borderId="12" xfId="0" applyFont="1" applyBorder="1" applyAlignment="1">
      <alignment horizontal="right"/>
    </xf>
    <xf numFmtId="164" fontId="3" fillId="0" borderId="1" xfId="0" applyNumberFormat="1" applyFont="1" applyBorder="1"/>
    <xf numFmtId="0" fontId="0" fillId="0" borderId="20" xfId="0" applyFont="1" applyBorder="1" applyAlignment="1">
      <alignment horizontal="right"/>
    </xf>
    <xf numFmtId="2" fontId="16" fillId="0" borderId="19" xfId="0" applyNumberFormat="1" applyFont="1" applyBorder="1" applyAlignment="1">
      <alignment horizontal="right"/>
    </xf>
    <xf numFmtId="0" fontId="16" fillId="0" borderId="23" xfId="0" applyFont="1" applyBorder="1" applyAlignment="1">
      <alignment horizontal="right"/>
    </xf>
    <xf numFmtId="0" fontId="14" fillId="0" borderId="12" xfId="0" applyFont="1" applyBorder="1" applyAlignment="1">
      <alignment horizontal="right"/>
    </xf>
    <xf numFmtId="2" fontId="12" fillId="0" borderId="19" xfId="0" applyNumberFormat="1" applyFont="1" applyBorder="1" applyAlignment="1">
      <alignment horizontal="right"/>
    </xf>
    <xf numFmtId="0" fontId="12" fillId="0" borderId="23" xfId="0" applyFont="1" applyBorder="1" applyAlignment="1">
      <alignment horizontal="right"/>
    </xf>
    <xf numFmtId="2" fontId="11" fillId="8" borderId="11" xfId="0" applyNumberFormat="1" applyFont="1" applyFill="1" applyBorder="1" applyAlignment="1">
      <alignment horizontal="right"/>
    </xf>
    <xf numFmtId="164" fontId="13" fillId="0" borderId="22" xfId="0" applyNumberFormat="1" applyFont="1" applyBorder="1"/>
    <xf numFmtId="0" fontId="24" fillId="7" borderId="0" xfId="0" applyFont="1" applyFill="1" applyAlignment="1"/>
    <xf numFmtId="0" fontId="25" fillId="7" borderId="36" xfId="0" applyFont="1" applyFill="1" applyBorder="1" applyAlignment="1"/>
    <xf numFmtId="0" fontId="24" fillId="7" borderId="36" xfId="0" applyFont="1" applyFill="1" applyBorder="1" applyAlignment="1"/>
    <xf numFmtId="0" fontId="14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25" fillId="0" borderId="0" xfId="0" applyFont="1" applyAlignment="1"/>
    <xf numFmtId="0" fontId="25" fillId="0" borderId="0" xfId="0" applyFont="1"/>
    <xf numFmtId="0" fontId="25" fillId="7" borderId="7" xfId="0" applyFont="1" applyFill="1" applyBorder="1" applyAlignment="1">
      <alignment horizontal="center"/>
    </xf>
    <xf numFmtId="167" fontId="24" fillId="2" borderId="33" xfId="0" applyNumberFormat="1" applyFont="1" applyFill="1" applyBorder="1"/>
    <xf numFmtId="0" fontId="24" fillId="7" borderId="11" xfId="0" applyFont="1" applyFill="1" applyBorder="1" applyAlignment="1">
      <alignment horizontal="center"/>
    </xf>
    <xf numFmtId="0" fontId="12" fillId="7" borderId="11" xfId="0" applyFont="1" applyFill="1" applyBorder="1" applyAlignment="1">
      <alignment horizontal="center"/>
    </xf>
    <xf numFmtId="0" fontId="47" fillId="7" borderId="11" xfId="0" applyFont="1" applyFill="1" applyBorder="1" applyAlignment="1">
      <alignment horizontal="center"/>
    </xf>
    <xf numFmtId="0" fontId="30" fillId="7" borderId="11" xfId="0" applyFont="1" applyFill="1" applyBorder="1" applyAlignment="1">
      <alignment horizontal="center"/>
    </xf>
    <xf numFmtId="0" fontId="29" fillId="7" borderId="11" xfId="0" applyFont="1" applyFill="1" applyBorder="1" applyAlignment="1">
      <alignment horizontal="center"/>
    </xf>
    <xf numFmtId="167" fontId="29" fillId="7" borderId="11" xfId="0" applyNumberFormat="1" applyFont="1" applyFill="1" applyBorder="1" applyAlignment="1">
      <alignment horizontal="center"/>
    </xf>
    <xf numFmtId="167" fontId="24" fillId="7" borderId="11" xfId="0" quotePrefix="1" applyNumberFormat="1" applyFont="1" applyFill="1" applyBorder="1" applyAlignment="1">
      <alignment horizontal="center"/>
    </xf>
    <xf numFmtId="0" fontId="25" fillId="7" borderId="19" xfId="0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48" fillId="0" borderId="19" xfId="0" applyFont="1" applyBorder="1" applyAlignment="1">
      <alignment horizontal="center"/>
    </xf>
    <xf numFmtId="0" fontId="31" fillId="0" borderId="19" xfId="0" applyFont="1" applyBorder="1" applyAlignment="1">
      <alignment horizontal="center"/>
    </xf>
    <xf numFmtId="0" fontId="32" fillId="0" borderId="19" xfId="0" applyFont="1" applyBorder="1" applyAlignment="1">
      <alignment horizontal="right"/>
    </xf>
    <xf numFmtId="167" fontId="32" fillId="0" borderId="19" xfId="0" applyNumberFormat="1" applyFont="1" applyBorder="1" applyAlignment="1">
      <alignment horizontal="right"/>
    </xf>
    <xf numFmtId="0" fontId="25" fillId="0" borderId="19" xfId="0" applyFont="1" applyBorder="1" applyAlignment="1">
      <alignment horizontal="right"/>
    </xf>
    <xf numFmtId="167" fontId="24" fillId="0" borderId="19" xfId="0" applyNumberFormat="1" applyFont="1" applyBorder="1"/>
    <xf numFmtId="0" fontId="25" fillId="7" borderId="19" xfId="0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48" fillId="0" borderId="19" xfId="0" applyFont="1" applyBorder="1" applyAlignment="1">
      <alignment horizontal="center"/>
    </xf>
    <xf numFmtId="167" fontId="32" fillId="0" borderId="19" xfId="0" applyNumberFormat="1" applyFont="1" applyBorder="1" applyAlignment="1">
      <alignment horizontal="right"/>
    </xf>
    <xf numFmtId="0" fontId="24" fillId="7" borderId="19" xfId="0" applyFont="1" applyFill="1" applyBorder="1" applyAlignment="1">
      <alignment horizontal="center"/>
    </xf>
    <xf numFmtId="0" fontId="12" fillId="0" borderId="19" xfId="0" applyFont="1" applyBorder="1" applyAlignment="1">
      <alignment horizontal="center"/>
    </xf>
    <xf numFmtId="0" fontId="47" fillId="0" borderId="19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29" fillId="0" borderId="19" xfId="0" applyFont="1" applyBorder="1" applyAlignment="1">
      <alignment horizontal="right"/>
    </xf>
    <xf numFmtId="167" fontId="29" fillId="0" borderId="19" xfId="0" applyNumberFormat="1" applyFont="1" applyBorder="1" applyAlignment="1">
      <alignment horizontal="right"/>
    </xf>
    <xf numFmtId="0" fontId="24" fillId="0" borderId="19" xfId="0" applyFont="1" applyBorder="1" applyAlignment="1">
      <alignment horizontal="right"/>
    </xf>
    <xf numFmtId="167" fontId="25" fillId="0" borderId="19" xfId="0" applyNumberFormat="1" applyFont="1" applyBorder="1"/>
    <xf numFmtId="0" fontId="25" fillId="7" borderId="27" xfId="0" applyFont="1" applyFill="1" applyBorder="1"/>
    <xf numFmtId="0" fontId="25" fillId="7" borderId="28" xfId="0" applyFont="1" applyFill="1" applyBorder="1"/>
    <xf numFmtId="0" fontId="25" fillId="7" borderId="21" xfId="0" applyFont="1" applyFill="1" applyBorder="1"/>
    <xf numFmtId="0" fontId="25" fillId="7" borderId="19" xfId="0" applyFont="1" applyFill="1" applyBorder="1"/>
    <xf numFmtId="0" fontId="25" fillId="7" borderId="22" xfId="0" applyFont="1" applyFill="1" applyBorder="1"/>
    <xf numFmtId="0" fontId="24" fillId="7" borderId="19" xfId="0" applyFont="1" applyFill="1" applyBorder="1" applyAlignment="1"/>
    <xf numFmtId="0" fontId="24" fillId="7" borderId="21" xfId="0" applyFont="1" applyFill="1" applyBorder="1"/>
    <xf numFmtId="0" fontId="24" fillId="7" borderId="19" xfId="0" applyFont="1" applyFill="1" applyBorder="1"/>
    <xf numFmtId="0" fontId="24" fillId="7" borderId="22" xfId="0" applyFont="1" applyFill="1" applyBorder="1"/>
    <xf numFmtId="0" fontId="24" fillId="7" borderId="0" xfId="0" applyFont="1" applyFill="1" applyAlignment="1"/>
    <xf numFmtId="0" fontId="24" fillId="7" borderId="32" xfId="0" applyFont="1" applyFill="1" applyBorder="1"/>
    <xf numFmtId="0" fontId="24" fillId="7" borderId="33" xfId="0" applyFont="1" applyFill="1" applyBorder="1"/>
    <xf numFmtId="0" fontId="24" fillId="7" borderId="34" xfId="0" applyFont="1" applyFill="1" applyBorder="1"/>
    <xf numFmtId="0" fontId="16" fillId="0" borderId="19" xfId="0" applyFont="1" applyBorder="1" applyAlignment="1">
      <alignment horizontal="center"/>
    </xf>
    <xf numFmtId="0" fontId="48" fillId="0" borderId="19" xfId="0" applyFont="1" applyBorder="1" applyAlignment="1">
      <alignment horizontal="center"/>
    </xf>
    <xf numFmtId="0" fontId="31" fillId="0" borderId="19" xfId="0" applyFont="1" applyBorder="1" applyAlignment="1">
      <alignment horizontal="center"/>
    </xf>
    <xf numFmtId="0" fontId="12" fillId="0" borderId="19" xfId="0" applyFont="1" applyBorder="1" applyAlignment="1">
      <alignment horizontal="center"/>
    </xf>
    <xf numFmtId="0" fontId="47" fillId="0" borderId="19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25" fillId="7" borderId="0" xfId="0" applyFont="1" applyFill="1" applyAlignment="1"/>
    <xf numFmtId="0" fontId="25" fillId="7" borderId="0" xfId="0" applyFont="1" applyFill="1" applyAlignment="1"/>
    <xf numFmtId="0" fontId="2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167" fontId="32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7" fontId="24" fillId="0" borderId="0" xfId="0" applyNumberFormat="1" applyFont="1"/>
    <xf numFmtId="0" fontId="49" fillId="0" borderId="0" xfId="0" applyFont="1" applyAlignment="1"/>
    <xf numFmtId="0" fontId="50" fillId="2" borderId="7" xfId="0" applyFont="1" applyFill="1" applyBorder="1" applyAlignment="1"/>
    <xf numFmtId="0" fontId="46" fillId="3" borderId="7" xfId="0" applyFont="1" applyFill="1" applyBorder="1" applyAlignment="1">
      <alignment horizontal="center"/>
    </xf>
    <xf numFmtId="0" fontId="46" fillId="3" borderId="7" xfId="0" applyFont="1" applyFill="1" applyBorder="1"/>
    <xf numFmtId="0" fontId="46" fillId="0" borderId="0" xfId="0" applyFont="1"/>
    <xf numFmtId="0" fontId="24" fillId="7" borderId="11" xfId="0" applyFont="1" applyFill="1" applyBorder="1"/>
    <xf numFmtId="0" fontId="24" fillId="7" borderId="11" xfId="0" applyFont="1" applyFill="1" applyBorder="1" applyAlignment="1">
      <alignment horizontal="center"/>
    </xf>
    <xf numFmtId="0" fontId="24" fillId="7" borderId="20" xfId="0" applyFont="1" applyFill="1" applyBorder="1"/>
    <xf numFmtId="0" fontId="29" fillId="7" borderId="10" xfId="0" applyFont="1" applyFill="1" applyBorder="1"/>
    <xf numFmtId="0" fontId="46" fillId="7" borderId="11" xfId="0" applyFont="1" applyFill="1" applyBorder="1" applyAlignment="1">
      <alignment horizontal="right"/>
    </xf>
    <xf numFmtId="0" fontId="30" fillId="7" borderId="11" xfId="0" applyFont="1" applyFill="1" applyBorder="1"/>
    <xf numFmtId="0" fontId="47" fillId="7" borderId="39" xfId="0" applyFont="1" applyFill="1" applyBorder="1" applyAlignment="1"/>
    <xf numFmtId="0" fontId="29" fillId="7" borderId="35" xfId="0" applyFont="1" applyFill="1" applyBorder="1" applyAlignment="1">
      <alignment horizontal="center"/>
    </xf>
    <xf numFmtId="0" fontId="30" fillId="7" borderId="12" xfId="0" applyFont="1" applyFill="1" applyBorder="1" applyAlignment="1">
      <alignment horizontal="center"/>
    </xf>
    <xf numFmtId="0" fontId="29" fillId="7" borderId="35" xfId="0" applyFont="1" applyFill="1" applyBorder="1" applyAlignment="1"/>
    <xf numFmtId="0" fontId="24" fillId="7" borderId="11" xfId="0" applyFont="1" applyFill="1" applyBorder="1" applyAlignment="1"/>
    <xf numFmtId="0" fontId="29" fillId="7" borderId="11" xfId="0" applyFont="1" applyFill="1" applyBorder="1" applyAlignment="1">
      <alignment horizontal="center"/>
    </xf>
    <xf numFmtId="0" fontId="24" fillId="7" borderId="12" xfId="0" applyFont="1" applyFill="1" applyBorder="1" applyAlignment="1">
      <alignment horizontal="center"/>
    </xf>
    <xf numFmtId="0" fontId="46" fillId="7" borderId="11" xfId="0" applyFont="1" applyFill="1" applyBorder="1" applyAlignment="1"/>
    <xf numFmtId="0" fontId="24" fillId="7" borderId="20" xfId="0" applyFont="1" applyFill="1" applyBorder="1" applyAlignment="1">
      <alignment horizontal="center"/>
    </xf>
    <xf numFmtId="0" fontId="29" fillId="7" borderId="10" xfId="0" applyFont="1" applyFill="1" applyBorder="1" applyAlignment="1"/>
    <xf numFmtId="165" fontId="25" fillId="7" borderId="19" xfId="0" applyNumberFormat="1" applyFont="1" applyFill="1" applyBorder="1"/>
    <xf numFmtId="0" fontId="25" fillId="7" borderId="19" xfId="0" applyFont="1" applyFill="1" applyBorder="1" applyAlignment="1">
      <alignment horizontal="center"/>
    </xf>
    <xf numFmtId="0" fontId="25" fillId="0" borderId="1" xfId="0" applyFont="1" applyBorder="1"/>
    <xf numFmtId="0" fontId="32" fillId="0" borderId="21" xfId="0" applyFont="1" applyBorder="1"/>
    <xf numFmtId="0" fontId="17" fillId="0" borderId="19" xfId="0" applyFont="1" applyBorder="1" applyAlignment="1">
      <alignment horizontal="right"/>
    </xf>
    <xf numFmtId="0" fontId="31" fillId="0" borderId="19" xfId="0" applyFont="1" applyBorder="1" applyAlignment="1"/>
    <xf numFmtId="0" fontId="48" fillId="0" borderId="40" xfId="0" applyFont="1" applyBorder="1" applyAlignment="1"/>
    <xf numFmtId="0" fontId="32" fillId="0" borderId="23" xfId="0" applyFont="1" applyBorder="1" applyAlignment="1">
      <alignment horizontal="center"/>
    </xf>
    <xf numFmtId="0" fontId="25" fillId="0" borderId="19" xfId="0" applyFont="1" applyBorder="1" applyAlignment="1">
      <alignment horizontal="center"/>
    </xf>
    <xf numFmtId="0" fontId="31" fillId="0" borderId="22" xfId="0" applyFont="1" applyBorder="1" applyAlignment="1">
      <alignment horizontal="center"/>
    </xf>
    <xf numFmtId="0" fontId="32" fillId="0" borderId="19" xfId="0" applyFont="1" applyBorder="1" applyAlignment="1"/>
    <xf numFmtId="0" fontId="32" fillId="0" borderId="19" xfId="0" applyFont="1" applyBorder="1" applyAlignment="1">
      <alignment horizontal="center"/>
    </xf>
    <xf numFmtId="0" fontId="25" fillId="0" borderId="22" xfId="0" applyFont="1" applyBorder="1" applyAlignment="1">
      <alignment horizontal="center"/>
    </xf>
    <xf numFmtId="0" fontId="32" fillId="0" borderId="23" xfId="0" applyFont="1" applyBorder="1" applyAlignment="1"/>
    <xf numFmtId="0" fontId="17" fillId="0" borderId="19" xfId="0" applyFont="1" applyBorder="1" applyAlignment="1"/>
    <xf numFmtId="0" fontId="25" fillId="0" borderId="1" xfId="0" applyFont="1" applyBorder="1" applyAlignment="1">
      <alignment horizontal="center"/>
    </xf>
    <xf numFmtId="0" fontId="32" fillId="0" borderId="21" xfId="0" applyFont="1" applyBorder="1" applyAlignment="1"/>
    <xf numFmtId="0" fontId="32" fillId="0" borderId="23" xfId="0" applyFont="1" applyBorder="1" applyAlignment="1">
      <alignment horizontal="center"/>
    </xf>
    <xf numFmtId="0" fontId="25" fillId="0" borderId="19" xfId="0" applyFont="1" applyBorder="1" applyAlignment="1">
      <alignment horizontal="center"/>
    </xf>
    <xf numFmtId="0" fontId="31" fillId="0" borderId="22" xfId="0" applyFont="1" applyBorder="1" applyAlignment="1">
      <alignment horizontal="center"/>
    </xf>
    <xf numFmtId="0" fontId="32" fillId="0" borderId="19" xfId="0" applyFont="1" applyBorder="1"/>
    <xf numFmtId="0" fontId="25" fillId="0" borderId="19" xfId="0" applyFont="1" applyBorder="1"/>
    <xf numFmtId="0" fontId="32" fillId="0" borderId="19" xfId="0" applyFont="1" applyBorder="1" applyAlignment="1">
      <alignment horizontal="center"/>
    </xf>
    <xf numFmtId="0" fontId="25" fillId="0" borderId="22" xfId="0" applyFont="1" applyBorder="1" applyAlignment="1">
      <alignment horizontal="center"/>
    </xf>
    <xf numFmtId="0" fontId="32" fillId="0" borderId="23" xfId="0" applyFont="1" applyBorder="1"/>
    <xf numFmtId="0" fontId="17" fillId="0" borderId="19" xfId="0" applyFont="1" applyBorder="1"/>
    <xf numFmtId="0" fontId="25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165" fontId="17" fillId="7" borderId="19" xfId="0" applyNumberFormat="1" applyFont="1" applyFill="1" applyBorder="1" applyAlignment="1">
      <alignment horizontal="right"/>
    </xf>
    <xf numFmtId="0" fontId="31" fillId="0" borderId="19" xfId="0" applyFont="1" applyBorder="1"/>
    <xf numFmtId="165" fontId="46" fillId="7" borderId="19" xfId="0" applyNumberFormat="1" applyFont="1" applyFill="1" applyBorder="1" applyAlignment="1">
      <alignment horizontal="right"/>
    </xf>
    <xf numFmtId="0" fontId="48" fillId="0" borderId="40" xfId="0" applyFont="1" applyBorder="1"/>
    <xf numFmtId="165" fontId="25" fillId="0" borderId="0" xfId="0" applyNumberFormat="1" applyFont="1"/>
    <xf numFmtId="0" fontId="32" fillId="0" borderId="0" xfId="0" applyFont="1"/>
    <xf numFmtId="0" fontId="17" fillId="0" borderId="0" xfId="0" applyFont="1" applyAlignment="1">
      <alignment horizontal="right"/>
    </xf>
    <xf numFmtId="0" fontId="31" fillId="0" borderId="0" xfId="0" applyFont="1"/>
    <xf numFmtId="0" fontId="48" fillId="0" borderId="0" xfId="0" applyFont="1"/>
    <xf numFmtId="0" fontId="32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25" fillId="0" borderId="0" xfId="0" applyFont="1"/>
    <xf numFmtId="0" fontId="17" fillId="0" borderId="0" xfId="0" applyFont="1"/>
    <xf numFmtId="0" fontId="32" fillId="0" borderId="0" xfId="0" applyFont="1"/>
    <xf numFmtId="0" fontId="17" fillId="0" borderId="0" xfId="0" applyFont="1" applyAlignment="1">
      <alignment horizontal="right"/>
    </xf>
    <xf numFmtId="0" fontId="31" fillId="0" borderId="0" xfId="0" applyFont="1"/>
    <xf numFmtId="0" fontId="48" fillId="0" borderId="0" xfId="0" applyFont="1"/>
    <xf numFmtId="0" fontId="32" fillId="0" borderId="0" xfId="0" applyFont="1" applyAlignment="1">
      <alignment horizontal="center"/>
    </xf>
    <xf numFmtId="0" fontId="17" fillId="0" borderId="0" xfId="0" applyFont="1"/>
    <xf numFmtId="0" fontId="4" fillId="4" borderId="2" xfId="0" applyFont="1" applyFill="1" applyBorder="1" applyAlignment="1">
      <alignment horizontal="center"/>
    </xf>
    <xf numFmtId="0" fontId="5" fillId="0" borderId="3" xfId="0" applyFont="1" applyBorder="1"/>
    <xf numFmtId="0" fontId="5" fillId="0" borderId="4" xfId="0" applyFont="1" applyBorder="1"/>
    <xf numFmtId="0" fontId="4" fillId="5" borderId="2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vertical="center"/>
    </xf>
    <xf numFmtId="0" fontId="5" fillId="0" borderId="9" xfId="0" applyFont="1" applyBorder="1"/>
    <xf numFmtId="0" fontId="7" fillId="3" borderId="2" xfId="0" applyFont="1" applyFill="1" applyBorder="1" applyAlignment="1">
      <alignment horizontal="center"/>
    </xf>
    <xf numFmtId="0" fontId="13" fillId="2" borderId="2" xfId="0" applyFont="1" applyFill="1" applyBorder="1" applyAlignment="1">
      <alignment horizontal="center"/>
    </xf>
    <xf numFmtId="0" fontId="13" fillId="2" borderId="16" xfId="0" applyFont="1" applyFill="1" applyBorder="1" applyAlignment="1">
      <alignment horizontal="center"/>
    </xf>
    <xf numFmtId="0" fontId="5" fillId="0" borderId="17" xfId="0" applyFont="1" applyBorder="1"/>
    <xf numFmtId="0" fontId="11" fillId="7" borderId="0" xfId="0" applyFont="1" applyFill="1" applyAlignment="1">
      <alignment horizontal="center"/>
    </xf>
    <xf numFmtId="0" fontId="0" fillId="0" borderId="0" xfId="0" applyFont="1" applyAlignment="1"/>
    <xf numFmtId="0" fontId="20" fillId="7" borderId="0" xfId="0" applyFont="1" applyFill="1" applyAlignment="1"/>
    <xf numFmtId="0" fontId="21" fillId="7" borderId="0" xfId="0" applyFont="1" applyFill="1" applyAlignment="1">
      <alignment horizontal="right"/>
    </xf>
    <xf numFmtId="0" fontId="22" fillId="7" borderId="0" xfId="0" applyFont="1" applyFill="1" applyAlignment="1">
      <alignment horizontal="right"/>
    </xf>
    <xf numFmtId="0" fontId="26" fillId="7" borderId="0" xfId="0" applyFont="1" applyFill="1" applyAlignment="1">
      <alignment horizontal="left"/>
    </xf>
    <xf numFmtId="0" fontId="27" fillId="7" borderId="0" xfId="0" applyFont="1" applyFill="1" applyAlignment="1">
      <alignment horizontal="right"/>
    </xf>
    <xf numFmtId="0" fontId="23" fillId="7" borderId="0" xfId="0" applyFont="1" applyFill="1" applyAlignment="1"/>
    <xf numFmtId="0" fontId="28" fillId="7" borderId="0" xfId="0" applyFont="1" applyFill="1" applyAlignment="1"/>
    <xf numFmtId="0" fontId="24" fillId="7" borderId="0" xfId="0" applyFont="1" applyFill="1" applyAlignment="1">
      <alignment horizontal="center"/>
    </xf>
    <xf numFmtId="0" fontId="24" fillId="7" borderId="0" xfId="0" applyFont="1" applyFill="1" applyAlignment="1"/>
    <xf numFmtId="0" fontId="24" fillId="0" borderId="0" xfId="0" applyFont="1" applyAlignment="1"/>
    <xf numFmtId="0" fontId="13" fillId="0" borderId="0" xfId="0" applyFont="1" applyAlignment="1"/>
    <xf numFmtId="0" fontId="29" fillId="0" borderId="0" xfId="0" applyFont="1" applyAlignment="1"/>
    <xf numFmtId="0" fontId="30" fillId="0" borderId="0" xfId="0" applyFont="1" applyAlignment="1"/>
    <xf numFmtId="0" fontId="12" fillId="0" borderId="0" xfId="0" applyFont="1" applyAlignment="1"/>
    <xf numFmtId="0" fontId="24" fillId="0" borderId="0" xfId="0" applyFont="1"/>
    <xf numFmtId="0" fontId="34" fillId="0" borderId="0" xfId="0" applyFont="1" applyAlignment="1"/>
    <xf numFmtId="0" fontId="35" fillId="0" borderId="0" xfId="0" applyFont="1" applyAlignment="1"/>
    <xf numFmtId="0" fontId="36" fillId="0" borderId="0" xfId="0" applyFont="1" applyAlignment="1"/>
    <xf numFmtId="0" fontId="25" fillId="0" borderId="0" xfId="0" applyFont="1" applyAlignment="1"/>
    <xf numFmtId="0" fontId="37" fillId="0" borderId="0" xfId="0" applyFont="1" applyAlignment="1"/>
    <xf numFmtId="0" fontId="38" fillId="0" borderId="0" xfId="0" applyFont="1" applyAlignment="1"/>
    <xf numFmtId="0" fontId="40" fillId="0" borderId="0" xfId="0" applyFont="1" applyAlignment="1"/>
    <xf numFmtId="0" fontId="41" fillId="0" borderId="0" xfId="0" applyFont="1" applyAlignment="1"/>
    <xf numFmtId="0" fontId="42" fillId="0" borderId="0" xfId="0" applyFont="1" applyAlignment="1"/>
    <xf numFmtId="0" fontId="43" fillId="0" borderId="0" xfId="0" applyFont="1" applyAlignment="1"/>
    <xf numFmtId="0" fontId="45" fillId="0" borderId="0" xfId="0" applyFont="1" applyAlignment="1"/>
    <xf numFmtId="0" fontId="44" fillId="0" borderId="0" xfId="0" applyFont="1" applyAlignment="1"/>
    <xf numFmtId="0" fontId="2" fillId="0" borderId="0" xfId="0" applyFont="1" applyAlignment="1"/>
    <xf numFmtId="0" fontId="30" fillId="7" borderId="0" xfId="0" applyFont="1" applyFill="1" applyAlignment="1"/>
    <xf numFmtId="0" fontId="46" fillId="2" borderId="2" xfId="0" applyFont="1" applyFill="1" applyBorder="1" applyAlignment="1">
      <alignment horizontal="center"/>
    </xf>
    <xf numFmtId="167" fontId="24" fillId="2" borderId="2" xfId="0" applyNumberFormat="1" applyFont="1" applyFill="1" applyBorder="1" applyAlignment="1">
      <alignment horizontal="center"/>
    </xf>
    <xf numFmtId="0" fontId="24" fillId="7" borderId="37" xfId="0" applyFont="1" applyFill="1" applyBorder="1" applyAlignment="1"/>
    <xf numFmtId="0" fontId="5" fillId="0" borderId="38" xfId="0" applyFont="1" applyBorder="1"/>
    <xf numFmtId="0" fontId="46" fillId="4" borderId="2" xfId="0" applyFont="1" applyFill="1" applyBorder="1" applyAlignment="1">
      <alignment horizontal="center"/>
    </xf>
  </cellXfs>
  <cellStyles count="1">
    <cellStyle name="Normalny" xfId="0" builtinId="0"/>
  </cellStyles>
  <dxfs count="25">
    <dxf>
      <fill>
        <patternFill patternType="solid">
          <fgColor rgb="FFFF9900"/>
          <bgColor rgb="FFFF9900"/>
        </patternFill>
      </fill>
    </dxf>
    <dxf>
      <font>
        <b/>
      </font>
      <fill>
        <patternFill patternType="none"/>
      </fill>
    </dxf>
    <dxf>
      <fill>
        <patternFill patternType="solid">
          <fgColor rgb="FFFF9900"/>
          <bgColor rgb="FFFF9900"/>
        </patternFill>
      </fill>
    </dxf>
    <dxf>
      <font>
        <b/>
      </font>
      <fill>
        <patternFill patternType="none"/>
      </fill>
    </dxf>
    <dxf>
      <fill>
        <patternFill patternType="solid">
          <fgColor rgb="FFFF9900"/>
          <bgColor rgb="FFFF9900"/>
        </patternFill>
      </fill>
    </dxf>
    <dxf>
      <font>
        <b/>
      </font>
      <fill>
        <patternFill patternType="none"/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9900"/>
          <bgColor rgb="FFFF9900"/>
        </patternFill>
      </fill>
    </dxf>
    <dxf>
      <font>
        <b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9900"/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lang="pl-PL" b="1" i="0">
                <a:solidFill>
                  <a:srgbClr val="000000"/>
                </a:solidFill>
                <a:latin typeface="+mn-lt"/>
              </a:rPr>
              <a:t>COVID-19 współczynnik R(t) dla Polski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'R(t) Polska'!$R$15</c:f>
              <c:strCache>
                <c:ptCount val="1"/>
                <c:pt idx="0">
                  <c:v>R(t) (średnia 7 dni)</c:v>
                </c:pt>
              </c:strCache>
            </c:strRef>
          </c:tx>
          <c:marker>
            <c:symbol val="none"/>
          </c:marker>
          <c:cat>
            <c:numRef>
              <c:f>'R(t) Polska'!$A$16:$A$1000</c:f>
              <c:numCache>
                <c:formatCode>dd\.mm\.yyyy</c:formatCode>
                <c:ptCount val="985"/>
                <c:pt idx="0">
                  <c:v>43906</c:v>
                </c:pt>
                <c:pt idx="1">
                  <c:v>43907</c:v>
                </c:pt>
                <c:pt idx="2">
                  <c:v>43908</c:v>
                </c:pt>
                <c:pt idx="3">
                  <c:v>43909</c:v>
                </c:pt>
                <c:pt idx="4">
                  <c:v>43910</c:v>
                </c:pt>
                <c:pt idx="5">
                  <c:v>43911</c:v>
                </c:pt>
                <c:pt idx="6">
                  <c:v>43912</c:v>
                </c:pt>
                <c:pt idx="7">
                  <c:v>43913</c:v>
                </c:pt>
                <c:pt idx="8">
                  <c:v>43914</c:v>
                </c:pt>
                <c:pt idx="9">
                  <c:v>43915</c:v>
                </c:pt>
                <c:pt idx="10">
                  <c:v>43916</c:v>
                </c:pt>
                <c:pt idx="11">
                  <c:v>43917</c:v>
                </c:pt>
                <c:pt idx="12">
                  <c:v>43918</c:v>
                </c:pt>
                <c:pt idx="13">
                  <c:v>43919</c:v>
                </c:pt>
                <c:pt idx="14">
                  <c:v>43920</c:v>
                </c:pt>
                <c:pt idx="15">
                  <c:v>43921</c:v>
                </c:pt>
                <c:pt idx="16">
                  <c:v>43922</c:v>
                </c:pt>
                <c:pt idx="17">
                  <c:v>43923</c:v>
                </c:pt>
                <c:pt idx="18">
                  <c:v>43924</c:v>
                </c:pt>
                <c:pt idx="19">
                  <c:v>43925</c:v>
                </c:pt>
                <c:pt idx="20">
                  <c:v>43926</c:v>
                </c:pt>
                <c:pt idx="21">
                  <c:v>43927</c:v>
                </c:pt>
                <c:pt idx="22">
                  <c:v>43928</c:v>
                </c:pt>
                <c:pt idx="23">
                  <c:v>43929</c:v>
                </c:pt>
                <c:pt idx="24">
                  <c:v>43930</c:v>
                </c:pt>
                <c:pt idx="25">
                  <c:v>43931</c:v>
                </c:pt>
                <c:pt idx="26">
                  <c:v>43932</c:v>
                </c:pt>
                <c:pt idx="27">
                  <c:v>43933</c:v>
                </c:pt>
                <c:pt idx="28">
                  <c:v>43934</c:v>
                </c:pt>
                <c:pt idx="29">
                  <c:v>43935</c:v>
                </c:pt>
                <c:pt idx="30">
                  <c:v>43936</c:v>
                </c:pt>
                <c:pt idx="31">
                  <c:v>43937</c:v>
                </c:pt>
                <c:pt idx="32">
                  <c:v>43938</c:v>
                </c:pt>
                <c:pt idx="33">
                  <c:v>43939</c:v>
                </c:pt>
                <c:pt idx="34">
                  <c:v>43940</c:v>
                </c:pt>
                <c:pt idx="35">
                  <c:v>43941</c:v>
                </c:pt>
                <c:pt idx="36">
                  <c:v>43942</c:v>
                </c:pt>
                <c:pt idx="37">
                  <c:v>43943</c:v>
                </c:pt>
                <c:pt idx="38">
                  <c:v>43944</c:v>
                </c:pt>
                <c:pt idx="39">
                  <c:v>43945</c:v>
                </c:pt>
                <c:pt idx="40">
                  <c:v>43946</c:v>
                </c:pt>
                <c:pt idx="41">
                  <c:v>43947</c:v>
                </c:pt>
                <c:pt idx="42">
                  <c:v>43948</c:v>
                </c:pt>
                <c:pt idx="43">
                  <c:v>43949</c:v>
                </c:pt>
                <c:pt idx="44">
                  <c:v>43950</c:v>
                </c:pt>
                <c:pt idx="45">
                  <c:v>43951</c:v>
                </c:pt>
                <c:pt idx="46">
                  <c:v>43952</c:v>
                </c:pt>
                <c:pt idx="47">
                  <c:v>43953</c:v>
                </c:pt>
                <c:pt idx="48">
                  <c:v>43954</c:v>
                </c:pt>
                <c:pt idx="49">
                  <c:v>43955</c:v>
                </c:pt>
                <c:pt idx="50">
                  <c:v>43956</c:v>
                </c:pt>
                <c:pt idx="51">
                  <c:v>43957</c:v>
                </c:pt>
                <c:pt idx="52">
                  <c:v>43958</c:v>
                </c:pt>
                <c:pt idx="53">
                  <c:v>43959</c:v>
                </c:pt>
                <c:pt idx="54">
                  <c:v>43960</c:v>
                </c:pt>
                <c:pt idx="55">
                  <c:v>43961</c:v>
                </c:pt>
                <c:pt idx="56">
                  <c:v>43962</c:v>
                </c:pt>
                <c:pt idx="57">
                  <c:v>43963</c:v>
                </c:pt>
                <c:pt idx="58">
                  <c:v>43964</c:v>
                </c:pt>
                <c:pt idx="59">
                  <c:v>43965</c:v>
                </c:pt>
                <c:pt idx="60">
                  <c:v>43966</c:v>
                </c:pt>
                <c:pt idx="61">
                  <c:v>43967</c:v>
                </c:pt>
                <c:pt idx="62">
                  <c:v>43968</c:v>
                </c:pt>
                <c:pt idx="63">
                  <c:v>43969</c:v>
                </c:pt>
                <c:pt idx="64">
                  <c:v>43970</c:v>
                </c:pt>
                <c:pt idx="65">
                  <c:v>43971</c:v>
                </c:pt>
                <c:pt idx="66">
                  <c:v>43972</c:v>
                </c:pt>
                <c:pt idx="67">
                  <c:v>43973</c:v>
                </c:pt>
                <c:pt idx="68">
                  <c:v>43974</c:v>
                </c:pt>
                <c:pt idx="69">
                  <c:v>43975</c:v>
                </c:pt>
                <c:pt idx="70">
                  <c:v>43976</c:v>
                </c:pt>
                <c:pt idx="71">
                  <c:v>43977</c:v>
                </c:pt>
                <c:pt idx="72">
                  <c:v>43978</c:v>
                </c:pt>
                <c:pt idx="73">
                  <c:v>43979</c:v>
                </c:pt>
                <c:pt idx="74">
                  <c:v>43980</c:v>
                </c:pt>
                <c:pt idx="75">
                  <c:v>43981</c:v>
                </c:pt>
                <c:pt idx="76">
                  <c:v>43982</c:v>
                </c:pt>
                <c:pt idx="77">
                  <c:v>43983</c:v>
                </c:pt>
                <c:pt idx="78">
                  <c:v>43984</c:v>
                </c:pt>
                <c:pt idx="79">
                  <c:v>43985</c:v>
                </c:pt>
                <c:pt idx="80">
                  <c:v>43986</c:v>
                </c:pt>
                <c:pt idx="81">
                  <c:v>43987</c:v>
                </c:pt>
                <c:pt idx="82">
                  <c:v>43988</c:v>
                </c:pt>
                <c:pt idx="83">
                  <c:v>43989</c:v>
                </c:pt>
                <c:pt idx="84">
                  <c:v>43990</c:v>
                </c:pt>
                <c:pt idx="85">
                  <c:v>43991</c:v>
                </c:pt>
                <c:pt idx="86">
                  <c:v>43992</c:v>
                </c:pt>
                <c:pt idx="87">
                  <c:v>43993</c:v>
                </c:pt>
                <c:pt idx="88">
                  <c:v>43994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44041</c:v>
                </c:pt>
                <c:pt idx="136">
                  <c:v>44042</c:v>
                </c:pt>
                <c:pt idx="137">
                  <c:v>44043</c:v>
                </c:pt>
                <c:pt idx="138">
                  <c:v>44044</c:v>
                </c:pt>
                <c:pt idx="139">
                  <c:v>44045</c:v>
                </c:pt>
                <c:pt idx="140">
                  <c:v>44046</c:v>
                </c:pt>
                <c:pt idx="141">
                  <c:v>44047</c:v>
                </c:pt>
                <c:pt idx="142">
                  <c:v>44048</c:v>
                </c:pt>
                <c:pt idx="143">
                  <c:v>44049</c:v>
                </c:pt>
                <c:pt idx="144">
                  <c:v>44050</c:v>
                </c:pt>
                <c:pt idx="145">
                  <c:v>44051</c:v>
                </c:pt>
                <c:pt idx="146">
                  <c:v>44052</c:v>
                </c:pt>
                <c:pt idx="147">
                  <c:v>44053</c:v>
                </c:pt>
                <c:pt idx="148">
                  <c:v>44054</c:v>
                </c:pt>
                <c:pt idx="149">
                  <c:v>44055</c:v>
                </c:pt>
                <c:pt idx="150">
                  <c:v>44056</c:v>
                </c:pt>
                <c:pt idx="151">
                  <c:v>44057</c:v>
                </c:pt>
                <c:pt idx="152">
                  <c:v>44058</c:v>
                </c:pt>
                <c:pt idx="153">
                  <c:v>44059</c:v>
                </c:pt>
                <c:pt idx="154">
                  <c:v>44060</c:v>
                </c:pt>
                <c:pt idx="155">
                  <c:v>44061</c:v>
                </c:pt>
                <c:pt idx="156">
                  <c:v>44062</c:v>
                </c:pt>
                <c:pt idx="157">
                  <c:v>44063</c:v>
                </c:pt>
                <c:pt idx="158">
                  <c:v>44064</c:v>
                </c:pt>
                <c:pt idx="159">
                  <c:v>44065</c:v>
                </c:pt>
                <c:pt idx="160">
                  <c:v>44066</c:v>
                </c:pt>
                <c:pt idx="161">
                  <c:v>44067</c:v>
                </c:pt>
                <c:pt idx="162">
                  <c:v>44068</c:v>
                </c:pt>
                <c:pt idx="163">
                  <c:v>44069</c:v>
                </c:pt>
                <c:pt idx="164">
                  <c:v>44070</c:v>
                </c:pt>
                <c:pt idx="165">
                  <c:v>44071</c:v>
                </c:pt>
                <c:pt idx="166">
                  <c:v>44072</c:v>
                </c:pt>
                <c:pt idx="167">
                  <c:v>44073</c:v>
                </c:pt>
                <c:pt idx="168">
                  <c:v>44074</c:v>
                </c:pt>
                <c:pt idx="169">
                  <c:v>44075</c:v>
                </c:pt>
                <c:pt idx="170">
                  <c:v>44076</c:v>
                </c:pt>
                <c:pt idx="171">
                  <c:v>44077</c:v>
                </c:pt>
                <c:pt idx="172">
                  <c:v>44078</c:v>
                </c:pt>
                <c:pt idx="173">
                  <c:v>44079</c:v>
                </c:pt>
                <c:pt idx="174">
                  <c:v>44080</c:v>
                </c:pt>
                <c:pt idx="175">
                  <c:v>44081</c:v>
                </c:pt>
                <c:pt idx="176">
                  <c:v>44082</c:v>
                </c:pt>
                <c:pt idx="177">
                  <c:v>44083</c:v>
                </c:pt>
                <c:pt idx="178">
                  <c:v>44084</c:v>
                </c:pt>
                <c:pt idx="179">
                  <c:v>44085</c:v>
                </c:pt>
                <c:pt idx="180">
                  <c:v>44086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</c:numCache>
            </c:numRef>
          </c:cat>
          <c:val>
            <c:numRef>
              <c:f>'R(t) Polska'!$R$16:$R$1000</c:f>
              <c:numCache>
                <c:formatCode>0.0000</c:formatCode>
                <c:ptCount val="985"/>
                <c:pt idx="0">
                  <c:v>3.5750651433152951</c:v>
                </c:pt>
                <c:pt idx="1">
                  <c:v>3.3205135220449198</c:v>
                </c:pt>
                <c:pt idx="2">
                  <c:v>2.8475394004674044</c:v>
                </c:pt>
                <c:pt idx="3">
                  <c:v>2.7201127767419719</c:v>
                </c:pt>
                <c:pt idx="4">
                  <c:v>2.5801796069483238</c:v>
                </c:pt>
                <c:pt idx="5">
                  <c:v>2.616186895823855</c:v>
                </c:pt>
                <c:pt idx="6">
                  <c:v>2.5231047376027687</c:v>
                </c:pt>
                <c:pt idx="7">
                  <c:v>2.3018380399786591</c:v>
                </c:pt>
                <c:pt idx="8">
                  <c:v>2.1975139752115962</c:v>
                </c:pt>
                <c:pt idx="9">
                  <c:v>2.2023750588728026</c:v>
                </c:pt>
                <c:pt idx="10">
                  <c:v>2.1448362575912516</c:v>
                </c:pt>
                <c:pt idx="11">
                  <c:v>2.0971941891909824</c:v>
                </c:pt>
                <c:pt idx="12">
                  <c:v>2.0229997441928167</c:v>
                </c:pt>
                <c:pt idx="13">
                  <c:v>1.9898092868859643</c:v>
                </c:pt>
                <c:pt idx="14">
                  <c:v>1.8933800476865366</c:v>
                </c:pt>
                <c:pt idx="15">
                  <c:v>1.8035144225092117</c:v>
                </c:pt>
                <c:pt idx="16">
                  <c:v>1.7372019460128971</c:v>
                </c:pt>
                <c:pt idx="17">
                  <c:v>1.7784637303197026</c:v>
                </c:pt>
                <c:pt idx="18">
                  <c:v>1.8389320670440037</c:v>
                </c:pt>
                <c:pt idx="19">
                  <c:v>1.6589458017575989</c:v>
                </c:pt>
                <c:pt idx="20">
                  <c:v>1.6936131417433715</c:v>
                </c:pt>
                <c:pt idx="21">
                  <c:v>1.6627272568418767</c:v>
                </c:pt>
                <c:pt idx="22">
                  <c:v>1.6414215126428837</c:v>
                </c:pt>
                <c:pt idx="23">
                  <c:v>1.6003496938771493</c:v>
                </c:pt>
                <c:pt idx="24">
                  <c:v>1.4534541877206799</c:v>
                </c:pt>
                <c:pt idx="25">
                  <c:v>1.3226434766720341</c:v>
                </c:pt>
                <c:pt idx="26">
                  <c:v>1.3525754651859272</c:v>
                </c:pt>
                <c:pt idx="27">
                  <c:v>1.2050310858606823</c:v>
                </c:pt>
                <c:pt idx="28">
                  <c:v>1.1529961780112818</c:v>
                </c:pt>
                <c:pt idx="29">
                  <c:v>1.0496266957982476</c:v>
                </c:pt>
                <c:pt idx="30">
                  <c:v>1.0522329012809242</c:v>
                </c:pt>
                <c:pt idx="31">
                  <c:v>1.0290199414748018</c:v>
                </c:pt>
                <c:pt idx="32">
                  <c:v>1.0581642273545737</c:v>
                </c:pt>
                <c:pt idx="33">
                  <c:v>1.0211071635186113</c:v>
                </c:pt>
                <c:pt idx="34">
                  <c:v>1.1005452487324408</c:v>
                </c:pt>
                <c:pt idx="35">
                  <c:v>1.1091596035577418</c:v>
                </c:pt>
                <c:pt idx="36">
                  <c:v>1.0945918304308455</c:v>
                </c:pt>
                <c:pt idx="37">
                  <c:v>1.0522487544497408</c:v>
                </c:pt>
                <c:pt idx="38">
                  <c:v>1.0479718493136392</c:v>
                </c:pt>
                <c:pt idx="39">
                  <c:v>1.0077604014606141</c:v>
                </c:pt>
                <c:pt idx="40">
                  <c:v>1.02656401316445</c:v>
                </c:pt>
                <c:pt idx="41">
                  <c:v>0.95227966350822635</c:v>
                </c:pt>
                <c:pt idx="42">
                  <c:v>0.9496970406883396</c:v>
                </c:pt>
                <c:pt idx="43">
                  <c:v>0.97744141708894461</c:v>
                </c:pt>
                <c:pt idx="44">
                  <c:v>1.0266171624882054</c:v>
                </c:pt>
                <c:pt idx="45">
                  <c:v>1.0058725333778407</c:v>
                </c:pt>
                <c:pt idx="46">
                  <c:v>0.94137040518933979</c:v>
                </c:pt>
                <c:pt idx="47">
                  <c:v>0.90265793088644841</c:v>
                </c:pt>
                <c:pt idx="48">
                  <c:v>0.90569421127870631</c:v>
                </c:pt>
                <c:pt idx="49">
                  <c:v>0.93010262641902697</c:v>
                </c:pt>
                <c:pt idx="50">
                  <c:v>0.98052549440468539</c:v>
                </c:pt>
                <c:pt idx="51">
                  <c:v>0.93655927246193571</c:v>
                </c:pt>
                <c:pt idx="52">
                  <c:v>0.94622413617344869</c:v>
                </c:pt>
                <c:pt idx="53">
                  <c:v>0.99979385260975895</c:v>
                </c:pt>
                <c:pt idx="54">
                  <c:v>1.0078534728833184</c:v>
                </c:pt>
                <c:pt idx="55">
                  <c:v>1.0189220054748713</c:v>
                </c:pt>
                <c:pt idx="56">
                  <c:v>1.0239356399073047</c:v>
                </c:pt>
                <c:pt idx="57">
                  <c:v>1.0857929185253314</c:v>
                </c:pt>
                <c:pt idx="58">
                  <c:v>1.0797572558399633</c:v>
                </c:pt>
                <c:pt idx="59">
                  <c:v>1.1140079190692049</c:v>
                </c:pt>
                <c:pt idx="60">
                  <c:v>1.1240412583478518</c:v>
                </c:pt>
                <c:pt idx="61">
                  <c:v>1.0916189260756988</c:v>
                </c:pt>
                <c:pt idx="62">
                  <c:v>1.0491848985982699</c:v>
                </c:pt>
                <c:pt idx="63">
                  <c:v>1.0541816617718338</c:v>
                </c:pt>
                <c:pt idx="64">
                  <c:v>0.96991394759285221</c:v>
                </c:pt>
                <c:pt idx="65">
                  <c:v>1.0356223072871658</c:v>
                </c:pt>
                <c:pt idx="66">
                  <c:v>1.0272374271362277</c:v>
                </c:pt>
                <c:pt idx="67">
                  <c:v>1.0505552768452862</c:v>
                </c:pt>
                <c:pt idx="68">
                  <c:v>1.0738082156167195</c:v>
                </c:pt>
                <c:pt idx="69">
                  <c:v>1.1001779991003409</c:v>
                </c:pt>
                <c:pt idx="70">
                  <c:v>1.0804361055756171</c:v>
                </c:pt>
                <c:pt idx="71">
                  <c:v>1.092133867829775</c:v>
                </c:pt>
                <c:pt idx="72">
                  <c:v>1.047642853020528</c:v>
                </c:pt>
                <c:pt idx="73">
                  <c:v>1.0214377102795658</c:v>
                </c:pt>
                <c:pt idx="74">
                  <c:v>0.96521472702182198</c:v>
                </c:pt>
                <c:pt idx="75">
                  <c:v>1.006878370865127</c:v>
                </c:pt>
                <c:pt idx="76">
                  <c:v>0.95217865403055257</c:v>
                </c:pt>
                <c:pt idx="77">
                  <c:v>0.97267781115832574</c:v>
                </c:pt>
                <c:pt idx="78">
                  <c:v>0.89509010475932194</c:v>
                </c:pt>
                <c:pt idx="79">
                  <c:v>0.86808477308433329</c:v>
                </c:pt>
                <c:pt idx="80">
                  <c:v>0.89109509517243757</c:v>
                </c:pt>
                <c:pt idx="81">
                  <c:v>0.91880051388642092</c:v>
                </c:pt>
                <c:pt idx="82">
                  <c:v>1.0016516528668631</c:v>
                </c:pt>
                <c:pt idx="83">
                  <c:v>1.138107680584109</c:v>
                </c:pt>
                <c:pt idx="84">
                  <c:v>1.1992093410204774</c:v>
                </c:pt>
                <c:pt idx="85">
                  <c:v>1.23740281511558</c:v>
                </c:pt>
                <c:pt idx="86">
                  <c:v>1.2090866476497282</c:v>
                </c:pt>
                <c:pt idx="87">
                  <c:v>1.1805564673883269</c:v>
                </c:pt>
                <c:pt idx="88">
                  <c:v>1.1616488157955924</c:v>
                </c:pt>
                <c:pt idx="89">
                  <c:v>1.0787968121188343</c:v>
                </c:pt>
                <c:pt idx="90">
                  <c:v>0.99247109051662996</c:v>
                </c:pt>
                <c:pt idx="91">
                  <c:v>0.92210054389568763</c:v>
                </c:pt>
                <c:pt idx="92">
                  <c:v>0.9355883856930266</c:v>
                </c:pt>
                <c:pt idx="93">
                  <c:v>1.002145825739998</c:v>
                </c:pt>
                <c:pt idx="94">
                  <c:v>0.98612463873656886</c:v>
                </c:pt>
                <c:pt idx="95">
                  <c:v>0.97941192221174334</c:v>
                </c:pt>
                <c:pt idx="96">
                  <c:v>0.93456624693745105</c:v>
                </c:pt>
                <c:pt idx="97">
                  <c:v>0.91945443121455672</c:v>
                </c:pt>
                <c:pt idx="98">
                  <c:v>0.89266972791253452</c:v>
                </c:pt>
                <c:pt idx="99">
                  <c:v>0.86669356505516171</c:v>
                </c:pt>
                <c:pt idx="100">
                  <c:v>0.82613926884271049</c:v>
                </c:pt>
                <c:pt idx="101">
                  <c:v>0.83691751828252114</c:v>
                </c:pt>
                <c:pt idx="102">
                  <c:v>0.8311610962027407</c:v>
                </c:pt>
                <c:pt idx="103">
                  <c:v>0.8567792838941326</c:v>
                </c:pt>
                <c:pt idx="104">
                  <c:v>0.82339610493448234</c:v>
                </c:pt>
                <c:pt idx="105">
                  <c:v>0.82325313512241061</c:v>
                </c:pt>
                <c:pt idx="106">
                  <c:v>0.81768683299494527</c:v>
                </c:pt>
                <c:pt idx="107">
                  <c:v>0.88566566992569429</c:v>
                </c:pt>
                <c:pt idx="108">
                  <c:v>0.93957466532501666</c:v>
                </c:pt>
                <c:pt idx="109">
                  <c:v>0.93585471237076567</c:v>
                </c:pt>
                <c:pt idx="110">
                  <c:v>0.94341193328817929</c:v>
                </c:pt>
                <c:pt idx="111">
                  <c:v>0.96646823593735121</c:v>
                </c:pt>
                <c:pt idx="112">
                  <c:v>0.95047408197436023</c:v>
                </c:pt>
                <c:pt idx="113">
                  <c:v>0.96585725452254412</c:v>
                </c:pt>
                <c:pt idx="114">
                  <c:v>0.9193047767914676</c:v>
                </c:pt>
                <c:pt idx="115">
                  <c:v>0.87860437653787293</c:v>
                </c:pt>
                <c:pt idx="116">
                  <c:v>0.89726208306687394</c:v>
                </c:pt>
                <c:pt idx="117">
                  <c:v>0.90878751252022572</c:v>
                </c:pt>
                <c:pt idx="118">
                  <c:v>0.99048241727398456</c:v>
                </c:pt>
                <c:pt idx="119">
                  <c:v>1.0376531044339579</c:v>
                </c:pt>
                <c:pt idx="120">
                  <c:v>1.0378925122677107</c:v>
                </c:pt>
                <c:pt idx="121">
                  <c:v>1.0263763643997785</c:v>
                </c:pt>
                <c:pt idx="122">
                  <c:v>1.0585691492167479</c:v>
                </c:pt>
                <c:pt idx="123">
                  <c:v>1.0939755085627922</c:v>
                </c:pt>
                <c:pt idx="124">
                  <c:v>1.0961738185183778</c:v>
                </c:pt>
                <c:pt idx="125">
                  <c:v>1.0735662496326588</c:v>
                </c:pt>
                <c:pt idx="126">
                  <c:v>1.0542655027288457</c:v>
                </c:pt>
                <c:pt idx="127">
                  <c:v>1.1086177087827864</c:v>
                </c:pt>
                <c:pt idx="128">
                  <c:v>1.1469602957125613</c:v>
                </c:pt>
                <c:pt idx="129">
                  <c:v>1.1613414619499307</c:v>
                </c:pt>
                <c:pt idx="130">
                  <c:v>1.1798486188952624</c:v>
                </c:pt>
                <c:pt idx="131">
                  <c:v>1.2513152876968678</c:v>
                </c:pt>
                <c:pt idx="132">
                  <c:v>1.2462075912833808</c:v>
                </c:pt>
                <c:pt idx="133">
                  <c:v>1.239983437241589</c:v>
                </c:pt>
                <c:pt idx="134">
                  <c:v>1.2394046753797316</c:v>
                </c:pt>
                <c:pt idx="135">
                  <c:v>1.2509032431792935</c:v>
                </c:pt>
                <c:pt idx="136">
                  <c:v>1.2786672648085193</c:v>
                </c:pt>
                <c:pt idx="137">
                  <c:v>1.2968701757046472</c:v>
                </c:pt>
                <c:pt idx="138">
                  <c:v>1.2610058795254806</c:v>
                </c:pt>
                <c:pt idx="139">
                  <c:v>1.2545382817212674</c:v>
                </c:pt>
                <c:pt idx="140">
                  <c:v>1.2947083671187645</c:v>
                </c:pt>
                <c:pt idx="141">
                  <c:v>1.2976930727914022</c:v>
                </c:pt>
                <c:pt idx="142">
                  <c:v>1.285994121880673</c:v>
                </c:pt>
                <c:pt idx="143">
                  <c:v>1.2636985019299465</c:v>
                </c:pt>
                <c:pt idx="144">
                  <c:v>1.2535643937672394</c:v>
                </c:pt>
                <c:pt idx="145">
                  <c:v>1.2534725720273325</c:v>
                </c:pt>
                <c:pt idx="146">
                  <c:v>1.23615134644</c:v>
                </c:pt>
                <c:pt idx="147">
                  <c:v>1.2127467313370957</c:v>
                </c:pt>
                <c:pt idx="148">
                  <c:v>1.1488797854634865</c:v>
                </c:pt>
                <c:pt idx="149">
                  <c:v>1.143296326298787</c:v>
                </c:pt>
                <c:pt idx="150">
                  <c:v>1.1380899924714696</c:v>
                </c:pt>
                <c:pt idx="151">
                  <c:v>1.118070163550319</c:v>
                </c:pt>
                <c:pt idx="152">
                  <c:v>1.0818035617582791</c:v>
                </c:pt>
                <c:pt idx="153">
                  <c:v>1.0650875718057689</c:v>
                </c:pt>
                <c:pt idx="154">
                  <c:v>1.0516908295338612</c:v>
                </c:pt>
                <c:pt idx="155">
                  <c:v>1.0555411990891337</c:v>
                </c:pt>
                <c:pt idx="156">
                  <c:v>1.0514053189781887</c:v>
                </c:pt>
                <c:pt idx="157">
                  <c:v>1.0333436284874995</c:v>
                </c:pt>
                <c:pt idx="158">
                  <c:v>1.0425596243818707</c:v>
                </c:pt>
                <c:pt idx="159">
                  <c:v>1.0619208870557031</c:v>
                </c:pt>
                <c:pt idx="160">
                  <c:v>1.0524278927331909</c:v>
                </c:pt>
                <c:pt idx="161">
                  <c:v>1.0370842855834881</c:v>
                </c:pt>
                <c:pt idx="162">
                  <c:v>1.0669731979750894</c:v>
                </c:pt>
                <c:pt idx="163">
                  <c:v>1.0559406715843034</c:v>
                </c:pt>
                <c:pt idx="164">
                  <c:v>1.0717430686203306</c:v>
                </c:pt>
                <c:pt idx="165">
                  <c:v>1.037518447454475</c:v>
                </c:pt>
                <c:pt idx="166">
                  <c:v>1.0042021739538358</c:v>
                </c:pt>
                <c:pt idx="167">
                  <c:v>1.0135406671668554</c:v>
                </c:pt>
                <c:pt idx="168">
                  <c:v>1.0032296671036633</c:v>
                </c:pt>
                <c:pt idx="169">
                  <c:v>0.95931989136699414</c:v>
                </c:pt>
                <c:pt idx="170">
                  <c:v>0.93747056055654576</c:v>
                </c:pt>
                <c:pt idx="171">
                  <c:v>0.89030246649200973</c:v>
                </c:pt>
                <c:pt idx="172">
                  <c:v>0.88672957892576265</c:v>
                </c:pt>
                <c:pt idx="173">
                  <c:v>0.86309372584283306</c:v>
                </c:pt>
                <c:pt idx="174">
                  <c:v>0.83837509125215726</c:v>
                </c:pt>
                <c:pt idx="175">
                  <c:v>0.80974311823846212</c:v>
                </c:pt>
                <c:pt idx="176">
                  <c:v>0.79663762252672277</c:v>
                </c:pt>
                <c:pt idx="177">
                  <c:v>0.78048875164125586</c:v>
                </c:pt>
                <c:pt idx="178">
                  <c:v>0.78518804007846088</c:v>
                </c:pt>
                <c:pt idx="179">
                  <c:v>0.79597287125477101</c:v>
                </c:pt>
                <c:pt idx="180">
                  <c:v>0.83417207989856057</c:v>
                </c:pt>
                <c:pt idx="181">
                  <c:v>0.86923421032128712</c:v>
                </c:pt>
                <c:pt idx="182">
                  <c:v>0.89923413863385615</c:v>
                </c:pt>
                <c:pt idx="183">
                  <c:v>0.96686925046040806</c:v>
                </c:pt>
                <c:pt idx="184">
                  <c:v>1.0191706570239787</c:v>
                </c:pt>
                <c:pt idx="185">
                  <c:v>1.1045508303249121</c:v>
                </c:pt>
                <c:pt idx="186">
                  <c:v>1.1292813309027925</c:v>
                </c:pt>
                <c:pt idx="187">
                  <c:v>1.2045321715125217</c:v>
                </c:pt>
                <c:pt idx="188">
                  <c:v>1.2691307088184642</c:v>
                </c:pt>
                <c:pt idx="189">
                  <c:v>1.3222822321042647</c:v>
                </c:pt>
                <c:pt idx="190">
                  <c:v>1.2988159467946503</c:v>
                </c:pt>
                <c:pt idx="191">
                  <c:v>1.333753957579614</c:v>
                </c:pt>
                <c:pt idx="192">
                  <c:v>1.3298994998424196</c:v>
                </c:pt>
                <c:pt idx="193">
                  <c:v>1.427192852677118</c:v>
                </c:pt>
                <c:pt idx="194">
                  <c:v>1.439137669219589</c:v>
                </c:pt>
                <c:pt idx="195">
                  <c:v>1.4342926984759701</c:v>
                </c:pt>
                <c:pt idx="196">
                  <c:v>1.4577242655075116</c:v>
                </c:pt>
                <c:pt idx="197">
                  <c:v>1.4870672784970813</c:v>
                </c:pt>
                <c:pt idx="198">
                  <c:v>1.4869174325756711</c:v>
                </c:pt>
                <c:pt idx="199">
                  <c:v>1.5056603296508115</c:v>
                </c:pt>
                <c:pt idx="200">
                  <c:v>1.4745858350495473</c:v>
                </c:pt>
                <c:pt idx="201">
                  <c:v>1.4614385263541219</c:v>
                </c:pt>
                <c:pt idx="202">
                  <c:v>1.4459097523483975</c:v>
                </c:pt>
                <c:pt idx="203">
                  <c:v>1.4458926885999765</c:v>
                </c:pt>
                <c:pt idx="204">
                  <c:v>1.462835429345746</c:v>
                </c:pt>
                <c:pt idx="205">
                  <c:v>1.5099340583628622</c:v>
                </c:pt>
                <c:pt idx="206">
                  <c:v>1.5889923386551992</c:v>
                </c:pt>
                <c:pt idx="207">
                  <c:v>1.6349253796016185</c:v>
                </c:pt>
                <c:pt idx="208">
                  <c:v>1.6887558780861036</c:v>
                </c:pt>
                <c:pt idx="209">
                  <c:v>1.7116457715302906</c:v>
                </c:pt>
                <c:pt idx="210">
                  <c:v>1.7330317339672026</c:v>
                </c:pt>
                <c:pt idx="211">
                  <c:v>1.7590340167177261</c:v>
                </c:pt>
                <c:pt idx="212">
                  <c:v>1.7745091893493246</c:v>
                </c:pt>
                <c:pt idx="213">
                  <c:v>1.7470860306198557</c:v>
                </c:pt>
                <c:pt idx="214">
                  <c:v>1.6884730219426098</c:v>
                </c:pt>
                <c:pt idx="215">
                  <c:v>1.6726027665994614</c:v>
                </c:pt>
                <c:pt idx="216">
                  <c:v>1.6881740502870122</c:v>
                </c:pt>
                <c:pt idx="217">
                  <c:v>1.6655711558209527</c:v>
                </c:pt>
                <c:pt idx="218">
                  <c:v>1.6600536733888787</c:v>
                </c:pt>
                <c:pt idx="219">
                  <c:v>1.6138759067774815</c:v>
                </c:pt>
                <c:pt idx="220">
                  <c:v>1.5657716450359358</c:v>
                </c:pt>
                <c:pt idx="221">
                  <c:v>1.5727930300720738</c:v>
                </c:pt>
                <c:pt idx="222">
                  <c:v>1.5233672495389059</c:v>
                </c:pt>
                <c:pt idx="223">
                  <c:v>1.4873044698847782</c:v>
                </c:pt>
                <c:pt idx="224">
                  <c:v>1.4621239736983418</c:v>
                </c:pt>
                <c:pt idx="225">
                  <c:v>1.4884596569171638</c:v>
                </c:pt>
                <c:pt idx="226">
                  <c:v>1.5253653109493743</c:v>
                </c:pt>
                <c:pt idx="227">
                  <c:v>1.5270750708191407</c:v>
                </c:pt>
                <c:pt idx="228">
                  <c:v>1.5168020278138041</c:v>
                </c:pt>
                <c:pt idx="229">
                  <c:v>1.5122474884961041</c:v>
                </c:pt>
                <c:pt idx="230">
                  <c:v>1.4936103284319167</c:v>
                </c:pt>
                <c:pt idx="231">
                  <c:v>1.4858691830221455</c:v>
                </c:pt>
                <c:pt idx="232">
                  <c:v>1.4257491238870557</c:v>
                </c:pt>
                <c:pt idx="233">
                  <c:v>1.3937962122797352</c:v>
                </c:pt>
                <c:pt idx="234">
                  <c:v>1.374899926822982</c:v>
                </c:pt>
                <c:pt idx="235">
                  <c:v>1.3447360847946634</c:v>
                </c:pt>
                <c:pt idx="236">
                  <c:v>1.32546374960689</c:v>
                </c:pt>
                <c:pt idx="237">
                  <c:v>1.333885472382258</c:v>
                </c:pt>
                <c:pt idx="238">
                  <c:v>1.3350657551084955</c:v>
                </c:pt>
                <c:pt idx="239">
                  <c:v>1.3261807679054674</c:v>
                </c:pt>
                <c:pt idx="240">
                  <c:v>1.270411832624911</c:v>
                </c:pt>
                <c:pt idx="241">
                  <c:v>1.1906384663675227</c:v>
                </c:pt>
                <c:pt idx="242">
                  <c:v>1.1364370372800257</c:v>
                </c:pt>
                <c:pt idx="243">
                  <c:v>1.0969969818072971</c:v>
                </c:pt>
                <c:pt idx="244">
                  <c:v>1.0636001350958075</c:v>
                </c:pt>
                <c:pt idx="245">
                  <c:v>1.0492922610884547</c:v>
                </c:pt>
                <c:pt idx="246">
                  <c:v>1.0016955702325123</c:v>
                </c:pt>
                <c:pt idx="247">
                  <c:v>0.96719544129804036</c:v>
                </c:pt>
                <c:pt idx="248">
                  <c:v>0.98051450580333799</c:v>
                </c:pt>
                <c:pt idx="249">
                  <c:v>0.97339712925589417</c:v>
                </c:pt>
                <c:pt idx="250">
                  <c:v>0.96909881323527658</c:v>
                </c:pt>
                <c:pt idx="251">
                  <c:v>0.94802602842641481</c:v>
                </c:pt>
                <c:pt idx="252">
                  <c:v>0.91702515732526901</c:v>
                </c:pt>
                <c:pt idx="253">
                  <c:v>1.02072478780456</c:v>
                </c:pt>
                <c:pt idx="254">
                  <c:v>0.99008182690504631</c:v>
                </c:pt>
                <c:pt idx="255">
                  <c:v>0.944209274731028</c:v>
                </c:pt>
                <c:pt idx="256">
                  <c:v>0.91642947486639703</c:v>
                </c:pt>
                <c:pt idx="257">
                  <c:v>0.86753669656637522</c:v>
                </c:pt>
                <c:pt idx="258">
                  <c:v>0.83800026460382815</c:v>
                </c:pt>
                <c:pt idx="259">
                  <c:v>0.78433413617653591</c:v>
                </c:pt>
                <c:pt idx="260">
                  <c:v>0.63851343762796309</c:v>
                </c:pt>
                <c:pt idx="261">
                  <c:v>0.6686731757395199</c:v>
                </c:pt>
                <c:pt idx="262">
                  <c:v>0.69657376145531524</c:v>
                </c:pt>
                <c:pt idx="263">
                  <c:v>0.70382646330277954</c:v>
                </c:pt>
                <c:pt idx="264">
                  <c:v>0.71584093902269708</c:v>
                </c:pt>
                <c:pt idx="265">
                  <c:v>0.72188867314796201</c:v>
                </c:pt>
                <c:pt idx="266">
                  <c:v>0.72315632614882741</c:v>
                </c:pt>
                <c:pt idx="267">
                  <c:v>0.74002665734426942</c:v>
                </c:pt>
                <c:pt idx="268">
                  <c:v>0.75894634998645238</c:v>
                </c:pt>
                <c:pt idx="269">
                  <c:v>0.78512687269191284</c:v>
                </c:pt>
                <c:pt idx="270">
                  <c:v>0.814686046464425</c:v>
                </c:pt>
                <c:pt idx="271">
                  <c:v>0.82924372339093799</c:v>
                </c:pt>
                <c:pt idx="272">
                  <c:v>0.84450883474398164</c:v>
                </c:pt>
                <c:pt idx="273">
                  <c:v>0.85835479798477787</c:v>
                </c:pt>
                <c:pt idx="274">
                  <c:v>0.85484073319806098</c:v>
                </c:pt>
                <c:pt idx="275">
                  <c:v>0.88274654109602457</c:v>
                </c:pt>
                <c:pt idx="276">
                  <c:v>0.88010609713677301</c:v>
                </c:pt>
                <c:pt idx="277">
                  <c:v>0.87291689527720517</c:v>
                </c:pt>
                <c:pt idx="278">
                  <c:v>0.88892818167946497</c:v>
                </c:pt>
                <c:pt idx="279">
                  <c:v>0.89699593932390598</c:v>
                </c:pt>
                <c:pt idx="280">
                  <c:v>0.83739764120432392</c:v>
                </c:pt>
                <c:pt idx="281">
                  <c:v>0.74568373803961818</c:v>
                </c:pt>
                <c:pt idx="282">
                  <c:v>0.57140117995845141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214-431C-B73D-81825A9B7F21}"/>
            </c:ext>
          </c:extLst>
        </c:ser>
        <c:ser>
          <c:idx val="1"/>
          <c:order val="1"/>
          <c:tx>
            <c:strRef>
              <c:f>'R(t) Polska'!$Q$15</c:f>
              <c:strCache>
                <c:ptCount val="1"/>
                <c:pt idx="0">
                  <c:v>R(t) (dzień/dzień)</c:v>
                </c:pt>
              </c:strCache>
            </c:strRef>
          </c:tx>
          <c:spPr>
            <a:ln cmpd="sng">
              <a:solidFill>
                <a:srgbClr val="FF0000"/>
              </a:solidFill>
            </a:ln>
          </c:spPr>
          <c:marker>
            <c:symbol val="circle"/>
            <c:size val="2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cat>
            <c:numRef>
              <c:f>'R(t) Polska'!$A$16:$A$1000</c:f>
              <c:numCache>
                <c:formatCode>dd\.mm\.yyyy</c:formatCode>
                <c:ptCount val="985"/>
                <c:pt idx="0">
                  <c:v>43906</c:v>
                </c:pt>
                <c:pt idx="1">
                  <c:v>43907</c:v>
                </c:pt>
                <c:pt idx="2">
                  <c:v>43908</c:v>
                </c:pt>
                <c:pt idx="3">
                  <c:v>43909</c:v>
                </c:pt>
                <c:pt idx="4">
                  <c:v>43910</c:v>
                </c:pt>
                <c:pt idx="5">
                  <c:v>43911</c:v>
                </c:pt>
                <c:pt idx="6">
                  <c:v>43912</c:v>
                </c:pt>
                <c:pt idx="7">
                  <c:v>43913</c:v>
                </c:pt>
                <c:pt idx="8">
                  <c:v>43914</c:v>
                </c:pt>
                <c:pt idx="9">
                  <c:v>43915</c:v>
                </c:pt>
                <c:pt idx="10">
                  <c:v>43916</c:v>
                </c:pt>
                <c:pt idx="11">
                  <c:v>43917</c:v>
                </c:pt>
                <c:pt idx="12">
                  <c:v>43918</c:v>
                </c:pt>
                <c:pt idx="13">
                  <c:v>43919</c:v>
                </c:pt>
                <c:pt idx="14">
                  <c:v>43920</c:v>
                </c:pt>
                <c:pt idx="15">
                  <c:v>43921</c:v>
                </c:pt>
                <c:pt idx="16">
                  <c:v>43922</c:v>
                </c:pt>
                <c:pt idx="17">
                  <c:v>43923</c:v>
                </c:pt>
                <c:pt idx="18">
                  <c:v>43924</c:v>
                </c:pt>
                <c:pt idx="19">
                  <c:v>43925</c:v>
                </c:pt>
                <c:pt idx="20">
                  <c:v>43926</c:v>
                </c:pt>
                <c:pt idx="21">
                  <c:v>43927</c:v>
                </c:pt>
                <c:pt idx="22">
                  <c:v>43928</c:v>
                </c:pt>
                <c:pt idx="23">
                  <c:v>43929</c:v>
                </c:pt>
                <c:pt idx="24">
                  <c:v>43930</c:v>
                </c:pt>
                <c:pt idx="25">
                  <c:v>43931</c:v>
                </c:pt>
                <c:pt idx="26">
                  <c:v>43932</c:v>
                </c:pt>
                <c:pt idx="27">
                  <c:v>43933</c:v>
                </c:pt>
                <c:pt idx="28">
                  <c:v>43934</c:v>
                </c:pt>
                <c:pt idx="29">
                  <c:v>43935</c:v>
                </c:pt>
                <c:pt idx="30">
                  <c:v>43936</c:v>
                </c:pt>
                <c:pt idx="31">
                  <c:v>43937</c:v>
                </c:pt>
                <c:pt idx="32">
                  <c:v>43938</c:v>
                </c:pt>
                <c:pt idx="33">
                  <c:v>43939</c:v>
                </c:pt>
                <c:pt idx="34">
                  <c:v>43940</c:v>
                </c:pt>
                <c:pt idx="35">
                  <c:v>43941</c:v>
                </c:pt>
                <c:pt idx="36">
                  <c:v>43942</c:v>
                </c:pt>
                <c:pt idx="37">
                  <c:v>43943</c:v>
                </c:pt>
                <c:pt idx="38">
                  <c:v>43944</c:v>
                </c:pt>
                <c:pt idx="39">
                  <c:v>43945</c:v>
                </c:pt>
                <c:pt idx="40">
                  <c:v>43946</c:v>
                </c:pt>
                <c:pt idx="41">
                  <c:v>43947</c:v>
                </c:pt>
                <c:pt idx="42">
                  <c:v>43948</c:v>
                </c:pt>
                <c:pt idx="43">
                  <c:v>43949</c:v>
                </c:pt>
                <c:pt idx="44">
                  <c:v>43950</c:v>
                </c:pt>
                <c:pt idx="45">
                  <c:v>43951</c:v>
                </c:pt>
                <c:pt idx="46">
                  <c:v>43952</c:v>
                </c:pt>
                <c:pt idx="47">
                  <c:v>43953</c:v>
                </c:pt>
                <c:pt idx="48">
                  <c:v>43954</c:v>
                </c:pt>
                <c:pt idx="49">
                  <c:v>43955</c:v>
                </c:pt>
                <c:pt idx="50">
                  <c:v>43956</c:v>
                </c:pt>
                <c:pt idx="51">
                  <c:v>43957</c:v>
                </c:pt>
                <c:pt idx="52">
                  <c:v>43958</c:v>
                </c:pt>
                <c:pt idx="53">
                  <c:v>43959</c:v>
                </c:pt>
                <c:pt idx="54">
                  <c:v>43960</c:v>
                </c:pt>
                <c:pt idx="55">
                  <c:v>43961</c:v>
                </c:pt>
                <c:pt idx="56">
                  <c:v>43962</c:v>
                </c:pt>
                <c:pt idx="57">
                  <c:v>43963</c:v>
                </c:pt>
                <c:pt idx="58">
                  <c:v>43964</c:v>
                </c:pt>
                <c:pt idx="59">
                  <c:v>43965</c:v>
                </c:pt>
                <c:pt idx="60">
                  <c:v>43966</c:v>
                </c:pt>
                <c:pt idx="61">
                  <c:v>43967</c:v>
                </c:pt>
                <c:pt idx="62">
                  <c:v>43968</c:v>
                </c:pt>
                <c:pt idx="63">
                  <c:v>43969</c:v>
                </c:pt>
                <c:pt idx="64">
                  <c:v>43970</c:v>
                </c:pt>
                <c:pt idx="65">
                  <c:v>43971</c:v>
                </c:pt>
                <c:pt idx="66">
                  <c:v>43972</c:v>
                </c:pt>
                <c:pt idx="67">
                  <c:v>43973</c:v>
                </c:pt>
                <c:pt idx="68">
                  <c:v>43974</c:v>
                </c:pt>
                <c:pt idx="69">
                  <c:v>43975</c:v>
                </c:pt>
                <c:pt idx="70">
                  <c:v>43976</c:v>
                </c:pt>
                <c:pt idx="71">
                  <c:v>43977</c:v>
                </c:pt>
                <c:pt idx="72">
                  <c:v>43978</c:v>
                </c:pt>
                <c:pt idx="73">
                  <c:v>43979</c:v>
                </c:pt>
                <c:pt idx="74">
                  <c:v>43980</c:v>
                </c:pt>
                <c:pt idx="75">
                  <c:v>43981</c:v>
                </c:pt>
                <c:pt idx="76">
                  <c:v>43982</c:v>
                </c:pt>
                <c:pt idx="77">
                  <c:v>43983</c:v>
                </c:pt>
                <c:pt idx="78">
                  <c:v>43984</c:v>
                </c:pt>
                <c:pt idx="79">
                  <c:v>43985</c:v>
                </c:pt>
                <c:pt idx="80">
                  <c:v>43986</c:v>
                </c:pt>
                <c:pt idx="81">
                  <c:v>43987</c:v>
                </c:pt>
                <c:pt idx="82">
                  <c:v>43988</c:v>
                </c:pt>
                <c:pt idx="83">
                  <c:v>43989</c:v>
                </c:pt>
                <c:pt idx="84">
                  <c:v>43990</c:v>
                </c:pt>
                <c:pt idx="85">
                  <c:v>43991</c:v>
                </c:pt>
                <c:pt idx="86">
                  <c:v>43992</c:v>
                </c:pt>
                <c:pt idx="87">
                  <c:v>43993</c:v>
                </c:pt>
                <c:pt idx="88">
                  <c:v>43994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44041</c:v>
                </c:pt>
                <c:pt idx="136">
                  <c:v>44042</c:v>
                </c:pt>
                <c:pt idx="137">
                  <c:v>44043</c:v>
                </c:pt>
                <c:pt idx="138">
                  <c:v>44044</c:v>
                </c:pt>
                <c:pt idx="139">
                  <c:v>44045</c:v>
                </c:pt>
                <c:pt idx="140">
                  <c:v>44046</c:v>
                </c:pt>
                <c:pt idx="141">
                  <c:v>44047</c:v>
                </c:pt>
                <c:pt idx="142">
                  <c:v>44048</c:v>
                </c:pt>
                <c:pt idx="143">
                  <c:v>44049</c:v>
                </c:pt>
                <c:pt idx="144">
                  <c:v>44050</c:v>
                </c:pt>
                <c:pt idx="145">
                  <c:v>44051</c:v>
                </c:pt>
                <c:pt idx="146">
                  <c:v>44052</c:v>
                </c:pt>
                <c:pt idx="147">
                  <c:v>44053</c:v>
                </c:pt>
                <c:pt idx="148">
                  <c:v>44054</c:v>
                </c:pt>
                <c:pt idx="149">
                  <c:v>44055</c:v>
                </c:pt>
                <c:pt idx="150">
                  <c:v>44056</c:v>
                </c:pt>
                <c:pt idx="151">
                  <c:v>44057</c:v>
                </c:pt>
                <c:pt idx="152">
                  <c:v>44058</c:v>
                </c:pt>
                <c:pt idx="153">
                  <c:v>44059</c:v>
                </c:pt>
                <c:pt idx="154">
                  <c:v>44060</c:v>
                </c:pt>
                <c:pt idx="155">
                  <c:v>44061</c:v>
                </c:pt>
                <c:pt idx="156">
                  <c:v>44062</c:v>
                </c:pt>
                <c:pt idx="157">
                  <c:v>44063</c:v>
                </c:pt>
                <c:pt idx="158">
                  <c:v>44064</c:v>
                </c:pt>
                <c:pt idx="159">
                  <c:v>44065</c:v>
                </c:pt>
                <c:pt idx="160">
                  <c:v>44066</c:v>
                </c:pt>
                <c:pt idx="161">
                  <c:v>44067</c:v>
                </c:pt>
                <c:pt idx="162">
                  <c:v>44068</c:v>
                </c:pt>
                <c:pt idx="163">
                  <c:v>44069</c:v>
                </c:pt>
                <c:pt idx="164">
                  <c:v>44070</c:v>
                </c:pt>
                <c:pt idx="165">
                  <c:v>44071</c:v>
                </c:pt>
                <c:pt idx="166">
                  <c:v>44072</c:v>
                </c:pt>
                <c:pt idx="167">
                  <c:v>44073</c:v>
                </c:pt>
                <c:pt idx="168">
                  <c:v>44074</c:v>
                </c:pt>
                <c:pt idx="169">
                  <c:v>44075</c:v>
                </c:pt>
                <c:pt idx="170">
                  <c:v>44076</c:v>
                </c:pt>
                <c:pt idx="171">
                  <c:v>44077</c:v>
                </c:pt>
                <c:pt idx="172">
                  <c:v>44078</c:v>
                </c:pt>
                <c:pt idx="173">
                  <c:v>44079</c:v>
                </c:pt>
                <c:pt idx="174">
                  <c:v>44080</c:v>
                </c:pt>
                <c:pt idx="175">
                  <c:v>44081</c:v>
                </c:pt>
                <c:pt idx="176">
                  <c:v>44082</c:v>
                </c:pt>
                <c:pt idx="177">
                  <c:v>44083</c:v>
                </c:pt>
                <c:pt idx="178">
                  <c:v>44084</c:v>
                </c:pt>
                <c:pt idx="179">
                  <c:v>44085</c:v>
                </c:pt>
                <c:pt idx="180">
                  <c:v>44086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</c:numCache>
            </c:numRef>
          </c:cat>
          <c:val>
            <c:numRef>
              <c:f>'R(t) Polska'!$Q$16:$Q$1000</c:f>
              <c:numCache>
                <c:formatCode>0.0000</c:formatCode>
                <c:ptCount val="985"/>
                <c:pt idx="0">
                  <c:v>3.5750651433152951</c:v>
                </c:pt>
                <c:pt idx="1">
                  <c:v>3.0659619007745444</c:v>
                </c:pt>
                <c:pt idx="2">
                  <c:v>1.901591157312374</c:v>
                </c:pt>
                <c:pt idx="3">
                  <c:v>2.3378329055656746</c:v>
                </c:pt>
                <c:pt idx="4">
                  <c:v>2.0204469277737322</c:v>
                </c:pt>
                <c:pt idx="5">
                  <c:v>2.7962233402015113</c:v>
                </c:pt>
                <c:pt idx="6">
                  <c:v>1.9646117882762528</c:v>
                </c:pt>
                <c:pt idx="7">
                  <c:v>2.0261982599465256</c:v>
                </c:pt>
                <c:pt idx="8">
                  <c:v>2.3356934474051023</c:v>
                </c:pt>
                <c:pt idx="9">
                  <c:v>1.9356187429408205</c:v>
                </c:pt>
                <c:pt idx="10">
                  <c:v>1.9350612965948151</c:v>
                </c:pt>
                <c:pt idx="11">
                  <c:v>1.6869524489718497</c:v>
                </c:pt>
                <c:pt idx="12">
                  <c:v>2.2768622252143502</c:v>
                </c:pt>
                <c:pt idx="13">
                  <c:v>1.7322785871282864</c:v>
                </c:pt>
                <c:pt idx="14">
                  <c:v>1.3511935855505333</c:v>
                </c:pt>
                <c:pt idx="15">
                  <c:v>1.7066340711638286</c:v>
                </c:pt>
                <c:pt idx="16">
                  <c:v>1.4714314074666182</c:v>
                </c:pt>
                <c:pt idx="17">
                  <c:v>2.2238937867424546</c:v>
                </c:pt>
                <c:pt idx="18">
                  <c:v>2.1102308060419537</c:v>
                </c:pt>
                <c:pt idx="19">
                  <c:v>1.0169583682095196</c:v>
                </c:pt>
                <c:pt idx="20">
                  <c:v>1.9749499670286927</c:v>
                </c:pt>
                <c:pt idx="21">
                  <c:v>1.1349923912400708</c:v>
                </c:pt>
                <c:pt idx="22">
                  <c:v>1.5574938617708751</c:v>
                </c:pt>
                <c:pt idx="23">
                  <c:v>1.1839286761064804</c:v>
                </c:pt>
                <c:pt idx="24">
                  <c:v>1.1956252436471662</c:v>
                </c:pt>
                <c:pt idx="25">
                  <c:v>1.1945558287014342</c:v>
                </c:pt>
                <c:pt idx="26">
                  <c:v>1.226482287806772</c:v>
                </c:pt>
                <c:pt idx="27">
                  <c:v>0.94213931175197774</c:v>
                </c:pt>
                <c:pt idx="28">
                  <c:v>0.77074803629426658</c:v>
                </c:pt>
                <c:pt idx="29">
                  <c:v>0.8339074862796354</c:v>
                </c:pt>
                <c:pt idx="30">
                  <c:v>1.2021721144852173</c:v>
                </c:pt>
                <c:pt idx="31">
                  <c:v>1.0331345250043098</c:v>
                </c:pt>
                <c:pt idx="32">
                  <c:v>1.3985658298598376</c:v>
                </c:pt>
                <c:pt idx="33">
                  <c:v>0.96708284095503527</c:v>
                </c:pt>
                <c:pt idx="34">
                  <c:v>1.4982059082487835</c:v>
                </c:pt>
                <c:pt idx="35">
                  <c:v>0.83104852007137331</c:v>
                </c:pt>
                <c:pt idx="36">
                  <c:v>0.73193307439136213</c:v>
                </c:pt>
                <c:pt idx="37">
                  <c:v>0.90577058261748333</c:v>
                </c:pt>
                <c:pt idx="38">
                  <c:v>1.0031961890515986</c:v>
                </c:pt>
                <c:pt idx="39">
                  <c:v>1.1170856948886636</c:v>
                </c:pt>
                <c:pt idx="40">
                  <c:v>1.0987081228818862</c:v>
                </c:pt>
                <c:pt idx="41">
                  <c:v>0.97821546065521803</c:v>
                </c:pt>
                <c:pt idx="42">
                  <c:v>0.81297016033216629</c:v>
                </c:pt>
                <c:pt idx="43">
                  <c:v>0.92614370919559708</c:v>
                </c:pt>
                <c:pt idx="44">
                  <c:v>1.2500008004123084</c:v>
                </c:pt>
                <c:pt idx="45">
                  <c:v>0.85798378527904551</c:v>
                </c:pt>
                <c:pt idx="46">
                  <c:v>0.66557079756915694</c:v>
                </c:pt>
                <c:pt idx="47">
                  <c:v>0.82772080276164717</c:v>
                </c:pt>
                <c:pt idx="48">
                  <c:v>0.99946942340102318</c:v>
                </c:pt>
                <c:pt idx="49">
                  <c:v>0.98382906631441003</c:v>
                </c:pt>
                <c:pt idx="50">
                  <c:v>1.2791037850952061</c:v>
                </c:pt>
                <c:pt idx="51">
                  <c:v>0.94223724681306142</c:v>
                </c:pt>
                <c:pt idx="52">
                  <c:v>0.92563783125963606</c:v>
                </c:pt>
                <c:pt idx="53">
                  <c:v>1.0405588126233285</c:v>
                </c:pt>
                <c:pt idx="54">
                  <c:v>0.88413814467656371</c:v>
                </c:pt>
                <c:pt idx="55">
                  <c:v>1.0769491515418927</c:v>
                </c:pt>
                <c:pt idx="56">
                  <c:v>1.0189245073414446</c:v>
                </c:pt>
                <c:pt idx="57">
                  <c:v>1.7121047354213921</c:v>
                </c:pt>
                <c:pt idx="58">
                  <c:v>0.89998760801548516</c:v>
                </c:pt>
                <c:pt idx="59">
                  <c:v>1.1653924738643264</c:v>
                </c:pt>
                <c:pt idx="60">
                  <c:v>1.1107921875738582</c:v>
                </c:pt>
                <c:pt idx="61">
                  <c:v>0.6571818187714924</c:v>
                </c:pt>
                <c:pt idx="62">
                  <c:v>0.77991095919989073</c:v>
                </c:pt>
                <c:pt idx="63">
                  <c:v>1.0539018495563903</c:v>
                </c:pt>
                <c:pt idx="64">
                  <c:v>1.1222307361685229</c:v>
                </c:pt>
                <c:pt idx="65">
                  <c:v>1.3599461258756795</c:v>
                </c:pt>
                <c:pt idx="66">
                  <c:v>1.1066983128077585</c:v>
                </c:pt>
                <c:pt idx="67">
                  <c:v>1.274017135537268</c:v>
                </c:pt>
                <c:pt idx="68">
                  <c:v>0.81995239017152721</c:v>
                </c:pt>
                <c:pt idx="69">
                  <c:v>0.96449944358523854</c:v>
                </c:pt>
                <c:pt idx="70">
                  <c:v>0.91570859488332612</c:v>
                </c:pt>
                <c:pt idx="71">
                  <c:v>1.2041150719476272</c:v>
                </c:pt>
                <c:pt idx="72">
                  <c:v>1.0485090222109492</c:v>
                </c:pt>
                <c:pt idx="73">
                  <c:v>0.92326231362102285</c:v>
                </c:pt>
                <c:pt idx="74">
                  <c:v>0.88045625273306316</c:v>
                </c:pt>
                <c:pt idx="75">
                  <c:v>1.1115978970746601</c:v>
                </c:pt>
                <c:pt idx="76">
                  <c:v>0.5816014257432196</c:v>
                </c:pt>
                <c:pt idx="77">
                  <c:v>1.0592026947777391</c:v>
                </c:pt>
                <c:pt idx="78">
                  <c:v>0.66100112715459947</c:v>
                </c:pt>
                <c:pt idx="79">
                  <c:v>0.85947170048602894</c:v>
                </c:pt>
                <c:pt idx="80">
                  <c:v>1.0843345682377517</c:v>
                </c:pt>
                <c:pt idx="81">
                  <c:v>1.0743941837309479</c:v>
                </c:pt>
                <c:pt idx="82">
                  <c:v>1.6915558699377544</c:v>
                </c:pt>
                <c:pt idx="83">
                  <c:v>1.5367936197639414</c:v>
                </c:pt>
                <c:pt idx="84">
                  <c:v>1.4869143178323188</c:v>
                </c:pt>
                <c:pt idx="85">
                  <c:v>0.9283554458203167</c:v>
                </c:pt>
                <c:pt idx="86">
                  <c:v>0.66125852822506626</c:v>
                </c:pt>
                <c:pt idx="87">
                  <c:v>0.8846233064079424</c:v>
                </c:pt>
                <c:pt idx="88">
                  <c:v>0.94204062258180754</c:v>
                </c:pt>
                <c:pt idx="89">
                  <c:v>1.1115918442004462</c:v>
                </c:pt>
                <c:pt idx="90">
                  <c:v>0.93251356854851131</c:v>
                </c:pt>
                <c:pt idx="91">
                  <c:v>0.99432049148572277</c:v>
                </c:pt>
                <c:pt idx="92">
                  <c:v>1.0227703384016904</c:v>
                </c:pt>
                <c:pt idx="93">
                  <c:v>1.1271606085538657</c:v>
                </c:pt>
                <c:pt idx="94">
                  <c:v>0.77247499738393766</c:v>
                </c:pt>
                <c:pt idx="95">
                  <c:v>0.8950516069080281</c:v>
                </c:pt>
                <c:pt idx="96">
                  <c:v>0.79767211728040088</c:v>
                </c:pt>
                <c:pt idx="97">
                  <c:v>0.82673085848825245</c:v>
                </c:pt>
                <c:pt idx="98">
                  <c:v>0.80682756837156699</c:v>
                </c:pt>
                <c:pt idx="99">
                  <c:v>0.84093719840008063</c:v>
                </c:pt>
                <c:pt idx="100">
                  <c:v>0.84328053506670619</c:v>
                </c:pt>
                <c:pt idx="101">
                  <c:v>0.84792274346261154</c:v>
                </c:pt>
                <c:pt idx="102">
                  <c:v>0.85475665234956544</c:v>
                </c:pt>
                <c:pt idx="103">
                  <c:v>0.97699943112014498</c:v>
                </c:pt>
                <c:pt idx="104">
                  <c:v>0.59304860577070029</c:v>
                </c:pt>
                <c:pt idx="105">
                  <c:v>0.80582677968706484</c:v>
                </c:pt>
                <c:pt idx="106">
                  <c:v>0.8019730835078227</c:v>
                </c:pt>
                <c:pt idx="107">
                  <c:v>1.319132393581951</c:v>
                </c:pt>
                <c:pt idx="108">
                  <c:v>1.225285711257867</c:v>
                </c:pt>
                <c:pt idx="109">
                  <c:v>0.82871698166980834</c:v>
                </c:pt>
                <c:pt idx="110">
                  <c:v>1.0298999775420408</c:v>
                </c:pt>
                <c:pt idx="111">
                  <c:v>0.75444272431490345</c:v>
                </c:pt>
                <c:pt idx="112">
                  <c:v>0.69386770194612812</c:v>
                </c:pt>
                <c:pt idx="113">
                  <c:v>0.90965529134511081</c:v>
                </c:pt>
                <c:pt idx="114">
                  <c:v>0.99326504946441529</c:v>
                </c:pt>
                <c:pt idx="115">
                  <c:v>0.94038290948270398</c:v>
                </c:pt>
                <c:pt idx="116">
                  <c:v>0.95932092737281593</c:v>
                </c:pt>
                <c:pt idx="117">
                  <c:v>1.1105779837155023</c:v>
                </c:pt>
                <c:pt idx="118">
                  <c:v>1.3263070575912161</c:v>
                </c:pt>
                <c:pt idx="119">
                  <c:v>1.024062512065941</c:v>
                </c:pt>
                <c:pt idx="120">
                  <c:v>0.91133114618137923</c:v>
                </c:pt>
                <c:pt idx="121">
                  <c:v>0.91265201438889054</c:v>
                </c:pt>
                <c:pt idx="122">
                  <c:v>1.1657324032014897</c:v>
                </c:pt>
                <c:pt idx="123">
                  <c:v>1.2071654427951271</c:v>
                </c:pt>
                <c:pt idx="124">
                  <c:v>1.1259661534046017</c:v>
                </c:pt>
                <c:pt idx="125">
                  <c:v>1.1680540753911814</c:v>
                </c:pt>
                <c:pt idx="126">
                  <c:v>0.88895728373924898</c:v>
                </c:pt>
                <c:pt idx="127">
                  <c:v>1.2917965885589671</c:v>
                </c:pt>
                <c:pt idx="128">
                  <c:v>1.1810501228973129</c:v>
                </c:pt>
                <c:pt idx="129">
                  <c:v>1.2664005668630758</c:v>
                </c:pt>
                <c:pt idx="130">
                  <c:v>1.3367155414124503</c:v>
                </c:pt>
                <c:pt idx="131">
                  <c:v>1.6262328350158395</c:v>
                </c:pt>
                <c:pt idx="132">
                  <c:v>1.1323002004967704</c:v>
                </c:pt>
                <c:pt idx="133">
                  <c:v>0.84538820544670656</c:v>
                </c:pt>
                <c:pt idx="134">
                  <c:v>1.2877452555259672</c:v>
                </c:pt>
                <c:pt idx="135">
                  <c:v>1.261540097494245</c:v>
                </c:pt>
                <c:pt idx="136">
                  <c:v>1.4607487182676568</c:v>
                </c:pt>
                <c:pt idx="137">
                  <c:v>1.4641359176853448</c:v>
                </c:pt>
                <c:pt idx="138">
                  <c:v>1.375182761761673</c:v>
                </c:pt>
                <c:pt idx="139">
                  <c:v>1.0870270158672786</c:v>
                </c:pt>
                <c:pt idx="140">
                  <c:v>1.126578803229187</c:v>
                </c:pt>
                <c:pt idx="141">
                  <c:v>1.308638195234431</c:v>
                </c:pt>
                <c:pt idx="142">
                  <c:v>1.1796474411191393</c:v>
                </c:pt>
                <c:pt idx="143">
                  <c:v>1.3046793786125721</c:v>
                </c:pt>
                <c:pt idx="144">
                  <c:v>1.3931971605463955</c:v>
                </c:pt>
                <c:pt idx="145">
                  <c:v>1.3745400095823248</c:v>
                </c:pt>
                <c:pt idx="146">
                  <c:v>0.96577843675595121</c:v>
                </c:pt>
                <c:pt idx="147">
                  <c:v>0.96274649750885632</c:v>
                </c:pt>
                <c:pt idx="148">
                  <c:v>0.86156957411916546</c:v>
                </c:pt>
                <c:pt idx="149">
                  <c:v>1.1405632269662429</c:v>
                </c:pt>
                <c:pt idx="150">
                  <c:v>1.2682350418213511</c:v>
                </c:pt>
                <c:pt idx="151">
                  <c:v>1.2530583580983412</c:v>
                </c:pt>
                <c:pt idx="152">
                  <c:v>1.1206737970380443</c:v>
                </c:pt>
                <c:pt idx="153">
                  <c:v>0.84876650708838053</c:v>
                </c:pt>
                <c:pt idx="154">
                  <c:v>0.86896930160550301</c:v>
                </c:pt>
                <c:pt idx="155">
                  <c:v>0.88852216100607118</c:v>
                </c:pt>
                <c:pt idx="156">
                  <c:v>1.1116120661896289</c:v>
                </c:pt>
                <c:pt idx="157">
                  <c:v>1.1418032083865293</c:v>
                </c:pt>
                <c:pt idx="158">
                  <c:v>1.3175703293589363</c:v>
                </c:pt>
                <c:pt idx="159">
                  <c:v>1.2562026357548723</c:v>
                </c:pt>
                <c:pt idx="160">
                  <c:v>0.78231554683079518</c:v>
                </c:pt>
                <c:pt idx="161">
                  <c:v>0.76156405155758411</c:v>
                </c:pt>
                <c:pt idx="162">
                  <c:v>1.0977445477472794</c:v>
                </c:pt>
                <c:pt idx="163">
                  <c:v>1.0343843814541283</c:v>
                </c:pt>
                <c:pt idx="164">
                  <c:v>1.2524199876387194</c:v>
                </c:pt>
                <c:pt idx="165">
                  <c:v>1.0779979811979461</c:v>
                </c:pt>
                <c:pt idx="166">
                  <c:v>1.022988721250399</c:v>
                </c:pt>
                <c:pt idx="167">
                  <c:v>0.84768499932193253</c:v>
                </c:pt>
                <c:pt idx="168">
                  <c:v>0.68938705111523868</c:v>
                </c:pt>
                <c:pt idx="169">
                  <c:v>0.7903761175905949</c:v>
                </c:pt>
                <c:pt idx="170">
                  <c:v>0.88143906578098952</c:v>
                </c:pt>
                <c:pt idx="171">
                  <c:v>0.92224332918696761</c:v>
                </c:pt>
                <c:pt idx="172">
                  <c:v>1.0529877682342161</c:v>
                </c:pt>
                <c:pt idx="173">
                  <c:v>0.85753774966989216</c:v>
                </c:pt>
                <c:pt idx="174">
                  <c:v>0.67465455718720202</c:v>
                </c:pt>
                <c:pt idx="175">
                  <c:v>0.4889632400193723</c:v>
                </c:pt>
                <c:pt idx="176">
                  <c:v>0.69863764760841951</c:v>
                </c:pt>
                <c:pt idx="177">
                  <c:v>0.76839696958272052</c:v>
                </c:pt>
                <c:pt idx="178">
                  <c:v>0.95513834824740307</c:v>
                </c:pt>
                <c:pt idx="179">
                  <c:v>1.1284815864683875</c:v>
                </c:pt>
                <c:pt idx="180">
                  <c:v>1.1249322101764185</c:v>
                </c:pt>
                <c:pt idx="181">
                  <c:v>0.92008947014628806</c:v>
                </c:pt>
                <c:pt idx="182">
                  <c:v>0.69896273820735577</c:v>
                </c:pt>
                <c:pt idx="183">
                  <c:v>1.172083430394284</c:v>
                </c:pt>
                <c:pt idx="184">
                  <c:v>1.1345068155277125</c:v>
                </c:pt>
                <c:pt idx="185">
                  <c:v>1.5527995613539378</c:v>
                </c:pt>
                <c:pt idx="186">
                  <c:v>1.3015950905135507</c:v>
                </c:pt>
                <c:pt idx="187">
                  <c:v>1.6516880944445216</c:v>
                </c:pt>
                <c:pt idx="188">
                  <c:v>1.3722792312878864</c:v>
                </c:pt>
                <c:pt idx="189">
                  <c:v>1.0710234012079605</c:v>
                </c:pt>
                <c:pt idx="190">
                  <c:v>1.0078194332269825</c:v>
                </c:pt>
                <c:pt idx="191">
                  <c:v>1.3790728910224577</c:v>
                </c:pt>
                <c:pt idx="192">
                  <c:v>1.5258183571935795</c:v>
                </c:pt>
                <c:pt idx="193">
                  <c:v>1.9826485603564377</c:v>
                </c:pt>
                <c:pt idx="194">
                  <c:v>1.7353018102418174</c:v>
                </c:pt>
                <c:pt idx="195">
                  <c:v>1.3383644360825551</c:v>
                </c:pt>
                <c:pt idx="196">
                  <c:v>1.235044370428751</c:v>
                </c:pt>
                <c:pt idx="197">
                  <c:v>1.2132205241539709</c:v>
                </c:pt>
                <c:pt idx="198">
                  <c:v>1.3780239695725853</c:v>
                </c:pt>
                <c:pt idx="199">
                  <c:v>1.6570186367195638</c:v>
                </c:pt>
                <c:pt idx="200">
                  <c:v>1.7651270981475884</c:v>
                </c:pt>
                <c:pt idx="201">
                  <c:v>1.6432706493738367</c:v>
                </c:pt>
                <c:pt idx="202">
                  <c:v>1.2296630180424872</c:v>
                </c:pt>
                <c:pt idx="203">
                  <c:v>1.2349249241898028</c:v>
                </c:pt>
                <c:pt idx="204">
                  <c:v>1.3318197093743571</c:v>
                </c:pt>
                <c:pt idx="205">
                  <c:v>1.7077143726923993</c:v>
                </c:pt>
                <c:pt idx="206">
                  <c:v>2.2104265987659213</c:v>
                </c:pt>
                <c:pt idx="207">
                  <c:v>2.0866583847725266</c:v>
                </c:pt>
                <c:pt idx="208">
                  <c:v>2.020084138765232</c:v>
                </c:pt>
                <c:pt idx="209">
                  <c:v>1.3898922721517952</c:v>
                </c:pt>
                <c:pt idx="210">
                  <c:v>1.3846266612481863</c:v>
                </c:pt>
                <c:pt idx="211">
                  <c:v>1.5138356886280229</c:v>
                </c:pt>
                <c:pt idx="212">
                  <c:v>1.8160405811135889</c:v>
                </c:pt>
                <c:pt idx="213">
                  <c:v>2.0184644876596392</c:v>
                </c:pt>
                <c:pt idx="214">
                  <c:v>1.6763673240318062</c:v>
                </c:pt>
                <c:pt idx="215">
                  <c:v>1.9089923513631923</c:v>
                </c:pt>
                <c:pt idx="216">
                  <c:v>1.4988912579646483</c:v>
                </c:pt>
                <c:pt idx="217">
                  <c:v>1.2264063999857717</c:v>
                </c:pt>
                <c:pt idx="218">
                  <c:v>1.4752133116035053</c:v>
                </c:pt>
                <c:pt idx="219">
                  <c:v>1.4927962148338063</c:v>
                </c:pt>
                <c:pt idx="220">
                  <c:v>1.6817346554688213</c:v>
                </c:pt>
                <c:pt idx="221">
                  <c:v>1.7255170192847724</c:v>
                </c:pt>
                <c:pt idx="222">
                  <c:v>1.5630118876310171</c:v>
                </c:pt>
                <c:pt idx="223">
                  <c:v>1.2464518003857528</c:v>
                </c:pt>
                <c:pt idx="224">
                  <c:v>1.0501429266807165</c:v>
                </c:pt>
                <c:pt idx="225">
                  <c:v>1.6595630941352604</c:v>
                </c:pt>
                <c:pt idx="226">
                  <c:v>1.7511357930592797</c:v>
                </c:pt>
                <c:pt idx="227">
                  <c:v>1.6937029745571857</c:v>
                </c:pt>
                <c:pt idx="228">
                  <c:v>1.6536057182474169</c:v>
                </c:pt>
                <c:pt idx="229">
                  <c:v>1.5311301124071177</c:v>
                </c:pt>
                <c:pt idx="230">
                  <c:v>1.1159916799364396</c:v>
                </c:pt>
                <c:pt idx="231">
                  <c:v>0.99595490881231818</c:v>
                </c:pt>
                <c:pt idx="232">
                  <c:v>1.2387226801896314</c:v>
                </c:pt>
                <c:pt idx="233">
                  <c:v>1.5274654118080353</c:v>
                </c:pt>
                <c:pt idx="234">
                  <c:v>1.5614289763599147</c:v>
                </c:pt>
                <c:pt idx="235">
                  <c:v>1.4424588240491876</c:v>
                </c:pt>
                <c:pt idx="236">
                  <c:v>1.396223766092703</c:v>
                </c:pt>
                <c:pt idx="237">
                  <c:v>1.174943739364015</c:v>
                </c:pt>
                <c:pt idx="238">
                  <c:v>1.0042168878959823</c:v>
                </c:pt>
                <c:pt idx="239">
                  <c:v>1.1765277697684315</c:v>
                </c:pt>
                <c:pt idx="240">
                  <c:v>1.1370828648441438</c:v>
                </c:pt>
                <c:pt idx="241">
                  <c:v>1.0030154125581976</c:v>
                </c:pt>
                <c:pt idx="242">
                  <c:v>1.0630488204367057</c:v>
                </c:pt>
                <c:pt idx="243">
                  <c:v>1.1201433777836034</c:v>
                </c:pt>
                <c:pt idx="244">
                  <c:v>0.94116581238358832</c:v>
                </c:pt>
                <c:pt idx="245">
                  <c:v>0.9040617698445117</c:v>
                </c:pt>
                <c:pt idx="246">
                  <c:v>0.84335093377683568</c:v>
                </c:pt>
                <c:pt idx="247">
                  <c:v>0.89558196230284104</c:v>
                </c:pt>
                <c:pt idx="248">
                  <c:v>1.0962488640952803</c:v>
                </c:pt>
                <c:pt idx="249">
                  <c:v>1.0132271846045986</c:v>
                </c:pt>
                <c:pt idx="250">
                  <c:v>1.0900551656392816</c:v>
                </c:pt>
                <c:pt idx="251">
                  <c:v>0.79365631872155495</c:v>
                </c:pt>
                <c:pt idx="252">
                  <c:v>0.68705567213649044</c:v>
                </c:pt>
                <c:pt idx="253">
                  <c:v>1.5692483471318721</c:v>
                </c:pt>
                <c:pt idx="254">
                  <c:v>0.68108123600624637</c:v>
                </c:pt>
                <c:pt idx="255">
                  <c:v>0.77514099887715249</c:v>
                </c:pt>
                <c:pt idx="256">
                  <c:v>0.81876858555218202</c:v>
                </c:pt>
                <c:pt idx="257">
                  <c:v>0.74780571753912839</c:v>
                </c:pt>
                <c:pt idx="258">
                  <c:v>0.58690129498372579</c:v>
                </c:pt>
                <c:pt idx="259">
                  <c:v>0.31139277314544456</c:v>
                </c:pt>
                <c:pt idx="260">
                  <c:v>0.54850345729186312</c:v>
                </c:pt>
                <c:pt idx="261">
                  <c:v>0.89219940278714271</c:v>
                </c:pt>
                <c:pt idx="262">
                  <c:v>0.9704450988877199</c:v>
                </c:pt>
                <c:pt idx="263">
                  <c:v>0.86953749848443196</c:v>
                </c:pt>
                <c:pt idx="264">
                  <c:v>0.83190704757855216</c:v>
                </c:pt>
                <c:pt idx="265">
                  <c:v>0.6292354338605799</c:v>
                </c:pt>
                <c:pt idx="266">
                  <c:v>0.32026634415150235</c:v>
                </c:pt>
                <c:pt idx="267">
                  <c:v>0.66659577565995809</c:v>
                </c:pt>
                <c:pt idx="268">
                  <c:v>1.0246372512824229</c:v>
                </c:pt>
                <c:pt idx="269">
                  <c:v>1.1537087578259426</c:v>
                </c:pt>
                <c:pt idx="270">
                  <c:v>1.0764517148920167</c:v>
                </c:pt>
                <c:pt idx="271">
                  <c:v>0.93381078606414325</c:v>
                </c:pt>
                <c:pt idx="272">
                  <c:v>0.73609121333188654</c:v>
                </c:pt>
                <c:pt idx="273">
                  <c:v>0.41718808683707442</c:v>
                </c:pt>
                <c:pt idx="274">
                  <c:v>0.6419973221529407</c:v>
                </c:pt>
                <c:pt idx="275">
                  <c:v>1.2199779065681677</c:v>
                </c:pt>
                <c:pt idx="276">
                  <c:v>1.1352256501111819</c:v>
                </c:pt>
                <c:pt idx="277">
                  <c:v>1.0261273018750419</c:v>
                </c:pt>
                <c:pt idx="278">
                  <c:v>1.0458897908799614</c:v>
                </c:pt>
                <c:pt idx="279">
                  <c:v>0.79256551684297394</c:v>
                </c:pt>
                <c:pt idx="280">
                  <c:v>0</c:v>
                </c:pt>
                <c:pt idx="281">
                  <c:v>0</c:v>
                </c:pt>
                <c:pt idx="282">
                  <c:v>7.7715611723760958E-16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214-431C-B73D-81825A9B7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8720510"/>
        <c:axId val="575888309"/>
      </c:lineChart>
      <c:lineChart>
        <c:grouping val="standard"/>
        <c:varyColors val="0"/>
        <c:ser>
          <c:idx val="2"/>
          <c:order val="2"/>
          <c:tx>
            <c:strRef>
              <c:f>'R(t) Polska'!$L$15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Polska'!$A$16:$A$1000</c:f>
              <c:numCache>
                <c:formatCode>dd\.mm\.yyyy</c:formatCode>
                <c:ptCount val="985"/>
                <c:pt idx="0">
                  <c:v>43906</c:v>
                </c:pt>
                <c:pt idx="1">
                  <c:v>43907</c:v>
                </c:pt>
                <c:pt idx="2">
                  <c:v>43908</c:v>
                </c:pt>
                <c:pt idx="3">
                  <c:v>43909</c:v>
                </c:pt>
                <c:pt idx="4">
                  <c:v>43910</c:v>
                </c:pt>
                <c:pt idx="5">
                  <c:v>43911</c:v>
                </c:pt>
                <c:pt idx="6">
                  <c:v>43912</c:v>
                </c:pt>
                <c:pt idx="7">
                  <c:v>43913</c:v>
                </c:pt>
                <c:pt idx="8">
                  <c:v>43914</c:v>
                </c:pt>
                <c:pt idx="9">
                  <c:v>43915</c:v>
                </c:pt>
                <c:pt idx="10">
                  <c:v>43916</c:v>
                </c:pt>
                <c:pt idx="11">
                  <c:v>43917</c:v>
                </c:pt>
                <c:pt idx="12">
                  <c:v>43918</c:v>
                </c:pt>
                <c:pt idx="13">
                  <c:v>43919</c:v>
                </c:pt>
                <c:pt idx="14">
                  <c:v>43920</c:v>
                </c:pt>
                <c:pt idx="15">
                  <c:v>43921</c:v>
                </c:pt>
                <c:pt idx="16">
                  <c:v>43922</c:v>
                </c:pt>
                <c:pt idx="17">
                  <c:v>43923</c:v>
                </c:pt>
                <c:pt idx="18">
                  <c:v>43924</c:v>
                </c:pt>
                <c:pt idx="19">
                  <c:v>43925</c:v>
                </c:pt>
                <c:pt idx="20">
                  <c:v>43926</c:v>
                </c:pt>
                <c:pt idx="21">
                  <c:v>43927</c:v>
                </c:pt>
                <c:pt idx="22">
                  <c:v>43928</c:v>
                </c:pt>
                <c:pt idx="23">
                  <c:v>43929</c:v>
                </c:pt>
                <c:pt idx="24">
                  <c:v>43930</c:v>
                </c:pt>
                <c:pt idx="25">
                  <c:v>43931</c:v>
                </c:pt>
                <c:pt idx="26">
                  <c:v>43932</c:v>
                </c:pt>
                <c:pt idx="27">
                  <c:v>43933</c:v>
                </c:pt>
                <c:pt idx="28">
                  <c:v>43934</c:v>
                </c:pt>
                <c:pt idx="29">
                  <c:v>43935</c:v>
                </c:pt>
                <c:pt idx="30">
                  <c:v>43936</c:v>
                </c:pt>
                <c:pt idx="31">
                  <c:v>43937</c:v>
                </c:pt>
                <c:pt idx="32">
                  <c:v>43938</c:v>
                </c:pt>
                <c:pt idx="33">
                  <c:v>43939</c:v>
                </c:pt>
                <c:pt idx="34">
                  <c:v>43940</c:v>
                </c:pt>
                <c:pt idx="35">
                  <c:v>43941</c:v>
                </c:pt>
                <c:pt idx="36">
                  <c:v>43942</c:v>
                </c:pt>
                <c:pt idx="37">
                  <c:v>43943</c:v>
                </c:pt>
                <c:pt idx="38">
                  <c:v>43944</c:v>
                </c:pt>
                <c:pt idx="39">
                  <c:v>43945</c:v>
                </c:pt>
                <c:pt idx="40">
                  <c:v>43946</c:v>
                </c:pt>
                <c:pt idx="41">
                  <c:v>43947</c:v>
                </c:pt>
                <c:pt idx="42">
                  <c:v>43948</c:v>
                </c:pt>
                <c:pt idx="43">
                  <c:v>43949</c:v>
                </c:pt>
                <c:pt idx="44">
                  <c:v>43950</c:v>
                </c:pt>
                <c:pt idx="45">
                  <c:v>43951</c:v>
                </c:pt>
                <c:pt idx="46">
                  <c:v>43952</c:v>
                </c:pt>
                <c:pt idx="47">
                  <c:v>43953</c:v>
                </c:pt>
                <c:pt idx="48">
                  <c:v>43954</c:v>
                </c:pt>
                <c:pt idx="49">
                  <c:v>43955</c:v>
                </c:pt>
                <c:pt idx="50">
                  <c:v>43956</c:v>
                </c:pt>
                <c:pt idx="51">
                  <c:v>43957</c:v>
                </c:pt>
                <c:pt idx="52">
                  <c:v>43958</c:v>
                </c:pt>
                <c:pt idx="53">
                  <c:v>43959</c:v>
                </c:pt>
                <c:pt idx="54">
                  <c:v>43960</c:v>
                </c:pt>
                <c:pt idx="55">
                  <c:v>43961</c:v>
                </c:pt>
                <c:pt idx="56">
                  <c:v>43962</c:v>
                </c:pt>
                <c:pt idx="57">
                  <c:v>43963</c:v>
                </c:pt>
                <c:pt idx="58">
                  <c:v>43964</c:v>
                </c:pt>
                <c:pt idx="59">
                  <c:v>43965</c:v>
                </c:pt>
                <c:pt idx="60">
                  <c:v>43966</c:v>
                </c:pt>
                <c:pt idx="61">
                  <c:v>43967</c:v>
                </c:pt>
                <c:pt idx="62">
                  <c:v>43968</c:v>
                </c:pt>
                <c:pt idx="63">
                  <c:v>43969</c:v>
                </c:pt>
                <c:pt idx="64">
                  <c:v>43970</c:v>
                </c:pt>
                <c:pt idx="65">
                  <c:v>43971</c:v>
                </c:pt>
                <c:pt idx="66">
                  <c:v>43972</c:v>
                </c:pt>
                <c:pt idx="67">
                  <c:v>43973</c:v>
                </c:pt>
                <c:pt idx="68">
                  <c:v>43974</c:v>
                </c:pt>
                <c:pt idx="69">
                  <c:v>43975</c:v>
                </c:pt>
                <c:pt idx="70">
                  <c:v>43976</c:v>
                </c:pt>
                <c:pt idx="71">
                  <c:v>43977</c:v>
                </c:pt>
                <c:pt idx="72">
                  <c:v>43978</c:v>
                </c:pt>
                <c:pt idx="73">
                  <c:v>43979</c:v>
                </c:pt>
                <c:pt idx="74">
                  <c:v>43980</c:v>
                </c:pt>
                <c:pt idx="75">
                  <c:v>43981</c:v>
                </c:pt>
                <c:pt idx="76">
                  <c:v>43982</c:v>
                </c:pt>
                <c:pt idx="77">
                  <c:v>43983</c:v>
                </c:pt>
                <c:pt idx="78">
                  <c:v>43984</c:v>
                </c:pt>
                <c:pt idx="79">
                  <c:v>43985</c:v>
                </c:pt>
                <c:pt idx="80">
                  <c:v>43986</c:v>
                </c:pt>
                <c:pt idx="81">
                  <c:v>43987</c:v>
                </c:pt>
                <c:pt idx="82">
                  <c:v>43988</c:v>
                </c:pt>
                <c:pt idx="83">
                  <c:v>43989</c:v>
                </c:pt>
                <c:pt idx="84">
                  <c:v>43990</c:v>
                </c:pt>
                <c:pt idx="85">
                  <c:v>43991</c:v>
                </c:pt>
                <c:pt idx="86">
                  <c:v>43992</c:v>
                </c:pt>
                <c:pt idx="87">
                  <c:v>43993</c:v>
                </c:pt>
                <c:pt idx="88">
                  <c:v>43994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44041</c:v>
                </c:pt>
                <c:pt idx="136">
                  <c:v>44042</c:v>
                </c:pt>
                <c:pt idx="137">
                  <c:v>44043</c:v>
                </c:pt>
                <c:pt idx="138">
                  <c:v>44044</c:v>
                </c:pt>
                <c:pt idx="139">
                  <c:v>44045</c:v>
                </c:pt>
                <c:pt idx="140">
                  <c:v>44046</c:v>
                </c:pt>
                <c:pt idx="141">
                  <c:v>44047</c:v>
                </c:pt>
                <c:pt idx="142">
                  <c:v>44048</c:v>
                </c:pt>
                <c:pt idx="143">
                  <c:v>44049</c:v>
                </c:pt>
                <c:pt idx="144">
                  <c:v>44050</c:v>
                </c:pt>
                <c:pt idx="145">
                  <c:v>44051</c:v>
                </c:pt>
                <c:pt idx="146">
                  <c:v>44052</c:v>
                </c:pt>
                <c:pt idx="147">
                  <c:v>44053</c:v>
                </c:pt>
                <c:pt idx="148">
                  <c:v>44054</c:v>
                </c:pt>
                <c:pt idx="149">
                  <c:v>44055</c:v>
                </c:pt>
                <c:pt idx="150">
                  <c:v>44056</c:v>
                </c:pt>
                <c:pt idx="151">
                  <c:v>44057</c:v>
                </c:pt>
                <c:pt idx="152">
                  <c:v>44058</c:v>
                </c:pt>
                <c:pt idx="153">
                  <c:v>44059</c:v>
                </c:pt>
                <c:pt idx="154">
                  <c:v>44060</c:v>
                </c:pt>
                <c:pt idx="155">
                  <c:v>44061</c:v>
                </c:pt>
                <c:pt idx="156">
                  <c:v>44062</c:v>
                </c:pt>
                <c:pt idx="157">
                  <c:v>44063</c:v>
                </c:pt>
                <c:pt idx="158">
                  <c:v>44064</c:v>
                </c:pt>
                <c:pt idx="159">
                  <c:v>44065</c:v>
                </c:pt>
                <c:pt idx="160">
                  <c:v>44066</c:v>
                </c:pt>
                <c:pt idx="161">
                  <c:v>44067</c:v>
                </c:pt>
                <c:pt idx="162">
                  <c:v>44068</c:v>
                </c:pt>
                <c:pt idx="163">
                  <c:v>44069</c:v>
                </c:pt>
                <c:pt idx="164">
                  <c:v>44070</c:v>
                </c:pt>
                <c:pt idx="165">
                  <c:v>44071</c:v>
                </c:pt>
                <c:pt idx="166">
                  <c:v>44072</c:v>
                </c:pt>
                <c:pt idx="167">
                  <c:v>44073</c:v>
                </c:pt>
                <c:pt idx="168">
                  <c:v>44074</c:v>
                </c:pt>
                <c:pt idx="169">
                  <c:v>44075</c:v>
                </c:pt>
                <c:pt idx="170">
                  <c:v>44076</c:v>
                </c:pt>
                <c:pt idx="171">
                  <c:v>44077</c:v>
                </c:pt>
                <c:pt idx="172">
                  <c:v>44078</c:v>
                </c:pt>
                <c:pt idx="173">
                  <c:v>44079</c:v>
                </c:pt>
                <c:pt idx="174">
                  <c:v>44080</c:v>
                </c:pt>
                <c:pt idx="175">
                  <c:v>44081</c:v>
                </c:pt>
                <c:pt idx="176">
                  <c:v>44082</c:v>
                </c:pt>
                <c:pt idx="177">
                  <c:v>44083</c:v>
                </c:pt>
                <c:pt idx="178">
                  <c:v>44084</c:v>
                </c:pt>
                <c:pt idx="179">
                  <c:v>44085</c:v>
                </c:pt>
                <c:pt idx="180">
                  <c:v>44086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</c:numCache>
            </c:numRef>
          </c:cat>
          <c:val>
            <c:numRef>
              <c:f>'R(t) Polska'!$L$16:$L$1000</c:f>
              <c:numCache>
                <c:formatCode>0.00</c:formatCode>
                <c:ptCount val="985"/>
                <c:pt idx="0">
                  <c:v>22.857142857142858</c:v>
                </c:pt>
                <c:pt idx="1">
                  <c:v>30.857142857142858</c:v>
                </c:pt>
                <c:pt idx="2">
                  <c:v>36.571428571428569</c:v>
                </c:pt>
                <c:pt idx="3">
                  <c:v>43.428571428571431</c:v>
                </c:pt>
                <c:pt idx="4">
                  <c:v>51</c:v>
                </c:pt>
                <c:pt idx="5">
                  <c:v>61.714285714285715</c:v>
                </c:pt>
                <c:pt idx="6">
                  <c:v>72.714285714285708</c:v>
                </c:pt>
                <c:pt idx="7">
                  <c:v>81.714285714285708</c:v>
                </c:pt>
                <c:pt idx="8">
                  <c:v>94.714285714285708</c:v>
                </c:pt>
                <c:pt idx="9">
                  <c:v>109.14285714285714</c:v>
                </c:pt>
                <c:pt idx="10">
                  <c:v>123.71428571428571</c:v>
                </c:pt>
                <c:pt idx="11">
                  <c:v>137.71428571428572</c:v>
                </c:pt>
                <c:pt idx="12">
                  <c:v>157.42857142857142</c:v>
                </c:pt>
                <c:pt idx="13">
                  <c:v>175.42857142857142</c:v>
                </c:pt>
                <c:pt idx="14">
                  <c:v>186.57142857142858</c:v>
                </c:pt>
                <c:pt idx="15">
                  <c:v>201.42857142857142</c:v>
                </c:pt>
                <c:pt idx="16">
                  <c:v>214.71428571428572</c:v>
                </c:pt>
                <c:pt idx="17">
                  <c:v>246.42857142857142</c:v>
                </c:pt>
                <c:pt idx="18">
                  <c:v>284.85714285714283</c:v>
                </c:pt>
                <c:pt idx="19">
                  <c:v>284.14285714285717</c:v>
                </c:pt>
                <c:pt idx="20">
                  <c:v>320</c:v>
                </c:pt>
                <c:pt idx="21">
                  <c:v>336.85714285714283</c:v>
                </c:pt>
                <c:pt idx="22">
                  <c:v>362.42857142857144</c:v>
                </c:pt>
                <c:pt idx="23">
                  <c:v>378.71428571428572</c:v>
                </c:pt>
                <c:pt idx="24">
                  <c:v>375.57142857142856</c:v>
                </c:pt>
                <c:pt idx="25">
                  <c:v>367.42857142857144</c:v>
                </c:pt>
                <c:pt idx="26">
                  <c:v>389.85714285714283</c:v>
                </c:pt>
                <c:pt idx="27">
                  <c:v>367.42857142857144</c:v>
                </c:pt>
                <c:pt idx="28">
                  <c:v>359.85714285714283</c:v>
                </c:pt>
                <c:pt idx="29">
                  <c:v>336.28571428571428</c:v>
                </c:pt>
                <c:pt idx="30">
                  <c:v>339.57142857142856</c:v>
                </c:pt>
                <c:pt idx="31">
                  <c:v>334.71428571428572</c:v>
                </c:pt>
                <c:pt idx="32">
                  <c:v>345.71428571428572</c:v>
                </c:pt>
                <c:pt idx="33">
                  <c:v>336.14285714285717</c:v>
                </c:pt>
                <c:pt idx="34">
                  <c:v>364.28571428571428</c:v>
                </c:pt>
                <c:pt idx="35">
                  <c:v>371.14285714285717</c:v>
                </c:pt>
                <c:pt idx="36">
                  <c:v>370.14285714285717</c:v>
                </c:pt>
                <c:pt idx="37">
                  <c:v>360.57142857142856</c:v>
                </c:pt>
                <c:pt idx="38">
                  <c:v>361.42857142857144</c:v>
                </c:pt>
                <c:pt idx="39">
                  <c:v>350.57142857142856</c:v>
                </c:pt>
                <c:pt idx="40">
                  <c:v>357.28571428571428</c:v>
                </c:pt>
                <c:pt idx="41">
                  <c:v>332.85714285714283</c:v>
                </c:pt>
                <c:pt idx="42">
                  <c:v>329.85714285714283</c:v>
                </c:pt>
                <c:pt idx="43">
                  <c:v>337.42857142857144</c:v>
                </c:pt>
                <c:pt idx="44">
                  <c:v>353</c:v>
                </c:pt>
                <c:pt idx="45">
                  <c:v>347</c:v>
                </c:pt>
                <c:pt idx="46">
                  <c:v>325.14285714285717</c:v>
                </c:pt>
                <c:pt idx="47">
                  <c:v>309.28571428571428</c:v>
                </c:pt>
                <c:pt idx="48">
                  <c:v>305.57142857142856</c:v>
                </c:pt>
                <c:pt idx="49">
                  <c:v>309.57142857142856</c:v>
                </c:pt>
                <c:pt idx="50">
                  <c:v>322.42857142857144</c:v>
                </c:pt>
                <c:pt idx="51">
                  <c:v>306.57142857142856</c:v>
                </c:pt>
                <c:pt idx="52">
                  <c:v>307</c:v>
                </c:pt>
                <c:pt idx="53">
                  <c:v>322.57142857142856</c:v>
                </c:pt>
                <c:pt idx="54">
                  <c:v>325.14285714285717</c:v>
                </c:pt>
                <c:pt idx="55">
                  <c:v>329</c:v>
                </c:pt>
                <c:pt idx="56">
                  <c:v>331.42857142857144</c:v>
                </c:pt>
                <c:pt idx="57">
                  <c:v>352.85714285714283</c:v>
                </c:pt>
                <c:pt idx="58">
                  <c:v>354.42857142857144</c:v>
                </c:pt>
                <c:pt idx="59">
                  <c:v>369.85714285714283</c:v>
                </c:pt>
                <c:pt idx="60">
                  <c:v>379</c:v>
                </c:pt>
                <c:pt idx="61">
                  <c:v>372.28571428571428</c:v>
                </c:pt>
                <c:pt idx="62">
                  <c:v>361.85714285714283</c:v>
                </c:pt>
                <c:pt idx="63">
                  <c:v>365.57142857142856</c:v>
                </c:pt>
                <c:pt idx="64">
                  <c:v>340.71428571428572</c:v>
                </c:pt>
                <c:pt idx="65">
                  <c:v>362</c:v>
                </c:pt>
                <c:pt idx="66">
                  <c:v>360.85714285714283</c:v>
                </c:pt>
                <c:pt idx="67">
                  <c:v>370.85714285714283</c:v>
                </c:pt>
                <c:pt idx="68">
                  <c:v>381.42857142857144</c:v>
                </c:pt>
                <c:pt idx="69">
                  <c:v>394.14285714285717</c:v>
                </c:pt>
                <c:pt idx="70">
                  <c:v>392</c:v>
                </c:pt>
                <c:pt idx="71">
                  <c:v>400.71428571428572</c:v>
                </c:pt>
                <c:pt idx="72">
                  <c:v>390.14285714285717</c:v>
                </c:pt>
                <c:pt idx="73">
                  <c:v>382.85714285714283</c:v>
                </c:pt>
                <c:pt idx="74">
                  <c:v>363</c:v>
                </c:pt>
                <c:pt idx="75">
                  <c:v>376.85714285714283</c:v>
                </c:pt>
                <c:pt idx="76">
                  <c:v>356.57142857142856</c:v>
                </c:pt>
                <c:pt idx="77">
                  <c:v>361.42857142857144</c:v>
                </c:pt>
                <c:pt idx="78">
                  <c:v>331.85714285714283</c:v>
                </c:pt>
                <c:pt idx="79">
                  <c:v>316.85714285714283</c:v>
                </c:pt>
                <c:pt idx="80">
                  <c:v>318.14285714285717</c:v>
                </c:pt>
                <c:pt idx="81">
                  <c:v>322.42857142857144</c:v>
                </c:pt>
                <c:pt idx="82">
                  <c:v>345.85714285714283</c:v>
                </c:pt>
                <c:pt idx="83">
                  <c:v>396.71428571428572</c:v>
                </c:pt>
                <c:pt idx="84">
                  <c:v>428.71428571428572</c:v>
                </c:pt>
                <c:pt idx="85">
                  <c:v>452.14285714285717</c:v>
                </c:pt>
                <c:pt idx="86">
                  <c:v>450.71428571428572</c:v>
                </c:pt>
                <c:pt idx="87">
                  <c:v>450.42857142857144</c:v>
                </c:pt>
                <c:pt idx="88">
                  <c:v>452.42857142857144</c:v>
                </c:pt>
                <c:pt idx="89">
                  <c:v>433</c:v>
                </c:pt>
                <c:pt idx="90">
                  <c:v>404.42857142857144</c:v>
                </c:pt>
                <c:pt idx="91">
                  <c:v>375.42857142857144</c:v>
                </c:pt>
                <c:pt idx="92">
                  <c:v>376.42857142857144</c:v>
                </c:pt>
                <c:pt idx="93">
                  <c:v>400.42857142857144</c:v>
                </c:pt>
                <c:pt idx="94">
                  <c:v>394</c:v>
                </c:pt>
                <c:pt idx="95">
                  <c:v>390.57142857142856</c:v>
                </c:pt>
                <c:pt idx="96">
                  <c:v>371.85714285714283</c:v>
                </c:pt>
                <c:pt idx="97">
                  <c:v>362.71428571428572</c:v>
                </c:pt>
                <c:pt idx="98">
                  <c:v>348.42857142857144</c:v>
                </c:pt>
                <c:pt idx="99">
                  <c:v>333.14285714285717</c:v>
                </c:pt>
                <c:pt idx="100">
                  <c:v>310.85714285714283</c:v>
                </c:pt>
                <c:pt idx="101">
                  <c:v>307.28571428571428</c:v>
                </c:pt>
                <c:pt idx="102">
                  <c:v>297.71428571428572</c:v>
                </c:pt>
                <c:pt idx="103">
                  <c:v>299.14285714285717</c:v>
                </c:pt>
                <c:pt idx="104">
                  <c:v>282.28571428571428</c:v>
                </c:pt>
                <c:pt idx="105">
                  <c:v>275.28571428571428</c:v>
                </c:pt>
                <c:pt idx="106">
                  <c:v>266.57142857142856</c:v>
                </c:pt>
                <c:pt idx="107">
                  <c:v>279.14285714285717</c:v>
                </c:pt>
                <c:pt idx="108">
                  <c:v>290.85714285714283</c:v>
                </c:pt>
                <c:pt idx="109">
                  <c:v>287.14285714285717</c:v>
                </c:pt>
                <c:pt idx="110">
                  <c:v>286.42857142857144</c:v>
                </c:pt>
                <c:pt idx="111">
                  <c:v>291.85714285714283</c:v>
                </c:pt>
                <c:pt idx="112">
                  <c:v>285.85714285714283</c:v>
                </c:pt>
                <c:pt idx="113">
                  <c:v>288.42857142857144</c:v>
                </c:pt>
                <c:pt idx="114">
                  <c:v>273.42857142857144</c:v>
                </c:pt>
                <c:pt idx="115">
                  <c:v>257.85714285714283</c:v>
                </c:pt>
                <c:pt idx="116">
                  <c:v>258.71428571428572</c:v>
                </c:pt>
                <c:pt idx="117">
                  <c:v>257.42857142857144</c:v>
                </c:pt>
                <c:pt idx="118">
                  <c:v>277.28571428571428</c:v>
                </c:pt>
                <c:pt idx="119">
                  <c:v>290.71428571428572</c:v>
                </c:pt>
                <c:pt idx="120">
                  <c:v>292.14285714285717</c:v>
                </c:pt>
                <c:pt idx="121">
                  <c:v>290.28571428571428</c:v>
                </c:pt>
                <c:pt idx="122">
                  <c:v>300.42857142857144</c:v>
                </c:pt>
                <c:pt idx="123">
                  <c:v>313</c:v>
                </c:pt>
                <c:pt idx="124">
                  <c:v>317.85714285714283</c:v>
                </c:pt>
                <c:pt idx="125">
                  <c:v>316.14285714285717</c:v>
                </c:pt>
                <c:pt idx="126">
                  <c:v>313.28571428571428</c:v>
                </c:pt>
                <c:pt idx="127">
                  <c:v>332.14285714285717</c:v>
                </c:pt>
                <c:pt idx="128">
                  <c:v>348.71428571428572</c:v>
                </c:pt>
                <c:pt idx="129">
                  <c:v>360.85714285714283</c:v>
                </c:pt>
                <c:pt idx="130">
                  <c:v>375.85714285714283</c:v>
                </c:pt>
                <c:pt idx="131">
                  <c:v>410.85714285714283</c:v>
                </c:pt>
                <c:pt idx="132">
                  <c:v>423</c:v>
                </c:pt>
                <c:pt idx="133">
                  <c:v>431.28571428571428</c:v>
                </c:pt>
                <c:pt idx="134">
                  <c:v>446</c:v>
                </c:pt>
                <c:pt idx="135">
                  <c:v>464.85714285714283</c:v>
                </c:pt>
                <c:pt idx="136">
                  <c:v>493</c:v>
                </c:pt>
                <c:pt idx="137">
                  <c:v>521.42857142857144</c:v>
                </c:pt>
                <c:pt idx="138">
                  <c:v>532</c:v>
                </c:pt>
                <c:pt idx="139">
                  <c:v>547</c:v>
                </c:pt>
                <c:pt idx="140">
                  <c:v>581</c:v>
                </c:pt>
                <c:pt idx="141">
                  <c:v>606.42857142857144</c:v>
                </c:pt>
                <c:pt idx="142">
                  <c:v>624.71428571428567</c:v>
                </c:pt>
                <c:pt idx="143">
                  <c:v>640.57142857142856</c:v>
                </c:pt>
                <c:pt idx="144">
                  <c:v>662.28571428571433</c:v>
                </c:pt>
                <c:pt idx="145">
                  <c:v>688.71428571428567</c:v>
                </c:pt>
                <c:pt idx="146">
                  <c:v>699.57142857142856</c:v>
                </c:pt>
                <c:pt idx="147">
                  <c:v>705.85714285714289</c:v>
                </c:pt>
                <c:pt idx="148">
                  <c:v>687.42857142857144</c:v>
                </c:pt>
                <c:pt idx="149">
                  <c:v>698.14285714285711</c:v>
                </c:pt>
                <c:pt idx="150">
                  <c:v>710.28571428571433</c:v>
                </c:pt>
                <c:pt idx="151">
                  <c:v>713.57142857142856</c:v>
                </c:pt>
                <c:pt idx="152">
                  <c:v>703.28571428571433</c:v>
                </c:pt>
                <c:pt idx="153">
                  <c:v>699</c:v>
                </c:pt>
                <c:pt idx="154">
                  <c:v>695.57142857142856</c:v>
                </c:pt>
                <c:pt idx="155">
                  <c:v>702.14285714285711</c:v>
                </c:pt>
                <c:pt idx="156">
                  <c:v>705</c:v>
                </c:pt>
                <c:pt idx="157">
                  <c:v>698.71428571428567</c:v>
                </c:pt>
                <c:pt idx="158">
                  <c:v>708.85714285714289</c:v>
                </c:pt>
                <c:pt idx="159">
                  <c:v>727.28571428571433</c:v>
                </c:pt>
                <c:pt idx="160">
                  <c:v>725.42857142857144</c:v>
                </c:pt>
                <c:pt idx="161">
                  <c:v>718.71428571428567</c:v>
                </c:pt>
                <c:pt idx="162">
                  <c:v>742.42857142857144</c:v>
                </c:pt>
                <c:pt idx="163">
                  <c:v>741.57142857142856</c:v>
                </c:pt>
                <c:pt idx="164">
                  <c:v>758.71428571428567</c:v>
                </c:pt>
                <c:pt idx="165">
                  <c:v>742.71428571428567</c:v>
                </c:pt>
                <c:pt idx="166">
                  <c:v>722.57142857142856</c:v>
                </c:pt>
                <c:pt idx="167">
                  <c:v>729.71428571428567</c:v>
                </c:pt>
                <c:pt idx="168">
                  <c:v>723.14285714285711</c:v>
                </c:pt>
                <c:pt idx="169">
                  <c:v>692.71428571428567</c:v>
                </c:pt>
                <c:pt idx="170">
                  <c:v>673.57142857142856</c:v>
                </c:pt>
                <c:pt idx="171">
                  <c:v>634.28571428571433</c:v>
                </c:pt>
                <c:pt idx="172">
                  <c:v>620</c:v>
                </c:pt>
                <c:pt idx="173">
                  <c:v>592.57142857142856</c:v>
                </c:pt>
                <c:pt idx="174">
                  <c:v>564.85714285714289</c:v>
                </c:pt>
                <c:pt idx="175">
                  <c:v>536.28571428571433</c:v>
                </c:pt>
                <c:pt idx="176">
                  <c:v>514.85714285714289</c:v>
                </c:pt>
                <c:pt idx="177">
                  <c:v>490</c:v>
                </c:pt>
                <c:pt idx="178">
                  <c:v>474.85714285714283</c:v>
                </c:pt>
                <c:pt idx="179">
                  <c:v>461</c:v>
                </c:pt>
                <c:pt idx="180">
                  <c:v>466.14285714285717</c:v>
                </c:pt>
                <c:pt idx="181">
                  <c:v>475.42857142857144</c:v>
                </c:pt>
                <c:pt idx="182">
                  <c:v>486.14285714285717</c:v>
                </c:pt>
                <c:pt idx="183">
                  <c:v>515.42857142857144</c:v>
                </c:pt>
                <c:pt idx="184">
                  <c:v>541</c:v>
                </c:pt>
                <c:pt idx="185">
                  <c:v>588.28571428571433</c:v>
                </c:pt>
                <c:pt idx="186">
                  <c:v>611.57142857142856</c:v>
                </c:pt>
                <c:pt idx="187">
                  <c:v>668.57142857142856</c:v>
                </c:pt>
                <c:pt idx="188">
                  <c:v>726.85714285714289</c:v>
                </c:pt>
                <c:pt idx="189">
                  <c:v>779.85714285714289</c:v>
                </c:pt>
                <c:pt idx="190">
                  <c:v>795</c:v>
                </c:pt>
                <c:pt idx="191">
                  <c:v>848.42857142857144</c:v>
                </c:pt>
                <c:pt idx="192">
                  <c:v>891.14285714285711</c:v>
                </c:pt>
                <c:pt idx="193">
                  <c:v>1009.7142857142857</c:v>
                </c:pt>
                <c:pt idx="194">
                  <c:v>1092.8571428571429</c:v>
                </c:pt>
                <c:pt idx="195">
                  <c:v>1155.7142857142858</c:v>
                </c:pt>
                <c:pt idx="196">
                  <c:v>1235.4285714285713</c:v>
                </c:pt>
                <c:pt idx="197">
                  <c:v>1323.2857142857142</c:v>
                </c:pt>
                <c:pt idx="198">
                  <c:v>1405.8571428571429</c:v>
                </c:pt>
                <c:pt idx="199">
                  <c:v>1524.5714285714287</c:v>
                </c:pt>
                <c:pt idx="200">
                  <c:v>1625.2857142857142</c:v>
                </c:pt>
                <c:pt idx="201">
                  <c:v>1737.1428571428571</c:v>
                </c:pt>
                <c:pt idx="202">
                  <c:v>1820.5714285714287</c:v>
                </c:pt>
                <c:pt idx="203">
                  <c:v>1920.5714285714287</c:v>
                </c:pt>
                <c:pt idx="204">
                  <c:v>2050.5714285714284</c:v>
                </c:pt>
                <c:pt idx="205">
                  <c:v>2257.8571428571427</c:v>
                </c:pt>
                <c:pt idx="206">
                  <c:v>2588.2857142857142</c:v>
                </c:pt>
                <c:pt idx="207">
                  <c:v>2937.8571428571427</c:v>
                </c:pt>
                <c:pt idx="208">
                  <c:v>3356.8571428571427</c:v>
                </c:pt>
                <c:pt idx="209">
                  <c:v>3677.4285714285716</c:v>
                </c:pt>
                <c:pt idx="210">
                  <c:v>4018.5714285714284</c:v>
                </c:pt>
                <c:pt idx="211">
                  <c:v>4423.1428571428569</c:v>
                </c:pt>
                <c:pt idx="212">
                  <c:v>4926.4285714285716</c:v>
                </c:pt>
                <c:pt idx="213">
                  <c:v>5472</c:v>
                </c:pt>
                <c:pt idx="214">
                  <c:v>5895.7142857142853</c:v>
                </c:pt>
                <c:pt idx="215">
                  <c:v>6513.1428571428569</c:v>
                </c:pt>
                <c:pt idx="216">
                  <c:v>7135.7142857142853</c:v>
                </c:pt>
                <c:pt idx="217">
                  <c:v>7576.8571428571431</c:v>
                </c:pt>
                <c:pt idx="218">
                  <c:v>8180.1428571428569</c:v>
                </c:pt>
                <c:pt idx="219">
                  <c:v>8682.1428571428569</c:v>
                </c:pt>
                <c:pt idx="220">
                  <c:v>9254.7142857142862</c:v>
                </c:pt>
                <c:pt idx="221">
                  <c:v>10101.428571428571</c:v>
                </c:pt>
                <c:pt idx="222">
                  <c:v>10673.714285714286</c:v>
                </c:pt>
                <c:pt idx="223">
                  <c:v>11131.714285714286</c:v>
                </c:pt>
                <c:pt idx="224">
                  <c:v>11525.857142857143</c:v>
                </c:pt>
                <c:pt idx="225">
                  <c:v>12527.142857142857</c:v>
                </c:pt>
                <c:pt idx="226">
                  <c:v>13781.428571428571</c:v>
                </c:pt>
                <c:pt idx="227">
                  <c:v>14931.285714285714</c:v>
                </c:pt>
                <c:pt idx="228">
                  <c:v>16073.714285714286</c:v>
                </c:pt>
                <c:pt idx="229">
                  <c:v>17255</c:v>
                </c:pt>
                <c:pt idx="230">
                  <c:v>18030.571428571428</c:v>
                </c:pt>
                <c:pt idx="231">
                  <c:v>18793</c:v>
                </c:pt>
                <c:pt idx="232">
                  <c:v>19230.714285714286</c:v>
                </c:pt>
                <c:pt idx="233">
                  <c:v>20069.571428571428</c:v>
                </c:pt>
                <c:pt idx="234">
                  <c:v>21067.714285714286</c:v>
                </c:pt>
                <c:pt idx="235">
                  <c:v>21847.285714285714</c:v>
                </c:pt>
                <c:pt idx="236">
                  <c:v>22701.285714285714</c:v>
                </c:pt>
                <c:pt idx="237">
                  <c:v>23789</c:v>
                </c:pt>
                <c:pt idx="238">
                  <c:v>24665.428571428572</c:v>
                </c:pt>
                <c:pt idx="239">
                  <c:v>25535.428571428572</c:v>
                </c:pt>
                <c:pt idx="240">
                  <c:v>25611</c:v>
                </c:pt>
                <c:pt idx="241">
                  <c:v>24973.857142857141</c:v>
                </c:pt>
                <c:pt idx="242">
                  <c:v>24540.285714285714</c:v>
                </c:pt>
                <c:pt idx="243">
                  <c:v>24211.142857142859</c:v>
                </c:pt>
                <c:pt idx="244">
                  <c:v>23792.428571428572</c:v>
                </c:pt>
                <c:pt idx="245">
                  <c:v>23664.285714285714</c:v>
                </c:pt>
                <c:pt idx="246">
                  <c:v>22764</c:v>
                </c:pt>
                <c:pt idx="247">
                  <c:v>22001.428571428572</c:v>
                </c:pt>
                <c:pt idx="248">
                  <c:v>22186</c:v>
                </c:pt>
                <c:pt idx="249">
                  <c:v>21959.285714285714</c:v>
                </c:pt>
                <c:pt idx="250">
                  <c:v>21765.285714285714</c:v>
                </c:pt>
                <c:pt idx="251">
                  <c:v>21194.142857142859</c:v>
                </c:pt>
                <c:pt idx="252">
                  <c:v>20363.571428571428</c:v>
                </c:pt>
                <c:pt idx="253">
                  <c:v>22303.714285714286</c:v>
                </c:pt>
                <c:pt idx="254">
                  <c:v>21657.857142857141</c:v>
                </c:pt>
                <c:pt idx="255">
                  <c:v>20616.714285714286</c:v>
                </c:pt>
                <c:pt idx="256">
                  <c:v>19844.714285714286</c:v>
                </c:pt>
                <c:pt idx="257">
                  <c:v>18554</c:v>
                </c:pt>
                <c:pt idx="258">
                  <c:v>17643.571428571428</c:v>
                </c:pt>
                <c:pt idx="259">
                  <c:v>16319.428571428571</c:v>
                </c:pt>
                <c:pt idx="260">
                  <c:v>12944</c:v>
                </c:pt>
                <c:pt idx="261">
                  <c:v>12728.714285714286</c:v>
                </c:pt>
                <c:pt idx="262">
                  <c:v>12464.571428571429</c:v>
                </c:pt>
                <c:pt idx="263">
                  <c:v>11918.714285714286</c:v>
                </c:pt>
                <c:pt idx="264">
                  <c:v>11526.142857142857</c:v>
                </c:pt>
                <c:pt idx="265">
                  <c:v>11196.571428571429</c:v>
                </c:pt>
                <c:pt idx="266">
                  <c:v>11009.428571428571</c:v>
                </c:pt>
                <c:pt idx="267">
                  <c:v>10896.142857142857</c:v>
                </c:pt>
                <c:pt idx="268">
                  <c:v>10655.142857142857</c:v>
                </c:pt>
                <c:pt idx="269">
                  <c:v>10499.571428571429</c:v>
                </c:pt>
                <c:pt idx="270">
                  <c:v>10481.142857142857</c:v>
                </c:pt>
                <c:pt idx="271">
                  <c:v>10347.857142857143</c:v>
                </c:pt>
                <c:pt idx="272">
                  <c:v>10319.428571428571</c:v>
                </c:pt>
                <c:pt idx="273">
                  <c:v>10387</c:v>
                </c:pt>
                <c:pt idx="274">
                  <c:v>10186.285714285714</c:v>
                </c:pt>
                <c:pt idx="275">
                  <c:v>10227.142857142857</c:v>
                </c:pt>
                <c:pt idx="276">
                  <c:v>9970.5714285714294</c:v>
                </c:pt>
                <c:pt idx="277">
                  <c:v>9671</c:v>
                </c:pt>
                <c:pt idx="278">
                  <c:v>9638.1428571428569</c:v>
                </c:pt>
                <c:pt idx="279">
                  <c:v>9583.4285714285706</c:v>
                </c:pt>
                <c:pt idx="280">
                  <c:v>8884</c:v>
                </c:pt>
                <c:pt idx="281">
                  <c:v>7897.2857142857147</c:v>
                </c:pt>
                <c:pt idx="282">
                  <c:v>6118.1428571428569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214-431C-B73D-81825A9B7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565003"/>
        <c:axId val="1854905566"/>
      </c:lineChart>
      <c:dateAx>
        <c:axId val="20487205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chemeClr val="dk1"/>
                    </a:solidFill>
                    <a:latin typeface="+mn-lt"/>
                  </a:defRPr>
                </a:pPr>
                <a:r>
                  <a:rPr lang="pl-PL" b="1" i="1">
                    <a:solidFill>
                      <a:schemeClr val="dk1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575888309"/>
        <c:crosses val="autoZero"/>
        <c:auto val="1"/>
        <c:lblOffset val="100"/>
        <c:baseTimeUnit val="days"/>
      </c:dateAx>
      <c:valAx>
        <c:axId val="5758883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lang="pl-PL"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2048720510"/>
        <c:crosses val="autoZero"/>
        <c:crossBetween val="between"/>
        <c:majorUnit val="1"/>
        <c:minorUnit val="1"/>
      </c:valAx>
      <c:dateAx>
        <c:axId val="338565003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1854905566"/>
        <c:crosses val="autoZero"/>
        <c:auto val="1"/>
        <c:lblOffset val="100"/>
        <c:baseTimeUnit val="days"/>
      </c:dateAx>
      <c:valAx>
        <c:axId val="1854905566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lang="pl-PL"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338565003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lang="pl-PL" b="1" i="0">
                <a:solidFill>
                  <a:srgbClr val="000000"/>
                </a:solidFill>
                <a:latin typeface="+mn-lt"/>
              </a:rPr>
              <a:t>COVID-19 Porównanie przypadków aktywnych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Aktywne raportowane</c:v>
          </c:tx>
          <c:marker>
            <c:symbol val="none"/>
          </c:marker>
          <c:cat>
            <c:numRef>
              <c:f>'R(t) Polska'!$A$16:$A$1000</c:f>
              <c:numCache>
                <c:formatCode>dd\.mm\.yyyy</c:formatCode>
                <c:ptCount val="985"/>
                <c:pt idx="0">
                  <c:v>43906</c:v>
                </c:pt>
                <c:pt idx="1">
                  <c:v>43907</c:v>
                </c:pt>
                <c:pt idx="2">
                  <c:v>43908</c:v>
                </c:pt>
                <c:pt idx="3">
                  <c:v>43909</c:v>
                </c:pt>
                <c:pt idx="4">
                  <c:v>43910</c:v>
                </c:pt>
                <c:pt idx="5">
                  <c:v>43911</c:v>
                </c:pt>
                <c:pt idx="6">
                  <c:v>43912</c:v>
                </c:pt>
                <c:pt idx="7">
                  <c:v>43913</c:v>
                </c:pt>
                <c:pt idx="8">
                  <c:v>43914</c:v>
                </c:pt>
                <c:pt idx="9">
                  <c:v>43915</c:v>
                </c:pt>
                <c:pt idx="10">
                  <c:v>43916</c:v>
                </c:pt>
                <c:pt idx="11">
                  <c:v>43917</c:v>
                </c:pt>
                <c:pt idx="12">
                  <c:v>43918</c:v>
                </c:pt>
                <c:pt idx="13">
                  <c:v>43919</c:v>
                </c:pt>
                <c:pt idx="14">
                  <c:v>43920</c:v>
                </c:pt>
                <c:pt idx="15">
                  <c:v>43921</c:v>
                </c:pt>
                <c:pt idx="16">
                  <c:v>43922</c:v>
                </c:pt>
                <c:pt idx="17">
                  <c:v>43923</c:v>
                </c:pt>
                <c:pt idx="18">
                  <c:v>43924</c:v>
                </c:pt>
                <c:pt idx="19">
                  <c:v>43925</c:v>
                </c:pt>
                <c:pt idx="20">
                  <c:v>43926</c:v>
                </c:pt>
                <c:pt idx="21">
                  <c:v>43927</c:v>
                </c:pt>
                <c:pt idx="22">
                  <c:v>43928</c:v>
                </c:pt>
                <c:pt idx="23">
                  <c:v>43929</c:v>
                </c:pt>
                <c:pt idx="24">
                  <c:v>43930</c:v>
                </c:pt>
                <c:pt idx="25">
                  <c:v>43931</c:v>
                </c:pt>
                <c:pt idx="26">
                  <c:v>43932</c:v>
                </c:pt>
                <c:pt idx="27">
                  <c:v>43933</c:v>
                </c:pt>
                <c:pt idx="28">
                  <c:v>43934</c:v>
                </c:pt>
                <c:pt idx="29">
                  <c:v>43935</c:v>
                </c:pt>
                <c:pt idx="30">
                  <c:v>43936</c:v>
                </c:pt>
                <c:pt idx="31">
                  <c:v>43937</c:v>
                </c:pt>
                <c:pt idx="32">
                  <c:v>43938</c:v>
                </c:pt>
                <c:pt idx="33">
                  <c:v>43939</c:v>
                </c:pt>
                <c:pt idx="34">
                  <c:v>43940</c:v>
                </c:pt>
                <c:pt idx="35">
                  <c:v>43941</c:v>
                </c:pt>
                <c:pt idx="36">
                  <c:v>43942</c:v>
                </c:pt>
                <c:pt idx="37">
                  <c:v>43943</c:v>
                </c:pt>
                <c:pt idx="38">
                  <c:v>43944</c:v>
                </c:pt>
                <c:pt idx="39">
                  <c:v>43945</c:v>
                </c:pt>
                <c:pt idx="40">
                  <c:v>43946</c:v>
                </c:pt>
                <c:pt idx="41">
                  <c:v>43947</c:v>
                </c:pt>
                <c:pt idx="42">
                  <c:v>43948</c:v>
                </c:pt>
                <c:pt idx="43">
                  <c:v>43949</c:v>
                </c:pt>
                <c:pt idx="44">
                  <c:v>43950</c:v>
                </c:pt>
                <c:pt idx="45">
                  <c:v>43951</c:v>
                </c:pt>
                <c:pt idx="46">
                  <c:v>43952</c:v>
                </c:pt>
                <c:pt idx="47">
                  <c:v>43953</c:v>
                </c:pt>
                <c:pt idx="48">
                  <c:v>43954</c:v>
                </c:pt>
                <c:pt idx="49">
                  <c:v>43955</c:v>
                </c:pt>
                <c:pt idx="50">
                  <c:v>43956</c:v>
                </c:pt>
                <c:pt idx="51">
                  <c:v>43957</c:v>
                </c:pt>
                <c:pt idx="52">
                  <c:v>43958</c:v>
                </c:pt>
                <c:pt idx="53">
                  <c:v>43959</c:v>
                </c:pt>
                <c:pt idx="54">
                  <c:v>43960</c:v>
                </c:pt>
                <c:pt idx="55">
                  <c:v>43961</c:v>
                </c:pt>
                <c:pt idx="56">
                  <c:v>43962</c:v>
                </c:pt>
                <c:pt idx="57">
                  <c:v>43963</c:v>
                </c:pt>
                <c:pt idx="58">
                  <c:v>43964</c:v>
                </c:pt>
                <c:pt idx="59">
                  <c:v>43965</c:v>
                </c:pt>
                <c:pt idx="60">
                  <c:v>43966</c:v>
                </c:pt>
                <c:pt idx="61">
                  <c:v>43967</c:v>
                </c:pt>
                <c:pt idx="62">
                  <c:v>43968</c:v>
                </c:pt>
                <c:pt idx="63">
                  <c:v>43969</c:v>
                </c:pt>
                <c:pt idx="64">
                  <c:v>43970</c:v>
                </c:pt>
                <c:pt idx="65">
                  <c:v>43971</c:v>
                </c:pt>
                <c:pt idx="66">
                  <c:v>43972</c:v>
                </c:pt>
                <c:pt idx="67">
                  <c:v>43973</c:v>
                </c:pt>
                <c:pt idx="68">
                  <c:v>43974</c:v>
                </c:pt>
                <c:pt idx="69">
                  <c:v>43975</c:v>
                </c:pt>
                <c:pt idx="70">
                  <c:v>43976</c:v>
                </c:pt>
                <c:pt idx="71">
                  <c:v>43977</c:v>
                </c:pt>
                <c:pt idx="72">
                  <c:v>43978</c:v>
                </c:pt>
                <c:pt idx="73">
                  <c:v>43979</c:v>
                </c:pt>
                <c:pt idx="74">
                  <c:v>43980</c:v>
                </c:pt>
                <c:pt idx="75">
                  <c:v>43981</c:v>
                </c:pt>
                <c:pt idx="76">
                  <c:v>43982</c:v>
                </c:pt>
                <c:pt idx="77">
                  <c:v>43983</c:v>
                </c:pt>
                <c:pt idx="78">
                  <c:v>43984</c:v>
                </c:pt>
                <c:pt idx="79">
                  <c:v>43985</c:v>
                </c:pt>
                <c:pt idx="80">
                  <c:v>43986</c:v>
                </c:pt>
                <c:pt idx="81">
                  <c:v>43987</c:v>
                </c:pt>
                <c:pt idx="82">
                  <c:v>43988</c:v>
                </c:pt>
                <c:pt idx="83">
                  <c:v>43989</c:v>
                </c:pt>
                <c:pt idx="84">
                  <c:v>43990</c:v>
                </c:pt>
                <c:pt idx="85">
                  <c:v>43991</c:v>
                </c:pt>
                <c:pt idx="86">
                  <c:v>43992</c:v>
                </c:pt>
                <c:pt idx="87">
                  <c:v>43993</c:v>
                </c:pt>
                <c:pt idx="88">
                  <c:v>43994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44041</c:v>
                </c:pt>
                <c:pt idx="136">
                  <c:v>44042</c:v>
                </c:pt>
                <c:pt idx="137">
                  <c:v>44043</c:v>
                </c:pt>
                <c:pt idx="138">
                  <c:v>44044</c:v>
                </c:pt>
                <c:pt idx="139">
                  <c:v>44045</c:v>
                </c:pt>
                <c:pt idx="140">
                  <c:v>44046</c:v>
                </c:pt>
                <c:pt idx="141">
                  <c:v>44047</c:v>
                </c:pt>
                <c:pt idx="142">
                  <c:v>44048</c:v>
                </c:pt>
                <c:pt idx="143">
                  <c:v>44049</c:v>
                </c:pt>
                <c:pt idx="144">
                  <c:v>44050</c:v>
                </c:pt>
                <c:pt idx="145">
                  <c:v>44051</c:v>
                </c:pt>
                <c:pt idx="146">
                  <c:v>44052</c:v>
                </c:pt>
                <c:pt idx="147">
                  <c:v>44053</c:v>
                </c:pt>
                <c:pt idx="148">
                  <c:v>44054</c:v>
                </c:pt>
                <c:pt idx="149">
                  <c:v>44055</c:v>
                </c:pt>
                <c:pt idx="150">
                  <c:v>44056</c:v>
                </c:pt>
                <c:pt idx="151">
                  <c:v>44057</c:v>
                </c:pt>
                <c:pt idx="152">
                  <c:v>44058</c:v>
                </c:pt>
                <c:pt idx="153">
                  <c:v>44059</c:v>
                </c:pt>
                <c:pt idx="154">
                  <c:v>44060</c:v>
                </c:pt>
                <c:pt idx="155">
                  <c:v>44061</c:v>
                </c:pt>
                <c:pt idx="156">
                  <c:v>44062</c:v>
                </c:pt>
                <c:pt idx="157">
                  <c:v>44063</c:v>
                </c:pt>
                <c:pt idx="158">
                  <c:v>44064</c:v>
                </c:pt>
                <c:pt idx="159">
                  <c:v>44065</c:v>
                </c:pt>
                <c:pt idx="160">
                  <c:v>44066</c:v>
                </c:pt>
                <c:pt idx="161">
                  <c:v>44067</c:v>
                </c:pt>
                <c:pt idx="162">
                  <c:v>44068</c:v>
                </c:pt>
                <c:pt idx="163">
                  <c:v>44069</c:v>
                </c:pt>
                <c:pt idx="164">
                  <c:v>44070</c:v>
                </c:pt>
                <c:pt idx="165">
                  <c:v>44071</c:v>
                </c:pt>
                <c:pt idx="166">
                  <c:v>44072</c:v>
                </c:pt>
                <c:pt idx="167">
                  <c:v>44073</c:v>
                </c:pt>
                <c:pt idx="168">
                  <c:v>44074</c:v>
                </c:pt>
                <c:pt idx="169">
                  <c:v>44075</c:v>
                </c:pt>
                <c:pt idx="170">
                  <c:v>44076</c:v>
                </c:pt>
                <c:pt idx="171">
                  <c:v>44077</c:v>
                </c:pt>
                <c:pt idx="172">
                  <c:v>44078</c:v>
                </c:pt>
                <c:pt idx="173">
                  <c:v>44079</c:v>
                </c:pt>
                <c:pt idx="174">
                  <c:v>44080</c:v>
                </c:pt>
                <c:pt idx="175">
                  <c:v>44081</c:v>
                </c:pt>
                <c:pt idx="176">
                  <c:v>44082</c:v>
                </c:pt>
                <c:pt idx="177">
                  <c:v>44083</c:v>
                </c:pt>
                <c:pt idx="178">
                  <c:v>44084</c:v>
                </c:pt>
                <c:pt idx="179">
                  <c:v>44085</c:v>
                </c:pt>
                <c:pt idx="180">
                  <c:v>44086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</c:numCache>
            </c:numRef>
          </c:cat>
          <c:val>
            <c:numRef>
              <c:f>'R(t) Polska'!$K$16:$K$1000</c:f>
              <c:numCache>
                <c:formatCode>General</c:formatCode>
                <c:ptCount val="985"/>
                <c:pt idx="0">
                  <c:v>173</c:v>
                </c:pt>
                <c:pt idx="1">
                  <c:v>232</c:v>
                </c:pt>
                <c:pt idx="2">
                  <c:v>281</c:v>
                </c:pt>
                <c:pt idx="3">
                  <c:v>349</c:v>
                </c:pt>
                <c:pt idx="4">
                  <c:v>419</c:v>
                </c:pt>
                <c:pt idx="5">
                  <c:v>530</c:v>
                </c:pt>
                <c:pt idx="6">
                  <c:v>626</c:v>
                </c:pt>
                <c:pt idx="7">
                  <c:v>740</c:v>
                </c:pt>
                <c:pt idx="8">
                  <c:v>890</c:v>
                </c:pt>
                <c:pt idx="9">
                  <c:v>1037</c:v>
                </c:pt>
                <c:pt idx="10">
                  <c:v>1204</c:v>
                </c:pt>
                <c:pt idx="11">
                  <c:v>1372</c:v>
                </c:pt>
                <c:pt idx="12">
                  <c:v>1619</c:v>
                </c:pt>
                <c:pt idx="13">
                  <c:v>1839</c:v>
                </c:pt>
                <c:pt idx="14">
                  <c:v>2023</c:v>
                </c:pt>
                <c:pt idx="15">
                  <c:v>2277</c:v>
                </c:pt>
                <c:pt idx="16">
                  <c:v>2510</c:v>
                </c:pt>
                <c:pt idx="17">
                  <c:v>2888</c:v>
                </c:pt>
                <c:pt idx="18">
                  <c:v>3311</c:v>
                </c:pt>
                <c:pt idx="19">
                  <c:v>3432</c:v>
                </c:pt>
                <c:pt idx="20">
                  <c:v>3874</c:v>
                </c:pt>
                <c:pt idx="21">
                  <c:v>4144</c:v>
                </c:pt>
                <c:pt idx="22">
                  <c:v>4528</c:v>
                </c:pt>
                <c:pt idx="23">
                  <c:v>4825</c:v>
                </c:pt>
                <c:pt idx="24">
                  <c:v>5117</c:v>
                </c:pt>
                <c:pt idx="25">
                  <c:v>5456</c:v>
                </c:pt>
                <c:pt idx="26">
                  <c:v>5773</c:v>
                </c:pt>
                <c:pt idx="27">
                  <c:v>6003</c:v>
                </c:pt>
                <c:pt idx="28">
                  <c:v>6200</c:v>
                </c:pt>
                <c:pt idx="29">
                  <c:v>6321</c:v>
                </c:pt>
                <c:pt idx="30">
                  <c:v>6628</c:v>
                </c:pt>
                <c:pt idx="31">
                  <c:v>6830</c:v>
                </c:pt>
                <c:pt idx="32">
                  <c:v>7177</c:v>
                </c:pt>
                <c:pt idx="33">
                  <c:v>7381</c:v>
                </c:pt>
                <c:pt idx="34">
                  <c:v>7824</c:v>
                </c:pt>
                <c:pt idx="35">
                  <c:v>8017</c:v>
                </c:pt>
                <c:pt idx="36">
                  <c:v>8096</c:v>
                </c:pt>
                <c:pt idx="37">
                  <c:v>8168</c:v>
                </c:pt>
                <c:pt idx="38">
                  <c:v>8255</c:v>
                </c:pt>
                <c:pt idx="39">
                  <c:v>8392</c:v>
                </c:pt>
                <c:pt idx="40">
                  <c:v>8561</c:v>
                </c:pt>
                <c:pt idx="41">
                  <c:v>8754</c:v>
                </c:pt>
                <c:pt idx="42">
                  <c:v>8812</c:v>
                </c:pt>
                <c:pt idx="43">
                  <c:v>8905</c:v>
                </c:pt>
                <c:pt idx="44">
                  <c:v>8929</c:v>
                </c:pt>
                <c:pt idx="45">
                  <c:v>8998</c:v>
                </c:pt>
                <c:pt idx="46">
                  <c:v>8964</c:v>
                </c:pt>
                <c:pt idx="47">
                  <c:v>8951</c:v>
                </c:pt>
                <c:pt idx="48">
                  <c:v>9071</c:v>
                </c:pt>
                <c:pt idx="49">
                  <c:v>9215</c:v>
                </c:pt>
                <c:pt idx="50">
                  <c:v>9417</c:v>
                </c:pt>
                <c:pt idx="51">
                  <c:v>9335</c:v>
                </c:pt>
                <c:pt idx="52">
                  <c:v>9409</c:v>
                </c:pt>
                <c:pt idx="53">
                  <c:v>9404</c:v>
                </c:pt>
                <c:pt idx="54">
                  <c:v>9430</c:v>
                </c:pt>
                <c:pt idx="55">
                  <c:v>9499</c:v>
                </c:pt>
                <c:pt idx="56">
                  <c:v>9700</c:v>
                </c:pt>
                <c:pt idx="57">
                  <c:v>9913</c:v>
                </c:pt>
                <c:pt idx="58">
                  <c:v>9933</c:v>
                </c:pt>
                <c:pt idx="59">
                  <c:v>10036</c:v>
                </c:pt>
                <c:pt idx="60">
                  <c:v>10191</c:v>
                </c:pt>
                <c:pt idx="61">
                  <c:v>10167</c:v>
                </c:pt>
                <c:pt idx="62">
                  <c:v>10153</c:v>
                </c:pt>
                <c:pt idx="63">
                  <c:v>10321</c:v>
                </c:pt>
                <c:pt idx="64">
                  <c:v>10416</c:v>
                </c:pt>
                <c:pt idx="65">
                  <c:v>10593</c:v>
                </c:pt>
                <c:pt idx="66">
                  <c:v>10717</c:v>
                </c:pt>
                <c:pt idx="67">
                  <c:v>10899</c:v>
                </c:pt>
                <c:pt idx="68">
                  <c:v>10957</c:v>
                </c:pt>
                <c:pt idx="69">
                  <c:v>11098</c:v>
                </c:pt>
                <c:pt idx="70">
                  <c:v>11346</c:v>
                </c:pt>
                <c:pt idx="71">
                  <c:v>11028</c:v>
                </c:pt>
                <c:pt idx="72">
                  <c:v>11111</c:v>
                </c:pt>
                <c:pt idx="73">
                  <c:v>11223</c:v>
                </c:pt>
                <c:pt idx="74">
                  <c:v>11410</c:v>
                </c:pt>
                <c:pt idx="75">
                  <c:v>11488</c:v>
                </c:pt>
                <c:pt idx="76">
                  <c:v>11449</c:v>
                </c:pt>
                <c:pt idx="77">
                  <c:v>11636</c:v>
                </c:pt>
                <c:pt idx="78">
                  <c:v>11577</c:v>
                </c:pt>
                <c:pt idx="79">
                  <c:v>11558</c:v>
                </c:pt>
                <c:pt idx="80">
                  <c:v>11704</c:v>
                </c:pt>
                <c:pt idx="81">
                  <c:v>11863</c:v>
                </c:pt>
                <c:pt idx="82">
                  <c:v>12194</c:v>
                </c:pt>
                <c:pt idx="83">
                  <c:v>12551</c:v>
                </c:pt>
                <c:pt idx="84">
                  <c:v>12998</c:v>
                </c:pt>
                <c:pt idx="85">
                  <c:v>13181</c:v>
                </c:pt>
                <c:pt idx="86">
                  <c:v>13225</c:v>
                </c:pt>
                <c:pt idx="87">
                  <c:v>13290</c:v>
                </c:pt>
                <c:pt idx="88">
                  <c:v>13550</c:v>
                </c:pt>
                <c:pt idx="89">
                  <c:v>13676</c:v>
                </c:pt>
                <c:pt idx="90">
                  <c:v>13919</c:v>
                </c:pt>
                <c:pt idx="91">
                  <c:v>14149</c:v>
                </c:pt>
                <c:pt idx="92">
                  <c:v>14269</c:v>
                </c:pt>
                <c:pt idx="93">
                  <c:v>14438</c:v>
                </c:pt>
                <c:pt idx="94">
                  <c:v>14326</c:v>
                </c:pt>
                <c:pt idx="95">
                  <c:v>14279</c:v>
                </c:pt>
                <c:pt idx="96">
                  <c:v>14093</c:v>
                </c:pt>
                <c:pt idx="97">
                  <c:v>13892</c:v>
                </c:pt>
                <c:pt idx="98">
                  <c:v>13792</c:v>
                </c:pt>
                <c:pt idx="99">
                  <c:v>13579</c:v>
                </c:pt>
                <c:pt idx="100">
                  <c:v>13291</c:v>
                </c:pt>
                <c:pt idx="101">
                  <c:v>13044</c:v>
                </c:pt>
                <c:pt idx="102">
                  <c:v>12748</c:v>
                </c:pt>
                <c:pt idx="103">
                  <c:v>12307</c:v>
                </c:pt>
                <c:pt idx="104">
                  <c:v>11920</c:v>
                </c:pt>
                <c:pt idx="105">
                  <c:v>11812</c:v>
                </c:pt>
                <c:pt idx="106">
                  <c:v>11648</c:v>
                </c:pt>
                <c:pt idx="107">
                  <c:v>11506</c:v>
                </c:pt>
                <c:pt idx="108">
                  <c:v>11444</c:v>
                </c:pt>
                <c:pt idx="109">
                  <c:v>11247</c:v>
                </c:pt>
                <c:pt idx="110">
                  <c:v>11081</c:v>
                </c:pt>
                <c:pt idx="111">
                  <c:v>10688</c:v>
                </c:pt>
                <c:pt idx="112">
                  <c:v>10669</c:v>
                </c:pt>
                <c:pt idx="113">
                  <c:v>10647</c:v>
                </c:pt>
                <c:pt idx="114">
                  <c:v>10269</c:v>
                </c:pt>
                <c:pt idx="115">
                  <c:v>9923</c:v>
                </c:pt>
                <c:pt idx="116">
                  <c:v>9606</c:v>
                </c:pt>
                <c:pt idx="117">
                  <c:v>9318</c:v>
                </c:pt>
                <c:pt idx="118">
                  <c:v>9172</c:v>
                </c:pt>
                <c:pt idx="119">
                  <c:v>9099</c:v>
                </c:pt>
                <c:pt idx="120">
                  <c:v>9113</c:v>
                </c:pt>
                <c:pt idx="121">
                  <c:v>8635</c:v>
                </c:pt>
                <c:pt idx="122">
                  <c:v>8522</c:v>
                </c:pt>
                <c:pt idx="123">
                  <c:v>8291</c:v>
                </c:pt>
                <c:pt idx="124">
                  <c:v>8205</c:v>
                </c:pt>
                <c:pt idx="125">
                  <c:v>8189</c:v>
                </c:pt>
                <c:pt idx="126">
                  <c:v>8217</c:v>
                </c:pt>
                <c:pt idx="127">
                  <c:v>8375</c:v>
                </c:pt>
                <c:pt idx="128">
                  <c:v>8381</c:v>
                </c:pt>
                <c:pt idx="129">
                  <c:v>8388</c:v>
                </c:pt>
                <c:pt idx="130">
                  <c:v>8386</c:v>
                </c:pt>
                <c:pt idx="131">
                  <c:v>8539</c:v>
                </c:pt>
                <c:pt idx="132">
                  <c:v>8641</c:v>
                </c:pt>
                <c:pt idx="133">
                  <c:v>8870</c:v>
                </c:pt>
                <c:pt idx="134">
                  <c:v>9179</c:v>
                </c:pt>
                <c:pt idx="135">
                  <c:v>9532</c:v>
                </c:pt>
                <c:pt idx="136">
                  <c:v>9679</c:v>
                </c:pt>
                <c:pt idx="137">
                  <c:v>9985</c:v>
                </c:pt>
                <c:pt idx="138">
                  <c:v>10251</c:v>
                </c:pt>
                <c:pt idx="139">
                  <c:v>10454</c:v>
                </c:pt>
                <c:pt idx="140">
                  <c:v>10856</c:v>
                </c:pt>
                <c:pt idx="141">
                  <c:v>11355</c:v>
                </c:pt>
                <c:pt idx="142">
                  <c:v>11712</c:v>
                </c:pt>
                <c:pt idx="143">
                  <c:v>12099</c:v>
                </c:pt>
                <c:pt idx="144">
                  <c:v>12496</c:v>
                </c:pt>
                <c:pt idx="145">
                  <c:v>12964</c:v>
                </c:pt>
                <c:pt idx="146">
                  <c:v>13293</c:v>
                </c:pt>
                <c:pt idx="147">
                  <c:v>13724</c:v>
                </c:pt>
                <c:pt idx="148">
                  <c:v>13990</c:v>
                </c:pt>
                <c:pt idx="149">
                  <c:v>14235</c:v>
                </c:pt>
                <c:pt idx="150">
                  <c:v>14683</c:v>
                </c:pt>
                <c:pt idx="151">
                  <c:v>15099</c:v>
                </c:pt>
                <c:pt idx="152">
                  <c:v>15368</c:v>
                </c:pt>
                <c:pt idx="153">
                  <c:v>15677</c:v>
                </c:pt>
                <c:pt idx="154">
                  <c:v>16035</c:v>
                </c:pt>
                <c:pt idx="155">
                  <c:v>16337</c:v>
                </c:pt>
                <c:pt idx="156">
                  <c:v>16599</c:v>
                </c:pt>
                <c:pt idx="157">
                  <c:v>16972</c:v>
                </c:pt>
                <c:pt idx="158">
                  <c:v>17314</c:v>
                </c:pt>
                <c:pt idx="159">
                  <c:v>17569</c:v>
                </c:pt>
                <c:pt idx="160">
                  <c:v>17624</c:v>
                </c:pt>
                <c:pt idx="161">
                  <c:v>17902</c:v>
                </c:pt>
                <c:pt idx="162">
                  <c:v>18312</c:v>
                </c:pt>
                <c:pt idx="163">
                  <c:v>18409</c:v>
                </c:pt>
                <c:pt idx="164">
                  <c:v>18583</c:v>
                </c:pt>
                <c:pt idx="165">
                  <c:v>18677</c:v>
                </c:pt>
                <c:pt idx="166">
                  <c:v>18671</c:v>
                </c:pt>
                <c:pt idx="167">
                  <c:v>18645</c:v>
                </c:pt>
                <c:pt idx="168">
                  <c:v>18695</c:v>
                </c:pt>
                <c:pt idx="169">
                  <c:v>18834</c:v>
                </c:pt>
                <c:pt idx="170">
                  <c:v>18574</c:v>
                </c:pt>
                <c:pt idx="171">
                  <c:v>18444</c:v>
                </c:pt>
                <c:pt idx="172">
                  <c:v>17900</c:v>
                </c:pt>
                <c:pt idx="173">
                  <c:v>15928</c:v>
                </c:pt>
                <c:pt idx="174">
                  <c:v>14448</c:v>
                </c:pt>
                <c:pt idx="175">
                  <c:v>13890</c:v>
                </c:pt>
                <c:pt idx="176">
                  <c:v>13481</c:v>
                </c:pt>
                <c:pt idx="177">
                  <c:v>12666</c:v>
                </c:pt>
                <c:pt idx="178">
                  <c:v>12226</c:v>
                </c:pt>
                <c:pt idx="179">
                  <c:v>12031</c:v>
                </c:pt>
                <c:pt idx="180">
                  <c:v>11744</c:v>
                </c:pt>
                <c:pt idx="181">
                  <c:v>11306</c:v>
                </c:pt>
                <c:pt idx="182">
                  <c:v>11230</c:v>
                </c:pt>
                <c:pt idx="183">
                  <c:v>11360</c:v>
                </c:pt>
                <c:pt idx="184">
                  <c:v>11388</c:v>
                </c:pt>
                <c:pt idx="185">
                  <c:v>11594</c:v>
                </c:pt>
                <c:pt idx="186">
                  <c:v>11747</c:v>
                </c:pt>
                <c:pt idx="187">
                  <c:v>12188</c:v>
                </c:pt>
                <c:pt idx="188">
                  <c:v>12646</c:v>
                </c:pt>
                <c:pt idx="189">
                  <c:v>13087</c:v>
                </c:pt>
                <c:pt idx="190">
                  <c:v>13412</c:v>
                </c:pt>
                <c:pt idx="191">
                  <c:v>13769</c:v>
                </c:pt>
                <c:pt idx="192">
                  <c:v>14283</c:v>
                </c:pt>
                <c:pt idx="193">
                  <c:v>15265</c:v>
                </c:pt>
                <c:pt idx="194">
                  <c:v>16231</c:v>
                </c:pt>
                <c:pt idx="195">
                  <c:v>16995</c:v>
                </c:pt>
                <c:pt idx="196">
                  <c:v>17770</c:v>
                </c:pt>
                <c:pt idx="197">
                  <c:v>18525</c:v>
                </c:pt>
                <c:pt idx="198">
                  <c:v>19307</c:v>
                </c:pt>
                <c:pt idx="199">
                  <c:v>20538</c:v>
                </c:pt>
                <c:pt idx="200">
                  <c:v>21851</c:v>
                </c:pt>
                <c:pt idx="201">
                  <c:v>23328</c:v>
                </c:pt>
                <c:pt idx="202">
                  <c:v>24442</c:v>
                </c:pt>
                <c:pt idx="203">
                  <c:v>25870</c:v>
                </c:pt>
                <c:pt idx="204">
                  <c:v>27442</c:v>
                </c:pt>
                <c:pt idx="205">
                  <c:v>29182</c:v>
                </c:pt>
                <c:pt idx="206">
                  <c:v>32242</c:v>
                </c:pt>
                <c:pt idx="207">
                  <c:v>35544</c:v>
                </c:pt>
                <c:pt idx="208">
                  <c:v>39684</c:v>
                </c:pt>
                <c:pt idx="209">
                  <c:v>42511</c:v>
                </c:pt>
                <c:pt idx="210">
                  <c:v>45971</c:v>
                </c:pt>
                <c:pt idx="211">
                  <c:v>50173</c:v>
                </c:pt>
                <c:pt idx="212">
                  <c:v>54740</c:v>
                </c:pt>
                <c:pt idx="213">
                  <c:v>61007</c:v>
                </c:pt>
                <c:pt idx="214">
                  <c:v>66395</c:v>
                </c:pt>
                <c:pt idx="215">
                  <c:v>73544</c:v>
                </c:pt>
                <c:pt idx="216">
                  <c:v>79542</c:v>
                </c:pt>
                <c:pt idx="217">
                  <c:v>85620</c:v>
                </c:pt>
                <c:pt idx="218">
                  <c:v>92862</c:v>
                </c:pt>
                <c:pt idx="219">
                  <c:v>99844</c:v>
                </c:pt>
                <c:pt idx="220">
                  <c:v>108463</c:v>
                </c:pt>
                <c:pt idx="221">
                  <c:v>119054</c:v>
                </c:pt>
                <c:pt idx="222">
                  <c:v>128252</c:v>
                </c:pt>
                <c:pt idx="223">
                  <c:v>136632</c:v>
                </c:pt>
                <c:pt idx="224">
                  <c:v>144145</c:v>
                </c:pt>
                <c:pt idx="225">
                  <c:v>156378</c:v>
                </c:pt>
                <c:pt idx="226">
                  <c:v>170697</c:v>
                </c:pt>
                <c:pt idx="227">
                  <c:v>184789</c:v>
                </c:pt>
                <c:pt idx="228">
                  <c:v>200759</c:v>
                </c:pt>
                <c:pt idx="229">
                  <c:v>216820</c:v>
                </c:pt>
                <c:pt idx="230">
                  <c:v>227524</c:v>
                </c:pt>
                <c:pt idx="231">
                  <c:v>235192</c:v>
                </c:pt>
                <c:pt idx="232">
                  <c:v>248756</c:v>
                </c:pt>
                <c:pt idx="233">
                  <c:v>264102</c:v>
                </c:pt>
                <c:pt idx="234">
                  <c:v>282157</c:v>
                </c:pt>
                <c:pt idx="235">
                  <c:v>297804</c:v>
                </c:pt>
                <c:pt idx="236">
                  <c:v>313495</c:v>
                </c:pt>
                <c:pt idx="237">
                  <c:v>329191</c:v>
                </c:pt>
                <c:pt idx="238">
                  <c:v>340723</c:v>
                </c:pt>
                <c:pt idx="239">
                  <c:v>354557</c:v>
                </c:pt>
                <c:pt idx="240">
                  <c:v>367135</c:v>
                </c:pt>
                <c:pt idx="241">
                  <c:v>378069</c:v>
                </c:pt>
                <c:pt idx="242">
                  <c:v>388470</c:v>
                </c:pt>
                <c:pt idx="243">
                  <c:v>398858</c:v>
                </c:pt>
                <c:pt idx="244">
                  <c:v>407841</c:v>
                </c:pt>
                <c:pt idx="245">
                  <c:v>417275</c:v>
                </c:pt>
                <c:pt idx="246">
                  <c:v>417810</c:v>
                </c:pt>
                <c:pt idx="247">
                  <c:v>418589</c:v>
                </c:pt>
                <c:pt idx="248">
                  <c:v>422824</c:v>
                </c:pt>
                <c:pt idx="249">
                  <c:v>424748</c:v>
                </c:pt>
                <c:pt idx="250">
                  <c:v>423112</c:v>
                </c:pt>
                <c:pt idx="251">
                  <c:v>423742</c:v>
                </c:pt>
                <c:pt idx="252">
                  <c:v>423691</c:v>
                </c:pt>
                <c:pt idx="253">
                  <c:v>440035</c:v>
                </c:pt>
                <c:pt idx="254">
                  <c:v>439913</c:v>
                </c:pt>
                <c:pt idx="255">
                  <c:v>430678</c:v>
                </c:pt>
                <c:pt idx="256">
                  <c:v>425392</c:v>
                </c:pt>
                <c:pt idx="257">
                  <c:v>418334</c:v>
                </c:pt>
                <c:pt idx="258">
                  <c:v>408378</c:v>
                </c:pt>
                <c:pt idx="259">
                  <c:v>395905</c:v>
                </c:pt>
                <c:pt idx="260">
                  <c:v>384486</c:v>
                </c:pt>
                <c:pt idx="261">
                  <c:v>372341</c:v>
                </c:pt>
                <c:pt idx="262">
                  <c:v>362979</c:v>
                </c:pt>
                <c:pt idx="263">
                  <c:v>355834</c:v>
                </c:pt>
                <c:pt idx="264">
                  <c:v>346265</c:v>
                </c:pt>
                <c:pt idx="265">
                  <c:v>336403</c:v>
                </c:pt>
                <c:pt idx="266">
                  <c:v>325008</c:v>
                </c:pt>
                <c:pt idx="267">
                  <c:v>316510</c:v>
                </c:pt>
                <c:pt idx="268">
                  <c:v>298714</c:v>
                </c:pt>
                <c:pt idx="269">
                  <c:v>288115</c:v>
                </c:pt>
                <c:pt idx="270">
                  <c:v>277444</c:v>
                </c:pt>
                <c:pt idx="271">
                  <c:v>263254</c:v>
                </c:pt>
                <c:pt idx="272">
                  <c:v>253689</c:v>
                </c:pt>
                <c:pt idx="273">
                  <c:v>248229</c:v>
                </c:pt>
                <c:pt idx="274">
                  <c:v>244194</c:v>
                </c:pt>
                <c:pt idx="275">
                  <c:v>243141</c:v>
                </c:pt>
                <c:pt idx="276">
                  <c:v>243964</c:v>
                </c:pt>
                <c:pt idx="277">
                  <c:v>242324</c:v>
                </c:pt>
                <c:pt idx="278">
                  <c:v>240961</c:v>
                </c:pt>
                <c:pt idx="279">
                  <c:v>238839</c:v>
                </c:pt>
                <c:pt idx="280">
                  <c:v>1177135</c:v>
                </c:pt>
                <c:pt idx="281">
                  <c:v>1177135</c:v>
                </c:pt>
                <c:pt idx="282">
                  <c:v>1177135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8C7-4C29-A4DB-EBB07561C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0642894"/>
        <c:axId val="1905733061"/>
      </c:lineChart>
      <c:lineChart>
        <c:grouping val="standard"/>
        <c:varyColors val="0"/>
        <c:ser>
          <c:idx val="1"/>
          <c:order val="1"/>
          <c:tx>
            <c:v>Aktywne modelowe</c:v>
          </c:tx>
          <c:spPr>
            <a:ln w="19050" cmpd="sng">
              <a:solidFill>
                <a:srgbClr val="FF0000"/>
              </a:solidFill>
            </a:ln>
          </c:spPr>
          <c:marker>
            <c:symbol val="none"/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F8C7-4C29-A4DB-EBB07561CC2C}"/>
              </c:ext>
            </c:extLst>
          </c:dPt>
          <c:cat>
            <c:numRef>
              <c:f>'R(t) Polska'!$A$16:$A$1000</c:f>
              <c:numCache>
                <c:formatCode>dd\.mm\.yyyy</c:formatCode>
                <c:ptCount val="985"/>
                <c:pt idx="0">
                  <c:v>43906</c:v>
                </c:pt>
                <c:pt idx="1">
                  <c:v>43907</c:v>
                </c:pt>
                <c:pt idx="2">
                  <c:v>43908</c:v>
                </c:pt>
                <c:pt idx="3">
                  <c:v>43909</c:v>
                </c:pt>
                <c:pt idx="4">
                  <c:v>43910</c:v>
                </c:pt>
                <c:pt idx="5">
                  <c:v>43911</c:v>
                </c:pt>
                <c:pt idx="6">
                  <c:v>43912</c:v>
                </c:pt>
                <c:pt idx="7">
                  <c:v>43913</c:v>
                </c:pt>
                <c:pt idx="8">
                  <c:v>43914</c:v>
                </c:pt>
                <c:pt idx="9">
                  <c:v>43915</c:v>
                </c:pt>
                <c:pt idx="10">
                  <c:v>43916</c:v>
                </c:pt>
                <c:pt idx="11">
                  <c:v>43917</c:v>
                </c:pt>
                <c:pt idx="12">
                  <c:v>43918</c:v>
                </c:pt>
                <c:pt idx="13">
                  <c:v>43919</c:v>
                </c:pt>
                <c:pt idx="14">
                  <c:v>43920</c:v>
                </c:pt>
                <c:pt idx="15">
                  <c:v>43921</c:v>
                </c:pt>
                <c:pt idx="16">
                  <c:v>43922</c:v>
                </c:pt>
                <c:pt idx="17">
                  <c:v>43923</c:v>
                </c:pt>
                <c:pt idx="18">
                  <c:v>43924</c:v>
                </c:pt>
                <c:pt idx="19">
                  <c:v>43925</c:v>
                </c:pt>
                <c:pt idx="20">
                  <c:v>43926</c:v>
                </c:pt>
                <c:pt idx="21">
                  <c:v>43927</c:v>
                </c:pt>
                <c:pt idx="22">
                  <c:v>43928</c:v>
                </c:pt>
                <c:pt idx="23">
                  <c:v>43929</c:v>
                </c:pt>
                <c:pt idx="24">
                  <c:v>43930</c:v>
                </c:pt>
                <c:pt idx="25">
                  <c:v>43931</c:v>
                </c:pt>
                <c:pt idx="26">
                  <c:v>43932</c:v>
                </c:pt>
                <c:pt idx="27">
                  <c:v>43933</c:v>
                </c:pt>
                <c:pt idx="28">
                  <c:v>43934</c:v>
                </c:pt>
                <c:pt idx="29">
                  <c:v>43935</c:v>
                </c:pt>
                <c:pt idx="30">
                  <c:v>43936</c:v>
                </c:pt>
                <c:pt idx="31">
                  <c:v>43937</c:v>
                </c:pt>
                <c:pt idx="32">
                  <c:v>43938</c:v>
                </c:pt>
                <c:pt idx="33">
                  <c:v>43939</c:v>
                </c:pt>
                <c:pt idx="34">
                  <c:v>43940</c:v>
                </c:pt>
                <c:pt idx="35">
                  <c:v>43941</c:v>
                </c:pt>
                <c:pt idx="36">
                  <c:v>43942</c:v>
                </c:pt>
                <c:pt idx="37">
                  <c:v>43943</c:v>
                </c:pt>
                <c:pt idx="38">
                  <c:v>43944</c:v>
                </c:pt>
                <c:pt idx="39">
                  <c:v>43945</c:v>
                </c:pt>
                <c:pt idx="40">
                  <c:v>43946</c:v>
                </c:pt>
                <c:pt idx="41">
                  <c:v>43947</c:v>
                </c:pt>
                <c:pt idx="42">
                  <c:v>43948</c:v>
                </c:pt>
                <c:pt idx="43">
                  <c:v>43949</c:v>
                </c:pt>
                <c:pt idx="44">
                  <c:v>43950</c:v>
                </c:pt>
                <c:pt idx="45">
                  <c:v>43951</c:v>
                </c:pt>
                <c:pt idx="46">
                  <c:v>43952</c:v>
                </c:pt>
                <c:pt idx="47">
                  <c:v>43953</c:v>
                </c:pt>
                <c:pt idx="48">
                  <c:v>43954</c:v>
                </c:pt>
                <c:pt idx="49">
                  <c:v>43955</c:v>
                </c:pt>
                <c:pt idx="50">
                  <c:v>43956</c:v>
                </c:pt>
                <c:pt idx="51">
                  <c:v>43957</c:v>
                </c:pt>
                <c:pt idx="52">
                  <c:v>43958</c:v>
                </c:pt>
                <c:pt idx="53">
                  <c:v>43959</c:v>
                </c:pt>
                <c:pt idx="54">
                  <c:v>43960</c:v>
                </c:pt>
                <c:pt idx="55">
                  <c:v>43961</c:v>
                </c:pt>
                <c:pt idx="56">
                  <c:v>43962</c:v>
                </c:pt>
                <c:pt idx="57">
                  <c:v>43963</c:v>
                </c:pt>
                <c:pt idx="58">
                  <c:v>43964</c:v>
                </c:pt>
                <c:pt idx="59">
                  <c:v>43965</c:v>
                </c:pt>
                <c:pt idx="60">
                  <c:v>43966</c:v>
                </c:pt>
                <c:pt idx="61">
                  <c:v>43967</c:v>
                </c:pt>
                <c:pt idx="62">
                  <c:v>43968</c:v>
                </c:pt>
                <c:pt idx="63">
                  <c:v>43969</c:v>
                </c:pt>
                <c:pt idx="64">
                  <c:v>43970</c:v>
                </c:pt>
                <c:pt idx="65">
                  <c:v>43971</c:v>
                </c:pt>
                <c:pt idx="66">
                  <c:v>43972</c:v>
                </c:pt>
                <c:pt idx="67">
                  <c:v>43973</c:v>
                </c:pt>
                <c:pt idx="68">
                  <c:v>43974</c:v>
                </c:pt>
                <c:pt idx="69">
                  <c:v>43975</c:v>
                </c:pt>
                <c:pt idx="70">
                  <c:v>43976</c:v>
                </c:pt>
                <c:pt idx="71">
                  <c:v>43977</c:v>
                </c:pt>
                <c:pt idx="72">
                  <c:v>43978</c:v>
                </c:pt>
                <c:pt idx="73">
                  <c:v>43979</c:v>
                </c:pt>
                <c:pt idx="74">
                  <c:v>43980</c:v>
                </c:pt>
                <c:pt idx="75">
                  <c:v>43981</c:v>
                </c:pt>
                <c:pt idx="76">
                  <c:v>43982</c:v>
                </c:pt>
                <c:pt idx="77">
                  <c:v>43983</c:v>
                </c:pt>
                <c:pt idx="78">
                  <c:v>43984</c:v>
                </c:pt>
                <c:pt idx="79">
                  <c:v>43985</c:v>
                </c:pt>
                <c:pt idx="80">
                  <c:v>43986</c:v>
                </c:pt>
                <c:pt idx="81">
                  <c:v>43987</c:v>
                </c:pt>
                <c:pt idx="82">
                  <c:v>43988</c:v>
                </c:pt>
                <c:pt idx="83">
                  <c:v>43989</c:v>
                </c:pt>
                <c:pt idx="84">
                  <c:v>43990</c:v>
                </c:pt>
                <c:pt idx="85">
                  <c:v>43991</c:v>
                </c:pt>
                <c:pt idx="86">
                  <c:v>43992</c:v>
                </c:pt>
                <c:pt idx="87">
                  <c:v>43993</c:v>
                </c:pt>
                <c:pt idx="88">
                  <c:v>43994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44041</c:v>
                </c:pt>
                <c:pt idx="136">
                  <c:v>44042</c:v>
                </c:pt>
                <c:pt idx="137">
                  <c:v>44043</c:v>
                </c:pt>
                <c:pt idx="138">
                  <c:v>44044</c:v>
                </c:pt>
                <c:pt idx="139">
                  <c:v>44045</c:v>
                </c:pt>
                <c:pt idx="140">
                  <c:v>44046</c:v>
                </c:pt>
                <c:pt idx="141">
                  <c:v>44047</c:v>
                </c:pt>
                <c:pt idx="142">
                  <c:v>44048</c:v>
                </c:pt>
                <c:pt idx="143">
                  <c:v>44049</c:v>
                </c:pt>
                <c:pt idx="144">
                  <c:v>44050</c:v>
                </c:pt>
                <c:pt idx="145">
                  <c:v>44051</c:v>
                </c:pt>
                <c:pt idx="146">
                  <c:v>44052</c:v>
                </c:pt>
                <c:pt idx="147">
                  <c:v>44053</c:v>
                </c:pt>
                <c:pt idx="148">
                  <c:v>44054</c:v>
                </c:pt>
                <c:pt idx="149">
                  <c:v>44055</c:v>
                </c:pt>
                <c:pt idx="150">
                  <c:v>44056</c:v>
                </c:pt>
                <c:pt idx="151">
                  <c:v>44057</c:v>
                </c:pt>
                <c:pt idx="152">
                  <c:v>44058</c:v>
                </c:pt>
                <c:pt idx="153">
                  <c:v>44059</c:v>
                </c:pt>
                <c:pt idx="154">
                  <c:v>44060</c:v>
                </c:pt>
                <c:pt idx="155">
                  <c:v>44061</c:v>
                </c:pt>
                <c:pt idx="156">
                  <c:v>44062</c:v>
                </c:pt>
                <c:pt idx="157">
                  <c:v>44063</c:v>
                </c:pt>
                <c:pt idx="158">
                  <c:v>44064</c:v>
                </c:pt>
                <c:pt idx="159">
                  <c:v>44065</c:v>
                </c:pt>
                <c:pt idx="160">
                  <c:v>44066</c:v>
                </c:pt>
                <c:pt idx="161">
                  <c:v>44067</c:v>
                </c:pt>
                <c:pt idx="162">
                  <c:v>44068</c:v>
                </c:pt>
                <c:pt idx="163">
                  <c:v>44069</c:v>
                </c:pt>
                <c:pt idx="164">
                  <c:v>44070</c:v>
                </c:pt>
                <c:pt idx="165">
                  <c:v>44071</c:v>
                </c:pt>
                <c:pt idx="166">
                  <c:v>44072</c:v>
                </c:pt>
                <c:pt idx="167">
                  <c:v>44073</c:v>
                </c:pt>
                <c:pt idx="168">
                  <c:v>44074</c:v>
                </c:pt>
                <c:pt idx="169">
                  <c:v>44075</c:v>
                </c:pt>
                <c:pt idx="170">
                  <c:v>44076</c:v>
                </c:pt>
                <c:pt idx="171">
                  <c:v>44077</c:v>
                </c:pt>
                <c:pt idx="172">
                  <c:v>44078</c:v>
                </c:pt>
                <c:pt idx="173">
                  <c:v>44079</c:v>
                </c:pt>
                <c:pt idx="174">
                  <c:v>44080</c:v>
                </c:pt>
                <c:pt idx="175">
                  <c:v>44081</c:v>
                </c:pt>
                <c:pt idx="176">
                  <c:v>44082</c:v>
                </c:pt>
                <c:pt idx="177">
                  <c:v>44083</c:v>
                </c:pt>
                <c:pt idx="178">
                  <c:v>44084</c:v>
                </c:pt>
                <c:pt idx="179">
                  <c:v>44085</c:v>
                </c:pt>
                <c:pt idx="180">
                  <c:v>44086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</c:numCache>
            </c:numRef>
          </c:cat>
          <c:val>
            <c:numRef>
              <c:f>'R(t) Polska'!$O$16:$O$1000</c:f>
              <c:numCache>
                <c:formatCode>General</c:formatCode>
                <c:ptCount val="985"/>
                <c:pt idx="0">
                  <c:v>139.2711370262391</c:v>
                </c:pt>
                <c:pt idx="1">
                  <c:v>180.37526030820496</c:v>
                </c:pt>
                <c:pt idx="2">
                  <c:v>203.60736597846142</c:v>
                </c:pt>
                <c:pt idx="3">
                  <c:v>242.52059941010981</c:v>
                </c:pt>
                <c:pt idx="4">
                  <c:v>277.87479949437989</c:v>
                </c:pt>
                <c:pt idx="5">
                  <c:v>349.17839956661135</c:v>
                </c:pt>
                <c:pt idx="6">
                  <c:v>397.29577105709546</c:v>
                </c:pt>
                <c:pt idx="7">
                  <c:v>455.53923233465326</c:v>
                </c:pt>
                <c:pt idx="8">
                  <c:v>542.46219914398853</c:v>
                </c:pt>
                <c:pt idx="9">
                  <c:v>614.9675992662759</c:v>
                </c:pt>
                <c:pt idx="10">
                  <c:v>697.11508508537941</c:v>
                </c:pt>
                <c:pt idx="11">
                  <c:v>765.52721578746809</c:v>
                </c:pt>
                <c:pt idx="12">
                  <c:v>905.16618496068702</c:v>
                </c:pt>
                <c:pt idx="13">
                  <c:v>999.85672996630319</c:v>
                </c:pt>
                <c:pt idx="14">
                  <c:v>1050.0200542568314</c:v>
                </c:pt>
                <c:pt idx="15">
                  <c:v>1156.0171893629984</c:v>
                </c:pt>
                <c:pt idx="16">
                  <c:v>1233.8718765968558</c:v>
                </c:pt>
                <c:pt idx="17">
                  <c:v>1449.6044656544479</c:v>
                </c:pt>
                <c:pt idx="18">
                  <c:v>1679.5181134180984</c:v>
                </c:pt>
                <c:pt idx="19">
                  <c:v>1683.5869543583701</c:v>
                </c:pt>
                <c:pt idx="20">
                  <c:v>1918.0745323071744</c:v>
                </c:pt>
                <c:pt idx="21">
                  <c:v>1955.063884834721</c:v>
                </c:pt>
                <c:pt idx="22">
                  <c:v>2110.7690441440463</c:v>
                </c:pt>
                <c:pt idx="23">
                  <c:v>2166.2306092663257</c:v>
                </c:pt>
                <c:pt idx="24">
                  <c:v>2226.7690936568506</c:v>
                </c:pt>
                <c:pt idx="25">
                  <c:v>2288.6592231344434</c:v>
                </c:pt>
                <c:pt idx="26">
                  <c:v>2362.7079055438089</c:v>
                </c:pt>
                <c:pt idx="27">
                  <c:v>2343.1782047518363</c:v>
                </c:pt>
                <c:pt idx="28">
                  <c:v>2266.4384612158601</c:v>
                </c:pt>
                <c:pt idx="29">
                  <c:v>2212.6615381850233</c:v>
                </c:pt>
                <c:pt idx="30">
                  <c:v>2276.5670327300204</c:v>
                </c:pt>
                <c:pt idx="31">
                  <c:v>2287.3431709114461</c:v>
                </c:pt>
                <c:pt idx="32">
                  <c:v>2417.5798607812394</c:v>
                </c:pt>
                <c:pt idx="33">
                  <c:v>2406.2113092410623</c:v>
                </c:pt>
                <c:pt idx="34">
                  <c:v>2577.4668364923391</c:v>
                </c:pt>
                <c:pt idx="35">
                  <c:v>2515.2572884220053</c:v>
                </c:pt>
                <c:pt idx="36">
                  <c:v>2418.9348186474331</c:v>
                </c:pt>
                <c:pt idx="37">
                  <c:v>2386.3727016978</c:v>
                </c:pt>
                <c:pt idx="38">
                  <c:v>2387.4623157409715</c:v>
                </c:pt>
                <c:pt idx="39">
                  <c:v>2427.3962706351185</c:v>
                </c:pt>
                <c:pt idx="40">
                  <c:v>2461.6253748301019</c:v>
                </c:pt>
                <c:pt idx="41">
                  <c:v>2453.9646069972305</c:v>
                </c:pt>
                <c:pt idx="42">
                  <c:v>2388.3982345690547</c:v>
                </c:pt>
                <c:pt idx="43">
                  <c:v>2363.1984867734755</c:v>
                </c:pt>
                <c:pt idx="44">
                  <c:v>2447.5987029486932</c:v>
                </c:pt>
                <c:pt idx="45">
                  <c:v>2397.9417453845945</c:v>
                </c:pt>
                <c:pt idx="46">
                  <c:v>2283.3786389010811</c:v>
                </c:pt>
                <c:pt idx="47">
                  <c:v>2227.1816904866409</c:v>
                </c:pt>
                <c:pt idx="48">
                  <c:v>2227.0128775599778</c:v>
                </c:pt>
                <c:pt idx="49">
                  <c:v>2221.8681807656953</c:v>
                </c:pt>
                <c:pt idx="50">
                  <c:v>2310.4584406563104</c:v>
                </c:pt>
                <c:pt idx="51">
                  <c:v>2291.3929491339804</c:v>
                </c:pt>
                <c:pt idx="52">
                  <c:v>2267.0510992576974</c:v>
                </c:pt>
                <c:pt idx="53">
                  <c:v>2280.186656506598</c:v>
                </c:pt>
                <c:pt idx="54">
                  <c:v>2242.445705577084</c:v>
                </c:pt>
                <c:pt idx="55">
                  <c:v>2267.0963190660723</c:v>
                </c:pt>
                <c:pt idx="56">
                  <c:v>2273.2254163423477</c:v>
                </c:pt>
                <c:pt idx="57">
                  <c:v>2504.4789282934407</c:v>
                </c:pt>
                <c:pt idx="58">
                  <c:v>2468.6962242515206</c:v>
                </c:pt>
                <c:pt idx="59">
                  <c:v>2527.0253350727321</c:v>
                </c:pt>
                <c:pt idx="60">
                  <c:v>2567.0217157766278</c:v>
                </c:pt>
                <c:pt idx="61">
                  <c:v>2441.3043278085383</c:v>
                </c:pt>
                <c:pt idx="62">
                  <c:v>2364.5465666930331</c:v>
                </c:pt>
                <c:pt idx="63">
                  <c:v>2382.7542000225999</c:v>
                </c:pt>
                <c:pt idx="64">
                  <c:v>2424.3607428765145</c:v>
                </c:pt>
                <c:pt idx="65">
                  <c:v>2549.0234938941553</c:v>
                </c:pt>
                <c:pt idx="66">
                  <c:v>2587.8772804807045</c:v>
                </c:pt>
                <c:pt idx="67">
                  <c:v>2689.1805261263185</c:v>
                </c:pt>
                <c:pt idx="68">
                  <c:v>2620.0118795368444</c:v>
                </c:pt>
                <c:pt idx="69">
                  <c:v>2606.7244681744382</c:v>
                </c:pt>
                <c:pt idx="70">
                  <c:v>2575.3352584352328</c:v>
                </c:pt>
                <c:pt idx="71">
                  <c:v>2650.4302215159141</c:v>
                </c:pt>
                <c:pt idx="72">
                  <c:v>2668.7973327279265</c:v>
                </c:pt>
                <c:pt idx="73">
                  <c:v>2639.5405709096513</c:v>
                </c:pt>
                <c:pt idx="74">
                  <c:v>2594.463346493987</c:v>
                </c:pt>
                <c:pt idx="75">
                  <c:v>2635.8257255662747</c:v>
                </c:pt>
                <c:pt idx="76">
                  <c:v>2478.2791933425215</c:v>
                </c:pt>
                <c:pt idx="77">
                  <c:v>2499.2393085793042</c:v>
                </c:pt>
                <c:pt idx="78">
                  <c:v>2378.2051216394038</c:v>
                </c:pt>
                <c:pt idx="79">
                  <c:v>2330.461532833775</c:v>
                </c:pt>
                <c:pt idx="80">
                  <c:v>2358.5384567146643</c:v>
                </c:pt>
                <c:pt idx="81">
                  <c:v>2383.6043914697125</c:v>
                </c:pt>
                <c:pt idx="82">
                  <c:v>2619.0894784026109</c:v>
                </c:pt>
                <c:pt idx="83">
                  <c:v>2819.9338386308095</c:v>
                </c:pt>
                <c:pt idx="84">
                  <c:v>3016.0861473978371</c:v>
                </c:pt>
                <c:pt idx="85">
                  <c:v>2985.2166977695747</c:v>
                </c:pt>
                <c:pt idx="86">
                  <c:v>2840.7571695167785</c:v>
                </c:pt>
                <c:pt idx="87">
                  <c:v>2793.9347167286674</c:v>
                </c:pt>
                <c:pt idx="88">
                  <c:v>2770.8011857674292</c:v>
                </c:pt>
                <c:pt idx="89">
                  <c:v>2814.9724449435107</c:v>
                </c:pt>
                <c:pt idx="90">
                  <c:v>2787.833524237295</c:v>
                </c:pt>
                <c:pt idx="91">
                  <c:v>2785.571592203396</c:v>
                </c:pt>
                <c:pt idx="92">
                  <c:v>2794.632793317197</c:v>
                </c:pt>
                <c:pt idx="93">
                  <c:v>2845.3995371290262</c:v>
                </c:pt>
                <c:pt idx="94">
                  <c:v>2752.913888967737</c:v>
                </c:pt>
                <c:pt idx="95">
                  <c:v>2711.6404762580605</c:v>
                </c:pt>
                <c:pt idx="96">
                  <c:v>2633.2632653640521</c:v>
                </c:pt>
                <c:pt idx="97">
                  <c:v>2568.0827988834735</c:v>
                </c:pt>
                <c:pt idx="98">
                  <c:v>2497.213827614406</c:v>
                </c:pt>
                <c:pt idx="99">
                  <c:v>2440.4689950980624</c:v>
                </c:pt>
                <c:pt idx="100">
                  <c:v>2385.8305672269107</c:v>
                </c:pt>
                <c:pt idx="101">
                  <c:v>2333.9976290516379</c:v>
                </c:pt>
                <c:pt idx="102">
                  <c:v>2285.5693963299755</c:v>
                </c:pt>
                <c:pt idx="103">
                  <c:v>2278.0594825685503</c:v>
                </c:pt>
                <c:pt idx="104">
                  <c:v>2145.6224136301862</c:v>
                </c:pt>
                <c:pt idx="105">
                  <c:v>2086.1049259687311</c:v>
                </c:pt>
                <c:pt idx="106">
                  <c:v>2027.0899365446269</c:v>
                </c:pt>
                <c:pt idx="107">
                  <c:v>2119.5056598953943</c:v>
                </c:pt>
                <c:pt idx="108">
                  <c:v>2187.7191370531955</c:v>
                </c:pt>
                <c:pt idx="109">
                  <c:v>2134.1878317598821</c:v>
                </c:pt>
                <c:pt idx="110">
                  <c:v>2143.3038557941845</c:v>
                </c:pt>
                <c:pt idx="111">
                  <c:v>2068.1175906807298</c:v>
                </c:pt>
                <c:pt idx="112">
                  <c:v>1977.6722205834828</c:v>
                </c:pt>
                <c:pt idx="113">
                  <c:v>1952.1476176429853</c:v>
                </c:pt>
                <c:pt idx="114">
                  <c:v>1950.2693865511303</c:v>
                </c:pt>
                <c:pt idx="115">
                  <c:v>1933.6594741866832</c:v>
                </c:pt>
                <c:pt idx="116">
                  <c:v>1922.4224064457285</c:v>
                </c:pt>
                <c:pt idx="117">
                  <c:v>1952.7906340963389</c:v>
                </c:pt>
                <c:pt idx="118">
                  <c:v>2043.8205435111477</c:v>
                </c:pt>
                <c:pt idx="119">
                  <c:v>2050.8461801524127</c:v>
                </c:pt>
                <c:pt idx="120">
                  <c:v>2024.8681544163539</c:v>
                </c:pt>
                <c:pt idx="121">
                  <c:v>1999.6012752140177</c:v>
                </c:pt>
                <c:pt idx="122">
                  <c:v>2046.9439501834438</c:v>
                </c:pt>
                <c:pt idx="123">
                  <c:v>2107.5233858715237</c:v>
                </c:pt>
                <c:pt idx="124">
                  <c:v>2145.4486164613063</c:v>
                </c:pt>
                <c:pt idx="125">
                  <c:v>2196.955956966834</c:v>
                </c:pt>
                <c:pt idx="126">
                  <c:v>2162.1051059715719</c:v>
                </c:pt>
                <c:pt idx="127">
                  <c:v>2252.2329479756331</c:v>
                </c:pt>
                <c:pt idx="128">
                  <c:v>2310.485383979114</c:v>
                </c:pt>
                <c:pt idx="129">
                  <c:v>2398.4160434106693</c:v>
                </c:pt>
                <c:pt idx="130">
                  <c:v>2513.7851800662879</c:v>
                </c:pt>
                <c:pt idx="131">
                  <c:v>2738.6730114853899</c:v>
                </c:pt>
                <c:pt idx="132">
                  <c:v>2790.43400984462</c:v>
                </c:pt>
                <c:pt idx="133">
                  <c:v>2728.8005798668173</c:v>
                </c:pt>
                <c:pt idx="134">
                  <c:v>2840.9719256001295</c:v>
                </c:pt>
                <c:pt idx="135">
                  <c:v>2947.1187933715396</c:v>
                </c:pt>
                <c:pt idx="136">
                  <c:v>3141.1018228898911</c:v>
                </c:pt>
                <c:pt idx="137">
                  <c:v>3349.3729910484781</c:v>
                </c:pt>
                <c:pt idx="138">
                  <c:v>3528.8911351844099</c:v>
                </c:pt>
                <c:pt idx="139">
                  <c:v>3572.763830158066</c:v>
                </c:pt>
                <c:pt idx="140">
                  <c:v>3637.3689972783422</c:v>
                </c:pt>
                <c:pt idx="141">
                  <c:v>3797.7448548100078</c:v>
                </c:pt>
                <c:pt idx="142">
                  <c:v>3895.2098755514357</c:v>
                </c:pt>
                <c:pt idx="143">
                  <c:v>4064.7513219012308</c:v>
                </c:pt>
                <c:pt idx="144">
                  <c:v>4293.0725616296268</c:v>
                </c:pt>
                <c:pt idx="145">
                  <c:v>4522.7764813968233</c:v>
                </c:pt>
                <c:pt idx="146">
                  <c:v>4500.6655554829922</c:v>
                </c:pt>
                <c:pt idx="147">
                  <c:v>4476.7133332711364</c:v>
                </c:pt>
                <c:pt idx="148">
                  <c:v>4388.1828570895459</c:v>
                </c:pt>
                <c:pt idx="149">
                  <c:v>4476.2995917910393</c:v>
                </c:pt>
                <c:pt idx="150">
                  <c:v>4647.8282215351774</c:v>
                </c:pt>
                <c:pt idx="151">
                  <c:v>4815.8527613158667</c:v>
                </c:pt>
                <c:pt idx="152">
                  <c:v>4898.8737954136004</c:v>
                </c:pt>
                <c:pt idx="153">
                  <c:v>4793.0346817830859</c:v>
                </c:pt>
                <c:pt idx="154">
                  <c:v>4703.3154415283598</c:v>
                </c:pt>
                <c:pt idx="155">
                  <c:v>4628.4132355957372</c:v>
                </c:pt>
                <c:pt idx="156">
                  <c:v>4702.2113447963466</c:v>
                </c:pt>
                <c:pt idx="157">
                  <c:v>4797.4668669682978</c:v>
                </c:pt>
                <c:pt idx="158">
                  <c:v>5015.1144574013988</c:v>
                </c:pt>
                <c:pt idx="159">
                  <c:v>5198.6695349154852</c:v>
                </c:pt>
                <c:pt idx="160">
                  <c:v>5037.0024584989878</c:v>
                </c:pt>
                <c:pt idx="161">
                  <c:v>4865.4306787134183</c:v>
                </c:pt>
                <c:pt idx="162">
                  <c:v>4933.3691531829299</c:v>
                </c:pt>
                <c:pt idx="163">
                  <c:v>4957.6021312996545</c:v>
                </c:pt>
                <c:pt idx="164">
                  <c:v>5136.3732553997042</c:v>
                </c:pt>
                <c:pt idx="165">
                  <c:v>5193.6056474854613</c:v>
                </c:pt>
                <c:pt idx="166">
                  <c:v>5210.6619835589672</c:v>
                </c:pt>
                <c:pt idx="167">
                  <c:v>5097.2817001934009</c:v>
                </c:pt>
                <c:pt idx="168">
                  <c:v>4871.098600165772</c:v>
                </c:pt>
                <c:pt idx="169">
                  <c:v>4725.2273715706624</c:v>
                </c:pt>
                <c:pt idx="170">
                  <c:v>4645.1948899177114</c:v>
                </c:pt>
                <c:pt idx="171">
                  <c:v>4593.5956199294669</c:v>
                </c:pt>
                <c:pt idx="172">
                  <c:v>4628.3676742252574</c:v>
                </c:pt>
                <c:pt idx="173">
                  <c:v>4534.1722921930777</c:v>
                </c:pt>
                <c:pt idx="174">
                  <c:v>4323.4333933083526</c:v>
                </c:pt>
                <c:pt idx="175">
                  <c:v>4007.8000514071596</c:v>
                </c:pt>
                <c:pt idx="176">
                  <c:v>3835.2571869204226</c:v>
                </c:pt>
                <c:pt idx="177">
                  <c:v>3708.3633030746482</c:v>
                </c:pt>
                <c:pt idx="178">
                  <c:v>3684.5971169211275</c:v>
                </c:pt>
                <c:pt idx="179">
                  <c:v>3752.2261002181094</c:v>
                </c:pt>
                <c:pt idx="180">
                  <c:v>3819.1938001869512</c:v>
                </c:pt>
                <c:pt idx="181">
                  <c:v>3775.5946858745297</c:v>
                </c:pt>
                <c:pt idx="182">
                  <c:v>3613.2240164638829</c:v>
                </c:pt>
                <c:pt idx="183">
                  <c:v>3702.0491569690425</c:v>
                </c:pt>
                <c:pt idx="184">
                  <c:v>3773.1849916877509</c:v>
                </c:pt>
                <c:pt idx="185">
                  <c:v>4071.1585643037865</c:v>
                </c:pt>
                <c:pt idx="186">
                  <c:v>4246.5644836889605</c:v>
                </c:pt>
                <c:pt idx="187">
                  <c:v>4641.912414590538</c:v>
                </c:pt>
                <c:pt idx="188">
                  <c:v>4888.7820696490326</c:v>
                </c:pt>
                <c:pt idx="189">
                  <c:v>4938.3846311277421</c:v>
                </c:pt>
                <c:pt idx="190">
                  <c:v>4943.9011123952077</c:v>
                </c:pt>
                <c:pt idx="191">
                  <c:v>5211.6295249101786</c:v>
                </c:pt>
                <c:pt idx="192">
                  <c:v>5603.1110213515822</c:v>
                </c:pt>
                <c:pt idx="193">
                  <c:v>6389.6665897299281</c:v>
                </c:pt>
                <c:pt idx="194">
                  <c:v>7060.8570769113676</c:v>
                </c:pt>
                <c:pt idx="195">
                  <c:v>7402.1632087811722</c:v>
                </c:pt>
                <c:pt idx="196">
                  <c:v>7650.7113218124341</c:v>
                </c:pt>
                <c:pt idx="197">
                  <c:v>7883.7525615535151</c:v>
                </c:pt>
                <c:pt idx="198">
                  <c:v>8309.5021956173005</c:v>
                </c:pt>
                <c:pt idx="199">
                  <c:v>9089.4304533862578</c:v>
                </c:pt>
                <c:pt idx="200">
                  <c:v>10082.940388616793</c:v>
                </c:pt>
                <c:pt idx="201">
                  <c:v>11009.520333100108</c:v>
                </c:pt>
                <c:pt idx="202">
                  <c:v>11370.731714085809</c:v>
                </c:pt>
                <c:pt idx="203">
                  <c:v>11752.341469216408</c:v>
                </c:pt>
                <c:pt idx="204">
                  <c:v>12309.435545042636</c:v>
                </c:pt>
                <c:pt idx="205">
                  <c:v>13553.944752893689</c:v>
                </c:pt>
                <c:pt idx="206">
                  <c:v>15897.666931051734</c:v>
                </c:pt>
                <c:pt idx="207">
                  <c:v>18365.571655187203</c:v>
                </c:pt>
                <c:pt idx="208">
                  <c:v>21041.918561589031</c:v>
                </c:pt>
                <c:pt idx="209">
                  <c:v>22213.930195647743</c:v>
                </c:pt>
                <c:pt idx="210">
                  <c:v>23434.511596269494</c:v>
                </c:pt>
                <c:pt idx="211">
                  <c:v>25154.724225373855</c:v>
                </c:pt>
                <c:pt idx="212">
                  <c:v>28087.192193177591</c:v>
                </c:pt>
                <c:pt idx="213">
                  <c:v>32173.736165580794</c:v>
                </c:pt>
                <c:pt idx="214">
                  <c:v>35282.488141926398</c:v>
                </c:pt>
                <c:pt idx="215">
                  <c:v>39864.132693079773</c:v>
                </c:pt>
                <c:pt idx="216">
                  <c:v>42705.256594068378</c:v>
                </c:pt>
                <c:pt idx="217">
                  <c:v>44086.505652058615</c:v>
                </c:pt>
                <c:pt idx="218">
                  <c:v>47079.433416050248</c:v>
                </c:pt>
                <c:pt idx="219">
                  <c:v>50393.800070900215</c:v>
                </c:pt>
                <c:pt idx="220">
                  <c:v>55301.685775057333</c:v>
                </c:pt>
                <c:pt idx="221">
                  <c:v>61033.444950049146</c:v>
                </c:pt>
                <c:pt idx="222">
                  <c:v>65942.381385756424</c:v>
                </c:pt>
                <c:pt idx="223">
                  <c:v>68264.041187791227</c:v>
                </c:pt>
                <c:pt idx="224">
                  <c:v>68753.03530382106</c:v>
                </c:pt>
                <c:pt idx="225">
                  <c:v>75231.173117560917</c:v>
                </c:pt>
                <c:pt idx="226">
                  <c:v>83303.862672195071</c:v>
                </c:pt>
                <c:pt idx="227">
                  <c:v>91559.310861881502</c:v>
                </c:pt>
                <c:pt idx="228">
                  <c:v>100108.40931018416</c:v>
                </c:pt>
                <c:pt idx="229">
                  <c:v>107704.20798015785</c:v>
                </c:pt>
                <c:pt idx="230">
                  <c:v>109488.89255442102</c:v>
                </c:pt>
                <c:pt idx="231">
                  <c:v>109425.62218950375</c:v>
                </c:pt>
                <c:pt idx="232">
                  <c:v>113157.39044814608</c:v>
                </c:pt>
                <c:pt idx="233">
                  <c:v>121684.04895555379</c:v>
                </c:pt>
                <c:pt idx="234">
                  <c:v>131443.6133904747</c:v>
                </c:pt>
                <c:pt idx="235">
                  <c:v>139751.95433469262</c:v>
                </c:pt>
                <c:pt idx="236">
                  <c:v>147662.38942973653</c:v>
                </c:pt>
                <c:pt idx="237">
                  <c:v>151352.7623683456</c:v>
                </c:pt>
                <c:pt idx="238">
                  <c:v>151443.93917286769</c:v>
                </c:pt>
                <c:pt idx="239">
                  <c:v>155263.09071960088</c:v>
                </c:pt>
                <c:pt idx="240">
                  <c:v>158303.64918822932</c:v>
                </c:pt>
                <c:pt idx="241">
                  <c:v>158371.84216133942</c:v>
                </c:pt>
                <c:pt idx="242">
                  <c:v>159798.29328114807</c:v>
                </c:pt>
                <c:pt idx="243">
                  <c:v>162540.9656695555</c:v>
                </c:pt>
                <c:pt idx="244">
                  <c:v>161174.82771676188</c:v>
                </c:pt>
                <c:pt idx="245">
                  <c:v>158965.85232865304</c:v>
                </c:pt>
                <c:pt idx="246">
                  <c:v>155408.44485313119</c:v>
                </c:pt>
                <c:pt idx="247">
                  <c:v>153090.23844554104</c:v>
                </c:pt>
                <c:pt idx="248">
                  <c:v>155195.20438189231</c:v>
                </c:pt>
                <c:pt idx="249">
                  <c:v>155488.46089876484</c:v>
                </c:pt>
                <c:pt idx="250">
                  <c:v>157488.82362751273</c:v>
                </c:pt>
                <c:pt idx="251">
                  <c:v>152846.42025215377</c:v>
                </c:pt>
                <c:pt idx="252">
                  <c:v>146013.21735898894</c:v>
                </c:pt>
                <c:pt idx="253">
                  <c:v>157887.18630770483</c:v>
                </c:pt>
                <c:pt idx="254">
                  <c:v>150693.87397803273</c:v>
                </c:pt>
                <c:pt idx="255">
                  <c:v>145853.17769545663</c:v>
                </c:pt>
                <c:pt idx="256">
                  <c:v>142077.00945324855</c:v>
                </c:pt>
                <c:pt idx="257">
                  <c:v>136958.2938170702</c:v>
                </c:pt>
                <c:pt idx="258">
                  <c:v>128875.82327177447</c:v>
                </c:pt>
                <c:pt idx="259">
                  <c:v>116197.9913758067</c:v>
                </c:pt>
                <c:pt idx="260">
                  <c:v>108703.27832212004</c:v>
                </c:pt>
                <c:pt idx="261">
                  <c:v>107029.23856181718</c:v>
                </c:pt>
                <c:pt idx="262">
                  <c:v>106577.34733870045</c:v>
                </c:pt>
                <c:pt idx="263">
                  <c:v>104591.01200460039</c:v>
                </c:pt>
                <c:pt idx="264">
                  <c:v>102079.43886108605</c:v>
                </c:pt>
                <c:pt idx="265">
                  <c:v>96672.6618809309</c:v>
                </c:pt>
                <c:pt idx="266">
                  <c:v>87285.281612226492</c:v>
                </c:pt>
                <c:pt idx="267">
                  <c:v>83127.955667622708</c:v>
                </c:pt>
                <c:pt idx="268">
                  <c:v>83420.533429390896</c:v>
                </c:pt>
                <c:pt idx="269">
                  <c:v>85252.314368049352</c:v>
                </c:pt>
                <c:pt idx="270">
                  <c:v>86183.41231547088</c:v>
                </c:pt>
                <c:pt idx="271">
                  <c:v>85368.496270403615</c:v>
                </c:pt>
                <c:pt idx="272">
                  <c:v>82149.996803203103</c:v>
                </c:pt>
                <c:pt idx="273">
                  <c:v>75310.282974174101</c:v>
                </c:pt>
                <c:pt idx="274">
                  <c:v>71458.671120720654</c:v>
                </c:pt>
                <c:pt idx="275">
                  <c:v>73704.28953204627</c:v>
                </c:pt>
                <c:pt idx="276">
                  <c:v>75128.105313182517</c:v>
                </c:pt>
                <c:pt idx="277">
                  <c:v>75408.518839870725</c:v>
                </c:pt>
                <c:pt idx="278">
                  <c:v>75902.873291317766</c:v>
                </c:pt>
                <c:pt idx="279">
                  <c:v>73653.605678272375</c:v>
                </c:pt>
                <c:pt idx="280">
                  <c:v>63131.662009947751</c:v>
                </c:pt>
                <c:pt idx="281">
                  <c:v>54112.853151383788</c:v>
                </c:pt>
                <c:pt idx="282">
                  <c:v>46382.445558328967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8C7-4C29-A4DB-EBB07561C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905957"/>
        <c:axId val="622779353"/>
      </c:lineChart>
      <c:dateAx>
        <c:axId val="21206428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chemeClr val="dk1"/>
                    </a:solidFill>
                    <a:latin typeface="+mn-lt"/>
                  </a:defRPr>
                </a:pPr>
                <a:r>
                  <a:rPr lang="pl-PL" b="1" i="1">
                    <a:solidFill>
                      <a:schemeClr val="dk1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905733061"/>
        <c:crosses val="autoZero"/>
        <c:auto val="1"/>
        <c:lblOffset val="100"/>
        <c:baseTimeUnit val="days"/>
      </c:dateAx>
      <c:valAx>
        <c:axId val="19057330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FF00"/>
                    </a:solidFill>
                    <a:latin typeface="+mn-lt"/>
                  </a:defRPr>
                </a:pPr>
                <a:r>
                  <a:rPr lang="pl-PL" b="1" i="1">
                    <a:solidFill>
                      <a:srgbClr val="00FF00"/>
                    </a:solidFill>
                    <a:latin typeface="+mn-lt"/>
                  </a:rPr>
                  <a:t>Przypadki aktywne raportowane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2120642894"/>
        <c:crosses val="autoZero"/>
        <c:crossBetween val="between"/>
      </c:valAx>
      <c:dateAx>
        <c:axId val="837905957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622779353"/>
        <c:crosses val="autoZero"/>
        <c:auto val="1"/>
        <c:lblOffset val="100"/>
        <c:baseTimeUnit val="days"/>
      </c:dateAx>
      <c:valAx>
        <c:axId val="622779353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lang="pl-PL" b="1" i="1">
                    <a:solidFill>
                      <a:srgbClr val="FF0000"/>
                    </a:solidFill>
                    <a:latin typeface="+mn-lt"/>
                  </a:rPr>
                  <a:t>Przypadki aktywne modelowe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837905957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lang="pl-PL" b="1" i="0">
                <a:solidFill>
                  <a:srgbClr val="000000"/>
                </a:solidFill>
                <a:latin typeface="+mn-lt"/>
              </a:rPr>
              <a:t>COVID-19 współczynnik R(t) dla Polski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'R(t) Polska'!$R$15</c:f>
              <c:strCache>
                <c:ptCount val="1"/>
                <c:pt idx="0">
                  <c:v>R(t) (średnia 7 dni)</c:v>
                </c:pt>
              </c:strCache>
            </c:strRef>
          </c:tx>
          <c:marker>
            <c:symbol val="none"/>
          </c:marker>
          <c:cat>
            <c:strRef>
              <c:f>'R(t) Polska'!$B$16:$B$1000</c:f>
              <c:strCache>
                <c:ptCount val="283"/>
                <c:pt idx="180">
                  <c:v>12.09.2020</c:v>
                </c:pt>
                <c:pt idx="181">
                  <c:v>13.09.2020</c:v>
                </c:pt>
                <c:pt idx="182">
                  <c:v>14.09.2020</c:v>
                </c:pt>
                <c:pt idx="183">
                  <c:v>15.09.2020</c:v>
                </c:pt>
                <c:pt idx="184">
                  <c:v>16.09.2020</c:v>
                </c:pt>
                <c:pt idx="185">
                  <c:v>17.09.2020</c:v>
                </c:pt>
                <c:pt idx="186">
                  <c:v>18.09.2020</c:v>
                </c:pt>
                <c:pt idx="187">
                  <c:v>19.09.2020</c:v>
                </c:pt>
                <c:pt idx="188">
                  <c:v>20.09.2020</c:v>
                </c:pt>
                <c:pt idx="189">
                  <c:v>21.09.2020</c:v>
                </c:pt>
                <c:pt idx="190">
                  <c:v>22.09.2020</c:v>
                </c:pt>
                <c:pt idx="191">
                  <c:v>23.09.2020</c:v>
                </c:pt>
                <c:pt idx="192">
                  <c:v>24.09.2020</c:v>
                </c:pt>
                <c:pt idx="193">
                  <c:v>25.09.2020</c:v>
                </c:pt>
                <c:pt idx="194">
                  <c:v>26.09.2020</c:v>
                </c:pt>
                <c:pt idx="195">
                  <c:v>27.09.2020</c:v>
                </c:pt>
                <c:pt idx="196">
                  <c:v>28.09.2020</c:v>
                </c:pt>
                <c:pt idx="197">
                  <c:v>29.09.2020</c:v>
                </c:pt>
                <c:pt idx="198">
                  <c:v>30.09.2020</c:v>
                </c:pt>
                <c:pt idx="199">
                  <c:v>01.10.2020</c:v>
                </c:pt>
                <c:pt idx="200">
                  <c:v>02.10.2020</c:v>
                </c:pt>
                <c:pt idx="201">
                  <c:v>03.10.2020</c:v>
                </c:pt>
                <c:pt idx="202">
                  <c:v>04.10.2020</c:v>
                </c:pt>
                <c:pt idx="203">
                  <c:v>05.10.2020</c:v>
                </c:pt>
                <c:pt idx="204">
                  <c:v>06.10.2020</c:v>
                </c:pt>
                <c:pt idx="205">
                  <c:v>07.10.2020</c:v>
                </c:pt>
                <c:pt idx="206">
                  <c:v>08.10.2020</c:v>
                </c:pt>
                <c:pt idx="207">
                  <c:v>09.10.2020</c:v>
                </c:pt>
                <c:pt idx="208">
                  <c:v>10.10.2020</c:v>
                </c:pt>
                <c:pt idx="209">
                  <c:v>11.10.2020</c:v>
                </c:pt>
                <c:pt idx="210">
                  <c:v>12.10.2020</c:v>
                </c:pt>
                <c:pt idx="211">
                  <c:v>13.10.2020</c:v>
                </c:pt>
                <c:pt idx="212">
                  <c:v>14.10.2020</c:v>
                </c:pt>
                <c:pt idx="213">
                  <c:v>15.10.2020</c:v>
                </c:pt>
                <c:pt idx="214">
                  <c:v>16.10.2020</c:v>
                </c:pt>
                <c:pt idx="215">
                  <c:v>17.10.2020</c:v>
                </c:pt>
                <c:pt idx="216">
                  <c:v>18.10.2020</c:v>
                </c:pt>
                <c:pt idx="217">
                  <c:v>19.10.2020</c:v>
                </c:pt>
                <c:pt idx="218">
                  <c:v>20.10.2020</c:v>
                </c:pt>
                <c:pt idx="219">
                  <c:v>21.10.2020</c:v>
                </c:pt>
                <c:pt idx="220">
                  <c:v>22.10.2020</c:v>
                </c:pt>
                <c:pt idx="221">
                  <c:v>23.10.2020</c:v>
                </c:pt>
                <c:pt idx="222">
                  <c:v>24.10.2020</c:v>
                </c:pt>
                <c:pt idx="223">
                  <c:v>25.10.2020</c:v>
                </c:pt>
                <c:pt idx="224">
                  <c:v>26.10.2020</c:v>
                </c:pt>
                <c:pt idx="225">
                  <c:v>27.10.2020</c:v>
                </c:pt>
                <c:pt idx="226">
                  <c:v>28.10.2020</c:v>
                </c:pt>
                <c:pt idx="227">
                  <c:v>29.10.2020</c:v>
                </c:pt>
                <c:pt idx="228">
                  <c:v>30.10.2020</c:v>
                </c:pt>
                <c:pt idx="229">
                  <c:v>31.10.2020</c:v>
                </c:pt>
                <c:pt idx="230">
                  <c:v>01.11.2020</c:v>
                </c:pt>
                <c:pt idx="231">
                  <c:v>02.11.2020</c:v>
                </c:pt>
                <c:pt idx="232">
                  <c:v>03.11.2020</c:v>
                </c:pt>
                <c:pt idx="233">
                  <c:v>04.11.2020</c:v>
                </c:pt>
                <c:pt idx="234">
                  <c:v>05.11.2020</c:v>
                </c:pt>
                <c:pt idx="235">
                  <c:v>06.11.2020</c:v>
                </c:pt>
                <c:pt idx="236">
                  <c:v>07.11.2020</c:v>
                </c:pt>
                <c:pt idx="237">
                  <c:v>08.11.2020</c:v>
                </c:pt>
                <c:pt idx="238">
                  <c:v>09.11.2020</c:v>
                </c:pt>
                <c:pt idx="239">
                  <c:v>10.11.2020</c:v>
                </c:pt>
                <c:pt idx="240">
                  <c:v>11.11.2020</c:v>
                </c:pt>
                <c:pt idx="241">
                  <c:v>12.11.2020</c:v>
                </c:pt>
                <c:pt idx="242">
                  <c:v>13.11.2020</c:v>
                </c:pt>
                <c:pt idx="243">
                  <c:v>14.11.2020</c:v>
                </c:pt>
                <c:pt idx="244">
                  <c:v>15.11.2020</c:v>
                </c:pt>
                <c:pt idx="245">
                  <c:v>16.11.2020</c:v>
                </c:pt>
                <c:pt idx="246">
                  <c:v>17.11.2020</c:v>
                </c:pt>
                <c:pt idx="247">
                  <c:v>18.11.2020</c:v>
                </c:pt>
                <c:pt idx="248">
                  <c:v>19.11.2020</c:v>
                </c:pt>
                <c:pt idx="249">
                  <c:v>20.11.2020</c:v>
                </c:pt>
                <c:pt idx="250">
                  <c:v>21.11.2020</c:v>
                </c:pt>
                <c:pt idx="251">
                  <c:v>22.11.2020</c:v>
                </c:pt>
                <c:pt idx="252">
                  <c:v>23.11.2020</c:v>
                </c:pt>
                <c:pt idx="253">
                  <c:v>24.11.2020</c:v>
                </c:pt>
                <c:pt idx="254">
                  <c:v>25.11.2020</c:v>
                </c:pt>
                <c:pt idx="255">
                  <c:v>26.11.2020</c:v>
                </c:pt>
                <c:pt idx="256">
                  <c:v>27.11.2020</c:v>
                </c:pt>
                <c:pt idx="257">
                  <c:v>28.11.2020</c:v>
                </c:pt>
                <c:pt idx="258">
                  <c:v>29.11.2020</c:v>
                </c:pt>
                <c:pt idx="259">
                  <c:v>30.11.2020</c:v>
                </c:pt>
                <c:pt idx="260">
                  <c:v>01.12.2020</c:v>
                </c:pt>
                <c:pt idx="261">
                  <c:v>02.12.2020</c:v>
                </c:pt>
                <c:pt idx="262">
                  <c:v>03.12.2020</c:v>
                </c:pt>
                <c:pt idx="263">
                  <c:v>04.12.2020</c:v>
                </c:pt>
                <c:pt idx="264">
                  <c:v>05.12.2020</c:v>
                </c:pt>
                <c:pt idx="265">
                  <c:v>06.12.2020</c:v>
                </c:pt>
                <c:pt idx="266">
                  <c:v>07.12.2020</c:v>
                </c:pt>
                <c:pt idx="267">
                  <c:v>08.12.2020</c:v>
                </c:pt>
                <c:pt idx="268">
                  <c:v>09.12.2020</c:v>
                </c:pt>
                <c:pt idx="269">
                  <c:v>10.12.2020</c:v>
                </c:pt>
                <c:pt idx="270">
                  <c:v>11.12.2020</c:v>
                </c:pt>
                <c:pt idx="271">
                  <c:v>12.12.2020</c:v>
                </c:pt>
                <c:pt idx="272">
                  <c:v>13.12.2020</c:v>
                </c:pt>
                <c:pt idx="273">
                  <c:v>14.12.2020</c:v>
                </c:pt>
                <c:pt idx="274">
                  <c:v>15.12.2020</c:v>
                </c:pt>
                <c:pt idx="275">
                  <c:v>16.12.2020</c:v>
                </c:pt>
                <c:pt idx="276">
                  <c:v>17.12.2020</c:v>
                </c:pt>
                <c:pt idx="277">
                  <c:v>18.12.2020</c:v>
                </c:pt>
                <c:pt idx="278">
                  <c:v>19.12.2020</c:v>
                </c:pt>
                <c:pt idx="279">
                  <c:v>20.12.2020</c:v>
                </c:pt>
                <c:pt idx="280">
                  <c:v>#LICZBA!</c:v>
                </c:pt>
                <c:pt idx="281">
                  <c:v>#LICZBA!</c:v>
                </c:pt>
                <c:pt idx="282">
                  <c:v>#LICZBA!</c:v>
                </c:pt>
              </c:strCache>
            </c:strRef>
          </c:cat>
          <c:val>
            <c:numRef>
              <c:f>'R(t) Polska'!$R$16:$R$1000</c:f>
              <c:numCache>
                <c:formatCode>0.0000</c:formatCode>
                <c:ptCount val="985"/>
                <c:pt idx="0">
                  <c:v>3.5750651433152951</c:v>
                </c:pt>
                <c:pt idx="1">
                  <c:v>3.3205135220449198</c:v>
                </c:pt>
                <c:pt idx="2">
                  <c:v>2.8475394004674044</c:v>
                </c:pt>
                <c:pt idx="3">
                  <c:v>2.7201127767419719</c:v>
                </c:pt>
                <c:pt idx="4">
                  <c:v>2.5801796069483238</c:v>
                </c:pt>
                <c:pt idx="5">
                  <c:v>2.616186895823855</c:v>
                </c:pt>
                <c:pt idx="6">
                  <c:v>2.5231047376027687</c:v>
                </c:pt>
                <c:pt idx="7">
                  <c:v>2.3018380399786591</c:v>
                </c:pt>
                <c:pt idx="8">
                  <c:v>2.1975139752115962</c:v>
                </c:pt>
                <c:pt idx="9">
                  <c:v>2.2023750588728026</c:v>
                </c:pt>
                <c:pt idx="10">
                  <c:v>2.1448362575912516</c:v>
                </c:pt>
                <c:pt idx="11">
                  <c:v>2.0971941891909824</c:v>
                </c:pt>
                <c:pt idx="12">
                  <c:v>2.0229997441928167</c:v>
                </c:pt>
                <c:pt idx="13">
                  <c:v>1.9898092868859643</c:v>
                </c:pt>
                <c:pt idx="14">
                  <c:v>1.8933800476865366</c:v>
                </c:pt>
                <c:pt idx="15">
                  <c:v>1.8035144225092117</c:v>
                </c:pt>
                <c:pt idx="16">
                  <c:v>1.7372019460128971</c:v>
                </c:pt>
                <c:pt idx="17">
                  <c:v>1.7784637303197026</c:v>
                </c:pt>
                <c:pt idx="18">
                  <c:v>1.8389320670440037</c:v>
                </c:pt>
                <c:pt idx="19">
                  <c:v>1.6589458017575989</c:v>
                </c:pt>
                <c:pt idx="20">
                  <c:v>1.6936131417433715</c:v>
                </c:pt>
                <c:pt idx="21">
                  <c:v>1.6627272568418767</c:v>
                </c:pt>
                <c:pt idx="22">
                  <c:v>1.6414215126428837</c:v>
                </c:pt>
                <c:pt idx="23">
                  <c:v>1.6003496938771493</c:v>
                </c:pt>
                <c:pt idx="24">
                  <c:v>1.4534541877206799</c:v>
                </c:pt>
                <c:pt idx="25">
                  <c:v>1.3226434766720341</c:v>
                </c:pt>
                <c:pt idx="26">
                  <c:v>1.3525754651859272</c:v>
                </c:pt>
                <c:pt idx="27">
                  <c:v>1.2050310858606823</c:v>
                </c:pt>
                <c:pt idx="28">
                  <c:v>1.1529961780112818</c:v>
                </c:pt>
                <c:pt idx="29">
                  <c:v>1.0496266957982476</c:v>
                </c:pt>
                <c:pt idx="30">
                  <c:v>1.0522329012809242</c:v>
                </c:pt>
                <c:pt idx="31">
                  <c:v>1.0290199414748018</c:v>
                </c:pt>
                <c:pt idx="32">
                  <c:v>1.0581642273545737</c:v>
                </c:pt>
                <c:pt idx="33">
                  <c:v>1.0211071635186113</c:v>
                </c:pt>
                <c:pt idx="34">
                  <c:v>1.1005452487324408</c:v>
                </c:pt>
                <c:pt idx="35">
                  <c:v>1.1091596035577418</c:v>
                </c:pt>
                <c:pt idx="36">
                  <c:v>1.0945918304308455</c:v>
                </c:pt>
                <c:pt idx="37">
                  <c:v>1.0522487544497408</c:v>
                </c:pt>
                <c:pt idx="38">
                  <c:v>1.0479718493136392</c:v>
                </c:pt>
                <c:pt idx="39">
                  <c:v>1.0077604014606141</c:v>
                </c:pt>
                <c:pt idx="40">
                  <c:v>1.02656401316445</c:v>
                </c:pt>
                <c:pt idx="41">
                  <c:v>0.95227966350822635</c:v>
                </c:pt>
                <c:pt idx="42">
                  <c:v>0.9496970406883396</c:v>
                </c:pt>
                <c:pt idx="43">
                  <c:v>0.97744141708894461</c:v>
                </c:pt>
                <c:pt idx="44">
                  <c:v>1.0266171624882054</c:v>
                </c:pt>
                <c:pt idx="45">
                  <c:v>1.0058725333778407</c:v>
                </c:pt>
                <c:pt idx="46">
                  <c:v>0.94137040518933979</c:v>
                </c:pt>
                <c:pt idx="47">
                  <c:v>0.90265793088644841</c:v>
                </c:pt>
                <c:pt idx="48">
                  <c:v>0.90569421127870631</c:v>
                </c:pt>
                <c:pt idx="49">
                  <c:v>0.93010262641902697</c:v>
                </c:pt>
                <c:pt idx="50">
                  <c:v>0.98052549440468539</c:v>
                </c:pt>
                <c:pt idx="51">
                  <c:v>0.93655927246193571</c:v>
                </c:pt>
                <c:pt idx="52">
                  <c:v>0.94622413617344869</c:v>
                </c:pt>
                <c:pt idx="53">
                  <c:v>0.99979385260975895</c:v>
                </c:pt>
                <c:pt idx="54">
                  <c:v>1.0078534728833184</c:v>
                </c:pt>
                <c:pt idx="55">
                  <c:v>1.0189220054748713</c:v>
                </c:pt>
                <c:pt idx="56">
                  <c:v>1.0239356399073047</c:v>
                </c:pt>
                <c:pt idx="57">
                  <c:v>1.0857929185253314</c:v>
                </c:pt>
                <c:pt idx="58">
                  <c:v>1.0797572558399633</c:v>
                </c:pt>
                <c:pt idx="59">
                  <c:v>1.1140079190692049</c:v>
                </c:pt>
                <c:pt idx="60">
                  <c:v>1.1240412583478518</c:v>
                </c:pt>
                <c:pt idx="61">
                  <c:v>1.0916189260756988</c:v>
                </c:pt>
                <c:pt idx="62">
                  <c:v>1.0491848985982699</c:v>
                </c:pt>
                <c:pt idx="63">
                  <c:v>1.0541816617718338</c:v>
                </c:pt>
                <c:pt idx="64">
                  <c:v>0.96991394759285221</c:v>
                </c:pt>
                <c:pt idx="65">
                  <c:v>1.0356223072871658</c:v>
                </c:pt>
                <c:pt idx="66">
                  <c:v>1.0272374271362277</c:v>
                </c:pt>
                <c:pt idx="67">
                  <c:v>1.0505552768452862</c:v>
                </c:pt>
                <c:pt idx="68">
                  <c:v>1.0738082156167195</c:v>
                </c:pt>
                <c:pt idx="69">
                  <c:v>1.1001779991003409</c:v>
                </c:pt>
                <c:pt idx="70">
                  <c:v>1.0804361055756171</c:v>
                </c:pt>
                <c:pt idx="71">
                  <c:v>1.092133867829775</c:v>
                </c:pt>
                <c:pt idx="72">
                  <c:v>1.047642853020528</c:v>
                </c:pt>
                <c:pt idx="73">
                  <c:v>1.0214377102795658</c:v>
                </c:pt>
                <c:pt idx="74">
                  <c:v>0.96521472702182198</c:v>
                </c:pt>
                <c:pt idx="75">
                  <c:v>1.006878370865127</c:v>
                </c:pt>
                <c:pt idx="76">
                  <c:v>0.95217865403055257</c:v>
                </c:pt>
                <c:pt idx="77">
                  <c:v>0.97267781115832574</c:v>
                </c:pt>
                <c:pt idx="78">
                  <c:v>0.89509010475932194</c:v>
                </c:pt>
                <c:pt idx="79">
                  <c:v>0.86808477308433329</c:v>
                </c:pt>
                <c:pt idx="80">
                  <c:v>0.89109509517243757</c:v>
                </c:pt>
                <c:pt idx="81">
                  <c:v>0.91880051388642092</c:v>
                </c:pt>
                <c:pt idx="82">
                  <c:v>1.0016516528668631</c:v>
                </c:pt>
                <c:pt idx="83">
                  <c:v>1.138107680584109</c:v>
                </c:pt>
                <c:pt idx="84">
                  <c:v>1.1992093410204774</c:v>
                </c:pt>
                <c:pt idx="85">
                  <c:v>1.23740281511558</c:v>
                </c:pt>
                <c:pt idx="86">
                  <c:v>1.2090866476497282</c:v>
                </c:pt>
                <c:pt idx="87">
                  <c:v>1.1805564673883269</c:v>
                </c:pt>
                <c:pt idx="88">
                  <c:v>1.1616488157955924</c:v>
                </c:pt>
                <c:pt idx="89">
                  <c:v>1.0787968121188343</c:v>
                </c:pt>
                <c:pt idx="90">
                  <c:v>0.99247109051662996</c:v>
                </c:pt>
                <c:pt idx="91">
                  <c:v>0.92210054389568763</c:v>
                </c:pt>
                <c:pt idx="92">
                  <c:v>0.9355883856930266</c:v>
                </c:pt>
                <c:pt idx="93">
                  <c:v>1.002145825739998</c:v>
                </c:pt>
                <c:pt idx="94">
                  <c:v>0.98612463873656886</c:v>
                </c:pt>
                <c:pt idx="95">
                  <c:v>0.97941192221174334</c:v>
                </c:pt>
                <c:pt idx="96">
                  <c:v>0.93456624693745105</c:v>
                </c:pt>
                <c:pt idx="97">
                  <c:v>0.91945443121455672</c:v>
                </c:pt>
                <c:pt idx="98">
                  <c:v>0.89266972791253452</c:v>
                </c:pt>
                <c:pt idx="99">
                  <c:v>0.86669356505516171</c:v>
                </c:pt>
                <c:pt idx="100">
                  <c:v>0.82613926884271049</c:v>
                </c:pt>
                <c:pt idx="101">
                  <c:v>0.83691751828252114</c:v>
                </c:pt>
                <c:pt idx="102">
                  <c:v>0.8311610962027407</c:v>
                </c:pt>
                <c:pt idx="103">
                  <c:v>0.8567792838941326</c:v>
                </c:pt>
                <c:pt idx="104">
                  <c:v>0.82339610493448234</c:v>
                </c:pt>
                <c:pt idx="105">
                  <c:v>0.82325313512241061</c:v>
                </c:pt>
                <c:pt idx="106">
                  <c:v>0.81768683299494527</c:v>
                </c:pt>
                <c:pt idx="107">
                  <c:v>0.88566566992569429</c:v>
                </c:pt>
                <c:pt idx="108">
                  <c:v>0.93957466532501666</c:v>
                </c:pt>
                <c:pt idx="109">
                  <c:v>0.93585471237076567</c:v>
                </c:pt>
                <c:pt idx="110">
                  <c:v>0.94341193328817929</c:v>
                </c:pt>
                <c:pt idx="111">
                  <c:v>0.96646823593735121</c:v>
                </c:pt>
                <c:pt idx="112">
                  <c:v>0.95047408197436023</c:v>
                </c:pt>
                <c:pt idx="113">
                  <c:v>0.96585725452254412</c:v>
                </c:pt>
                <c:pt idx="114">
                  <c:v>0.9193047767914676</c:v>
                </c:pt>
                <c:pt idx="115">
                  <c:v>0.87860437653787293</c:v>
                </c:pt>
                <c:pt idx="116">
                  <c:v>0.89726208306687394</c:v>
                </c:pt>
                <c:pt idx="117">
                  <c:v>0.90878751252022572</c:v>
                </c:pt>
                <c:pt idx="118">
                  <c:v>0.99048241727398456</c:v>
                </c:pt>
                <c:pt idx="119">
                  <c:v>1.0376531044339579</c:v>
                </c:pt>
                <c:pt idx="120">
                  <c:v>1.0378925122677107</c:v>
                </c:pt>
                <c:pt idx="121">
                  <c:v>1.0263763643997785</c:v>
                </c:pt>
                <c:pt idx="122">
                  <c:v>1.0585691492167479</c:v>
                </c:pt>
                <c:pt idx="123">
                  <c:v>1.0939755085627922</c:v>
                </c:pt>
                <c:pt idx="124">
                  <c:v>1.0961738185183778</c:v>
                </c:pt>
                <c:pt idx="125">
                  <c:v>1.0735662496326588</c:v>
                </c:pt>
                <c:pt idx="126">
                  <c:v>1.0542655027288457</c:v>
                </c:pt>
                <c:pt idx="127">
                  <c:v>1.1086177087827864</c:v>
                </c:pt>
                <c:pt idx="128">
                  <c:v>1.1469602957125613</c:v>
                </c:pt>
                <c:pt idx="129">
                  <c:v>1.1613414619499307</c:v>
                </c:pt>
                <c:pt idx="130">
                  <c:v>1.1798486188952624</c:v>
                </c:pt>
                <c:pt idx="131">
                  <c:v>1.2513152876968678</c:v>
                </c:pt>
                <c:pt idx="132">
                  <c:v>1.2462075912833808</c:v>
                </c:pt>
                <c:pt idx="133">
                  <c:v>1.239983437241589</c:v>
                </c:pt>
                <c:pt idx="134">
                  <c:v>1.2394046753797316</c:v>
                </c:pt>
                <c:pt idx="135">
                  <c:v>1.2509032431792935</c:v>
                </c:pt>
                <c:pt idx="136">
                  <c:v>1.2786672648085193</c:v>
                </c:pt>
                <c:pt idx="137">
                  <c:v>1.2968701757046472</c:v>
                </c:pt>
                <c:pt idx="138">
                  <c:v>1.2610058795254806</c:v>
                </c:pt>
                <c:pt idx="139">
                  <c:v>1.2545382817212674</c:v>
                </c:pt>
                <c:pt idx="140">
                  <c:v>1.2947083671187645</c:v>
                </c:pt>
                <c:pt idx="141">
                  <c:v>1.2976930727914022</c:v>
                </c:pt>
                <c:pt idx="142">
                  <c:v>1.285994121880673</c:v>
                </c:pt>
                <c:pt idx="143">
                  <c:v>1.2636985019299465</c:v>
                </c:pt>
                <c:pt idx="144">
                  <c:v>1.2535643937672394</c:v>
                </c:pt>
                <c:pt idx="145">
                  <c:v>1.2534725720273325</c:v>
                </c:pt>
                <c:pt idx="146">
                  <c:v>1.23615134644</c:v>
                </c:pt>
                <c:pt idx="147">
                  <c:v>1.2127467313370957</c:v>
                </c:pt>
                <c:pt idx="148">
                  <c:v>1.1488797854634865</c:v>
                </c:pt>
                <c:pt idx="149">
                  <c:v>1.143296326298787</c:v>
                </c:pt>
                <c:pt idx="150">
                  <c:v>1.1380899924714696</c:v>
                </c:pt>
                <c:pt idx="151">
                  <c:v>1.118070163550319</c:v>
                </c:pt>
                <c:pt idx="152">
                  <c:v>1.0818035617582791</c:v>
                </c:pt>
                <c:pt idx="153">
                  <c:v>1.0650875718057689</c:v>
                </c:pt>
                <c:pt idx="154">
                  <c:v>1.0516908295338612</c:v>
                </c:pt>
                <c:pt idx="155">
                  <c:v>1.0555411990891337</c:v>
                </c:pt>
                <c:pt idx="156">
                  <c:v>1.0514053189781887</c:v>
                </c:pt>
                <c:pt idx="157">
                  <c:v>1.0333436284874995</c:v>
                </c:pt>
                <c:pt idx="158">
                  <c:v>1.0425596243818707</c:v>
                </c:pt>
                <c:pt idx="159">
                  <c:v>1.0619208870557031</c:v>
                </c:pt>
                <c:pt idx="160">
                  <c:v>1.0524278927331909</c:v>
                </c:pt>
                <c:pt idx="161">
                  <c:v>1.0370842855834881</c:v>
                </c:pt>
                <c:pt idx="162">
                  <c:v>1.0669731979750894</c:v>
                </c:pt>
                <c:pt idx="163">
                  <c:v>1.0559406715843034</c:v>
                </c:pt>
                <c:pt idx="164">
                  <c:v>1.0717430686203306</c:v>
                </c:pt>
                <c:pt idx="165">
                  <c:v>1.037518447454475</c:v>
                </c:pt>
                <c:pt idx="166">
                  <c:v>1.0042021739538358</c:v>
                </c:pt>
                <c:pt idx="167">
                  <c:v>1.0135406671668554</c:v>
                </c:pt>
                <c:pt idx="168">
                  <c:v>1.0032296671036633</c:v>
                </c:pt>
                <c:pt idx="169">
                  <c:v>0.95931989136699414</c:v>
                </c:pt>
                <c:pt idx="170">
                  <c:v>0.93747056055654576</c:v>
                </c:pt>
                <c:pt idx="171">
                  <c:v>0.89030246649200973</c:v>
                </c:pt>
                <c:pt idx="172">
                  <c:v>0.88672957892576265</c:v>
                </c:pt>
                <c:pt idx="173">
                  <c:v>0.86309372584283306</c:v>
                </c:pt>
                <c:pt idx="174">
                  <c:v>0.83837509125215726</c:v>
                </c:pt>
                <c:pt idx="175">
                  <c:v>0.80974311823846212</c:v>
                </c:pt>
                <c:pt idx="176">
                  <c:v>0.79663762252672277</c:v>
                </c:pt>
                <c:pt idx="177">
                  <c:v>0.78048875164125586</c:v>
                </c:pt>
                <c:pt idx="178">
                  <c:v>0.78518804007846088</c:v>
                </c:pt>
                <c:pt idx="179">
                  <c:v>0.79597287125477101</c:v>
                </c:pt>
                <c:pt idx="180">
                  <c:v>0.83417207989856057</c:v>
                </c:pt>
                <c:pt idx="181">
                  <c:v>0.86923421032128712</c:v>
                </c:pt>
                <c:pt idx="182">
                  <c:v>0.89923413863385615</c:v>
                </c:pt>
                <c:pt idx="183">
                  <c:v>0.96686925046040806</c:v>
                </c:pt>
                <c:pt idx="184">
                  <c:v>1.0191706570239787</c:v>
                </c:pt>
                <c:pt idx="185">
                  <c:v>1.1045508303249121</c:v>
                </c:pt>
                <c:pt idx="186">
                  <c:v>1.1292813309027925</c:v>
                </c:pt>
                <c:pt idx="187">
                  <c:v>1.2045321715125217</c:v>
                </c:pt>
                <c:pt idx="188">
                  <c:v>1.2691307088184642</c:v>
                </c:pt>
                <c:pt idx="189">
                  <c:v>1.3222822321042647</c:v>
                </c:pt>
                <c:pt idx="190">
                  <c:v>1.2988159467946503</c:v>
                </c:pt>
                <c:pt idx="191">
                  <c:v>1.333753957579614</c:v>
                </c:pt>
                <c:pt idx="192">
                  <c:v>1.3298994998424196</c:v>
                </c:pt>
                <c:pt idx="193">
                  <c:v>1.427192852677118</c:v>
                </c:pt>
                <c:pt idx="194">
                  <c:v>1.439137669219589</c:v>
                </c:pt>
                <c:pt idx="195">
                  <c:v>1.4342926984759701</c:v>
                </c:pt>
                <c:pt idx="196">
                  <c:v>1.4577242655075116</c:v>
                </c:pt>
                <c:pt idx="197">
                  <c:v>1.4870672784970813</c:v>
                </c:pt>
                <c:pt idx="198">
                  <c:v>1.4869174325756711</c:v>
                </c:pt>
                <c:pt idx="199">
                  <c:v>1.5056603296508115</c:v>
                </c:pt>
                <c:pt idx="200">
                  <c:v>1.4745858350495473</c:v>
                </c:pt>
                <c:pt idx="201">
                  <c:v>1.4614385263541219</c:v>
                </c:pt>
                <c:pt idx="202">
                  <c:v>1.4459097523483975</c:v>
                </c:pt>
                <c:pt idx="203">
                  <c:v>1.4458926885999765</c:v>
                </c:pt>
                <c:pt idx="204">
                  <c:v>1.462835429345746</c:v>
                </c:pt>
                <c:pt idx="205">
                  <c:v>1.5099340583628622</c:v>
                </c:pt>
                <c:pt idx="206">
                  <c:v>1.5889923386551992</c:v>
                </c:pt>
                <c:pt idx="207">
                  <c:v>1.6349253796016185</c:v>
                </c:pt>
                <c:pt idx="208">
                  <c:v>1.6887558780861036</c:v>
                </c:pt>
                <c:pt idx="209">
                  <c:v>1.7116457715302906</c:v>
                </c:pt>
                <c:pt idx="210">
                  <c:v>1.7330317339672026</c:v>
                </c:pt>
                <c:pt idx="211">
                  <c:v>1.7590340167177261</c:v>
                </c:pt>
                <c:pt idx="212">
                  <c:v>1.7745091893493246</c:v>
                </c:pt>
                <c:pt idx="213">
                  <c:v>1.7470860306198557</c:v>
                </c:pt>
                <c:pt idx="214">
                  <c:v>1.6884730219426098</c:v>
                </c:pt>
                <c:pt idx="215">
                  <c:v>1.6726027665994614</c:v>
                </c:pt>
                <c:pt idx="216">
                  <c:v>1.6881740502870122</c:v>
                </c:pt>
                <c:pt idx="217">
                  <c:v>1.6655711558209527</c:v>
                </c:pt>
                <c:pt idx="218">
                  <c:v>1.6600536733888787</c:v>
                </c:pt>
                <c:pt idx="219">
                  <c:v>1.6138759067774815</c:v>
                </c:pt>
                <c:pt idx="220">
                  <c:v>1.5657716450359358</c:v>
                </c:pt>
                <c:pt idx="221">
                  <c:v>1.5727930300720738</c:v>
                </c:pt>
                <c:pt idx="222">
                  <c:v>1.5233672495389059</c:v>
                </c:pt>
                <c:pt idx="223">
                  <c:v>1.4873044698847782</c:v>
                </c:pt>
                <c:pt idx="224">
                  <c:v>1.4621239736983418</c:v>
                </c:pt>
                <c:pt idx="225">
                  <c:v>1.4884596569171638</c:v>
                </c:pt>
                <c:pt idx="226">
                  <c:v>1.5253653109493743</c:v>
                </c:pt>
                <c:pt idx="227">
                  <c:v>1.5270750708191407</c:v>
                </c:pt>
                <c:pt idx="228">
                  <c:v>1.5168020278138041</c:v>
                </c:pt>
                <c:pt idx="229">
                  <c:v>1.5122474884961041</c:v>
                </c:pt>
                <c:pt idx="230">
                  <c:v>1.4936103284319167</c:v>
                </c:pt>
                <c:pt idx="231">
                  <c:v>1.4858691830221455</c:v>
                </c:pt>
                <c:pt idx="232">
                  <c:v>1.4257491238870557</c:v>
                </c:pt>
                <c:pt idx="233">
                  <c:v>1.3937962122797352</c:v>
                </c:pt>
                <c:pt idx="234">
                  <c:v>1.374899926822982</c:v>
                </c:pt>
                <c:pt idx="235">
                  <c:v>1.3447360847946634</c:v>
                </c:pt>
                <c:pt idx="236">
                  <c:v>1.32546374960689</c:v>
                </c:pt>
                <c:pt idx="237">
                  <c:v>1.333885472382258</c:v>
                </c:pt>
                <c:pt idx="238">
                  <c:v>1.3350657551084955</c:v>
                </c:pt>
                <c:pt idx="239">
                  <c:v>1.3261807679054674</c:v>
                </c:pt>
                <c:pt idx="240">
                  <c:v>1.270411832624911</c:v>
                </c:pt>
                <c:pt idx="241">
                  <c:v>1.1906384663675227</c:v>
                </c:pt>
                <c:pt idx="242">
                  <c:v>1.1364370372800257</c:v>
                </c:pt>
                <c:pt idx="243">
                  <c:v>1.0969969818072971</c:v>
                </c:pt>
                <c:pt idx="244">
                  <c:v>1.0636001350958075</c:v>
                </c:pt>
                <c:pt idx="245">
                  <c:v>1.0492922610884547</c:v>
                </c:pt>
                <c:pt idx="246">
                  <c:v>1.0016955702325123</c:v>
                </c:pt>
                <c:pt idx="247">
                  <c:v>0.96719544129804036</c:v>
                </c:pt>
                <c:pt idx="248">
                  <c:v>0.98051450580333799</c:v>
                </c:pt>
                <c:pt idx="249">
                  <c:v>0.97339712925589417</c:v>
                </c:pt>
                <c:pt idx="250">
                  <c:v>0.96909881323527658</c:v>
                </c:pt>
                <c:pt idx="251">
                  <c:v>0.94802602842641481</c:v>
                </c:pt>
                <c:pt idx="252">
                  <c:v>0.91702515732526901</c:v>
                </c:pt>
                <c:pt idx="253">
                  <c:v>1.02072478780456</c:v>
                </c:pt>
                <c:pt idx="254">
                  <c:v>0.99008182690504631</c:v>
                </c:pt>
                <c:pt idx="255">
                  <c:v>0.944209274731028</c:v>
                </c:pt>
                <c:pt idx="256">
                  <c:v>0.91642947486639703</c:v>
                </c:pt>
                <c:pt idx="257">
                  <c:v>0.86753669656637522</c:v>
                </c:pt>
                <c:pt idx="258">
                  <c:v>0.83800026460382815</c:v>
                </c:pt>
                <c:pt idx="259">
                  <c:v>0.78433413617653591</c:v>
                </c:pt>
                <c:pt idx="260">
                  <c:v>0.63851343762796309</c:v>
                </c:pt>
                <c:pt idx="261">
                  <c:v>0.6686731757395199</c:v>
                </c:pt>
                <c:pt idx="262">
                  <c:v>0.69657376145531524</c:v>
                </c:pt>
                <c:pt idx="263">
                  <c:v>0.70382646330277954</c:v>
                </c:pt>
                <c:pt idx="264">
                  <c:v>0.71584093902269708</c:v>
                </c:pt>
                <c:pt idx="265">
                  <c:v>0.72188867314796201</c:v>
                </c:pt>
                <c:pt idx="266">
                  <c:v>0.72315632614882741</c:v>
                </c:pt>
                <c:pt idx="267">
                  <c:v>0.74002665734426942</c:v>
                </c:pt>
                <c:pt idx="268">
                  <c:v>0.75894634998645238</c:v>
                </c:pt>
                <c:pt idx="269">
                  <c:v>0.78512687269191284</c:v>
                </c:pt>
                <c:pt idx="270">
                  <c:v>0.814686046464425</c:v>
                </c:pt>
                <c:pt idx="271">
                  <c:v>0.82924372339093799</c:v>
                </c:pt>
                <c:pt idx="272">
                  <c:v>0.84450883474398164</c:v>
                </c:pt>
                <c:pt idx="273">
                  <c:v>0.85835479798477787</c:v>
                </c:pt>
                <c:pt idx="274">
                  <c:v>0.85484073319806098</c:v>
                </c:pt>
                <c:pt idx="275">
                  <c:v>0.88274654109602457</c:v>
                </c:pt>
                <c:pt idx="276">
                  <c:v>0.88010609713677301</c:v>
                </c:pt>
                <c:pt idx="277">
                  <c:v>0.87291689527720517</c:v>
                </c:pt>
                <c:pt idx="278">
                  <c:v>0.88892818167946497</c:v>
                </c:pt>
                <c:pt idx="279">
                  <c:v>0.89699593932390598</c:v>
                </c:pt>
                <c:pt idx="280">
                  <c:v>0.83739764120432392</c:v>
                </c:pt>
                <c:pt idx="281">
                  <c:v>0.74568373803961818</c:v>
                </c:pt>
                <c:pt idx="282">
                  <c:v>0.57140117995845141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EC1-4EFC-9EB2-2CB0A5B598E9}"/>
            </c:ext>
          </c:extLst>
        </c:ser>
        <c:ser>
          <c:idx val="1"/>
          <c:order val="1"/>
          <c:tx>
            <c:strRef>
              <c:f>'R(t) Polska'!$Q$15</c:f>
              <c:strCache>
                <c:ptCount val="1"/>
                <c:pt idx="0">
                  <c:v>R(t) (dzień/dzień)</c:v>
                </c:pt>
              </c:strCache>
            </c:strRef>
          </c:tx>
          <c:spPr>
            <a:ln cmpd="sng">
              <a:solidFill>
                <a:srgbClr val="FF0000"/>
              </a:solidFill>
            </a:ln>
          </c:spPr>
          <c:marker>
            <c:symbol val="circle"/>
            <c:size val="2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cat>
            <c:strRef>
              <c:f>'R(t) Polska'!$B$16:$B$1000</c:f>
              <c:strCache>
                <c:ptCount val="283"/>
                <c:pt idx="180">
                  <c:v>12.09.2020</c:v>
                </c:pt>
                <c:pt idx="181">
                  <c:v>13.09.2020</c:v>
                </c:pt>
                <c:pt idx="182">
                  <c:v>14.09.2020</c:v>
                </c:pt>
                <c:pt idx="183">
                  <c:v>15.09.2020</c:v>
                </c:pt>
                <c:pt idx="184">
                  <c:v>16.09.2020</c:v>
                </c:pt>
                <c:pt idx="185">
                  <c:v>17.09.2020</c:v>
                </c:pt>
                <c:pt idx="186">
                  <c:v>18.09.2020</c:v>
                </c:pt>
                <c:pt idx="187">
                  <c:v>19.09.2020</c:v>
                </c:pt>
                <c:pt idx="188">
                  <c:v>20.09.2020</c:v>
                </c:pt>
                <c:pt idx="189">
                  <c:v>21.09.2020</c:v>
                </c:pt>
                <c:pt idx="190">
                  <c:v>22.09.2020</c:v>
                </c:pt>
                <c:pt idx="191">
                  <c:v>23.09.2020</c:v>
                </c:pt>
                <c:pt idx="192">
                  <c:v>24.09.2020</c:v>
                </c:pt>
                <c:pt idx="193">
                  <c:v>25.09.2020</c:v>
                </c:pt>
                <c:pt idx="194">
                  <c:v>26.09.2020</c:v>
                </c:pt>
                <c:pt idx="195">
                  <c:v>27.09.2020</c:v>
                </c:pt>
                <c:pt idx="196">
                  <c:v>28.09.2020</c:v>
                </c:pt>
                <c:pt idx="197">
                  <c:v>29.09.2020</c:v>
                </c:pt>
                <c:pt idx="198">
                  <c:v>30.09.2020</c:v>
                </c:pt>
                <c:pt idx="199">
                  <c:v>01.10.2020</c:v>
                </c:pt>
                <c:pt idx="200">
                  <c:v>02.10.2020</c:v>
                </c:pt>
                <c:pt idx="201">
                  <c:v>03.10.2020</c:v>
                </c:pt>
                <c:pt idx="202">
                  <c:v>04.10.2020</c:v>
                </c:pt>
                <c:pt idx="203">
                  <c:v>05.10.2020</c:v>
                </c:pt>
                <c:pt idx="204">
                  <c:v>06.10.2020</c:v>
                </c:pt>
                <c:pt idx="205">
                  <c:v>07.10.2020</c:v>
                </c:pt>
                <c:pt idx="206">
                  <c:v>08.10.2020</c:v>
                </c:pt>
                <c:pt idx="207">
                  <c:v>09.10.2020</c:v>
                </c:pt>
                <c:pt idx="208">
                  <c:v>10.10.2020</c:v>
                </c:pt>
                <c:pt idx="209">
                  <c:v>11.10.2020</c:v>
                </c:pt>
                <c:pt idx="210">
                  <c:v>12.10.2020</c:v>
                </c:pt>
                <c:pt idx="211">
                  <c:v>13.10.2020</c:v>
                </c:pt>
                <c:pt idx="212">
                  <c:v>14.10.2020</c:v>
                </c:pt>
                <c:pt idx="213">
                  <c:v>15.10.2020</c:v>
                </c:pt>
                <c:pt idx="214">
                  <c:v>16.10.2020</c:v>
                </c:pt>
                <c:pt idx="215">
                  <c:v>17.10.2020</c:v>
                </c:pt>
                <c:pt idx="216">
                  <c:v>18.10.2020</c:v>
                </c:pt>
                <c:pt idx="217">
                  <c:v>19.10.2020</c:v>
                </c:pt>
                <c:pt idx="218">
                  <c:v>20.10.2020</c:v>
                </c:pt>
                <c:pt idx="219">
                  <c:v>21.10.2020</c:v>
                </c:pt>
                <c:pt idx="220">
                  <c:v>22.10.2020</c:v>
                </c:pt>
                <c:pt idx="221">
                  <c:v>23.10.2020</c:v>
                </c:pt>
                <c:pt idx="222">
                  <c:v>24.10.2020</c:v>
                </c:pt>
                <c:pt idx="223">
                  <c:v>25.10.2020</c:v>
                </c:pt>
                <c:pt idx="224">
                  <c:v>26.10.2020</c:v>
                </c:pt>
                <c:pt idx="225">
                  <c:v>27.10.2020</c:v>
                </c:pt>
                <c:pt idx="226">
                  <c:v>28.10.2020</c:v>
                </c:pt>
                <c:pt idx="227">
                  <c:v>29.10.2020</c:v>
                </c:pt>
                <c:pt idx="228">
                  <c:v>30.10.2020</c:v>
                </c:pt>
                <c:pt idx="229">
                  <c:v>31.10.2020</c:v>
                </c:pt>
                <c:pt idx="230">
                  <c:v>01.11.2020</c:v>
                </c:pt>
                <c:pt idx="231">
                  <c:v>02.11.2020</c:v>
                </c:pt>
                <c:pt idx="232">
                  <c:v>03.11.2020</c:v>
                </c:pt>
                <c:pt idx="233">
                  <c:v>04.11.2020</c:v>
                </c:pt>
                <c:pt idx="234">
                  <c:v>05.11.2020</c:v>
                </c:pt>
                <c:pt idx="235">
                  <c:v>06.11.2020</c:v>
                </c:pt>
                <c:pt idx="236">
                  <c:v>07.11.2020</c:v>
                </c:pt>
                <c:pt idx="237">
                  <c:v>08.11.2020</c:v>
                </c:pt>
                <c:pt idx="238">
                  <c:v>09.11.2020</c:v>
                </c:pt>
                <c:pt idx="239">
                  <c:v>10.11.2020</c:v>
                </c:pt>
                <c:pt idx="240">
                  <c:v>11.11.2020</c:v>
                </c:pt>
                <c:pt idx="241">
                  <c:v>12.11.2020</c:v>
                </c:pt>
                <c:pt idx="242">
                  <c:v>13.11.2020</c:v>
                </c:pt>
                <c:pt idx="243">
                  <c:v>14.11.2020</c:v>
                </c:pt>
                <c:pt idx="244">
                  <c:v>15.11.2020</c:v>
                </c:pt>
                <c:pt idx="245">
                  <c:v>16.11.2020</c:v>
                </c:pt>
                <c:pt idx="246">
                  <c:v>17.11.2020</c:v>
                </c:pt>
                <c:pt idx="247">
                  <c:v>18.11.2020</c:v>
                </c:pt>
                <c:pt idx="248">
                  <c:v>19.11.2020</c:v>
                </c:pt>
                <c:pt idx="249">
                  <c:v>20.11.2020</c:v>
                </c:pt>
                <c:pt idx="250">
                  <c:v>21.11.2020</c:v>
                </c:pt>
                <c:pt idx="251">
                  <c:v>22.11.2020</c:v>
                </c:pt>
                <c:pt idx="252">
                  <c:v>23.11.2020</c:v>
                </c:pt>
                <c:pt idx="253">
                  <c:v>24.11.2020</c:v>
                </c:pt>
                <c:pt idx="254">
                  <c:v>25.11.2020</c:v>
                </c:pt>
                <c:pt idx="255">
                  <c:v>26.11.2020</c:v>
                </c:pt>
                <c:pt idx="256">
                  <c:v>27.11.2020</c:v>
                </c:pt>
                <c:pt idx="257">
                  <c:v>28.11.2020</c:v>
                </c:pt>
                <c:pt idx="258">
                  <c:v>29.11.2020</c:v>
                </c:pt>
                <c:pt idx="259">
                  <c:v>30.11.2020</c:v>
                </c:pt>
                <c:pt idx="260">
                  <c:v>01.12.2020</c:v>
                </c:pt>
                <c:pt idx="261">
                  <c:v>02.12.2020</c:v>
                </c:pt>
                <c:pt idx="262">
                  <c:v>03.12.2020</c:v>
                </c:pt>
                <c:pt idx="263">
                  <c:v>04.12.2020</c:v>
                </c:pt>
                <c:pt idx="264">
                  <c:v>05.12.2020</c:v>
                </c:pt>
                <c:pt idx="265">
                  <c:v>06.12.2020</c:v>
                </c:pt>
                <c:pt idx="266">
                  <c:v>07.12.2020</c:v>
                </c:pt>
                <c:pt idx="267">
                  <c:v>08.12.2020</c:v>
                </c:pt>
                <c:pt idx="268">
                  <c:v>09.12.2020</c:v>
                </c:pt>
                <c:pt idx="269">
                  <c:v>10.12.2020</c:v>
                </c:pt>
                <c:pt idx="270">
                  <c:v>11.12.2020</c:v>
                </c:pt>
                <c:pt idx="271">
                  <c:v>12.12.2020</c:v>
                </c:pt>
                <c:pt idx="272">
                  <c:v>13.12.2020</c:v>
                </c:pt>
                <c:pt idx="273">
                  <c:v>14.12.2020</c:v>
                </c:pt>
                <c:pt idx="274">
                  <c:v>15.12.2020</c:v>
                </c:pt>
                <c:pt idx="275">
                  <c:v>16.12.2020</c:v>
                </c:pt>
                <c:pt idx="276">
                  <c:v>17.12.2020</c:v>
                </c:pt>
                <c:pt idx="277">
                  <c:v>18.12.2020</c:v>
                </c:pt>
                <c:pt idx="278">
                  <c:v>19.12.2020</c:v>
                </c:pt>
                <c:pt idx="279">
                  <c:v>20.12.2020</c:v>
                </c:pt>
                <c:pt idx="280">
                  <c:v>#LICZBA!</c:v>
                </c:pt>
                <c:pt idx="281">
                  <c:v>#LICZBA!</c:v>
                </c:pt>
                <c:pt idx="282">
                  <c:v>#LICZBA!</c:v>
                </c:pt>
              </c:strCache>
            </c:strRef>
          </c:cat>
          <c:val>
            <c:numRef>
              <c:f>'R(t) Polska'!$Q$16:$Q$1000</c:f>
              <c:numCache>
                <c:formatCode>0.0000</c:formatCode>
                <c:ptCount val="985"/>
                <c:pt idx="0">
                  <c:v>3.5750651433152951</c:v>
                </c:pt>
                <c:pt idx="1">
                  <c:v>3.0659619007745444</c:v>
                </c:pt>
                <c:pt idx="2">
                  <c:v>1.901591157312374</c:v>
                </c:pt>
                <c:pt idx="3">
                  <c:v>2.3378329055656746</c:v>
                </c:pt>
                <c:pt idx="4">
                  <c:v>2.0204469277737322</c:v>
                </c:pt>
                <c:pt idx="5">
                  <c:v>2.7962233402015113</c:v>
                </c:pt>
                <c:pt idx="6">
                  <c:v>1.9646117882762528</c:v>
                </c:pt>
                <c:pt idx="7">
                  <c:v>2.0261982599465256</c:v>
                </c:pt>
                <c:pt idx="8">
                  <c:v>2.3356934474051023</c:v>
                </c:pt>
                <c:pt idx="9">
                  <c:v>1.9356187429408205</c:v>
                </c:pt>
                <c:pt idx="10">
                  <c:v>1.9350612965948151</c:v>
                </c:pt>
                <c:pt idx="11">
                  <c:v>1.6869524489718497</c:v>
                </c:pt>
                <c:pt idx="12">
                  <c:v>2.2768622252143502</c:v>
                </c:pt>
                <c:pt idx="13">
                  <c:v>1.7322785871282864</c:v>
                </c:pt>
                <c:pt idx="14">
                  <c:v>1.3511935855505333</c:v>
                </c:pt>
                <c:pt idx="15">
                  <c:v>1.7066340711638286</c:v>
                </c:pt>
                <c:pt idx="16">
                  <c:v>1.4714314074666182</c:v>
                </c:pt>
                <c:pt idx="17">
                  <c:v>2.2238937867424546</c:v>
                </c:pt>
                <c:pt idx="18">
                  <c:v>2.1102308060419537</c:v>
                </c:pt>
                <c:pt idx="19">
                  <c:v>1.0169583682095196</c:v>
                </c:pt>
                <c:pt idx="20">
                  <c:v>1.9749499670286927</c:v>
                </c:pt>
                <c:pt idx="21">
                  <c:v>1.1349923912400708</c:v>
                </c:pt>
                <c:pt idx="22">
                  <c:v>1.5574938617708751</c:v>
                </c:pt>
                <c:pt idx="23">
                  <c:v>1.1839286761064804</c:v>
                </c:pt>
                <c:pt idx="24">
                  <c:v>1.1956252436471662</c:v>
                </c:pt>
                <c:pt idx="25">
                  <c:v>1.1945558287014342</c:v>
                </c:pt>
                <c:pt idx="26">
                  <c:v>1.226482287806772</c:v>
                </c:pt>
                <c:pt idx="27">
                  <c:v>0.94213931175197774</c:v>
                </c:pt>
                <c:pt idx="28">
                  <c:v>0.77074803629426658</c:v>
                </c:pt>
                <c:pt idx="29">
                  <c:v>0.8339074862796354</c:v>
                </c:pt>
                <c:pt idx="30">
                  <c:v>1.2021721144852173</c:v>
                </c:pt>
                <c:pt idx="31">
                  <c:v>1.0331345250043098</c:v>
                </c:pt>
                <c:pt idx="32">
                  <c:v>1.3985658298598376</c:v>
                </c:pt>
                <c:pt idx="33">
                  <c:v>0.96708284095503527</c:v>
                </c:pt>
                <c:pt idx="34">
                  <c:v>1.4982059082487835</c:v>
                </c:pt>
                <c:pt idx="35">
                  <c:v>0.83104852007137331</c:v>
                </c:pt>
                <c:pt idx="36">
                  <c:v>0.73193307439136213</c:v>
                </c:pt>
                <c:pt idx="37">
                  <c:v>0.90577058261748333</c:v>
                </c:pt>
                <c:pt idx="38">
                  <c:v>1.0031961890515986</c:v>
                </c:pt>
                <c:pt idx="39">
                  <c:v>1.1170856948886636</c:v>
                </c:pt>
                <c:pt idx="40">
                  <c:v>1.0987081228818862</c:v>
                </c:pt>
                <c:pt idx="41">
                  <c:v>0.97821546065521803</c:v>
                </c:pt>
                <c:pt idx="42">
                  <c:v>0.81297016033216629</c:v>
                </c:pt>
                <c:pt idx="43">
                  <c:v>0.92614370919559708</c:v>
                </c:pt>
                <c:pt idx="44">
                  <c:v>1.2500008004123084</c:v>
                </c:pt>
                <c:pt idx="45">
                  <c:v>0.85798378527904551</c:v>
                </c:pt>
                <c:pt idx="46">
                  <c:v>0.66557079756915694</c:v>
                </c:pt>
                <c:pt idx="47">
                  <c:v>0.82772080276164717</c:v>
                </c:pt>
                <c:pt idx="48">
                  <c:v>0.99946942340102318</c:v>
                </c:pt>
                <c:pt idx="49">
                  <c:v>0.98382906631441003</c:v>
                </c:pt>
                <c:pt idx="50">
                  <c:v>1.2791037850952061</c:v>
                </c:pt>
                <c:pt idx="51">
                  <c:v>0.94223724681306142</c:v>
                </c:pt>
                <c:pt idx="52">
                  <c:v>0.92563783125963606</c:v>
                </c:pt>
                <c:pt idx="53">
                  <c:v>1.0405588126233285</c:v>
                </c:pt>
                <c:pt idx="54">
                  <c:v>0.88413814467656371</c:v>
                </c:pt>
                <c:pt idx="55">
                  <c:v>1.0769491515418927</c:v>
                </c:pt>
                <c:pt idx="56">
                  <c:v>1.0189245073414446</c:v>
                </c:pt>
                <c:pt idx="57">
                  <c:v>1.7121047354213921</c:v>
                </c:pt>
                <c:pt idx="58">
                  <c:v>0.89998760801548516</c:v>
                </c:pt>
                <c:pt idx="59">
                  <c:v>1.1653924738643264</c:v>
                </c:pt>
                <c:pt idx="60">
                  <c:v>1.1107921875738582</c:v>
                </c:pt>
                <c:pt idx="61">
                  <c:v>0.6571818187714924</c:v>
                </c:pt>
                <c:pt idx="62">
                  <c:v>0.77991095919989073</c:v>
                </c:pt>
                <c:pt idx="63">
                  <c:v>1.0539018495563903</c:v>
                </c:pt>
                <c:pt idx="64">
                  <c:v>1.1222307361685229</c:v>
                </c:pt>
                <c:pt idx="65">
                  <c:v>1.3599461258756795</c:v>
                </c:pt>
                <c:pt idx="66">
                  <c:v>1.1066983128077585</c:v>
                </c:pt>
                <c:pt idx="67">
                  <c:v>1.274017135537268</c:v>
                </c:pt>
                <c:pt idx="68">
                  <c:v>0.81995239017152721</c:v>
                </c:pt>
                <c:pt idx="69">
                  <c:v>0.96449944358523854</c:v>
                </c:pt>
                <c:pt idx="70">
                  <c:v>0.91570859488332612</c:v>
                </c:pt>
                <c:pt idx="71">
                  <c:v>1.2041150719476272</c:v>
                </c:pt>
                <c:pt idx="72">
                  <c:v>1.0485090222109492</c:v>
                </c:pt>
                <c:pt idx="73">
                  <c:v>0.92326231362102285</c:v>
                </c:pt>
                <c:pt idx="74">
                  <c:v>0.88045625273306316</c:v>
                </c:pt>
                <c:pt idx="75">
                  <c:v>1.1115978970746601</c:v>
                </c:pt>
                <c:pt idx="76">
                  <c:v>0.5816014257432196</c:v>
                </c:pt>
                <c:pt idx="77">
                  <c:v>1.0592026947777391</c:v>
                </c:pt>
                <c:pt idx="78">
                  <c:v>0.66100112715459947</c:v>
                </c:pt>
                <c:pt idx="79">
                  <c:v>0.85947170048602894</c:v>
                </c:pt>
                <c:pt idx="80">
                  <c:v>1.0843345682377517</c:v>
                </c:pt>
                <c:pt idx="81">
                  <c:v>1.0743941837309479</c:v>
                </c:pt>
                <c:pt idx="82">
                  <c:v>1.6915558699377544</c:v>
                </c:pt>
                <c:pt idx="83">
                  <c:v>1.5367936197639414</c:v>
                </c:pt>
                <c:pt idx="84">
                  <c:v>1.4869143178323188</c:v>
                </c:pt>
                <c:pt idx="85">
                  <c:v>0.9283554458203167</c:v>
                </c:pt>
                <c:pt idx="86">
                  <c:v>0.66125852822506626</c:v>
                </c:pt>
                <c:pt idx="87">
                  <c:v>0.8846233064079424</c:v>
                </c:pt>
                <c:pt idx="88">
                  <c:v>0.94204062258180754</c:v>
                </c:pt>
                <c:pt idx="89">
                  <c:v>1.1115918442004462</c:v>
                </c:pt>
                <c:pt idx="90">
                  <c:v>0.93251356854851131</c:v>
                </c:pt>
                <c:pt idx="91">
                  <c:v>0.99432049148572277</c:v>
                </c:pt>
                <c:pt idx="92">
                  <c:v>1.0227703384016904</c:v>
                </c:pt>
                <c:pt idx="93">
                  <c:v>1.1271606085538657</c:v>
                </c:pt>
                <c:pt idx="94">
                  <c:v>0.77247499738393766</c:v>
                </c:pt>
                <c:pt idx="95">
                  <c:v>0.8950516069080281</c:v>
                </c:pt>
                <c:pt idx="96">
                  <c:v>0.79767211728040088</c:v>
                </c:pt>
                <c:pt idx="97">
                  <c:v>0.82673085848825245</c:v>
                </c:pt>
                <c:pt idx="98">
                  <c:v>0.80682756837156699</c:v>
                </c:pt>
                <c:pt idx="99">
                  <c:v>0.84093719840008063</c:v>
                </c:pt>
                <c:pt idx="100">
                  <c:v>0.84328053506670619</c:v>
                </c:pt>
                <c:pt idx="101">
                  <c:v>0.84792274346261154</c:v>
                </c:pt>
                <c:pt idx="102">
                  <c:v>0.85475665234956544</c:v>
                </c:pt>
                <c:pt idx="103">
                  <c:v>0.97699943112014498</c:v>
                </c:pt>
                <c:pt idx="104">
                  <c:v>0.59304860577070029</c:v>
                </c:pt>
                <c:pt idx="105">
                  <c:v>0.80582677968706484</c:v>
                </c:pt>
                <c:pt idx="106">
                  <c:v>0.8019730835078227</c:v>
                </c:pt>
                <c:pt idx="107">
                  <c:v>1.319132393581951</c:v>
                </c:pt>
                <c:pt idx="108">
                  <c:v>1.225285711257867</c:v>
                </c:pt>
                <c:pt idx="109">
                  <c:v>0.82871698166980834</c:v>
                </c:pt>
                <c:pt idx="110">
                  <c:v>1.0298999775420408</c:v>
                </c:pt>
                <c:pt idx="111">
                  <c:v>0.75444272431490345</c:v>
                </c:pt>
                <c:pt idx="112">
                  <c:v>0.69386770194612812</c:v>
                </c:pt>
                <c:pt idx="113">
                  <c:v>0.90965529134511081</c:v>
                </c:pt>
                <c:pt idx="114">
                  <c:v>0.99326504946441529</c:v>
                </c:pt>
                <c:pt idx="115">
                  <c:v>0.94038290948270398</c:v>
                </c:pt>
                <c:pt idx="116">
                  <c:v>0.95932092737281593</c:v>
                </c:pt>
                <c:pt idx="117">
                  <c:v>1.1105779837155023</c:v>
                </c:pt>
                <c:pt idx="118">
                  <c:v>1.3263070575912161</c:v>
                </c:pt>
                <c:pt idx="119">
                  <c:v>1.024062512065941</c:v>
                </c:pt>
                <c:pt idx="120">
                  <c:v>0.91133114618137923</c:v>
                </c:pt>
                <c:pt idx="121">
                  <c:v>0.91265201438889054</c:v>
                </c:pt>
                <c:pt idx="122">
                  <c:v>1.1657324032014897</c:v>
                </c:pt>
                <c:pt idx="123">
                  <c:v>1.2071654427951271</c:v>
                </c:pt>
                <c:pt idx="124">
                  <c:v>1.1259661534046017</c:v>
                </c:pt>
                <c:pt idx="125">
                  <c:v>1.1680540753911814</c:v>
                </c:pt>
                <c:pt idx="126">
                  <c:v>0.88895728373924898</c:v>
                </c:pt>
                <c:pt idx="127">
                  <c:v>1.2917965885589671</c:v>
                </c:pt>
                <c:pt idx="128">
                  <c:v>1.1810501228973129</c:v>
                </c:pt>
                <c:pt idx="129">
                  <c:v>1.2664005668630758</c:v>
                </c:pt>
                <c:pt idx="130">
                  <c:v>1.3367155414124503</c:v>
                </c:pt>
                <c:pt idx="131">
                  <c:v>1.6262328350158395</c:v>
                </c:pt>
                <c:pt idx="132">
                  <c:v>1.1323002004967704</c:v>
                </c:pt>
                <c:pt idx="133">
                  <c:v>0.84538820544670656</c:v>
                </c:pt>
                <c:pt idx="134">
                  <c:v>1.2877452555259672</c:v>
                </c:pt>
                <c:pt idx="135">
                  <c:v>1.261540097494245</c:v>
                </c:pt>
                <c:pt idx="136">
                  <c:v>1.4607487182676568</c:v>
                </c:pt>
                <c:pt idx="137">
                  <c:v>1.4641359176853448</c:v>
                </c:pt>
                <c:pt idx="138">
                  <c:v>1.375182761761673</c:v>
                </c:pt>
                <c:pt idx="139">
                  <c:v>1.0870270158672786</c:v>
                </c:pt>
                <c:pt idx="140">
                  <c:v>1.126578803229187</c:v>
                </c:pt>
                <c:pt idx="141">
                  <c:v>1.308638195234431</c:v>
                </c:pt>
                <c:pt idx="142">
                  <c:v>1.1796474411191393</c:v>
                </c:pt>
                <c:pt idx="143">
                  <c:v>1.3046793786125721</c:v>
                </c:pt>
                <c:pt idx="144">
                  <c:v>1.3931971605463955</c:v>
                </c:pt>
                <c:pt idx="145">
                  <c:v>1.3745400095823248</c:v>
                </c:pt>
                <c:pt idx="146">
                  <c:v>0.96577843675595121</c:v>
                </c:pt>
                <c:pt idx="147">
                  <c:v>0.96274649750885632</c:v>
                </c:pt>
                <c:pt idx="148">
                  <c:v>0.86156957411916546</c:v>
                </c:pt>
                <c:pt idx="149">
                  <c:v>1.1405632269662429</c:v>
                </c:pt>
                <c:pt idx="150">
                  <c:v>1.2682350418213511</c:v>
                </c:pt>
                <c:pt idx="151">
                  <c:v>1.2530583580983412</c:v>
                </c:pt>
                <c:pt idx="152">
                  <c:v>1.1206737970380443</c:v>
                </c:pt>
                <c:pt idx="153">
                  <c:v>0.84876650708838053</c:v>
                </c:pt>
                <c:pt idx="154">
                  <c:v>0.86896930160550301</c:v>
                </c:pt>
                <c:pt idx="155">
                  <c:v>0.88852216100607118</c:v>
                </c:pt>
                <c:pt idx="156">
                  <c:v>1.1116120661896289</c:v>
                </c:pt>
                <c:pt idx="157">
                  <c:v>1.1418032083865293</c:v>
                </c:pt>
                <c:pt idx="158">
                  <c:v>1.3175703293589363</c:v>
                </c:pt>
                <c:pt idx="159">
                  <c:v>1.2562026357548723</c:v>
                </c:pt>
                <c:pt idx="160">
                  <c:v>0.78231554683079518</c:v>
                </c:pt>
                <c:pt idx="161">
                  <c:v>0.76156405155758411</c:v>
                </c:pt>
                <c:pt idx="162">
                  <c:v>1.0977445477472794</c:v>
                </c:pt>
                <c:pt idx="163">
                  <c:v>1.0343843814541283</c:v>
                </c:pt>
                <c:pt idx="164">
                  <c:v>1.2524199876387194</c:v>
                </c:pt>
                <c:pt idx="165">
                  <c:v>1.0779979811979461</c:v>
                </c:pt>
                <c:pt idx="166">
                  <c:v>1.022988721250399</c:v>
                </c:pt>
                <c:pt idx="167">
                  <c:v>0.84768499932193253</c:v>
                </c:pt>
                <c:pt idx="168">
                  <c:v>0.68938705111523868</c:v>
                </c:pt>
                <c:pt idx="169">
                  <c:v>0.7903761175905949</c:v>
                </c:pt>
                <c:pt idx="170">
                  <c:v>0.88143906578098952</c:v>
                </c:pt>
                <c:pt idx="171">
                  <c:v>0.92224332918696761</c:v>
                </c:pt>
                <c:pt idx="172">
                  <c:v>1.0529877682342161</c:v>
                </c:pt>
                <c:pt idx="173">
                  <c:v>0.85753774966989216</c:v>
                </c:pt>
                <c:pt idx="174">
                  <c:v>0.67465455718720202</c:v>
                </c:pt>
                <c:pt idx="175">
                  <c:v>0.4889632400193723</c:v>
                </c:pt>
                <c:pt idx="176">
                  <c:v>0.69863764760841951</c:v>
                </c:pt>
                <c:pt idx="177">
                  <c:v>0.76839696958272052</c:v>
                </c:pt>
                <c:pt idx="178">
                  <c:v>0.95513834824740307</c:v>
                </c:pt>
                <c:pt idx="179">
                  <c:v>1.1284815864683875</c:v>
                </c:pt>
                <c:pt idx="180">
                  <c:v>1.1249322101764185</c:v>
                </c:pt>
                <c:pt idx="181">
                  <c:v>0.92008947014628806</c:v>
                </c:pt>
                <c:pt idx="182">
                  <c:v>0.69896273820735577</c:v>
                </c:pt>
                <c:pt idx="183">
                  <c:v>1.172083430394284</c:v>
                </c:pt>
                <c:pt idx="184">
                  <c:v>1.1345068155277125</c:v>
                </c:pt>
                <c:pt idx="185">
                  <c:v>1.5527995613539378</c:v>
                </c:pt>
                <c:pt idx="186">
                  <c:v>1.3015950905135507</c:v>
                </c:pt>
                <c:pt idx="187">
                  <c:v>1.6516880944445216</c:v>
                </c:pt>
                <c:pt idx="188">
                  <c:v>1.3722792312878864</c:v>
                </c:pt>
                <c:pt idx="189">
                  <c:v>1.0710234012079605</c:v>
                </c:pt>
                <c:pt idx="190">
                  <c:v>1.0078194332269825</c:v>
                </c:pt>
                <c:pt idx="191">
                  <c:v>1.3790728910224577</c:v>
                </c:pt>
                <c:pt idx="192">
                  <c:v>1.5258183571935795</c:v>
                </c:pt>
                <c:pt idx="193">
                  <c:v>1.9826485603564377</c:v>
                </c:pt>
                <c:pt idx="194">
                  <c:v>1.7353018102418174</c:v>
                </c:pt>
                <c:pt idx="195">
                  <c:v>1.3383644360825551</c:v>
                </c:pt>
                <c:pt idx="196">
                  <c:v>1.235044370428751</c:v>
                </c:pt>
                <c:pt idx="197">
                  <c:v>1.2132205241539709</c:v>
                </c:pt>
                <c:pt idx="198">
                  <c:v>1.3780239695725853</c:v>
                </c:pt>
                <c:pt idx="199">
                  <c:v>1.6570186367195638</c:v>
                </c:pt>
                <c:pt idx="200">
                  <c:v>1.7651270981475884</c:v>
                </c:pt>
                <c:pt idx="201">
                  <c:v>1.6432706493738367</c:v>
                </c:pt>
                <c:pt idx="202">
                  <c:v>1.2296630180424872</c:v>
                </c:pt>
                <c:pt idx="203">
                  <c:v>1.2349249241898028</c:v>
                </c:pt>
                <c:pt idx="204">
                  <c:v>1.3318197093743571</c:v>
                </c:pt>
                <c:pt idx="205">
                  <c:v>1.7077143726923993</c:v>
                </c:pt>
                <c:pt idx="206">
                  <c:v>2.2104265987659213</c:v>
                </c:pt>
                <c:pt idx="207">
                  <c:v>2.0866583847725266</c:v>
                </c:pt>
                <c:pt idx="208">
                  <c:v>2.020084138765232</c:v>
                </c:pt>
                <c:pt idx="209">
                  <c:v>1.3898922721517952</c:v>
                </c:pt>
                <c:pt idx="210">
                  <c:v>1.3846266612481863</c:v>
                </c:pt>
                <c:pt idx="211">
                  <c:v>1.5138356886280229</c:v>
                </c:pt>
                <c:pt idx="212">
                  <c:v>1.8160405811135889</c:v>
                </c:pt>
                <c:pt idx="213">
                  <c:v>2.0184644876596392</c:v>
                </c:pt>
                <c:pt idx="214">
                  <c:v>1.6763673240318062</c:v>
                </c:pt>
                <c:pt idx="215">
                  <c:v>1.9089923513631923</c:v>
                </c:pt>
                <c:pt idx="216">
                  <c:v>1.4988912579646483</c:v>
                </c:pt>
                <c:pt idx="217">
                  <c:v>1.2264063999857717</c:v>
                </c:pt>
                <c:pt idx="218">
                  <c:v>1.4752133116035053</c:v>
                </c:pt>
                <c:pt idx="219">
                  <c:v>1.4927962148338063</c:v>
                </c:pt>
                <c:pt idx="220">
                  <c:v>1.6817346554688213</c:v>
                </c:pt>
                <c:pt idx="221">
                  <c:v>1.7255170192847724</c:v>
                </c:pt>
                <c:pt idx="222">
                  <c:v>1.5630118876310171</c:v>
                </c:pt>
                <c:pt idx="223">
                  <c:v>1.2464518003857528</c:v>
                </c:pt>
                <c:pt idx="224">
                  <c:v>1.0501429266807165</c:v>
                </c:pt>
                <c:pt idx="225">
                  <c:v>1.6595630941352604</c:v>
                </c:pt>
                <c:pt idx="226">
                  <c:v>1.7511357930592797</c:v>
                </c:pt>
                <c:pt idx="227">
                  <c:v>1.6937029745571857</c:v>
                </c:pt>
                <c:pt idx="228">
                  <c:v>1.6536057182474169</c:v>
                </c:pt>
                <c:pt idx="229">
                  <c:v>1.5311301124071177</c:v>
                </c:pt>
                <c:pt idx="230">
                  <c:v>1.1159916799364396</c:v>
                </c:pt>
                <c:pt idx="231">
                  <c:v>0.99595490881231818</c:v>
                </c:pt>
                <c:pt idx="232">
                  <c:v>1.2387226801896314</c:v>
                </c:pt>
                <c:pt idx="233">
                  <c:v>1.5274654118080353</c:v>
                </c:pt>
                <c:pt idx="234">
                  <c:v>1.5614289763599147</c:v>
                </c:pt>
                <c:pt idx="235">
                  <c:v>1.4424588240491876</c:v>
                </c:pt>
                <c:pt idx="236">
                  <c:v>1.396223766092703</c:v>
                </c:pt>
                <c:pt idx="237">
                  <c:v>1.174943739364015</c:v>
                </c:pt>
                <c:pt idx="238">
                  <c:v>1.0042168878959823</c:v>
                </c:pt>
                <c:pt idx="239">
                  <c:v>1.1765277697684315</c:v>
                </c:pt>
                <c:pt idx="240">
                  <c:v>1.1370828648441438</c:v>
                </c:pt>
                <c:pt idx="241">
                  <c:v>1.0030154125581976</c:v>
                </c:pt>
                <c:pt idx="242">
                  <c:v>1.0630488204367057</c:v>
                </c:pt>
                <c:pt idx="243">
                  <c:v>1.1201433777836034</c:v>
                </c:pt>
                <c:pt idx="244">
                  <c:v>0.94116581238358832</c:v>
                </c:pt>
                <c:pt idx="245">
                  <c:v>0.9040617698445117</c:v>
                </c:pt>
                <c:pt idx="246">
                  <c:v>0.84335093377683568</c:v>
                </c:pt>
                <c:pt idx="247">
                  <c:v>0.89558196230284104</c:v>
                </c:pt>
                <c:pt idx="248">
                  <c:v>1.0962488640952803</c:v>
                </c:pt>
                <c:pt idx="249">
                  <c:v>1.0132271846045986</c:v>
                </c:pt>
                <c:pt idx="250">
                  <c:v>1.0900551656392816</c:v>
                </c:pt>
                <c:pt idx="251">
                  <c:v>0.79365631872155495</c:v>
                </c:pt>
                <c:pt idx="252">
                  <c:v>0.68705567213649044</c:v>
                </c:pt>
                <c:pt idx="253">
                  <c:v>1.5692483471318721</c:v>
                </c:pt>
                <c:pt idx="254">
                  <c:v>0.68108123600624637</c:v>
                </c:pt>
                <c:pt idx="255">
                  <c:v>0.77514099887715249</c:v>
                </c:pt>
                <c:pt idx="256">
                  <c:v>0.81876858555218202</c:v>
                </c:pt>
                <c:pt idx="257">
                  <c:v>0.74780571753912839</c:v>
                </c:pt>
                <c:pt idx="258">
                  <c:v>0.58690129498372579</c:v>
                </c:pt>
                <c:pt idx="259">
                  <c:v>0.31139277314544456</c:v>
                </c:pt>
                <c:pt idx="260">
                  <c:v>0.54850345729186312</c:v>
                </c:pt>
                <c:pt idx="261">
                  <c:v>0.89219940278714271</c:v>
                </c:pt>
                <c:pt idx="262">
                  <c:v>0.9704450988877199</c:v>
                </c:pt>
                <c:pt idx="263">
                  <c:v>0.86953749848443196</c:v>
                </c:pt>
                <c:pt idx="264">
                  <c:v>0.83190704757855216</c:v>
                </c:pt>
                <c:pt idx="265">
                  <c:v>0.6292354338605799</c:v>
                </c:pt>
                <c:pt idx="266">
                  <c:v>0.32026634415150235</c:v>
                </c:pt>
                <c:pt idx="267">
                  <c:v>0.66659577565995809</c:v>
                </c:pt>
                <c:pt idx="268">
                  <c:v>1.0246372512824229</c:v>
                </c:pt>
                <c:pt idx="269">
                  <c:v>1.1537087578259426</c:v>
                </c:pt>
                <c:pt idx="270">
                  <c:v>1.0764517148920167</c:v>
                </c:pt>
                <c:pt idx="271">
                  <c:v>0.93381078606414325</c:v>
                </c:pt>
                <c:pt idx="272">
                  <c:v>0.73609121333188654</c:v>
                </c:pt>
                <c:pt idx="273">
                  <c:v>0.41718808683707442</c:v>
                </c:pt>
                <c:pt idx="274">
                  <c:v>0.6419973221529407</c:v>
                </c:pt>
                <c:pt idx="275">
                  <c:v>1.2199779065681677</c:v>
                </c:pt>
                <c:pt idx="276">
                  <c:v>1.1352256501111819</c:v>
                </c:pt>
                <c:pt idx="277">
                  <c:v>1.0261273018750419</c:v>
                </c:pt>
                <c:pt idx="278">
                  <c:v>1.0458897908799614</c:v>
                </c:pt>
                <c:pt idx="279">
                  <c:v>0.79256551684297394</c:v>
                </c:pt>
                <c:pt idx="280">
                  <c:v>0</c:v>
                </c:pt>
                <c:pt idx="281">
                  <c:v>0</c:v>
                </c:pt>
                <c:pt idx="282">
                  <c:v>7.7715611723760958E-16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EC1-4EFC-9EB2-2CB0A5B59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970550"/>
        <c:axId val="489288374"/>
      </c:lineChart>
      <c:lineChart>
        <c:grouping val="standard"/>
        <c:varyColors val="0"/>
        <c:ser>
          <c:idx val="2"/>
          <c:order val="2"/>
          <c:tx>
            <c:strRef>
              <c:f>'R(t) Polska'!$L$15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Polska'!$B$16:$B$1000</c:f>
              <c:strCache>
                <c:ptCount val="283"/>
                <c:pt idx="180">
                  <c:v>12.09.2020</c:v>
                </c:pt>
                <c:pt idx="181">
                  <c:v>13.09.2020</c:v>
                </c:pt>
                <c:pt idx="182">
                  <c:v>14.09.2020</c:v>
                </c:pt>
                <c:pt idx="183">
                  <c:v>15.09.2020</c:v>
                </c:pt>
                <c:pt idx="184">
                  <c:v>16.09.2020</c:v>
                </c:pt>
                <c:pt idx="185">
                  <c:v>17.09.2020</c:v>
                </c:pt>
                <c:pt idx="186">
                  <c:v>18.09.2020</c:v>
                </c:pt>
                <c:pt idx="187">
                  <c:v>19.09.2020</c:v>
                </c:pt>
                <c:pt idx="188">
                  <c:v>20.09.2020</c:v>
                </c:pt>
                <c:pt idx="189">
                  <c:v>21.09.2020</c:v>
                </c:pt>
                <c:pt idx="190">
                  <c:v>22.09.2020</c:v>
                </c:pt>
                <c:pt idx="191">
                  <c:v>23.09.2020</c:v>
                </c:pt>
                <c:pt idx="192">
                  <c:v>24.09.2020</c:v>
                </c:pt>
                <c:pt idx="193">
                  <c:v>25.09.2020</c:v>
                </c:pt>
                <c:pt idx="194">
                  <c:v>26.09.2020</c:v>
                </c:pt>
                <c:pt idx="195">
                  <c:v>27.09.2020</c:v>
                </c:pt>
                <c:pt idx="196">
                  <c:v>28.09.2020</c:v>
                </c:pt>
                <c:pt idx="197">
                  <c:v>29.09.2020</c:v>
                </c:pt>
                <c:pt idx="198">
                  <c:v>30.09.2020</c:v>
                </c:pt>
                <c:pt idx="199">
                  <c:v>01.10.2020</c:v>
                </c:pt>
                <c:pt idx="200">
                  <c:v>02.10.2020</c:v>
                </c:pt>
                <c:pt idx="201">
                  <c:v>03.10.2020</c:v>
                </c:pt>
                <c:pt idx="202">
                  <c:v>04.10.2020</c:v>
                </c:pt>
                <c:pt idx="203">
                  <c:v>05.10.2020</c:v>
                </c:pt>
                <c:pt idx="204">
                  <c:v>06.10.2020</c:v>
                </c:pt>
                <c:pt idx="205">
                  <c:v>07.10.2020</c:v>
                </c:pt>
                <c:pt idx="206">
                  <c:v>08.10.2020</c:v>
                </c:pt>
                <c:pt idx="207">
                  <c:v>09.10.2020</c:v>
                </c:pt>
                <c:pt idx="208">
                  <c:v>10.10.2020</c:v>
                </c:pt>
                <c:pt idx="209">
                  <c:v>11.10.2020</c:v>
                </c:pt>
                <c:pt idx="210">
                  <c:v>12.10.2020</c:v>
                </c:pt>
                <c:pt idx="211">
                  <c:v>13.10.2020</c:v>
                </c:pt>
                <c:pt idx="212">
                  <c:v>14.10.2020</c:v>
                </c:pt>
                <c:pt idx="213">
                  <c:v>15.10.2020</c:v>
                </c:pt>
                <c:pt idx="214">
                  <c:v>16.10.2020</c:v>
                </c:pt>
                <c:pt idx="215">
                  <c:v>17.10.2020</c:v>
                </c:pt>
                <c:pt idx="216">
                  <c:v>18.10.2020</c:v>
                </c:pt>
                <c:pt idx="217">
                  <c:v>19.10.2020</c:v>
                </c:pt>
                <c:pt idx="218">
                  <c:v>20.10.2020</c:v>
                </c:pt>
                <c:pt idx="219">
                  <c:v>21.10.2020</c:v>
                </c:pt>
                <c:pt idx="220">
                  <c:v>22.10.2020</c:v>
                </c:pt>
                <c:pt idx="221">
                  <c:v>23.10.2020</c:v>
                </c:pt>
                <c:pt idx="222">
                  <c:v>24.10.2020</c:v>
                </c:pt>
                <c:pt idx="223">
                  <c:v>25.10.2020</c:v>
                </c:pt>
                <c:pt idx="224">
                  <c:v>26.10.2020</c:v>
                </c:pt>
                <c:pt idx="225">
                  <c:v>27.10.2020</c:v>
                </c:pt>
                <c:pt idx="226">
                  <c:v>28.10.2020</c:v>
                </c:pt>
                <c:pt idx="227">
                  <c:v>29.10.2020</c:v>
                </c:pt>
                <c:pt idx="228">
                  <c:v>30.10.2020</c:v>
                </c:pt>
                <c:pt idx="229">
                  <c:v>31.10.2020</c:v>
                </c:pt>
                <c:pt idx="230">
                  <c:v>01.11.2020</c:v>
                </c:pt>
                <c:pt idx="231">
                  <c:v>02.11.2020</c:v>
                </c:pt>
                <c:pt idx="232">
                  <c:v>03.11.2020</c:v>
                </c:pt>
                <c:pt idx="233">
                  <c:v>04.11.2020</c:v>
                </c:pt>
                <c:pt idx="234">
                  <c:v>05.11.2020</c:v>
                </c:pt>
                <c:pt idx="235">
                  <c:v>06.11.2020</c:v>
                </c:pt>
                <c:pt idx="236">
                  <c:v>07.11.2020</c:v>
                </c:pt>
                <c:pt idx="237">
                  <c:v>08.11.2020</c:v>
                </c:pt>
                <c:pt idx="238">
                  <c:v>09.11.2020</c:v>
                </c:pt>
                <c:pt idx="239">
                  <c:v>10.11.2020</c:v>
                </c:pt>
                <c:pt idx="240">
                  <c:v>11.11.2020</c:v>
                </c:pt>
                <c:pt idx="241">
                  <c:v>12.11.2020</c:v>
                </c:pt>
                <c:pt idx="242">
                  <c:v>13.11.2020</c:v>
                </c:pt>
                <c:pt idx="243">
                  <c:v>14.11.2020</c:v>
                </c:pt>
                <c:pt idx="244">
                  <c:v>15.11.2020</c:v>
                </c:pt>
                <c:pt idx="245">
                  <c:v>16.11.2020</c:v>
                </c:pt>
                <c:pt idx="246">
                  <c:v>17.11.2020</c:v>
                </c:pt>
                <c:pt idx="247">
                  <c:v>18.11.2020</c:v>
                </c:pt>
                <c:pt idx="248">
                  <c:v>19.11.2020</c:v>
                </c:pt>
                <c:pt idx="249">
                  <c:v>20.11.2020</c:v>
                </c:pt>
                <c:pt idx="250">
                  <c:v>21.11.2020</c:v>
                </c:pt>
                <c:pt idx="251">
                  <c:v>22.11.2020</c:v>
                </c:pt>
                <c:pt idx="252">
                  <c:v>23.11.2020</c:v>
                </c:pt>
                <c:pt idx="253">
                  <c:v>24.11.2020</c:v>
                </c:pt>
                <c:pt idx="254">
                  <c:v>25.11.2020</c:v>
                </c:pt>
                <c:pt idx="255">
                  <c:v>26.11.2020</c:v>
                </c:pt>
                <c:pt idx="256">
                  <c:v>27.11.2020</c:v>
                </c:pt>
                <c:pt idx="257">
                  <c:v>28.11.2020</c:v>
                </c:pt>
                <c:pt idx="258">
                  <c:v>29.11.2020</c:v>
                </c:pt>
                <c:pt idx="259">
                  <c:v>30.11.2020</c:v>
                </c:pt>
                <c:pt idx="260">
                  <c:v>01.12.2020</c:v>
                </c:pt>
                <c:pt idx="261">
                  <c:v>02.12.2020</c:v>
                </c:pt>
                <c:pt idx="262">
                  <c:v>03.12.2020</c:v>
                </c:pt>
                <c:pt idx="263">
                  <c:v>04.12.2020</c:v>
                </c:pt>
                <c:pt idx="264">
                  <c:v>05.12.2020</c:v>
                </c:pt>
                <c:pt idx="265">
                  <c:v>06.12.2020</c:v>
                </c:pt>
                <c:pt idx="266">
                  <c:v>07.12.2020</c:v>
                </c:pt>
                <c:pt idx="267">
                  <c:v>08.12.2020</c:v>
                </c:pt>
                <c:pt idx="268">
                  <c:v>09.12.2020</c:v>
                </c:pt>
                <c:pt idx="269">
                  <c:v>10.12.2020</c:v>
                </c:pt>
                <c:pt idx="270">
                  <c:v>11.12.2020</c:v>
                </c:pt>
                <c:pt idx="271">
                  <c:v>12.12.2020</c:v>
                </c:pt>
                <c:pt idx="272">
                  <c:v>13.12.2020</c:v>
                </c:pt>
                <c:pt idx="273">
                  <c:v>14.12.2020</c:v>
                </c:pt>
                <c:pt idx="274">
                  <c:v>15.12.2020</c:v>
                </c:pt>
                <c:pt idx="275">
                  <c:v>16.12.2020</c:v>
                </c:pt>
                <c:pt idx="276">
                  <c:v>17.12.2020</c:v>
                </c:pt>
                <c:pt idx="277">
                  <c:v>18.12.2020</c:v>
                </c:pt>
                <c:pt idx="278">
                  <c:v>19.12.2020</c:v>
                </c:pt>
                <c:pt idx="279">
                  <c:v>20.12.2020</c:v>
                </c:pt>
                <c:pt idx="280">
                  <c:v>#LICZBA!</c:v>
                </c:pt>
                <c:pt idx="281">
                  <c:v>#LICZBA!</c:v>
                </c:pt>
                <c:pt idx="282">
                  <c:v>#LICZBA!</c:v>
                </c:pt>
              </c:strCache>
            </c:strRef>
          </c:cat>
          <c:val>
            <c:numRef>
              <c:f>'R(t) Polska'!$L$16:$L$1000</c:f>
              <c:numCache>
                <c:formatCode>0.00</c:formatCode>
                <c:ptCount val="985"/>
                <c:pt idx="0">
                  <c:v>22.857142857142858</c:v>
                </c:pt>
                <c:pt idx="1">
                  <c:v>30.857142857142858</c:v>
                </c:pt>
                <c:pt idx="2">
                  <c:v>36.571428571428569</c:v>
                </c:pt>
                <c:pt idx="3">
                  <c:v>43.428571428571431</c:v>
                </c:pt>
                <c:pt idx="4">
                  <c:v>51</c:v>
                </c:pt>
                <c:pt idx="5">
                  <c:v>61.714285714285715</c:v>
                </c:pt>
                <c:pt idx="6">
                  <c:v>72.714285714285708</c:v>
                </c:pt>
                <c:pt idx="7">
                  <c:v>81.714285714285708</c:v>
                </c:pt>
                <c:pt idx="8">
                  <c:v>94.714285714285708</c:v>
                </c:pt>
                <c:pt idx="9">
                  <c:v>109.14285714285714</c:v>
                </c:pt>
                <c:pt idx="10">
                  <c:v>123.71428571428571</c:v>
                </c:pt>
                <c:pt idx="11">
                  <c:v>137.71428571428572</c:v>
                </c:pt>
                <c:pt idx="12">
                  <c:v>157.42857142857142</c:v>
                </c:pt>
                <c:pt idx="13">
                  <c:v>175.42857142857142</c:v>
                </c:pt>
                <c:pt idx="14">
                  <c:v>186.57142857142858</c:v>
                </c:pt>
                <c:pt idx="15">
                  <c:v>201.42857142857142</c:v>
                </c:pt>
                <c:pt idx="16">
                  <c:v>214.71428571428572</c:v>
                </c:pt>
                <c:pt idx="17">
                  <c:v>246.42857142857142</c:v>
                </c:pt>
                <c:pt idx="18">
                  <c:v>284.85714285714283</c:v>
                </c:pt>
                <c:pt idx="19">
                  <c:v>284.14285714285717</c:v>
                </c:pt>
                <c:pt idx="20">
                  <c:v>320</c:v>
                </c:pt>
                <c:pt idx="21">
                  <c:v>336.85714285714283</c:v>
                </c:pt>
                <c:pt idx="22">
                  <c:v>362.42857142857144</c:v>
                </c:pt>
                <c:pt idx="23">
                  <c:v>378.71428571428572</c:v>
                </c:pt>
                <c:pt idx="24">
                  <c:v>375.57142857142856</c:v>
                </c:pt>
                <c:pt idx="25">
                  <c:v>367.42857142857144</c:v>
                </c:pt>
                <c:pt idx="26">
                  <c:v>389.85714285714283</c:v>
                </c:pt>
                <c:pt idx="27">
                  <c:v>367.42857142857144</c:v>
                </c:pt>
                <c:pt idx="28">
                  <c:v>359.85714285714283</c:v>
                </c:pt>
                <c:pt idx="29">
                  <c:v>336.28571428571428</c:v>
                </c:pt>
                <c:pt idx="30">
                  <c:v>339.57142857142856</c:v>
                </c:pt>
                <c:pt idx="31">
                  <c:v>334.71428571428572</c:v>
                </c:pt>
                <c:pt idx="32">
                  <c:v>345.71428571428572</c:v>
                </c:pt>
                <c:pt idx="33">
                  <c:v>336.14285714285717</c:v>
                </c:pt>
                <c:pt idx="34">
                  <c:v>364.28571428571428</c:v>
                </c:pt>
                <c:pt idx="35">
                  <c:v>371.14285714285717</c:v>
                </c:pt>
                <c:pt idx="36">
                  <c:v>370.14285714285717</c:v>
                </c:pt>
                <c:pt idx="37">
                  <c:v>360.57142857142856</c:v>
                </c:pt>
                <c:pt idx="38">
                  <c:v>361.42857142857144</c:v>
                </c:pt>
                <c:pt idx="39">
                  <c:v>350.57142857142856</c:v>
                </c:pt>
                <c:pt idx="40">
                  <c:v>357.28571428571428</c:v>
                </c:pt>
                <c:pt idx="41">
                  <c:v>332.85714285714283</c:v>
                </c:pt>
                <c:pt idx="42">
                  <c:v>329.85714285714283</c:v>
                </c:pt>
                <c:pt idx="43">
                  <c:v>337.42857142857144</c:v>
                </c:pt>
                <c:pt idx="44">
                  <c:v>353</c:v>
                </c:pt>
                <c:pt idx="45">
                  <c:v>347</c:v>
                </c:pt>
                <c:pt idx="46">
                  <c:v>325.14285714285717</c:v>
                </c:pt>
                <c:pt idx="47">
                  <c:v>309.28571428571428</c:v>
                </c:pt>
                <c:pt idx="48">
                  <c:v>305.57142857142856</c:v>
                </c:pt>
                <c:pt idx="49">
                  <c:v>309.57142857142856</c:v>
                </c:pt>
                <c:pt idx="50">
                  <c:v>322.42857142857144</c:v>
                </c:pt>
                <c:pt idx="51">
                  <c:v>306.57142857142856</c:v>
                </c:pt>
                <c:pt idx="52">
                  <c:v>307</c:v>
                </c:pt>
                <c:pt idx="53">
                  <c:v>322.57142857142856</c:v>
                </c:pt>
                <c:pt idx="54">
                  <c:v>325.14285714285717</c:v>
                </c:pt>
                <c:pt idx="55">
                  <c:v>329</c:v>
                </c:pt>
                <c:pt idx="56">
                  <c:v>331.42857142857144</c:v>
                </c:pt>
                <c:pt idx="57">
                  <c:v>352.85714285714283</c:v>
                </c:pt>
                <c:pt idx="58">
                  <c:v>354.42857142857144</c:v>
                </c:pt>
                <c:pt idx="59">
                  <c:v>369.85714285714283</c:v>
                </c:pt>
                <c:pt idx="60">
                  <c:v>379</c:v>
                </c:pt>
                <c:pt idx="61">
                  <c:v>372.28571428571428</c:v>
                </c:pt>
                <c:pt idx="62">
                  <c:v>361.85714285714283</c:v>
                </c:pt>
                <c:pt idx="63">
                  <c:v>365.57142857142856</c:v>
                </c:pt>
                <c:pt idx="64">
                  <c:v>340.71428571428572</c:v>
                </c:pt>
                <c:pt idx="65">
                  <c:v>362</c:v>
                </c:pt>
                <c:pt idx="66">
                  <c:v>360.85714285714283</c:v>
                </c:pt>
                <c:pt idx="67">
                  <c:v>370.85714285714283</c:v>
                </c:pt>
                <c:pt idx="68">
                  <c:v>381.42857142857144</c:v>
                </c:pt>
                <c:pt idx="69">
                  <c:v>394.14285714285717</c:v>
                </c:pt>
                <c:pt idx="70">
                  <c:v>392</c:v>
                </c:pt>
                <c:pt idx="71">
                  <c:v>400.71428571428572</c:v>
                </c:pt>
                <c:pt idx="72">
                  <c:v>390.14285714285717</c:v>
                </c:pt>
                <c:pt idx="73">
                  <c:v>382.85714285714283</c:v>
                </c:pt>
                <c:pt idx="74">
                  <c:v>363</c:v>
                </c:pt>
                <c:pt idx="75">
                  <c:v>376.85714285714283</c:v>
                </c:pt>
                <c:pt idx="76">
                  <c:v>356.57142857142856</c:v>
                </c:pt>
                <c:pt idx="77">
                  <c:v>361.42857142857144</c:v>
                </c:pt>
                <c:pt idx="78">
                  <c:v>331.85714285714283</c:v>
                </c:pt>
                <c:pt idx="79">
                  <c:v>316.85714285714283</c:v>
                </c:pt>
                <c:pt idx="80">
                  <c:v>318.14285714285717</c:v>
                </c:pt>
                <c:pt idx="81">
                  <c:v>322.42857142857144</c:v>
                </c:pt>
                <c:pt idx="82">
                  <c:v>345.85714285714283</c:v>
                </c:pt>
                <c:pt idx="83">
                  <c:v>396.71428571428572</c:v>
                </c:pt>
                <c:pt idx="84">
                  <c:v>428.71428571428572</c:v>
                </c:pt>
                <c:pt idx="85">
                  <c:v>452.14285714285717</c:v>
                </c:pt>
                <c:pt idx="86">
                  <c:v>450.71428571428572</c:v>
                </c:pt>
                <c:pt idx="87">
                  <c:v>450.42857142857144</c:v>
                </c:pt>
                <c:pt idx="88">
                  <c:v>452.42857142857144</c:v>
                </c:pt>
                <c:pt idx="89">
                  <c:v>433</c:v>
                </c:pt>
                <c:pt idx="90">
                  <c:v>404.42857142857144</c:v>
                </c:pt>
                <c:pt idx="91">
                  <c:v>375.42857142857144</c:v>
                </c:pt>
                <c:pt idx="92">
                  <c:v>376.42857142857144</c:v>
                </c:pt>
                <c:pt idx="93">
                  <c:v>400.42857142857144</c:v>
                </c:pt>
                <c:pt idx="94">
                  <c:v>394</c:v>
                </c:pt>
                <c:pt idx="95">
                  <c:v>390.57142857142856</c:v>
                </c:pt>
                <c:pt idx="96">
                  <c:v>371.85714285714283</c:v>
                </c:pt>
                <c:pt idx="97">
                  <c:v>362.71428571428572</c:v>
                </c:pt>
                <c:pt idx="98">
                  <c:v>348.42857142857144</c:v>
                </c:pt>
                <c:pt idx="99">
                  <c:v>333.14285714285717</c:v>
                </c:pt>
                <c:pt idx="100">
                  <c:v>310.85714285714283</c:v>
                </c:pt>
                <c:pt idx="101">
                  <c:v>307.28571428571428</c:v>
                </c:pt>
                <c:pt idx="102">
                  <c:v>297.71428571428572</c:v>
                </c:pt>
                <c:pt idx="103">
                  <c:v>299.14285714285717</c:v>
                </c:pt>
                <c:pt idx="104">
                  <c:v>282.28571428571428</c:v>
                </c:pt>
                <c:pt idx="105">
                  <c:v>275.28571428571428</c:v>
                </c:pt>
                <c:pt idx="106">
                  <c:v>266.57142857142856</c:v>
                </c:pt>
                <c:pt idx="107">
                  <c:v>279.14285714285717</c:v>
                </c:pt>
                <c:pt idx="108">
                  <c:v>290.85714285714283</c:v>
                </c:pt>
                <c:pt idx="109">
                  <c:v>287.14285714285717</c:v>
                </c:pt>
                <c:pt idx="110">
                  <c:v>286.42857142857144</c:v>
                </c:pt>
                <c:pt idx="111">
                  <c:v>291.85714285714283</c:v>
                </c:pt>
                <c:pt idx="112">
                  <c:v>285.85714285714283</c:v>
                </c:pt>
                <c:pt idx="113">
                  <c:v>288.42857142857144</c:v>
                </c:pt>
                <c:pt idx="114">
                  <c:v>273.42857142857144</c:v>
                </c:pt>
                <c:pt idx="115">
                  <c:v>257.85714285714283</c:v>
                </c:pt>
                <c:pt idx="116">
                  <c:v>258.71428571428572</c:v>
                </c:pt>
                <c:pt idx="117">
                  <c:v>257.42857142857144</c:v>
                </c:pt>
                <c:pt idx="118">
                  <c:v>277.28571428571428</c:v>
                </c:pt>
                <c:pt idx="119">
                  <c:v>290.71428571428572</c:v>
                </c:pt>
                <c:pt idx="120">
                  <c:v>292.14285714285717</c:v>
                </c:pt>
                <c:pt idx="121">
                  <c:v>290.28571428571428</c:v>
                </c:pt>
                <c:pt idx="122">
                  <c:v>300.42857142857144</c:v>
                </c:pt>
                <c:pt idx="123">
                  <c:v>313</c:v>
                </c:pt>
                <c:pt idx="124">
                  <c:v>317.85714285714283</c:v>
                </c:pt>
                <c:pt idx="125">
                  <c:v>316.14285714285717</c:v>
                </c:pt>
                <c:pt idx="126">
                  <c:v>313.28571428571428</c:v>
                </c:pt>
                <c:pt idx="127">
                  <c:v>332.14285714285717</c:v>
                </c:pt>
                <c:pt idx="128">
                  <c:v>348.71428571428572</c:v>
                </c:pt>
                <c:pt idx="129">
                  <c:v>360.85714285714283</c:v>
                </c:pt>
                <c:pt idx="130">
                  <c:v>375.85714285714283</c:v>
                </c:pt>
                <c:pt idx="131">
                  <c:v>410.85714285714283</c:v>
                </c:pt>
                <c:pt idx="132">
                  <c:v>423</c:v>
                </c:pt>
                <c:pt idx="133">
                  <c:v>431.28571428571428</c:v>
                </c:pt>
                <c:pt idx="134">
                  <c:v>446</c:v>
                </c:pt>
                <c:pt idx="135">
                  <c:v>464.85714285714283</c:v>
                </c:pt>
                <c:pt idx="136">
                  <c:v>493</c:v>
                </c:pt>
                <c:pt idx="137">
                  <c:v>521.42857142857144</c:v>
                </c:pt>
                <c:pt idx="138">
                  <c:v>532</c:v>
                </c:pt>
                <c:pt idx="139">
                  <c:v>547</c:v>
                </c:pt>
                <c:pt idx="140">
                  <c:v>581</c:v>
                </c:pt>
                <c:pt idx="141">
                  <c:v>606.42857142857144</c:v>
                </c:pt>
                <c:pt idx="142">
                  <c:v>624.71428571428567</c:v>
                </c:pt>
                <c:pt idx="143">
                  <c:v>640.57142857142856</c:v>
                </c:pt>
                <c:pt idx="144">
                  <c:v>662.28571428571433</c:v>
                </c:pt>
                <c:pt idx="145">
                  <c:v>688.71428571428567</c:v>
                </c:pt>
                <c:pt idx="146">
                  <c:v>699.57142857142856</c:v>
                </c:pt>
                <c:pt idx="147">
                  <c:v>705.85714285714289</c:v>
                </c:pt>
                <c:pt idx="148">
                  <c:v>687.42857142857144</c:v>
                </c:pt>
                <c:pt idx="149">
                  <c:v>698.14285714285711</c:v>
                </c:pt>
                <c:pt idx="150">
                  <c:v>710.28571428571433</c:v>
                </c:pt>
                <c:pt idx="151">
                  <c:v>713.57142857142856</c:v>
                </c:pt>
                <c:pt idx="152">
                  <c:v>703.28571428571433</c:v>
                </c:pt>
                <c:pt idx="153">
                  <c:v>699</c:v>
                </c:pt>
                <c:pt idx="154">
                  <c:v>695.57142857142856</c:v>
                </c:pt>
                <c:pt idx="155">
                  <c:v>702.14285714285711</c:v>
                </c:pt>
                <c:pt idx="156">
                  <c:v>705</c:v>
                </c:pt>
                <c:pt idx="157">
                  <c:v>698.71428571428567</c:v>
                </c:pt>
                <c:pt idx="158">
                  <c:v>708.85714285714289</c:v>
                </c:pt>
                <c:pt idx="159">
                  <c:v>727.28571428571433</c:v>
                </c:pt>
                <c:pt idx="160">
                  <c:v>725.42857142857144</c:v>
                </c:pt>
                <c:pt idx="161">
                  <c:v>718.71428571428567</c:v>
                </c:pt>
                <c:pt idx="162">
                  <c:v>742.42857142857144</c:v>
                </c:pt>
                <c:pt idx="163">
                  <c:v>741.57142857142856</c:v>
                </c:pt>
                <c:pt idx="164">
                  <c:v>758.71428571428567</c:v>
                </c:pt>
                <c:pt idx="165">
                  <c:v>742.71428571428567</c:v>
                </c:pt>
                <c:pt idx="166">
                  <c:v>722.57142857142856</c:v>
                </c:pt>
                <c:pt idx="167">
                  <c:v>729.71428571428567</c:v>
                </c:pt>
                <c:pt idx="168">
                  <c:v>723.14285714285711</c:v>
                </c:pt>
                <c:pt idx="169">
                  <c:v>692.71428571428567</c:v>
                </c:pt>
                <c:pt idx="170">
                  <c:v>673.57142857142856</c:v>
                </c:pt>
                <c:pt idx="171">
                  <c:v>634.28571428571433</c:v>
                </c:pt>
                <c:pt idx="172">
                  <c:v>620</c:v>
                </c:pt>
                <c:pt idx="173">
                  <c:v>592.57142857142856</c:v>
                </c:pt>
                <c:pt idx="174">
                  <c:v>564.85714285714289</c:v>
                </c:pt>
                <c:pt idx="175">
                  <c:v>536.28571428571433</c:v>
                </c:pt>
                <c:pt idx="176">
                  <c:v>514.85714285714289</c:v>
                </c:pt>
                <c:pt idx="177">
                  <c:v>490</c:v>
                </c:pt>
                <c:pt idx="178">
                  <c:v>474.85714285714283</c:v>
                </c:pt>
                <c:pt idx="179">
                  <c:v>461</c:v>
                </c:pt>
                <c:pt idx="180">
                  <c:v>466.14285714285717</c:v>
                </c:pt>
                <c:pt idx="181">
                  <c:v>475.42857142857144</c:v>
                </c:pt>
                <c:pt idx="182">
                  <c:v>486.14285714285717</c:v>
                </c:pt>
                <c:pt idx="183">
                  <c:v>515.42857142857144</c:v>
                </c:pt>
                <c:pt idx="184">
                  <c:v>541</c:v>
                </c:pt>
                <c:pt idx="185">
                  <c:v>588.28571428571433</c:v>
                </c:pt>
                <c:pt idx="186">
                  <c:v>611.57142857142856</c:v>
                </c:pt>
                <c:pt idx="187">
                  <c:v>668.57142857142856</c:v>
                </c:pt>
                <c:pt idx="188">
                  <c:v>726.85714285714289</c:v>
                </c:pt>
                <c:pt idx="189">
                  <c:v>779.85714285714289</c:v>
                </c:pt>
                <c:pt idx="190">
                  <c:v>795</c:v>
                </c:pt>
                <c:pt idx="191">
                  <c:v>848.42857142857144</c:v>
                </c:pt>
                <c:pt idx="192">
                  <c:v>891.14285714285711</c:v>
                </c:pt>
                <c:pt idx="193">
                  <c:v>1009.7142857142857</c:v>
                </c:pt>
                <c:pt idx="194">
                  <c:v>1092.8571428571429</c:v>
                </c:pt>
                <c:pt idx="195">
                  <c:v>1155.7142857142858</c:v>
                </c:pt>
                <c:pt idx="196">
                  <c:v>1235.4285714285713</c:v>
                </c:pt>
                <c:pt idx="197">
                  <c:v>1323.2857142857142</c:v>
                </c:pt>
                <c:pt idx="198">
                  <c:v>1405.8571428571429</c:v>
                </c:pt>
                <c:pt idx="199">
                  <c:v>1524.5714285714287</c:v>
                </c:pt>
                <c:pt idx="200">
                  <c:v>1625.2857142857142</c:v>
                </c:pt>
                <c:pt idx="201">
                  <c:v>1737.1428571428571</c:v>
                </c:pt>
                <c:pt idx="202">
                  <c:v>1820.5714285714287</c:v>
                </c:pt>
                <c:pt idx="203">
                  <c:v>1920.5714285714287</c:v>
                </c:pt>
                <c:pt idx="204">
                  <c:v>2050.5714285714284</c:v>
                </c:pt>
                <c:pt idx="205">
                  <c:v>2257.8571428571427</c:v>
                </c:pt>
                <c:pt idx="206">
                  <c:v>2588.2857142857142</c:v>
                </c:pt>
                <c:pt idx="207">
                  <c:v>2937.8571428571427</c:v>
                </c:pt>
                <c:pt idx="208">
                  <c:v>3356.8571428571427</c:v>
                </c:pt>
                <c:pt idx="209">
                  <c:v>3677.4285714285716</c:v>
                </c:pt>
                <c:pt idx="210">
                  <c:v>4018.5714285714284</c:v>
                </c:pt>
                <c:pt idx="211">
                  <c:v>4423.1428571428569</c:v>
                </c:pt>
                <c:pt idx="212">
                  <c:v>4926.4285714285716</c:v>
                </c:pt>
                <c:pt idx="213">
                  <c:v>5472</c:v>
                </c:pt>
                <c:pt idx="214">
                  <c:v>5895.7142857142853</c:v>
                </c:pt>
                <c:pt idx="215">
                  <c:v>6513.1428571428569</c:v>
                </c:pt>
                <c:pt idx="216">
                  <c:v>7135.7142857142853</c:v>
                </c:pt>
                <c:pt idx="217">
                  <c:v>7576.8571428571431</c:v>
                </c:pt>
                <c:pt idx="218">
                  <c:v>8180.1428571428569</c:v>
                </c:pt>
                <c:pt idx="219">
                  <c:v>8682.1428571428569</c:v>
                </c:pt>
                <c:pt idx="220">
                  <c:v>9254.7142857142862</c:v>
                </c:pt>
                <c:pt idx="221">
                  <c:v>10101.428571428571</c:v>
                </c:pt>
                <c:pt idx="222">
                  <c:v>10673.714285714286</c:v>
                </c:pt>
                <c:pt idx="223">
                  <c:v>11131.714285714286</c:v>
                </c:pt>
                <c:pt idx="224">
                  <c:v>11525.857142857143</c:v>
                </c:pt>
                <c:pt idx="225">
                  <c:v>12527.142857142857</c:v>
                </c:pt>
                <c:pt idx="226">
                  <c:v>13781.428571428571</c:v>
                </c:pt>
                <c:pt idx="227">
                  <c:v>14931.285714285714</c:v>
                </c:pt>
                <c:pt idx="228">
                  <c:v>16073.714285714286</c:v>
                </c:pt>
                <c:pt idx="229">
                  <c:v>17255</c:v>
                </c:pt>
                <c:pt idx="230">
                  <c:v>18030.571428571428</c:v>
                </c:pt>
                <c:pt idx="231">
                  <c:v>18793</c:v>
                </c:pt>
                <c:pt idx="232">
                  <c:v>19230.714285714286</c:v>
                </c:pt>
                <c:pt idx="233">
                  <c:v>20069.571428571428</c:v>
                </c:pt>
                <c:pt idx="234">
                  <c:v>21067.714285714286</c:v>
                </c:pt>
                <c:pt idx="235">
                  <c:v>21847.285714285714</c:v>
                </c:pt>
                <c:pt idx="236">
                  <c:v>22701.285714285714</c:v>
                </c:pt>
                <c:pt idx="237">
                  <c:v>23789</c:v>
                </c:pt>
                <c:pt idx="238">
                  <c:v>24665.428571428572</c:v>
                </c:pt>
                <c:pt idx="239">
                  <c:v>25535.428571428572</c:v>
                </c:pt>
                <c:pt idx="240">
                  <c:v>25611</c:v>
                </c:pt>
                <c:pt idx="241">
                  <c:v>24973.857142857141</c:v>
                </c:pt>
                <c:pt idx="242">
                  <c:v>24540.285714285714</c:v>
                </c:pt>
                <c:pt idx="243">
                  <c:v>24211.142857142859</c:v>
                </c:pt>
                <c:pt idx="244">
                  <c:v>23792.428571428572</c:v>
                </c:pt>
                <c:pt idx="245">
                  <c:v>23664.285714285714</c:v>
                </c:pt>
                <c:pt idx="246">
                  <c:v>22764</c:v>
                </c:pt>
                <c:pt idx="247">
                  <c:v>22001.428571428572</c:v>
                </c:pt>
                <c:pt idx="248">
                  <c:v>22186</c:v>
                </c:pt>
                <c:pt idx="249">
                  <c:v>21959.285714285714</c:v>
                </c:pt>
                <c:pt idx="250">
                  <c:v>21765.285714285714</c:v>
                </c:pt>
                <c:pt idx="251">
                  <c:v>21194.142857142859</c:v>
                </c:pt>
                <c:pt idx="252">
                  <c:v>20363.571428571428</c:v>
                </c:pt>
                <c:pt idx="253">
                  <c:v>22303.714285714286</c:v>
                </c:pt>
                <c:pt idx="254">
                  <c:v>21657.857142857141</c:v>
                </c:pt>
                <c:pt idx="255">
                  <c:v>20616.714285714286</c:v>
                </c:pt>
                <c:pt idx="256">
                  <c:v>19844.714285714286</c:v>
                </c:pt>
                <c:pt idx="257">
                  <c:v>18554</c:v>
                </c:pt>
                <c:pt idx="258">
                  <c:v>17643.571428571428</c:v>
                </c:pt>
                <c:pt idx="259">
                  <c:v>16319.428571428571</c:v>
                </c:pt>
                <c:pt idx="260">
                  <c:v>12944</c:v>
                </c:pt>
                <c:pt idx="261">
                  <c:v>12728.714285714286</c:v>
                </c:pt>
                <c:pt idx="262">
                  <c:v>12464.571428571429</c:v>
                </c:pt>
                <c:pt idx="263">
                  <c:v>11918.714285714286</c:v>
                </c:pt>
                <c:pt idx="264">
                  <c:v>11526.142857142857</c:v>
                </c:pt>
                <c:pt idx="265">
                  <c:v>11196.571428571429</c:v>
                </c:pt>
                <c:pt idx="266">
                  <c:v>11009.428571428571</c:v>
                </c:pt>
                <c:pt idx="267">
                  <c:v>10896.142857142857</c:v>
                </c:pt>
                <c:pt idx="268">
                  <c:v>10655.142857142857</c:v>
                </c:pt>
                <c:pt idx="269">
                  <c:v>10499.571428571429</c:v>
                </c:pt>
                <c:pt idx="270">
                  <c:v>10481.142857142857</c:v>
                </c:pt>
                <c:pt idx="271">
                  <c:v>10347.857142857143</c:v>
                </c:pt>
                <c:pt idx="272">
                  <c:v>10319.428571428571</c:v>
                </c:pt>
                <c:pt idx="273">
                  <c:v>10387</c:v>
                </c:pt>
                <c:pt idx="274">
                  <c:v>10186.285714285714</c:v>
                </c:pt>
                <c:pt idx="275">
                  <c:v>10227.142857142857</c:v>
                </c:pt>
                <c:pt idx="276">
                  <c:v>9970.5714285714294</c:v>
                </c:pt>
                <c:pt idx="277">
                  <c:v>9671</c:v>
                </c:pt>
                <c:pt idx="278">
                  <c:v>9638.1428571428569</c:v>
                </c:pt>
                <c:pt idx="279">
                  <c:v>9583.4285714285706</c:v>
                </c:pt>
                <c:pt idx="280">
                  <c:v>8884</c:v>
                </c:pt>
                <c:pt idx="281">
                  <c:v>7897.2857142857147</c:v>
                </c:pt>
                <c:pt idx="282">
                  <c:v>6118.1428571428569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EC1-4EFC-9EB2-2CB0A5B59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52323"/>
        <c:axId val="300168921"/>
      </c:lineChart>
      <c:catAx>
        <c:axId val="3039705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chemeClr val="dk1"/>
                    </a:solidFill>
                    <a:latin typeface="+mn-lt"/>
                  </a:defRPr>
                </a:pPr>
                <a:r>
                  <a:rPr lang="pl-PL" b="1" i="1">
                    <a:solidFill>
                      <a:schemeClr val="dk1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489288374"/>
        <c:crosses val="autoZero"/>
        <c:auto val="1"/>
        <c:lblAlgn val="ctr"/>
        <c:lblOffset val="100"/>
        <c:noMultiLvlLbl val="1"/>
      </c:catAx>
      <c:valAx>
        <c:axId val="489288374"/>
        <c:scaling>
          <c:orientation val="minMax"/>
          <c:max val="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lang="pl-PL"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303970550"/>
        <c:crosses val="autoZero"/>
        <c:crossBetween val="between"/>
        <c:majorUnit val="1"/>
        <c:minorUnit val="1"/>
      </c:valAx>
      <c:catAx>
        <c:axId val="1210523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00168921"/>
        <c:crosses val="autoZero"/>
        <c:auto val="1"/>
        <c:lblAlgn val="ctr"/>
        <c:lblOffset val="100"/>
        <c:noMultiLvlLbl val="1"/>
      </c:catAx>
      <c:valAx>
        <c:axId val="30016892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lang="pl-PL"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21052323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lang="pl-PL" b="1" i="0">
                <a:solidFill>
                  <a:srgbClr val="000000"/>
                </a:solidFill>
                <a:latin typeface="+mn-lt"/>
              </a:rPr>
              <a:t>COVID-19 Porównanie przypadków aktywnych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Aktywne raportowane</c:v>
          </c:tx>
          <c:marker>
            <c:symbol val="none"/>
          </c:marker>
          <c:cat>
            <c:strRef>
              <c:f>'R(t) Polska'!$B$16:$B$1000</c:f>
              <c:strCache>
                <c:ptCount val="283"/>
                <c:pt idx="180">
                  <c:v>12.09.2020</c:v>
                </c:pt>
                <c:pt idx="181">
                  <c:v>13.09.2020</c:v>
                </c:pt>
                <c:pt idx="182">
                  <c:v>14.09.2020</c:v>
                </c:pt>
                <c:pt idx="183">
                  <c:v>15.09.2020</c:v>
                </c:pt>
                <c:pt idx="184">
                  <c:v>16.09.2020</c:v>
                </c:pt>
                <c:pt idx="185">
                  <c:v>17.09.2020</c:v>
                </c:pt>
                <c:pt idx="186">
                  <c:v>18.09.2020</c:v>
                </c:pt>
                <c:pt idx="187">
                  <c:v>19.09.2020</c:v>
                </c:pt>
                <c:pt idx="188">
                  <c:v>20.09.2020</c:v>
                </c:pt>
                <c:pt idx="189">
                  <c:v>21.09.2020</c:v>
                </c:pt>
                <c:pt idx="190">
                  <c:v>22.09.2020</c:v>
                </c:pt>
                <c:pt idx="191">
                  <c:v>23.09.2020</c:v>
                </c:pt>
                <c:pt idx="192">
                  <c:v>24.09.2020</c:v>
                </c:pt>
                <c:pt idx="193">
                  <c:v>25.09.2020</c:v>
                </c:pt>
                <c:pt idx="194">
                  <c:v>26.09.2020</c:v>
                </c:pt>
                <c:pt idx="195">
                  <c:v>27.09.2020</c:v>
                </c:pt>
                <c:pt idx="196">
                  <c:v>28.09.2020</c:v>
                </c:pt>
                <c:pt idx="197">
                  <c:v>29.09.2020</c:v>
                </c:pt>
                <c:pt idx="198">
                  <c:v>30.09.2020</c:v>
                </c:pt>
                <c:pt idx="199">
                  <c:v>01.10.2020</c:v>
                </c:pt>
                <c:pt idx="200">
                  <c:v>02.10.2020</c:v>
                </c:pt>
                <c:pt idx="201">
                  <c:v>03.10.2020</c:v>
                </c:pt>
                <c:pt idx="202">
                  <c:v>04.10.2020</c:v>
                </c:pt>
                <c:pt idx="203">
                  <c:v>05.10.2020</c:v>
                </c:pt>
                <c:pt idx="204">
                  <c:v>06.10.2020</c:v>
                </c:pt>
                <c:pt idx="205">
                  <c:v>07.10.2020</c:v>
                </c:pt>
                <c:pt idx="206">
                  <c:v>08.10.2020</c:v>
                </c:pt>
                <c:pt idx="207">
                  <c:v>09.10.2020</c:v>
                </c:pt>
                <c:pt idx="208">
                  <c:v>10.10.2020</c:v>
                </c:pt>
                <c:pt idx="209">
                  <c:v>11.10.2020</c:v>
                </c:pt>
                <c:pt idx="210">
                  <c:v>12.10.2020</c:v>
                </c:pt>
                <c:pt idx="211">
                  <c:v>13.10.2020</c:v>
                </c:pt>
                <c:pt idx="212">
                  <c:v>14.10.2020</c:v>
                </c:pt>
                <c:pt idx="213">
                  <c:v>15.10.2020</c:v>
                </c:pt>
                <c:pt idx="214">
                  <c:v>16.10.2020</c:v>
                </c:pt>
                <c:pt idx="215">
                  <c:v>17.10.2020</c:v>
                </c:pt>
                <c:pt idx="216">
                  <c:v>18.10.2020</c:v>
                </c:pt>
                <c:pt idx="217">
                  <c:v>19.10.2020</c:v>
                </c:pt>
                <c:pt idx="218">
                  <c:v>20.10.2020</c:v>
                </c:pt>
                <c:pt idx="219">
                  <c:v>21.10.2020</c:v>
                </c:pt>
                <c:pt idx="220">
                  <c:v>22.10.2020</c:v>
                </c:pt>
                <c:pt idx="221">
                  <c:v>23.10.2020</c:v>
                </c:pt>
                <c:pt idx="222">
                  <c:v>24.10.2020</c:v>
                </c:pt>
                <c:pt idx="223">
                  <c:v>25.10.2020</c:v>
                </c:pt>
                <c:pt idx="224">
                  <c:v>26.10.2020</c:v>
                </c:pt>
                <c:pt idx="225">
                  <c:v>27.10.2020</c:v>
                </c:pt>
                <c:pt idx="226">
                  <c:v>28.10.2020</c:v>
                </c:pt>
                <c:pt idx="227">
                  <c:v>29.10.2020</c:v>
                </c:pt>
                <c:pt idx="228">
                  <c:v>30.10.2020</c:v>
                </c:pt>
                <c:pt idx="229">
                  <c:v>31.10.2020</c:v>
                </c:pt>
                <c:pt idx="230">
                  <c:v>01.11.2020</c:v>
                </c:pt>
                <c:pt idx="231">
                  <c:v>02.11.2020</c:v>
                </c:pt>
                <c:pt idx="232">
                  <c:v>03.11.2020</c:v>
                </c:pt>
                <c:pt idx="233">
                  <c:v>04.11.2020</c:v>
                </c:pt>
                <c:pt idx="234">
                  <c:v>05.11.2020</c:v>
                </c:pt>
                <c:pt idx="235">
                  <c:v>06.11.2020</c:v>
                </c:pt>
                <c:pt idx="236">
                  <c:v>07.11.2020</c:v>
                </c:pt>
                <c:pt idx="237">
                  <c:v>08.11.2020</c:v>
                </c:pt>
                <c:pt idx="238">
                  <c:v>09.11.2020</c:v>
                </c:pt>
                <c:pt idx="239">
                  <c:v>10.11.2020</c:v>
                </c:pt>
                <c:pt idx="240">
                  <c:v>11.11.2020</c:v>
                </c:pt>
                <c:pt idx="241">
                  <c:v>12.11.2020</c:v>
                </c:pt>
                <c:pt idx="242">
                  <c:v>13.11.2020</c:v>
                </c:pt>
                <c:pt idx="243">
                  <c:v>14.11.2020</c:v>
                </c:pt>
                <c:pt idx="244">
                  <c:v>15.11.2020</c:v>
                </c:pt>
                <c:pt idx="245">
                  <c:v>16.11.2020</c:v>
                </c:pt>
                <c:pt idx="246">
                  <c:v>17.11.2020</c:v>
                </c:pt>
                <c:pt idx="247">
                  <c:v>18.11.2020</c:v>
                </c:pt>
                <c:pt idx="248">
                  <c:v>19.11.2020</c:v>
                </c:pt>
                <c:pt idx="249">
                  <c:v>20.11.2020</c:v>
                </c:pt>
                <c:pt idx="250">
                  <c:v>21.11.2020</c:v>
                </c:pt>
                <c:pt idx="251">
                  <c:v>22.11.2020</c:v>
                </c:pt>
                <c:pt idx="252">
                  <c:v>23.11.2020</c:v>
                </c:pt>
                <c:pt idx="253">
                  <c:v>24.11.2020</c:v>
                </c:pt>
                <c:pt idx="254">
                  <c:v>25.11.2020</c:v>
                </c:pt>
                <c:pt idx="255">
                  <c:v>26.11.2020</c:v>
                </c:pt>
                <c:pt idx="256">
                  <c:v>27.11.2020</c:v>
                </c:pt>
                <c:pt idx="257">
                  <c:v>28.11.2020</c:v>
                </c:pt>
                <c:pt idx="258">
                  <c:v>29.11.2020</c:v>
                </c:pt>
                <c:pt idx="259">
                  <c:v>30.11.2020</c:v>
                </c:pt>
                <c:pt idx="260">
                  <c:v>01.12.2020</c:v>
                </c:pt>
                <c:pt idx="261">
                  <c:v>02.12.2020</c:v>
                </c:pt>
                <c:pt idx="262">
                  <c:v>03.12.2020</c:v>
                </c:pt>
                <c:pt idx="263">
                  <c:v>04.12.2020</c:v>
                </c:pt>
                <c:pt idx="264">
                  <c:v>05.12.2020</c:v>
                </c:pt>
                <c:pt idx="265">
                  <c:v>06.12.2020</c:v>
                </c:pt>
                <c:pt idx="266">
                  <c:v>07.12.2020</c:v>
                </c:pt>
                <c:pt idx="267">
                  <c:v>08.12.2020</c:v>
                </c:pt>
                <c:pt idx="268">
                  <c:v>09.12.2020</c:v>
                </c:pt>
                <c:pt idx="269">
                  <c:v>10.12.2020</c:v>
                </c:pt>
                <c:pt idx="270">
                  <c:v>11.12.2020</c:v>
                </c:pt>
                <c:pt idx="271">
                  <c:v>12.12.2020</c:v>
                </c:pt>
                <c:pt idx="272">
                  <c:v>13.12.2020</c:v>
                </c:pt>
                <c:pt idx="273">
                  <c:v>14.12.2020</c:v>
                </c:pt>
                <c:pt idx="274">
                  <c:v>15.12.2020</c:v>
                </c:pt>
                <c:pt idx="275">
                  <c:v>16.12.2020</c:v>
                </c:pt>
                <c:pt idx="276">
                  <c:v>17.12.2020</c:v>
                </c:pt>
                <c:pt idx="277">
                  <c:v>18.12.2020</c:v>
                </c:pt>
                <c:pt idx="278">
                  <c:v>19.12.2020</c:v>
                </c:pt>
                <c:pt idx="279">
                  <c:v>20.12.2020</c:v>
                </c:pt>
                <c:pt idx="280">
                  <c:v>#LICZBA!</c:v>
                </c:pt>
                <c:pt idx="281">
                  <c:v>#LICZBA!</c:v>
                </c:pt>
                <c:pt idx="282">
                  <c:v>#LICZBA!</c:v>
                </c:pt>
              </c:strCache>
            </c:strRef>
          </c:cat>
          <c:val>
            <c:numRef>
              <c:f>'R(t) Polska'!$K$16:$K$1000</c:f>
              <c:numCache>
                <c:formatCode>General</c:formatCode>
                <c:ptCount val="985"/>
                <c:pt idx="0">
                  <c:v>173</c:v>
                </c:pt>
                <c:pt idx="1">
                  <c:v>232</c:v>
                </c:pt>
                <c:pt idx="2">
                  <c:v>281</c:v>
                </c:pt>
                <c:pt idx="3">
                  <c:v>349</c:v>
                </c:pt>
                <c:pt idx="4">
                  <c:v>419</c:v>
                </c:pt>
                <c:pt idx="5">
                  <c:v>530</c:v>
                </c:pt>
                <c:pt idx="6">
                  <c:v>626</c:v>
                </c:pt>
                <c:pt idx="7">
                  <c:v>740</c:v>
                </c:pt>
                <c:pt idx="8">
                  <c:v>890</c:v>
                </c:pt>
                <c:pt idx="9">
                  <c:v>1037</c:v>
                </c:pt>
                <c:pt idx="10">
                  <c:v>1204</c:v>
                </c:pt>
                <c:pt idx="11">
                  <c:v>1372</c:v>
                </c:pt>
                <c:pt idx="12">
                  <c:v>1619</c:v>
                </c:pt>
                <c:pt idx="13">
                  <c:v>1839</c:v>
                </c:pt>
                <c:pt idx="14">
                  <c:v>2023</c:v>
                </c:pt>
                <c:pt idx="15">
                  <c:v>2277</c:v>
                </c:pt>
                <c:pt idx="16">
                  <c:v>2510</c:v>
                </c:pt>
                <c:pt idx="17">
                  <c:v>2888</c:v>
                </c:pt>
                <c:pt idx="18">
                  <c:v>3311</c:v>
                </c:pt>
                <c:pt idx="19">
                  <c:v>3432</c:v>
                </c:pt>
                <c:pt idx="20">
                  <c:v>3874</c:v>
                </c:pt>
                <c:pt idx="21">
                  <c:v>4144</c:v>
                </c:pt>
                <c:pt idx="22">
                  <c:v>4528</c:v>
                </c:pt>
                <c:pt idx="23">
                  <c:v>4825</c:v>
                </c:pt>
                <c:pt idx="24">
                  <c:v>5117</c:v>
                </c:pt>
                <c:pt idx="25">
                  <c:v>5456</c:v>
                </c:pt>
                <c:pt idx="26">
                  <c:v>5773</c:v>
                </c:pt>
                <c:pt idx="27">
                  <c:v>6003</c:v>
                </c:pt>
                <c:pt idx="28">
                  <c:v>6200</c:v>
                </c:pt>
                <c:pt idx="29">
                  <c:v>6321</c:v>
                </c:pt>
                <c:pt idx="30">
                  <c:v>6628</c:v>
                </c:pt>
                <c:pt idx="31">
                  <c:v>6830</c:v>
                </c:pt>
                <c:pt idx="32">
                  <c:v>7177</c:v>
                </c:pt>
                <c:pt idx="33">
                  <c:v>7381</c:v>
                </c:pt>
                <c:pt idx="34">
                  <c:v>7824</c:v>
                </c:pt>
                <c:pt idx="35">
                  <c:v>8017</c:v>
                </c:pt>
                <c:pt idx="36">
                  <c:v>8096</c:v>
                </c:pt>
                <c:pt idx="37">
                  <c:v>8168</c:v>
                </c:pt>
                <c:pt idx="38">
                  <c:v>8255</c:v>
                </c:pt>
                <c:pt idx="39">
                  <c:v>8392</c:v>
                </c:pt>
                <c:pt idx="40">
                  <c:v>8561</c:v>
                </c:pt>
                <c:pt idx="41">
                  <c:v>8754</c:v>
                </c:pt>
                <c:pt idx="42">
                  <c:v>8812</c:v>
                </c:pt>
                <c:pt idx="43">
                  <c:v>8905</c:v>
                </c:pt>
                <c:pt idx="44">
                  <c:v>8929</c:v>
                </c:pt>
                <c:pt idx="45">
                  <c:v>8998</c:v>
                </c:pt>
                <c:pt idx="46">
                  <c:v>8964</c:v>
                </c:pt>
                <c:pt idx="47">
                  <c:v>8951</c:v>
                </c:pt>
                <c:pt idx="48">
                  <c:v>9071</c:v>
                </c:pt>
                <c:pt idx="49">
                  <c:v>9215</c:v>
                </c:pt>
                <c:pt idx="50">
                  <c:v>9417</c:v>
                </c:pt>
                <c:pt idx="51">
                  <c:v>9335</c:v>
                </c:pt>
                <c:pt idx="52">
                  <c:v>9409</c:v>
                </c:pt>
                <c:pt idx="53">
                  <c:v>9404</c:v>
                </c:pt>
                <c:pt idx="54">
                  <c:v>9430</c:v>
                </c:pt>
                <c:pt idx="55">
                  <c:v>9499</c:v>
                </c:pt>
                <c:pt idx="56">
                  <c:v>9700</c:v>
                </c:pt>
                <c:pt idx="57">
                  <c:v>9913</c:v>
                </c:pt>
                <c:pt idx="58">
                  <c:v>9933</c:v>
                </c:pt>
                <c:pt idx="59">
                  <c:v>10036</c:v>
                </c:pt>
                <c:pt idx="60">
                  <c:v>10191</c:v>
                </c:pt>
                <c:pt idx="61">
                  <c:v>10167</c:v>
                </c:pt>
                <c:pt idx="62">
                  <c:v>10153</c:v>
                </c:pt>
                <c:pt idx="63">
                  <c:v>10321</c:v>
                </c:pt>
                <c:pt idx="64">
                  <c:v>10416</c:v>
                </c:pt>
                <c:pt idx="65">
                  <c:v>10593</c:v>
                </c:pt>
                <c:pt idx="66">
                  <c:v>10717</c:v>
                </c:pt>
                <c:pt idx="67">
                  <c:v>10899</c:v>
                </c:pt>
                <c:pt idx="68">
                  <c:v>10957</c:v>
                </c:pt>
                <c:pt idx="69">
                  <c:v>11098</c:v>
                </c:pt>
                <c:pt idx="70">
                  <c:v>11346</c:v>
                </c:pt>
                <c:pt idx="71">
                  <c:v>11028</c:v>
                </c:pt>
                <c:pt idx="72">
                  <c:v>11111</c:v>
                </c:pt>
                <c:pt idx="73">
                  <c:v>11223</c:v>
                </c:pt>
                <c:pt idx="74">
                  <c:v>11410</c:v>
                </c:pt>
                <c:pt idx="75">
                  <c:v>11488</c:v>
                </c:pt>
                <c:pt idx="76">
                  <c:v>11449</c:v>
                </c:pt>
                <c:pt idx="77">
                  <c:v>11636</c:v>
                </c:pt>
                <c:pt idx="78">
                  <c:v>11577</c:v>
                </c:pt>
                <c:pt idx="79">
                  <c:v>11558</c:v>
                </c:pt>
                <c:pt idx="80">
                  <c:v>11704</c:v>
                </c:pt>
                <c:pt idx="81">
                  <c:v>11863</c:v>
                </c:pt>
                <c:pt idx="82">
                  <c:v>12194</c:v>
                </c:pt>
                <c:pt idx="83">
                  <c:v>12551</c:v>
                </c:pt>
                <c:pt idx="84">
                  <c:v>12998</c:v>
                </c:pt>
                <c:pt idx="85">
                  <c:v>13181</c:v>
                </c:pt>
                <c:pt idx="86">
                  <c:v>13225</c:v>
                </c:pt>
                <c:pt idx="87">
                  <c:v>13290</c:v>
                </c:pt>
                <c:pt idx="88">
                  <c:v>13550</c:v>
                </c:pt>
                <c:pt idx="89">
                  <c:v>13676</c:v>
                </c:pt>
                <c:pt idx="90">
                  <c:v>13919</c:v>
                </c:pt>
                <c:pt idx="91">
                  <c:v>14149</c:v>
                </c:pt>
                <c:pt idx="92">
                  <c:v>14269</c:v>
                </c:pt>
                <c:pt idx="93">
                  <c:v>14438</c:v>
                </c:pt>
                <c:pt idx="94">
                  <c:v>14326</c:v>
                </c:pt>
                <c:pt idx="95">
                  <c:v>14279</c:v>
                </c:pt>
                <c:pt idx="96">
                  <c:v>14093</c:v>
                </c:pt>
                <c:pt idx="97">
                  <c:v>13892</c:v>
                </c:pt>
                <c:pt idx="98">
                  <c:v>13792</c:v>
                </c:pt>
                <c:pt idx="99">
                  <c:v>13579</c:v>
                </c:pt>
                <c:pt idx="100">
                  <c:v>13291</c:v>
                </c:pt>
                <c:pt idx="101">
                  <c:v>13044</c:v>
                </c:pt>
                <c:pt idx="102">
                  <c:v>12748</c:v>
                </c:pt>
                <c:pt idx="103">
                  <c:v>12307</c:v>
                </c:pt>
                <c:pt idx="104">
                  <c:v>11920</c:v>
                </c:pt>
                <c:pt idx="105">
                  <c:v>11812</c:v>
                </c:pt>
                <c:pt idx="106">
                  <c:v>11648</c:v>
                </c:pt>
                <c:pt idx="107">
                  <c:v>11506</c:v>
                </c:pt>
                <c:pt idx="108">
                  <c:v>11444</c:v>
                </c:pt>
                <c:pt idx="109">
                  <c:v>11247</c:v>
                </c:pt>
                <c:pt idx="110">
                  <c:v>11081</c:v>
                </c:pt>
                <c:pt idx="111">
                  <c:v>10688</c:v>
                </c:pt>
                <c:pt idx="112">
                  <c:v>10669</c:v>
                </c:pt>
                <c:pt idx="113">
                  <c:v>10647</c:v>
                </c:pt>
                <c:pt idx="114">
                  <c:v>10269</c:v>
                </c:pt>
                <c:pt idx="115">
                  <c:v>9923</c:v>
                </c:pt>
                <c:pt idx="116">
                  <c:v>9606</c:v>
                </c:pt>
                <c:pt idx="117">
                  <c:v>9318</c:v>
                </c:pt>
                <c:pt idx="118">
                  <c:v>9172</c:v>
                </c:pt>
                <c:pt idx="119">
                  <c:v>9099</c:v>
                </c:pt>
                <c:pt idx="120">
                  <c:v>9113</c:v>
                </c:pt>
                <c:pt idx="121">
                  <c:v>8635</c:v>
                </c:pt>
                <c:pt idx="122">
                  <c:v>8522</c:v>
                </c:pt>
                <c:pt idx="123">
                  <c:v>8291</c:v>
                </c:pt>
                <c:pt idx="124">
                  <c:v>8205</c:v>
                </c:pt>
                <c:pt idx="125">
                  <c:v>8189</c:v>
                </c:pt>
                <c:pt idx="126">
                  <c:v>8217</c:v>
                </c:pt>
                <c:pt idx="127">
                  <c:v>8375</c:v>
                </c:pt>
                <c:pt idx="128">
                  <c:v>8381</c:v>
                </c:pt>
                <c:pt idx="129">
                  <c:v>8388</c:v>
                </c:pt>
                <c:pt idx="130">
                  <c:v>8386</c:v>
                </c:pt>
                <c:pt idx="131">
                  <c:v>8539</c:v>
                </c:pt>
                <c:pt idx="132">
                  <c:v>8641</c:v>
                </c:pt>
                <c:pt idx="133">
                  <c:v>8870</c:v>
                </c:pt>
                <c:pt idx="134">
                  <c:v>9179</c:v>
                </c:pt>
                <c:pt idx="135">
                  <c:v>9532</c:v>
                </c:pt>
                <c:pt idx="136">
                  <c:v>9679</c:v>
                </c:pt>
                <c:pt idx="137">
                  <c:v>9985</c:v>
                </c:pt>
                <c:pt idx="138">
                  <c:v>10251</c:v>
                </c:pt>
                <c:pt idx="139">
                  <c:v>10454</c:v>
                </c:pt>
                <c:pt idx="140">
                  <c:v>10856</c:v>
                </c:pt>
                <c:pt idx="141">
                  <c:v>11355</c:v>
                </c:pt>
                <c:pt idx="142">
                  <c:v>11712</c:v>
                </c:pt>
                <c:pt idx="143">
                  <c:v>12099</c:v>
                </c:pt>
                <c:pt idx="144">
                  <c:v>12496</c:v>
                </c:pt>
                <c:pt idx="145">
                  <c:v>12964</c:v>
                </c:pt>
                <c:pt idx="146">
                  <c:v>13293</c:v>
                </c:pt>
                <c:pt idx="147">
                  <c:v>13724</c:v>
                </c:pt>
                <c:pt idx="148">
                  <c:v>13990</c:v>
                </c:pt>
                <c:pt idx="149">
                  <c:v>14235</c:v>
                </c:pt>
                <c:pt idx="150">
                  <c:v>14683</c:v>
                </c:pt>
                <c:pt idx="151">
                  <c:v>15099</c:v>
                </c:pt>
                <c:pt idx="152">
                  <c:v>15368</c:v>
                </c:pt>
                <c:pt idx="153">
                  <c:v>15677</c:v>
                </c:pt>
                <c:pt idx="154">
                  <c:v>16035</c:v>
                </c:pt>
                <c:pt idx="155">
                  <c:v>16337</c:v>
                </c:pt>
                <c:pt idx="156">
                  <c:v>16599</c:v>
                </c:pt>
                <c:pt idx="157">
                  <c:v>16972</c:v>
                </c:pt>
                <c:pt idx="158">
                  <c:v>17314</c:v>
                </c:pt>
                <c:pt idx="159">
                  <c:v>17569</c:v>
                </c:pt>
                <c:pt idx="160">
                  <c:v>17624</c:v>
                </c:pt>
                <c:pt idx="161">
                  <c:v>17902</c:v>
                </c:pt>
                <c:pt idx="162">
                  <c:v>18312</c:v>
                </c:pt>
                <c:pt idx="163">
                  <c:v>18409</c:v>
                </c:pt>
                <c:pt idx="164">
                  <c:v>18583</c:v>
                </c:pt>
                <c:pt idx="165">
                  <c:v>18677</c:v>
                </c:pt>
                <c:pt idx="166">
                  <c:v>18671</c:v>
                </c:pt>
                <c:pt idx="167">
                  <c:v>18645</c:v>
                </c:pt>
                <c:pt idx="168">
                  <c:v>18695</c:v>
                </c:pt>
                <c:pt idx="169">
                  <c:v>18834</c:v>
                </c:pt>
                <c:pt idx="170">
                  <c:v>18574</c:v>
                </c:pt>
                <c:pt idx="171">
                  <c:v>18444</c:v>
                </c:pt>
                <c:pt idx="172">
                  <c:v>17900</c:v>
                </c:pt>
                <c:pt idx="173">
                  <c:v>15928</c:v>
                </c:pt>
                <c:pt idx="174">
                  <c:v>14448</c:v>
                </c:pt>
                <c:pt idx="175">
                  <c:v>13890</c:v>
                </c:pt>
                <c:pt idx="176">
                  <c:v>13481</c:v>
                </c:pt>
                <c:pt idx="177">
                  <c:v>12666</c:v>
                </c:pt>
                <c:pt idx="178">
                  <c:v>12226</c:v>
                </c:pt>
                <c:pt idx="179">
                  <c:v>12031</c:v>
                </c:pt>
                <c:pt idx="180">
                  <c:v>11744</c:v>
                </c:pt>
                <c:pt idx="181">
                  <c:v>11306</c:v>
                </c:pt>
                <c:pt idx="182">
                  <c:v>11230</c:v>
                </c:pt>
                <c:pt idx="183">
                  <c:v>11360</c:v>
                </c:pt>
                <c:pt idx="184">
                  <c:v>11388</c:v>
                </c:pt>
                <c:pt idx="185">
                  <c:v>11594</c:v>
                </c:pt>
                <c:pt idx="186">
                  <c:v>11747</c:v>
                </c:pt>
                <c:pt idx="187">
                  <c:v>12188</c:v>
                </c:pt>
                <c:pt idx="188">
                  <c:v>12646</c:v>
                </c:pt>
                <c:pt idx="189">
                  <c:v>13087</c:v>
                </c:pt>
                <c:pt idx="190">
                  <c:v>13412</c:v>
                </c:pt>
                <c:pt idx="191">
                  <c:v>13769</c:v>
                </c:pt>
                <c:pt idx="192">
                  <c:v>14283</c:v>
                </c:pt>
                <c:pt idx="193">
                  <c:v>15265</c:v>
                </c:pt>
                <c:pt idx="194">
                  <c:v>16231</c:v>
                </c:pt>
                <c:pt idx="195">
                  <c:v>16995</c:v>
                </c:pt>
                <c:pt idx="196">
                  <c:v>17770</c:v>
                </c:pt>
                <c:pt idx="197">
                  <c:v>18525</c:v>
                </c:pt>
                <c:pt idx="198">
                  <c:v>19307</c:v>
                </c:pt>
                <c:pt idx="199">
                  <c:v>20538</c:v>
                </c:pt>
                <c:pt idx="200">
                  <c:v>21851</c:v>
                </c:pt>
                <c:pt idx="201">
                  <c:v>23328</c:v>
                </c:pt>
                <c:pt idx="202">
                  <c:v>24442</c:v>
                </c:pt>
                <c:pt idx="203">
                  <c:v>25870</c:v>
                </c:pt>
                <c:pt idx="204">
                  <c:v>27442</c:v>
                </c:pt>
                <c:pt idx="205">
                  <c:v>29182</c:v>
                </c:pt>
                <c:pt idx="206">
                  <c:v>32242</c:v>
                </c:pt>
                <c:pt idx="207">
                  <c:v>35544</c:v>
                </c:pt>
                <c:pt idx="208">
                  <c:v>39684</c:v>
                </c:pt>
                <c:pt idx="209">
                  <c:v>42511</c:v>
                </c:pt>
                <c:pt idx="210">
                  <c:v>45971</c:v>
                </c:pt>
                <c:pt idx="211">
                  <c:v>50173</c:v>
                </c:pt>
                <c:pt idx="212">
                  <c:v>54740</c:v>
                </c:pt>
                <c:pt idx="213">
                  <c:v>61007</c:v>
                </c:pt>
                <c:pt idx="214">
                  <c:v>66395</c:v>
                </c:pt>
                <c:pt idx="215">
                  <c:v>73544</c:v>
                </c:pt>
                <c:pt idx="216">
                  <c:v>79542</c:v>
                </c:pt>
                <c:pt idx="217">
                  <c:v>85620</c:v>
                </c:pt>
                <c:pt idx="218">
                  <c:v>92862</c:v>
                </c:pt>
                <c:pt idx="219">
                  <c:v>99844</c:v>
                </c:pt>
                <c:pt idx="220">
                  <c:v>108463</c:v>
                </c:pt>
                <c:pt idx="221">
                  <c:v>119054</c:v>
                </c:pt>
                <c:pt idx="222">
                  <c:v>128252</c:v>
                </c:pt>
                <c:pt idx="223">
                  <c:v>136632</c:v>
                </c:pt>
                <c:pt idx="224">
                  <c:v>144145</c:v>
                </c:pt>
                <c:pt idx="225">
                  <c:v>156378</c:v>
                </c:pt>
                <c:pt idx="226">
                  <c:v>170697</c:v>
                </c:pt>
                <c:pt idx="227">
                  <c:v>184789</c:v>
                </c:pt>
                <c:pt idx="228">
                  <c:v>200759</c:v>
                </c:pt>
                <c:pt idx="229">
                  <c:v>216820</c:v>
                </c:pt>
                <c:pt idx="230">
                  <c:v>227524</c:v>
                </c:pt>
                <c:pt idx="231">
                  <c:v>235192</c:v>
                </c:pt>
                <c:pt idx="232">
                  <c:v>248756</c:v>
                </c:pt>
                <c:pt idx="233">
                  <c:v>264102</c:v>
                </c:pt>
                <c:pt idx="234">
                  <c:v>282157</c:v>
                </c:pt>
                <c:pt idx="235">
                  <c:v>297804</c:v>
                </c:pt>
                <c:pt idx="236">
                  <c:v>313495</c:v>
                </c:pt>
                <c:pt idx="237">
                  <c:v>329191</c:v>
                </c:pt>
                <c:pt idx="238">
                  <c:v>340723</c:v>
                </c:pt>
                <c:pt idx="239">
                  <c:v>354557</c:v>
                </c:pt>
                <c:pt idx="240">
                  <c:v>367135</c:v>
                </c:pt>
                <c:pt idx="241">
                  <c:v>378069</c:v>
                </c:pt>
                <c:pt idx="242">
                  <c:v>388470</c:v>
                </c:pt>
                <c:pt idx="243">
                  <c:v>398858</c:v>
                </c:pt>
                <c:pt idx="244">
                  <c:v>407841</c:v>
                </c:pt>
                <c:pt idx="245">
                  <c:v>417275</c:v>
                </c:pt>
                <c:pt idx="246">
                  <c:v>417810</c:v>
                </c:pt>
                <c:pt idx="247">
                  <c:v>418589</c:v>
                </c:pt>
                <c:pt idx="248">
                  <c:v>422824</c:v>
                </c:pt>
                <c:pt idx="249">
                  <c:v>424748</c:v>
                </c:pt>
                <c:pt idx="250">
                  <c:v>423112</c:v>
                </c:pt>
                <c:pt idx="251">
                  <c:v>423742</c:v>
                </c:pt>
                <c:pt idx="252">
                  <c:v>423691</c:v>
                </c:pt>
                <c:pt idx="253">
                  <c:v>440035</c:v>
                </c:pt>
                <c:pt idx="254">
                  <c:v>439913</c:v>
                </c:pt>
                <c:pt idx="255">
                  <c:v>430678</c:v>
                </c:pt>
                <c:pt idx="256">
                  <c:v>425392</c:v>
                </c:pt>
                <c:pt idx="257">
                  <c:v>418334</c:v>
                </c:pt>
                <c:pt idx="258">
                  <c:v>408378</c:v>
                </c:pt>
                <c:pt idx="259">
                  <c:v>395905</c:v>
                </c:pt>
                <c:pt idx="260">
                  <c:v>384486</c:v>
                </c:pt>
                <c:pt idx="261">
                  <c:v>372341</c:v>
                </c:pt>
                <c:pt idx="262">
                  <c:v>362979</c:v>
                </c:pt>
                <c:pt idx="263">
                  <c:v>355834</c:v>
                </c:pt>
                <c:pt idx="264">
                  <c:v>346265</c:v>
                </c:pt>
                <c:pt idx="265">
                  <c:v>336403</c:v>
                </c:pt>
                <c:pt idx="266">
                  <c:v>325008</c:v>
                </c:pt>
                <c:pt idx="267">
                  <c:v>316510</c:v>
                </c:pt>
                <c:pt idx="268">
                  <c:v>298714</c:v>
                </c:pt>
                <c:pt idx="269">
                  <c:v>288115</c:v>
                </c:pt>
                <c:pt idx="270">
                  <c:v>277444</c:v>
                </c:pt>
                <c:pt idx="271">
                  <c:v>263254</c:v>
                </c:pt>
                <c:pt idx="272">
                  <c:v>253689</c:v>
                </c:pt>
                <c:pt idx="273">
                  <c:v>248229</c:v>
                </c:pt>
                <c:pt idx="274">
                  <c:v>244194</c:v>
                </c:pt>
                <c:pt idx="275">
                  <c:v>243141</c:v>
                </c:pt>
                <c:pt idx="276">
                  <c:v>243964</c:v>
                </c:pt>
                <c:pt idx="277">
                  <c:v>242324</c:v>
                </c:pt>
                <c:pt idx="278">
                  <c:v>240961</c:v>
                </c:pt>
                <c:pt idx="279">
                  <c:v>238839</c:v>
                </c:pt>
                <c:pt idx="280">
                  <c:v>1177135</c:v>
                </c:pt>
                <c:pt idx="281">
                  <c:v>1177135</c:v>
                </c:pt>
                <c:pt idx="282">
                  <c:v>1177135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7F4-41BB-8BE6-6E5E9CC91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21500"/>
        <c:axId val="1476833246"/>
      </c:lineChart>
      <c:lineChart>
        <c:grouping val="standard"/>
        <c:varyColors val="0"/>
        <c:ser>
          <c:idx val="1"/>
          <c:order val="1"/>
          <c:tx>
            <c:v>Aktywne modelowe</c:v>
          </c:tx>
          <c:spPr>
            <a:ln w="19050" cmpd="sng">
              <a:solidFill>
                <a:srgbClr val="FF0000"/>
              </a:solidFill>
            </a:ln>
          </c:spPr>
          <c:marker>
            <c:symbol val="none"/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E7F4-41BB-8BE6-6E5E9CC9159E}"/>
              </c:ext>
            </c:extLst>
          </c:dPt>
          <c:cat>
            <c:strRef>
              <c:f>'R(t) Polska'!$B$16:$B$1000</c:f>
              <c:strCache>
                <c:ptCount val="283"/>
                <c:pt idx="180">
                  <c:v>12.09.2020</c:v>
                </c:pt>
                <c:pt idx="181">
                  <c:v>13.09.2020</c:v>
                </c:pt>
                <c:pt idx="182">
                  <c:v>14.09.2020</c:v>
                </c:pt>
                <c:pt idx="183">
                  <c:v>15.09.2020</c:v>
                </c:pt>
                <c:pt idx="184">
                  <c:v>16.09.2020</c:v>
                </c:pt>
                <c:pt idx="185">
                  <c:v>17.09.2020</c:v>
                </c:pt>
                <c:pt idx="186">
                  <c:v>18.09.2020</c:v>
                </c:pt>
                <c:pt idx="187">
                  <c:v>19.09.2020</c:v>
                </c:pt>
                <c:pt idx="188">
                  <c:v>20.09.2020</c:v>
                </c:pt>
                <c:pt idx="189">
                  <c:v>21.09.2020</c:v>
                </c:pt>
                <c:pt idx="190">
                  <c:v>22.09.2020</c:v>
                </c:pt>
                <c:pt idx="191">
                  <c:v>23.09.2020</c:v>
                </c:pt>
                <c:pt idx="192">
                  <c:v>24.09.2020</c:v>
                </c:pt>
                <c:pt idx="193">
                  <c:v>25.09.2020</c:v>
                </c:pt>
                <c:pt idx="194">
                  <c:v>26.09.2020</c:v>
                </c:pt>
                <c:pt idx="195">
                  <c:v>27.09.2020</c:v>
                </c:pt>
                <c:pt idx="196">
                  <c:v>28.09.2020</c:v>
                </c:pt>
                <c:pt idx="197">
                  <c:v>29.09.2020</c:v>
                </c:pt>
                <c:pt idx="198">
                  <c:v>30.09.2020</c:v>
                </c:pt>
                <c:pt idx="199">
                  <c:v>01.10.2020</c:v>
                </c:pt>
                <c:pt idx="200">
                  <c:v>02.10.2020</c:v>
                </c:pt>
                <c:pt idx="201">
                  <c:v>03.10.2020</c:v>
                </c:pt>
                <c:pt idx="202">
                  <c:v>04.10.2020</c:v>
                </c:pt>
                <c:pt idx="203">
                  <c:v>05.10.2020</c:v>
                </c:pt>
                <c:pt idx="204">
                  <c:v>06.10.2020</c:v>
                </c:pt>
                <c:pt idx="205">
                  <c:v>07.10.2020</c:v>
                </c:pt>
                <c:pt idx="206">
                  <c:v>08.10.2020</c:v>
                </c:pt>
                <c:pt idx="207">
                  <c:v>09.10.2020</c:v>
                </c:pt>
                <c:pt idx="208">
                  <c:v>10.10.2020</c:v>
                </c:pt>
                <c:pt idx="209">
                  <c:v>11.10.2020</c:v>
                </c:pt>
                <c:pt idx="210">
                  <c:v>12.10.2020</c:v>
                </c:pt>
                <c:pt idx="211">
                  <c:v>13.10.2020</c:v>
                </c:pt>
                <c:pt idx="212">
                  <c:v>14.10.2020</c:v>
                </c:pt>
                <c:pt idx="213">
                  <c:v>15.10.2020</c:v>
                </c:pt>
                <c:pt idx="214">
                  <c:v>16.10.2020</c:v>
                </c:pt>
                <c:pt idx="215">
                  <c:v>17.10.2020</c:v>
                </c:pt>
                <c:pt idx="216">
                  <c:v>18.10.2020</c:v>
                </c:pt>
                <c:pt idx="217">
                  <c:v>19.10.2020</c:v>
                </c:pt>
                <c:pt idx="218">
                  <c:v>20.10.2020</c:v>
                </c:pt>
                <c:pt idx="219">
                  <c:v>21.10.2020</c:v>
                </c:pt>
                <c:pt idx="220">
                  <c:v>22.10.2020</c:v>
                </c:pt>
                <c:pt idx="221">
                  <c:v>23.10.2020</c:v>
                </c:pt>
                <c:pt idx="222">
                  <c:v>24.10.2020</c:v>
                </c:pt>
                <c:pt idx="223">
                  <c:v>25.10.2020</c:v>
                </c:pt>
                <c:pt idx="224">
                  <c:v>26.10.2020</c:v>
                </c:pt>
                <c:pt idx="225">
                  <c:v>27.10.2020</c:v>
                </c:pt>
                <c:pt idx="226">
                  <c:v>28.10.2020</c:v>
                </c:pt>
                <c:pt idx="227">
                  <c:v>29.10.2020</c:v>
                </c:pt>
                <c:pt idx="228">
                  <c:v>30.10.2020</c:v>
                </c:pt>
                <c:pt idx="229">
                  <c:v>31.10.2020</c:v>
                </c:pt>
                <c:pt idx="230">
                  <c:v>01.11.2020</c:v>
                </c:pt>
                <c:pt idx="231">
                  <c:v>02.11.2020</c:v>
                </c:pt>
                <c:pt idx="232">
                  <c:v>03.11.2020</c:v>
                </c:pt>
                <c:pt idx="233">
                  <c:v>04.11.2020</c:v>
                </c:pt>
                <c:pt idx="234">
                  <c:v>05.11.2020</c:v>
                </c:pt>
                <c:pt idx="235">
                  <c:v>06.11.2020</c:v>
                </c:pt>
                <c:pt idx="236">
                  <c:v>07.11.2020</c:v>
                </c:pt>
                <c:pt idx="237">
                  <c:v>08.11.2020</c:v>
                </c:pt>
                <c:pt idx="238">
                  <c:v>09.11.2020</c:v>
                </c:pt>
                <c:pt idx="239">
                  <c:v>10.11.2020</c:v>
                </c:pt>
                <c:pt idx="240">
                  <c:v>11.11.2020</c:v>
                </c:pt>
                <c:pt idx="241">
                  <c:v>12.11.2020</c:v>
                </c:pt>
                <c:pt idx="242">
                  <c:v>13.11.2020</c:v>
                </c:pt>
                <c:pt idx="243">
                  <c:v>14.11.2020</c:v>
                </c:pt>
                <c:pt idx="244">
                  <c:v>15.11.2020</c:v>
                </c:pt>
                <c:pt idx="245">
                  <c:v>16.11.2020</c:v>
                </c:pt>
                <c:pt idx="246">
                  <c:v>17.11.2020</c:v>
                </c:pt>
                <c:pt idx="247">
                  <c:v>18.11.2020</c:v>
                </c:pt>
                <c:pt idx="248">
                  <c:v>19.11.2020</c:v>
                </c:pt>
                <c:pt idx="249">
                  <c:v>20.11.2020</c:v>
                </c:pt>
                <c:pt idx="250">
                  <c:v>21.11.2020</c:v>
                </c:pt>
                <c:pt idx="251">
                  <c:v>22.11.2020</c:v>
                </c:pt>
                <c:pt idx="252">
                  <c:v>23.11.2020</c:v>
                </c:pt>
                <c:pt idx="253">
                  <c:v>24.11.2020</c:v>
                </c:pt>
                <c:pt idx="254">
                  <c:v>25.11.2020</c:v>
                </c:pt>
                <c:pt idx="255">
                  <c:v>26.11.2020</c:v>
                </c:pt>
                <c:pt idx="256">
                  <c:v>27.11.2020</c:v>
                </c:pt>
                <c:pt idx="257">
                  <c:v>28.11.2020</c:v>
                </c:pt>
                <c:pt idx="258">
                  <c:v>29.11.2020</c:v>
                </c:pt>
                <c:pt idx="259">
                  <c:v>30.11.2020</c:v>
                </c:pt>
                <c:pt idx="260">
                  <c:v>01.12.2020</c:v>
                </c:pt>
                <c:pt idx="261">
                  <c:v>02.12.2020</c:v>
                </c:pt>
                <c:pt idx="262">
                  <c:v>03.12.2020</c:v>
                </c:pt>
                <c:pt idx="263">
                  <c:v>04.12.2020</c:v>
                </c:pt>
                <c:pt idx="264">
                  <c:v>05.12.2020</c:v>
                </c:pt>
                <c:pt idx="265">
                  <c:v>06.12.2020</c:v>
                </c:pt>
                <c:pt idx="266">
                  <c:v>07.12.2020</c:v>
                </c:pt>
                <c:pt idx="267">
                  <c:v>08.12.2020</c:v>
                </c:pt>
                <c:pt idx="268">
                  <c:v>09.12.2020</c:v>
                </c:pt>
                <c:pt idx="269">
                  <c:v>10.12.2020</c:v>
                </c:pt>
                <c:pt idx="270">
                  <c:v>11.12.2020</c:v>
                </c:pt>
                <c:pt idx="271">
                  <c:v>12.12.2020</c:v>
                </c:pt>
                <c:pt idx="272">
                  <c:v>13.12.2020</c:v>
                </c:pt>
                <c:pt idx="273">
                  <c:v>14.12.2020</c:v>
                </c:pt>
                <c:pt idx="274">
                  <c:v>15.12.2020</c:v>
                </c:pt>
                <c:pt idx="275">
                  <c:v>16.12.2020</c:v>
                </c:pt>
                <c:pt idx="276">
                  <c:v>17.12.2020</c:v>
                </c:pt>
                <c:pt idx="277">
                  <c:v>18.12.2020</c:v>
                </c:pt>
                <c:pt idx="278">
                  <c:v>19.12.2020</c:v>
                </c:pt>
                <c:pt idx="279">
                  <c:v>20.12.2020</c:v>
                </c:pt>
                <c:pt idx="280">
                  <c:v>#LICZBA!</c:v>
                </c:pt>
                <c:pt idx="281">
                  <c:v>#LICZBA!</c:v>
                </c:pt>
                <c:pt idx="282">
                  <c:v>#LICZBA!</c:v>
                </c:pt>
              </c:strCache>
            </c:strRef>
          </c:cat>
          <c:val>
            <c:numRef>
              <c:f>'R(t) Polska'!$O$16:$O$1000</c:f>
              <c:numCache>
                <c:formatCode>General</c:formatCode>
                <c:ptCount val="985"/>
                <c:pt idx="0">
                  <c:v>139.2711370262391</c:v>
                </c:pt>
                <c:pt idx="1">
                  <c:v>180.37526030820496</c:v>
                </c:pt>
                <c:pt idx="2">
                  <c:v>203.60736597846142</c:v>
                </c:pt>
                <c:pt idx="3">
                  <c:v>242.52059941010981</c:v>
                </c:pt>
                <c:pt idx="4">
                  <c:v>277.87479949437989</c:v>
                </c:pt>
                <c:pt idx="5">
                  <c:v>349.17839956661135</c:v>
                </c:pt>
                <c:pt idx="6">
                  <c:v>397.29577105709546</c:v>
                </c:pt>
                <c:pt idx="7">
                  <c:v>455.53923233465326</c:v>
                </c:pt>
                <c:pt idx="8">
                  <c:v>542.46219914398853</c:v>
                </c:pt>
                <c:pt idx="9">
                  <c:v>614.9675992662759</c:v>
                </c:pt>
                <c:pt idx="10">
                  <c:v>697.11508508537941</c:v>
                </c:pt>
                <c:pt idx="11">
                  <c:v>765.52721578746809</c:v>
                </c:pt>
                <c:pt idx="12">
                  <c:v>905.16618496068702</c:v>
                </c:pt>
                <c:pt idx="13">
                  <c:v>999.85672996630319</c:v>
                </c:pt>
                <c:pt idx="14">
                  <c:v>1050.0200542568314</c:v>
                </c:pt>
                <c:pt idx="15">
                  <c:v>1156.0171893629984</c:v>
                </c:pt>
                <c:pt idx="16">
                  <c:v>1233.8718765968558</c:v>
                </c:pt>
                <c:pt idx="17">
                  <c:v>1449.6044656544479</c:v>
                </c:pt>
                <c:pt idx="18">
                  <c:v>1679.5181134180984</c:v>
                </c:pt>
                <c:pt idx="19">
                  <c:v>1683.5869543583701</c:v>
                </c:pt>
                <c:pt idx="20">
                  <c:v>1918.0745323071744</c:v>
                </c:pt>
                <c:pt idx="21">
                  <c:v>1955.063884834721</c:v>
                </c:pt>
                <c:pt idx="22">
                  <c:v>2110.7690441440463</c:v>
                </c:pt>
                <c:pt idx="23">
                  <c:v>2166.2306092663257</c:v>
                </c:pt>
                <c:pt idx="24">
                  <c:v>2226.7690936568506</c:v>
                </c:pt>
                <c:pt idx="25">
                  <c:v>2288.6592231344434</c:v>
                </c:pt>
                <c:pt idx="26">
                  <c:v>2362.7079055438089</c:v>
                </c:pt>
                <c:pt idx="27">
                  <c:v>2343.1782047518363</c:v>
                </c:pt>
                <c:pt idx="28">
                  <c:v>2266.4384612158601</c:v>
                </c:pt>
                <c:pt idx="29">
                  <c:v>2212.6615381850233</c:v>
                </c:pt>
                <c:pt idx="30">
                  <c:v>2276.5670327300204</c:v>
                </c:pt>
                <c:pt idx="31">
                  <c:v>2287.3431709114461</c:v>
                </c:pt>
                <c:pt idx="32">
                  <c:v>2417.5798607812394</c:v>
                </c:pt>
                <c:pt idx="33">
                  <c:v>2406.2113092410623</c:v>
                </c:pt>
                <c:pt idx="34">
                  <c:v>2577.4668364923391</c:v>
                </c:pt>
                <c:pt idx="35">
                  <c:v>2515.2572884220053</c:v>
                </c:pt>
                <c:pt idx="36">
                  <c:v>2418.9348186474331</c:v>
                </c:pt>
                <c:pt idx="37">
                  <c:v>2386.3727016978</c:v>
                </c:pt>
                <c:pt idx="38">
                  <c:v>2387.4623157409715</c:v>
                </c:pt>
                <c:pt idx="39">
                  <c:v>2427.3962706351185</c:v>
                </c:pt>
                <c:pt idx="40">
                  <c:v>2461.6253748301019</c:v>
                </c:pt>
                <c:pt idx="41">
                  <c:v>2453.9646069972305</c:v>
                </c:pt>
                <c:pt idx="42">
                  <c:v>2388.3982345690547</c:v>
                </c:pt>
                <c:pt idx="43">
                  <c:v>2363.1984867734755</c:v>
                </c:pt>
                <c:pt idx="44">
                  <c:v>2447.5987029486932</c:v>
                </c:pt>
                <c:pt idx="45">
                  <c:v>2397.9417453845945</c:v>
                </c:pt>
                <c:pt idx="46">
                  <c:v>2283.3786389010811</c:v>
                </c:pt>
                <c:pt idx="47">
                  <c:v>2227.1816904866409</c:v>
                </c:pt>
                <c:pt idx="48">
                  <c:v>2227.0128775599778</c:v>
                </c:pt>
                <c:pt idx="49">
                  <c:v>2221.8681807656953</c:v>
                </c:pt>
                <c:pt idx="50">
                  <c:v>2310.4584406563104</c:v>
                </c:pt>
                <c:pt idx="51">
                  <c:v>2291.3929491339804</c:v>
                </c:pt>
                <c:pt idx="52">
                  <c:v>2267.0510992576974</c:v>
                </c:pt>
                <c:pt idx="53">
                  <c:v>2280.186656506598</c:v>
                </c:pt>
                <c:pt idx="54">
                  <c:v>2242.445705577084</c:v>
                </c:pt>
                <c:pt idx="55">
                  <c:v>2267.0963190660723</c:v>
                </c:pt>
                <c:pt idx="56">
                  <c:v>2273.2254163423477</c:v>
                </c:pt>
                <c:pt idx="57">
                  <c:v>2504.4789282934407</c:v>
                </c:pt>
                <c:pt idx="58">
                  <c:v>2468.6962242515206</c:v>
                </c:pt>
                <c:pt idx="59">
                  <c:v>2527.0253350727321</c:v>
                </c:pt>
                <c:pt idx="60">
                  <c:v>2567.0217157766278</c:v>
                </c:pt>
                <c:pt idx="61">
                  <c:v>2441.3043278085383</c:v>
                </c:pt>
                <c:pt idx="62">
                  <c:v>2364.5465666930331</c:v>
                </c:pt>
                <c:pt idx="63">
                  <c:v>2382.7542000225999</c:v>
                </c:pt>
                <c:pt idx="64">
                  <c:v>2424.3607428765145</c:v>
                </c:pt>
                <c:pt idx="65">
                  <c:v>2549.0234938941553</c:v>
                </c:pt>
                <c:pt idx="66">
                  <c:v>2587.8772804807045</c:v>
                </c:pt>
                <c:pt idx="67">
                  <c:v>2689.1805261263185</c:v>
                </c:pt>
                <c:pt idx="68">
                  <c:v>2620.0118795368444</c:v>
                </c:pt>
                <c:pt idx="69">
                  <c:v>2606.7244681744382</c:v>
                </c:pt>
                <c:pt idx="70">
                  <c:v>2575.3352584352328</c:v>
                </c:pt>
                <c:pt idx="71">
                  <c:v>2650.4302215159141</c:v>
                </c:pt>
                <c:pt idx="72">
                  <c:v>2668.7973327279265</c:v>
                </c:pt>
                <c:pt idx="73">
                  <c:v>2639.5405709096513</c:v>
                </c:pt>
                <c:pt idx="74">
                  <c:v>2594.463346493987</c:v>
                </c:pt>
                <c:pt idx="75">
                  <c:v>2635.8257255662747</c:v>
                </c:pt>
                <c:pt idx="76">
                  <c:v>2478.2791933425215</c:v>
                </c:pt>
                <c:pt idx="77">
                  <c:v>2499.2393085793042</c:v>
                </c:pt>
                <c:pt idx="78">
                  <c:v>2378.2051216394038</c:v>
                </c:pt>
                <c:pt idx="79">
                  <c:v>2330.461532833775</c:v>
                </c:pt>
                <c:pt idx="80">
                  <c:v>2358.5384567146643</c:v>
                </c:pt>
                <c:pt idx="81">
                  <c:v>2383.6043914697125</c:v>
                </c:pt>
                <c:pt idx="82">
                  <c:v>2619.0894784026109</c:v>
                </c:pt>
                <c:pt idx="83">
                  <c:v>2819.9338386308095</c:v>
                </c:pt>
                <c:pt idx="84">
                  <c:v>3016.0861473978371</c:v>
                </c:pt>
                <c:pt idx="85">
                  <c:v>2985.2166977695747</c:v>
                </c:pt>
                <c:pt idx="86">
                  <c:v>2840.7571695167785</c:v>
                </c:pt>
                <c:pt idx="87">
                  <c:v>2793.9347167286674</c:v>
                </c:pt>
                <c:pt idx="88">
                  <c:v>2770.8011857674292</c:v>
                </c:pt>
                <c:pt idx="89">
                  <c:v>2814.9724449435107</c:v>
                </c:pt>
                <c:pt idx="90">
                  <c:v>2787.833524237295</c:v>
                </c:pt>
                <c:pt idx="91">
                  <c:v>2785.571592203396</c:v>
                </c:pt>
                <c:pt idx="92">
                  <c:v>2794.632793317197</c:v>
                </c:pt>
                <c:pt idx="93">
                  <c:v>2845.3995371290262</c:v>
                </c:pt>
                <c:pt idx="94">
                  <c:v>2752.913888967737</c:v>
                </c:pt>
                <c:pt idx="95">
                  <c:v>2711.6404762580605</c:v>
                </c:pt>
                <c:pt idx="96">
                  <c:v>2633.2632653640521</c:v>
                </c:pt>
                <c:pt idx="97">
                  <c:v>2568.0827988834735</c:v>
                </c:pt>
                <c:pt idx="98">
                  <c:v>2497.213827614406</c:v>
                </c:pt>
                <c:pt idx="99">
                  <c:v>2440.4689950980624</c:v>
                </c:pt>
                <c:pt idx="100">
                  <c:v>2385.8305672269107</c:v>
                </c:pt>
                <c:pt idx="101">
                  <c:v>2333.9976290516379</c:v>
                </c:pt>
                <c:pt idx="102">
                  <c:v>2285.5693963299755</c:v>
                </c:pt>
                <c:pt idx="103">
                  <c:v>2278.0594825685503</c:v>
                </c:pt>
                <c:pt idx="104">
                  <c:v>2145.6224136301862</c:v>
                </c:pt>
                <c:pt idx="105">
                  <c:v>2086.1049259687311</c:v>
                </c:pt>
                <c:pt idx="106">
                  <c:v>2027.0899365446269</c:v>
                </c:pt>
                <c:pt idx="107">
                  <c:v>2119.5056598953943</c:v>
                </c:pt>
                <c:pt idx="108">
                  <c:v>2187.7191370531955</c:v>
                </c:pt>
                <c:pt idx="109">
                  <c:v>2134.1878317598821</c:v>
                </c:pt>
                <c:pt idx="110">
                  <c:v>2143.3038557941845</c:v>
                </c:pt>
                <c:pt idx="111">
                  <c:v>2068.1175906807298</c:v>
                </c:pt>
                <c:pt idx="112">
                  <c:v>1977.6722205834828</c:v>
                </c:pt>
                <c:pt idx="113">
                  <c:v>1952.1476176429853</c:v>
                </c:pt>
                <c:pt idx="114">
                  <c:v>1950.2693865511303</c:v>
                </c:pt>
                <c:pt idx="115">
                  <c:v>1933.6594741866832</c:v>
                </c:pt>
                <c:pt idx="116">
                  <c:v>1922.4224064457285</c:v>
                </c:pt>
                <c:pt idx="117">
                  <c:v>1952.7906340963389</c:v>
                </c:pt>
                <c:pt idx="118">
                  <c:v>2043.8205435111477</c:v>
                </c:pt>
                <c:pt idx="119">
                  <c:v>2050.8461801524127</c:v>
                </c:pt>
                <c:pt idx="120">
                  <c:v>2024.8681544163539</c:v>
                </c:pt>
                <c:pt idx="121">
                  <c:v>1999.6012752140177</c:v>
                </c:pt>
                <c:pt idx="122">
                  <c:v>2046.9439501834438</c:v>
                </c:pt>
                <c:pt idx="123">
                  <c:v>2107.5233858715237</c:v>
                </c:pt>
                <c:pt idx="124">
                  <c:v>2145.4486164613063</c:v>
                </c:pt>
                <c:pt idx="125">
                  <c:v>2196.955956966834</c:v>
                </c:pt>
                <c:pt idx="126">
                  <c:v>2162.1051059715719</c:v>
                </c:pt>
                <c:pt idx="127">
                  <c:v>2252.2329479756331</c:v>
                </c:pt>
                <c:pt idx="128">
                  <c:v>2310.485383979114</c:v>
                </c:pt>
                <c:pt idx="129">
                  <c:v>2398.4160434106693</c:v>
                </c:pt>
                <c:pt idx="130">
                  <c:v>2513.7851800662879</c:v>
                </c:pt>
                <c:pt idx="131">
                  <c:v>2738.6730114853899</c:v>
                </c:pt>
                <c:pt idx="132">
                  <c:v>2790.43400984462</c:v>
                </c:pt>
                <c:pt idx="133">
                  <c:v>2728.8005798668173</c:v>
                </c:pt>
                <c:pt idx="134">
                  <c:v>2840.9719256001295</c:v>
                </c:pt>
                <c:pt idx="135">
                  <c:v>2947.1187933715396</c:v>
                </c:pt>
                <c:pt idx="136">
                  <c:v>3141.1018228898911</c:v>
                </c:pt>
                <c:pt idx="137">
                  <c:v>3349.3729910484781</c:v>
                </c:pt>
                <c:pt idx="138">
                  <c:v>3528.8911351844099</c:v>
                </c:pt>
                <c:pt idx="139">
                  <c:v>3572.763830158066</c:v>
                </c:pt>
                <c:pt idx="140">
                  <c:v>3637.3689972783422</c:v>
                </c:pt>
                <c:pt idx="141">
                  <c:v>3797.7448548100078</c:v>
                </c:pt>
                <c:pt idx="142">
                  <c:v>3895.2098755514357</c:v>
                </c:pt>
                <c:pt idx="143">
                  <c:v>4064.7513219012308</c:v>
                </c:pt>
                <c:pt idx="144">
                  <c:v>4293.0725616296268</c:v>
                </c:pt>
                <c:pt idx="145">
                  <c:v>4522.7764813968233</c:v>
                </c:pt>
                <c:pt idx="146">
                  <c:v>4500.6655554829922</c:v>
                </c:pt>
                <c:pt idx="147">
                  <c:v>4476.7133332711364</c:v>
                </c:pt>
                <c:pt idx="148">
                  <c:v>4388.1828570895459</c:v>
                </c:pt>
                <c:pt idx="149">
                  <c:v>4476.2995917910393</c:v>
                </c:pt>
                <c:pt idx="150">
                  <c:v>4647.8282215351774</c:v>
                </c:pt>
                <c:pt idx="151">
                  <c:v>4815.8527613158667</c:v>
                </c:pt>
                <c:pt idx="152">
                  <c:v>4898.8737954136004</c:v>
                </c:pt>
                <c:pt idx="153">
                  <c:v>4793.0346817830859</c:v>
                </c:pt>
                <c:pt idx="154">
                  <c:v>4703.3154415283598</c:v>
                </c:pt>
                <c:pt idx="155">
                  <c:v>4628.4132355957372</c:v>
                </c:pt>
                <c:pt idx="156">
                  <c:v>4702.2113447963466</c:v>
                </c:pt>
                <c:pt idx="157">
                  <c:v>4797.4668669682978</c:v>
                </c:pt>
                <c:pt idx="158">
                  <c:v>5015.1144574013988</c:v>
                </c:pt>
                <c:pt idx="159">
                  <c:v>5198.6695349154852</c:v>
                </c:pt>
                <c:pt idx="160">
                  <c:v>5037.0024584989878</c:v>
                </c:pt>
                <c:pt idx="161">
                  <c:v>4865.4306787134183</c:v>
                </c:pt>
                <c:pt idx="162">
                  <c:v>4933.3691531829299</c:v>
                </c:pt>
                <c:pt idx="163">
                  <c:v>4957.6021312996545</c:v>
                </c:pt>
                <c:pt idx="164">
                  <c:v>5136.3732553997042</c:v>
                </c:pt>
                <c:pt idx="165">
                  <c:v>5193.6056474854613</c:v>
                </c:pt>
                <c:pt idx="166">
                  <c:v>5210.6619835589672</c:v>
                </c:pt>
                <c:pt idx="167">
                  <c:v>5097.2817001934009</c:v>
                </c:pt>
                <c:pt idx="168">
                  <c:v>4871.098600165772</c:v>
                </c:pt>
                <c:pt idx="169">
                  <c:v>4725.2273715706624</c:v>
                </c:pt>
                <c:pt idx="170">
                  <c:v>4645.1948899177114</c:v>
                </c:pt>
                <c:pt idx="171">
                  <c:v>4593.5956199294669</c:v>
                </c:pt>
                <c:pt idx="172">
                  <c:v>4628.3676742252574</c:v>
                </c:pt>
                <c:pt idx="173">
                  <c:v>4534.1722921930777</c:v>
                </c:pt>
                <c:pt idx="174">
                  <c:v>4323.4333933083526</c:v>
                </c:pt>
                <c:pt idx="175">
                  <c:v>4007.8000514071596</c:v>
                </c:pt>
                <c:pt idx="176">
                  <c:v>3835.2571869204226</c:v>
                </c:pt>
                <c:pt idx="177">
                  <c:v>3708.3633030746482</c:v>
                </c:pt>
                <c:pt idx="178">
                  <c:v>3684.5971169211275</c:v>
                </c:pt>
                <c:pt idx="179">
                  <c:v>3752.2261002181094</c:v>
                </c:pt>
                <c:pt idx="180">
                  <c:v>3819.1938001869512</c:v>
                </c:pt>
                <c:pt idx="181">
                  <c:v>3775.5946858745297</c:v>
                </c:pt>
                <c:pt idx="182">
                  <c:v>3613.2240164638829</c:v>
                </c:pt>
                <c:pt idx="183">
                  <c:v>3702.0491569690425</c:v>
                </c:pt>
                <c:pt idx="184">
                  <c:v>3773.1849916877509</c:v>
                </c:pt>
                <c:pt idx="185">
                  <c:v>4071.1585643037865</c:v>
                </c:pt>
                <c:pt idx="186">
                  <c:v>4246.5644836889605</c:v>
                </c:pt>
                <c:pt idx="187">
                  <c:v>4641.912414590538</c:v>
                </c:pt>
                <c:pt idx="188">
                  <c:v>4888.7820696490326</c:v>
                </c:pt>
                <c:pt idx="189">
                  <c:v>4938.3846311277421</c:v>
                </c:pt>
                <c:pt idx="190">
                  <c:v>4943.9011123952077</c:v>
                </c:pt>
                <c:pt idx="191">
                  <c:v>5211.6295249101786</c:v>
                </c:pt>
                <c:pt idx="192">
                  <c:v>5603.1110213515822</c:v>
                </c:pt>
                <c:pt idx="193">
                  <c:v>6389.6665897299281</c:v>
                </c:pt>
                <c:pt idx="194">
                  <c:v>7060.8570769113676</c:v>
                </c:pt>
                <c:pt idx="195">
                  <c:v>7402.1632087811722</c:v>
                </c:pt>
                <c:pt idx="196">
                  <c:v>7650.7113218124341</c:v>
                </c:pt>
                <c:pt idx="197">
                  <c:v>7883.7525615535151</c:v>
                </c:pt>
                <c:pt idx="198">
                  <c:v>8309.5021956173005</c:v>
                </c:pt>
                <c:pt idx="199">
                  <c:v>9089.4304533862578</c:v>
                </c:pt>
                <c:pt idx="200">
                  <c:v>10082.940388616793</c:v>
                </c:pt>
                <c:pt idx="201">
                  <c:v>11009.520333100108</c:v>
                </c:pt>
                <c:pt idx="202">
                  <c:v>11370.731714085809</c:v>
                </c:pt>
                <c:pt idx="203">
                  <c:v>11752.341469216408</c:v>
                </c:pt>
                <c:pt idx="204">
                  <c:v>12309.435545042636</c:v>
                </c:pt>
                <c:pt idx="205">
                  <c:v>13553.944752893689</c:v>
                </c:pt>
                <c:pt idx="206">
                  <c:v>15897.666931051734</c:v>
                </c:pt>
                <c:pt idx="207">
                  <c:v>18365.571655187203</c:v>
                </c:pt>
                <c:pt idx="208">
                  <c:v>21041.918561589031</c:v>
                </c:pt>
                <c:pt idx="209">
                  <c:v>22213.930195647743</c:v>
                </c:pt>
                <c:pt idx="210">
                  <c:v>23434.511596269494</c:v>
                </c:pt>
                <c:pt idx="211">
                  <c:v>25154.724225373855</c:v>
                </c:pt>
                <c:pt idx="212">
                  <c:v>28087.192193177591</c:v>
                </c:pt>
                <c:pt idx="213">
                  <c:v>32173.736165580794</c:v>
                </c:pt>
                <c:pt idx="214">
                  <c:v>35282.488141926398</c:v>
                </c:pt>
                <c:pt idx="215">
                  <c:v>39864.132693079773</c:v>
                </c:pt>
                <c:pt idx="216">
                  <c:v>42705.256594068378</c:v>
                </c:pt>
                <c:pt idx="217">
                  <c:v>44086.505652058615</c:v>
                </c:pt>
                <c:pt idx="218">
                  <c:v>47079.433416050248</c:v>
                </c:pt>
                <c:pt idx="219">
                  <c:v>50393.800070900215</c:v>
                </c:pt>
                <c:pt idx="220">
                  <c:v>55301.685775057333</c:v>
                </c:pt>
                <c:pt idx="221">
                  <c:v>61033.444950049146</c:v>
                </c:pt>
                <c:pt idx="222">
                  <c:v>65942.381385756424</c:v>
                </c:pt>
                <c:pt idx="223">
                  <c:v>68264.041187791227</c:v>
                </c:pt>
                <c:pt idx="224">
                  <c:v>68753.03530382106</c:v>
                </c:pt>
                <c:pt idx="225">
                  <c:v>75231.173117560917</c:v>
                </c:pt>
                <c:pt idx="226">
                  <c:v>83303.862672195071</c:v>
                </c:pt>
                <c:pt idx="227">
                  <c:v>91559.310861881502</c:v>
                </c:pt>
                <c:pt idx="228">
                  <c:v>100108.40931018416</c:v>
                </c:pt>
                <c:pt idx="229">
                  <c:v>107704.20798015785</c:v>
                </c:pt>
                <c:pt idx="230">
                  <c:v>109488.89255442102</c:v>
                </c:pt>
                <c:pt idx="231">
                  <c:v>109425.62218950375</c:v>
                </c:pt>
                <c:pt idx="232">
                  <c:v>113157.39044814608</c:v>
                </c:pt>
                <c:pt idx="233">
                  <c:v>121684.04895555379</c:v>
                </c:pt>
                <c:pt idx="234">
                  <c:v>131443.6133904747</c:v>
                </c:pt>
                <c:pt idx="235">
                  <c:v>139751.95433469262</c:v>
                </c:pt>
                <c:pt idx="236">
                  <c:v>147662.38942973653</c:v>
                </c:pt>
                <c:pt idx="237">
                  <c:v>151352.7623683456</c:v>
                </c:pt>
                <c:pt idx="238">
                  <c:v>151443.93917286769</c:v>
                </c:pt>
                <c:pt idx="239">
                  <c:v>155263.09071960088</c:v>
                </c:pt>
                <c:pt idx="240">
                  <c:v>158303.64918822932</c:v>
                </c:pt>
                <c:pt idx="241">
                  <c:v>158371.84216133942</c:v>
                </c:pt>
                <c:pt idx="242">
                  <c:v>159798.29328114807</c:v>
                </c:pt>
                <c:pt idx="243">
                  <c:v>162540.9656695555</c:v>
                </c:pt>
                <c:pt idx="244">
                  <c:v>161174.82771676188</c:v>
                </c:pt>
                <c:pt idx="245">
                  <c:v>158965.85232865304</c:v>
                </c:pt>
                <c:pt idx="246">
                  <c:v>155408.44485313119</c:v>
                </c:pt>
                <c:pt idx="247">
                  <c:v>153090.23844554104</c:v>
                </c:pt>
                <c:pt idx="248">
                  <c:v>155195.20438189231</c:v>
                </c:pt>
                <c:pt idx="249">
                  <c:v>155488.46089876484</c:v>
                </c:pt>
                <c:pt idx="250">
                  <c:v>157488.82362751273</c:v>
                </c:pt>
                <c:pt idx="251">
                  <c:v>152846.42025215377</c:v>
                </c:pt>
                <c:pt idx="252">
                  <c:v>146013.21735898894</c:v>
                </c:pt>
                <c:pt idx="253">
                  <c:v>157887.18630770483</c:v>
                </c:pt>
                <c:pt idx="254">
                  <c:v>150693.87397803273</c:v>
                </c:pt>
                <c:pt idx="255">
                  <c:v>145853.17769545663</c:v>
                </c:pt>
                <c:pt idx="256">
                  <c:v>142077.00945324855</c:v>
                </c:pt>
                <c:pt idx="257">
                  <c:v>136958.2938170702</c:v>
                </c:pt>
                <c:pt idx="258">
                  <c:v>128875.82327177447</c:v>
                </c:pt>
                <c:pt idx="259">
                  <c:v>116197.9913758067</c:v>
                </c:pt>
                <c:pt idx="260">
                  <c:v>108703.27832212004</c:v>
                </c:pt>
                <c:pt idx="261">
                  <c:v>107029.23856181718</c:v>
                </c:pt>
                <c:pt idx="262">
                  <c:v>106577.34733870045</c:v>
                </c:pt>
                <c:pt idx="263">
                  <c:v>104591.01200460039</c:v>
                </c:pt>
                <c:pt idx="264">
                  <c:v>102079.43886108605</c:v>
                </c:pt>
                <c:pt idx="265">
                  <c:v>96672.6618809309</c:v>
                </c:pt>
                <c:pt idx="266">
                  <c:v>87285.281612226492</c:v>
                </c:pt>
                <c:pt idx="267">
                  <c:v>83127.955667622708</c:v>
                </c:pt>
                <c:pt idx="268">
                  <c:v>83420.533429390896</c:v>
                </c:pt>
                <c:pt idx="269">
                  <c:v>85252.314368049352</c:v>
                </c:pt>
                <c:pt idx="270">
                  <c:v>86183.41231547088</c:v>
                </c:pt>
                <c:pt idx="271">
                  <c:v>85368.496270403615</c:v>
                </c:pt>
                <c:pt idx="272">
                  <c:v>82149.996803203103</c:v>
                </c:pt>
                <c:pt idx="273">
                  <c:v>75310.282974174101</c:v>
                </c:pt>
                <c:pt idx="274">
                  <c:v>71458.671120720654</c:v>
                </c:pt>
                <c:pt idx="275">
                  <c:v>73704.28953204627</c:v>
                </c:pt>
                <c:pt idx="276">
                  <c:v>75128.105313182517</c:v>
                </c:pt>
                <c:pt idx="277">
                  <c:v>75408.518839870725</c:v>
                </c:pt>
                <c:pt idx="278">
                  <c:v>75902.873291317766</c:v>
                </c:pt>
                <c:pt idx="279">
                  <c:v>73653.605678272375</c:v>
                </c:pt>
                <c:pt idx="280">
                  <c:v>63131.662009947751</c:v>
                </c:pt>
                <c:pt idx="281">
                  <c:v>54112.853151383788</c:v>
                </c:pt>
                <c:pt idx="282">
                  <c:v>46382.445558328967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7F4-41BB-8BE6-6E5E9CC91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4144318"/>
        <c:axId val="2100941695"/>
      </c:lineChart>
      <c:catAx>
        <c:axId val="1890215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chemeClr val="dk1"/>
                    </a:solidFill>
                    <a:latin typeface="+mn-lt"/>
                  </a:defRPr>
                </a:pPr>
                <a:r>
                  <a:rPr lang="pl-PL" b="1" i="1">
                    <a:solidFill>
                      <a:schemeClr val="dk1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476833246"/>
        <c:crosses val="autoZero"/>
        <c:auto val="1"/>
        <c:lblAlgn val="ctr"/>
        <c:lblOffset val="100"/>
        <c:noMultiLvlLbl val="1"/>
      </c:catAx>
      <c:valAx>
        <c:axId val="14768332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FF00"/>
                    </a:solidFill>
                    <a:latin typeface="+mn-lt"/>
                  </a:defRPr>
                </a:pPr>
                <a:r>
                  <a:rPr lang="pl-PL" b="1" i="1">
                    <a:solidFill>
                      <a:srgbClr val="00FF00"/>
                    </a:solidFill>
                    <a:latin typeface="+mn-lt"/>
                  </a:rPr>
                  <a:t>Przypadki aktywne raportowane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89021500"/>
        <c:crosses val="autoZero"/>
        <c:crossBetween val="between"/>
      </c:valAx>
      <c:catAx>
        <c:axId val="119414431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00941695"/>
        <c:crosses val="autoZero"/>
        <c:auto val="1"/>
        <c:lblAlgn val="ctr"/>
        <c:lblOffset val="100"/>
        <c:noMultiLvlLbl val="1"/>
      </c:catAx>
      <c:valAx>
        <c:axId val="2100941695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lang="pl-PL" b="1" i="1">
                    <a:solidFill>
                      <a:srgbClr val="FF0000"/>
                    </a:solidFill>
                    <a:latin typeface="+mn-lt"/>
                  </a:rPr>
                  <a:t>Przypadki aktywne modelowe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19414431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b="1" i="0">
                <a:solidFill>
                  <a:srgbClr val="000000"/>
                </a:solidFill>
                <a:latin typeface="+mn-lt"/>
              </a:rPr>
              <a:t>COVID-19 CFR liczone z I oraz z 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CFR(R) D/(D+R)</c:v>
          </c:tx>
          <c:marker>
            <c:symbol val="none"/>
          </c:marker>
          <c:cat>
            <c:numRef>
              <c:f>'R(t) Polska'!$A$16:$A$1000</c:f>
              <c:numCache>
                <c:formatCode>dd\.mm\.yyyy</c:formatCode>
                <c:ptCount val="985"/>
                <c:pt idx="0">
                  <c:v>43906</c:v>
                </c:pt>
                <c:pt idx="1">
                  <c:v>43907</c:v>
                </c:pt>
                <c:pt idx="2">
                  <c:v>43908</c:v>
                </c:pt>
                <c:pt idx="3">
                  <c:v>43909</c:v>
                </c:pt>
                <c:pt idx="4">
                  <c:v>43910</c:v>
                </c:pt>
                <c:pt idx="5">
                  <c:v>43911</c:v>
                </c:pt>
                <c:pt idx="6">
                  <c:v>43912</c:v>
                </c:pt>
                <c:pt idx="7">
                  <c:v>43913</c:v>
                </c:pt>
                <c:pt idx="8">
                  <c:v>43914</c:v>
                </c:pt>
                <c:pt idx="9">
                  <c:v>43915</c:v>
                </c:pt>
                <c:pt idx="10">
                  <c:v>43916</c:v>
                </c:pt>
                <c:pt idx="11">
                  <c:v>43917</c:v>
                </c:pt>
                <c:pt idx="12">
                  <c:v>43918</c:v>
                </c:pt>
                <c:pt idx="13">
                  <c:v>43919</c:v>
                </c:pt>
                <c:pt idx="14">
                  <c:v>43920</c:v>
                </c:pt>
                <c:pt idx="15">
                  <c:v>43921</c:v>
                </c:pt>
                <c:pt idx="16">
                  <c:v>43922</c:v>
                </c:pt>
                <c:pt idx="17">
                  <c:v>43923</c:v>
                </c:pt>
                <c:pt idx="18">
                  <c:v>43924</c:v>
                </c:pt>
                <c:pt idx="19">
                  <c:v>43925</c:v>
                </c:pt>
                <c:pt idx="20">
                  <c:v>43926</c:v>
                </c:pt>
                <c:pt idx="21">
                  <c:v>43927</c:v>
                </c:pt>
                <c:pt idx="22">
                  <c:v>43928</c:v>
                </c:pt>
                <c:pt idx="23">
                  <c:v>43929</c:v>
                </c:pt>
                <c:pt idx="24">
                  <c:v>43930</c:v>
                </c:pt>
                <c:pt idx="25">
                  <c:v>43931</c:v>
                </c:pt>
                <c:pt idx="26">
                  <c:v>43932</c:v>
                </c:pt>
                <c:pt idx="27">
                  <c:v>43933</c:v>
                </c:pt>
                <c:pt idx="28">
                  <c:v>43934</c:v>
                </c:pt>
                <c:pt idx="29">
                  <c:v>43935</c:v>
                </c:pt>
                <c:pt idx="30">
                  <c:v>43936</c:v>
                </c:pt>
                <c:pt idx="31">
                  <c:v>43937</c:v>
                </c:pt>
                <c:pt idx="32">
                  <c:v>43938</c:v>
                </c:pt>
                <c:pt idx="33">
                  <c:v>43939</c:v>
                </c:pt>
                <c:pt idx="34">
                  <c:v>43940</c:v>
                </c:pt>
                <c:pt idx="35">
                  <c:v>43941</c:v>
                </c:pt>
                <c:pt idx="36">
                  <c:v>43942</c:v>
                </c:pt>
                <c:pt idx="37">
                  <c:v>43943</c:v>
                </c:pt>
                <c:pt idx="38">
                  <c:v>43944</c:v>
                </c:pt>
                <c:pt idx="39">
                  <c:v>43945</c:v>
                </c:pt>
                <c:pt idx="40">
                  <c:v>43946</c:v>
                </c:pt>
                <c:pt idx="41">
                  <c:v>43947</c:v>
                </c:pt>
                <c:pt idx="42">
                  <c:v>43948</c:v>
                </c:pt>
                <c:pt idx="43">
                  <c:v>43949</c:v>
                </c:pt>
                <c:pt idx="44">
                  <c:v>43950</c:v>
                </c:pt>
                <c:pt idx="45">
                  <c:v>43951</c:v>
                </c:pt>
                <c:pt idx="46">
                  <c:v>43952</c:v>
                </c:pt>
                <c:pt idx="47">
                  <c:v>43953</c:v>
                </c:pt>
                <c:pt idx="48">
                  <c:v>43954</c:v>
                </c:pt>
                <c:pt idx="49">
                  <c:v>43955</c:v>
                </c:pt>
                <c:pt idx="50">
                  <c:v>43956</c:v>
                </c:pt>
                <c:pt idx="51">
                  <c:v>43957</c:v>
                </c:pt>
                <c:pt idx="52">
                  <c:v>43958</c:v>
                </c:pt>
                <c:pt idx="53">
                  <c:v>43959</c:v>
                </c:pt>
                <c:pt idx="54">
                  <c:v>43960</c:v>
                </c:pt>
                <c:pt idx="55">
                  <c:v>43961</c:v>
                </c:pt>
                <c:pt idx="56">
                  <c:v>43962</c:v>
                </c:pt>
                <c:pt idx="57">
                  <c:v>43963</c:v>
                </c:pt>
                <c:pt idx="58">
                  <c:v>43964</c:v>
                </c:pt>
                <c:pt idx="59">
                  <c:v>43965</c:v>
                </c:pt>
                <c:pt idx="60">
                  <c:v>43966</c:v>
                </c:pt>
                <c:pt idx="61">
                  <c:v>43967</c:v>
                </c:pt>
                <c:pt idx="62">
                  <c:v>43968</c:v>
                </c:pt>
                <c:pt idx="63">
                  <c:v>43969</c:v>
                </c:pt>
                <c:pt idx="64">
                  <c:v>43970</c:v>
                </c:pt>
                <c:pt idx="65">
                  <c:v>43971</c:v>
                </c:pt>
                <c:pt idx="66">
                  <c:v>43972</c:v>
                </c:pt>
                <c:pt idx="67">
                  <c:v>43973</c:v>
                </c:pt>
                <c:pt idx="68">
                  <c:v>43974</c:v>
                </c:pt>
                <c:pt idx="69">
                  <c:v>43975</c:v>
                </c:pt>
                <c:pt idx="70">
                  <c:v>43976</c:v>
                </c:pt>
                <c:pt idx="71">
                  <c:v>43977</c:v>
                </c:pt>
                <c:pt idx="72">
                  <c:v>43978</c:v>
                </c:pt>
                <c:pt idx="73">
                  <c:v>43979</c:v>
                </c:pt>
                <c:pt idx="74">
                  <c:v>43980</c:v>
                </c:pt>
                <c:pt idx="75">
                  <c:v>43981</c:v>
                </c:pt>
                <c:pt idx="76">
                  <c:v>43982</c:v>
                </c:pt>
                <c:pt idx="77">
                  <c:v>43983</c:v>
                </c:pt>
                <c:pt idx="78">
                  <c:v>43984</c:v>
                </c:pt>
                <c:pt idx="79">
                  <c:v>43985</c:v>
                </c:pt>
                <c:pt idx="80">
                  <c:v>43986</c:v>
                </c:pt>
                <c:pt idx="81">
                  <c:v>43987</c:v>
                </c:pt>
                <c:pt idx="82">
                  <c:v>43988</c:v>
                </c:pt>
                <c:pt idx="83">
                  <c:v>43989</c:v>
                </c:pt>
                <c:pt idx="84">
                  <c:v>43990</c:v>
                </c:pt>
                <c:pt idx="85">
                  <c:v>43991</c:v>
                </c:pt>
                <c:pt idx="86">
                  <c:v>43992</c:v>
                </c:pt>
                <c:pt idx="87">
                  <c:v>43993</c:v>
                </c:pt>
                <c:pt idx="88">
                  <c:v>43994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44041</c:v>
                </c:pt>
                <c:pt idx="136">
                  <c:v>44042</c:v>
                </c:pt>
                <c:pt idx="137">
                  <c:v>44043</c:v>
                </c:pt>
                <c:pt idx="138">
                  <c:v>44044</c:v>
                </c:pt>
                <c:pt idx="139">
                  <c:v>44045</c:v>
                </c:pt>
                <c:pt idx="140">
                  <c:v>44046</c:v>
                </c:pt>
                <c:pt idx="141">
                  <c:v>44047</c:v>
                </c:pt>
                <c:pt idx="142">
                  <c:v>44048</c:v>
                </c:pt>
                <c:pt idx="143">
                  <c:v>44049</c:v>
                </c:pt>
                <c:pt idx="144">
                  <c:v>44050</c:v>
                </c:pt>
                <c:pt idx="145">
                  <c:v>44051</c:v>
                </c:pt>
                <c:pt idx="146">
                  <c:v>44052</c:v>
                </c:pt>
                <c:pt idx="147">
                  <c:v>44053</c:v>
                </c:pt>
                <c:pt idx="148">
                  <c:v>44054</c:v>
                </c:pt>
                <c:pt idx="149">
                  <c:v>44055</c:v>
                </c:pt>
                <c:pt idx="150">
                  <c:v>44056</c:v>
                </c:pt>
                <c:pt idx="151">
                  <c:v>44057</c:v>
                </c:pt>
                <c:pt idx="152">
                  <c:v>44058</c:v>
                </c:pt>
                <c:pt idx="153">
                  <c:v>44059</c:v>
                </c:pt>
                <c:pt idx="154">
                  <c:v>44060</c:v>
                </c:pt>
                <c:pt idx="155">
                  <c:v>44061</c:v>
                </c:pt>
                <c:pt idx="156">
                  <c:v>44062</c:v>
                </c:pt>
                <c:pt idx="157">
                  <c:v>44063</c:v>
                </c:pt>
                <c:pt idx="158">
                  <c:v>44064</c:v>
                </c:pt>
                <c:pt idx="159">
                  <c:v>44065</c:v>
                </c:pt>
                <c:pt idx="160">
                  <c:v>44066</c:v>
                </c:pt>
                <c:pt idx="161">
                  <c:v>44067</c:v>
                </c:pt>
                <c:pt idx="162">
                  <c:v>44068</c:v>
                </c:pt>
                <c:pt idx="163">
                  <c:v>44069</c:v>
                </c:pt>
                <c:pt idx="164">
                  <c:v>44070</c:v>
                </c:pt>
                <c:pt idx="165">
                  <c:v>44071</c:v>
                </c:pt>
                <c:pt idx="166">
                  <c:v>44072</c:v>
                </c:pt>
                <c:pt idx="167">
                  <c:v>44073</c:v>
                </c:pt>
                <c:pt idx="168">
                  <c:v>44074</c:v>
                </c:pt>
                <c:pt idx="169">
                  <c:v>44075</c:v>
                </c:pt>
                <c:pt idx="170">
                  <c:v>44076</c:v>
                </c:pt>
                <c:pt idx="171">
                  <c:v>44077</c:v>
                </c:pt>
                <c:pt idx="172">
                  <c:v>44078</c:v>
                </c:pt>
                <c:pt idx="173">
                  <c:v>44079</c:v>
                </c:pt>
                <c:pt idx="174">
                  <c:v>44080</c:v>
                </c:pt>
                <c:pt idx="175">
                  <c:v>44081</c:v>
                </c:pt>
                <c:pt idx="176">
                  <c:v>44082</c:v>
                </c:pt>
                <c:pt idx="177">
                  <c:v>44083</c:v>
                </c:pt>
                <c:pt idx="178">
                  <c:v>44084</c:v>
                </c:pt>
                <c:pt idx="179">
                  <c:v>44085</c:v>
                </c:pt>
                <c:pt idx="180">
                  <c:v>44086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</c:numCache>
            </c:numRef>
          </c:cat>
          <c:val>
            <c:numRef>
              <c:f>'R(t) Polska'!$M$16:$M$1000</c:f>
              <c:numCache>
                <c:formatCode>0.0000</c:formatCode>
                <c:ptCount val="985"/>
                <c:pt idx="0">
                  <c:v>100</c:v>
                </c:pt>
                <c:pt idx="1">
                  <c:v>83.333333333333343</c:v>
                </c:pt>
                <c:pt idx="2">
                  <c:v>83.333333333333343</c:v>
                </c:pt>
                <c:pt idx="3">
                  <c:v>83.333333333333343</c:v>
                </c:pt>
                <c:pt idx="4">
                  <c:v>83.333333333333343</c:v>
                </c:pt>
                <c:pt idx="5">
                  <c:v>83.333333333333343</c:v>
                </c:pt>
                <c:pt idx="6">
                  <c:v>87.5</c:v>
                </c:pt>
                <c:pt idx="7">
                  <c:v>88.888888888888886</c:v>
                </c:pt>
                <c:pt idx="8">
                  <c:v>90.909090909090907</c:v>
                </c:pt>
                <c:pt idx="9">
                  <c:v>92.857142857142861</c:v>
                </c:pt>
                <c:pt idx="10">
                  <c:v>94.117647058823522</c:v>
                </c:pt>
                <c:pt idx="11">
                  <c:v>94.117647058823522</c:v>
                </c:pt>
                <c:pt idx="12">
                  <c:v>94.73684210526315</c:v>
                </c:pt>
                <c:pt idx="13">
                  <c:v>95.652173913043484</c:v>
                </c:pt>
                <c:pt idx="14">
                  <c:v>96.875</c:v>
                </c:pt>
                <c:pt idx="15">
                  <c:v>97.058823529411768</c:v>
                </c:pt>
                <c:pt idx="16">
                  <c:v>97.727272727272734</c:v>
                </c:pt>
                <c:pt idx="17">
                  <c:v>98.275862068965509</c:v>
                </c:pt>
                <c:pt idx="18">
                  <c:v>98.611111111111114</c:v>
                </c:pt>
                <c:pt idx="19">
                  <c:v>40.512820512820511</c:v>
                </c:pt>
                <c:pt idx="20">
                  <c:v>41.228070175438596</c:v>
                </c:pt>
                <c:pt idx="21">
                  <c:v>39.776951672862452</c:v>
                </c:pt>
                <c:pt idx="22">
                  <c:v>40.3125</c:v>
                </c:pt>
                <c:pt idx="23">
                  <c:v>41.578947368421055</c:v>
                </c:pt>
                <c:pt idx="24">
                  <c:v>37.991266375545848</c:v>
                </c:pt>
                <c:pt idx="25">
                  <c:v>36.272545090180358</c:v>
                </c:pt>
                <c:pt idx="26">
                  <c:v>35.677530017152662</c:v>
                </c:pt>
                <c:pt idx="27">
                  <c:v>34.575260804769002</c:v>
                </c:pt>
                <c:pt idx="28">
                  <c:v>33.469945355191257</c:v>
                </c:pt>
                <c:pt idx="29">
                  <c:v>29.852440408626563</c:v>
                </c:pt>
                <c:pt idx="30">
                  <c:v>29.979035639412999</c:v>
                </c:pt>
                <c:pt idx="31">
                  <c:v>28.860294117647058</c:v>
                </c:pt>
                <c:pt idx="32">
                  <c:v>27.712854757929883</c:v>
                </c:pt>
                <c:pt idx="33">
                  <c:v>26.129518072289155</c:v>
                </c:pt>
                <c:pt idx="34">
                  <c:v>25.714285714285712</c:v>
                </c:pt>
                <c:pt idx="35">
                  <c:v>25.115664243225378</c:v>
                </c:pt>
                <c:pt idx="36">
                  <c:v>23.571007660577489</c:v>
                </c:pt>
                <c:pt idx="37">
                  <c:v>21.929824561403507</c:v>
                </c:pt>
                <c:pt idx="38">
                  <c:v>20.656634746922027</c:v>
                </c:pt>
                <c:pt idx="39">
                  <c:v>20.229790726302831</c:v>
                </c:pt>
                <c:pt idx="40">
                  <c:v>19.743299358248397</c:v>
                </c:pt>
                <c:pt idx="41">
                  <c:v>19.107142857142854</c:v>
                </c:pt>
                <c:pt idx="42">
                  <c:v>18.533201189296335</c:v>
                </c:pt>
                <c:pt idx="43">
                  <c:v>18.307692307692307</c:v>
                </c:pt>
                <c:pt idx="44">
                  <c:v>17.077850877192983</c:v>
                </c:pt>
                <c:pt idx="45">
                  <c:v>16.576437226089201</c:v>
                </c:pt>
                <c:pt idx="46">
                  <c:v>15.69669162038155</c:v>
                </c:pt>
                <c:pt idx="47">
                  <c:v>14.963833634719711</c:v>
                </c:pt>
                <c:pt idx="48">
                  <c:v>14.647338814366076</c:v>
                </c:pt>
                <c:pt idx="49">
                  <c:v>14.527238572323107</c:v>
                </c:pt>
                <c:pt idx="50">
                  <c:v>14.314314314314313</c:v>
                </c:pt>
                <c:pt idx="51">
                  <c:v>13.60430586488493</c:v>
                </c:pt>
                <c:pt idx="52">
                  <c:v>13.441338792949972</c:v>
                </c:pt>
                <c:pt idx="53">
                  <c:v>13.005537841919784</c:v>
                </c:pt>
                <c:pt idx="54">
                  <c:v>12.602475486256228</c:v>
                </c:pt>
                <c:pt idx="55">
                  <c:v>12.29798368477759</c:v>
                </c:pt>
                <c:pt idx="56">
                  <c:v>12.224569876245095</c:v>
                </c:pt>
                <c:pt idx="57">
                  <c:v>12.024680728942458</c:v>
                </c:pt>
                <c:pt idx="58">
                  <c:v>11.841562371063127</c:v>
                </c:pt>
                <c:pt idx="59">
                  <c:v>11.65061353740599</c:v>
                </c:pt>
                <c:pt idx="60">
                  <c:v>11.591054313099042</c:v>
                </c:pt>
                <c:pt idx="61">
                  <c:v>11.31025957972806</c:v>
                </c:pt>
                <c:pt idx="62">
                  <c:v>11.043457497612225</c:v>
                </c:pt>
                <c:pt idx="63">
                  <c:v>10.929472209248015</c:v>
                </c:pt>
                <c:pt idx="64">
                  <c:v>10.710654163371371</c:v>
                </c:pt>
                <c:pt idx="65">
                  <c:v>10.519409513395297</c:v>
                </c:pt>
                <c:pt idx="66">
                  <c:v>10.31409168081494</c:v>
                </c:pt>
                <c:pt idx="67">
                  <c:v>10.110161639040461</c:v>
                </c:pt>
                <c:pt idx="68">
                  <c:v>9.9598796389167514</c:v>
                </c:pt>
                <c:pt idx="69">
                  <c:v>9.7742885181550534</c:v>
                </c:pt>
                <c:pt idx="70">
                  <c:v>9.7928620052513864</c:v>
                </c:pt>
                <c:pt idx="71">
                  <c:v>9.2720028975009061</c:v>
                </c:pt>
                <c:pt idx="72">
                  <c:v>9.0508892410635671</c:v>
                </c:pt>
                <c:pt idx="73">
                  <c:v>8.9498189342990173</c:v>
                </c:pt>
                <c:pt idx="74">
                  <c:v>8.9500127735672308</c:v>
                </c:pt>
                <c:pt idx="75">
                  <c:v>8.7852943611824124</c:v>
                </c:pt>
                <c:pt idx="76">
                  <c:v>8.6258613700851239</c:v>
                </c:pt>
                <c:pt idx="77">
                  <c:v>8.5762197556496034</c:v>
                </c:pt>
                <c:pt idx="78">
                  <c:v>8.5192697768762677</c:v>
                </c:pt>
                <c:pt idx="79">
                  <c:v>8.4926498590905641</c:v>
                </c:pt>
                <c:pt idx="80">
                  <c:v>8.3708033573141485</c:v>
                </c:pt>
                <c:pt idx="81">
                  <c:v>8.3930021406953568</c:v>
                </c:pt>
                <c:pt idx="82">
                  <c:v>8.3454176334106727</c:v>
                </c:pt>
                <c:pt idx="83">
                  <c:v>8.2441113490364017</c:v>
                </c:pt>
                <c:pt idx="84">
                  <c:v>8.2191780821917799</c:v>
                </c:pt>
                <c:pt idx="85">
                  <c:v>8.2272758884484318</c:v>
                </c:pt>
                <c:pt idx="86">
                  <c:v>8.2506670315386188</c:v>
                </c:pt>
                <c:pt idx="87">
                  <c:v>8.1483468580242775</c:v>
                </c:pt>
                <c:pt idx="88">
                  <c:v>8.1320290144406737</c:v>
                </c:pt>
                <c:pt idx="89">
                  <c:v>8.0633596245355577</c:v>
                </c:pt>
                <c:pt idx="90">
                  <c:v>8.0591998965940679</c:v>
                </c:pt>
                <c:pt idx="91">
                  <c:v>8.0312040411791035</c:v>
                </c:pt>
                <c:pt idx="92">
                  <c:v>7.9869395956297886</c:v>
                </c:pt>
                <c:pt idx="93">
                  <c:v>7.9348429690874314</c:v>
                </c:pt>
                <c:pt idx="94">
                  <c:v>7.9119822040521859</c:v>
                </c:pt>
                <c:pt idx="95">
                  <c:v>7.832315641146077</c:v>
                </c:pt>
                <c:pt idx="96">
                  <c:v>7.6795800764534725</c:v>
                </c:pt>
                <c:pt idx="97">
                  <c:v>7.5170463994678194</c:v>
                </c:pt>
                <c:pt idx="98">
                  <c:v>7.3718470301057772</c:v>
                </c:pt>
                <c:pt idx="99">
                  <c:v>7.2567025543592996</c:v>
                </c:pt>
                <c:pt idx="100">
                  <c:v>7.1479774705581161</c:v>
                </c:pt>
                <c:pt idx="101">
                  <c:v>7.0367786305192856</c:v>
                </c:pt>
                <c:pt idx="102">
                  <c:v>6.9211023393229043</c:v>
                </c:pt>
                <c:pt idx="103">
                  <c:v>6.7034147708693412</c:v>
                </c:pt>
                <c:pt idx="104">
                  <c:v>6.5447764588165729</c:v>
                </c:pt>
                <c:pt idx="105">
                  <c:v>6.467639423507296</c:v>
                </c:pt>
                <c:pt idx="106">
                  <c:v>6.4365794680149486</c:v>
                </c:pt>
                <c:pt idx="107">
                  <c:v>6.3517985302333573</c:v>
                </c:pt>
                <c:pt idx="108">
                  <c:v>6.2990464939667534</c:v>
                </c:pt>
                <c:pt idx="109">
                  <c:v>6.2380991803957277</c:v>
                </c:pt>
                <c:pt idx="110">
                  <c:v>6.1328029872554595</c:v>
                </c:pt>
                <c:pt idx="111">
                  <c:v>6.0011083841342732</c:v>
                </c:pt>
                <c:pt idx="112">
                  <c:v>5.9640586988935107</c:v>
                </c:pt>
                <c:pt idx="113">
                  <c:v>5.9266446730060158</c:v>
                </c:pt>
                <c:pt idx="114">
                  <c:v>5.8364875094625281</c:v>
                </c:pt>
                <c:pt idx="115">
                  <c:v>5.7384934142370874</c:v>
                </c:pt>
                <c:pt idx="116">
                  <c:v>5.6573705179282872</c:v>
                </c:pt>
                <c:pt idx="117">
                  <c:v>5.5596922313229085</c:v>
                </c:pt>
                <c:pt idx="118">
                  <c:v>5.4702461784881091</c:v>
                </c:pt>
                <c:pt idx="119">
                  <c:v>5.4174830703654049</c:v>
                </c:pt>
                <c:pt idx="120">
                  <c:v>5.411668484187568</c:v>
                </c:pt>
                <c:pt idx="121">
                  <c:v>5.2981453167586254</c:v>
                </c:pt>
                <c:pt idx="122">
                  <c:v>5.2535045198480281</c:v>
                </c:pt>
                <c:pt idx="123">
                  <c:v>5.1774006941766295</c:v>
                </c:pt>
                <c:pt idx="124">
                  <c:v>5.126660537078723</c:v>
                </c:pt>
                <c:pt idx="125">
                  <c:v>5.0853830487231706</c:v>
                </c:pt>
                <c:pt idx="126">
                  <c:v>5.058135919915439</c:v>
                </c:pt>
                <c:pt idx="127">
                  <c:v>5.0482920356713059</c:v>
                </c:pt>
                <c:pt idx="128">
                  <c:v>5.0089991153412043</c:v>
                </c:pt>
                <c:pt idx="129">
                  <c:v>4.9740901422029404</c:v>
                </c:pt>
                <c:pt idx="130">
                  <c:v>4.9179840722691077</c:v>
                </c:pt>
                <c:pt idx="131">
                  <c:v>4.8821993369128309</c:v>
                </c:pt>
                <c:pt idx="132">
                  <c:v>4.8541715082500581</c:v>
                </c:pt>
                <c:pt idx="133">
                  <c:v>4.8534692459168305</c:v>
                </c:pt>
                <c:pt idx="134">
                  <c:v>4.8437724982001438</c:v>
                </c:pt>
                <c:pt idx="135">
                  <c:v>4.856094484577457</c:v>
                </c:pt>
                <c:pt idx="136">
                  <c:v>4.8342385155012453</c:v>
                </c:pt>
                <c:pt idx="137">
                  <c:v>4.8063187967397694</c:v>
                </c:pt>
                <c:pt idx="138">
                  <c:v>4.7679734035184929</c:v>
                </c:pt>
                <c:pt idx="139">
                  <c:v>4.7502744237102084</c:v>
                </c:pt>
                <c:pt idx="140">
                  <c:v>4.7305601835413649</c:v>
                </c:pt>
                <c:pt idx="141">
                  <c:v>4.7235962385171497</c:v>
                </c:pt>
                <c:pt idx="142">
                  <c:v>4.736089759149877</c:v>
                </c:pt>
                <c:pt idx="143">
                  <c:v>4.7412871498824032</c:v>
                </c:pt>
                <c:pt idx="144">
                  <c:v>4.7240139579147726</c:v>
                </c:pt>
                <c:pt idx="145">
                  <c:v>4.7116718582310293</c:v>
                </c:pt>
                <c:pt idx="146">
                  <c:v>4.6937503246921919</c:v>
                </c:pt>
                <c:pt idx="147">
                  <c:v>4.6761102207516929</c:v>
                </c:pt>
                <c:pt idx="148">
                  <c:v>4.6727053450001286</c:v>
                </c:pt>
                <c:pt idx="149">
                  <c:v>4.6398417890012933</c:v>
                </c:pt>
                <c:pt idx="150">
                  <c:v>4.6301879208119789</c:v>
                </c:pt>
                <c:pt idx="151">
                  <c:v>4.6195922426653411</c:v>
                </c:pt>
                <c:pt idx="152">
                  <c:v>4.5896566966259025</c:v>
                </c:pt>
                <c:pt idx="153">
                  <c:v>4.577267295827542</c:v>
                </c:pt>
                <c:pt idx="154">
                  <c:v>4.5703617495878186</c:v>
                </c:pt>
                <c:pt idx="155">
                  <c:v>4.5643852764871564</c:v>
                </c:pt>
                <c:pt idx="156">
                  <c:v>4.553460915928782</c:v>
                </c:pt>
                <c:pt idx="157">
                  <c:v>4.5394519643446678</c:v>
                </c:pt>
                <c:pt idx="158">
                  <c:v>4.5104382433029997</c:v>
                </c:pt>
                <c:pt idx="159">
                  <c:v>4.4735393928276617</c:v>
                </c:pt>
                <c:pt idx="160">
                  <c:v>4.4292899542344468</c:v>
                </c:pt>
                <c:pt idx="161">
                  <c:v>4.4136191677175285</c:v>
                </c:pt>
                <c:pt idx="162">
                  <c:v>4.4167914032304907</c:v>
                </c:pt>
                <c:pt idx="163">
                  <c:v>4.3927477804947896</c:v>
                </c:pt>
                <c:pt idx="164">
                  <c:v>4.3573504533032574</c:v>
                </c:pt>
                <c:pt idx="165">
                  <c:v>4.3116894216182722</c:v>
                </c:pt>
                <c:pt idx="166">
                  <c:v>4.2717793474604777</c:v>
                </c:pt>
                <c:pt idx="167">
                  <c:v>4.2156557801969932</c:v>
                </c:pt>
                <c:pt idx="168">
                  <c:v>4.1888366168827167</c:v>
                </c:pt>
                <c:pt idx="169">
                  <c:v>4.1924706649282921</c:v>
                </c:pt>
                <c:pt idx="170">
                  <c:v>4.1607432473019239</c:v>
                </c:pt>
                <c:pt idx="171">
                  <c:v>4.1274538818190782</c:v>
                </c:pt>
                <c:pt idx="172">
                  <c:v>4.0446841294298919</c:v>
                </c:pt>
                <c:pt idx="173">
                  <c:v>3.8799831065572263</c:v>
                </c:pt>
                <c:pt idx="174">
                  <c:v>3.7604654462892011</c:v>
                </c:pt>
                <c:pt idx="175">
                  <c:v>3.7092039974841007</c:v>
                </c:pt>
                <c:pt idx="176">
                  <c:v>3.6781807218537339</c:v>
                </c:pt>
                <c:pt idx="177">
                  <c:v>3.6200468952952884</c:v>
                </c:pt>
                <c:pt idx="178">
                  <c:v>3.5831105650289734</c:v>
                </c:pt>
                <c:pt idx="179">
                  <c:v>3.5531663825881736</c:v>
                </c:pt>
                <c:pt idx="180">
                  <c:v>3.5230833844861564</c:v>
                </c:pt>
                <c:pt idx="181">
                  <c:v>3.4799350794004389</c:v>
                </c:pt>
                <c:pt idx="182">
                  <c:v>3.4787279419896047</c:v>
                </c:pt>
                <c:pt idx="183">
                  <c:v>3.4904506538714837</c:v>
                </c:pt>
                <c:pt idx="184">
                  <c:v>3.4749634786933146</c:v>
                </c:pt>
                <c:pt idx="185">
                  <c:v>3.4658417593917847</c:v>
                </c:pt>
                <c:pt idx="186">
                  <c:v>3.4598435522483642</c:v>
                </c:pt>
                <c:pt idx="187">
                  <c:v>3.4486408031205591</c:v>
                </c:pt>
                <c:pt idx="188">
                  <c:v>3.4417515091449675</c:v>
                </c:pt>
                <c:pt idx="189">
                  <c:v>3.4334314883185604</c:v>
                </c:pt>
                <c:pt idx="190">
                  <c:v>3.4404862752091785</c:v>
                </c:pt>
                <c:pt idx="191">
                  <c:v>3.4504594721960413</c:v>
                </c:pt>
                <c:pt idx="192">
                  <c:v>3.4556226833610602</c:v>
                </c:pt>
                <c:pt idx="193">
                  <c:v>3.4586509670046719</c:v>
                </c:pt>
                <c:pt idx="194">
                  <c:v>3.4738849302498958</c:v>
                </c:pt>
                <c:pt idx="195">
                  <c:v>3.4563162010378901</c:v>
                </c:pt>
                <c:pt idx="196">
                  <c:v>3.4515846809471395</c:v>
                </c:pt>
                <c:pt idx="197">
                  <c:v>3.4743900219774067</c:v>
                </c:pt>
                <c:pt idx="198">
                  <c:v>3.4788870885094241</c:v>
                </c:pt>
                <c:pt idx="199">
                  <c:v>3.4849128771780711</c:v>
                </c:pt>
                <c:pt idx="200">
                  <c:v>3.475284759611482</c:v>
                </c:pt>
                <c:pt idx="201">
                  <c:v>3.4793883334224458</c:v>
                </c:pt>
                <c:pt idx="202">
                  <c:v>3.4760418870319443</c:v>
                </c:pt>
                <c:pt idx="203">
                  <c:v>3.4877312688623539</c:v>
                </c:pt>
                <c:pt idx="204">
                  <c:v>3.5330540885084685</c:v>
                </c:pt>
                <c:pt idx="205">
                  <c:v>3.5719313513444337</c:v>
                </c:pt>
                <c:pt idx="206">
                  <c:v>3.6127877817961869</c:v>
                </c:pt>
                <c:pt idx="207">
                  <c:v>3.6128920464390921</c:v>
                </c:pt>
                <c:pt idx="208">
                  <c:v>3.6264245796422379</c:v>
                </c:pt>
                <c:pt idx="209">
                  <c:v>3.6048256407178436</c:v>
                </c:pt>
                <c:pt idx="210">
                  <c:v>3.6064055841118723</c:v>
                </c:pt>
                <c:pt idx="211">
                  <c:v>3.6437342106809232</c:v>
                </c:pt>
                <c:pt idx="212">
                  <c:v>3.6949830010107507</c:v>
                </c:pt>
                <c:pt idx="213">
                  <c:v>3.7212023038156947</c:v>
                </c:pt>
                <c:pt idx="214">
                  <c:v>3.7713922357558682</c:v>
                </c:pt>
                <c:pt idx="215">
                  <c:v>3.7615011848088296</c:v>
                </c:pt>
                <c:pt idx="216">
                  <c:v>3.7132108413701364</c:v>
                </c:pt>
                <c:pt idx="217">
                  <c:v>3.7018068586880815</c:v>
                </c:pt>
                <c:pt idx="218">
                  <c:v>3.733057776618478</c:v>
                </c:pt>
                <c:pt idx="219">
                  <c:v>3.7484790967051151</c:v>
                </c:pt>
                <c:pt idx="220">
                  <c:v>3.7835497020419306</c:v>
                </c:pt>
                <c:pt idx="221">
                  <c:v>3.8182750036608577</c:v>
                </c:pt>
                <c:pt idx="222">
                  <c:v>3.8260594226608262</c:v>
                </c:pt>
                <c:pt idx="223">
                  <c:v>3.7904934390377254</c:v>
                </c:pt>
                <c:pt idx="224">
                  <c:v>3.7417351232217988</c:v>
                </c:pt>
                <c:pt idx="225">
                  <c:v>3.7254442838572155</c:v>
                </c:pt>
                <c:pt idx="226">
                  <c:v>3.7771129394166039</c:v>
                </c:pt>
                <c:pt idx="227">
                  <c:v>3.8306451612903225</c:v>
                </c:pt>
                <c:pt idx="228">
                  <c:v>3.8200963769409242</c:v>
                </c:pt>
                <c:pt idx="229">
                  <c:v>3.8592018422188867</c:v>
                </c:pt>
                <c:pt idx="230">
                  <c:v>3.7951672813660764</c:v>
                </c:pt>
                <c:pt idx="231">
                  <c:v>3.6652775004991014</c:v>
                </c:pt>
                <c:pt idx="232">
                  <c:v>3.6739559751457063</c:v>
                </c:pt>
                <c:pt idx="233">
                  <c:v>3.6902766852491533</c:v>
                </c:pt>
                <c:pt idx="234">
                  <c:v>3.7074170017667267</c:v>
                </c:pt>
                <c:pt idx="235">
                  <c:v>3.718086762161859</c:v>
                </c:pt>
                <c:pt idx="236">
                  <c:v>3.6681159768430662</c:v>
                </c:pt>
                <c:pt idx="237">
                  <c:v>3.6232818067153394</c:v>
                </c:pt>
                <c:pt idx="238">
                  <c:v>3.5371457467625267</c:v>
                </c:pt>
                <c:pt idx="239">
                  <c:v>3.5032526617440962</c:v>
                </c:pt>
                <c:pt idx="240">
                  <c:v>3.4977232813356749</c:v>
                </c:pt>
                <c:pt idx="241">
                  <c:v>3.4461160017765833</c:v>
                </c:pt>
                <c:pt idx="242">
                  <c:v>3.4275670661945958</c:v>
                </c:pt>
                <c:pt idx="243">
                  <c:v>3.4370081434339284</c:v>
                </c:pt>
                <c:pt idx="244">
                  <c:v>3.3913302810923835</c:v>
                </c:pt>
                <c:pt idx="245">
                  <c:v>3.3145558002356932</c:v>
                </c:pt>
                <c:pt idx="246">
                  <c:v>3.2369528242771466</c:v>
                </c:pt>
                <c:pt idx="247">
                  <c:v>3.2326089534036826</c:v>
                </c:pt>
                <c:pt idx="248">
                  <c:v>3.2323102675587072</c:v>
                </c:pt>
                <c:pt idx="249">
                  <c:v>3.2226993211901229</c:v>
                </c:pt>
                <c:pt idx="250">
                  <c:v>3.1610774497279732</c:v>
                </c:pt>
                <c:pt idx="251">
                  <c:v>3.1120526338641969</c:v>
                </c:pt>
                <c:pt idx="252">
                  <c:v>3.0430229629596899</c:v>
                </c:pt>
                <c:pt idx="253">
                  <c:v>3.0518238666527373</c:v>
                </c:pt>
                <c:pt idx="254">
                  <c:v>3.0934026810315469</c:v>
                </c:pt>
                <c:pt idx="255">
                  <c:v>3.0499356433800839</c:v>
                </c:pt>
                <c:pt idx="256">
                  <c:v>3.030689793030183</c:v>
                </c:pt>
                <c:pt idx="257">
                  <c:v>3.0171940059709668</c:v>
                </c:pt>
                <c:pt idx="258">
                  <c:v>2.954074711427372</c:v>
                </c:pt>
                <c:pt idx="259">
                  <c:v>2.8839815425181281</c:v>
                </c:pt>
                <c:pt idx="260">
                  <c:v>2.8607515101074794</c:v>
                </c:pt>
                <c:pt idx="261">
                  <c:v>2.8397287535013129</c:v>
                </c:pt>
                <c:pt idx="262">
                  <c:v>2.8296272250175836</c:v>
                </c:pt>
                <c:pt idx="263">
                  <c:v>2.8229499017166053</c:v>
                </c:pt>
                <c:pt idx="264">
                  <c:v>2.8061336223156927</c:v>
                </c:pt>
                <c:pt idx="265">
                  <c:v>2.7639998954333258</c:v>
                </c:pt>
                <c:pt idx="266">
                  <c:v>2.717514983969072</c:v>
                </c:pt>
                <c:pt idx="267">
                  <c:v>2.7114823217725763</c:v>
                </c:pt>
                <c:pt idx="268">
                  <c:v>2.6805134526052035</c:v>
                </c:pt>
                <c:pt idx="269">
                  <c:v>2.6580677825717758</c:v>
                </c:pt>
                <c:pt idx="270">
                  <c:v>2.6475469535419629</c:v>
                </c:pt>
                <c:pt idx="271">
                  <c:v>2.6269176811856116</c:v>
                </c:pt>
                <c:pt idx="272">
                  <c:v>2.5929987672368529</c:v>
                </c:pt>
                <c:pt idx="273">
                  <c:v>2.5736592255482758</c:v>
                </c:pt>
                <c:pt idx="274">
                  <c:v>2.5811216789194922</c:v>
                </c:pt>
                <c:pt idx="275">
                  <c:v>2.6090922183284531</c:v>
                </c:pt>
                <c:pt idx="276">
                  <c:v>2.6242489441561547</c:v>
                </c:pt>
                <c:pt idx="277">
                  <c:v>2.634240338938711</c:v>
                </c:pt>
                <c:pt idx="278">
                  <c:v>2.6500114903087901</c:v>
                </c:pt>
                <c:pt idx="279">
                  <c:v>2.6353828449516601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656-4E82-A89F-E6F0ADC61BFD}"/>
            </c:ext>
          </c:extLst>
        </c:ser>
        <c:ser>
          <c:idx val="1"/>
          <c:order val="1"/>
          <c:tx>
            <c:v>CFR(I) D/I</c:v>
          </c:tx>
          <c:spPr>
            <a:ln w="19050" cmpd="sng">
              <a:solidFill>
                <a:srgbClr val="000000"/>
              </a:solidFill>
            </a:ln>
          </c:spPr>
          <c:marker>
            <c:symbol val="none"/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F656-4E82-A89F-E6F0ADC61BFD}"/>
              </c:ext>
            </c:extLst>
          </c:dPt>
          <c:cat>
            <c:numRef>
              <c:f>'R(t) Polska'!$A$16:$A$1000</c:f>
              <c:numCache>
                <c:formatCode>dd\.mm\.yyyy</c:formatCode>
                <c:ptCount val="985"/>
                <c:pt idx="0">
                  <c:v>43906</c:v>
                </c:pt>
                <c:pt idx="1">
                  <c:v>43907</c:v>
                </c:pt>
                <c:pt idx="2">
                  <c:v>43908</c:v>
                </c:pt>
                <c:pt idx="3">
                  <c:v>43909</c:v>
                </c:pt>
                <c:pt idx="4">
                  <c:v>43910</c:v>
                </c:pt>
                <c:pt idx="5">
                  <c:v>43911</c:v>
                </c:pt>
                <c:pt idx="6">
                  <c:v>43912</c:v>
                </c:pt>
                <c:pt idx="7">
                  <c:v>43913</c:v>
                </c:pt>
                <c:pt idx="8">
                  <c:v>43914</c:v>
                </c:pt>
                <c:pt idx="9">
                  <c:v>43915</c:v>
                </c:pt>
                <c:pt idx="10">
                  <c:v>43916</c:v>
                </c:pt>
                <c:pt idx="11">
                  <c:v>43917</c:v>
                </c:pt>
                <c:pt idx="12">
                  <c:v>43918</c:v>
                </c:pt>
                <c:pt idx="13">
                  <c:v>43919</c:v>
                </c:pt>
                <c:pt idx="14">
                  <c:v>43920</c:v>
                </c:pt>
                <c:pt idx="15">
                  <c:v>43921</c:v>
                </c:pt>
                <c:pt idx="16">
                  <c:v>43922</c:v>
                </c:pt>
                <c:pt idx="17">
                  <c:v>43923</c:v>
                </c:pt>
                <c:pt idx="18">
                  <c:v>43924</c:v>
                </c:pt>
                <c:pt idx="19">
                  <c:v>43925</c:v>
                </c:pt>
                <c:pt idx="20">
                  <c:v>43926</c:v>
                </c:pt>
                <c:pt idx="21">
                  <c:v>43927</c:v>
                </c:pt>
                <c:pt idx="22">
                  <c:v>43928</c:v>
                </c:pt>
                <c:pt idx="23">
                  <c:v>43929</c:v>
                </c:pt>
                <c:pt idx="24">
                  <c:v>43930</c:v>
                </c:pt>
                <c:pt idx="25">
                  <c:v>43931</c:v>
                </c:pt>
                <c:pt idx="26">
                  <c:v>43932</c:v>
                </c:pt>
                <c:pt idx="27">
                  <c:v>43933</c:v>
                </c:pt>
                <c:pt idx="28">
                  <c:v>43934</c:v>
                </c:pt>
                <c:pt idx="29">
                  <c:v>43935</c:v>
                </c:pt>
                <c:pt idx="30">
                  <c:v>43936</c:v>
                </c:pt>
                <c:pt idx="31">
                  <c:v>43937</c:v>
                </c:pt>
                <c:pt idx="32">
                  <c:v>43938</c:v>
                </c:pt>
                <c:pt idx="33">
                  <c:v>43939</c:v>
                </c:pt>
                <c:pt idx="34">
                  <c:v>43940</c:v>
                </c:pt>
                <c:pt idx="35">
                  <c:v>43941</c:v>
                </c:pt>
                <c:pt idx="36">
                  <c:v>43942</c:v>
                </c:pt>
                <c:pt idx="37">
                  <c:v>43943</c:v>
                </c:pt>
                <c:pt idx="38">
                  <c:v>43944</c:v>
                </c:pt>
                <c:pt idx="39">
                  <c:v>43945</c:v>
                </c:pt>
                <c:pt idx="40">
                  <c:v>43946</c:v>
                </c:pt>
                <c:pt idx="41">
                  <c:v>43947</c:v>
                </c:pt>
                <c:pt idx="42">
                  <c:v>43948</c:v>
                </c:pt>
                <c:pt idx="43">
                  <c:v>43949</c:v>
                </c:pt>
                <c:pt idx="44">
                  <c:v>43950</c:v>
                </c:pt>
                <c:pt idx="45">
                  <c:v>43951</c:v>
                </c:pt>
                <c:pt idx="46">
                  <c:v>43952</c:v>
                </c:pt>
                <c:pt idx="47">
                  <c:v>43953</c:v>
                </c:pt>
                <c:pt idx="48">
                  <c:v>43954</c:v>
                </c:pt>
                <c:pt idx="49">
                  <c:v>43955</c:v>
                </c:pt>
                <c:pt idx="50">
                  <c:v>43956</c:v>
                </c:pt>
                <c:pt idx="51">
                  <c:v>43957</c:v>
                </c:pt>
                <c:pt idx="52">
                  <c:v>43958</c:v>
                </c:pt>
                <c:pt idx="53">
                  <c:v>43959</c:v>
                </c:pt>
                <c:pt idx="54">
                  <c:v>43960</c:v>
                </c:pt>
                <c:pt idx="55">
                  <c:v>43961</c:v>
                </c:pt>
                <c:pt idx="56">
                  <c:v>43962</c:v>
                </c:pt>
                <c:pt idx="57">
                  <c:v>43963</c:v>
                </c:pt>
                <c:pt idx="58">
                  <c:v>43964</c:v>
                </c:pt>
                <c:pt idx="59">
                  <c:v>43965</c:v>
                </c:pt>
                <c:pt idx="60">
                  <c:v>43966</c:v>
                </c:pt>
                <c:pt idx="61">
                  <c:v>43967</c:v>
                </c:pt>
                <c:pt idx="62">
                  <c:v>43968</c:v>
                </c:pt>
                <c:pt idx="63">
                  <c:v>43969</c:v>
                </c:pt>
                <c:pt idx="64">
                  <c:v>43970</c:v>
                </c:pt>
                <c:pt idx="65">
                  <c:v>43971</c:v>
                </c:pt>
                <c:pt idx="66">
                  <c:v>43972</c:v>
                </c:pt>
                <c:pt idx="67">
                  <c:v>43973</c:v>
                </c:pt>
                <c:pt idx="68">
                  <c:v>43974</c:v>
                </c:pt>
                <c:pt idx="69">
                  <c:v>43975</c:v>
                </c:pt>
                <c:pt idx="70">
                  <c:v>43976</c:v>
                </c:pt>
                <c:pt idx="71">
                  <c:v>43977</c:v>
                </c:pt>
                <c:pt idx="72">
                  <c:v>43978</c:v>
                </c:pt>
                <c:pt idx="73">
                  <c:v>43979</c:v>
                </c:pt>
                <c:pt idx="74">
                  <c:v>43980</c:v>
                </c:pt>
                <c:pt idx="75">
                  <c:v>43981</c:v>
                </c:pt>
                <c:pt idx="76">
                  <c:v>43982</c:v>
                </c:pt>
                <c:pt idx="77">
                  <c:v>43983</c:v>
                </c:pt>
                <c:pt idx="78">
                  <c:v>43984</c:v>
                </c:pt>
                <c:pt idx="79">
                  <c:v>43985</c:v>
                </c:pt>
                <c:pt idx="80">
                  <c:v>43986</c:v>
                </c:pt>
                <c:pt idx="81">
                  <c:v>43987</c:v>
                </c:pt>
                <c:pt idx="82">
                  <c:v>43988</c:v>
                </c:pt>
                <c:pt idx="83">
                  <c:v>43989</c:v>
                </c:pt>
                <c:pt idx="84">
                  <c:v>43990</c:v>
                </c:pt>
                <c:pt idx="85">
                  <c:v>43991</c:v>
                </c:pt>
                <c:pt idx="86">
                  <c:v>43992</c:v>
                </c:pt>
                <c:pt idx="87">
                  <c:v>43993</c:v>
                </c:pt>
                <c:pt idx="88">
                  <c:v>43994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44041</c:v>
                </c:pt>
                <c:pt idx="136">
                  <c:v>44042</c:v>
                </c:pt>
                <c:pt idx="137">
                  <c:v>44043</c:v>
                </c:pt>
                <c:pt idx="138">
                  <c:v>44044</c:v>
                </c:pt>
                <c:pt idx="139">
                  <c:v>44045</c:v>
                </c:pt>
                <c:pt idx="140">
                  <c:v>44046</c:v>
                </c:pt>
                <c:pt idx="141">
                  <c:v>44047</c:v>
                </c:pt>
                <c:pt idx="142">
                  <c:v>44048</c:v>
                </c:pt>
                <c:pt idx="143">
                  <c:v>44049</c:v>
                </c:pt>
                <c:pt idx="144">
                  <c:v>44050</c:v>
                </c:pt>
                <c:pt idx="145">
                  <c:v>44051</c:v>
                </c:pt>
                <c:pt idx="146">
                  <c:v>44052</c:v>
                </c:pt>
                <c:pt idx="147">
                  <c:v>44053</c:v>
                </c:pt>
                <c:pt idx="148">
                  <c:v>44054</c:v>
                </c:pt>
                <c:pt idx="149">
                  <c:v>44055</c:v>
                </c:pt>
                <c:pt idx="150">
                  <c:v>44056</c:v>
                </c:pt>
                <c:pt idx="151">
                  <c:v>44057</c:v>
                </c:pt>
                <c:pt idx="152">
                  <c:v>44058</c:v>
                </c:pt>
                <c:pt idx="153">
                  <c:v>44059</c:v>
                </c:pt>
                <c:pt idx="154">
                  <c:v>44060</c:v>
                </c:pt>
                <c:pt idx="155">
                  <c:v>44061</c:v>
                </c:pt>
                <c:pt idx="156">
                  <c:v>44062</c:v>
                </c:pt>
                <c:pt idx="157">
                  <c:v>44063</c:v>
                </c:pt>
                <c:pt idx="158">
                  <c:v>44064</c:v>
                </c:pt>
                <c:pt idx="159">
                  <c:v>44065</c:v>
                </c:pt>
                <c:pt idx="160">
                  <c:v>44066</c:v>
                </c:pt>
                <c:pt idx="161">
                  <c:v>44067</c:v>
                </c:pt>
                <c:pt idx="162">
                  <c:v>44068</c:v>
                </c:pt>
                <c:pt idx="163">
                  <c:v>44069</c:v>
                </c:pt>
                <c:pt idx="164">
                  <c:v>44070</c:v>
                </c:pt>
                <c:pt idx="165">
                  <c:v>44071</c:v>
                </c:pt>
                <c:pt idx="166">
                  <c:v>44072</c:v>
                </c:pt>
                <c:pt idx="167">
                  <c:v>44073</c:v>
                </c:pt>
                <c:pt idx="168">
                  <c:v>44074</c:v>
                </c:pt>
                <c:pt idx="169">
                  <c:v>44075</c:v>
                </c:pt>
                <c:pt idx="170">
                  <c:v>44076</c:v>
                </c:pt>
                <c:pt idx="171">
                  <c:v>44077</c:v>
                </c:pt>
                <c:pt idx="172">
                  <c:v>44078</c:v>
                </c:pt>
                <c:pt idx="173">
                  <c:v>44079</c:v>
                </c:pt>
                <c:pt idx="174">
                  <c:v>44080</c:v>
                </c:pt>
                <c:pt idx="175">
                  <c:v>44081</c:v>
                </c:pt>
                <c:pt idx="176">
                  <c:v>44082</c:v>
                </c:pt>
                <c:pt idx="177">
                  <c:v>44083</c:v>
                </c:pt>
                <c:pt idx="178">
                  <c:v>44084</c:v>
                </c:pt>
                <c:pt idx="179">
                  <c:v>44085</c:v>
                </c:pt>
                <c:pt idx="180">
                  <c:v>44086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</c:numCache>
            </c:numRef>
          </c:cat>
          <c:val>
            <c:numRef>
              <c:f>'R(t) Polska'!$N$16:$N$1000</c:f>
              <c:numCache>
                <c:formatCode>0.0000</c:formatCode>
                <c:ptCount val="985"/>
                <c:pt idx="0">
                  <c:v>2.2598870056497176</c:v>
                </c:pt>
                <c:pt idx="1">
                  <c:v>2.1008403361344539</c:v>
                </c:pt>
                <c:pt idx="2">
                  <c:v>1.7421602787456445</c:v>
                </c:pt>
                <c:pt idx="3">
                  <c:v>1.4084507042253522</c:v>
                </c:pt>
                <c:pt idx="4">
                  <c:v>1.1764705882352942</c:v>
                </c:pt>
                <c:pt idx="5">
                  <c:v>0.93283582089552231</c:v>
                </c:pt>
                <c:pt idx="6">
                  <c:v>1.1041009463722398</c:v>
                </c:pt>
                <c:pt idx="7">
                  <c:v>1.0680907877169559</c:v>
                </c:pt>
                <c:pt idx="8">
                  <c:v>1.1098779134295227</c:v>
                </c:pt>
                <c:pt idx="9">
                  <c:v>1.2369172216936251</c:v>
                </c:pt>
                <c:pt idx="10">
                  <c:v>1.3104013104013106</c:v>
                </c:pt>
                <c:pt idx="11">
                  <c:v>1.1519078473722102</c:v>
                </c:pt>
                <c:pt idx="12">
                  <c:v>1.098901098901099</c:v>
                </c:pt>
                <c:pt idx="13">
                  <c:v>1.1815252416756177</c:v>
                </c:pt>
                <c:pt idx="14">
                  <c:v>1.5085158150851581</c:v>
                </c:pt>
                <c:pt idx="15">
                  <c:v>1.4279532669839896</c:v>
                </c:pt>
                <c:pt idx="16">
                  <c:v>1.6836335160532498</c:v>
                </c:pt>
                <c:pt idx="17">
                  <c:v>1.9348268839103868</c:v>
                </c:pt>
                <c:pt idx="18">
                  <c:v>2.0987289388117056</c:v>
                </c:pt>
                <c:pt idx="19">
                  <c:v>2.1781086297215331</c:v>
                </c:pt>
                <c:pt idx="20">
                  <c:v>2.2915650901999025</c:v>
                </c:pt>
                <c:pt idx="21">
                  <c:v>2.4246544300929074</c:v>
                </c:pt>
                <c:pt idx="22">
                  <c:v>2.6608910891089108</c:v>
                </c:pt>
                <c:pt idx="23">
                  <c:v>3.0355427473583094</c:v>
                </c:pt>
                <c:pt idx="24">
                  <c:v>3.1210762331838566</c:v>
                </c:pt>
                <c:pt idx="25">
                  <c:v>3.0394626364399664</c:v>
                </c:pt>
                <c:pt idx="26">
                  <c:v>3.2724984266834483</c:v>
                </c:pt>
                <c:pt idx="27">
                  <c:v>3.4761762061732093</c:v>
                </c:pt>
                <c:pt idx="28">
                  <c:v>3.5343335256780151</c:v>
                </c:pt>
                <c:pt idx="29">
                  <c:v>3.6517633990558176</c:v>
                </c:pt>
                <c:pt idx="30">
                  <c:v>3.7720917963597991</c:v>
                </c:pt>
                <c:pt idx="31">
                  <c:v>3.9656478908815358</c:v>
                </c:pt>
                <c:pt idx="32">
                  <c:v>3.9641791044776116</c:v>
                </c:pt>
                <c:pt idx="33">
                  <c:v>3.984383970605121</c:v>
                </c:pt>
                <c:pt idx="34">
                  <c:v>3.9028620988725069</c:v>
                </c:pt>
                <c:pt idx="35">
                  <c:v>3.9874081846799578</c:v>
                </c:pt>
                <c:pt idx="36">
                  <c:v>4.0845501889104465</c:v>
                </c:pt>
                <c:pt idx="37">
                  <c:v>4.2054225212744907</c:v>
                </c:pt>
                <c:pt idx="38">
                  <c:v>4.3357580398162332</c:v>
                </c:pt>
                <c:pt idx="39">
                  <c:v>4.5525902668759812</c:v>
                </c:pt>
                <c:pt idx="40">
                  <c:v>4.6654772524531669</c:v>
                </c:pt>
                <c:pt idx="41">
                  <c:v>4.6304310195603255</c:v>
                </c:pt>
                <c:pt idx="42">
                  <c:v>4.7385758932342261</c:v>
                </c:pt>
                <c:pt idx="43">
                  <c:v>4.895104895104895</c:v>
                </c:pt>
                <c:pt idx="44">
                  <c:v>4.9534865230182081</c:v>
                </c:pt>
                <c:pt idx="45">
                  <c:v>4.9933990836374935</c:v>
                </c:pt>
                <c:pt idx="46">
                  <c:v>4.9599389545974821</c:v>
                </c:pt>
                <c:pt idx="47">
                  <c:v>4.9495327102803737</c:v>
                </c:pt>
                <c:pt idx="48">
                  <c:v>4.9441320382677283</c:v>
                </c:pt>
                <c:pt idx="49">
                  <c:v>4.9692988719120379</c:v>
                </c:pt>
                <c:pt idx="50">
                  <c:v>4.9611434915348323</c:v>
                </c:pt>
                <c:pt idx="51">
                  <c:v>4.9786049038918705</c:v>
                </c:pt>
                <c:pt idx="52">
                  <c:v>5.0246239850925063</c:v>
                </c:pt>
                <c:pt idx="53">
                  <c:v>5.0445876456421272</c:v>
                </c:pt>
                <c:pt idx="54">
                  <c:v>5.0092645837326684</c:v>
                </c:pt>
                <c:pt idx="55">
                  <c:v>4.9949987496874213</c:v>
                </c:pt>
                <c:pt idx="56">
                  <c:v>4.9614112458654906</c:v>
                </c:pt>
                <c:pt idx="57">
                  <c:v>4.9638668404217512</c:v>
                </c:pt>
                <c:pt idx="58">
                  <c:v>5.0046500813764245</c:v>
                </c:pt>
                <c:pt idx="59">
                  <c:v>5.0127732046551232</c:v>
                </c:pt>
                <c:pt idx="60">
                  <c:v>5.034413854351687</c:v>
                </c:pt>
                <c:pt idx="61">
                  <c:v>5.0117763049789117</c:v>
                </c:pt>
                <c:pt idx="62">
                  <c:v>4.9921744292730317</c:v>
                </c:pt>
                <c:pt idx="63">
                  <c:v>4.9563145353455118</c:v>
                </c:pt>
                <c:pt idx="64">
                  <c:v>4.9203300980951887</c:v>
                </c:pt>
                <c:pt idx="65">
                  <c:v>4.873847400952477</c:v>
                </c:pt>
                <c:pt idx="66">
                  <c:v>4.8259768631150388</c:v>
                </c:pt>
                <c:pt idx="67">
                  <c:v>4.7642150203764801</c:v>
                </c:pt>
                <c:pt idx="68">
                  <c:v>4.7450661824437326</c:v>
                </c:pt>
                <c:pt idx="69">
                  <c:v>4.6786922209695607</c:v>
                </c:pt>
                <c:pt idx="70">
                  <c:v>4.6557862129548298</c:v>
                </c:pt>
                <c:pt idx="71">
                  <c:v>4.6393620877129393</c:v>
                </c:pt>
                <c:pt idx="72">
                  <c:v>4.5751924874271221</c:v>
                </c:pt>
                <c:pt idx="73">
                  <c:v>4.5484422242671227</c:v>
                </c:pt>
                <c:pt idx="74">
                  <c:v>4.5393685483522654</c:v>
                </c:pt>
                <c:pt idx="75">
                  <c:v>4.5024400594101417</c:v>
                </c:pt>
                <c:pt idx="76">
                  <c:v>4.4735956945845947</c:v>
                </c:pt>
                <c:pt idx="77">
                  <c:v>4.4455482428908484</c:v>
                </c:pt>
                <c:pt idx="78">
                  <c:v>4.4763271162123388</c:v>
                </c:pt>
                <c:pt idx="79">
                  <c:v>4.5165471705756062</c:v>
                </c:pt>
                <c:pt idx="80">
                  <c:v>4.4594378792717979</c:v>
                </c:pt>
                <c:pt idx="81">
                  <c:v>4.4746162927981104</c:v>
                </c:pt>
                <c:pt idx="82">
                  <c:v>4.4293080889709842</c:v>
                </c:pt>
                <c:pt idx="83">
                  <c:v>4.3484808553894805</c:v>
                </c:pt>
                <c:pt idx="84">
                  <c:v>4.2857142857142856</c:v>
                </c:pt>
                <c:pt idx="85">
                  <c:v>4.2924528301886786</c:v>
                </c:pt>
                <c:pt idx="86">
                  <c:v>4.3315853746138933</c:v>
                </c:pt>
                <c:pt idx="87">
                  <c:v>4.3083578596503669</c:v>
                </c:pt>
                <c:pt idx="88">
                  <c:v>4.2761661476012183</c:v>
                </c:pt>
                <c:pt idx="89">
                  <c:v>4.263018230692353</c:v>
                </c:pt>
                <c:pt idx="90">
                  <c:v>4.242651061513337</c:v>
                </c:pt>
                <c:pt idx="91">
                  <c:v>4.2164630052370082</c:v>
                </c:pt>
                <c:pt idx="92">
                  <c:v>4.2126179831097863</c:v>
                </c:pt>
                <c:pt idx="93">
                  <c:v>4.1964431391744172</c:v>
                </c:pt>
                <c:pt idx="94">
                  <c:v>4.2507832940340453</c:v>
                </c:pt>
                <c:pt idx="95">
                  <c:v>4.2604835361374596</c:v>
                </c:pt>
                <c:pt idx="96">
                  <c:v>4.2567994939911449</c:v>
                </c:pt>
                <c:pt idx="97">
                  <c:v>4.2466568538410954</c:v>
                </c:pt>
                <c:pt idx="98">
                  <c:v>4.2169609333788438</c:v>
                </c:pt>
                <c:pt idx="99">
                  <c:v>4.2272573554277981</c:v>
                </c:pt>
                <c:pt idx="100">
                  <c:v>4.2533743639742845</c:v>
                </c:pt>
                <c:pt idx="101">
                  <c:v>4.26457263666566</c:v>
                </c:pt>
                <c:pt idx="102">
                  <c:v>4.2790836951639468</c:v>
                </c:pt>
                <c:pt idx="103">
                  <c:v>4.2563920033220617</c:v>
                </c:pt>
                <c:pt idx="104">
                  <c:v>4.2439614238947705</c:v>
                </c:pt>
                <c:pt idx="105">
                  <c:v>4.2308367980324411</c:v>
                </c:pt>
                <c:pt idx="106">
                  <c:v>4.2566801384002559</c:v>
                </c:pt>
                <c:pt idx="107">
                  <c:v>4.250179726815241</c:v>
                </c:pt>
                <c:pt idx="108">
                  <c:v>4.2479940818300799</c:v>
                </c:pt>
                <c:pt idx="109">
                  <c:v>4.2564609518429597</c:v>
                </c:pt>
                <c:pt idx="110">
                  <c:v>4.2302416081077299</c:v>
                </c:pt>
                <c:pt idx="111">
                  <c:v>4.2169680111265642</c:v>
                </c:pt>
                <c:pt idx="112">
                  <c:v>4.2041211450698386</c:v>
                </c:pt>
                <c:pt idx="113">
                  <c:v>4.1936724156871357</c:v>
                </c:pt>
                <c:pt idx="114">
                  <c:v>4.2028946005614767</c:v>
                </c:pt>
                <c:pt idx="115">
                  <c:v>4.1974506779248193</c:v>
                </c:pt>
                <c:pt idx="116">
                  <c:v>4.1971195184866721</c:v>
                </c:pt>
                <c:pt idx="117">
                  <c:v>4.1789930971989016</c:v>
                </c:pt>
                <c:pt idx="118">
                  <c:v>4.1461032962972739</c:v>
                </c:pt>
                <c:pt idx="119">
                  <c:v>4.1267347473160516</c:v>
                </c:pt>
                <c:pt idx="120">
                  <c:v>4.1292872558961955</c:v>
                </c:pt>
                <c:pt idx="121">
                  <c:v>4.1166292192866916</c:v>
                </c:pt>
                <c:pt idx="122">
                  <c:v>4.1071337122957958</c:v>
                </c:pt>
                <c:pt idx="123">
                  <c:v>4.0881061740299947</c:v>
                </c:pt>
                <c:pt idx="124">
                  <c:v>4.0683339203945055</c:v>
                </c:pt>
                <c:pt idx="125">
                  <c:v>4.046977857570317</c:v>
                </c:pt>
                <c:pt idx="126">
                  <c:v>4.0289230616843721</c:v>
                </c:pt>
                <c:pt idx="127">
                  <c:v>4.0115737335098816</c:v>
                </c:pt>
                <c:pt idx="128">
                  <c:v>3.9891161751129682</c:v>
                </c:pt>
                <c:pt idx="129">
                  <c:v>3.9706589706589703</c:v>
                </c:pt>
                <c:pt idx="130">
                  <c:v>3.9369142204671963</c:v>
                </c:pt>
                <c:pt idx="131">
                  <c:v>3.9040870911735719</c:v>
                </c:pt>
                <c:pt idx="132">
                  <c:v>3.8801811215604318</c:v>
                </c:pt>
                <c:pt idx="133">
                  <c:v>3.8615731993917333</c:v>
                </c:pt>
                <c:pt idx="134">
                  <c:v>3.8310860058309042</c:v>
                </c:pt>
                <c:pt idx="135">
                  <c:v>3.8139409221902016</c:v>
                </c:pt>
                <c:pt idx="136">
                  <c:v>3.7951633319268949</c:v>
                </c:pt>
                <c:pt idx="137">
                  <c:v>3.7559096480476275</c:v>
                </c:pt>
                <c:pt idx="138">
                  <c:v>3.7133733224010701</c:v>
                </c:pt>
                <c:pt idx="139">
                  <c:v>3.6913037915298332</c:v>
                </c:pt>
                <c:pt idx="140">
                  <c:v>3.6486970443868629</c:v>
                </c:pt>
                <c:pt idx="141">
                  <c:v>3.6096284450352032</c:v>
                </c:pt>
                <c:pt idx="142">
                  <c:v>3.5991719444956853</c:v>
                </c:pt>
                <c:pt idx="143">
                  <c:v>3.582752701201656</c:v>
                </c:pt>
                <c:pt idx="144">
                  <c:v>3.5509895874731736</c:v>
                </c:pt>
                <c:pt idx="145">
                  <c:v>3.5178923915805105</c:v>
                </c:pt>
                <c:pt idx="146">
                  <c:v>3.4890231893572246</c:v>
                </c:pt>
                <c:pt idx="147">
                  <c:v>3.4516313680595307</c:v>
                </c:pt>
                <c:pt idx="148">
                  <c:v>3.4383791846830687</c:v>
                </c:pt>
                <c:pt idx="149">
                  <c:v>3.4093449586407329</c:v>
                </c:pt>
                <c:pt idx="150">
                  <c:v>3.38245820103878</c:v>
                </c:pt>
                <c:pt idx="151">
                  <c:v>3.3587013503497896</c:v>
                </c:pt>
                <c:pt idx="152">
                  <c:v>3.3321447673382063</c:v>
                </c:pt>
                <c:pt idx="153">
                  <c:v>3.3113400606873191</c:v>
                </c:pt>
                <c:pt idx="154">
                  <c:v>3.2909094083346426</c:v>
                </c:pt>
                <c:pt idx="155">
                  <c:v>3.2759693137051626</c:v>
                </c:pt>
                <c:pt idx="156">
                  <c:v>3.2638924433979968</c:v>
                </c:pt>
                <c:pt idx="157">
                  <c:v>3.2419414597999263</c:v>
                </c:pt>
                <c:pt idx="158">
                  <c:v>3.214943348650487</c:v>
                </c:pt>
                <c:pt idx="159">
                  <c:v>3.188898514244618</c:v>
                </c:pt>
                <c:pt idx="160">
                  <c:v>3.1653767688870182</c:v>
                </c:pt>
                <c:pt idx="161">
                  <c:v>3.1455625100304925</c:v>
                </c:pt>
                <c:pt idx="162">
                  <c:v>3.1344632410064528</c:v>
                </c:pt>
                <c:pt idx="163">
                  <c:v>3.1252938779348609</c:v>
                </c:pt>
                <c:pt idx="164">
                  <c:v>3.1056284685186042</c:v>
                </c:pt>
                <c:pt idx="165">
                  <c:v>3.0818570555894933</c:v>
                </c:pt>
                <c:pt idx="166">
                  <c:v>3.067679161823095</c:v>
                </c:pt>
                <c:pt idx="167">
                  <c:v>3.0402273067145207</c:v>
                </c:pt>
                <c:pt idx="168">
                  <c:v>3.0264798432583269</c:v>
                </c:pt>
                <c:pt idx="169">
                  <c:v>3.0299461146609348</c:v>
                </c:pt>
                <c:pt idx="170">
                  <c:v>3.0328239706934044</c:v>
                </c:pt>
                <c:pt idx="171">
                  <c:v>3.0262263304835888</c:v>
                </c:pt>
                <c:pt idx="172">
                  <c:v>3.0077341735892293</c:v>
                </c:pt>
                <c:pt idx="173">
                  <c:v>3.0019747964823051</c:v>
                </c:pt>
                <c:pt idx="174">
                  <c:v>2.9933355924545353</c:v>
                </c:pt>
                <c:pt idx="175">
                  <c:v>2.9848437983297247</c:v>
                </c:pt>
                <c:pt idx="176">
                  <c:v>2.9849285574476414</c:v>
                </c:pt>
                <c:pt idx="177">
                  <c:v>2.9827511918495557</c:v>
                </c:pt>
                <c:pt idx="178">
                  <c:v>2.9784826025147337</c:v>
                </c:pt>
                <c:pt idx="179">
                  <c:v>2.9679521404027542</c:v>
                </c:pt>
                <c:pt idx="180">
                  <c:v>2.961303462321792</c:v>
                </c:pt>
                <c:pt idx="181">
                  <c:v>2.9493472866544397</c:v>
                </c:pt>
                <c:pt idx="182">
                  <c:v>2.954554602906251</c:v>
                </c:pt>
                <c:pt idx="183">
                  <c:v>2.9627066308196026</c:v>
                </c:pt>
                <c:pt idx="184">
                  <c:v>2.9524387989542347</c:v>
                </c:pt>
                <c:pt idx="185">
                  <c:v>2.9410612372830447</c:v>
                </c:pt>
                <c:pt idx="186">
                  <c:v>2.9342540864887234</c:v>
                </c:pt>
                <c:pt idx="187">
                  <c:v>2.9120388101621346</c:v>
                </c:pt>
                <c:pt idx="188">
                  <c:v>2.8924785461887934</c:v>
                </c:pt>
                <c:pt idx="189">
                  <c:v>2.8716807521128169</c:v>
                </c:pt>
                <c:pt idx="190">
                  <c:v>2.8686848659834694</c:v>
                </c:pt>
                <c:pt idx="191">
                  <c:v>2.8687571167950239</c:v>
                </c:pt>
                <c:pt idx="192">
                  <c:v>2.8595925563646465</c:v>
                </c:pt>
                <c:pt idx="193">
                  <c:v>2.8330726574719183</c:v>
                </c:pt>
                <c:pt idx="194">
                  <c:v>2.8180972319143986</c:v>
                </c:pt>
                <c:pt idx="195">
                  <c:v>2.7836940341234397</c:v>
                </c:pt>
                <c:pt idx="196">
                  <c:v>2.7596010650300102</c:v>
                </c:pt>
                <c:pt idx="197">
                  <c:v>2.7589426646806428</c:v>
                </c:pt>
                <c:pt idx="198">
                  <c:v>2.7449352011714052</c:v>
                </c:pt>
                <c:pt idx="199">
                  <c:v>2.7192691562991409</c:v>
                </c:pt>
                <c:pt idx="200">
                  <c:v>2.6823843880843246</c:v>
                </c:pt>
                <c:pt idx="201">
                  <c:v>2.6523334012635011</c:v>
                </c:pt>
                <c:pt idx="202">
                  <c:v>2.6270559785758536</c:v>
                </c:pt>
                <c:pt idx="203">
                  <c:v>2.6038401253918497</c:v>
                </c:pt>
                <c:pt idx="204">
                  <c:v>2.6036274397024424</c:v>
                </c:pt>
                <c:pt idx="205">
                  <c:v>2.6006578518249333</c:v>
                </c:pt>
                <c:pt idx="206">
                  <c:v>2.5690194356580256</c:v>
                </c:pt>
                <c:pt idx="207">
                  <c:v>2.5090684041327855</c:v>
                </c:pt>
                <c:pt idx="208">
                  <c:v>2.4433154113023892</c:v>
                </c:pt>
                <c:pt idx="209">
                  <c:v>2.3868188465695934</c:v>
                </c:pt>
                <c:pt idx="210">
                  <c:v>2.3331541356270638</c:v>
                </c:pt>
                <c:pt idx="211">
                  <c:v>2.2923165629296709</c:v>
                </c:pt>
                <c:pt idx="212">
                  <c:v>2.2686242983272686</c:v>
                </c:pt>
                <c:pt idx="213">
                  <c:v>2.2067603717070372</c:v>
                </c:pt>
                <c:pt idx="214">
                  <c:v>2.1826303233338411</c:v>
                </c:pt>
                <c:pt idx="215">
                  <c:v>2.1072774023799559</c:v>
                </c:pt>
                <c:pt idx="216">
                  <c:v>2.0328163581124903</c:v>
                </c:pt>
                <c:pt idx="217">
                  <c:v>1.9721906923950057</c:v>
                </c:pt>
                <c:pt idx="218">
                  <c:v>1.9325954741636759</c:v>
                </c:pt>
                <c:pt idx="219">
                  <c:v>1.9009867755295464</c:v>
                </c:pt>
                <c:pt idx="220">
                  <c:v>1.872036369395303</c:v>
                </c:pt>
                <c:pt idx="221">
                  <c:v>1.8272759922564143</c:v>
                </c:pt>
                <c:pt idx="222">
                  <c:v>1.7979218503302392</c:v>
                </c:pt>
                <c:pt idx="223">
                  <c:v>1.7489987701428524</c:v>
                </c:pt>
                <c:pt idx="224">
                  <c:v>1.6981839812980004</c:v>
                </c:pt>
                <c:pt idx="225">
                  <c:v>1.646510532457383</c:v>
                </c:pt>
                <c:pt idx="226">
                  <c:v>1.6211390106638042</c:v>
                </c:pt>
                <c:pt idx="227">
                  <c:v>1.6130699707084788</c:v>
                </c:pt>
                <c:pt idx="228">
                  <c:v>1.569972479271434</c:v>
                </c:pt>
                <c:pt idx="229">
                  <c:v>1.552390063159752</c:v>
                </c:pt>
                <c:pt idx="230">
                  <c:v>1.5222346815757748</c:v>
                </c:pt>
                <c:pt idx="231">
                  <c:v>1.4855365631637503</c:v>
                </c:pt>
                <c:pt idx="232">
                  <c:v>1.4709143678105505</c:v>
                </c:pt>
                <c:pt idx="233">
                  <c:v>1.4729168941793163</c:v>
                </c:pt>
                <c:pt idx="234">
                  <c:v>1.4658898300544914</c:v>
                </c:pt>
                <c:pt idx="235">
                  <c:v>1.4756007412433041</c:v>
                </c:pt>
                <c:pt idx="236">
                  <c:v>1.4636530940878767</c:v>
                </c:pt>
                <c:pt idx="237">
                  <c:v>1.4404538591755502</c:v>
                </c:pt>
                <c:pt idx="238">
                  <c:v>1.4158531905980589</c:v>
                </c:pt>
                <c:pt idx="239">
                  <c:v>1.4107332982924299</c:v>
                </c:pt>
                <c:pt idx="240">
                  <c:v>1.4225622280074919</c:v>
                </c:pt>
                <c:pt idx="241">
                  <c:v>1.4151296344794044</c:v>
                </c:pt>
                <c:pt idx="242">
                  <c:v>1.4269465567420483</c:v>
                </c:pt>
                <c:pt idx="243">
                  <c:v>1.4534421039533045</c:v>
                </c:pt>
                <c:pt idx="244">
                  <c:v>1.4513893953759756</c:v>
                </c:pt>
                <c:pt idx="245">
                  <c:v>1.4297044923056796</c:v>
                </c:pt>
                <c:pt idx="246">
                  <c:v>1.4407522511753925</c:v>
                </c:pt>
                <c:pt idx="247">
                  <c:v>1.4817105598565261</c:v>
                </c:pt>
                <c:pt idx="248">
                  <c:v>1.5170720810042193</c:v>
                </c:pt>
                <c:pt idx="249">
                  <c:v>1.5518845009288846</c:v>
                </c:pt>
                <c:pt idx="250">
                  <c:v>1.5753875337146921</c:v>
                </c:pt>
                <c:pt idx="251">
                  <c:v>1.581041434709769</c:v>
                </c:pt>
                <c:pt idx="252">
                  <c:v>1.5717769386751383</c:v>
                </c:pt>
                <c:pt idx="253">
                  <c:v>1.5745831435781339</c:v>
                </c:pt>
                <c:pt idx="254">
                  <c:v>1.6213269178345961</c:v>
                </c:pt>
                <c:pt idx="255">
                  <c:v>1.6542080404626427</c:v>
                </c:pt>
                <c:pt idx="256">
                  <c:v>1.6851827693271062</c:v>
                </c:pt>
                <c:pt idx="257">
                  <c:v>1.7204446896449694</c:v>
                </c:pt>
                <c:pt idx="258">
                  <c:v>1.729120381464528</c:v>
                </c:pt>
                <c:pt idx="259">
                  <c:v>1.7313281558377054</c:v>
                </c:pt>
                <c:pt idx="260">
                  <c:v>1.7604739144961257</c:v>
                </c:pt>
                <c:pt idx="261">
                  <c:v>1.7964952162197629</c:v>
                </c:pt>
                <c:pt idx="262">
                  <c:v>1.8308638841969844</c:v>
                </c:pt>
                <c:pt idx="263">
                  <c:v>1.8585722432474467</c:v>
                </c:pt>
                <c:pt idx="264">
                  <c:v>1.8842809923000734</c:v>
                </c:pt>
                <c:pt idx="265">
                  <c:v>1.8894632490980161</c:v>
                </c:pt>
                <c:pt idx="266">
                  <c:v>1.8902527549209232</c:v>
                </c:pt>
                <c:pt idx="267">
                  <c:v>1.9138489163499688</c:v>
                </c:pt>
                <c:pt idx="268">
                  <c:v>1.9446473948066152</c:v>
                </c:pt>
                <c:pt idx="269">
                  <c:v>1.9630371806320923</c:v>
                </c:pt>
                <c:pt idx="270">
                  <c:v>1.9887459259139675</c:v>
                </c:pt>
                <c:pt idx="271">
                  <c:v>2.0130123190033298</c:v>
                </c:pt>
                <c:pt idx="272">
                  <c:v>2.0136545222678626</c:v>
                </c:pt>
                <c:pt idx="273">
                  <c:v>2.0134275271321633</c:v>
                </c:pt>
                <c:pt idx="274">
                  <c:v>2.031726274372391</c:v>
                </c:pt>
                <c:pt idx="275">
                  <c:v>2.0620761314299756</c:v>
                </c:pt>
                <c:pt idx="276">
                  <c:v>2.0778247577364723</c:v>
                </c:pt>
                <c:pt idx="277">
                  <c:v>2.0944962715751041</c:v>
                </c:pt>
                <c:pt idx="278">
                  <c:v>2.115185210622327</c:v>
                </c:pt>
                <c:pt idx="279">
                  <c:v>2.1119604301590313</c:v>
                </c:pt>
                <c:pt idx="280">
                  <c:v>2.1119604301590313</c:v>
                </c:pt>
                <c:pt idx="281">
                  <c:v>2.1119604301590313</c:v>
                </c:pt>
                <c:pt idx="282">
                  <c:v>2.1119604301590313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656-4E82-A89F-E6F0ADC61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132375"/>
        <c:axId val="204942512"/>
      </c:lineChart>
      <c:dateAx>
        <c:axId val="434132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chemeClr val="dk1"/>
                    </a:solidFill>
                    <a:latin typeface="+mn-lt"/>
                  </a:defRPr>
                </a:pPr>
                <a:r>
                  <a:rPr b="1" i="1">
                    <a:solidFill>
                      <a:schemeClr val="dk1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204942512"/>
        <c:crosses val="autoZero"/>
        <c:auto val="1"/>
        <c:lblOffset val="100"/>
        <c:baseTimeUnit val="days"/>
      </c:dateAx>
      <c:valAx>
        <c:axId val="204942512"/>
        <c:scaling>
          <c:orientation val="minMax"/>
          <c:max val="2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CFR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43413237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b="1" i="0">
                <a:solidFill>
                  <a:srgbClr val="000000"/>
                </a:solidFill>
                <a:latin typeface="+mn-lt"/>
              </a:rPr>
              <a:t>COVID-19 CFR liczone z I oraz z 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CFR(R) D/(D+R)</c:v>
          </c:tx>
          <c:marker>
            <c:symbol val="none"/>
          </c:marker>
          <c:cat>
            <c:strRef>
              <c:f>'R(t) Polska'!$B$16:$B$1000</c:f>
              <c:strCache>
                <c:ptCount val="283"/>
                <c:pt idx="180">
                  <c:v>12.09.2020</c:v>
                </c:pt>
                <c:pt idx="181">
                  <c:v>13.09.2020</c:v>
                </c:pt>
                <c:pt idx="182">
                  <c:v>14.09.2020</c:v>
                </c:pt>
                <c:pt idx="183">
                  <c:v>15.09.2020</c:v>
                </c:pt>
                <c:pt idx="184">
                  <c:v>16.09.2020</c:v>
                </c:pt>
                <c:pt idx="185">
                  <c:v>17.09.2020</c:v>
                </c:pt>
                <c:pt idx="186">
                  <c:v>18.09.2020</c:v>
                </c:pt>
                <c:pt idx="187">
                  <c:v>19.09.2020</c:v>
                </c:pt>
                <c:pt idx="188">
                  <c:v>20.09.2020</c:v>
                </c:pt>
                <c:pt idx="189">
                  <c:v>21.09.2020</c:v>
                </c:pt>
                <c:pt idx="190">
                  <c:v>22.09.2020</c:v>
                </c:pt>
                <c:pt idx="191">
                  <c:v>23.09.2020</c:v>
                </c:pt>
                <c:pt idx="192">
                  <c:v>24.09.2020</c:v>
                </c:pt>
                <c:pt idx="193">
                  <c:v>25.09.2020</c:v>
                </c:pt>
                <c:pt idx="194">
                  <c:v>26.09.2020</c:v>
                </c:pt>
                <c:pt idx="195">
                  <c:v>27.09.2020</c:v>
                </c:pt>
                <c:pt idx="196">
                  <c:v>28.09.2020</c:v>
                </c:pt>
                <c:pt idx="197">
                  <c:v>29.09.2020</c:v>
                </c:pt>
                <c:pt idx="198">
                  <c:v>30.09.2020</c:v>
                </c:pt>
                <c:pt idx="199">
                  <c:v>01.10.2020</c:v>
                </c:pt>
                <c:pt idx="200">
                  <c:v>02.10.2020</c:v>
                </c:pt>
                <c:pt idx="201">
                  <c:v>03.10.2020</c:v>
                </c:pt>
                <c:pt idx="202">
                  <c:v>04.10.2020</c:v>
                </c:pt>
                <c:pt idx="203">
                  <c:v>05.10.2020</c:v>
                </c:pt>
                <c:pt idx="204">
                  <c:v>06.10.2020</c:v>
                </c:pt>
                <c:pt idx="205">
                  <c:v>07.10.2020</c:v>
                </c:pt>
                <c:pt idx="206">
                  <c:v>08.10.2020</c:v>
                </c:pt>
                <c:pt idx="207">
                  <c:v>09.10.2020</c:v>
                </c:pt>
                <c:pt idx="208">
                  <c:v>10.10.2020</c:v>
                </c:pt>
                <c:pt idx="209">
                  <c:v>11.10.2020</c:v>
                </c:pt>
                <c:pt idx="210">
                  <c:v>12.10.2020</c:v>
                </c:pt>
                <c:pt idx="211">
                  <c:v>13.10.2020</c:v>
                </c:pt>
                <c:pt idx="212">
                  <c:v>14.10.2020</c:v>
                </c:pt>
                <c:pt idx="213">
                  <c:v>15.10.2020</c:v>
                </c:pt>
                <c:pt idx="214">
                  <c:v>16.10.2020</c:v>
                </c:pt>
                <c:pt idx="215">
                  <c:v>17.10.2020</c:v>
                </c:pt>
                <c:pt idx="216">
                  <c:v>18.10.2020</c:v>
                </c:pt>
                <c:pt idx="217">
                  <c:v>19.10.2020</c:v>
                </c:pt>
                <c:pt idx="218">
                  <c:v>20.10.2020</c:v>
                </c:pt>
                <c:pt idx="219">
                  <c:v>21.10.2020</c:v>
                </c:pt>
                <c:pt idx="220">
                  <c:v>22.10.2020</c:v>
                </c:pt>
                <c:pt idx="221">
                  <c:v>23.10.2020</c:v>
                </c:pt>
                <c:pt idx="222">
                  <c:v>24.10.2020</c:v>
                </c:pt>
                <c:pt idx="223">
                  <c:v>25.10.2020</c:v>
                </c:pt>
                <c:pt idx="224">
                  <c:v>26.10.2020</c:v>
                </c:pt>
                <c:pt idx="225">
                  <c:v>27.10.2020</c:v>
                </c:pt>
                <c:pt idx="226">
                  <c:v>28.10.2020</c:v>
                </c:pt>
                <c:pt idx="227">
                  <c:v>29.10.2020</c:v>
                </c:pt>
                <c:pt idx="228">
                  <c:v>30.10.2020</c:v>
                </c:pt>
                <c:pt idx="229">
                  <c:v>31.10.2020</c:v>
                </c:pt>
                <c:pt idx="230">
                  <c:v>01.11.2020</c:v>
                </c:pt>
                <c:pt idx="231">
                  <c:v>02.11.2020</c:v>
                </c:pt>
                <c:pt idx="232">
                  <c:v>03.11.2020</c:v>
                </c:pt>
                <c:pt idx="233">
                  <c:v>04.11.2020</c:v>
                </c:pt>
                <c:pt idx="234">
                  <c:v>05.11.2020</c:v>
                </c:pt>
                <c:pt idx="235">
                  <c:v>06.11.2020</c:v>
                </c:pt>
                <c:pt idx="236">
                  <c:v>07.11.2020</c:v>
                </c:pt>
                <c:pt idx="237">
                  <c:v>08.11.2020</c:v>
                </c:pt>
                <c:pt idx="238">
                  <c:v>09.11.2020</c:v>
                </c:pt>
                <c:pt idx="239">
                  <c:v>10.11.2020</c:v>
                </c:pt>
                <c:pt idx="240">
                  <c:v>11.11.2020</c:v>
                </c:pt>
                <c:pt idx="241">
                  <c:v>12.11.2020</c:v>
                </c:pt>
                <c:pt idx="242">
                  <c:v>13.11.2020</c:v>
                </c:pt>
                <c:pt idx="243">
                  <c:v>14.11.2020</c:v>
                </c:pt>
                <c:pt idx="244">
                  <c:v>15.11.2020</c:v>
                </c:pt>
                <c:pt idx="245">
                  <c:v>16.11.2020</c:v>
                </c:pt>
                <c:pt idx="246">
                  <c:v>17.11.2020</c:v>
                </c:pt>
                <c:pt idx="247">
                  <c:v>18.11.2020</c:v>
                </c:pt>
                <c:pt idx="248">
                  <c:v>19.11.2020</c:v>
                </c:pt>
                <c:pt idx="249">
                  <c:v>20.11.2020</c:v>
                </c:pt>
                <c:pt idx="250">
                  <c:v>21.11.2020</c:v>
                </c:pt>
                <c:pt idx="251">
                  <c:v>22.11.2020</c:v>
                </c:pt>
                <c:pt idx="252">
                  <c:v>23.11.2020</c:v>
                </c:pt>
                <c:pt idx="253">
                  <c:v>24.11.2020</c:v>
                </c:pt>
                <c:pt idx="254">
                  <c:v>25.11.2020</c:v>
                </c:pt>
                <c:pt idx="255">
                  <c:v>26.11.2020</c:v>
                </c:pt>
                <c:pt idx="256">
                  <c:v>27.11.2020</c:v>
                </c:pt>
                <c:pt idx="257">
                  <c:v>28.11.2020</c:v>
                </c:pt>
                <c:pt idx="258">
                  <c:v>29.11.2020</c:v>
                </c:pt>
                <c:pt idx="259">
                  <c:v>30.11.2020</c:v>
                </c:pt>
                <c:pt idx="260">
                  <c:v>01.12.2020</c:v>
                </c:pt>
                <c:pt idx="261">
                  <c:v>02.12.2020</c:v>
                </c:pt>
                <c:pt idx="262">
                  <c:v>03.12.2020</c:v>
                </c:pt>
                <c:pt idx="263">
                  <c:v>04.12.2020</c:v>
                </c:pt>
                <c:pt idx="264">
                  <c:v>05.12.2020</c:v>
                </c:pt>
                <c:pt idx="265">
                  <c:v>06.12.2020</c:v>
                </c:pt>
                <c:pt idx="266">
                  <c:v>07.12.2020</c:v>
                </c:pt>
                <c:pt idx="267">
                  <c:v>08.12.2020</c:v>
                </c:pt>
                <c:pt idx="268">
                  <c:v>09.12.2020</c:v>
                </c:pt>
                <c:pt idx="269">
                  <c:v>10.12.2020</c:v>
                </c:pt>
                <c:pt idx="270">
                  <c:v>11.12.2020</c:v>
                </c:pt>
                <c:pt idx="271">
                  <c:v>12.12.2020</c:v>
                </c:pt>
                <c:pt idx="272">
                  <c:v>13.12.2020</c:v>
                </c:pt>
                <c:pt idx="273">
                  <c:v>14.12.2020</c:v>
                </c:pt>
                <c:pt idx="274">
                  <c:v>15.12.2020</c:v>
                </c:pt>
                <c:pt idx="275">
                  <c:v>16.12.2020</c:v>
                </c:pt>
                <c:pt idx="276">
                  <c:v>17.12.2020</c:v>
                </c:pt>
                <c:pt idx="277">
                  <c:v>18.12.2020</c:v>
                </c:pt>
                <c:pt idx="278">
                  <c:v>19.12.2020</c:v>
                </c:pt>
                <c:pt idx="279">
                  <c:v>20.12.2020</c:v>
                </c:pt>
                <c:pt idx="280">
                  <c:v>#LICZBA!</c:v>
                </c:pt>
                <c:pt idx="281">
                  <c:v>#LICZBA!</c:v>
                </c:pt>
                <c:pt idx="282">
                  <c:v>#LICZBA!</c:v>
                </c:pt>
              </c:strCache>
            </c:strRef>
          </c:cat>
          <c:val>
            <c:numRef>
              <c:f>'R(t) Polska'!$M$16:$M$1000</c:f>
              <c:numCache>
                <c:formatCode>0.0000</c:formatCode>
                <c:ptCount val="985"/>
                <c:pt idx="0">
                  <c:v>100</c:v>
                </c:pt>
                <c:pt idx="1">
                  <c:v>83.333333333333343</c:v>
                </c:pt>
                <c:pt idx="2">
                  <c:v>83.333333333333343</c:v>
                </c:pt>
                <c:pt idx="3">
                  <c:v>83.333333333333343</c:v>
                </c:pt>
                <c:pt idx="4">
                  <c:v>83.333333333333343</c:v>
                </c:pt>
                <c:pt idx="5">
                  <c:v>83.333333333333343</c:v>
                </c:pt>
                <c:pt idx="6">
                  <c:v>87.5</c:v>
                </c:pt>
                <c:pt idx="7">
                  <c:v>88.888888888888886</c:v>
                </c:pt>
                <c:pt idx="8">
                  <c:v>90.909090909090907</c:v>
                </c:pt>
                <c:pt idx="9">
                  <c:v>92.857142857142861</c:v>
                </c:pt>
                <c:pt idx="10">
                  <c:v>94.117647058823522</c:v>
                </c:pt>
                <c:pt idx="11">
                  <c:v>94.117647058823522</c:v>
                </c:pt>
                <c:pt idx="12">
                  <c:v>94.73684210526315</c:v>
                </c:pt>
                <c:pt idx="13">
                  <c:v>95.652173913043484</c:v>
                </c:pt>
                <c:pt idx="14">
                  <c:v>96.875</c:v>
                </c:pt>
                <c:pt idx="15">
                  <c:v>97.058823529411768</c:v>
                </c:pt>
                <c:pt idx="16">
                  <c:v>97.727272727272734</c:v>
                </c:pt>
                <c:pt idx="17">
                  <c:v>98.275862068965509</c:v>
                </c:pt>
                <c:pt idx="18">
                  <c:v>98.611111111111114</c:v>
                </c:pt>
                <c:pt idx="19">
                  <c:v>40.512820512820511</c:v>
                </c:pt>
                <c:pt idx="20">
                  <c:v>41.228070175438596</c:v>
                </c:pt>
                <c:pt idx="21">
                  <c:v>39.776951672862452</c:v>
                </c:pt>
                <c:pt idx="22">
                  <c:v>40.3125</c:v>
                </c:pt>
                <c:pt idx="23">
                  <c:v>41.578947368421055</c:v>
                </c:pt>
                <c:pt idx="24">
                  <c:v>37.991266375545848</c:v>
                </c:pt>
                <c:pt idx="25">
                  <c:v>36.272545090180358</c:v>
                </c:pt>
                <c:pt idx="26">
                  <c:v>35.677530017152662</c:v>
                </c:pt>
                <c:pt idx="27">
                  <c:v>34.575260804769002</c:v>
                </c:pt>
                <c:pt idx="28">
                  <c:v>33.469945355191257</c:v>
                </c:pt>
                <c:pt idx="29">
                  <c:v>29.852440408626563</c:v>
                </c:pt>
                <c:pt idx="30">
                  <c:v>29.979035639412999</c:v>
                </c:pt>
                <c:pt idx="31">
                  <c:v>28.860294117647058</c:v>
                </c:pt>
                <c:pt idx="32">
                  <c:v>27.712854757929883</c:v>
                </c:pt>
                <c:pt idx="33">
                  <c:v>26.129518072289155</c:v>
                </c:pt>
                <c:pt idx="34">
                  <c:v>25.714285714285712</c:v>
                </c:pt>
                <c:pt idx="35">
                  <c:v>25.115664243225378</c:v>
                </c:pt>
                <c:pt idx="36">
                  <c:v>23.571007660577489</c:v>
                </c:pt>
                <c:pt idx="37">
                  <c:v>21.929824561403507</c:v>
                </c:pt>
                <c:pt idx="38">
                  <c:v>20.656634746922027</c:v>
                </c:pt>
                <c:pt idx="39">
                  <c:v>20.229790726302831</c:v>
                </c:pt>
                <c:pt idx="40">
                  <c:v>19.743299358248397</c:v>
                </c:pt>
                <c:pt idx="41">
                  <c:v>19.107142857142854</c:v>
                </c:pt>
                <c:pt idx="42">
                  <c:v>18.533201189296335</c:v>
                </c:pt>
                <c:pt idx="43">
                  <c:v>18.307692307692307</c:v>
                </c:pt>
                <c:pt idx="44">
                  <c:v>17.077850877192983</c:v>
                </c:pt>
                <c:pt idx="45">
                  <c:v>16.576437226089201</c:v>
                </c:pt>
                <c:pt idx="46">
                  <c:v>15.69669162038155</c:v>
                </c:pt>
                <c:pt idx="47">
                  <c:v>14.963833634719711</c:v>
                </c:pt>
                <c:pt idx="48">
                  <c:v>14.647338814366076</c:v>
                </c:pt>
                <c:pt idx="49">
                  <c:v>14.527238572323107</c:v>
                </c:pt>
                <c:pt idx="50">
                  <c:v>14.314314314314313</c:v>
                </c:pt>
                <c:pt idx="51">
                  <c:v>13.60430586488493</c:v>
                </c:pt>
                <c:pt idx="52">
                  <c:v>13.441338792949972</c:v>
                </c:pt>
                <c:pt idx="53">
                  <c:v>13.005537841919784</c:v>
                </c:pt>
                <c:pt idx="54">
                  <c:v>12.602475486256228</c:v>
                </c:pt>
                <c:pt idx="55">
                  <c:v>12.29798368477759</c:v>
                </c:pt>
                <c:pt idx="56">
                  <c:v>12.224569876245095</c:v>
                </c:pt>
                <c:pt idx="57">
                  <c:v>12.024680728942458</c:v>
                </c:pt>
                <c:pt idx="58">
                  <c:v>11.841562371063127</c:v>
                </c:pt>
                <c:pt idx="59">
                  <c:v>11.65061353740599</c:v>
                </c:pt>
                <c:pt idx="60">
                  <c:v>11.591054313099042</c:v>
                </c:pt>
                <c:pt idx="61">
                  <c:v>11.31025957972806</c:v>
                </c:pt>
                <c:pt idx="62">
                  <c:v>11.043457497612225</c:v>
                </c:pt>
                <c:pt idx="63">
                  <c:v>10.929472209248015</c:v>
                </c:pt>
                <c:pt idx="64">
                  <c:v>10.710654163371371</c:v>
                </c:pt>
                <c:pt idx="65">
                  <c:v>10.519409513395297</c:v>
                </c:pt>
                <c:pt idx="66">
                  <c:v>10.31409168081494</c:v>
                </c:pt>
                <c:pt idx="67">
                  <c:v>10.110161639040461</c:v>
                </c:pt>
                <c:pt idx="68">
                  <c:v>9.9598796389167514</c:v>
                </c:pt>
                <c:pt idx="69">
                  <c:v>9.7742885181550534</c:v>
                </c:pt>
                <c:pt idx="70">
                  <c:v>9.7928620052513864</c:v>
                </c:pt>
                <c:pt idx="71">
                  <c:v>9.2720028975009061</c:v>
                </c:pt>
                <c:pt idx="72">
                  <c:v>9.0508892410635671</c:v>
                </c:pt>
                <c:pt idx="73">
                  <c:v>8.9498189342990173</c:v>
                </c:pt>
                <c:pt idx="74">
                  <c:v>8.9500127735672308</c:v>
                </c:pt>
                <c:pt idx="75">
                  <c:v>8.7852943611824124</c:v>
                </c:pt>
                <c:pt idx="76">
                  <c:v>8.6258613700851239</c:v>
                </c:pt>
                <c:pt idx="77">
                  <c:v>8.5762197556496034</c:v>
                </c:pt>
                <c:pt idx="78">
                  <c:v>8.5192697768762677</c:v>
                </c:pt>
                <c:pt idx="79">
                  <c:v>8.4926498590905641</c:v>
                </c:pt>
                <c:pt idx="80">
                  <c:v>8.3708033573141485</c:v>
                </c:pt>
                <c:pt idx="81">
                  <c:v>8.3930021406953568</c:v>
                </c:pt>
                <c:pt idx="82">
                  <c:v>8.3454176334106727</c:v>
                </c:pt>
                <c:pt idx="83">
                  <c:v>8.2441113490364017</c:v>
                </c:pt>
                <c:pt idx="84">
                  <c:v>8.2191780821917799</c:v>
                </c:pt>
                <c:pt idx="85">
                  <c:v>8.2272758884484318</c:v>
                </c:pt>
                <c:pt idx="86">
                  <c:v>8.2506670315386188</c:v>
                </c:pt>
                <c:pt idx="87">
                  <c:v>8.1483468580242775</c:v>
                </c:pt>
                <c:pt idx="88">
                  <c:v>8.1320290144406737</c:v>
                </c:pt>
                <c:pt idx="89">
                  <c:v>8.0633596245355577</c:v>
                </c:pt>
                <c:pt idx="90">
                  <c:v>8.0591998965940679</c:v>
                </c:pt>
                <c:pt idx="91">
                  <c:v>8.0312040411791035</c:v>
                </c:pt>
                <c:pt idx="92">
                  <c:v>7.9869395956297886</c:v>
                </c:pt>
                <c:pt idx="93">
                  <c:v>7.9348429690874314</c:v>
                </c:pt>
                <c:pt idx="94">
                  <c:v>7.9119822040521859</c:v>
                </c:pt>
                <c:pt idx="95">
                  <c:v>7.832315641146077</c:v>
                </c:pt>
                <c:pt idx="96">
                  <c:v>7.6795800764534725</c:v>
                </c:pt>
                <c:pt idx="97">
                  <c:v>7.5170463994678194</c:v>
                </c:pt>
                <c:pt idx="98">
                  <c:v>7.3718470301057772</c:v>
                </c:pt>
                <c:pt idx="99">
                  <c:v>7.2567025543592996</c:v>
                </c:pt>
                <c:pt idx="100">
                  <c:v>7.1479774705581161</c:v>
                </c:pt>
                <c:pt idx="101">
                  <c:v>7.0367786305192856</c:v>
                </c:pt>
                <c:pt idx="102">
                  <c:v>6.9211023393229043</c:v>
                </c:pt>
                <c:pt idx="103">
                  <c:v>6.7034147708693412</c:v>
                </c:pt>
                <c:pt idx="104">
                  <c:v>6.5447764588165729</c:v>
                </c:pt>
                <c:pt idx="105">
                  <c:v>6.467639423507296</c:v>
                </c:pt>
                <c:pt idx="106">
                  <c:v>6.4365794680149486</c:v>
                </c:pt>
                <c:pt idx="107">
                  <c:v>6.3517985302333573</c:v>
                </c:pt>
                <c:pt idx="108">
                  <c:v>6.2990464939667534</c:v>
                </c:pt>
                <c:pt idx="109">
                  <c:v>6.2380991803957277</c:v>
                </c:pt>
                <c:pt idx="110">
                  <c:v>6.1328029872554595</c:v>
                </c:pt>
                <c:pt idx="111">
                  <c:v>6.0011083841342732</c:v>
                </c:pt>
                <c:pt idx="112">
                  <c:v>5.9640586988935107</c:v>
                </c:pt>
                <c:pt idx="113">
                  <c:v>5.9266446730060158</c:v>
                </c:pt>
                <c:pt idx="114">
                  <c:v>5.8364875094625281</c:v>
                </c:pt>
                <c:pt idx="115">
                  <c:v>5.7384934142370874</c:v>
                </c:pt>
                <c:pt idx="116">
                  <c:v>5.6573705179282872</c:v>
                </c:pt>
                <c:pt idx="117">
                  <c:v>5.5596922313229085</c:v>
                </c:pt>
                <c:pt idx="118">
                  <c:v>5.4702461784881091</c:v>
                </c:pt>
                <c:pt idx="119">
                  <c:v>5.4174830703654049</c:v>
                </c:pt>
                <c:pt idx="120">
                  <c:v>5.411668484187568</c:v>
                </c:pt>
                <c:pt idx="121">
                  <c:v>5.2981453167586254</c:v>
                </c:pt>
                <c:pt idx="122">
                  <c:v>5.2535045198480281</c:v>
                </c:pt>
                <c:pt idx="123">
                  <c:v>5.1774006941766295</c:v>
                </c:pt>
                <c:pt idx="124">
                  <c:v>5.126660537078723</c:v>
                </c:pt>
                <c:pt idx="125">
                  <c:v>5.0853830487231706</c:v>
                </c:pt>
                <c:pt idx="126">
                  <c:v>5.058135919915439</c:v>
                </c:pt>
                <c:pt idx="127">
                  <c:v>5.0482920356713059</c:v>
                </c:pt>
                <c:pt idx="128">
                  <c:v>5.0089991153412043</c:v>
                </c:pt>
                <c:pt idx="129">
                  <c:v>4.9740901422029404</c:v>
                </c:pt>
                <c:pt idx="130">
                  <c:v>4.9179840722691077</c:v>
                </c:pt>
                <c:pt idx="131">
                  <c:v>4.8821993369128309</c:v>
                </c:pt>
                <c:pt idx="132">
                  <c:v>4.8541715082500581</c:v>
                </c:pt>
                <c:pt idx="133">
                  <c:v>4.8534692459168305</c:v>
                </c:pt>
                <c:pt idx="134">
                  <c:v>4.8437724982001438</c:v>
                </c:pt>
                <c:pt idx="135">
                  <c:v>4.856094484577457</c:v>
                </c:pt>
                <c:pt idx="136">
                  <c:v>4.8342385155012453</c:v>
                </c:pt>
                <c:pt idx="137">
                  <c:v>4.8063187967397694</c:v>
                </c:pt>
                <c:pt idx="138">
                  <c:v>4.7679734035184929</c:v>
                </c:pt>
                <c:pt idx="139">
                  <c:v>4.7502744237102084</c:v>
                </c:pt>
                <c:pt idx="140">
                  <c:v>4.7305601835413649</c:v>
                </c:pt>
                <c:pt idx="141">
                  <c:v>4.7235962385171497</c:v>
                </c:pt>
                <c:pt idx="142">
                  <c:v>4.736089759149877</c:v>
                </c:pt>
                <c:pt idx="143">
                  <c:v>4.7412871498824032</c:v>
                </c:pt>
                <c:pt idx="144">
                  <c:v>4.7240139579147726</c:v>
                </c:pt>
                <c:pt idx="145">
                  <c:v>4.7116718582310293</c:v>
                </c:pt>
                <c:pt idx="146">
                  <c:v>4.6937503246921919</c:v>
                </c:pt>
                <c:pt idx="147">
                  <c:v>4.6761102207516929</c:v>
                </c:pt>
                <c:pt idx="148">
                  <c:v>4.6727053450001286</c:v>
                </c:pt>
                <c:pt idx="149">
                  <c:v>4.6398417890012933</c:v>
                </c:pt>
                <c:pt idx="150">
                  <c:v>4.6301879208119789</c:v>
                </c:pt>
                <c:pt idx="151">
                  <c:v>4.6195922426653411</c:v>
                </c:pt>
                <c:pt idx="152">
                  <c:v>4.5896566966259025</c:v>
                </c:pt>
                <c:pt idx="153">
                  <c:v>4.577267295827542</c:v>
                </c:pt>
                <c:pt idx="154">
                  <c:v>4.5703617495878186</c:v>
                </c:pt>
                <c:pt idx="155">
                  <c:v>4.5643852764871564</c:v>
                </c:pt>
                <c:pt idx="156">
                  <c:v>4.553460915928782</c:v>
                </c:pt>
                <c:pt idx="157">
                  <c:v>4.5394519643446678</c:v>
                </c:pt>
                <c:pt idx="158">
                  <c:v>4.5104382433029997</c:v>
                </c:pt>
                <c:pt idx="159">
                  <c:v>4.4735393928276617</c:v>
                </c:pt>
                <c:pt idx="160">
                  <c:v>4.4292899542344468</c:v>
                </c:pt>
                <c:pt idx="161">
                  <c:v>4.4136191677175285</c:v>
                </c:pt>
                <c:pt idx="162">
                  <c:v>4.4167914032304907</c:v>
                </c:pt>
                <c:pt idx="163">
                  <c:v>4.3927477804947896</c:v>
                </c:pt>
                <c:pt idx="164">
                  <c:v>4.3573504533032574</c:v>
                </c:pt>
                <c:pt idx="165">
                  <c:v>4.3116894216182722</c:v>
                </c:pt>
                <c:pt idx="166">
                  <c:v>4.2717793474604777</c:v>
                </c:pt>
                <c:pt idx="167">
                  <c:v>4.2156557801969932</c:v>
                </c:pt>
                <c:pt idx="168">
                  <c:v>4.1888366168827167</c:v>
                </c:pt>
                <c:pt idx="169">
                  <c:v>4.1924706649282921</c:v>
                </c:pt>
                <c:pt idx="170">
                  <c:v>4.1607432473019239</c:v>
                </c:pt>
                <c:pt idx="171">
                  <c:v>4.1274538818190782</c:v>
                </c:pt>
                <c:pt idx="172">
                  <c:v>4.0446841294298919</c:v>
                </c:pt>
                <c:pt idx="173">
                  <c:v>3.8799831065572263</c:v>
                </c:pt>
                <c:pt idx="174">
                  <c:v>3.7604654462892011</c:v>
                </c:pt>
                <c:pt idx="175">
                  <c:v>3.7092039974841007</c:v>
                </c:pt>
                <c:pt idx="176">
                  <c:v>3.6781807218537339</c:v>
                </c:pt>
                <c:pt idx="177">
                  <c:v>3.6200468952952884</c:v>
                </c:pt>
                <c:pt idx="178">
                  <c:v>3.5831105650289734</c:v>
                </c:pt>
                <c:pt idx="179">
                  <c:v>3.5531663825881736</c:v>
                </c:pt>
                <c:pt idx="180">
                  <c:v>3.5230833844861564</c:v>
                </c:pt>
                <c:pt idx="181">
                  <c:v>3.4799350794004389</c:v>
                </c:pt>
                <c:pt idx="182">
                  <c:v>3.4787279419896047</c:v>
                </c:pt>
                <c:pt idx="183">
                  <c:v>3.4904506538714837</c:v>
                </c:pt>
                <c:pt idx="184">
                  <c:v>3.4749634786933146</c:v>
                </c:pt>
                <c:pt idx="185">
                  <c:v>3.4658417593917847</c:v>
                </c:pt>
                <c:pt idx="186">
                  <c:v>3.4598435522483642</c:v>
                </c:pt>
                <c:pt idx="187">
                  <c:v>3.4486408031205591</c:v>
                </c:pt>
                <c:pt idx="188">
                  <c:v>3.4417515091449675</c:v>
                </c:pt>
                <c:pt idx="189">
                  <c:v>3.4334314883185604</c:v>
                </c:pt>
                <c:pt idx="190">
                  <c:v>3.4404862752091785</c:v>
                </c:pt>
                <c:pt idx="191">
                  <c:v>3.4504594721960413</c:v>
                </c:pt>
                <c:pt idx="192">
                  <c:v>3.4556226833610602</c:v>
                </c:pt>
                <c:pt idx="193">
                  <c:v>3.4586509670046719</c:v>
                </c:pt>
                <c:pt idx="194">
                  <c:v>3.4738849302498958</c:v>
                </c:pt>
                <c:pt idx="195">
                  <c:v>3.4563162010378901</c:v>
                </c:pt>
                <c:pt idx="196">
                  <c:v>3.4515846809471395</c:v>
                </c:pt>
                <c:pt idx="197">
                  <c:v>3.4743900219774067</c:v>
                </c:pt>
                <c:pt idx="198">
                  <c:v>3.4788870885094241</c:v>
                </c:pt>
                <c:pt idx="199">
                  <c:v>3.4849128771780711</c:v>
                </c:pt>
                <c:pt idx="200">
                  <c:v>3.475284759611482</c:v>
                </c:pt>
                <c:pt idx="201">
                  <c:v>3.4793883334224458</c:v>
                </c:pt>
                <c:pt idx="202">
                  <c:v>3.4760418870319443</c:v>
                </c:pt>
                <c:pt idx="203">
                  <c:v>3.4877312688623539</c:v>
                </c:pt>
                <c:pt idx="204">
                  <c:v>3.5330540885084685</c:v>
                </c:pt>
                <c:pt idx="205">
                  <c:v>3.5719313513444337</c:v>
                </c:pt>
                <c:pt idx="206">
                  <c:v>3.6127877817961869</c:v>
                </c:pt>
                <c:pt idx="207">
                  <c:v>3.6128920464390921</c:v>
                </c:pt>
                <c:pt idx="208">
                  <c:v>3.6264245796422379</c:v>
                </c:pt>
                <c:pt idx="209">
                  <c:v>3.6048256407178436</c:v>
                </c:pt>
                <c:pt idx="210">
                  <c:v>3.6064055841118723</c:v>
                </c:pt>
                <c:pt idx="211">
                  <c:v>3.6437342106809232</c:v>
                </c:pt>
                <c:pt idx="212">
                  <c:v>3.6949830010107507</c:v>
                </c:pt>
                <c:pt idx="213">
                  <c:v>3.7212023038156947</c:v>
                </c:pt>
                <c:pt idx="214">
                  <c:v>3.7713922357558682</c:v>
                </c:pt>
                <c:pt idx="215">
                  <c:v>3.7615011848088296</c:v>
                </c:pt>
                <c:pt idx="216">
                  <c:v>3.7132108413701364</c:v>
                </c:pt>
                <c:pt idx="217">
                  <c:v>3.7018068586880815</c:v>
                </c:pt>
                <c:pt idx="218">
                  <c:v>3.733057776618478</c:v>
                </c:pt>
                <c:pt idx="219">
                  <c:v>3.7484790967051151</c:v>
                </c:pt>
                <c:pt idx="220">
                  <c:v>3.7835497020419306</c:v>
                </c:pt>
                <c:pt idx="221">
                  <c:v>3.8182750036608577</c:v>
                </c:pt>
                <c:pt idx="222">
                  <c:v>3.8260594226608262</c:v>
                </c:pt>
                <c:pt idx="223">
                  <c:v>3.7904934390377254</c:v>
                </c:pt>
                <c:pt idx="224">
                  <c:v>3.7417351232217988</c:v>
                </c:pt>
                <c:pt idx="225">
                  <c:v>3.7254442838572155</c:v>
                </c:pt>
                <c:pt idx="226">
                  <c:v>3.7771129394166039</c:v>
                </c:pt>
                <c:pt idx="227">
                  <c:v>3.8306451612903225</c:v>
                </c:pt>
                <c:pt idx="228">
                  <c:v>3.8200963769409242</c:v>
                </c:pt>
                <c:pt idx="229">
                  <c:v>3.8592018422188867</c:v>
                </c:pt>
                <c:pt idx="230">
                  <c:v>3.7951672813660764</c:v>
                </c:pt>
                <c:pt idx="231">
                  <c:v>3.6652775004991014</c:v>
                </c:pt>
                <c:pt idx="232">
                  <c:v>3.6739559751457063</c:v>
                </c:pt>
                <c:pt idx="233">
                  <c:v>3.6902766852491533</c:v>
                </c:pt>
                <c:pt idx="234">
                  <c:v>3.7074170017667267</c:v>
                </c:pt>
                <c:pt idx="235">
                  <c:v>3.718086762161859</c:v>
                </c:pt>
                <c:pt idx="236">
                  <c:v>3.6681159768430662</c:v>
                </c:pt>
                <c:pt idx="237">
                  <c:v>3.6232818067153394</c:v>
                </c:pt>
                <c:pt idx="238">
                  <c:v>3.5371457467625267</c:v>
                </c:pt>
                <c:pt idx="239">
                  <c:v>3.5032526617440962</c:v>
                </c:pt>
                <c:pt idx="240">
                  <c:v>3.4977232813356749</c:v>
                </c:pt>
                <c:pt idx="241">
                  <c:v>3.4461160017765833</c:v>
                </c:pt>
                <c:pt idx="242">
                  <c:v>3.4275670661945958</c:v>
                </c:pt>
                <c:pt idx="243">
                  <c:v>3.4370081434339284</c:v>
                </c:pt>
                <c:pt idx="244">
                  <c:v>3.3913302810923835</c:v>
                </c:pt>
                <c:pt idx="245">
                  <c:v>3.3145558002356932</c:v>
                </c:pt>
                <c:pt idx="246">
                  <c:v>3.2369528242771466</c:v>
                </c:pt>
                <c:pt idx="247">
                  <c:v>3.2326089534036826</c:v>
                </c:pt>
                <c:pt idx="248">
                  <c:v>3.2323102675587072</c:v>
                </c:pt>
                <c:pt idx="249">
                  <c:v>3.2226993211901229</c:v>
                </c:pt>
                <c:pt idx="250">
                  <c:v>3.1610774497279732</c:v>
                </c:pt>
                <c:pt idx="251">
                  <c:v>3.1120526338641969</c:v>
                </c:pt>
                <c:pt idx="252">
                  <c:v>3.0430229629596899</c:v>
                </c:pt>
                <c:pt idx="253">
                  <c:v>3.0518238666527373</c:v>
                </c:pt>
                <c:pt idx="254">
                  <c:v>3.0934026810315469</c:v>
                </c:pt>
                <c:pt idx="255">
                  <c:v>3.0499356433800839</c:v>
                </c:pt>
                <c:pt idx="256">
                  <c:v>3.030689793030183</c:v>
                </c:pt>
                <c:pt idx="257">
                  <c:v>3.0171940059709668</c:v>
                </c:pt>
                <c:pt idx="258">
                  <c:v>2.954074711427372</c:v>
                </c:pt>
                <c:pt idx="259">
                  <c:v>2.8839815425181281</c:v>
                </c:pt>
                <c:pt idx="260">
                  <c:v>2.8607515101074794</c:v>
                </c:pt>
                <c:pt idx="261">
                  <c:v>2.8397287535013129</c:v>
                </c:pt>
                <c:pt idx="262">
                  <c:v>2.8296272250175836</c:v>
                </c:pt>
                <c:pt idx="263">
                  <c:v>2.8229499017166053</c:v>
                </c:pt>
                <c:pt idx="264">
                  <c:v>2.8061336223156927</c:v>
                </c:pt>
                <c:pt idx="265">
                  <c:v>2.7639998954333258</c:v>
                </c:pt>
                <c:pt idx="266">
                  <c:v>2.717514983969072</c:v>
                </c:pt>
                <c:pt idx="267">
                  <c:v>2.7114823217725763</c:v>
                </c:pt>
                <c:pt idx="268">
                  <c:v>2.6805134526052035</c:v>
                </c:pt>
                <c:pt idx="269">
                  <c:v>2.6580677825717758</c:v>
                </c:pt>
                <c:pt idx="270">
                  <c:v>2.6475469535419629</c:v>
                </c:pt>
                <c:pt idx="271">
                  <c:v>2.6269176811856116</c:v>
                </c:pt>
                <c:pt idx="272">
                  <c:v>2.5929987672368529</c:v>
                </c:pt>
                <c:pt idx="273">
                  <c:v>2.5736592255482758</c:v>
                </c:pt>
                <c:pt idx="274">
                  <c:v>2.5811216789194922</c:v>
                </c:pt>
                <c:pt idx="275">
                  <c:v>2.6090922183284531</c:v>
                </c:pt>
                <c:pt idx="276">
                  <c:v>2.6242489441561547</c:v>
                </c:pt>
                <c:pt idx="277">
                  <c:v>2.634240338938711</c:v>
                </c:pt>
                <c:pt idx="278">
                  <c:v>2.6500114903087901</c:v>
                </c:pt>
                <c:pt idx="279">
                  <c:v>2.6353828449516601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364-44DB-881F-029CD4087B6F}"/>
            </c:ext>
          </c:extLst>
        </c:ser>
        <c:ser>
          <c:idx val="1"/>
          <c:order val="1"/>
          <c:tx>
            <c:v>CFR(I) D/I</c:v>
          </c:tx>
          <c:spPr>
            <a:ln w="19050" cmpd="sng">
              <a:solidFill>
                <a:srgbClr val="000000"/>
              </a:solidFill>
            </a:ln>
          </c:spPr>
          <c:marker>
            <c:symbol val="none"/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2364-44DB-881F-029CD4087B6F}"/>
              </c:ext>
            </c:extLst>
          </c:dPt>
          <c:cat>
            <c:strRef>
              <c:f>'R(t) Polska'!$B$16:$B$1000</c:f>
              <c:strCache>
                <c:ptCount val="283"/>
                <c:pt idx="180">
                  <c:v>12.09.2020</c:v>
                </c:pt>
                <c:pt idx="181">
                  <c:v>13.09.2020</c:v>
                </c:pt>
                <c:pt idx="182">
                  <c:v>14.09.2020</c:v>
                </c:pt>
                <c:pt idx="183">
                  <c:v>15.09.2020</c:v>
                </c:pt>
                <c:pt idx="184">
                  <c:v>16.09.2020</c:v>
                </c:pt>
                <c:pt idx="185">
                  <c:v>17.09.2020</c:v>
                </c:pt>
                <c:pt idx="186">
                  <c:v>18.09.2020</c:v>
                </c:pt>
                <c:pt idx="187">
                  <c:v>19.09.2020</c:v>
                </c:pt>
                <c:pt idx="188">
                  <c:v>20.09.2020</c:v>
                </c:pt>
                <c:pt idx="189">
                  <c:v>21.09.2020</c:v>
                </c:pt>
                <c:pt idx="190">
                  <c:v>22.09.2020</c:v>
                </c:pt>
                <c:pt idx="191">
                  <c:v>23.09.2020</c:v>
                </c:pt>
                <c:pt idx="192">
                  <c:v>24.09.2020</c:v>
                </c:pt>
                <c:pt idx="193">
                  <c:v>25.09.2020</c:v>
                </c:pt>
                <c:pt idx="194">
                  <c:v>26.09.2020</c:v>
                </c:pt>
                <c:pt idx="195">
                  <c:v>27.09.2020</c:v>
                </c:pt>
                <c:pt idx="196">
                  <c:v>28.09.2020</c:v>
                </c:pt>
                <c:pt idx="197">
                  <c:v>29.09.2020</c:v>
                </c:pt>
                <c:pt idx="198">
                  <c:v>30.09.2020</c:v>
                </c:pt>
                <c:pt idx="199">
                  <c:v>01.10.2020</c:v>
                </c:pt>
                <c:pt idx="200">
                  <c:v>02.10.2020</c:v>
                </c:pt>
                <c:pt idx="201">
                  <c:v>03.10.2020</c:v>
                </c:pt>
                <c:pt idx="202">
                  <c:v>04.10.2020</c:v>
                </c:pt>
                <c:pt idx="203">
                  <c:v>05.10.2020</c:v>
                </c:pt>
                <c:pt idx="204">
                  <c:v>06.10.2020</c:v>
                </c:pt>
                <c:pt idx="205">
                  <c:v>07.10.2020</c:v>
                </c:pt>
                <c:pt idx="206">
                  <c:v>08.10.2020</c:v>
                </c:pt>
                <c:pt idx="207">
                  <c:v>09.10.2020</c:v>
                </c:pt>
                <c:pt idx="208">
                  <c:v>10.10.2020</c:v>
                </c:pt>
                <c:pt idx="209">
                  <c:v>11.10.2020</c:v>
                </c:pt>
                <c:pt idx="210">
                  <c:v>12.10.2020</c:v>
                </c:pt>
                <c:pt idx="211">
                  <c:v>13.10.2020</c:v>
                </c:pt>
                <c:pt idx="212">
                  <c:v>14.10.2020</c:v>
                </c:pt>
                <c:pt idx="213">
                  <c:v>15.10.2020</c:v>
                </c:pt>
                <c:pt idx="214">
                  <c:v>16.10.2020</c:v>
                </c:pt>
                <c:pt idx="215">
                  <c:v>17.10.2020</c:v>
                </c:pt>
                <c:pt idx="216">
                  <c:v>18.10.2020</c:v>
                </c:pt>
                <c:pt idx="217">
                  <c:v>19.10.2020</c:v>
                </c:pt>
                <c:pt idx="218">
                  <c:v>20.10.2020</c:v>
                </c:pt>
                <c:pt idx="219">
                  <c:v>21.10.2020</c:v>
                </c:pt>
                <c:pt idx="220">
                  <c:v>22.10.2020</c:v>
                </c:pt>
                <c:pt idx="221">
                  <c:v>23.10.2020</c:v>
                </c:pt>
                <c:pt idx="222">
                  <c:v>24.10.2020</c:v>
                </c:pt>
                <c:pt idx="223">
                  <c:v>25.10.2020</c:v>
                </c:pt>
                <c:pt idx="224">
                  <c:v>26.10.2020</c:v>
                </c:pt>
                <c:pt idx="225">
                  <c:v>27.10.2020</c:v>
                </c:pt>
                <c:pt idx="226">
                  <c:v>28.10.2020</c:v>
                </c:pt>
                <c:pt idx="227">
                  <c:v>29.10.2020</c:v>
                </c:pt>
                <c:pt idx="228">
                  <c:v>30.10.2020</c:v>
                </c:pt>
                <c:pt idx="229">
                  <c:v>31.10.2020</c:v>
                </c:pt>
                <c:pt idx="230">
                  <c:v>01.11.2020</c:v>
                </c:pt>
                <c:pt idx="231">
                  <c:v>02.11.2020</c:v>
                </c:pt>
                <c:pt idx="232">
                  <c:v>03.11.2020</c:v>
                </c:pt>
                <c:pt idx="233">
                  <c:v>04.11.2020</c:v>
                </c:pt>
                <c:pt idx="234">
                  <c:v>05.11.2020</c:v>
                </c:pt>
                <c:pt idx="235">
                  <c:v>06.11.2020</c:v>
                </c:pt>
                <c:pt idx="236">
                  <c:v>07.11.2020</c:v>
                </c:pt>
                <c:pt idx="237">
                  <c:v>08.11.2020</c:v>
                </c:pt>
                <c:pt idx="238">
                  <c:v>09.11.2020</c:v>
                </c:pt>
                <c:pt idx="239">
                  <c:v>10.11.2020</c:v>
                </c:pt>
                <c:pt idx="240">
                  <c:v>11.11.2020</c:v>
                </c:pt>
                <c:pt idx="241">
                  <c:v>12.11.2020</c:v>
                </c:pt>
                <c:pt idx="242">
                  <c:v>13.11.2020</c:v>
                </c:pt>
                <c:pt idx="243">
                  <c:v>14.11.2020</c:v>
                </c:pt>
                <c:pt idx="244">
                  <c:v>15.11.2020</c:v>
                </c:pt>
                <c:pt idx="245">
                  <c:v>16.11.2020</c:v>
                </c:pt>
                <c:pt idx="246">
                  <c:v>17.11.2020</c:v>
                </c:pt>
                <c:pt idx="247">
                  <c:v>18.11.2020</c:v>
                </c:pt>
                <c:pt idx="248">
                  <c:v>19.11.2020</c:v>
                </c:pt>
                <c:pt idx="249">
                  <c:v>20.11.2020</c:v>
                </c:pt>
                <c:pt idx="250">
                  <c:v>21.11.2020</c:v>
                </c:pt>
                <c:pt idx="251">
                  <c:v>22.11.2020</c:v>
                </c:pt>
                <c:pt idx="252">
                  <c:v>23.11.2020</c:v>
                </c:pt>
                <c:pt idx="253">
                  <c:v>24.11.2020</c:v>
                </c:pt>
                <c:pt idx="254">
                  <c:v>25.11.2020</c:v>
                </c:pt>
                <c:pt idx="255">
                  <c:v>26.11.2020</c:v>
                </c:pt>
                <c:pt idx="256">
                  <c:v>27.11.2020</c:v>
                </c:pt>
                <c:pt idx="257">
                  <c:v>28.11.2020</c:v>
                </c:pt>
                <c:pt idx="258">
                  <c:v>29.11.2020</c:v>
                </c:pt>
                <c:pt idx="259">
                  <c:v>30.11.2020</c:v>
                </c:pt>
                <c:pt idx="260">
                  <c:v>01.12.2020</c:v>
                </c:pt>
                <c:pt idx="261">
                  <c:v>02.12.2020</c:v>
                </c:pt>
                <c:pt idx="262">
                  <c:v>03.12.2020</c:v>
                </c:pt>
                <c:pt idx="263">
                  <c:v>04.12.2020</c:v>
                </c:pt>
                <c:pt idx="264">
                  <c:v>05.12.2020</c:v>
                </c:pt>
                <c:pt idx="265">
                  <c:v>06.12.2020</c:v>
                </c:pt>
                <c:pt idx="266">
                  <c:v>07.12.2020</c:v>
                </c:pt>
                <c:pt idx="267">
                  <c:v>08.12.2020</c:v>
                </c:pt>
                <c:pt idx="268">
                  <c:v>09.12.2020</c:v>
                </c:pt>
                <c:pt idx="269">
                  <c:v>10.12.2020</c:v>
                </c:pt>
                <c:pt idx="270">
                  <c:v>11.12.2020</c:v>
                </c:pt>
                <c:pt idx="271">
                  <c:v>12.12.2020</c:v>
                </c:pt>
                <c:pt idx="272">
                  <c:v>13.12.2020</c:v>
                </c:pt>
                <c:pt idx="273">
                  <c:v>14.12.2020</c:v>
                </c:pt>
                <c:pt idx="274">
                  <c:v>15.12.2020</c:v>
                </c:pt>
                <c:pt idx="275">
                  <c:v>16.12.2020</c:v>
                </c:pt>
                <c:pt idx="276">
                  <c:v>17.12.2020</c:v>
                </c:pt>
                <c:pt idx="277">
                  <c:v>18.12.2020</c:v>
                </c:pt>
                <c:pt idx="278">
                  <c:v>19.12.2020</c:v>
                </c:pt>
                <c:pt idx="279">
                  <c:v>20.12.2020</c:v>
                </c:pt>
                <c:pt idx="280">
                  <c:v>#LICZBA!</c:v>
                </c:pt>
                <c:pt idx="281">
                  <c:v>#LICZBA!</c:v>
                </c:pt>
                <c:pt idx="282">
                  <c:v>#LICZBA!</c:v>
                </c:pt>
              </c:strCache>
            </c:strRef>
          </c:cat>
          <c:val>
            <c:numRef>
              <c:f>'R(t) Polska'!$N$16:$N$1000</c:f>
              <c:numCache>
                <c:formatCode>0.0000</c:formatCode>
                <c:ptCount val="985"/>
                <c:pt idx="0">
                  <c:v>2.2598870056497176</c:v>
                </c:pt>
                <c:pt idx="1">
                  <c:v>2.1008403361344539</c:v>
                </c:pt>
                <c:pt idx="2">
                  <c:v>1.7421602787456445</c:v>
                </c:pt>
                <c:pt idx="3">
                  <c:v>1.4084507042253522</c:v>
                </c:pt>
                <c:pt idx="4">
                  <c:v>1.1764705882352942</c:v>
                </c:pt>
                <c:pt idx="5">
                  <c:v>0.93283582089552231</c:v>
                </c:pt>
                <c:pt idx="6">
                  <c:v>1.1041009463722398</c:v>
                </c:pt>
                <c:pt idx="7">
                  <c:v>1.0680907877169559</c:v>
                </c:pt>
                <c:pt idx="8">
                  <c:v>1.1098779134295227</c:v>
                </c:pt>
                <c:pt idx="9">
                  <c:v>1.2369172216936251</c:v>
                </c:pt>
                <c:pt idx="10">
                  <c:v>1.3104013104013106</c:v>
                </c:pt>
                <c:pt idx="11">
                  <c:v>1.1519078473722102</c:v>
                </c:pt>
                <c:pt idx="12">
                  <c:v>1.098901098901099</c:v>
                </c:pt>
                <c:pt idx="13">
                  <c:v>1.1815252416756177</c:v>
                </c:pt>
                <c:pt idx="14">
                  <c:v>1.5085158150851581</c:v>
                </c:pt>
                <c:pt idx="15">
                  <c:v>1.4279532669839896</c:v>
                </c:pt>
                <c:pt idx="16">
                  <c:v>1.6836335160532498</c:v>
                </c:pt>
                <c:pt idx="17">
                  <c:v>1.9348268839103868</c:v>
                </c:pt>
                <c:pt idx="18">
                  <c:v>2.0987289388117056</c:v>
                </c:pt>
                <c:pt idx="19">
                  <c:v>2.1781086297215331</c:v>
                </c:pt>
                <c:pt idx="20">
                  <c:v>2.2915650901999025</c:v>
                </c:pt>
                <c:pt idx="21">
                  <c:v>2.4246544300929074</c:v>
                </c:pt>
                <c:pt idx="22">
                  <c:v>2.6608910891089108</c:v>
                </c:pt>
                <c:pt idx="23">
                  <c:v>3.0355427473583094</c:v>
                </c:pt>
                <c:pt idx="24">
                  <c:v>3.1210762331838566</c:v>
                </c:pt>
                <c:pt idx="25">
                  <c:v>3.0394626364399664</c:v>
                </c:pt>
                <c:pt idx="26">
                  <c:v>3.2724984266834483</c:v>
                </c:pt>
                <c:pt idx="27">
                  <c:v>3.4761762061732093</c:v>
                </c:pt>
                <c:pt idx="28">
                  <c:v>3.5343335256780151</c:v>
                </c:pt>
                <c:pt idx="29">
                  <c:v>3.6517633990558176</c:v>
                </c:pt>
                <c:pt idx="30">
                  <c:v>3.7720917963597991</c:v>
                </c:pt>
                <c:pt idx="31">
                  <c:v>3.9656478908815358</c:v>
                </c:pt>
                <c:pt idx="32">
                  <c:v>3.9641791044776116</c:v>
                </c:pt>
                <c:pt idx="33">
                  <c:v>3.984383970605121</c:v>
                </c:pt>
                <c:pt idx="34">
                  <c:v>3.9028620988725069</c:v>
                </c:pt>
                <c:pt idx="35">
                  <c:v>3.9874081846799578</c:v>
                </c:pt>
                <c:pt idx="36">
                  <c:v>4.0845501889104465</c:v>
                </c:pt>
                <c:pt idx="37">
                  <c:v>4.2054225212744907</c:v>
                </c:pt>
                <c:pt idx="38">
                  <c:v>4.3357580398162332</c:v>
                </c:pt>
                <c:pt idx="39">
                  <c:v>4.5525902668759812</c:v>
                </c:pt>
                <c:pt idx="40">
                  <c:v>4.6654772524531669</c:v>
                </c:pt>
                <c:pt idx="41">
                  <c:v>4.6304310195603255</c:v>
                </c:pt>
                <c:pt idx="42">
                  <c:v>4.7385758932342261</c:v>
                </c:pt>
                <c:pt idx="43">
                  <c:v>4.895104895104895</c:v>
                </c:pt>
                <c:pt idx="44">
                  <c:v>4.9534865230182081</c:v>
                </c:pt>
                <c:pt idx="45">
                  <c:v>4.9933990836374935</c:v>
                </c:pt>
                <c:pt idx="46">
                  <c:v>4.9599389545974821</c:v>
                </c:pt>
                <c:pt idx="47">
                  <c:v>4.9495327102803737</c:v>
                </c:pt>
                <c:pt idx="48">
                  <c:v>4.9441320382677283</c:v>
                </c:pt>
                <c:pt idx="49">
                  <c:v>4.9692988719120379</c:v>
                </c:pt>
                <c:pt idx="50">
                  <c:v>4.9611434915348323</c:v>
                </c:pt>
                <c:pt idx="51">
                  <c:v>4.9786049038918705</c:v>
                </c:pt>
                <c:pt idx="52">
                  <c:v>5.0246239850925063</c:v>
                </c:pt>
                <c:pt idx="53">
                  <c:v>5.0445876456421272</c:v>
                </c:pt>
                <c:pt idx="54">
                  <c:v>5.0092645837326684</c:v>
                </c:pt>
                <c:pt idx="55">
                  <c:v>4.9949987496874213</c:v>
                </c:pt>
                <c:pt idx="56">
                  <c:v>4.9614112458654906</c:v>
                </c:pt>
                <c:pt idx="57">
                  <c:v>4.9638668404217512</c:v>
                </c:pt>
                <c:pt idx="58">
                  <c:v>5.0046500813764245</c:v>
                </c:pt>
                <c:pt idx="59">
                  <c:v>5.0127732046551232</c:v>
                </c:pt>
                <c:pt idx="60">
                  <c:v>5.034413854351687</c:v>
                </c:pt>
                <c:pt idx="61">
                  <c:v>5.0117763049789117</c:v>
                </c:pt>
                <c:pt idx="62">
                  <c:v>4.9921744292730317</c:v>
                </c:pt>
                <c:pt idx="63">
                  <c:v>4.9563145353455118</c:v>
                </c:pt>
                <c:pt idx="64">
                  <c:v>4.9203300980951887</c:v>
                </c:pt>
                <c:pt idx="65">
                  <c:v>4.873847400952477</c:v>
                </c:pt>
                <c:pt idx="66">
                  <c:v>4.8259768631150388</c:v>
                </c:pt>
                <c:pt idx="67">
                  <c:v>4.7642150203764801</c:v>
                </c:pt>
                <c:pt idx="68">
                  <c:v>4.7450661824437326</c:v>
                </c:pt>
                <c:pt idx="69">
                  <c:v>4.6786922209695607</c:v>
                </c:pt>
                <c:pt idx="70">
                  <c:v>4.6557862129548298</c:v>
                </c:pt>
                <c:pt idx="71">
                  <c:v>4.6393620877129393</c:v>
                </c:pt>
                <c:pt idx="72">
                  <c:v>4.5751924874271221</c:v>
                </c:pt>
                <c:pt idx="73">
                  <c:v>4.5484422242671227</c:v>
                </c:pt>
                <c:pt idx="74">
                  <c:v>4.5393685483522654</c:v>
                </c:pt>
                <c:pt idx="75">
                  <c:v>4.5024400594101417</c:v>
                </c:pt>
                <c:pt idx="76">
                  <c:v>4.4735956945845947</c:v>
                </c:pt>
                <c:pt idx="77">
                  <c:v>4.4455482428908484</c:v>
                </c:pt>
                <c:pt idx="78">
                  <c:v>4.4763271162123388</c:v>
                </c:pt>
                <c:pt idx="79">
                  <c:v>4.5165471705756062</c:v>
                </c:pt>
                <c:pt idx="80">
                  <c:v>4.4594378792717979</c:v>
                </c:pt>
                <c:pt idx="81">
                  <c:v>4.4746162927981104</c:v>
                </c:pt>
                <c:pt idx="82">
                  <c:v>4.4293080889709842</c:v>
                </c:pt>
                <c:pt idx="83">
                  <c:v>4.3484808553894805</c:v>
                </c:pt>
                <c:pt idx="84">
                  <c:v>4.2857142857142856</c:v>
                </c:pt>
                <c:pt idx="85">
                  <c:v>4.2924528301886786</c:v>
                </c:pt>
                <c:pt idx="86">
                  <c:v>4.3315853746138933</c:v>
                </c:pt>
                <c:pt idx="87">
                  <c:v>4.3083578596503669</c:v>
                </c:pt>
                <c:pt idx="88">
                  <c:v>4.2761661476012183</c:v>
                </c:pt>
                <c:pt idx="89">
                  <c:v>4.263018230692353</c:v>
                </c:pt>
                <c:pt idx="90">
                  <c:v>4.242651061513337</c:v>
                </c:pt>
                <c:pt idx="91">
                  <c:v>4.2164630052370082</c:v>
                </c:pt>
                <c:pt idx="92">
                  <c:v>4.2126179831097863</c:v>
                </c:pt>
                <c:pt idx="93">
                  <c:v>4.1964431391744172</c:v>
                </c:pt>
                <c:pt idx="94">
                  <c:v>4.2507832940340453</c:v>
                </c:pt>
                <c:pt idx="95">
                  <c:v>4.2604835361374596</c:v>
                </c:pt>
                <c:pt idx="96">
                  <c:v>4.2567994939911449</c:v>
                </c:pt>
                <c:pt idx="97">
                  <c:v>4.2466568538410954</c:v>
                </c:pt>
                <c:pt idx="98">
                  <c:v>4.2169609333788438</c:v>
                </c:pt>
                <c:pt idx="99">
                  <c:v>4.2272573554277981</c:v>
                </c:pt>
                <c:pt idx="100">
                  <c:v>4.2533743639742845</c:v>
                </c:pt>
                <c:pt idx="101">
                  <c:v>4.26457263666566</c:v>
                </c:pt>
                <c:pt idx="102">
                  <c:v>4.2790836951639468</c:v>
                </c:pt>
                <c:pt idx="103">
                  <c:v>4.2563920033220617</c:v>
                </c:pt>
                <c:pt idx="104">
                  <c:v>4.2439614238947705</c:v>
                </c:pt>
                <c:pt idx="105">
                  <c:v>4.2308367980324411</c:v>
                </c:pt>
                <c:pt idx="106">
                  <c:v>4.2566801384002559</c:v>
                </c:pt>
                <c:pt idx="107">
                  <c:v>4.250179726815241</c:v>
                </c:pt>
                <c:pt idx="108">
                  <c:v>4.2479940818300799</c:v>
                </c:pt>
                <c:pt idx="109">
                  <c:v>4.2564609518429597</c:v>
                </c:pt>
                <c:pt idx="110">
                  <c:v>4.2302416081077299</c:v>
                </c:pt>
                <c:pt idx="111">
                  <c:v>4.2169680111265642</c:v>
                </c:pt>
                <c:pt idx="112">
                  <c:v>4.2041211450698386</c:v>
                </c:pt>
                <c:pt idx="113">
                  <c:v>4.1936724156871357</c:v>
                </c:pt>
                <c:pt idx="114">
                  <c:v>4.2028946005614767</c:v>
                </c:pt>
                <c:pt idx="115">
                  <c:v>4.1974506779248193</c:v>
                </c:pt>
                <c:pt idx="116">
                  <c:v>4.1971195184866721</c:v>
                </c:pt>
                <c:pt idx="117">
                  <c:v>4.1789930971989016</c:v>
                </c:pt>
                <c:pt idx="118">
                  <c:v>4.1461032962972739</c:v>
                </c:pt>
                <c:pt idx="119">
                  <c:v>4.1267347473160516</c:v>
                </c:pt>
                <c:pt idx="120">
                  <c:v>4.1292872558961955</c:v>
                </c:pt>
                <c:pt idx="121">
                  <c:v>4.1166292192866916</c:v>
                </c:pt>
                <c:pt idx="122">
                  <c:v>4.1071337122957958</c:v>
                </c:pt>
                <c:pt idx="123">
                  <c:v>4.0881061740299947</c:v>
                </c:pt>
                <c:pt idx="124">
                  <c:v>4.0683339203945055</c:v>
                </c:pt>
                <c:pt idx="125">
                  <c:v>4.046977857570317</c:v>
                </c:pt>
                <c:pt idx="126">
                  <c:v>4.0289230616843721</c:v>
                </c:pt>
                <c:pt idx="127">
                  <c:v>4.0115737335098816</c:v>
                </c:pt>
                <c:pt idx="128">
                  <c:v>3.9891161751129682</c:v>
                </c:pt>
                <c:pt idx="129">
                  <c:v>3.9706589706589703</c:v>
                </c:pt>
                <c:pt idx="130">
                  <c:v>3.9369142204671963</c:v>
                </c:pt>
                <c:pt idx="131">
                  <c:v>3.9040870911735719</c:v>
                </c:pt>
                <c:pt idx="132">
                  <c:v>3.8801811215604318</c:v>
                </c:pt>
                <c:pt idx="133">
                  <c:v>3.8615731993917333</c:v>
                </c:pt>
                <c:pt idx="134">
                  <c:v>3.8310860058309042</c:v>
                </c:pt>
                <c:pt idx="135">
                  <c:v>3.8139409221902016</c:v>
                </c:pt>
                <c:pt idx="136">
                  <c:v>3.7951633319268949</c:v>
                </c:pt>
                <c:pt idx="137">
                  <c:v>3.7559096480476275</c:v>
                </c:pt>
                <c:pt idx="138">
                  <c:v>3.7133733224010701</c:v>
                </c:pt>
                <c:pt idx="139">
                  <c:v>3.6913037915298332</c:v>
                </c:pt>
                <c:pt idx="140">
                  <c:v>3.6486970443868629</c:v>
                </c:pt>
                <c:pt idx="141">
                  <c:v>3.6096284450352032</c:v>
                </c:pt>
                <c:pt idx="142">
                  <c:v>3.5991719444956853</c:v>
                </c:pt>
                <c:pt idx="143">
                  <c:v>3.582752701201656</c:v>
                </c:pt>
                <c:pt idx="144">
                  <c:v>3.5509895874731736</c:v>
                </c:pt>
                <c:pt idx="145">
                  <c:v>3.5178923915805105</c:v>
                </c:pt>
                <c:pt idx="146">
                  <c:v>3.4890231893572246</c:v>
                </c:pt>
                <c:pt idx="147">
                  <c:v>3.4516313680595307</c:v>
                </c:pt>
                <c:pt idx="148">
                  <c:v>3.4383791846830687</c:v>
                </c:pt>
                <c:pt idx="149">
                  <c:v>3.4093449586407329</c:v>
                </c:pt>
                <c:pt idx="150">
                  <c:v>3.38245820103878</c:v>
                </c:pt>
                <c:pt idx="151">
                  <c:v>3.3587013503497896</c:v>
                </c:pt>
                <c:pt idx="152">
                  <c:v>3.3321447673382063</c:v>
                </c:pt>
                <c:pt idx="153">
                  <c:v>3.3113400606873191</c:v>
                </c:pt>
                <c:pt idx="154">
                  <c:v>3.2909094083346426</c:v>
                </c:pt>
                <c:pt idx="155">
                  <c:v>3.2759693137051626</c:v>
                </c:pt>
                <c:pt idx="156">
                  <c:v>3.2638924433979968</c:v>
                </c:pt>
                <c:pt idx="157">
                  <c:v>3.2419414597999263</c:v>
                </c:pt>
                <c:pt idx="158">
                  <c:v>3.214943348650487</c:v>
                </c:pt>
                <c:pt idx="159">
                  <c:v>3.188898514244618</c:v>
                </c:pt>
                <c:pt idx="160">
                  <c:v>3.1653767688870182</c:v>
                </c:pt>
                <c:pt idx="161">
                  <c:v>3.1455625100304925</c:v>
                </c:pt>
                <c:pt idx="162">
                  <c:v>3.1344632410064528</c:v>
                </c:pt>
                <c:pt idx="163">
                  <c:v>3.1252938779348609</c:v>
                </c:pt>
                <c:pt idx="164">
                  <c:v>3.1056284685186042</c:v>
                </c:pt>
                <c:pt idx="165">
                  <c:v>3.0818570555894933</c:v>
                </c:pt>
                <c:pt idx="166">
                  <c:v>3.067679161823095</c:v>
                </c:pt>
                <c:pt idx="167">
                  <c:v>3.0402273067145207</c:v>
                </c:pt>
                <c:pt idx="168">
                  <c:v>3.0264798432583269</c:v>
                </c:pt>
                <c:pt idx="169">
                  <c:v>3.0299461146609348</c:v>
                </c:pt>
                <c:pt idx="170">
                  <c:v>3.0328239706934044</c:v>
                </c:pt>
                <c:pt idx="171">
                  <c:v>3.0262263304835888</c:v>
                </c:pt>
                <c:pt idx="172">
                  <c:v>3.0077341735892293</c:v>
                </c:pt>
                <c:pt idx="173">
                  <c:v>3.0019747964823051</c:v>
                </c:pt>
                <c:pt idx="174">
                  <c:v>2.9933355924545353</c:v>
                </c:pt>
                <c:pt idx="175">
                  <c:v>2.9848437983297247</c:v>
                </c:pt>
                <c:pt idx="176">
                  <c:v>2.9849285574476414</c:v>
                </c:pt>
                <c:pt idx="177">
                  <c:v>2.9827511918495557</c:v>
                </c:pt>
                <c:pt idx="178">
                  <c:v>2.9784826025147337</c:v>
                </c:pt>
                <c:pt idx="179">
                  <c:v>2.9679521404027542</c:v>
                </c:pt>
                <c:pt idx="180">
                  <c:v>2.961303462321792</c:v>
                </c:pt>
                <c:pt idx="181">
                  <c:v>2.9493472866544397</c:v>
                </c:pt>
                <c:pt idx="182">
                  <c:v>2.954554602906251</c:v>
                </c:pt>
                <c:pt idx="183">
                  <c:v>2.9627066308196026</c:v>
                </c:pt>
                <c:pt idx="184">
                  <c:v>2.9524387989542347</c:v>
                </c:pt>
                <c:pt idx="185">
                  <c:v>2.9410612372830447</c:v>
                </c:pt>
                <c:pt idx="186">
                  <c:v>2.9342540864887234</c:v>
                </c:pt>
                <c:pt idx="187">
                  <c:v>2.9120388101621346</c:v>
                </c:pt>
                <c:pt idx="188">
                  <c:v>2.8924785461887934</c:v>
                </c:pt>
                <c:pt idx="189">
                  <c:v>2.8716807521128169</c:v>
                </c:pt>
                <c:pt idx="190">
                  <c:v>2.8686848659834694</c:v>
                </c:pt>
                <c:pt idx="191">
                  <c:v>2.8687571167950239</c:v>
                </c:pt>
                <c:pt idx="192">
                  <c:v>2.8595925563646465</c:v>
                </c:pt>
                <c:pt idx="193">
                  <c:v>2.8330726574719183</c:v>
                </c:pt>
                <c:pt idx="194">
                  <c:v>2.8180972319143986</c:v>
                </c:pt>
                <c:pt idx="195">
                  <c:v>2.7836940341234397</c:v>
                </c:pt>
                <c:pt idx="196">
                  <c:v>2.7596010650300102</c:v>
                </c:pt>
                <c:pt idx="197">
                  <c:v>2.7589426646806428</c:v>
                </c:pt>
                <c:pt idx="198">
                  <c:v>2.7449352011714052</c:v>
                </c:pt>
                <c:pt idx="199">
                  <c:v>2.7192691562991409</c:v>
                </c:pt>
                <c:pt idx="200">
                  <c:v>2.6823843880843246</c:v>
                </c:pt>
                <c:pt idx="201">
                  <c:v>2.6523334012635011</c:v>
                </c:pt>
                <c:pt idx="202">
                  <c:v>2.6270559785758536</c:v>
                </c:pt>
                <c:pt idx="203">
                  <c:v>2.6038401253918497</c:v>
                </c:pt>
                <c:pt idx="204">
                  <c:v>2.6036274397024424</c:v>
                </c:pt>
                <c:pt idx="205">
                  <c:v>2.6006578518249333</c:v>
                </c:pt>
                <c:pt idx="206">
                  <c:v>2.5690194356580256</c:v>
                </c:pt>
                <c:pt idx="207">
                  <c:v>2.5090684041327855</c:v>
                </c:pt>
                <c:pt idx="208">
                  <c:v>2.4433154113023892</c:v>
                </c:pt>
                <c:pt idx="209">
                  <c:v>2.3868188465695934</c:v>
                </c:pt>
                <c:pt idx="210">
                  <c:v>2.3331541356270638</c:v>
                </c:pt>
                <c:pt idx="211">
                  <c:v>2.2923165629296709</c:v>
                </c:pt>
                <c:pt idx="212">
                  <c:v>2.2686242983272686</c:v>
                </c:pt>
                <c:pt idx="213">
                  <c:v>2.2067603717070372</c:v>
                </c:pt>
                <c:pt idx="214">
                  <c:v>2.1826303233338411</c:v>
                </c:pt>
                <c:pt idx="215">
                  <c:v>2.1072774023799559</c:v>
                </c:pt>
                <c:pt idx="216">
                  <c:v>2.0328163581124903</c:v>
                </c:pt>
                <c:pt idx="217">
                  <c:v>1.9721906923950057</c:v>
                </c:pt>
                <c:pt idx="218">
                  <c:v>1.9325954741636759</c:v>
                </c:pt>
                <c:pt idx="219">
                  <c:v>1.9009867755295464</c:v>
                </c:pt>
                <c:pt idx="220">
                  <c:v>1.872036369395303</c:v>
                </c:pt>
                <c:pt idx="221">
                  <c:v>1.8272759922564143</c:v>
                </c:pt>
                <c:pt idx="222">
                  <c:v>1.7979218503302392</c:v>
                </c:pt>
                <c:pt idx="223">
                  <c:v>1.7489987701428524</c:v>
                </c:pt>
                <c:pt idx="224">
                  <c:v>1.6981839812980004</c:v>
                </c:pt>
                <c:pt idx="225">
                  <c:v>1.646510532457383</c:v>
                </c:pt>
                <c:pt idx="226">
                  <c:v>1.6211390106638042</c:v>
                </c:pt>
                <c:pt idx="227">
                  <c:v>1.6130699707084788</c:v>
                </c:pt>
                <c:pt idx="228">
                  <c:v>1.569972479271434</c:v>
                </c:pt>
                <c:pt idx="229">
                  <c:v>1.552390063159752</c:v>
                </c:pt>
                <c:pt idx="230">
                  <c:v>1.5222346815757748</c:v>
                </c:pt>
                <c:pt idx="231">
                  <c:v>1.4855365631637503</c:v>
                </c:pt>
                <c:pt idx="232">
                  <c:v>1.4709143678105505</c:v>
                </c:pt>
                <c:pt idx="233">
                  <c:v>1.4729168941793163</c:v>
                </c:pt>
                <c:pt idx="234">
                  <c:v>1.4658898300544914</c:v>
                </c:pt>
                <c:pt idx="235">
                  <c:v>1.4756007412433041</c:v>
                </c:pt>
                <c:pt idx="236">
                  <c:v>1.4636530940878767</c:v>
                </c:pt>
                <c:pt idx="237">
                  <c:v>1.4404538591755502</c:v>
                </c:pt>
                <c:pt idx="238">
                  <c:v>1.4158531905980589</c:v>
                </c:pt>
                <c:pt idx="239">
                  <c:v>1.4107332982924299</c:v>
                </c:pt>
                <c:pt idx="240">
                  <c:v>1.4225622280074919</c:v>
                </c:pt>
                <c:pt idx="241">
                  <c:v>1.4151296344794044</c:v>
                </c:pt>
                <c:pt idx="242">
                  <c:v>1.4269465567420483</c:v>
                </c:pt>
                <c:pt idx="243">
                  <c:v>1.4534421039533045</c:v>
                </c:pt>
                <c:pt idx="244">
                  <c:v>1.4513893953759756</c:v>
                </c:pt>
                <c:pt idx="245">
                  <c:v>1.4297044923056796</c:v>
                </c:pt>
                <c:pt idx="246">
                  <c:v>1.4407522511753925</c:v>
                </c:pt>
                <c:pt idx="247">
                  <c:v>1.4817105598565261</c:v>
                </c:pt>
                <c:pt idx="248">
                  <c:v>1.5170720810042193</c:v>
                </c:pt>
                <c:pt idx="249">
                  <c:v>1.5518845009288846</c:v>
                </c:pt>
                <c:pt idx="250">
                  <c:v>1.5753875337146921</c:v>
                </c:pt>
                <c:pt idx="251">
                  <c:v>1.581041434709769</c:v>
                </c:pt>
                <c:pt idx="252">
                  <c:v>1.5717769386751383</c:v>
                </c:pt>
                <c:pt idx="253">
                  <c:v>1.5745831435781339</c:v>
                </c:pt>
                <c:pt idx="254">
                  <c:v>1.6213269178345961</c:v>
                </c:pt>
                <c:pt idx="255">
                  <c:v>1.6542080404626427</c:v>
                </c:pt>
                <c:pt idx="256">
                  <c:v>1.6851827693271062</c:v>
                </c:pt>
                <c:pt idx="257">
                  <c:v>1.7204446896449694</c:v>
                </c:pt>
                <c:pt idx="258">
                  <c:v>1.729120381464528</c:v>
                </c:pt>
                <c:pt idx="259">
                  <c:v>1.7313281558377054</c:v>
                </c:pt>
                <c:pt idx="260">
                  <c:v>1.7604739144961257</c:v>
                </c:pt>
                <c:pt idx="261">
                  <c:v>1.7964952162197629</c:v>
                </c:pt>
                <c:pt idx="262">
                  <c:v>1.8308638841969844</c:v>
                </c:pt>
                <c:pt idx="263">
                  <c:v>1.8585722432474467</c:v>
                </c:pt>
                <c:pt idx="264">
                  <c:v>1.8842809923000734</c:v>
                </c:pt>
                <c:pt idx="265">
                  <c:v>1.8894632490980161</c:v>
                </c:pt>
                <c:pt idx="266">
                  <c:v>1.8902527549209232</c:v>
                </c:pt>
                <c:pt idx="267">
                  <c:v>1.9138489163499688</c:v>
                </c:pt>
                <c:pt idx="268">
                  <c:v>1.9446473948066152</c:v>
                </c:pt>
                <c:pt idx="269">
                  <c:v>1.9630371806320923</c:v>
                </c:pt>
                <c:pt idx="270">
                  <c:v>1.9887459259139675</c:v>
                </c:pt>
                <c:pt idx="271">
                  <c:v>2.0130123190033298</c:v>
                </c:pt>
                <c:pt idx="272">
                  <c:v>2.0136545222678626</c:v>
                </c:pt>
                <c:pt idx="273">
                  <c:v>2.0134275271321633</c:v>
                </c:pt>
                <c:pt idx="274">
                  <c:v>2.031726274372391</c:v>
                </c:pt>
                <c:pt idx="275">
                  <c:v>2.0620761314299756</c:v>
                </c:pt>
                <c:pt idx="276">
                  <c:v>2.0778247577364723</c:v>
                </c:pt>
                <c:pt idx="277">
                  <c:v>2.0944962715751041</c:v>
                </c:pt>
                <c:pt idx="278">
                  <c:v>2.115185210622327</c:v>
                </c:pt>
                <c:pt idx="279">
                  <c:v>2.1119604301590313</c:v>
                </c:pt>
                <c:pt idx="280">
                  <c:v>2.1119604301590313</c:v>
                </c:pt>
                <c:pt idx="281">
                  <c:v>2.1119604301590313</c:v>
                </c:pt>
                <c:pt idx="282">
                  <c:v>2.1119604301590313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364-44DB-881F-029CD4087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318159"/>
        <c:axId val="882457998"/>
      </c:lineChart>
      <c:catAx>
        <c:axId val="1826318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chemeClr val="dk1"/>
                    </a:solidFill>
                    <a:latin typeface="+mn-lt"/>
                  </a:defRPr>
                </a:pPr>
                <a:r>
                  <a:rPr b="1" i="1">
                    <a:solidFill>
                      <a:schemeClr val="dk1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882457998"/>
        <c:crosses val="autoZero"/>
        <c:auto val="1"/>
        <c:lblAlgn val="ctr"/>
        <c:lblOffset val="100"/>
        <c:noMultiLvlLbl val="1"/>
      </c:catAx>
      <c:valAx>
        <c:axId val="882457998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CFR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82631815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COVID-19 Nowe zakażenia, zgony i wyzdrowienia</a:t>
            </a:r>
          </a:p>
        </c:rich>
      </c:tx>
      <c:layout>
        <c:manualLayout>
          <c:xMode val="edge"/>
          <c:yMode val="edge"/>
          <c:x val="3.0463576158940398E-2"/>
          <c:y val="0.05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Nowe I</c:v>
          </c:tx>
          <c:spPr>
            <a:solidFill>
              <a:srgbClr val="4285F4"/>
            </a:solidFill>
          </c:spPr>
          <c:invertIfNegative val="1"/>
          <c:cat>
            <c:strRef>
              <c:f>'R(t) Polska'!$AG$121:$AG$127</c:f>
              <c:strCache>
                <c:ptCount val="7"/>
                <c:pt idx="0">
                  <c:v>Poniedziałek</c:v>
                </c:pt>
                <c:pt idx="1">
                  <c:v>Wtorek</c:v>
                </c:pt>
                <c:pt idx="2">
                  <c:v>Środa</c:v>
                </c:pt>
                <c:pt idx="3">
                  <c:v>Czwartek</c:v>
                </c:pt>
                <c:pt idx="4">
                  <c:v>Piątek</c:v>
                </c:pt>
                <c:pt idx="5">
                  <c:v>Sobota</c:v>
                </c:pt>
                <c:pt idx="6">
                  <c:v>Niedziela</c:v>
                </c:pt>
              </c:strCache>
            </c:strRef>
          </c:cat>
          <c:val>
            <c:numRef>
              <c:f>'R(t) Polska'!$AI$121:$AI$127</c:f>
              <c:numCache>
                <c:formatCode>0.00%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8979-4F01-AB6E-4C6BE39CCCF2}"/>
            </c:ext>
          </c:extLst>
        </c:ser>
        <c:ser>
          <c:idx val="1"/>
          <c:order val="1"/>
          <c:tx>
            <c:v>Nowe D</c:v>
          </c:tx>
          <c:spPr>
            <a:solidFill>
              <a:srgbClr val="000000"/>
            </a:solidFill>
          </c:spPr>
          <c:invertIfNegative val="1"/>
          <c:cat>
            <c:strRef>
              <c:f>'R(t) Polska'!$AG$121:$AG$127</c:f>
              <c:strCache>
                <c:ptCount val="7"/>
                <c:pt idx="0">
                  <c:v>Poniedziałek</c:v>
                </c:pt>
                <c:pt idx="1">
                  <c:v>Wtorek</c:v>
                </c:pt>
                <c:pt idx="2">
                  <c:v>Środa</c:v>
                </c:pt>
                <c:pt idx="3">
                  <c:v>Czwartek</c:v>
                </c:pt>
                <c:pt idx="4">
                  <c:v>Piątek</c:v>
                </c:pt>
                <c:pt idx="5">
                  <c:v>Sobota</c:v>
                </c:pt>
                <c:pt idx="6">
                  <c:v>Niedziela</c:v>
                </c:pt>
              </c:strCache>
            </c:strRef>
          </c:cat>
          <c:val>
            <c:numRef>
              <c:f>'R(t) Polska'!$AK$121:$AK$127</c:f>
              <c:numCache>
                <c:formatCode>0.00%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8979-4F01-AB6E-4C6BE39CCCF2}"/>
            </c:ext>
          </c:extLst>
        </c:ser>
        <c:ser>
          <c:idx val="2"/>
          <c:order val="2"/>
          <c:tx>
            <c:v>Nowe R</c:v>
          </c:tx>
          <c:spPr>
            <a:solidFill>
              <a:srgbClr val="00FF00"/>
            </a:solidFill>
          </c:spPr>
          <c:invertIfNegative val="1"/>
          <c:cat>
            <c:strRef>
              <c:f>'R(t) Polska'!$AG$121:$AG$127</c:f>
              <c:strCache>
                <c:ptCount val="7"/>
                <c:pt idx="0">
                  <c:v>Poniedziałek</c:v>
                </c:pt>
                <c:pt idx="1">
                  <c:v>Wtorek</c:v>
                </c:pt>
                <c:pt idx="2">
                  <c:v>Środa</c:v>
                </c:pt>
                <c:pt idx="3">
                  <c:v>Czwartek</c:v>
                </c:pt>
                <c:pt idx="4">
                  <c:v>Piątek</c:v>
                </c:pt>
                <c:pt idx="5">
                  <c:v>Sobota</c:v>
                </c:pt>
                <c:pt idx="6">
                  <c:v>Niedziela</c:v>
                </c:pt>
              </c:strCache>
            </c:strRef>
          </c:cat>
          <c:val>
            <c:numRef>
              <c:f>'R(t) Polska'!$AM$121:$AM$127</c:f>
              <c:numCache>
                <c:formatCode>0.00%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8979-4F01-AB6E-4C6BE39CC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6463413"/>
        <c:axId val="1678316987"/>
      </c:barChart>
      <c:catAx>
        <c:axId val="6064634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Dzień tygodnia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678316987"/>
        <c:crosses val="autoZero"/>
        <c:auto val="1"/>
        <c:lblAlgn val="ctr"/>
        <c:lblOffset val="100"/>
        <c:noMultiLvlLbl val="1"/>
      </c:catAx>
      <c:valAx>
        <c:axId val="16783169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606463413"/>
        <c:crosses val="autoZero"/>
        <c:crossBetween val="between"/>
      </c:valAx>
    </c:plotArea>
    <c:legend>
      <c:legendPos val="r"/>
      <c:legendEntry>
        <c:idx val="0"/>
        <c:txPr>
          <a:bodyPr/>
          <a:lstStyle/>
          <a:p>
            <a:pPr lvl="0">
              <a:defRPr>
                <a:solidFill>
                  <a:srgbClr val="0000FF"/>
                </a:solidFill>
              </a:defRPr>
            </a:pPr>
            <a:endParaRPr lang="pl-PL"/>
          </a:p>
        </c:txPr>
      </c:legendEntry>
      <c:legendEntry>
        <c:idx val="2"/>
        <c:txPr>
          <a:bodyPr/>
          <a:lstStyle/>
          <a:p>
            <a:pPr lvl="0">
              <a:defRPr>
                <a:solidFill>
                  <a:srgbClr val="00FF00"/>
                </a:solidFill>
              </a:defRPr>
            </a:pPr>
            <a:endParaRPr lang="pl-PL"/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COVID-19 Nowe zakażenia, zgony i wyzdrowienia</a:t>
            </a:r>
          </a:p>
        </c:rich>
      </c:tx>
      <c:layout>
        <c:manualLayout>
          <c:xMode val="edge"/>
          <c:yMode val="edge"/>
          <c:x val="3.0463576158940398E-2"/>
          <c:y val="0.05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Nowe I</c:v>
          </c:tx>
          <c:spPr>
            <a:solidFill>
              <a:srgbClr val="4285F4"/>
            </a:solidFill>
          </c:spPr>
          <c:invertIfNegative val="1"/>
          <c:cat>
            <c:strRef>
              <c:f>'R(t) Polska'!$V$121:$V$127</c:f>
              <c:strCache>
                <c:ptCount val="7"/>
                <c:pt idx="0">
                  <c:v>Poniedziałek</c:v>
                </c:pt>
                <c:pt idx="1">
                  <c:v>Wtorek</c:v>
                </c:pt>
                <c:pt idx="2">
                  <c:v>Środa</c:v>
                </c:pt>
                <c:pt idx="3">
                  <c:v>Czwartek</c:v>
                </c:pt>
                <c:pt idx="4">
                  <c:v>Piątek</c:v>
                </c:pt>
                <c:pt idx="5">
                  <c:v>Sobota</c:v>
                </c:pt>
                <c:pt idx="6">
                  <c:v>Niedziela</c:v>
                </c:pt>
              </c:strCache>
            </c:strRef>
          </c:cat>
          <c:val>
            <c:numRef>
              <c:f>'R(t) Polska'!$X$121:$X$127</c:f>
              <c:numCache>
                <c:formatCode>0.00%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6B29-4EBE-94D4-241C9CFAB1E3}"/>
            </c:ext>
          </c:extLst>
        </c:ser>
        <c:ser>
          <c:idx val="1"/>
          <c:order val="1"/>
          <c:tx>
            <c:v>Nowe D</c:v>
          </c:tx>
          <c:spPr>
            <a:solidFill>
              <a:srgbClr val="000000"/>
            </a:solidFill>
          </c:spPr>
          <c:invertIfNegative val="1"/>
          <c:cat>
            <c:strRef>
              <c:f>'R(t) Polska'!$V$121:$V$127</c:f>
              <c:strCache>
                <c:ptCount val="7"/>
                <c:pt idx="0">
                  <c:v>Poniedziałek</c:v>
                </c:pt>
                <c:pt idx="1">
                  <c:v>Wtorek</c:v>
                </c:pt>
                <c:pt idx="2">
                  <c:v>Środa</c:v>
                </c:pt>
                <c:pt idx="3">
                  <c:v>Czwartek</c:v>
                </c:pt>
                <c:pt idx="4">
                  <c:v>Piątek</c:v>
                </c:pt>
                <c:pt idx="5">
                  <c:v>Sobota</c:v>
                </c:pt>
                <c:pt idx="6">
                  <c:v>Niedziela</c:v>
                </c:pt>
              </c:strCache>
            </c:strRef>
          </c:cat>
          <c:val>
            <c:numRef>
              <c:f>'R(t) Polska'!$Z$121:$Z$128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6B29-4EBE-94D4-241C9CFAB1E3}"/>
            </c:ext>
          </c:extLst>
        </c:ser>
        <c:ser>
          <c:idx val="2"/>
          <c:order val="2"/>
          <c:tx>
            <c:v>Nowe R</c:v>
          </c:tx>
          <c:spPr>
            <a:solidFill>
              <a:srgbClr val="00FF00"/>
            </a:solidFill>
          </c:spPr>
          <c:invertIfNegative val="1"/>
          <c:cat>
            <c:strRef>
              <c:f>'R(t) Polska'!$V$121:$V$127</c:f>
              <c:strCache>
                <c:ptCount val="7"/>
                <c:pt idx="0">
                  <c:v>Poniedziałek</c:v>
                </c:pt>
                <c:pt idx="1">
                  <c:v>Wtorek</c:v>
                </c:pt>
                <c:pt idx="2">
                  <c:v>Środa</c:v>
                </c:pt>
                <c:pt idx="3">
                  <c:v>Czwartek</c:v>
                </c:pt>
                <c:pt idx="4">
                  <c:v>Piątek</c:v>
                </c:pt>
                <c:pt idx="5">
                  <c:v>Sobota</c:v>
                </c:pt>
                <c:pt idx="6">
                  <c:v>Niedziela</c:v>
                </c:pt>
              </c:strCache>
            </c:strRef>
          </c:cat>
          <c:val>
            <c:numRef>
              <c:f>'R(t) Polska'!$AB$121:$AB$127</c:f>
              <c:numCache>
                <c:formatCode>0.00%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6B29-4EBE-94D4-241C9CFAB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971323"/>
        <c:axId val="1988299095"/>
      </c:barChart>
      <c:catAx>
        <c:axId val="1509713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Dzień tygodnia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988299095"/>
        <c:crosses val="autoZero"/>
        <c:auto val="1"/>
        <c:lblAlgn val="ctr"/>
        <c:lblOffset val="100"/>
        <c:noMultiLvlLbl val="1"/>
      </c:catAx>
      <c:valAx>
        <c:axId val="19882990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50971323"/>
        <c:crosses val="autoZero"/>
        <c:crossBetween val="between"/>
      </c:valAx>
    </c:plotArea>
    <c:legend>
      <c:legendPos val="r"/>
      <c:legendEntry>
        <c:idx val="0"/>
        <c:txPr>
          <a:bodyPr/>
          <a:lstStyle/>
          <a:p>
            <a:pPr lvl="0">
              <a:defRPr>
                <a:solidFill>
                  <a:srgbClr val="0000FF"/>
                </a:solidFill>
              </a:defRPr>
            </a:pPr>
            <a:endParaRPr lang="pl-PL"/>
          </a:p>
        </c:txPr>
      </c:legendEntry>
      <c:legendEntry>
        <c:idx val="2"/>
        <c:txPr>
          <a:bodyPr/>
          <a:lstStyle/>
          <a:p>
            <a:pPr lvl="0">
              <a:defRPr>
                <a:solidFill>
                  <a:srgbClr val="00FF00"/>
                </a:solidFill>
              </a:defRPr>
            </a:pPr>
            <a:endParaRPr lang="pl-PL"/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województw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'R(t) Województwa'!$J$2</c:f>
              <c:strCache>
                <c:ptCount val="1"/>
                <c:pt idx="0">
                  <c:v>Dolnośląskie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Województwa'!$J$3:$J$1000</c:f>
              <c:numCache>
                <c:formatCode>General</c:formatCode>
                <c:ptCount val="998"/>
                <c:pt idx="22" formatCode="0.0000">
                  <c:v>1.019127205199629</c:v>
                </c:pt>
                <c:pt idx="23" formatCode="0.0000">
                  <c:v>0.98597769858372897</c:v>
                </c:pt>
                <c:pt idx="24" formatCode="0.0000">
                  <c:v>1.254211702608417</c:v>
                </c:pt>
                <c:pt idx="25" formatCode="0.0000">
                  <c:v>1.2423355506816074</c:v>
                </c:pt>
                <c:pt idx="26" formatCode="0.0000">
                  <c:v>1.2171247449870073</c:v>
                </c:pt>
                <c:pt idx="27" formatCode="0.0000">
                  <c:v>1.2338788707511881</c:v>
                </c:pt>
                <c:pt idx="28" formatCode="0.0000">
                  <c:v>1.1776535154206991</c:v>
                </c:pt>
                <c:pt idx="29" formatCode="0.0000">
                  <c:v>1.4313123312440397</c:v>
                </c:pt>
                <c:pt idx="30" formatCode="0.0000">
                  <c:v>1.3685264678806102</c:v>
                </c:pt>
                <c:pt idx="31" formatCode="0.0000">
                  <c:v>1.519909469382299</c:v>
                </c:pt>
                <c:pt idx="32" formatCode="0.0000">
                  <c:v>1.3838845272642657</c:v>
                </c:pt>
                <c:pt idx="33" formatCode="0.0000">
                  <c:v>1.5790495865822709</c:v>
                </c:pt>
                <c:pt idx="34" formatCode="0.0000">
                  <c:v>1.4867667644180993</c:v>
                </c:pt>
                <c:pt idx="35" formatCode="0.0000">
                  <c:v>1.5630397821986008</c:v>
                </c:pt>
                <c:pt idx="36" formatCode="0.0000">
                  <c:v>1.2211309957777392</c:v>
                </c:pt>
                <c:pt idx="37" formatCode="0.0000">
                  <c:v>1.2993277166292643</c:v>
                </c:pt>
                <c:pt idx="38" formatCode="0.0000">
                  <c:v>1.2495685628221627</c:v>
                </c:pt>
                <c:pt idx="39" formatCode="0.0000">
                  <c:v>1.3113026336649392</c:v>
                </c:pt>
                <c:pt idx="40" formatCode="0.0000">
                  <c:v>1.1218697720739494</c:v>
                </c:pt>
                <c:pt idx="41" formatCode="0.0000">
                  <c:v>1.078324660148406</c:v>
                </c:pt>
                <c:pt idx="42" formatCode="0.0000">
                  <c:v>0.9492311578578938</c:v>
                </c:pt>
                <c:pt idx="43" formatCode="0.0000">
                  <c:v>1.1048658480419606</c:v>
                </c:pt>
                <c:pt idx="44" formatCode="0.0000">
                  <c:v>1.2203142243542104</c:v>
                </c:pt>
                <c:pt idx="45" formatCode="0.0000">
                  <c:v>1.1824231883881779</c:v>
                </c:pt>
                <c:pt idx="46" formatCode="0.0000">
                  <c:v>1.2898341659392969</c:v>
                </c:pt>
                <c:pt idx="47" formatCode="0.0000">
                  <c:v>1.4527071136518679</c:v>
                </c:pt>
                <c:pt idx="48" formatCode="0.0000">
                  <c:v>1.4964527208416811</c:v>
                </c:pt>
                <c:pt idx="49" formatCode="0.0000">
                  <c:v>1.5545460954380201</c:v>
                </c:pt>
                <c:pt idx="50" formatCode="0.0000">
                  <c:v>1.4224592869307824</c:v>
                </c:pt>
                <c:pt idx="51" formatCode="0.0000">
                  <c:v>1.3810095704287533</c:v>
                </c:pt>
                <c:pt idx="52" formatCode="0.0000">
                  <c:v>1.1319221344796264</c:v>
                </c:pt>
                <c:pt idx="53" formatCode="0.0000">
                  <c:v>1.0684200086448781</c:v>
                </c:pt>
                <c:pt idx="54" formatCode="0.0000">
                  <c:v>0.94857698735943874</c:v>
                </c:pt>
                <c:pt idx="55" formatCode="0.0000">
                  <c:v>1.072696537486866</c:v>
                </c:pt>
                <c:pt idx="56" formatCode="0.0000">
                  <c:v>1.0884768274705592</c:v>
                </c:pt>
                <c:pt idx="57" formatCode="0.0000">
                  <c:v>1.177780391292419</c:v>
                </c:pt>
                <c:pt idx="58" formatCode="0.0000">
                  <c:v>1.0729898981970247</c:v>
                </c:pt>
                <c:pt idx="59" formatCode="0.0000">
                  <c:v>1.0513462374348441</c:v>
                </c:pt>
                <c:pt idx="60" formatCode="0.0000">
                  <c:v>1.0361185066114387</c:v>
                </c:pt>
                <c:pt idx="61" formatCode="0.0000">
                  <c:v>0.9084181491362715</c:v>
                </c:pt>
                <c:pt idx="62" formatCode="0.0000">
                  <c:v>0.95610140723898573</c:v>
                </c:pt>
                <c:pt idx="63" formatCode="0.0000">
                  <c:v>0.9554598427516704</c:v>
                </c:pt>
                <c:pt idx="64" formatCode="0.0000">
                  <c:v>0.84648308079519752</c:v>
                </c:pt>
                <c:pt idx="65" formatCode="0.0000">
                  <c:v>0.84572712775340375</c:v>
                </c:pt>
                <c:pt idx="66" formatCode="0.0000">
                  <c:v>0.95040190760618359</c:v>
                </c:pt>
                <c:pt idx="67" formatCode="0.0000">
                  <c:v>0.934998724589161</c:v>
                </c:pt>
                <c:pt idx="68" formatCode="0.0000">
                  <c:v>1.1994507594451942</c:v>
                </c:pt>
                <c:pt idx="69" formatCode="0.0000">
                  <c:v>0.99526734558544816</c:v>
                </c:pt>
                <c:pt idx="70" formatCode="0.0000">
                  <c:v>0.95553885374317082</c:v>
                </c:pt>
                <c:pt idx="71" formatCode="0.0000">
                  <c:v>1.0389147609576102</c:v>
                </c:pt>
                <c:pt idx="72" formatCode="0.0000">
                  <c:v>1.0009447791005985</c:v>
                </c:pt>
                <c:pt idx="73" formatCode="0.0000">
                  <c:v>0.90334473120992675</c:v>
                </c:pt>
                <c:pt idx="74" formatCode="0.0000">
                  <c:v>0.86465940579558709</c:v>
                </c:pt>
                <c:pt idx="75" formatCode="0.0000">
                  <c:v>0.54436328563075809</c:v>
                </c:pt>
                <c:pt idx="76" formatCode="0.0000">
                  <c:v>0.76053669974541882</c:v>
                </c:pt>
                <c:pt idx="77" formatCode="0.0000">
                  <c:v>0.78701149958644123</c:v>
                </c:pt>
                <c:pt idx="78" formatCode="0.0000">
                  <c:v>0.72162316642917801</c:v>
                </c:pt>
                <c:pt idx="79" formatCode="0.0000">
                  <c:v>0.72419801085486768</c:v>
                </c:pt>
                <c:pt idx="80" formatCode="0.0000">
                  <c:v>1.0039538850857712</c:v>
                </c:pt>
                <c:pt idx="81" formatCode="0.0000">
                  <c:v>1.06205445936534</c:v>
                </c:pt>
                <c:pt idx="82" formatCode="0.0000">
                  <c:v>1.1135906340868502</c:v>
                </c:pt>
                <c:pt idx="83" formatCode="0.0000">
                  <c:v>0.992674998258262</c:v>
                </c:pt>
                <c:pt idx="84" formatCode="0.0000">
                  <c:v>0.93314942320299987</c:v>
                </c:pt>
                <c:pt idx="85" formatCode="0.0000">
                  <c:v>1.0414635354996322</c:v>
                </c:pt>
                <c:pt idx="86" formatCode="0.0000">
                  <c:v>1.035682055386725</c:v>
                </c:pt>
                <c:pt idx="87" formatCode="0.0000">
                  <c:v>0.82165744680033137</c:v>
                </c:pt>
                <c:pt idx="88" formatCode="0.0000">
                  <c:v>0.81034734455256152</c:v>
                </c:pt>
                <c:pt idx="89" formatCode="0.0000">
                  <c:v>0.79774098324285458</c:v>
                </c:pt>
                <c:pt idx="90" formatCode="0.0000">
                  <c:v>0.83003976024043591</c:v>
                </c:pt>
                <c:pt idx="91" formatCode="0.0000">
                  <c:v>0.80798532801740053</c:v>
                </c:pt>
                <c:pt idx="92" formatCode="0.0000">
                  <c:v>0.67661908307475371</c:v>
                </c:pt>
                <c:pt idx="93" formatCode="0.0000">
                  <c:v>0.66544294900603906</c:v>
                </c:pt>
                <c:pt idx="94" formatCode="0.0000">
                  <c:v>0.67678766960405046</c:v>
                </c:pt>
                <c:pt idx="95" formatCode="0.0000">
                  <c:v>0.69160114719497556</c:v>
                </c:pt>
                <c:pt idx="96" formatCode="0.0000">
                  <c:v>0.68216587641946524</c:v>
                </c:pt>
                <c:pt idx="97" formatCode="0.0000">
                  <c:v>0.60974277513177211</c:v>
                </c:pt>
                <c:pt idx="98" formatCode="0.0000">
                  <c:v>0.65548977967708588</c:v>
                </c:pt>
                <c:pt idx="99" formatCode="0.0000">
                  <c:v>0.62342197822323597</c:v>
                </c:pt>
                <c:pt idx="100" formatCode="0.0000">
                  <c:v>0.64688608127613301</c:v>
                </c:pt>
                <c:pt idx="101" formatCode="0.0000">
                  <c:v>0.52352881180782762</c:v>
                </c:pt>
                <c:pt idx="102" formatCode="0.0000">
                  <c:v>0.57765459719986822</c:v>
                </c:pt>
                <c:pt idx="103" formatCode="0.0000">
                  <c:v>0.52347358430644753</c:v>
                </c:pt>
                <c:pt idx="104" formatCode="0.0000">
                  <c:v>0.40456742004397989</c:v>
                </c:pt>
                <c:pt idx="105" formatCode="0.0000">
                  <c:v>0.4719118236256164</c:v>
                </c:pt>
                <c:pt idx="106" formatCode="0.0000">
                  <c:v>0.95914517689043521</c:v>
                </c:pt>
                <c:pt idx="107" formatCode="0.0000">
                  <c:v>0.98222124570129032</c:v>
                </c:pt>
                <c:pt idx="108" formatCode="0.0000">
                  <c:v>1.1115266159151365</c:v>
                </c:pt>
                <c:pt idx="109" formatCode="0.0000">
                  <c:v>1.0625705420911491</c:v>
                </c:pt>
                <c:pt idx="110" formatCode="0.0000">
                  <c:v>1.0840993449906136</c:v>
                </c:pt>
                <c:pt idx="111" formatCode="0.0000">
                  <c:v>1.1331024115022328</c:v>
                </c:pt>
                <c:pt idx="112" formatCode="0.0000">
                  <c:v>1.1095864317725292</c:v>
                </c:pt>
                <c:pt idx="113" formatCode="0.0000">
                  <c:v>0.74813523477574839</c:v>
                </c:pt>
                <c:pt idx="114" formatCode="0.0000">
                  <c:v>0.71514169775271219</c:v>
                </c:pt>
                <c:pt idx="115" formatCode="0.0000">
                  <c:v>0.8357641457338929</c:v>
                </c:pt>
                <c:pt idx="116" formatCode="0.0000">
                  <c:v>0.77377422892996794</c:v>
                </c:pt>
                <c:pt idx="117" formatCode="0.0000">
                  <c:v>0.77987612871465106</c:v>
                </c:pt>
                <c:pt idx="118" formatCode="0.0000">
                  <c:v>0.77771674730854612</c:v>
                </c:pt>
                <c:pt idx="119" formatCode="0.0000">
                  <c:v>0.74615836215176956</c:v>
                </c:pt>
                <c:pt idx="120" formatCode="0.0000">
                  <c:v>0.68618468875663552</c:v>
                </c:pt>
                <c:pt idx="121" formatCode="0.0000">
                  <c:v>0.71891093297497133</c:v>
                </c:pt>
                <c:pt idx="122" formatCode="0.0000">
                  <c:v>0.51802553771639648</c:v>
                </c:pt>
                <c:pt idx="123" formatCode="0.0000">
                  <c:v>0.50459514247007797</c:v>
                </c:pt>
                <c:pt idx="124" formatCode="0.0000">
                  <c:v>0.47696443978593062</c:v>
                </c:pt>
                <c:pt idx="125" formatCode="0.0000">
                  <c:v>0.56530076894879855</c:v>
                </c:pt>
                <c:pt idx="126" formatCode="0.0000">
                  <c:v>0.70686926220087443</c:v>
                </c:pt>
                <c:pt idx="127" formatCode="0.0000">
                  <c:v>0.66640991963601581</c:v>
                </c:pt>
                <c:pt idx="128" formatCode="0.0000">
                  <c:v>0.6888213195209244</c:v>
                </c:pt>
                <c:pt idx="129" formatCode="0.0000">
                  <c:v>0.98692055862895489</c:v>
                </c:pt>
                <c:pt idx="130" formatCode="0.0000">
                  <c:v>0.9680923035334269</c:v>
                </c:pt>
                <c:pt idx="131" formatCode="0.0000">
                  <c:v>1.0181984058022981</c:v>
                </c:pt>
                <c:pt idx="132" formatCode="0.0000">
                  <c:v>0.91063269836175798</c:v>
                </c:pt>
                <c:pt idx="133" formatCode="0.0000">
                  <c:v>0.91511555598328853</c:v>
                </c:pt>
                <c:pt idx="134" formatCode="0.0000">
                  <c:v>1.0912736345853049</c:v>
                </c:pt>
                <c:pt idx="135" formatCode="0.0000">
                  <c:v>1.6321040887127345</c:v>
                </c:pt>
                <c:pt idx="136" formatCode="0.0000">
                  <c:v>1.4111530963911163</c:v>
                </c:pt>
                <c:pt idx="137" formatCode="0.0000">
                  <c:v>1.6565603879394479</c:v>
                </c:pt>
                <c:pt idx="138" formatCode="0.0000">
                  <c:v>1.7405046114727969</c:v>
                </c:pt>
                <c:pt idx="139" formatCode="0.0000">
                  <c:v>2.0434803246545683</c:v>
                </c:pt>
                <c:pt idx="140" formatCode="0.0000">
                  <c:v>1.8317460065432523</c:v>
                </c:pt>
                <c:pt idx="141" formatCode="0.0000">
                  <c:v>1.8605762460117536</c:v>
                </c:pt>
                <c:pt idx="142" formatCode="0.0000">
                  <c:v>1.2724435323766716</c:v>
                </c:pt>
                <c:pt idx="143" formatCode="0.0000">
                  <c:v>1.5263911176868479</c:v>
                </c:pt>
                <c:pt idx="144" formatCode="0.0000">
                  <c:v>1.4621170349526089</c:v>
                </c:pt>
                <c:pt idx="145" formatCode="0.0000">
                  <c:v>1.4275454436040906</c:v>
                </c:pt>
                <c:pt idx="146" formatCode="0.0000">
                  <c:v>1.1905460991498023</c:v>
                </c:pt>
                <c:pt idx="147" formatCode="0.0000">
                  <c:v>1.4916638536263618</c:v>
                </c:pt>
                <c:pt idx="148" formatCode="0.0000">
                  <c:v>1.39268727324418</c:v>
                </c:pt>
                <c:pt idx="149" formatCode="0.0000">
                  <c:v>1.3488268542334194</c:v>
                </c:pt>
                <c:pt idx="150" formatCode="0.0000">
                  <c:v>1.3093580673853946</c:v>
                </c:pt>
                <c:pt idx="151" formatCode="0.0000">
                  <c:v>1.2073412168495454</c:v>
                </c:pt>
                <c:pt idx="152" formatCode="0.0000">
                  <c:v>1.2429845007358964</c:v>
                </c:pt>
                <c:pt idx="153" formatCode="0.0000">
                  <c:v>1.2940801362992997</c:v>
                </c:pt>
                <c:pt idx="154" formatCode="0.0000">
                  <c:v>1.3542920712185953</c:v>
                </c:pt>
                <c:pt idx="155" formatCode="0.0000">
                  <c:v>1.3476037235608185</c:v>
                </c:pt>
                <c:pt idx="156" formatCode="0.0000">
                  <c:v>1.5646086030198691</c:v>
                </c:pt>
                <c:pt idx="157" formatCode="0.0000">
                  <c:v>1.346453230173976</c:v>
                </c:pt>
                <c:pt idx="158" formatCode="0.0000">
                  <c:v>1.434596463450666</c:v>
                </c:pt>
                <c:pt idx="159" formatCode="0.0000">
                  <c:v>1.3675810720947708</c:v>
                </c:pt>
                <c:pt idx="160" formatCode="0.0000">
                  <c:v>1.3333081599876897</c:v>
                </c:pt>
                <c:pt idx="161" formatCode="0.0000">
                  <c:v>1.1051970348252151</c:v>
                </c:pt>
                <c:pt idx="162" formatCode="0.0000">
                  <c:v>1.147563349615893</c:v>
                </c:pt>
                <c:pt idx="163" formatCode="0.0000">
                  <c:v>1.0206788834283929</c:v>
                </c:pt>
                <c:pt idx="164" formatCode="0.0000">
                  <c:v>1.013010374279349</c:v>
                </c:pt>
                <c:pt idx="165" formatCode="0.0000">
                  <c:v>1.1446696368025517</c:v>
                </c:pt>
                <c:pt idx="166" formatCode="0.0000">
                  <c:v>1.1318471903227854</c:v>
                </c:pt>
                <c:pt idx="167" formatCode="0.0000">
                  <c:v>1.1150732655123328</c:v>
                </c:pt>
                <c:pt idx="168" formatCode="0.0000">
                  <c:v>1.1350798413381606</c:v>
                </c:pt>
                <c:pt idx="169" formatCode="0.0000">
                  <c:v>1.1152740872084108</c:v>
                </c:pt>
                <c:pt idx="170" formatCode="0.0000">
                  <c:v>1.0928443522666156</c:v>
                </c:pt>
                <c:pt idx="171" formatCode="0.0000">
                  <c:v>1.1345819053475155</c:v>
                </c:pt>
                <c:pt idx="172" formatCode="0.0000">
                  <c:v>0.95826331082678384</c:v>
                </c:pt>
                <c:pt idx="173" formatCode="0.0000">
                  <c:v>1.029736076616228</c:v>
                </c:pt>
                <c:pt idx="174" formatCode="0.0000">
                  <c:v>1.0434558967346743</c:v>
                </c:pt>
                <c:pt idx="175" formatCode="0.0000">
                  <c:v>1.0971589865714964</c:v>
                </c:pt>
                <c:pt idx="176" formatCode="0.0000">
                  <c:v>1.0015979850925745</c:v>
                </c:pt>
                <c:pt idx="177" formatCode="0.0000">
                  <c:v>1.0403360393386643</c:v>
                </c:pt>
                <c:pt idx="178" formatCode="0.0000">
                  <c:v>1.0351481545203303</c:v>
                </c:pt>
                <c:pt idx="179" formatCode="0.0000">
                  <c:v>1.0992620627836081</c:v>
                </c:pt>
                <c:pt idx="180" formatCode="0.0000">
                  <c:v>1.0209049617428334</c:v>
                </c:pt>
                <c:pt idx="181" formatCode="0.0000">
                  <c:v>0.96699410792743734</c:v>
                </c:pt>
                <c:pt idx="182" formatCode="0.0000">
                  <c:v>0.92754826731362061</c:v>
                </c:pt>
                <c:pt idx="183" formatCode="0.0000">
                  <c:v>0.92360558181518815</c:v>
                </c:pt>
                <c:pt idx="184" formatCode="0.0000">
                  <c:v>0.91474066170771018</c:v>
                </c:pt>
                <c:pt idx="185" formatCode="0.0000">
                  <c:v>0.91431513557085531</c:v>
                </c:pt>
                <c:pt idx="186" formatCode="0.0000">
                  <c:v>0.81679305353460097</c:v>
                </c:pt>
                <c:pt idx="187" formatCode="0.0000">
                  <c:v>0.81554147246069264</c:v>
                </c:pt>
                <c:pt idx="188" formatCode="0.0000">
                  <c:v>0.80119680871660159</c:v>
                </c:pt>
                <c:pt idx="189" formatCode="0.0000">
                  <c:v>0.95207592421105347</c:v>
                </c:pt>
                <c:pt idx="190" formatCode="0.0000">
                  <c:v>1.084012672626598</c:v>
                </c:pt>
                <c:pt idx="191" formatCode="0.0000">
                  <c:v>1.0542714312852248</c:v>
                </c:pt>
                <c:pt idx="192" formatCode="0.0000">
                  <c:v>1.1673595206002549</c:v>
                </c:pt>
                <c:pt idx="193" formatCode="0.0000">
                  <c:v>1.0895940364754244</c:v>
                </c:pt>
                <c:pt idx="194" formatCode="0.0000">
                  <c:v>1.1326046964457885</c:v>
                </c:pt>
                <c:pt idx="195" formatCode="0.0000">
                  <c:v>1.1470365467008354</c:v>
                </c:pt>
                <c:pt idx="196" formatCode="0.0000">
                  <c:v>1.1826301874175742</c:v>
                </c:pt>
                <c:pt idx="197" formatCode="0.0000">
                  <c:v>1.2246653309632654</c:v>
                </c:pt>
                <c:pt idx="198" formatCode="0.0000">
                  <c:v>1.2302279120744208</c:v>
                </c:pt>
                <c:pt idx="199" formatCode="0.0000">
                  <c:v>1.1363691009389929</c:v>
                </c:pt>
                <c:pt idx="200" formatCode="0.0000">
                  <c:v>1.4687045074459764</c:v>
                </c:pt>
                <c:pt idx="201" formatCode="0.0000">
                  <c:v>1.5477834062403328</c:v>
                </c:pt>
                <c:pt idx="202" formatCode="0.0000">
                  <c:v>1.5272253724763174</c:v>
                </c:pt>
                <c:pt idx="203" formatCode="0.0000">
                  <c:v>1.3287904789290927</c:v>
                </c:pt>
                <c:pt idx="204" formatCode="0.0000">
                  <c:v>1.2632428383968333</c:v>
                </c:pt>
                <c:pt idx="205" formatCode="0.0000">
                  <c:v>1.3637727233153749</c:v>
                </c:pt>
                <c:pt idx="206" formatCode="0.0000">
                  <c:v>1.3664628567239772</c:v>
                </c:pt>
                <c:pt idx="207" formatCode="0.0000">
                  <c:v>1.1901578804710655</c:v>
                </c:pt>
                <c:pt idx="208" formatCode="0.0000">
                  <c:v>1.1755362314395776</c:v>
                </c:pt>
                <c:pt idx="209" formatCode="0.0000">
                  <c:v>1.2298838773674852</c:v>
                </c:pt>
                <c:pt idx="210" formatCode="0.0000">
                  <c:v>1.2477450411289721</c:v>
                </c:pt>
                <c:pt idx="211" formatCode="0.0000">
                  <c:v>1.2807537313799873</c:v>
                </c:pt>
                <c:pt idx="212" formatCode="0.0000">
                  <c:v>1.3388664139966127</c:v>
                </c:pt>
                <c:pt idx="213" formatCode="0.0000">
                  <c:v>1.4134534654975077</c:v>
                </c:pt>
                <c:pt idx="214" formatCode="0.0000">
                  <c:v>1.3447021471376759</c:v>
                </c:pt>
                <c:pt idx="215" formatCode="0.0000">
                  <c:v>1.331570541353259</c:v>
                </c:pt>
                <c:pt idx="216" formatCode="0.0000">
                  <c:v>1.4430529777774925</c:v>
                </c:pt>
                <c:pt idx="217" formatCode="0.0000">
                  <c:v>1.534685629165746</c:v>
                </c:pt>
                <c:pt idx="218" formatCode="0.0000">
                  <c:v>1.6646736974506786</c:v>
                </c:pt>
                <c:pt idx="219" formatCode="0.0000">
                  <c:v>1.7884299375348367</c:v>
                </c:pt>
                <c:pt idx="220" formatCode="0.0000">
                  <c:v>1.8401534999169289</c:v>
                </c:pt>
                <c:pt idx="221" formatCode="0.0000">
                  <c:v>1.952612899810249</c:v>
                </c:pt>
                <c:pt idx="222" formatCode="0.0000">
                  <c:v>1.9880906745898042</c:v>
                </c:pt>
                <c:pt idx="223" formatCode="0.0000">
                  <c:v>1.9723694767383655</c:v>
                </c:pt>
                <c:pt idx="224" formatCode="0.0000">
                  <c:v>1.9718828268238593</c:v>
                </c:pt>
                <c:pt idx="225" formatCode="0.0000">
                  <c:v>1.8689024307330189</c:v>
                </c:pt>
                <c:pt idx="226" formatCode="0.0000">
                  <c:v>1.7334635516834571</c:v>
                </c:pt>
                <c:pt idx="227" formatCode="0.0000">
                  <c:v>1.6976758761996742</c:v>
                </c:pt>
                <c:pt idx="228" formatCode="0.0000">
                  <c:v>1.7283385577153993</c:v>
                </c:pt>
                <c:pt idx="229" formatCode="0.0000">
                  <c:v>1.7280384020824466</c:v>
                </c:pt>
                <c:pt idx="230" formatCode="0.0000">
                  <c:v>1.73297217339316</c:v>
                </c:pt>
                <c:pt idx="231" formatCode="0.0000">
                  <c:v>1.681723226119993</c:v>
                </c:pt>
                <c:pt idx="232" formatCode="0.0000">
                  <c:v>1.6261637438809036</c:v>
                </c:pt>
                <c:pt idx="233" formatCode="0.0000">
                  <c:v>1.5947342537762632</c:v>
                </c:pt>
                <c:pt idx="234" formatCode="0.0000">
                  <c:v>1.5562606320526069</c:v>
                </c:pt>
                <c:pt idx="235" formatCode="0.0000">
                  <c:v>1.4769791087721402</c:v>
                </c:pt>
                <c:pt idx="236" formatCode="0.0000">
                  <c:v>1.4772658013658386</c:v>
                </c:pt>
                <c:pt idx="237" formatCode="0.0000">
                  <c:v>1.424382734611823</c:v>
                </c:pt>
                <c:pt idx="238" formatCode="0.0000">
                  <c:v>1.4434628598262902</c:v>
                </c:pt>
                <c:pt idx="239" formatCode="0.0000">
                  <c:v>1.5568303625027657</c:v>
                </c:pt>
                <c:pt idx="240" formatCode="0.0000">
                  <c:v>1.5167286605912034</c:v>
                </c:pt>
                <c:pt idx="241" formatCode="0.0000">
                  <c:v>1.4972929353277831</c:v>
                </c:pt>
                <c:pt idx="242" formatCode="0.0000">
                  <c:v>1.5363350720107523</c:v>
                </c:pt>
                <c:pt idx="243" formatCode="0.0000">
                  <c:v>1.4547054515121158</c:v>
                </c:pt>
                <c:pt idx="244" formatCode="0.0000">
                  <c:v>1.4603249927910036</c:v>
                </c:pt>
                <c:pt idx="245" formatCode="0.0000">
                  <c:v>1.5658974838878312</c:v>
                </c:pt>
                <c:pt idx="246" formatCode="0.0000">
                  <c:v>1.6285636673015307</c:v>
                </c:pt>
                <c:pt idx="247" formatCode="0.0000">
                  <c:v>1.746980291008827</c:v>
                </c:pt>
                <c:pt idx="248" formatCode="0.0000">
                  <c:v>1.8056194090408233</c:v>
                </c:pt>
                <c:pt idx="249" formatCode="0.0000">
                  <c:v>1.7558801338566248</c:v>
                </c:pt>
                <c:pt idx="250" formatCode="0.0000">
                  <c:v>1.8250044730243509</c:v>
                </c:pt>
                <c:pt idx="251" formatCode="0.0000">
                  <c:v>1.8380584530650255</c:v>
                </c:pt>
                <c:pt idx="252" formatCode="0.0000">
                  <c:v>1.6870695676907541</c:v>
                </c:pt>
                <c:pt idx="253" formatCode="0.0000">
                  <c:v>1.5440045789815919</c:v>
                </c:pt>
                <c:pt idx="254" formatCode="0.0000">
                  <c:v>1.3721877085856622</c:v>
                </c:pt>
                <c:pt idx="255" formatCode="0.0000">
                  <c:v>1.3137743960104213</c:v>
                </c:pt>
                <c:pt idx="256" formatCode="0.0000">
                  <c:v>1.3154318722416216</c:v>
                </c:pt>
                <c:pt idx="257" formatCode="0.0000">
                  <c:v>1.286787875933358</c:v>
                </c:pt>
                <c:pt idx="258" formatCode="0.0000">
                  <c:v>1.2540031885585106</c:v>
                </c:pt>
                <c:pt idx="259" formatCode="0.0000">
                  <c:v>1.196803346955073</c:v>
                </c:pt>
                <c:pt idx="260" formatCode="0.0000">
                  <c:v>1.1206458950428495</c:v>
                </c:pt>
                <c:pt idx="261" formatCode="0.0000">
                  <c:v>1.1026001814539532</c:v>
                </c:pt>
                <c:pt idx="262" formatCode="0.0000">
                  <c:v>0.99973770001944084</c:v>
                </c:pt>
                <c:pt idx="263" formatCode="0.0000">
                  <c:v>0.92885691768585033</c:v>
                </c:pt>
                <c:pt idx="264" formatCode="0.0000">
                  <c:v>0.86584607923578194</c:v>
                </c:pt>
                <c:pt idx="265" formatCode="0.0000">
                  <c:v>0.82542982074455507</c:v>
                </c:pt>
                <c:pt idx="266" formatCode="0.0000">
                  <c:v>0.74369299344779605</c:v>
                </c:pt>
                <c:pt idx="267" formatCode="0.0000">
                  <c:v>0.67484226734575692</c:v>
                </c:pt>
                <c:pt idx="268" formatCode="0.0000">
                  <c:v>0.65764555622386056</c:v>
                </c:pt>
                <c:pt idx="269" formatCode="0.0000">
                  <c:v>0.67487379972965589</c:v>
                </c:pt>
                <c:pt idx="270" formatCode="0.0000">
                  <c:v>0.69471862970239451</c:v>
                </c:pt>
                <c:pt idx="271" formatCode="0.0000">
                  <c:v>0.69943647551539889</c:v>
                </c:pt>
                <c:pt idx="272" formatCode="0.0000">
                  <c:v>0.66607640675686131</c:v>
                </c:pt>
                <c:pt idx="273" formatCode="0.0000">
                  <c:v>0.66429431649712789</c:v>
                </c:pt>
                <c:pt idx="274" formatCode="0.0000">
                  <c:v>0.69690691712507147</c:v>
                </c:pt>
                <c:pt idx="275" formatCode="0.0000">
                  <c:v>0.70096273517923602</c:v>
                </c:pt>
                <c:pt idx="276" formatCode="0.0000">
                  <c:v>0.68228261112531807</c:v>
                </c:pt>
                <c:pt idx="277" formatCode="0.0000">
                  <c:v>0.66201111768552923</c:v>
                </c:pt>
                <c:pt idx="278" formatCode="0.0000">
                  <c:v>0.65146084649977809</c:v>
                </c:pt>
                <c:pt idx="279" formatCode="0.0000">
                  <c:v>0.64789773751415569</c:v>
                </c:pt>
                <c:pt idx="280" formatCode="0.0000">
                  <c:v>0.65935934673912844</c:v>
                </c:pt>
                <c:pt idx="281" formatCode="0.0000">
                  <c:v>0.69827875930461702</c:v>
                </c:pt>
                <c:pt idx="282" formatCode="0.0000">
                  <c:v>0.76335894248694458</c:v>
                </c:pt>
                <c:pt idx="283" formatCode="0.0000">
                  <c:v>0.78917414788512374</c:v>
                </c:pt>
                <c:pt idx="284" formatCode="0.0000">
                  <c:v>0.78232611197127266</c:v>
                </c:pt>
                <c:pt idx="285" formatCode="0.0000">
                  <c:v>0.80335000271165968</c:v>
                </c:pt>
                <c:pt idx="286" formatCode="0.0000">
                  <c:v>0.80789007102743959</c:v>
                </c:pt>
                <c:pt idx="287" formatCode="0.0000">
                  <c:v>0.81940409194514652</c:v>
                </c:pt>
                <c:pt idx="288" formatCode="0.0000">
                  <c:v>0.80989232364530328</c:v>
                </c:pt>
                <c:pt idx="289" formatCode="0.0000">
                  <c:v>0.78244479834300862</c:v>
                </c:pt>
                <c:pt idx="290" formatCode="0.0000">
                  <c:v>0.79416062636711637</c:v>
                </c:pt>
                <c:pt idx="291" formatCode="0.0000">
                  <c:v>0.80035771296379143</c:v>
                </c:pt>
                <c:pt idx="292" formatCode="0.0000">
                  <c:v>0.81796604929277739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68A-4E0C-8221-EFF03689051C}"/>
            </c:ext>
          </c:extLst>
        </c:ser>
        <c:ser>
          <c:idx val="1"/>
          <c:order val="1"/>
          <c:tx>
            <c:strRef>
              <c:f>'R(t) Województwa'!$Q$2</c:f>
              <c:strCache>
                <c:ptCount val="1"/>
                <c:pt idx="0">
                  <c:v>Kujawsko-Pomorskie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Województwa'!$Q$3:$Q$1000</c:f>
              <c:numCache>
                <c:formatCode>General</c:formatCode>
                <c:ptCount val="998"/>
                <c:pt idx="32" formatCode="0.0000">
                  <c:v>1.052405498281787</c:v>
                </c:pt>
                <c:pt idx="33" formatCode="0.0000">
                  <c:v>0.88136172100104748</c:v>
                </c:pt>
                <c:pt idx="34" formatCode="0.0000">
                  <c:v>0.64569072525905669</c:v>
                </c:pt>
                <c:pt idx="35" formatCode="0.0000">
                  <c:v>0.71899301851164343</c:v>
                </c:pt>
                <c:pt idx="36" formatCode="0.0000">
                  <c:v>0.7048067862456221</c:v>
                </c:pt>
                <c:pt idx="37" formatCode="0.0000">
                  <c:v>0.61358395978924518</c:v>
                </c:pt>
                <c:pt idx="38" formatCode="0.0000">
                  <c:v>0.61117506813217459</c:v>
                </c:pt>
                <c:pt idx="39" formatCode="0.0000">
                  <c:v>0.66888324435832569</c:v>
                </c:pt>
                <c:pt idx="40" formatCode="0.0000">
                  <c:v>0.76272736985534473</c:v>
                </c:pt>
                <c:pt idx="41" formatCode="0.0000">
                  <c:v>0.81043956471579393</c:v>
                </c:pt>
                <c:pt idx="42" formatCode="0.0000">
                  <c:v>0.7370594203959614</c:v>
                </c:pt>
                <c:pt idx="43" formatCode="0.0000">
                  <c:v>0.71066173528732235</c:v>
                </c:pt>
                <c:pt idx="44" formatCode="0.0000">
                  <c:v>0.77008432868687315</c:v>
                </c:pt>
                <c:pt idx="45" formatCode="0.0000">
                  <c:v>0.90292396406233877</c:v>
                </c:pt>
                <c:pt idx="46" formatCode="0.0000">
                  <c:v>0.80642711483323171</c:v>
                </c:pt>
                <c:pt idx="47" formatCode="0.0000">
                  <c:v>0.69486152034840321</c:v>
                </c:pt>
                <c:pt idx="48" formatCode="0.0000">
                  <c:v>0.78914293917572464</c:v>
                </c:pt>
                <c:pt idx="49" formatCode="0.0000">
                  <c:v>0.91310738123553548</c:v>
                </c:pt>
                <c:pt idx="50" formatCode="0.0000">
                  <c:v>0.99293011328807501</c:v>
                </c:pt>
                <c:pt idx="51" formatCode="0.0000">
                  <c:v>0.99418160470894534</c:v>
                </c:pt>
                <c:pt idx="52" formatCode="0.0000">
                  <c:v>0.89771347600109508</c:v>
                </c:pt>
                <c:pt idx="53" formatCode="0.0000">
                  <c:v>0.82004668016852034</c:v>
                </c:pt>
                <c:pt idx="54" formatCode="0.0000">
                  <c:v>0.78700421120521824</c:v>
                </c:pt>
                <c:pt idx="55" formatCode="0.0000">
                  <c:v>0.68992504244548936</c:v>
                </c:pt>
                <c:pt idx="56" formatCode="0.0000">
                  <c:v>1.032470753465794</c:v>
                </c:pt>
                <c:pt idx="57" formatCode="0.0000">
                  <c:v>1.093216224462314</c:v>
                </c:pt>
                <c:pt idx="58" formatCode="0.0000">
                  <c:v>1.0816432133453573</c:v>
                </c:pt>
                <c:pt idx="59" formatCode="0.0000">
                  <c:v>1.0261030983745862</c:v>
                </c:pt>
                <c:pt idx="60" formatCode="0.0000">
                  <c:v>1.0399300495665</c:v>
                </c:pt>
                <c:pt idx="61" formatCode="0.0000">
                  <c:v>1.0287691230820497</c:v>
                </c:pt>
                <c:pt idx="62" formatCode="0.0000">
                  <c:v>0.95894771618613983</c:v>
                </c:pt>
                <c:pt idx="63" formatCode="0.0000">
                  <c:v>0.50029784347054218</c:v>
                </c:pt>
                <c:pt idx="64" formatCode="0.0000">
                  <c:v>0.29354706021847354</c:v>
                </c:pt>
                <c:pt idx="65" formatCode="0.0000">
                  <c:v>0.33002934233670395</c:v>
                </c:pt>
                <c:pt idx="66" formatCode="0.0000">
                  <c:v>0.37592525339232996</c:v>
                </c:pt>
                <c:pt idx="67" formatCode="0.0000">
                  <c:v>0.35131845573922654</c:v>
                </c:pt>
                <c:pt idx="68" formatCode="0.0000">
                  <c:v>0.36427326736978671</c:v>
                </c:pt>
                <c:pt idx="69" formatCode="0.0000">
                  <c:v>0.4508518262709838</c:v>
                </c:pt>
                <c:pt idx="70" formatCode="0.0000">
                  <c:v>0.38224313333066934</c:v>
                </c:pt>
                <c:pt idx="71" formatCode="0.0000">
                  <c:v>0.38224313333066939</c:v>
                </c:pt>
                <c:pt idx="72" formatCode="0.0000">
                  <c:v>0.31578761379866516</c:v>
                </c:pt>
                <c:pt idx="73" formatCode="0.0000">
                  <c:v>0.34274987465333601</c:v>
                </c:pt>
                <c:pt idx="74" formatCode="0.0000">
                  <c:v>0.36613572091267638</c:v>
                </c:pt>
                <c:pt idx="75" formatCode="0.0000">
                  <c:v>0.31363178175763445</c:v>
                </c:pt>
                <c:pt idx="76" formatCode="0.0000">
                  <c:v>0.22705322285643739</c:v>
                </c:pt>
                <c:pt idx="77" formatCode="0.0000">
                  <c:v>0.29708547485886921</c:v>
                </c:pt>
                <c:pt idx="78" formatCode="0.0000">
                  <c:v>0.3726184041962311</c:v>
                </c:pt>
                <c:pt idx="79" formatCode="0.0000">
                  <c:v>0.57395045971632841</c:v>
                </c:pt>
                <c:pt idx="80" formatCode="0.0000">
                  <c:v>0.58224756751526741</c:v>
                </c:pt>
                <c:pt idx="81" formatCode="0.0000">
                  <c:v>0.60904900542491958</c:v>
                </c:pt>
                <c:pt idx="82" formatCode="0.0000">
                  <c:v>0.6878243505502446</c:v>
                </c:pt>
                <c:pt idx="83" formatCode="0.0000">
                  <c:v>0.77199339965561964</c:v>
                </c:pt>
                <c:pt idx="84" formatCode="0.0000">
                  <c:v>0.70196114765318784</c:v>
                </c:pt>
                <c:pt idx="85" formatCode="0.0000">
                  <c:v>0.73074775714717177</c:v>
                </c:pt>
                <c:pt idx="86" formatCode="0.0000">
                  <c:v>0.48779217569347544</c:v>
                </c:pt>
                <c:pt idx="87" formatCode="0.0000">
                  <c:v>0.34055954454600218</c:v>
                </c:pt>
                <c:pt idx="88" formatCode="0.0000">
                  <c:v>0.26726393306204616</c:v>
                </c:pt>
                <c:pt idx="89" formatCode="0.0000">
                  <c:v>0.18848858793672127</c:v>
                </c:pt>
                <c:pt idx="90" formatCode="0.0000">
                  <c:v>0.1043195388313463</c:v>
                </c:pt>
                <c:pt idx="91" formatCode="0.0000">
                  <c:v>0.33883274464296065</c:v>
                </c:pt>
                <c:pt idx="92" formatCode="0.0000">
                  <c:v>0.44933654969240172</c:v>
                </c:pt>
                <c:pt idx="93" formatCode="0.0000">
                  <c:v>1.2509414647565049</c:v>
                </c:pt>
                <c:pt idx="94" formatCode="0.0000">
                  <c:v>1.4925710025606673</c:v>
                </c:pt>
                <c:pt idx="95" formatCode="0.0000">
                  <c:v>1.4925710025606673</c:v>
                </c:pt>
                <c:pt idx="96" formatCode="0.0000">
                  <c:v>1.4925710025606673</c:v>
                </c:pt>
                <c:pt idx="97" formatCode="0.0000">
                  <c:v>1.6422310459829201</c:v>
                </c:pt>
                <c:pt idx="98" formatCode="0.0000">
                  <c:v>1.5563666405852199</c:v>
                </c:pt>
                <c:pt idx="99" formatCode="0.0000">
                  <c:v>1.7849218014784911</c:v>
                </c:pt>
                <c:pt idx="100" formatCode="0.0000">
                  <c:v>1.2105993275222295</c:v>
                </c:pt>
                <c:pt idx="101" formatCode="0.0000">
                  <c:v>1.178557708290674</c:v>
                </c:pt>
                <c:pt idx="102" formatCode="0.0000">
                  <c:v>1.5715114382175794</c:v>
                </c:pt>
                <c:pt idx="103" formatCode="0.0000">
                  <c:v>2.5145275235138191</c:v>
                </c:pt>
                <c:pt idx="104" formatCode="0.0000">
                  <c:v>2.3648674800915659</c:v>
                </c:pt>
                <c:pt idx="105" formatCode="0.0000">
                  <c:v>2.2671486932683287</c:v>
                </c:pt>
                <c:pt idx="106" formatCode="0.0000">
                  <c:v>1.9920276551539753</c:v>
                </c:pt>
                <c:pt idx="107" formatCode="0.0000">
                  <c:v>2.3664068578917883</c:v>
                </c:pt>
                <c:pt idx="108" formatCode="0.0000">
                  <c:v>2.2693011390378164</c:v>
                </c:pt>
                <c:pt idx="109" formatCode="0.0000">
                  <c:v>2.0696905282246019</c:v>
                </c:pt>
                <c:pt idx="110" formatCode="0.0000">
                  <c:v>1.2371051141512253</c:v>
                </c:pt>
                <c:pt idx="111" formatCode="0.0000">
                  <c:v>1.237105114151225</c:v>
                </c:pt>
                <c:pt idx="112" formatCode="0.0000">
                  <c:v>1.1861751005605485</c:v>
                </c:pt>
                <c:pt idx="113" formatCode="0.0000">
                  <c:v>1.0696995430451808</c:v>
                </c:pt>
                <c:pt idx="114" formatCode="0.0000">
                  <c:v>0.92380199378664529</c:v>
                </c:pt>
                <c:pt idx="115" formatCode="0.0000">
                  <c:v>0.81131979406801058</c:v>
                </c:pt>
                <c:pt idx="116" formatCode="0.0000">
                  <c:v>0.87110046655169227</c:v>
                </c:pt>
                <c:pt idx="117" formatCode="0.0000">
                  <c:v>0.89746060601448696</c:v>
                </c:pt>
                <c:pt idx="118" formatCode="0.0000">
                  <c:v>0.89746060601448685</c:v>
                </c:pt>
                <c:pt idx="119" formatCode="0.0000">
                  <c:v>1.0580239155177533</c:v>
                </c:pt>
                <c:pt idx="120" formatCode="0.0000">
                  <c:v>1.2166017542921532</c:v>
                </c:pt>
                <c:pt idx="121" formatCode="0.0000">
                  <c:v>0.85936657519493964</c:v>
                </c:pt>
                <c:pt idx="122" formatCode="0.0000">
                  <c:v>0.91091613348024425</c:v>
                </c:pt>
                <c:pt idx="123" formatCode="0.0000">
                  <c:v>0.65779234188287095</c:v>
                </c:pt>
                <c:pt idx="124" formatCode="0.0000">
                  <c:v>0.65337008696317711</c:v>
                </c:pt>
                <c:pt idx="125" formatCode="0.0000">
                  <c:v>0.85402753371790296</c:v>
                </c:pt>
                <c:pt idx="126" formatCode="0.0000">
                  <c:v>0.75669526634844986</c:v>
                </c:pt>
                <c:pt idx="127" formatCode="0.0000">
                  <c:v>0.8898428809456822</c:v>
                </c:pt>
                <c:pt idx="128" formatCode="0.0000">
                  <c:v>0.96297463243016534</c:v>
                </c:pt>
                <c:pt idx="129" formatCode="0.0000">
                  <c:v>0.9670432956841909</c:v>
                </c:pt>
                <c:pt idx="130" formatCode="0.0000">
                  <c:v>1.0889113788842979</c:v>
                </c:pt>
                <c:pt idx="131" formatCode="0.0000">
                  <c:v>0.95654282311833438</c:v>
                </c:pt>
                <c:pt idx="132" formatCode="0.0000">
                  <c:v>0.75588537636360853</c:v>
                </c:pt>
                <c:pt idx="133" formatCode="0.0000">
                  <c:v>1.2009510098789031</c:v>
                </c:pt>
                <c:pt idx="134" formatCode="0.0000">
                  <c:v>1.1676591881235072</c:v>
                </c:pt>
                <c:pt idx="135" formatCode="0.0000">
                  <c:v>1.3148882893482094</c:v>
                </c:pt>
                <c:pt idx="136" formatCode="0.0000">
                  <c:v>1.2592700678088793</c:v>
                </c:pt>
                <c:pt idx="137" formatCode="0.0000">
                  <c:v>1.3483020650328537</c:v>
                </c:pt>
                <c:pt idx="138" formatCode="0.0000">
                  <c:v>1.4964001000036125</c:v>
                </c:pt>
                <c:pt idx="139" formatCode="0.0000">
                  <c:v>1.6928346543247081</c:v>
                </c:pt>
                <c:pt idx="140" formatCode="0.0000">
                  <c:v>1.1845379786755996</c:v>
                </c:pt>
                <c:pt idx="141" formatCode="0.0000">
                  <c:v>0.98308219501228045</c:v>
                </c:pt>
                <c:pt idx="142" formatCode="0.0000">
                  <c:v>0.72049197269588472</c:v>
                </c:pt>
                <c:pt idx="143" formatCode="0.0000">
                  <c:v>1.2752022765595488</c:v>
                </c:pt>
                <c:pt idx="144" formatCode="0.0000">
                  <c:v>1.1952672566162634</c:v>
                </c:pt>
                <c:pt idx="145" formatCode="0.0000">
                  <c:v>1.4889733948703598</c:v>
                </c:pt>
                <c:pt idx="146" formatCode="0.0000">
                  <c:v>1.3265513262700861</c:v>
                </c:pt>
                <c:pt idx="147" formatCode="0.0000">
                  <c:v>1.4792182478935347</c:v>
                </c:pt>
                <c:pt idx="148" formatCode="0.0000">
                  <c:v>1.7484180947574435</c:v>
                </c:pt>
                <c:pt idx="149" formatCode="0.0000">
                  <c:v>1.967531847995684</c:v>
                </c:pt>
                <c:pt idx="150" formatCode="0.0000">
                  <c:v>1.8721586972476298</c:v>
                </c:pt>
                <c:pt idx="151" formatCode="0.0000">
                  <c:v>1.9669609523221858</c:v>
                </c:pt>
                <c:pt idx="152" formatCode="0.0000">
                  <c:v>1.6957329888182673</c:v>
                </c:pt>
                <c:pt idx="153" formatCode="0.0000">
                  <c:v>1.8276960261958641</c:v>
                </c:pt>
                <c:pt idx="154" formatCode="0.0000">
                  <c:v>1.7291041514434262</c:v>
                </c:pt>
                <c:pt idx="155" formatCode="0.0000">
                  <c:v>1.4500507231855233</c:v>
                </c:pt>
                <c:pt idx="156" formatCode="0.0000">
                  <c:v>1.4022341048534415</c:v>
                </c:pt>
                <c:pt idx="157" formatCode="0.0000">
                  <c:v>1.0954910565596572</c:v>
                </c:pt>
                <c:pt idx="158" formatCode="0.0000">
                  <c:v>1.3230916295826864</c:v>
                </c:pt>
                <c:pt idx="159" formatCode="0.0000">
                  <c:v>1.2245878113031856</c:v>
                </c:pt>
                <c:pt idx="160" formatCode="0.0000">
                  <c:v>1.2447626335881219</c:v>
                </c:pt>
                <c:pt idx="161" formatCode="0.0000">
                  <c:v>1.6962271390779173</c:v>
                </c:pt>
                <c:pt idx="162" formatCode="0.0000">
                  <c:v>1.6737009561146994</c:v>
                </c:pt>
                <c:pt idx="163" formatCode="0.0000">
                  <c:v>1.6097424610427189</c:v>
                </c:pt>
                <c:pt idx="164" formatCode="0.0000">
                  <c:v>1.7090591084933224</c:v>
                </c:pt>
                <c:pt idx="165" formatCode="0.0000">
                  <c:v>1.3692613621217018</c:v>
                </c:pt>
                <c:pt idx="166" formatCode="0.0000">
                  <c:v>1.4354577061989549</c:v>
                </c:pt>
                <c:pt idx="167" formatCode="0.0000">
                  <c:v>1.5484897155215678</c:v>
                </c:pt>
                <c:pt idx="168" formatCode="0.0000">
                  <c:v>1.2000395596225739</c:v>
                </c:pt>
                <c:pt idx="169" formatCode="0.0000">
                  <c:v>1.2785446002696124</c:v>
                </c:pt>
                <c:pt idx="170" formatCode="0.0000">
                  <c:v>1.3039610566678301</c:v>
                </c:pt>
                <c:pt idx="171" formatCode="0.0000">
                  <c:v>1.3188074533733365</c:v>
                </c:pt>
                <c:pt idx="172" formatCode="0.0000">
                  <c:v>1.3430531728536461</c:v>
                </c:pt>
                <c:pt idx="173" formatCode="0.0000">
                  <c:v>1.250955820823491</c:v>
                </c:pt>
                <c:pt idx="174" formatCode="0.0000">
                  <c:v>1.181783374466997</c:v>
                </c:pt>
                <c:pt idx="175" formatCode="0.0000">
                  <c:v>1.2597727755254324</c:v>
                </c:pt>
                <c:pt idx="176" formatCode="0.0000">
                  <c:v>1.2698973602221908</c:v>
                </c:pt>
                <c:pt idx="177" formatCode="0.0000">
                  <c:v>1.2492950317080498</c:v>
                </c:pt>
                <c:pt idx="178" formatCode="0.0000">
                  <c:v>1.2425977687454408</c:v>
                </c:pt>
                <c:pt idx="179" formatCode="0.0000">
                  <c:v>1.2456736734054705</c:v>
                </c:pt>
                <c:pt idx="180" formatCode="0.0000">
                  <c:v>1.3345337148831702</c:v>
                </c:pt>
                <c:pt idx="181" formatCode="0.0000">
                  <c:v>1.2282478770845358</c:v>
                </c:pt>
                <c:pt idx="182" formatCode="0.0000">
                  <c:v>1.2139096482906331</c:v>
                </c:pt>
                <c:pt idx="183" formatCode="0.0000">
                  <c:v>1.1425186645164627</c:v>
                </c:pt>
                <c:pt idx="184" formatCode="0.0000">
                  <c:v>1.1771545439056375</c:v>
                </c:pt>
                <c:pt idx="185" formatCode="0.0000">
                  <c:v>0.98094495195739262</c:v>
                </c:pt>
                <c:pt idx="186" formatCode="0.0000">
                  <c:v>0.921985867024678</c:v>
                </c:pt>
                <c:pt idx="187" formatCode="0.0000">
                  <c:v>0.91447109032305307</c:v>
                </c:pt>
                <c:pt idx="188" formatCode="0.0000">
                  <c:v>0.89298646147849048</c:v>
                </c:pt>
                <c:pt idx="189" formatCode="0.0000">
                  <c:v>0.72908215323845871</c:v>
                </c:pt>
                <c:pt idx="190" formatCode="0.0000">
                  <c:v>0.74428816703350209</c:v>
                </c:pt>
                <c:pt idx="191" formatCode="0.0000">
                  <c:v>0.70214098102568367</c:v>
                </c:pt>
                <c:pt idx="192" formatCode="0.0000">
                  <c:v>0.75685238849431191</c:v>
                </c:pt>
                <c:pt idx="193" formatCode="0.0000">
                  <c:v>1.1123698775563429</c:v>
                </c:pt>
                <c:pt idx="194" formatCode="0.0000">
                  <c:v>1.1162609436169648</c:v>
                </c:pt>
                <c:pt idx="195" formatCode="0.0000">
                  <c:v>1.1659411398914632</c:v>
                </c:pt>
                <c:pt idx="196" formatCode="0.0000">
                  <c:v>1.2471138420036272</c:v>
                </c:pt>
                <c:pt idx="197" formatCode="0.0000">
                  <c:v>1.3589185580515337</c:v>
                </c:pt>
                <c:pt idx="198" formatCode="0.0000">
                  <c:v>1.2857098565706979</c:v>
                </c:pt>
                <c:pt idx="199" formatCode="0.0000">
                  <c:v>1.4271300712879673</c:v>
                </c:pt>
                <c:pt idx="200" formatCode="0.0000">
                  <c:v>1.1836166946567945</c:v>
                </c:pt>
                <c:pt idx="201" formatCode="0.0000">
                  <c:v>1.1892750270724723</c:v>
                </c:pt>
                <c:pt idx="202" formatCode="0.0000">
                  <c:v>1.1487074310679459</c:v>
                </c:pt>
                <c:pt idx="203" formatCode="0.0000">
                  <c:v>1.0818730472144724</c:v>
                </c:pt>
                <c:pt idx="204" formatCode="0.0000">
                  <c:v>1.1797212196695688</c:v>
                </c:pt>
                <c:pt idx="205" formatCode="0.0000">
                  <c:v>1.2976735210538735</c:v>
                </c:pt>
                <c:pt idx="206" formatCode="0.0000">
                  <c:v>1.8023547882349307</c:v>
                </c:pt>
                <c:pt idx="207" formatCode="0.0000">
                  <c:v>2.0915483664937344</c:v>
                </c:pt>
                <c:pt idx="208" formatCode="0.0000">
                  <c:v>2.1108314269852788</c:v>
                </c:pt>
                <c:pt idx="209" formatCode="0.0000">
                  <c:v>2.3251557091367494</c:v>
                </c:pt>
                <c:pt idx="210" formatCode="0.0000">
                  <c:v>2.4713540742368596</c:v>
                </c:pt>
                <c:pt idx="211" formatCode="0.0000">
                  <c:v>2.2843705681212163</c:v>
                </c:pt>
                <c:pt idx="212" formatCode="0.0000">
                  <c:v>2.383916269293394</c:v>
                </c:pt>
                <c:pt idx="213" formatCode="0.0000">
                  <c:v>1.9390583016059106</c:v>
                </c:pt>
                <c:pt idx="214" formatCode="0.0000">
                  <c:v>1.593036446005587</c:v>
                </c:pt>
                <c:pt idx="215" formatCode="0.0000">
                  <c:v>1.7237726877153143</c:v>
                </c:pt>
                <c:pt idx="216" formatCode="0.0000">
                  <c:v>1.517519753763203</c:v>
                </c:pt>
                <c:pt idx="217" formatCode="0.0000">
                  <c:v>1.4718002923922868</c:v>
                </c:pt>
                <c:pt idx="218" formatCode="0.0000">
                  <c:v>1.5409610837479681</c:v>
                </c:pt>
                <c:pt idx="219" formatCode="0.0000">
                  <c:v>1.5563499983184634</c:v>
                </c:pt>
                <c:pt idx="220" formatCode="0.0000">
                  <c:v>1.5201515636504557</c:v>
                </c:pt>
                <c:pt idx="221" formatCode="0.0000">
                  <c:v>1.8081429693501214</c:v>
                </c:pt>
                <c:pt idx="222" formatCode="0.0000">
                  <c:v>1.602443658436935</c:v>
                </c:pt>
                <c:pt idx="223" formatCode="0.0000">
                  <c:v>1.6475267659826698</c:v>
                </c:pt>
                <c:pt idx="224" formatCode="0.0000">
                  <c:v>1.6886949621734755</c:v>
                </c:pt>
                <c:pt idx="225" formatCode="0.0000">
                  <c:v>1.695695000509037</c:v>
                </c:pt>
                <c:pt idx="226" formatCode="0.0000">
                  <c:v>1.5492773663522819</c:v>
                </c:pt>
                <c:pt idx="227" formatCode="0.0000">
                  <c:v>1.515313425394716</c:v>
                </c:pt>
                <c:pt idx="228" formatCode="0.0000">
                  <c:v>1.3157701224520735</c:v>
                </c:pt>
                <c:pt idx="229" formatCode="0.0000">
                  <c:v>1.4662043936226998</c:v>
                </c:pt>
                <c:pt idx="230" formatCode="0.0000">
                  <c:v>1.4942275995854906</c:v>
                </c:pt>
                <c:pt idx="231" formatCode="0.0000">
                  <c:v>1.4543547459225876</c:v>
                </c:pt>
                <c:pt idx="232" formatCode="0.0000">
                  <c:v>1.5369425519095767</c:v>
                </c:pt>
                <c:pt idx="233" formatCode="0.0000">
                  <c:v>1.6596655018065294</c:v>
                </c:pt>
                <c:pt idx="234" formatCode="0.0000">
                  <c:v>1.7531644491605043</c:v>
                </c:pt>
                <c:pt idx="235" formatCode="0.0000">
                  <c:v>1.7116439665324819</c:v>
                </c:pt>
                <c:pt idx="236" formatCode="0.0000">
                  <c:v>1.7414337724375568</c:v>
                </c:pt>
                <c:pt idx="237" formatCode="0.0000">
                  <c:v>1.6556574876800116</c:v>
                </c:pt>
                <c:pt idx="238" formatCode="0.0000">
                  <c:v>1.7989319286905558</c:v>
                </c:pt>
                <c:pt idx="239" formatCode="0.0000">
                  <c:v>1.7271306465794056</c:v>
                </c:pt>
                <c:pt idx="240" formatCode="0.0000">
                  <c:v>1.6647217863909591</c:v>
                </c:pt>
                <c:pt idx="241" formatCode="0.0000">
                  <c:v>1.6207733621742142</c:v>
                </c:pt>
                <c:pt idx="242" formatCode="0.0000">
                  <c:v>1.6301982498306222</c:v>
                </c:pt>
                <c:pt idx="243" formatCode="0.0000">
                  <c:v>1.5871394170887665</c:v>
                </c:pt>
                <c:pt idx="244" formatCode="0.0000">
                  <c:v>1.6419630685691835</c:v>
                </c:pt>
                <c:pt idx="245" formatCode="0.0000">
                  <c:v>1.3891139690701313</c:v>
                </c:pt>
                <c:pt idx="246" formatCode="0.0000">
                  <c:v>1.3492230830695304</c:v>
                </c:pt>
                <c:pt idx="247" formatCode="0.0000">
                  <c:v>1.315334643885242</c:v>
                </c:pt>
                <c:pt idx="248" formatCode="0.0000">
                  <c:v>1.2387725566722014</c:v>
                </c:pt>
                <c:pt idx="249" formatCode="0.0000">
                  <c:v>1.2363901143631466</c:v>
                </c:pt>
                <c:pt idx="250" formatCode="0.0000">
                  <c:v>1.1628432380421942</c:v>
                </c:pt>
                <c:pt idx="251" formatCode="0.0000">
                  <c:v>1.1036276668389995</c:v>
                </c:pt>
                <c:pt idx="252" formatCode="0.0000">
                  <c:v>1.1563667205003014</c:v>
                </c:pt>
                <c:pt idx="253" formatCode="0.0000">
                  <c:v>1.0630948036783281</c:v>
                </c:pt>
                <c:pt idx="254" formatCode="0.0000">
                  <c:v>0.98620413793245398</c:v>
                </c:pt>
                <c:pt idx="255" formatCode="0.0000">
                  <c:v>0.91255168706110312</c:v>
                </c:pt>
                <c:pt idx="256" formatCode="0.0000">
                  <c:v>0.83203535398954442</c:v>
                </c:pt>
                <c:pt idx="257" formatCode="0.0000">
                  <c:v>0.89316309992401277</c:v>
                </c:pt>
                <c:pt idx="258" formatCode="0.0000">
                  <c:v>0.89161606878600119</c:v>
                </c:pt>
                <c:pt idx="259" formatCode="0.0000">
                  <c:v>0.86218407604399183</c:v>
                </c:pt>
                <c:pt idx="260" formatCode="0.0000">
                  <c:v>0.88318156960454164</c:v>
                </c:pt>
                <c:pt idx="261" formatCode="0.0000">
                  <c:v>0.88086501980449139</c:v>
                </c:pt>
                <c:pt idx="262" formatCode="0.0000">
                  <c:v>0.9207781031965937</c:v>
                </c:pt>
                <c:pt idx="263" formatCode="0.0000">
                  <c:v>0.96883765647192821</c:v>
                </c:pt>
                <c:pt idx="264" formatCode="0.0000">
                  <c:v>0.88693779812508111</c:v>
                </c:pt>
                <c:pt idx="265" formatCode="0.0000">
                  <c:v>0.90397863267015954</c:v>
                </c:pt>
                <c:pt idx="266" formatCode="0.0000">
                  <c:v>0.88494204271420351</c:v>
                </c:pt>
                <c:pt idx="267" formatCode="0.0000">
                  <c:v>0.96412864294597433</c:v>
                </c:pt>
                <c:pt idx="268" formatCode="0.0000">
                  <c:v>1.0052413932584245</c:v>
                </c:pt>
                <c:pt idx="269" formatCode="0.0000">
                  <c:v>0.99700770767259539</c:v>
                </c:pt>
                <c:pt idx="270" formatCode="0.0000">
                  <c:v>0.96614482526166534</c:v>
                </c:pt>
                <c:pt idx="271" formatCode="0.0000">
                  <c:v>0.92240451781367838</c:v>
                </c:pt>
                <c:pt idx="272" formatCode="0.0000">
                  <c:v>0.84547408523700085</c:v>
                </c:pt>
                <c:pt idx="273" formatCode="0.0000">
                  <c:v>0.96409839344171488</c:v>
                </c:pt>
                <c:pt idx="274" formatCode="0.0000">
                  <c:v>0.96097813648684594</c:v>
                </c:pt>
                <c:pt idx="275" formatCode="0.0000">
                  <c:v>0.98998839008314188</c:v>
                </c:pt>
                <c:pt idx="276" formatCode="0.0000">
                  <c:v>0.95515381371993047</c:v>
                </c:pt>
                <c:pt idx="277" formatCode="0.0000">
                  <c:v>0.97413221365722191</c:v>
                </c:pt>
                <c:pt idx="278" formatCode="0.0000">
                  <c:v>0.98983653391959869</c:v>
                </c:pt>
                <c:pt idx="279" formatCode="0.0000">
                  <c:v>0.99823967838087557</c:v>
                </c:pt>
                <c:pt idx="280" formatCode="0.0000">
                  <c:v>0.91894559993318192</c:v>
                </c:pt>
                <c:pt idx="281" formatCode="0.0000">
                  <c:v>0.91365073024464283</c:v>
                </c:pt>
                <c:pt idx="282" formatCode="0.0000">
                  <c:v>0.94041547712527362</c:v>
                </c:pt>
                <c:pt idx="283" formatCode="0.0000">
                  <c:v>0.93946212290572573</c:v>
                </c:pt>
                <c:pt idx="284" formatCode="0.0000">
                  <c:v>0.94899157874659712</c:v>
                </c:pt>
                <c:pt idx="285" formatCode="0.0000">
                  <c:v>0.96043558772744864</c:v>
                </c:pt>
                <c:pt idx="286" formatCode="0.0000">
                  <c:v>0.98947182067361583</c:v>
                </c:pt>
                <c:pt idx="287" formatCode="0.0000">
                  <c:v>1.000811357222003</c:v>
                </c:pt>
                <c:pt idx="288" formatCode="0.0000">
                  <c:v>1.014757054041209</c:v>
                </c:pt>
                <c:pt idx="289" formatCode="0.0000">
                  <c:v>0.97203641461776868</c:v>
                </c:pt>
                <c:pt idx="290" formatCode="0.0000">
                  <c:v>0.98404083347661475</c:v>
                </c:pt>
                <c:pt idx="291" formatCode="0.0000">
                  <c:v>0.9919098713525436</c:v>
                </c:pt>
                <c:pt idx="292" formatCode="0.0000">
                  <c:v>0.99795375768100614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68A-4E0C-8221-EFF03689051C}"/>
            </c:ext>
          </c:extLst>
        </c:ser>
        <c:ser>
          <c:idx val="2"/>
          <c:order val="2"/>
          <c:tx>
            <c:strRef>
              <c:f>'R(t) Województwa'!$X$2</c:f>
              <c:strCache>
                <c:ptCount val="1"/>
                <c:pt idx="0">
                  <c:v>Lubelskie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Województwa'!$X$3:$X$1000</c:f>
              <c:numCache>
                <c:formatCode>General</c:formatCode>
                <c:ptCount val="998"/>
                <c:pt idx="28" formatCode="0.0000">
                  <c:v>1.4261954261954268</c:v>
                </c:pt>
                <c:pt idx="29" formatCode="0.0000">
                  <c:v>0.75044062712035864</c:v>
                </c:pt>
                <c:pt idx="30" formatCode="0.0000">
                  <c:v>1.016666921433389</c:v>
                </c:pt>
                <c:pt idx="31" formatCode="0.0000">
                  <c:v>0.90215381390954874</c:v>
                </c:pt>
                <c:pt idx="32" formatCode="0.0000">
                  <c:v>0.84096474293710699</c:v>
                </c:pt>
                <c:pt idx="33" formatCode="0.0000">
                  <c:v>0.83638376229189015</c:v>
                </c:pt>
                <c:pt idx="34" formatCode="0.0000">
                  <c:v>0.80976126772126411</c:v>
                </c:pt>
                <c:pt idx="35" formatCode="0.0000">
                  <c:v>0.75962295279703607</c:v>
                </c:pt>
                <c:pt idx="36" formatCode="0.0000">
                  <c:v>0.85947769303022981</c:v>
                </c:pt>
                <c:pt idx="37" formatCode="0.0000">
                  <c:v>0.70956060989802872</c:v>
                </c:pt>
                <c:pt idx="38" formatCode="0.0000">
                  <c:v>0.89115210778556886</c:v>
                </c:pt>
                <c:pt idx="39" formatCode="0.0000">
                  <c:v>0.84721932285660684</c:v>
                </c:pt>
                <c:pt idx="40" formatCode="0.0000">
                  <c:v>0.86872170087509315</c:v>
                </c:pt>
                <c:pt idx="41" formatCode="0.0000">
                  <c:v>0.86814455800197965</c:v>
                </c:pt>
                <c:pt idx="42" formatCode="0.0000">
                  <c:v>0.79554022177206529</c:v>
                </c:pt>
                <c:pt idx="43" formatCode="0.0000">
                  <c:v>1.116717873271994</c:v>
                </c:pt>
                <c:pt idx="44" formatCode="0.0000">
                  <c:v>1.1659150852145781</c:v>
                </c:pt>
                <c:pt idx="45" formatCode="0.0000">
                  <c:v>1.0552581792582461</c:v>
                </c:pt>
                <c:pt idx="46" formatCode="0.0000">
                  <c:v>1.0548069313487425</c:v>
                </c:pt>
                <c:pt idx="47" formatCode="0.0000">
                  <c:v>1.1442186638262248</c:v>
                </c:pt>
                <c:pt idx="48" formatCode="0.0000">
                  <c:v>1.0938295908536373</c:v>
                </c:pt>
                <c:pt idx="49" formatCode="0.0000">
                  <c:v>1.2302942900479938</c:v>
                </c:pt>
                <c:pt idx="50" formatCode="0.0000">
                  <c:v>0.89977563835064855</c:v>
                </c:pt>
                <c:pt idx="51" formatCode="0.0000">
                  <c:v>0.83952599038040432</c:v>
                </c:pt>
                <c:pt idx="52" formatCode="0.0000">
                  <c:v>0.78742939038934601</c:v>
                </c:pt>
                <c:pt idx="53" formatCode="0.0000">
                  <c:v>0.81544306349003837</c:v>
                </c:pt>
                <c:pt idx="54" formatCode="0.0000">
                  <c:v>0.68119883489166477</c:v>
                </c:pt>
                <c:pt idx="55" formatCode="0.0000">
                  <c:v>0.67841101411162708</c:v>
                </c:pt>
                <c:pt idx="56" formatCode="0.0000">
                  <c:v>0.52639760016993509</c:v>
                </c:pt>
                <c:pt idx="57" formatCode="0.0000">
                  <c:v>0.49615666849766321</c:v>
                </c:pt>
                <c:pt idx="58" formatCode="0.0000">
                  <c:v>0.46130318129365971</c:v>
                </c:pt>
                <c:pt idx="59" formatCode="0.0000">
                  <c:v>0.50700442479232533</c:v>
                </c:pt>
                <c:pt idx="60" formatCode="0.0000">
                  <c:v>0.49585310636838581</c:v>
                </c:pt>
                <c:pt idx="61" formatCode="0.0000">
                  <c:v>0.62354445558941562</c:v>
                </c:pt>
                <c:pt idx="62" formatCode="0.0000">
                  <c:v>0.58443759217265334</c:v>
                </c:pt>
                <c:pt idx="63" formatCode="0.0000">
                  <c:v>0.58720900365254247</c:v>
                </c:pt>
                <c:pt idx="64" formatCode="0.0000">
                  <c:v>0.66371615768745396</c:v>
                </c:pt>
                <c:pt idx="65" formatCode="0.0000">
                  <c:v>0.67493021220663796</c:v>
                </c:pt>
                <c:pt idx="66" formatCode="0.0000">
                  <c:v>0.65374507911903801</c:v>
                </c:pt>
                <c:pt idx="67" formatCode="0.0000">
                  <c:v>0.67984827338643761</c:v>
                </c:pt>
                <c:pt idx="68" formatCode="0.0000">
                  <c:v>0.54829099535552073</c:v>
                </c:pt>
                <c:pt idx="69" formatCode="0.0000">
                  <c:v>0.73645240504850684</c:v>
                </c:pt>
                <c:pt idx="70" formatCode="0.0000">
                  <c:v>0.84823650953581675</c:v>
                </c:pt>
                <c:pt idx="71" formatCode="0.0000">
                  <c:v>0.78756653413239808</c:v>
                </c:pt>
                <c:pt idx="72" formatCode="0.0000">
                  <c:v>0.8428075919507394</c:v>
                </c:pt>
                <c:pt idx="73" formatCode="0.0000">
                  <c:v>0.76808522427792714</c:v>
                </c:pt>
                <c:pt idx="74" formatCode="0.0000">
                  <c:v>0.68433107116547764</c:v>
                </c:pt>
                <c:pt idx="75" formatCode="0.0000">
                  <c:v>0.65771377864884806</c:v>
                </c:pt>
                <c:pt idx="76" formatCode="0.0000">
                  <c:v>0.94455629591419654</c:v>
                </c:pt>
                <c:pt idx="77" formatCode="0.0000">
                  <c:v>0.76454994210627192</c:v>
                </c:pt>
                <c:pt idx="78" formatCode="0.0000">
                  <c:v>0.79662730488683831</c:v>
                </c:pt>
                <c:pt idx="79" formatCode="0.0000">
                  <c:v>1.0700309399280488</c:v>
                </c:pt>
                <c:pt idx="80" formatCode="0.0000">
                  <c:v>1.1710221212204976</c:v>
                </c:pt>
                <c:pt idx="81" formatCode="0.0000">
                  <c:v>1.220505451183763</c:v>
                </c:pt>
                <c:pt idx="82" formatCode="0.0000">
                  <c:v>1.8676428315022702</c:v>
                </c:pt>
                <c:pt idx="83" formatCode="0.0000">
                  <c:v>1.8106926457160284</c:v>
                </c:pt>
                <c:pt idx="84" formatCode="0.0000">
                  <c:v>1.8926513299150984</c:v>
                </c:pt>
                <c:pt idx="85" formatCode="0.0000">
                  <c:v>2.3556179508589055</c:v>
                </c:pt>
                <c:pt idx="86" formatCode="0.0000">
                  <c:v>2.313746846369618</c:v>
                </c:pt>
                <c:pt idx="87" formatCode="0.0000">
                  <c:v>2.1814458123773144</c:v>
                </c:pt>
                <c:pt idx="88" formatCode="0.0000">
                  <c:v>2.1319624824140488</c:v>
                </c:pt>
                <c:pt idx="89" formatCode="0.0000">
                  <c:v>1.5823847631426784</c:v>
                </c:pt>
                <c:pt idx="90" formatCode="0.0000">
                  <c:v>1.2092648021349688</c:v>
                </c:pt>
                <c:pt idx="91" formatCode="0.0000">
                  <c:v>1.1273061179358987</c:v>
                </c:pt>
                <c:pt idx="92" formatCode="0.0000">
                  <c:v>0.7779363568258546</c:v>
                </c:pt>
                <c:pt idx="93" formatCode="0.0000">
                  <c:v>0.48113633019155566</c:v>
                </c:pt>
                <c:pt idx="94" formatCode="0.0000">
                  <c:v>0.49418559327518569</c:v>
                </c:pt>
                <c:pt idx="95" formatCode="0.0000">
                  <c:v>0.59620070218167542</c:v>
                </c:pt>
                <c:pt idx="96" formatCode="0.0000">
                  <c:v>0.64896117085548688</c:v>
                </c:pt>
                <c:pt idx="97" formatCode="0.0000">
                  <c:v>0.63716535178569877</c:v>
                </c:pt>
                <c:pt idx="98" formatCode="0.0000">
                  <c:v>0.78605303044062202</c:v>
                </c:pt>
                <c:pt idx="99" formatCode="0.0000">
                  <c:v>0.59059821391820899</c:v>
                </c:pt>
                <c:pt idx="100" formatCode="0.0000">
                  <c:v>0.64668906198828613</c:v>
                </c:pt>
                <c:pt idx="101" formatCode="0.0000">
                  <c:v>0.70456579679258891</c:v>
                </c:pt>
                <c:pt idx="102" formatCode="0.0000">
                  <c:v>0.88201731962576946</c:v>
                </c:pt>
                <c:pt idx="103" formatCode="0.0000">
                  <c:v>1.2020337177220326</c:v>
                </c:pt>
                <c:pt idx="104" formatCode="0.0000">
                  <c:v>1.1983800665407018</c:v>
                </c:pt>
                <c:pt idx="105" formatCode="0.0000">
                  <c:v>1.3487825507401967</c:v>
                </c:pt>
                <c:pt idx="106" formatCode="0.0000">
                  <c:v>1.6281004633980092</c:v>
                </c:pt>
                <c:pt idx="107" formatCode="0.0000">
                  <c:v>1.6923744569790347</c:v>
                </c:pt>
                <c:pt idx="108" formatCode="0.0000">
                  <c:v>1.9703768002498994</c:v>
                </c:pt>
                <c:pt idx="109" formatCode="0.0000">
                  <c:v>1.7906632055153862</c:v>
                </c:pt>
                <c:pt idx="110" formatCode="0.0000">
                  <c:v>1.4872710266604707</c:v>
                </c:pt>
                <c:pt idx="111" formatCode="0.0000">
                  <c:v>1.5537350970731416</c:v>
                </c:pt>
                <c:pt idx="112" formatCode="0.0000">
                  <c:v>1.3349815095675877</c:v>
                </c:pt>
                <c:pt idx="113" formatCode="0.0000">
                  <c:v>1.1045540414464996</c:v>
                </c:pt>
                <c:pt idx="114" formatCode="0.0000">
                  <c:v>1.0713689901150272</c:v>
                </c:pt>
                <c:pt idx="115" formatCode="0.0000">
                  <c:v>0.77566583455979943</c:v>
                </c:pt>
                <c:pt idx="116" formatCode="0.0000">
                  <c:v>0.92874206960899408</c:v>
                </c:pt>
                <c:pt idx="117" formatCode="0.0000">
                  <c:v>0.92717963274821691</c:v>
                </c:pt>
                <c:pt idx="118" formatCode="0.0000">
                  <c:v>1.0201865165143507</c:v>
                </c:pt>
                <c:pt idx="119" formatCode="0.0000">
                  <c:v>0.93964994116548595</c:v>
                </c:pt>
                <c:pt idx="120" formatCode="0.0000">
                  <c:v>1.017664450842527</c:v>
                </c:pt>
                <c:pt idx="121" formatCode="0.0000">
                  <c:v>1.0414103258627041</c:v>
                </c:pt>
                <c:pt idx="122" formatCode="0.0000">
                  <c:v>1.0632753189501563</c:v>
                </c:pt>
                <c:pt idx="123" formatCode="0.0000">
                  <c:v>1.0532791750708974</c:v>
                </c:pt>
                <c:pt idx="124" formatCode="0.0000">
                  <c:v>1.134566429174821</c:v>
                </c:pt>
                <c:pt idx="125" formatCode="0.0000">
                  <c:v>1.437788189635965</c:v>
                </c:pt>
                <c:pt idx="126" formatCode="0.0000">
                  <c:v>1.6482262682916851</c:v>
                </c:pt>
                <c:pt idx="127" formatCode="0.0000">
                  <c:v>1.6157336800475066</c:v>
                </c:pt>
                <c:pt idx="128" formatCode="0.0000">
                  <c:v>1.5313137009268616</c:v>
                </c:pt>
                <c:pt idx="129" formatCode="0.0000">
                  <c:v>1.6289375295376896</c:v>
                </c:pt>
                <c:pt idx="130" formatCode="0.0000">
                  <c:v>1.5813714742512772</c:v>
                </c:pt>
                <c:pt idx="131" formatCode="0.0000">
                  <c:v>1.8024266342774333</c:v>
                </c:pt>
                <c:pt idx="132" formatCode="0.0000">
                  <c:v>1.3866765664382836</c:v>
                </c:pt>
                <c:pt idx="133" formatCode="0.0000">
                  <c:v>1.2990364118044133</c:v>
                </c:pt>
                <c:pt idx="134" formatCode="0.0000">
                  <c:v>1.2824941937331042</c:v>
                </c:pt>
                <c:pt idx="135" formatCode="0.0000">
                  <c:v>1.2722943803017623</c:v>
                </c:pt>
                <c:pt idx="136" formatCode="0.0000">
                  <c:v>1.2137466938210213</c:v>
                </c:pt>
                <c:pt idx="137" formatCode="0.0000">
                  <c:v>1.1996068868889125</c:v>
                </c:pt>
                <c:pt idx="138" formatCode="0.0000">
                  <c:v>0.75089510328984355</c:v>
                </c:pt>
                <c:pt idx="139" formatCode="0.0000">
                  <c:v>0.67446814657578058</c:v>
                </c:pt>
                <c:pt idx="140" formatCode="0.0000">
                  <c:v>0.58058368136175553</c:v>
                </c:pt>
                <c:pt idx="141" formatCode="0.0000">
                  <c:v>0.57992542930873392</c:v>
                </c:pt>
                <c:pt idx="142" formatCode="0.0000">
                  <c:v>0.55374914681165477</c:v>
                </c:pt>
                <c:pt idx="143" formatCode="0.0000">
                  <c:v>0.556997780676732</c:v>
                </c:pt>
                <c:pt idx="144" formatCode="0.0000">
                  <c:v>0.6084432355380337</c:v>
                </c:pt>
                <c:pt idx="145" formatCode="0.0000">
                  <c:v>0.75824335599517612</c:v>
                </c:pt>
                <c:pt idx="146" formatCode="0.0000">
                  <c:v>0.80726813742278314</c:v>
                </c:pt>
                <c:pt idx="147" formatCode="0.0000">
                  <c:v>0.77835467861495844</c:v>
                </c:pt>
                <c:pt idx="148" formatCode="0.0000">
                  <c:v>1.0428525770961428</c:v>
                </c:pt>
                <c:pt idx="149" formatCode="0.0000">
                  <c:v>1.2133216469891863</c:v>
                </c:pt>
                <c:pt idx="150" formatCode="0.0000">
                  <c:v>1.4047889008690084</c:v>
                </c:pt>
                <c:pt idx="151" formatCode="0.0000">
                  <c:v>1.420203153989738</c:v>
                </c:pt>
                <c:pt idx="152" formatCode="0.0000">
                  <c:v>1.2762577674796121</c:v>
                </c:pt>
                <c:pt idx="153" formatCode="0.0000">
                  <c:v>1.3988367183956396</c:v>
                </c:pt>
                <c:pt idx="154" formatCode="0.0000">
                  <c:v>1.5014881370307815</c:v>
                </c:pt>
                <c:pt idx="155" formatCode="0.0000">
                  <c:v>1.457002921734754</c:v>
                </c:pt>
                <c:pt idx="156" formatCode="0.0000">
                  <c:v>1.4156165702876697</c:v>
                </c:pt>
                <c:pt idx="157" formatCode="0.0000">
                  <c:v>1.2462382137668764</c:v>
                </c:pt>
                <c:pt idx="158" formatCode="0.0000">
                  <c:v>1.2410373215380999</c:v>
                </c:pt>
                <c:pt idx="159" formatCode="0.0000">
                  <c:v>1.324335343528658</c:v>
                </c:pt>
                <c:pt idx="160" formatCode="0.0000">
                  <c:v>1.3186965964388899</c:v>
                </c:pt>
                <c:pt idx="161" formatCode="0.0000">
                  <c:v>1.292382359765204</c:v>
                </c:pt>
                <c:pt idx="162" formatCode="0.0000">
                  <c:v>1.3568217792799453</c:v>
                </c:pt>
                <c:pt idx="163" formatCode="0.0000">
                  <c:v>1.5853771266895502</c:v>
                </c:pt>
                <c:pt idx="164" formatCode="0.0000">
                  <c:v>1.5807636814720596</c:v>
                </c:pt>
                <c:pt idx="165" formatCode="0.0000">
                  <c:v>1.4427671386083332</c:v>
                </c:pt>
                <c:pt idx="166" formatCode="0.0000">
                  <c:v>1.272203913886321</c:v>
                </c:pt>
                <c:pt idx="167" formatCode="0.0000">
                  <c:v>1.1538986430118991</c:v>
                </c:pt>
                <c:pt idx="168" formatCode="0.0000">
                  <c:v>1.2443629640726095</c:v>
                </c:pt>
                <c:pt idx="169" formatCode="0.0000">
                  <c:v>1.0857647176994312</c:v>
                </c:pt>
                <c:pt idx="170" formatCode="0.0000">
                  <c:v>0.83635592812861226</c:v>
                </c:pt>
                <c:pt idx="171" formatCode="0.0000">
                  <c:v>0.8514176536161564</c:v>
                </c:pt>
                <c:pt idx="172" formatCode="0.0000">
                  <c:v>0.92528922431790683</c:v>
                </c:pt>
                <c:pt idx="173" formatCode="0.0000">
                  <c:v>1.0152816311203445</c:v>
                </c:pt>
                <c:pt idx="174" formatCode="0.0000">
                  <c:v>1.0230475487842943</c:v>
                </c:pt>
                <c:pt idx="175" formatCode="0.0000">
                  <c:v>1.1078660373893909</c:v>
                </c:pt>
                <c:pt idx="176" formatCode="0.0000">
                  <c:v>1.0243101850928584</c:v>
                </c:pt>
                <c:pt idx="177" formatCode="0.0000">
                  <c:v>1.0073645409280261</c:v>
                </c:pt>
                <c:pt idx="178" formatCode="0.0000">
                  <c:v>1.0562396840230006</c:v>
                </c:pt>
                <c:pt idx="179" formatCode="0.0000">
                  <c:v>0.99683288744455489</c:v>
                </c:pt>
                <c:pt idx="180" formatCode="0.0000">
                  <c:v>1.4335566986145907</c:v>
                </c:pt>
                <c:pt idx="181" formatCode="0.0000">
                  <c:v>1.4774216903393544</c:v>
                </c:pt>
                <c:pt idx="182" formatCode="0.0000">
                  <c:v>1.3007780523999244</c:v>
                </c:pt>
                <c:pt idx="183" formatCode="0.0000">
                  <c:v>1.2618303104542454</c:v>
                </c:pt>
                <c:pt idx="184" formatCode="0.0000">
                  <c:v>1.4076696452762589</c:v>
                </c:pt>
                <c:pt idx="185" formatCode="0.0000">
                  <c:v>1.3459814956919371</c:v>
                </c:pt>
                <c:pt idx="186" formatCode="0.0000">
                  <c:v>1.3114624082339703</c:v>
                </c:pt>
                <c:pt idx="187" formatCode="0.0000">
                  <c:v>0.86271508750591896</c:v>
                </c:pt>
                <c:pt idx="188" formatCode="0.0000">
                  <c:v>0.84680369288188595</c:v>
                </c:pt>
                <c:pt idx="189" formatCode="0.0000">
                  <c:v>0.81274367885744692</c:v>
                </c:pt>
                <c:pt idx="190" formatCode="0.0000">
                  <c:v>0.83945874638922946</c:v>
                </c:pt>
                <c:pt idx="191" formatCode="0.0000">
                  <c:v>0.74477582621665839</c:v>
                </c:pt>
                <c:pt idx="192" formatCode="0.0000">
                  <c:v>0.78448609947397663</c:v>
                </c:pt>
                <c:pt idx="193" formatCode="0.0000">
                  <c:v>0.90558433942904437</c:v>
                </c:pt>
                <c:pt idx="194" formatCode="0.0000">
                  <c:v>1.00122264718452</c:v>
                </c:pt>
                <c:pt idx="195" formatCode="0.0000">
                  <c:v>0.94375542304546056</c:v>
                </c:pt>
                <c:pt idx="196" formatCode="0.0000">
                  <c:v>1.064228860661826</c:v>
                </c:pt>
                <c:pt idx="197" formatCode="0.0000">
                  <c:v>1.2224544430747666</c:v>
                </c:pt>
                <c:pt idx="198" formatCode="0.0000">
                  <c:v>1.0818500659662116</c:v>
                </c:pt>
                <c:pt idx="199" formatCode="0.0000">
                  <c:v>1.164459625532577</c:v>
                </c:pt>
                <c:pt idx="200" formatCode="0.0000">
                  <c:v>1.7217807997934773</c:v>
                </c:pt>
                <c:pt idx="201" formatCode="0.0000">
                  <c:v>1.683295575110201</c:v>
                </c:pt>
                <c:pt idx="202" formatCode="0.0000">
                  <c:v>1.8441382926736356</c:v>
                </c:pt>
                <c:pt idx="203" formatCode="0.0000">
                  <c:v>1.7610178712307873</c:v>
                </c:pt>
                <c:pt idx="204" formatCode="0.0000">
                  <c:v>1.6418014083913428</c:v>
                </c:pt>
                <c:pt idx="205" formatCode="0.0000">
                  <c:v>1.84528758867196</c:v>
                </c:pt>
                <c:pt idx="206" formatCode="0.0000">
                  <c:v>1.778059344629876</c:v>
                </c:pt>
                <c:pt idx="207" formatCode="0.0000">
                  <c:v>1.2145329704959273</c:v>
                </c:pt>
                <c:pt idx="208" formatCode="0.0000">
                  <c:v>1.3218377579057443</c:v>
                </c:pt>
                <c:pt idx="209" formatCode="0.0000">
                  <c:v>1.3841902836096083</c:v>
                </c:pt>
                <c:pt idx="210" formatCode="0.0000">
                  <c:v>1.3809814850713149</c:v>
                </c:pt>
                <c:pt idx="211" formatCode="0.0000">
                  <c:v>1.4253721840861036</c:v>
                </c:pt>
                <c:pt idx="212" formatCode="0.0000">
                  <c:v>1.4540790340367613</c:v>
                </c:pt>
                <c:pt idx="213" formatCode="0.0000">
                  <c:v>1.4687977335110947</c:v>
                </c:pt>
                <c:pt idx="214" formatCode="0.0000">
                  <c:v>1.5170052105031075</c:v>
                </c:pt>
                <c:pt idx="215" formatCode="0.0000">
                  <c:v>1.4717990335890254</c:v>
                </c:pt>
                <c:pt idx="216" formatCode="0.0000">
                  <c:v>1.5381124836918871</c:v>
                </c:pt>
                <c:pt idx="217" formatCode="0.0000">
                  <c:v>1.6788782617906832</c:v>
                </c:pt>
                <c:pt idx="218" formatCode="0.0000">
                  <c:v>1.6057079274980073</c:v>
                </c:pt>
                <c:pt idx="219" formatCode="0.0000">
                  <c:v>1.6488086986295509</c:v>
                </c:pt>
                <c:pt idx="220" formatCode="0.0000">
                  <c:v>1.6563034502083498</c:v>
                </c:pt>
                <c:pt idx="221" formatCode="0.0000">
                  <c:v>1.6970489892835177</c:v>
                </c:pt>
                <c:pt idx="222" formatCode="0.0000">
                  <c:v>1.8048902886559048</c:v>
                </c:pt>
                <c:pt idx="223" formatCode="0.0000">
                  <c:v>1.8167130218237317</c:v>
                </c:pt>
                <c:pt idx="224" formatCode="0.0000">
                  <c:v>1.7197166493209968</c:v>
                </c:pt>
                <c:pt idx="225" formatCode="0.0000">
                  <c:v>1.7564343502780504</c:v>
                </c:pt>
                <c:pt idx="226" formatCode="0.0000">
                  <c:v>1.6869468444477385</c:v>
                </c:pt>
                <c:pt idx="227" formatCode="0.0000">
                  <c:v>1.642467033549472</c:v>
                </c:pt>
                <c:pt idx="228" formatCode="0.0000">
                  <c:v>1.6245238587115334</c:v>
                </c:pt>
                <c:pt idx="229" formatCode="0.0000">
                  <c:v>1.6439023388210712</c:v>
                </c:pt>
                <c:pt idx="230" formatCode="0.0000">
                  <c:v>1.5656755200968895</c:v>
                </c:pt>
                <c:pt idx="231" formatCode="0.0000">
                  <c:v>1.5405734709623871</c:v>
                </c:pt>
                <c:pt idx="232" formatCode="0.0000">
                  <c:v>1.6455121930818823</c:v>
                </c:pt>
                <c:pt idx="233" formatCode="0.0000">
                  <c:v>1.5814720221685143</c:v>
                </c:pt>
                <c:pt idx="234" formatCode="0.0000">
                  <c:v>1.6793515660065323</c:v>
                </c:pt>
                <c:pt idx="235" formatCode="0.0000">
                  <c:v>1.6488204979802616</c:v>
                </c:pt>
                <c:pt idx="236" formatCode="0.0000">
                  <c:v>1.5386155803957569</c:v>
                </c:pt>
                <c:pt idx="237" formatCode="0.0000">
                  <c:v>1.5038444707155121</c:v>
                </c:pt>
                <c:pt idx="238" formatCode="0.0000">
                  <c:v>1.5167672100486549</c:v>
                </c:pt>
                <c:pt idx="239" formatCode="0.0000">
                  <c:v>1.4142553108917195</c:v>
                </c:pt>
                <c:pt idx="240" formatCode="0.0000">
                  <c:v>1.7014165929979299</c:v>
                </c:pt>
                <c:pt idx="241" formatCode="0.0000">
                  <c:v>1.7100471961698005</c:v>
                </c:pt>
                <c:pt idx="242" formatCode="0.0000">
                  <c:v>1.7433154002080886</c:v>
                </c:pt>
                <c:pt idx="243" formatCode="0.0000">
                  <c:v>1.8033117431304599</c:v>
                </c:pt>
                <c:pt idx="244" formatCode="0.0000">
                  <c:v>1.7320587898146171</c:v>
                </c:pt>
                <c:pt idx="245" formatCode="0.0000">
                  <c:v>1.8022397910179708</c:v>
                </c:pt>
                <c:pt idx="246" formatCode="0.0000">
                  <c:v>1.8131524344791505</c:v>
                </c:pt>
                <c:pt idx="247" formatCode="0.0000">
                  <c:v>1.4661123214467242</c:v>
                </c:pt>
                <c:pt idx="248" formatCode="0.0000">
                  <c:v>1.3735750066976686</c:v>
                </c:pt>
                <c:pt idx="249" formatCode="0.0000">
                  <c:v>1.3212529640485664</c:v>
                </c:pt>
                <c:pt idx="250" formatCode="0.0000">
                  <c:v>1.2444999170710112</c:v>
                </c:pt>
                <c:pt idx="251" formatCode="0.0000">
                  <c:v>1.2316510138678025</c:v>
                </c:pt>
                <c:pt idx="252" formatCode="0.0000">
                  <c:v>1.162931133725714</c:v>
                </c:pt>
                <c:pt idx="253" formatCode="0.0000">
                  <c:v>1.1231328117224919</c:v>
                </c:pt>
                <c:pt idx="254" formatCode="0.0000">
                  <c:v>1.1150793634465799</c:v>
                </c:pt>
                <c:pt idx="255" formatCode="0.0000">
                  <c:v>0.97565276502148612</c:v>
                </c:pt>
                <c:pt idx="256" formatCode="0.0000">
                  <c:v>0.95393618731337704</c:v>
                </c:pt>
                <c:pt idx="257" formatCode="0.0000">
                  <c:v>0.90711177501529072</c:v>
                </c:pt>
                <c:pt idx="258" formatCode="0.0000">
                  <c:v>0.91627534708030678</c:v>
                </c:pt>
                <c:pt idx="259" formatCode="0.0000">
                  <c:v>0.963714512432717</c:v>
                </c:pt>
                <c:pt idx="260" formatCode="0.0000">
                  <c:v>0.87337668713230909</c:v>
                </c:pt>
                <c:pt idx="261" formatCode="0.0000">
                  <c:v>0.92209395188474319</c:v>
                </c:pt>
                <c:pt idx="262" formatCode="0.0000">
                  <c:v>0.94661354580979495</c:v>
                </c:pt>
                <c:pt idx="263" formatCode="0.0000">
                  <c:v>0.96376993659152055</c:v>
                </c:pt>
                <c:pt idx="264" formatCode="0.0000">
                  <c:v>0.92654075984030082</c:v>
                </c:pt>
                <c:pt idx="265" formatCode="0.0000">
                  <c:v>0.89046404390161105</c:v>
                </c:pt>
                <c:pt idx="266" formatCode="0.0000">
                  <c:v>0.82550213492791735</c:v>
                </c:pt>
                <c:pt idx="267" formatCode="0.0000">
                  <c:v>0.88403873748407624</c:v>
                </c:pt>
                <c:pt idx="268" formatCode="0.0000">
                  <c:v>0.89083532813554656</c:v>
                </c:pt>
                <c:pt idx="269" formatCode="0.0000">
                  <c:v>0.91965229540307913</c:v>
                </c:pt>
                <c:pt idx="270" formatCode="0.0000">
                  <c:v>0.84133659323059296</c:v>
                </c:pt>
                <c:pt idx="271" formatCode="0.0000">
                  <c:v>0.81917870237568535</c:v>
                </c:pt>
                <c:pt idx="272" formatCode="0.0000">
                  <c:v>0.76047105610217558</c:v>
                </c:pt>
                <c:pt idx="273" formatCode="0.0000">
                  <c:v>0.76465400040039133</c:v>
                </c:pt>
                <c:pt idx="274" formatCode="0.0000">
                  <c:v>0.76983622575947863</c:v>
                </c:pt>
                <c:pt idx="275" formatCode="0.0000">
                  <c:v>0.76687284149110357</c:v>
                </c:pt>
                <c:pt idx="276" formatCode="0.0000">
                  <c:v>0.78200799829334333</c:v>
                </c:pt>
                <c:pt idx="277" formatCode="0.0000">
                  <c:v>0.77838985261014693</c:v>
                </c:pt>
                <c:pt idx="278" formatCode="0.0000">
                  <c:v>0.75291493581213609</c:v>
                </c:pt>
                <c:pt idx="279" formatCode="0.0000">
                  <c:v>0.74413604701082314</c:v>
                </c:pt>
                <c:pt idx="280" formatCode="0.0000">
                  <c:v>0.74345037613003273</c:v>
                </c:pt>
                <c:pt idx="281" formatCode="0.0000">
                  <c:v>0.77839794005807661</c:v>
                </c:pt>
                <c:pt idx="282" formatCode="0.0000">
                  <c:v>0.77600731709247384</c:v>
                </c:pt>
                <c:pt idx="283" formatCode="0.0000">
                  <c:v>0.79340797884491476</c:v>
                </c:pt>
                <c:pt idx="284" formatCode="0.0000">
                  <c:v>0.83002885146707073</c:v>
                </c:pt>
                <c:pt idx="285" formatCode="0.0000">
                  <c:v>0.84869806763507916</c:v>
                </c:pt>
                <c:pt idx="286" formatCode="0.0000">
                  <c:v>0.85543090866203664</c:v>
                </c:pt>
                <c:pt idx="287" formatCode="0.0000">
                  <c:v>0.87661594581968572</c:v>
                </c:pt>
                <c:pt idx="288" formatCode="0.0000">
                  <c:v>0.87740183217501111</c:v>
                </c:pt>
                <c:pt idx="289" formatCode="0.0000">
                  <c:v>0.91868237286539078</c:v>
                </c:pt>
                <c:pt idx="290" formatCode="0.0000">
                  <c:v>0.90613095620193351</c:v>
                </c:pt>
                <c:pt idx="291" formatCode="0.0000">
                  <c:v>0.90053095255266746</c:v>
                </c:pt>
                <c:pt idx="292" formatCode="0.0000">
                  <c:v>0.89054392337608379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68A-4E0C-8221-EFF03689051C}"/>
            </c:ext>
          </c:extLst>
        </c:ser>
        <c:ser>
          <c:idx val="3"/>
          <c:order val="3"/>
          <c:tx>
            <c:strRef>
              <c:f>'R(t) Województwa'!$AE$2</c:f>
              <c:strCache>
                <c:ptCount val="1"/>
                <c:pt idx="0">
                  <c:v>Lubuskie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Województwa'!$AE$3:$AE$1000</c:f>
              <c:numCache>
                <c:formatCode>General</c:formatCode>
                <c:ptCount val="998"/>
                <c:pt idx="84" formatCode="0.0000">
                  <c:v>0.2587377420165955</c:v>
                </c:pt>
                <c:pt idx="85" formatCode="0.0000">
                  <c:v>0.12936887100829814</c:v>
                </c:pt>
                <c:pt idx="86" formatCode="0.0000">
                  <c:v>0.16127080028749941</c:v>
                </c:pt>
                <c:pt idx="87" formatCode="0.0000">
                  <c:v>0.15258972102471152</c:v>
                </c:pt>
                <c:pt idx="88" formatCode="0.0000">
                  <c:v>0.17990699508364816</c:v>
                </c:pt>
                <c:pt idx="89" formatCode="0.0000">
                  <c:v>0.14992249590304016</c:v>
                </c:pt>
                <c:pt idx="90" formatCode="0.0000">
                  <c:v>0.18214828801659347</c:v>
                </c:pt>
                <c:pt idx="91" formatCode="0.0000">
                  <c:v>0.20408354367219195</c:v>
                </c:pt>
                <c:pt idx="92" formatCode="0.0000">
                  <c:v>0.26837958817453073</c:v>
                </c:pt>
                <c:pt idx="93" formatCode="0.0000">
                  <c:v>0.23622606548225905</c:v>
                </c:pt>
                <c:pt idx="94" formatCode="0.0000">
                  <c:v>0.29955551222134125</c:v>
                </c:pt>
                <c:pt idx="95" formatCode="0.0000">
                  <c:v>0.2582446420328563</c:v>
                </c:pt>
                <c:pt idx="96" formatCode="0.0000">
                  <c:v>0.35943839551597462</c:v>
                </c:pt>
                <c:pt idx="97" formatCode="0.0000">
                  <c:v>0.30579510398770143</c:v>
                </c:pt>
                <c:pt idx="98" formatCode="0.0000">
                  <c:v>0.43168527514045751</c:v>
                </c:pt>
                <c:pt idx="99" formatCode="0.0000">
                  <c:v>0.36738923063811868</c:v>
                </c:pt>
                <c:pt idx="100" formatCode="0.0000">
                  <c:v>0.36738923063811862</c:v>
                </c:pt>
                <c:pt idx="101" formatCode="0.0000">
                  <c:v>0.36644673326028004</c:v>
                </c:pt>
                <c:pt idx="102" formatCode="0.0000">
                  <c:v>0.45226621120445604</c:v>
                </c:pt>
                <c:pt idx="103" formatCode="0.0000">
                  <c:v>0.4420829623309997</c:v>
                </c:pt>
                <c:pt idx="104" formatCode="0.0000">
                  <c:v>0.53807007610491764</c:v>
                </c:pt>
                <c:pt idx="105" formatCode="0.0000">
                  <c:v>0.35328211472276372</c:v>
                </c:pt>
                <c:pt idx="106" formatCode="0.0000">
                  <c:v>1.175724789285816</c:v>
                </c:pt>
                <c:pt idx="107" formatCode="0.0000">
                  <c:v>1.175724789285816</c:v>
                </c:pt>
                <c:pt idx="108" formatCode="0.0000">
                  <c:v>1.0952597708908087</c:v>
                </c:pt>
                <c:pt idx="109" formatCode="0.0000">
                  <c:v>1.2950811357450163</c:v>
                </c:pt>
                <c:pt idx="110" formatCode="0.0000">
                  <c:v>1.2873878977983488</c:v>
                </c:pt>
                <c:pt idx="111" formatCode="0.0000">
                  <c:v>1.2799928088790586</c:v>
                </c:pt>
                <c:pt idx="112" formatCode="0.0000">
                  <c:v>1.2799928088790586</c:v>
                </c:pt>
                <c:pt idx="113" formatCode="0.0000">
                  <c:v>0.45755013431600638</c:v>
                </c:pt>
                <c:pt idx="114" formatCode="0.0000">
                  <c:v>0.5850526634928741</c:v>
                </c:pt>
                <c:pt idx="115" formatCode="0.0000">
                  <c:v>0.71454347404085161</c:v>
                </c:pt>
                <c:pt idx="116" formatCode="0.0000">
                  <c:v>0.69139278293381301</c:v>
                </c:pt>
                <c:pt idx="117" formatCode="0.0000">
                  <c:v>0.60807551627081846</c:v>
                </c:pt>
                <c:pt idx="118" formatCode="0.0000">
                  <c:v>0.51948349141619043</c:v>
                </c:pt>
                <c:pt idx="119" formatCode="0.0000">
                  <c:v>0.83858650035332416</c:v>
                </c:pt>
                <c:pt idx="120" formatCode="0.0000">
                  <c:v>0.83858650035332405</c:v>
                </c:pt>
                <c:pt idx="121" formatCode="0.0000">
                  <c:v>0.71108397117645639</c:v>
                </c:pt>
                <c:pt idx="122" formatCode="0.0000">
                  <c:v>0.58159316062847866</c:v>
                </c:pt>
                <c:pt idx="123" formatCode="0.0000">
                  <c:v>0.31910300893713411</c:v>
                </c:pt>
                <c:pt idx="124" formatCode="0.0000">
                  <c:v>0.31910300893713411</c:v>
                </c:pt>
                <c:pt idx="125" formatCode="0.0000">
                  <c:v>0.61228462992878308</c:v>
                </c:pt>
                <c:pt idx="126" formatCode="0.0000">
                  <c:v>0.29318162099164952</c:v>
                </c:pt>
                <c:pt idx="127" formatCode="0.0000">
                  <c:v>0.29318162099164968</c:v>
                </c:pt>
                <c:pt idx="128" formatCode="0.0000">
                  <c:v>1.3338951835312773</c:v>
                </c:pt>
                <c:pt idx="129" formatCode="0.0000">
                  <c:v>5.903583876111357</c:v>
                </c:pt>
                <c:pt idx="130" formatCode="0.0000">
                  <c:v>6.1056769899606733</c:v>
                </c:pt>
                <c:pt idx="131" formatCode="0.0000">
                  <c:v>7.632008190061577</c:v>
                </c:pt>
                <c:pt idx="132" formatCode="0.0000">
                  <c:v>7.405532910118886</c:v>
                </c:pt>
                <c:pt idx="133" formatCode="0.0000">
                  <c:v>7.4921786629272669</c:v>
                </c:pt>
                <c:pt idx="134" formatCode="0.0000">
                  <c:v>7.6757912895150282</c:v>
                </c:pt>
                <c:pt idx="135" formatCode="0.0000">
                  <c:v>6.6938852084822011</c:v>
                </c:pt>
                <c:pt idx="136" formatCode="0.0000">
                  <c:v>2.3970626155777417</c:v>
                </c:pt>
                <c:pt idx="137" formatCode="0.0000">
                  <c:v>2.2801950936649718</c:v>
                </c:pt>
                <c:pt idx="138" formatCode="0.0000">
                  <c:v>1.130687452773681</c:v>
                </c:pt>
                <c:pt idx="139" formatCode="0.0000">
                  <c:v>1.1861314568932673</c:v>
                </c:pt>
                <c:pt idx="140" formatCode="0.0000">
                  <c:v>1.2117455567952002</c:v>
                </c:pt>
                <c:pt idx="141" formatCode="0.0000">
                  <c:v>1.0796009809608818</c:v>
                </c:pt>
                <c:pt idx="142" formatCode="0.0000">
                  <c:v>1.1482442192163738</c:v>
                </c:pt>
                <c:pt idx="143" formatCode="0.0000">
                  <c:v>1.0048231238062737</c:v>
                </c:pt>
                <c:pt idx="144" formatCode="0.0000">
                  <c:v>1.0216456633137416</c:v>
                </c:pt>
                <c:pt idx="145" formatCode="0.0000">
                  <c:v>0.72081481392659896</c:v>
                </c:pt>
                <c:pt idx="146" formatCode="0.0000">
                  <c:v>0.66381488206368722</c:v>
                </c:pt>
                <c:pt idx="147" formatCode="0.0000">
                  <c:v>0.62219461373844731</c:v>
                </c:pt>
                <c:pt idx="148" formatCode="0.0000">
                  <c:v>0.76107179162702099</c:v>
                </c:pt>
                <c:pt idx="149" formatCode="0.0000">
                  <c:v>0.81533696078521811</c:v>
                </c:pt>
                <c:pt idx="150" formatCode="0.0000">
                  <c:v>0.8783025980722583</c:v>
                </c:pt>
                <c:pt idx="151" formatCode="0.0000">
                  <c:v>0.9262486200836737</c:v>
                </c:pt>
                <c:pt idx="152" formatCode="0.0000">
                  <c:v>0.9991871399519151</c:v>
                </c:pt>
                <c:pt idx="153" formatCode="0.0000">
                  <c:v>1.147860827819674</c:v>
                </c:pt>
                <c:pt idx="154" formatCode="0.0000">
                  <c:v>1.1540116974016754</c:v>
                </c:pt>
                <c:pt idx="155" formatCode="0.0000">
                  <c:v>1.1774453092178858</c:v>
                </c:pt>
                <c:pt idx="156" formatCode="0.0000">
                  <c:v>1.1185733311150126</c:v>
                </c:pt>
                <c:pt idx="157" formatCode="0.0000">
                  <c:v>1.2552133221208348</c:v>
                </c:pt>
                <c:pt idx="158" formatCode="0.0000">
                  <c:v>1.4354578244352543</c:v>
                </c:pt>
                <c:pt idx="159" formatCode="0.0000">
                  <c:v>1.5090253634577309</c:v>
                </c:pt>
                <c:pt idx="160" formatCode="0.0000">
                  <c:v>1.5631127547648198</c:v>
                </c:pt>
                <c:pt idx="161" formatCode="0.0000">
                  <c:v>1.5046401503767908</c:v>
                </c:pt>
                <c:pt idx="162" formatCode="0.0000">
                  <c:v>1.3013231441496125</c:v>
                </c:pt>
                <c:pt idx="163" formatCode="0.0000">
                  <c:v>1.2025958254506592</c:v>
                </c:pt>
                <c:pt idx="164" formatCode="0.0000">
                  <c:v>0.98300940182130858</c:v>
                </c:pt>
                <c:pt idx="165" formatCode="0.0000">
                  <c:v>0.79432801990560387</c:v>
                </c:pt>
                <c:pt idx="166" formatCode="0.0000">
                  <c:v>0.68522246660159247</c:v>
                </c:pt>
                <c:pt idx="167" formatCode="0.0000">
                  <c:v>0.53414662672185342</c:v>
                </c:pt>
                <c:pt idx="168" formatCode="0.0000">
                  <c:v>0.72575372929100301</c:v>
                </c:pt>
                <c:pt idx="169" formatCode="0.0000">
                  <c:v>0.82770941386126684</c:v>
                </c:pt>
                <c:pt idx="170" formatCode="0.0000">
                  <c:v>0.91953972055418376</c:v>
                </c:pt>
                <c:pt idx="171" formatCode="0.0000">
                  <c:v>0.82496967967363966</c:v>
                </c:pt>
                <c:pt idx="172" formatCode="0.0000">
                  <c:v>0.7688111195106917</c:v>
                </c:pt>
                <c:pt idx="173" formatCode="0.0000">
                  <c:v>0.72790167889407109</c:v>
                </c:pt>
                <c:pt idx="174" formatCode="0.0000">
                  <c:v>0.61106602629333062</c:v>
                </c:pt>
                <c:pt idx="175" formatCode="0.0000">
                  <c:v>0.53759005433720142</c:v>
                </c:pt>
                <c:pt idx="176" formatCode="0.0000">
                  <c:v>0.51672520674009681</c:v>
                </c:pt>
                <c:pt idx="177" formatCode="0.0000">
                  <c:v>0.69028954246671914</c:v>
                </c:pt>
                <c:pt idx="178" formatCode="0.0000">
                  <c:v>0.86475799692047273</c:v>
                </c:pt>
                <c:pt idx="179" formatCode="0.0000">
                  <c:v>1.0206227085820794</c:v>
                </c:pt>
                <c:pt idx="180" formatCode="0.0000">
                  <c:v>1.2593078136748115</c:v>
                </c:pt>
                <c:pt idx="181" formatCode="0.0000">
                  <c:v>1.3846445790454547</c:v>
                </c:pt>
                <c:pt idx="182" formatCode="0.0000">
                  <c:v>1.3917139556832629</c:v>
                </c:pt>
                <c:pt idx="183" formatCode="0.0000">
                  <c:v>1.4435848076713744</c:v>
                </c:pt>
                <c:pt idx="184" formatCode="0.0000">
                  <c:v>1.2655620573976709</c:v>
                </c:pt>
                <c:pt idx="185" formatCode="0.0000">
                  <c:v>1.2899546928087915</c:v>
                </c:pt>
                <c:pt idx="186" formatCode="0.0000">
                  <c:v>1.2636491302293844</c:v>
                </c:pt>
                <c:pt idx="187" formatCode="0.0000">
                  <c:v>0.98112332980484307</c:v>
                </c:pt>
                <c:pt idx="188" formatCode="0.0000">
                  <c:v>0.87195473683179625</c:v>
                </c:pt>
                <c:pt idx="189" formatCode="0.0000">
                  <c:v>0.80249096926368413</c:v>
                </c:pt>
                <c:pt idx="190" formatCode="0.0000">
                  <c:v>0.77835673785532777</c:v>
                </c:pt>
                <c:pt idx="191" formatCode="0.0000">
                  <c:v>0.78903679537335381</c:v>
                </c:pt>
                <c:pt idx="192" formatCode="0.0000">
                  <c:v>0.67923939832408242</c:v>
                </c:pt>
                <c:pt idx="193" formatCode="0.0000">
                  <c:v>0.61571312069353945</c:v>
                </c:pt>
                <c:pt idx="194" formatCode="0.0000">
                  <c:v>0.71576505481737041</c:v>
                </c:pt>
                <c:pt idx="195" formatCode="0.0000">
                  <c:v>0.80838337545100625</c:v>
                </c:pt>
                <c:pt idx="196" formatCode="0.0000">
                  <c:v>0.84695244030186101</c:v>
                </c:pt>
                <c:pt idx="197" formatCode="0.0000">
                  <c:v>0.82057100029909447</c:v>
                </c:pt>
                <c:pt idx="198" formatCode="0.0000">
                  <c:v>0.79619497728266775</c:v>
                </c:pt>
                <c:pt idx="199" formatCode="0.0000">
                  <c:v>1.0762651403294075</c:v>
                </c:pt>
                <c:pt idx="200" formatCode="0.0000">
                  <c:v>1.0898510795357386</c:v>
                </c:pt>
                <c:pt idx="201" formatCode="0.0000">
                  <c:v>1.1629560076935586</c:v>
                </c:pt>
                <c:pt idx="202" formatCode="0.0000">
                  <c:v>1.340020566232107</c:v>
                </c:pt>
                <c:pt idx="203" formatCode="0.0000">
                  <c:v>1.3607781077745558</c:v>
                </c:pt>
                <c:pt idx="204" formatCode="0.0000">
                  <c:v>1.5540168063637394</c:v>
                </c:pt>
                <c:pt idx="205" formatCode="0.0000">
                  <c:v>1.7506755422173927</c:v>
                </c:pt>
                <c:pt idx="206" formatCode="0.0000">
                  <c:v>1.5584151200241518</c:v>
                </c:pt>
                <c:pt idx="207" formatCode="0.0000">
                  <c:v>1.5396580129280686</c:v>
                </c:pt>
                <c:pt idx="208" formatCode="0.0000">
                  <c:v>1.4107402417870918</c:v>
                </c:pt>
                <c:pt idx="209" formatCode="0.0000">
                  <c:v>1.634266997025642</c:v>
                </c:pt>
                <c:pt idx="210" formatCode="0.0000">
                  <c:v>1.6538110486780204</c:v>
                </c:pt>
                <c:pt idx="211" formatCode="0.0000">
                  <c:v>1.6799289101645551</c:v>
                </c:pt>
                <c:pt idx="212" formatCode="0.0000">
                  <c:v>1.6120468151569622</c:v>
                </c:pt>
                <c:pt idx="213" formatCode="0.0000">
                  <c:v>1.6144134898509719</c:v>
                </c:pt>
                <c:pt idx="214" formatCode="0.0000">
                  <c:v>1.8658934506893037</c:v>
                </c:pt>
                <c:pt idx="215" formatCode="0.0000">
                  <c:v>2.3363611544125971</c:v>
                </c:pt>
                <c:pt idx="216" formatCode="0.0000">
                  <c:v>2.045216757489499</c:v>
                </c:pt>
                <c:pt idx="217" formatCode="0.0000">
                  <c:v>1.9261143088582706</c:v>
                </c:pt>
                <c:pt idx="218" formatCode="0.0000">
                  <c:v>1.6644658378146542</c:v>
                </c:pt>
                <c:pt idx="219" formatCode="0.0000">
                  <c:v>1.7585123090636532</c:v>
                </c:pt>
                <c:pt idx="220" formatCode="0.0000">
                  <c:v>1.6945727304391398</c:v>
                </c:pt>
                <c:pt idx="221" formatCode="0.0000">
                  <c:v>1.7803352396520591</c:v>
                </c:pt>
                <c:pt idx="222" formatCode="0.0000">
                  <c:v>1.5171591657764996</c:v>
                </c:pt>
                <c:pt idx="223" formatCode="0.0000">
                  <c:v>1.3356156368969678</c:v>
                </c:pt>
                <c:pt idx="224" formatCode="0.0000">
                  <c:v>1.7826386727716181</c:v>
                </c:pt>
                <c:pt idx="225" formatCode="0.0000">
                  <c:v>2.049766886348666</c:v>
                </c:pt>
                <c:pt idx="226" formatCode="0.0000">
                  <c:v>2.0592825774344989</c:v>
                </c:pt>
                <c:pt idx="227" formatCode="0.0000">
                  <c:v>2.1600175717343948</c:v>
                </c:pt>
                <c:pt idx="228" formatCode="0.0000">
                  <c:v>1.9031900059650062</c:v>
                </c:pt>
                <c:pt idx="229" formatCode="0.0000">
                  <c:v>1.8481469780182593</c:v>
                </c:pt>
                <c:pt idx="230" formatCode="0.0000">
                  <c:v>1.9259277153665855</c:v>
                </c:pt>
                <c:pt idx="231" formatCode="0.0000">
                  <c:v>1.7339185963145975</c:v>
                </c:pt>
                <c:pt idx="232" formatCode="0.0000">
                  <c:v>1.7290179231985585</c:v>
                </c:pt>
                <c:pt idx="233" formatCode="0.0000">
                  <c:v>1.6795051234153253</c:v>
                </c:pt>
                <c:pt idx="234" formatCode="0.0000">
                  <c:v>1.8214433658908324</c:v>
                </c:pt>
                <c:pt idx="235" formatCode="0.0000">
                  <c:v>1.8506496010786992</c:v>
                </c:pt>
                <c:pt idx="236" formatCode="0.0000">
                  <c:v>1.8147748376489568</c:v>
                </c:pt>
                <c:pt idx="237" formatCode="0.0000">
                  <c:v>1.9107326654524983</c:v>
                </c:pt>
                <c:pt idx="238" formatCode="0.0000">
                  <c:v>1.7972853951486496</c:v>
                </c:pt>
                <c:pt idx="239" formatCode="0.0000">
                  <c:v>1.6842812053828549</c:v>
                </c:pt>
                <c:pt idx="240" formatCode="0.0000">
                  <c:v>1.563373622758472</c:v>
                </c:pt>
                <c:pt idx="241" formatCode="0.0000">
                  <c:v>1.3832880690287299</c:v>
                </c:pt>
                <c:pt idx="242" formatCode="0.0000">
                  <c:v>1.3594888471550861</c:v>
                </c:pt>
                <c:pt idx="243" formatCode="0.0000">
                  <c:v>1.3418020820678207</c:v>
                </c:pt>
                <c:pt idx="244" formatCode="0.0000">
                  <c:v>1.2540676096294789</c:v>
                </c:pt>
                <c:pt idx="245" formatCode="0.0000">
                  <c:v>1.2000767116157149</c:v>
                </c:pt>
                <c:pt idx="246" formatCode="0.0000">
                  <c:v>1.1884973876275198</c:v>
                </c:pt>
                <c:pt idx="247" formatCode="0.0000">
                  <c:v>1.2686213694160773</c:v>
                </c:pt>
                <c:pt idx="248" formatCode="0.0000">
                  <c:v>1.2638326209472257</c:v>
                </c:pt>
                <c:pt idx="249" formatCode="0.0000">
                  <c:v>1.216329977624486</c:v>
                </c:pt>
                <c:pt idx="250" formatCode="0.0000">
                  <c:v>1.2080507125232351</c:v>
                </c:pt>
                <c:pt idx="251" formatCode="0.0000">
                  <c:v>1.2702312673116813</c:v>
                </c:pt>
                <c:pt idx="252" formatCode="0.0000">
                  <c:v>1.3612137103757256</c:v>
                </c:pt>
                <c:pt idx="253" formatCode="0.0000">
                  <c:v>1.4146045753828376</c:v>
                </c:pt>
                <c:pt idx="254" formatCode="0.0000">
                  <c:v>1.3660560540436701</c:v>
                </c:pt>
                <c:pt idx="255" formatCode="0.0000">
                  <c:v>1.3350546777517291</c:v>
                </c:pt>
                <c:pt idx="256" formatCode="0.0000">
                  <c:v>1.3492099574323333</c:v>
                </c:pt>
                <c:pt idx="257" formatCode="0.0000">
                  <c:v>1.2896874075113161</c:v>
                </c:pt>
                <c:pt idx="258" formatCode="0.0000">
                  <c:v>1.2535228210055074</c:v>
                </c:pt>
                <c:pt idx="259" formatCode="0.0000">
                  <c:v>1.1167296434565859</c:v>
                </c:pt>
                <c:pt idx="260" formatCode="0.0000">
                  <c:v>1.0360585135955915</c:v>
                </c:pt>
                <c:pt idx="261" formatCode="0.0000">
                  <c:v>1.0177264572973246</c:v>
                </c:pt>
                <c:pt idx="262" formatCode="0.0000">
                  <c:v>1.0079422487975465</c:v>
                </c:pt>
                <c:pt idx="263" formatCode="0.0000">
                  <c:v>0.97742412000964662</c:v>
                </c:pt>
                <c:pt idx="264" formatCode="0.0000">
                  <c:v>1.019145485992631</c:v>
                </c:pt>
                <c:pt idx="265" formatCode="0.0000">
                  <c:v>0.97343101802330234</c:v>
                </c:pt>
                <c:pt idx="266" formatCode="0.0000">
                  <c:v>0.96838874503296923</c:v>
                </c:pt>
                <c:pt idx="267" formatCode="0.0000">
                  <c:v>0.95095359324042483</c:v>
                </c:pt>
                <c:pt idx="268" formatCode="0.0000">
                  <c:v>0.92258365441207546</c:v>
                </c:pt>
                <c:pt idx="269" formatCode="0.0000">
                  <c:v>0.91573296818186278</c:v>
                </c:pt>
                <c:pt idx="270" formatCode="0.0000">
                  <c:v>0.86088094992527453</c:v>
                </c:pt>
                <c:pt idx="271" formatCode="0.0000">
                  <c:v>0.82486467144527587</c:v>
                </c:pt>
                <c:pt idx="272" formatCode="0.0000">
                  <c:v>0.80050898568741702</c:v>
                </c:pt>
                <c:pt idx="273" formatCode="0.0000">
                  <c:v>0.79063836303545576</c:v>
                </c:pt>
                <c:pt idx="274" formatCode="0.0000">
                  <c:v>0.7839051487911064</c:v>
                </c:pt>
                <c:pt idx="275" formatCode="0.0000">
                  <c:v>0.76664987550959529</c:v>
                </c:pt>
                <c:pt idx="276" formatCode="0.0000">
                  <c:v>0.80042845835152077</c:v>
                </c:pt>
                <c:pt idx="277" formatCode="0.0000">
                  <c:v>0.80582221373035368</c:v>
                </c:pt>
                <c:pt idx="278" formatCode="0.0000">
                  <c:v>0.81301526527218537</c:v>
                </c:pt>
                <c:pt idx="279" formatCode="0.0000">
                  <c:v>0.79446149389981202</c:v>
                </c:pt>
                <c:pt idx="280" formatCode="0.0000">
                  <c:v>0.8037155807110884</c:v>
                </c:pt>
                <c:pt idx="281" formatCode="0.0000">
                  <c:v>0.81819769225611838</c:v>
                </c:pt>
                <c:pt idx="282" formatCode="0.0000">
                  <c:v>0.89162204981724447</c:v>
                </c:pt>
                <c:pt idx="283" formatCode="0.0000">
                  <c:v>0.89912574356372321</c:v>
                </c:pt>
                <c:pt idx="284" formatCode="0.0000">
                  <c:v>0.92627792203916226</c:v>
                </c:pt>
                <c:pt idx="285" formatCode="0.0000">
                  <c:v>0.92660958657276093</c:v>
                </c:pt>
                <c:pt idx="286" formatCode="0.0000">
                  <c:v>0.94939470012544269</c:v>
                </c:pt>
                <c:pt idx="287" formatCode="0.0000">
                  <c:v>0.94334936671631664</c:v>
                </c:pt>
                <c:pt idx="288" formatCode="0.0000">
                  <c:v>0.94141408893853651</c:v>
                </c:pt>
                <c:pt idx="289" formatCode="0.0000">
                  <c:v>0.88767579278637065</c:v>
                </c:pt>
                <c:pt idx="290" formatCode="0.0000">
                  <c:v>0.90139723184942666</c:v>
                </c:pt>
                <c:pt idx="291" formatCode="0.0000">
                  <c:v>0.93240806929771469</c:v>
                </c:pt>
                <c:pt idx="292" formatCode="0.0000">
                  <c:v>0.94993144035166399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68A-4E0C-8221-EFF03689051C}"/>
            </c:ext>
          </c:extLst>
        </c:ser>
        <c:ser>
          <c:idx val="4"/>
          <c:order val="4"/>
          <c:tx>
            <c:strRef>
              <c:f>'R(t) Województwa'!$AL$2</c:f>
              <c:strCache>
                <c:ptCount val="1"/>
                <c:pt idx="0">
                  <c:v>Łódzkie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Województwa'!$AL$3:$AL$1000</c:f>
              <c:numCache>
                <c:formatCode>General</c:formatCode>
                <c:ptCount val="998"/>
                <c:pt idx="21" formatCode="0.0000">
                  <c:v>1.48735244519393</c:v>
                </c:pt>
                <c:pt idx="22" formatCode="0.0000">
                  <c:v>1.323068114488857</c:v>
                </c:pt>
                <c:pt idx="23" formatCode="0.0000">
                  <c:v>1.2345596983698457</c:v>
                </c:pt>
                <c:pt idx="24" formatCode="0.0000">
                  <c:v>1.113226972293816</c:v>
                </c:pt>
                <c:pt idx="25" formatCode="0.0000">
                  <c:v>1.1081602792209053</c:v>
                </c:pt>
                <c:pt idx="26" formatCode="0.0000">
                  <c:v>1.025791001320375</c:v>
                </c:pt>
                <c:pt idx="27" formatCode="0.0000">
                  <c:v>1.0184881097612339</c:v>
                </c:pt>
                <c:pt idx="28" formatCode="0.0000">
                  <c:v>0.87588135889566077</c:v>
                </c:pt>
                <c:pt idx="29" formatCode="0.0000">
                  <c:v>0.87364960730289154</c:v>
                </c:pt>
                <c:pt idx="30" formatCode="0.0000">
                  <c:v>0.90722873984818719</c:v>
                </c:pt>
                <c:pt idx="31" formatCode="0.0000">
                  <c:v>0.94199430111767435</c:v>
                </c:pt>
                <c:pt idx="32" formatCode="0.0000">
                  <c:v>0.91670045173077253</c:v>
                </c:pt>
                <c:pt idx="33" formatCode="0.0000">
                  <c:v>1.6317655870885974</c:v>
                </c:pt>
                <c:pt idx="34" formatCode="0.0000">
                  <c:v>1.5935823010634034</c:v>
                </c:pt>
                <c:pt idx="35" formatCode="0.0000">
                  <c:v>1.6593066672870189</c:v>
                </c:pt>
                <c:pt idx="36" formatCode="0.0000">
                  <c:v>1.8147037942324544</c:v>
                </c:pt>
                <c:pt idx="37" formatCode="0.0000">
                  <c:v>1.8365562800638713</c:v>
                </c:pt>
                <c:pt idx="38" formatCode="0.0000">
                  <c:v>1.8828418751317442</c:v>
                </c:pt>
                <c:pt idx="39" formatCode="0.0000">
                  <c:v>1.9210584796082233</c:v>
                </c:pt>
                <c:pt idx="40" formatCode="0.0000">
                  <c:v>1.3277243832152448</c:v>
                </c:pt>
                <c:pt idx="41" formatCode="0.0000">
                  <c:v>1.3434256522511467</c:v>
                </c:pt>
                <c:pt idx="42" formatCode="0.0000">
                  <c:v>1.295018744049105</c:v>
                </c:pt>
                <c:pt idx="43" formatCode="0.0000">
                  <c:v>1.0051657577646289</c:v>
                </c:pt>
                <c:pt idx="44" formatCode="0.0000">
                  <c:v>0.9158925244824222</c:v>
                </c:pt>
                <c:pt idx="45" formatCode="0.0000">
                  <c:v>0.84144296020039755</c:v>
                </c:pt>
                <c:pt idx="46" formatCode="0.0000">
                  <c:v>0.90033117774638094</c:v>
                </c:pt>
                <c:pt idx="47" formatCode="0.0000">
                  <c:v>0.81789107538822048</c:v>
                </c:pt>
                <c:pt idx="48" formatCode="0.0000">
                  <c:v>0.84308272964164155</c:v>
                </c:pt>
                <c:pt idx="49" formatCode="0.0000">
                  <c:v>0.83984795320136685</c:v>
                </c:pt>
                <c:pt idx="50" formatCode="0.0000">
                  <c:v>1.291353843554637</c:v>
                </c:pt>
                <c:pt idx="51" formatCode="0.0000">
                  <c:v>1.2562084960853597</c:v>
                </c:pt>
                <c:pt idx="52" formatCode="0.0000">
                  <c:v>1.3173775977817281</c:v>
                </c:pt>
                <c:pt idx="53" formatCode="0.0000">
                  <c:v>1.2119037265121064</c:v>
                </c:pt>
                <c:pt idx="54" formatCode="0.0000">
                  <c:v>1.1876514910807241</c:v>
                </c:pt>
                <c:pt idx="55" formatCode="0.0000">
                  <c:v>1.242879568959302</c:v>
                </c:pt>
                <c:pt idx="56" formatCode="0.0000">
                  <c:v>1.2337318102346326</c:v>
                </c:pt>
                <c:pt idx="57" formatCode="0.0000">
                  <c:v>0.93684597673016035</c:v>
                </c:pt>
                <c:pt idx="58" formatCode="0.0000">
                  <c:v>0.95393084671390249</c:v>
                </c:pt>
                <c:pt idx="59" formatCode="0.0000">
                  <c:v>0.88283295835416775</c:v>
                </c:pt>
                <c:pt idx="60" formatCode="0.0000">
                  <c:v>0.96495249436084818</c:v>
                </c:pt>
                <c:pt idx="61" formatCode="0.0000">
                  <c:v>1.1052163354719362</c:v>
                </c:pt>
                <c:pt idx="62" formatCode="0.0000">
                  <c:v>1.0056410486518528</c:v>
                </c:pt>
                <c:pt idx="63" formatCode="0.0000">
                  <c:v>0.94697514337822652</c:v>
                </c:pt>
                <c:pt idx="64" formatCode="0.0000">
                  <c:v>0.92985202673990131</c:v>
                </c:pt>
                <c:pt idx="65" formatCode="0.0000">
                  <c:v>1.0594246886618262</c:v>
                </c:pt>
                <c:pt idx="66" formatCode="0.0000">
                  <c:v>1.0166982127480666</c:v>
                </c:pt>
                <c:pt idx="67" formatCode="0.0000">
                  <c:v>0.90943494331283492</c:v>
                </c:pt>
                <c:pt idx="68" formatCode="0.0000">
                  <c:v>0.74239465303711238</c:v>
                </c:pt>
                <c:pt idx="69" formatCode="0.0000">
                  <c:v>0.71263880088691844</c:v>
                </c:pt>
                <c:pt idx="70" formatCode="0.0000">
                  <c:v>0.79184892856816291</c:v>
                </c:pt>
                <c:pt idx="71" formatCode="0.0000">
                  <c:v>0.71020496497899166</c:v>
                </c:pt>
                <c:pt idx="72" formatCode="0.0000">
                  <c:v>0.53868870520703493</c:v>
                </c:pt>
                <c:pt idx="73" formatCode="0.0000">
                  <c:v>0.54924255477944162</c:v>
                </c:pt>
                <c:pt idx="74" formatCode="0.0000">
                  <c:v>0.52003422678097999</c:v>
                </c:pt>
                <c:pt idx="75" formatCode="0.0000">
                  <c:v>0.50655070457797524</c:v>
                </c:pt>
                <c:pt idx="76" formatCode="0.0000">
                  <c:v>0.56327323771725712</c:v>
                </c:pt>
                <c:pt idx="77" formatCode="0.0000">
                  <c:v>0.53713383055613007</c:v>
                </c:pt>
                <c:pt idx="78" formatCode="0.0000">
                  <c:v>0.65166594294960689</c:v>
                </c:pt>
                <c:pt idx="79" formatCode="0.0000">
                  <c:v>0.66516070865625643</c:v>
                </c:pt>
                <c:pt idx="80" formatCode="0.0000">
                  <c:v>1.0128640186415343</c:v>
                </c:pt>
                <c:pt idx="81" formatCode="0.0000">
                  <c:v>1.0649046853575725</c:v>
                </c:pt>
                <c:pt idx="82" formatCode="0.0000">
                  <c:v>1.2368339915426743</c:v>
                </c:pt>
                <c:pt idx="83" formatCode="0.0000">
                  <c:v>1.2523220354207951</c:v>
                </c:pt>
                <c:pt idx="84" formatCode="0.0000">
                  <c:v>1.3891023976641672</c:v>
                </c:pt>
                <c:pt idx="85" formatCode="0.0000">
                  <c:v>1.4364670671987585</c:v>
                </c:pt>
                <c:pt idx="86" formatCode="0.0000">
                  <c:v>1.7327933253162324</c:v>
                </c:pt>
                <c:pt idx="87" formatCode="0.0000">
                  <c:v>1.5090996684059321</c:v>
                </c:pt>
                <c:pt idx="88" formatCode="0.0000">
                  <c:v>1.6063758179606542</c:v>
                </c:pt>
                <c:pt idx="89" formatCode="0.0000">
                  <c:v>1.5449413425502034</c:v>
                </c:pt>
                <c:pt idx="90" formatCode="0.0000">
                  <c:v>1.6959497278052607</c:v>
                </c:pt>
                <c:pt idx="91" formatCode="0.0000">
                  <c:v>1.5289566167834292</c:v>
                </c:pt>
                <c:pt idx="92" formatCode="0.0000">
                  <c:v>1.5761068381041796</c:v>
                </c:pt>
                <c:pt idx="93" formatCode="0.0000">
                  <c:v>1.7384375084028327</c:v>
                </c:pt>
                <c:pt idx="94" formatCode="0.0000">
                  <c:v>1.7031169863953184</c:v>
                </c:pt>
                <c:pt idx="95" formatCode="0.0000">
                  <c:v>1.6941509131727435</c:v>
                </c:pt>
                <c:pt idx="96" formatCode="0.0000">
                  <c:v>1.8956167635500312</c:v>
                </c:pt>
                <c:pt idx="97" formatCode="0.0000">
                  <c:v>1.8012809334156004</c:v>
                </c:pt>
                <c:pt idx="98" formatCode="0.0000">
                  <c:v>1.8713758751772389</c:v>
                </c:pt>
                <c:pt idx="99" formatCode="0.0000">
                  <c:v>1.6729659420840639</c:v>
                </c:pt>
                <c:pt idx="100" formatCode="0.0000">
                  <c:v>1.335878028773404</c:v>
                </c:pt>
                <c:pt idx="101" formatCode="0.0000">
                  <c:v>1.4015642885168673</c:v>
                </c:pt>
                <c:pt idx="102" formatCode="0.0000">
                  <c:v>1.2795667731443745</c:v>
                </c:pt>
                <c:pt idx="103" formatCode="0.0000">
                  <c:v>1.0009820322715191</c:v>
                </c:pt>
                <c:pt idx="104" formatCode="0.0000">
                  <c:v>0.99253430991928682</c:v>
                </c:pt>
                <c:pt idx="105" formatCode="0.0000">
                  <c:v>1.0364017630168116</c:v>
                </c:pt>
                <c:pt idx="106" formatCode="0.0000">
                  <c:v>1.0973751000620808</c:v>
                </c:pt>
                <c:pt idx="107" formatCode="0.0000">
                  <c:v>1.0858298861338771</c:v>
                </c:pt>
                <c:pt idx="108" formatCode="0.0000">
                  <c:v>1.0062086941998587</c:v>
                </c:pt>
                <c:pt idx="109" formatCode="0.0000">
                  <c:v>1.0222765779557397</c:v>
                </c:pt>
                <c:pt idx="110" formatCode="0.0000">
                  <c:v>1.0301791788770502</c:v>
                </c:pt>
                <c:pt idx="111" formatCode="0.0000">
                  <c:v>0.96244008895228306</c:v>
                </c:pt>
                <c:pt idx="112" formatCode="0.0000">
                  <c:v>0.91222264126722774</c:v>
                </c:pt>
                <c:pt idx="113" formatCode="0.0000">
                  <c:v>0.86026809908969859</c:v>
                </c:pt>
                <c:pt idx="114" formatCode="0.0000">
                  <c:v>0.77414233891993278</c:v>
                </c:pt>
                <c:pt idx="115" formatCode="0.0000">
                  <c:v>0.68633759281908724</c:v>
                </c:pt>
                <c:pt idx="116" formatCode="0.0000">
                  <c:v>0.74100316038954384</c:v>
                </c:pt>
                <c:pt idx="117" formatCode="0.0000">
                  <c:v>0.71915606102059759</c:v>
                </c:pt>
                <c:pt idx="118" formatCode="0.0000">
                  <c:v>0.66907154327737639</c:v>
                </c:pt>
                <c:pt idx="119" formatCode="0.0000">
                  <c:v>0.62781587100985414</c:v>
                </c:pt>
                <c:pt idx="120" formatCode="0.0000">
                  <c:v>0.56282753223871018</c:v>
                </c:pt>
                <c:pt idx="121" formatCode="0.0000">
                  <c:v>0.69657779794601316</c:v>
                </c:pt>
                <c:pt idx="122" formatCode="0.0000">
                  <c:v>0.73519551658070392</c:v>
                </c:pt>
                <c:pt idx="123" formatCode="0.0000">
                  <c:v>0.66774702713294565</c:v>
                </c:pt>
                <c:pt idx="124" formatCode="0.0000">
                  <c:v>0.65752660774839189</c:v>
                </c:pt>
                <c:pt idx="125" formatCode="0.0000">
                  <c:v>0.73662318089285395</c:v>
                </c:pt>
                <c:pt idx="126" formatCode="0.0000">
                  <c:v>0.71826472362525884</c:v>
                </c:pt>
                <c:pt idx="127" formatCode="0.0000">
                  <c:v>0.84922968521208531</c:v>
                </c:pt>
                <c:pt idx="128" formatCode="0.0000">
                  <c:v>0.73483020846360236</c:v>
                </c:pt>
                <c:pt idx="129" formatCode="0.0000">
                  <c:v>0.72308665413302298</c:v>
                </c:pt>
                <c:pt idx="130" formatCode="0.0000">
                  <c:v>0.82649850098261113</c:v>
                </c:pt>
                <c:pt idx="131" formatCode="0.0000">
                  <c:v>0.91119391146171502</c:v>
                </c:pt>
                <c:pt idx="132" formatCode="0.0000">
                  <c:v>0.85741464059251327</c:v>
                </c:pt>
                <c:pt idx="133" formatCode="0.0000">
                  <c:v>0.92037484299480832</c:v>
                </c:pt>
                <c:pt idx="134" formatCode="0.0000">
                  <c:v>0.92973803352248041</c:v>
                </c:pt>
                <c:pt idx="135" formatCode="0.0000">
                  <c:v>1.0282142733562021</c:v>
                </c:pt>
                <c:pt idx="136" formatCode="0.0000">
                  <c:v>1.0996695708579824</c:v>
                </c:pt>
                <c:pt idx="137" formatCode="0.0000">
                  <c:v>1.020633808104062</c:v>
                </c:pt>
                <c:pt idx="138" formatCode="0.0000">
                  <c:v>1.0554568564672568</c:v>
                </c:pt>
                <c:pt idx="139" formatCode="0.0000">
                  <c:v>1.0407466980880788</c:v>
                </c:pt>
                <c:pt idx="140" formatCode="0.0000">
                  <c:v>1.0804621167877391</c:v>
                </c:pt>
                <c:pt idx="141" formatCode="0.0000">
                  <c:v>1.0784434839175943</c:v>
                </c:pt>
                <c:pt idx="142" formatCode="0.0000">
                  <c:v>1.0376950336028583</c:v>
                </c:pt>
                <c:pt idx="143" formatCode="0.0000">
                  <c:v>1.0275434133057868</c:v>
                </c:pt>
                <c:pt idx="144" formatCode="0.0000">
                  <c:v>1.0753495227910432</c:v>
                </c:pt>
                <c:pt idx="145" formatCode="0.0000">
                  <c:v>0.99297438019198192</c:v>
                </c:pt>
                <c:pt idx="146" formatCode="0.0000">
                  <c:v>1.0040966003537746</c:v>
                </c:pt>
                <c:pt idx="147" formatCode="0.0000">
                  <c:v>1.0147410062531097</c:v>
                </c:pt>
                <c:pt idx="148" formatCode="0.0000">
                  <c:v>0.99673245416942624</c:v>
                </c:pt>
                <c:pt idx="149" formatCode="0.0000">
                  <c:v>1.1757374161056939</c:v>
                </c:pt>
                <c:pt idx="150" formatCode="0.0000">
                  <c:v>1.159087927994219</c:v>
                </c:pt>
                <c:pt idx="151" formatCode="0.0000">
                  <c:v>1.1822527640316556</c:v>
                </c:pt>
                <c:pt idx="152" formatCode="0.0000">
                  <c:v>1.128208971905281</c:v>
                </c:pt>
                <c:pt idx="153" formatCode="0.0000">
                  <c:v>1.1284640887034398</c:v>
                </c:pt>
                <c:pt idx="154" formatCode="0.0000">
                  <c:v>1.1618455544416741</c:v>
                </c:pt>
                <c:pt idx="155" formatCode="0.0000">
                  <c:v>1.1741873330611516</c:v>
                </c:pt>
                <c:pt idx="156" formatCode="0.0000">
                  <c:v>0.99965631692006818</c:v>
                </c:pt>
                <c:pt idx="157" formatCode="0.0000">
                  <c:v>1.0707437872191614</c:v>
                </c:pt>
                <c:pt idx="158" formatCode="0.0000">
                  <c:v>1.0144242500320424</c:v>
                </c:pt>
                <c:pt idx="159" formatCode="0.0000">
                  <c:v>1.0518774291049722</c:v>
                </c:pt>
                <c:pt idx="160" formatCode="0.0000">
                  <c:v>1.0963519674871418</c:v>
                </c:pt>
                <c:pt idx="161" formatCode="0.0000">
                  <c:v>1.1331157459342001</c:v>
                </c:pt>
                <c:pt idx="162" formatCode="0.0000">
                  <c:v>1.1373883725810969</c:v>
                </c:pt>
                <c:pt idx="163" formatCode="0.0000">
                  <c:v>1.1159285664504708</c:v>
                </c:pt>
                <c:pt idx="164" formatCode="0.0000">
                  <c:v>1.1265435311599596</c:v>
                </c:pt>
                <c:pt idx="165" formatCode="0.0000">
                  <c:v>1.1525373917677029</c:v>
                </c:pt>
                <c:pt idx="166" formatCode="0.0000">
                  <c:v>1.314207700729175</c:v>
                </c:pt>
                <c:pt idx="167" formatCode="0.0000">
                  <c:v>1.3209436567650534</c:v>
                </c:pt>
                <c:pt idx="168" formatCode="0.0000">
                  <c:v>1.2509352487115772</c:v>
                </c:pt>
                <c:pt idx="169" formatCode="0.0000">
                  <c:v>1.1744057791593205</c:v>
                </c:pt>
                <c:pt idx="170" formatCode="0.0000">
                  <c:v>1.1676595187089889</c:v>
                </c:pt>
                <c:pt idx="171" formatCode="0.0000">
                  <c:v>1.1198940154655028</c:v>
                </c:pt>
                <c:pt idx="172" formatCode="0.0000">
                  <c:v>1.205039630095976</c:v>
                </c:pt>
                <c:pt idx="173" formatCode="0.0000">
                  <c:v>1.1513701459821373</c:v>
                </c:pt>
                <c:pt idx="174" formatCode="0.0000">
                  <c:v>1.2084050422176975</c:v>
                </c:pt>
                <c:pt idx="175" formatCode="0.0000">
                  <c:v>1.1854208154251531</c:v>
                </c:pt>
                <c:pt idx="176" formatCode="0.0000">
                  <c:v>1.1773598826186149</c:v>
                </c:pt>
                <c:pt idx="177" formatCode="0.0000">
                  <c:v>1.1629828164534739</c:v>
                </c:pt>
                <c:pt idx="178" formatCode="0.0000">
                  <c:v>1.1109263168999555</c:v>
                </c:pt>
                <c:pt idx="179" formatCode="0.0000">
                  <c:v>0.97238599248073121</c:v>
                </c:pt>
                <c:pt idx="180" formatCode="0.0000">
                  <c:v>0.87414294441434492</c:v>
                </c:pt>
                <c:pt idx="181" formatCode="0.0000">
                  <c:v>0.77658435894740063</c:v>
                </c:pt>
                <c:pt idx="182" formatCode="0.0000">
                  <c:v>0.74702067088416568</c:v>
                </c:pt>
                <c:pt idx="183" formatCode="0.0000">
                  <c:v>0.77403780196032812</c:v>
                </c:pt>
                <c:pt idx="184" formatCode="0.0000">
                  <c:v>0.81218833287869452</c:v>
                </c:pt>
                <c:pt idx="185" formatCode="0.0000">
                  <c:v>0.84983207997291699</c:v>
                </c:pt>
                <c:pt idx="186" formatCode="0.0000">
                  <c:v>0.85625793336926759</c:v>
                </c:pt>
                <c:pt idx="187" formatCode="0.0000">
                  <c:v>0.82590393443949239</c:v>
                </c:pt>
                <c:pt idx="188" formatCode="0.0000">
                  <c:v>0.75363388306313339</c:v>
                </c:pt>
                <c:pt idx="189" formatCode="0.0000">
                  <c:v>0.70172038538886383</c:v>
                </c:pt>
                <c:pt idx="190" formatCode="0.0000">
                  <c:v>0.64033163674606464</c:v>
                </c:pt>
                <c:pt idx="191" formatCode="0.0000">
                  <c:v>0.53649965213682094</c:v>
                </c:pt>
                <c:pt idx="192" formatCode="0.0000">
                  <c:v>0.54508862588775686</c:v>
                </c:pt>
                <c:pt idx="193" formatCode="0.0000">
                  <c:v>0.64380688444127998</c:v>
                </c:pt>
                <c:pt idx="194" formatCode="0.0000">
                  <c:v>0.66634729959023076</c:v>
                </c:pt>
                <c:pt idx="195" formatCode="0.0000">
                  <c:v>0.76750410053640616</c:v>
                </c:pt>
                <c:pt idx="196" formatCode="0.0000">
                  <c:v>0.80991432480717973</c:v>
                </c:pt>
                <c:pt idx="197" formatCode="0.0000">
                  <c:v>0.93372911206257003</c:v>
                </c:pt>
                <c:pt idx="198" formatCode="0.0000">
                  <c:v>1.0965570720009215</c:v>
                </c:pt>
                <c:pt idx="199" formatCode="0.0000">
                  <c:v>1.336768245217721</c:v>
                </c:pt>
                <c:pt idx="200" formatCode="0.0000">
                  <c:v>1.3823106869754558</c:v>
                </c:pt>
                <c:pt idx="201" formatCode="0.0000">
                  <c:v>1.4888464373560468</c:v>
                </c:pt>
                <c:pt idx="202" formatCode="0.0000">
                  <c:v>1.6836191522120811</c:v>
                </c:pt>
                <c:pt idx="203" formatCode="0.0000">
                  <c:v>1.7404489671515873</c:v>
                </c:pt>
                <c:pt idx="204" formatCode="0.0000">
                  <c:v>1.8065119261458136</c:v>
                </c:pt>
                <c:pt idx="205" formatCode="0.0000">
                  <c:v>1.7996180710864274</c:v>
                </c:pt>
                <c:pt idx="206" formatCode="0.0000">
                  <c:v>1.5935676875462035</c:v>
                </c:pt>
                <c:pt idx="207" formatCode="0.0000">
                  <c:v>1.5865220507976916</c:v>
                </c:pt>
                <c:pt idx="208" formatCode="0.0000">
                  <c:v>1.5692072213511188</c:v>
                </c:pt>
                <c:pt idx="209" formatCode="0.0000">
                  <c:v>1.3592463411095534</c:v>
                </c:pt>
                <c:pt idx="210" formatCode="0.0000">
                  <c:v>1.4014831449536238</c:v>
                </c:pt>
                <c:pt idx="211" formatCode="0.0000">
                  <c:v>1.328517259376834</c:v>
                </c:pt>
                <c:pt idx="212" formatCode="0.0000">
                  <c:v>1.3318618797303299</c:v>
                </c:pt>
                <c:pt idx="213" formatCode="0.0000">
                  <c:v>1.390286760781932</c:v>
                </c:pt>
                <c:pt idx="214" formatCode="0.0000">
                  <c:v>1.3916822125499662</c:v>
                </c:pt>
                <c:pt idx="215" formatCode="0.0000">
                  <c:v>1.394413154114398</c:v>
                </c:pt>
                <c:pt idx="216" formatCode="0.0000">
                  <c:v>1.4546027560876402</c:v>
                </c:pt>
                <c:pt idx="217" formatCode="0.0000">
                  <c:v>1.4715661227912007</c:v>
                </c:pt>
                <c:pt idx="218" formatCode="0.0000">
                  <c:v>1.58105924622495</c:v>
                </c:pt>
                <c:pt idx="219" formatCode="0.0000">
                  <c:v>1.6650176131656449</c:v>
                </c:pt>
                <c:pt idx="220" formatCode="0.0000">
                  <c:v>1.7608216496013314</c:v>
                </c:pt>
                <c:pt idx="221" formatCode="0.0000">
                  <c:v>1.8410734638323742</c:v>
                </c:pt>
                <c:pt idx="222" formatCode="0.0000">
                  <c:v>1.8654136729739308</c:v>
                </c:pt>
                <c:pt idx="223" formatCode="0.0000">
                  <c:v>1.9043854311161925</c:v>
                </c:pt>
                <c:pt idx="224" formatCode="0.0000">
                  <c:v>1.8980144575429254</c:v>
                </c:pt>
                <c:pt idx="225" formatCode="0.0000">
                  <c:v>1.8375475959585423</c:v>
                </c:pt>
                <c:pt idx="226" formatCode="0.0000">
                  <c:v>1.878976371397632</c:v>
                </c:pt>
                <c:pt idx="227" formatCode="0.0000">
                  <c:v>1.805780324814283</c:v>
                </c:pt>
                <c:pt idx="228" formatCode="0.0000">
                  <c:v>1.7861523535489776</c:v>
                </c:pt>
                <c:pt idx="229" formatCode="0.0000">
                  <c:v>1.7629492936593769</c:v>
                </c:pt>
                <c:pt idx="230" formatCode="0.0000">
                  <c:v>1.7554464925862734</c:v>
                </c:pt>
                <c:pt idx="231" formatCode="0.0000">
                  <c:v>1.7313379770631629</c:v>
                </c:pt>
                <c:pt idx="232" formatCode="0.0000">
                  <c:v>1.6955852187247802</c:v>
                </c:pt>
                <c:pt idx="233" formatCode="0.0000">
                  <c:v>1.5724966274840815</c:v>
                </c:pt>
                <c:pt idx="234" formatCode="0.0000">
                  <c:v>1.4949553685561408</c:v>
                </c:pt>
                <c:pt idx="235" formatCode="0.0000">
                  <c:v>1.4212851331346423</c:v>
                </c:pt>
                <c:pt idx="236" formatCode="0.0000">
                  <c:v>1.4084579446079821</c:v>
                </c:pt>
                <c:pt idx="237" formatCode="0.0000">
                  <c:v>1.3436550541849972</c:v>
                </c:pt>
                <c:pt idx="238" formatCode="0.0000">
                  <c:v>1.4571006674516198</c:v>
                </c:pt>
                <c:pt idx="239" formatCode="0.0000">
                  <c:v>1.6034923734543267</c:v>
                </c:pt>
                <c:pt idx="240" formatCode="0.0000">
                  <c:v>1.6443996550206446</c:v>
                </c:pt>
                <c:pt idx="241" formatCode="0.0000">
                  <c:v>1.6563532015155247</c:v>
                </c:pt>
                <c:pt idx="242" formatCode="0.0000">
                  <c:v>1.637102240313119</c:v>
                </c:pt>
                <c:pt idx="243" formatCode="0.0000">
                  <c:v>1.6584694336214423</c:v>
                </c:pt>
                <c:pt idx="244" formatCode="0.0000">
                  <c:v>1.6461922356488987</c:v>
                </c:pt>
                <c:pt idx="245" formatCode="0.0000">
                  <c:v>1.4777025881847297</c:v>
                </c:pt>
                <c:pt idx="246" formatCode="0.0000">
                  <c:v>1.3463480313486473</c:v>
                </c:pt>
                <c:pt idx="247" formatCode="0.0000">
                  <c:v>1.2613542638990829</c:v>
                </c:pt>
                <c:pt idx="248" formatCode="0.0000">
                  <c:v>1.2190036473600332</c:v>
                </c:pt>
                <c:pt idx="249" formatCode="0.0000">
                  <c:v>1.1628706254671823</c:v>
                </c:pt>
                <c:pt idx="250" formatCode="0.0000">
                  <c:v>1.1247857870936406</c:v>
                </c:pt>
                <c:pt idx="251" formatCode="0.0000">
                  <c:v>1.1185286482729246</c:v>
                </c:pt>
                <c:pt idx="252" formatCode="0.0000">
                  <c:v>1.13414345764001</c:v>
                </c:pt>
                <c:pt idx="253" formatCode="0.0000">
                  <c:v>1.076787235001015</c:v>
                </c:pt>
                <c:pt idx="254" formatCode="0.0000">
                  <c:v>1.0447712176535024</c:v>
                </c:pt>
                <c:pt idx="255" formatCode="0.0000">
                  <c:v>1.0340618807436488</c:v>
                </c:pt>
                <c:pt idx="256" formatCode="0.0000">
                  <c:v>1.022784238618774</c:v>
                </c:pt>
                <c:pt idx="257" formatCode="0.0000">
                  <c:v>1.0009910096870163</c:v>
                </c:pt>
                <c:pt idx="258" formatCode="0.0000">
                  <c:v>0.98257580430702374</c:v>
                </c:pt>
                <c:pt idx="259" formatCode="0.0000">
                  <c:v>0.95398127882813555</c:v>
                </c:pt>
                <c:pt idx="260" formatCode="0.0000">
                  <c:v>0.93052991528976448</c:v>
                </c:pt>
                <c:pt idx="261" formatCode="0.0000">
                  <c:v>0.91595164787140093</c:v>
                </c:pt>
                <c:pt idx="262" formatCode="0.0000">
                  <c:v>0.92056560111939423</c:v>
                </c:pt>
                <c:pt idx="263" formatCode="0.0000">
                  <c:v>0.94097146786663555</c:v>
                </c:pt>
                <c:pt idx="264" formatCode="0.0000">
                  <c:v>0.92318493547990932</c:v>
                </c:pt>
                <c:pt idx="265" formatCode="0.0000">
                  <c:v>0.91307311396878921</c:v>
                </c:pt>
                <c:pt idx="266" formatCode="0.0000">
                  <c:v>0.86396304598414464</c:v>
                </c:pt>
                <c:pt idx="267" formatCode="0.0000">
                  <c:v>0.86496300374649437</c:v>
                </c:pt>
                <c:pt idx="268" formatCode="0.0000">
                  <c:v>0.86245313520125211</c:v>
                </c:pt>
                <c:pt idx="269" formatCode="0.0000">
                  <c:v>0.82813404094104903</c:v>
                </c:pt>
                <c:pt idx="270" formatCode="0.0000">
                  <c:v>0.74537775161192854</c:v>
                </c:pt>
                <c:pt idx="271" formatCode="0.0000">
                  <c:v>0.74044685382526065</c:v>
                </c:pt>
                <c:pt idx="272" formatCode="0.0000">
                  <c:v>0.6960409946520304</c:v>
                </c:pt>
                <c:pt idx="273" formatCode="0.0000">
                  <c:v>0.72725750936093425</c:v>
                </c:pt>
                <c:pt idx="274" formatCode="0.0000">
                  <c:v>0.76756506196201968</c:v>
                </c:pt>
                <c:pt idx="275" formatCode="0.0000">
                  <c:v>0.77152428921462946</c:v>
                </c:pt>
                <c:pt idx="276" formatCode="0.0000">
                  <c:v>0.79129625397744008</c:v>
                </c:pt>
                <c:pt idx="277" formatCode="0.0000">
                  <c:v>0.84927827743945772</c:v>
                </c:pt>
                <c:pt idx="278" formatCode="0.0000">
                  <c:v>0.82473486453210343</c:v>
                </c:pt>
                <c:pt idx="279" formatCode="0.0000">
                  <c:v>0.8122975737861805</c:v>
                </c:pt>
                <c:pt idx="280" formatCode="0.0000">
                  <c:v>0.82303975424585851</c:v>
                </c:pt>
                <c:pt idx="281" formatCode="0.0000">
                  <c:v>0.81901226982031805</c:v>
                </c:pt>
                <c:pt idx="282" formatCode="0.0000">
                  <c:v>0.84325159163869223</c:v>
                </c:pt>
                <c:pt idx="283" formatCode="0.0000">
                  <c:v>0.85486395923714198</c:v>
                </c:pt>
                <c:pt idx="284" formatCode="0.0000">
                  <c:v>0.84118351773852418</c:v>
                </c:pt>
                <c:pt idx="285" formatCode="0.0000">
                  <c:v>0.8593942859693785</c:v>
                </c:pt>
                <c:pt idx="286" formatCode="0.0000">
                  <c:v>0.85644748870870335</c:v>
                </c:pt>
                <c:pt idx="287" formatCode="0.0000">
                  <c:v>0.8482468653335028</c:v>
                </c:pt>
                <c:pt idx="288" formatCode="0.0000">
                  <c:v>0.90359732136020932</c:v>
                </c:pt>
                <c:pt idx="289" formatCode="0.0000">
                  <c:v>0.9018243667044159</c:v>
                </c:pt>
                <c:pt idx="290" formatCode="0.0000">
                  <c:v>0.88193948042798032</c:v>
                </c:pt>
                <c:pt idx="291" formatCode="0.0000">
                  <c:v>0.91353137537567231</c:v>
                </c:pt>
                <c:pt idx="292" formatCode="0.0000">
                  <c:v>0.89868759302440304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68A-4E0C-8221-EFF03689051C}"/>
            </c:ext>
          </c:extLst>
        </c:ser>
        <c:ser>
          <c:idx val="5"/>
          <c:order val="5"/>
          <c:tx>
            <c:strRef>
              <c:f>'R(t) Województwa'!$AS$2</c:f>
              <c:strCache>
                <c:ptCount val="1"/>
                <c:pt idx="0">
                  <c:v>Małopolskie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Województwa'!$AS$3:$AS$1000</c:f>
              <c:numCache>
                <c:formatCode>General</c:formatCode>
                <c:ptCount val="998"/>
                <c:pt idx="27" formatCode="0.0000">
                  <c:v>1.3701731025299604</c:v>
                </c:pt>
                <c:pt idx="28" formatCode="0.0000">
                  <c:v>1.1730946813462806</c:v>
                </c:pt>
                <c:pt idx="29" formatCode="0.0000">
                  <c:v>1.090383882659224</c:v>
                </c:pt>
                <c:pt idx="30" formatCode="0.0000">
                  <c:v>1.1065332856480037</c:v>
                </c:pt>
                <c:pt idx="31" formatCode="0.0000">
                  <c:v>1.2295965648625553</c:v>
                </c:pt>
                <c:pt idx="32" formatCode="0.0000">
                  <c:v>1.3986267174399607</c:v>
                </c:pt>
                <c:pt idx="33" formatCode="0.0000">
                  <c:v>1.3112443794241482</c:v>
                </c:pt>
                <c:pt idx="34" formatCode="0.0000">
                  <c:v>1.2497638494853525</c:v>
                </c:pt>
                <c:pt idx="35" formatCode="0.0000">
                  <c:v>1.2457558954537007</c:v>
                </c:pt>
                <c:pt idx="36" formatCode="0.0000">
                  <c:v>1.2872658255155986</c:v>
                </c:pt>
                <c:pt idx="37" formatCode="0.0000">
                  <c:v>1.3268275975041848</c:v>
                </c:pt>
                <c:pt idx="38" formatCode="0.0000">
                  <c:v>1.1941849234868247</c:v>
                </c:pt>
                <c:pt idx="39" formatCode="0.0000">
                  <c:v>1.0663379761852547</c:v>
                </c:pt>
                <c:pt idx="40" formatCode="0.0000">
                  <c:v>1.0595942653876635</c:v>
                </c:pt>
                <c:pt idx="41" formatCode="0.0000">
                  <c:v>1.0004337162167327</c:v>
                </c:pt>
                <c:pt idx="42" formatCode="0.0000">
                  <c:v>0.98274701107510565</c:v>
                </c:pt>
                <c:pt idx="43" formatCode="0.0000">
                  <c:v>0.96165130356951189</c:v>
                </c:pt>
                <c:pt idx="44" formatCode="0.0000">
                  <c:v>0.84522624210667152</c:v>
                </c:pt>
                <c:pt idx="45" formatCode="0.0000">
                  <c:v>0.87174475134258311</c:v>
                </c:pt>
                <c:pt idx="46" formatCode="0.0000">
                  <c:v>0.90616489935434963</c:v>
                </c:pt>
                <c:pt idx="47" formatCode="0.0000">
                  <c:v>0.89905855799363132</c:v>
                </c:pt>
                <c:pt idx="48" formatCode="0.0000">
                  <c:v>1.0366848338930124</c:v>
                </c:pt>
                <c:pt idx="49" formatCode="0.0000">
                  <c:v>1.0876548573298526</c:v>
                </c:pt>
                <c:pt idx="50" formatCode="0.0000">
                  <c:v>1.0936850002997018</c:v>
                </c:pt>
                <c:pt idx="51" formatCode="0.0000">
                  <c:v>1.1905900909477329</c:v>
                </c:pt>
                <c:pt idx="52" formatCode="0.0000">
                  <c:v>1.1728011838074093</c:v>
                </c:pt>
                <c:pt idx="53" formatCode="0.0000">
                  <c:v>1.0816781135373714</c:v>
                </c:pt>
                <c:pt idx="54" formatCode="0.0000">
                  <c:v>1.0344554821645437</c:v>
                </c:pt>
                <c:pt idx="55" formatCode="0.0000">
                  <c:v>0.94733334263100122</c:v>
                </c:pt>
                <c:pt idx="56" formatCode="0.0000">
                  <c:v>0.84892115274816249</c:v>
                </c:pt>
                <c:pt idx="57" formatCode="0.0000">
                  <c:v>0.85570784363483654</c:v>
                </c:pt>
                <c:pt idx="58" formatCode="0.0000">
                  <c:v>0.81218051905516098</c:v>
                </c:pt>
                <c:pt idx="59" formatCode="0.0000">
                  <c:v>0.79807884916722549</c:v>
                </c:pt>
                <c:pt idx="60" formatCode="0.0000">
                  <c:v>0.8089147875030791</c:v>
                </c:pt>
                <c:pt idx="61" formatCode="0.0000">
                  <c:v>0.82720662303711678</c:v>
                </c:pt>
                <c:pt idx="62" formatCode="0.0000">
                  <c:v>0.94205986928889174</c:v>
                </c:pt>
                <c:pt idx="63" formatCode="0.0000">
                  <c:v>1.0155331701982226</c:v>
                </c:pt>
                <c:pt idx="64" formatCode="0.0000">
                  <c:v>0.93224271743000997</c:v>
                </c:pt>
                <c:pt idx="65" formatCode="0.0000">
                  <c:v>0.86355549041989665</c:v>
                </c:pt>
                <c:pt idx="66" formatCode="0.0000">
                  <c:v>0.86522398093054165</c:v>
                </c:pt>
                <c:pt idx="67" formatCode="0.0000">
                  <c:v>0.79939825342603377</c:v>
                </c:pt>
                <c:pt idx="68" formatCode="0.0000">
                  <c:v>0.76429393333752171</c:v>
                </c:pt>
                <c:pt idx="69" formatCode="0.0000">
                  <c:v>0.75622922329911646</c:v>
                </c:pt>
                <c:pt idx="70" formatCode="0.0000">
                  <c:v>0.63912356436878659</c:v>
                </c:pt>
                <c:pt idx="71" formatCode="0.0000">
                  <c:v>0.65760207611375654</c:v>
                </c:pt>
                <c:pt idx="72" formatCode="0.0000">
                  <c:v>0.83677281730825503</c:v>
                </c:pt>
                <c:pt idx="73" formatCode="0.0000">
                  <c:v>0.81234025429366419</c:v>
                </c:pt>
                <c:pt idx="74" formatCode="0.0000">
                  <c:v>0.80166124178918141</c:v>
                </c:pt>
                <c:pt idx="75" formatCode="0.0000">
                  <c:v>0.81045105298055042</c:v>
                </c:pt>
                <c:pt idx="76" formatCode="0.0000">
                  <c:v>0.6382042739088799</c:v>
                </c:pt>
                <c:pt idx="77" formatCode="0.0000">
                  <c:v>0.80824386704383389</c:v>
                </c:pt>
                <c:pt idx="78" formatCode="0.0000">
                  <c:v>0.73257411235359704</c:v>
                </c:pt>
                <c:pt idx="79" formatCode="0.0000">
                  <c:v>0.69219434675037361</c:v>
                </c:pt>
                <c:pt idx="80" formatCode="0.0000">
                  <c:v>0.63339481109476892</c:v>
                </c:pt>
                <c:pt idx="81" formatCode="0.0000">
                  <c:v>0.62283363891983801</c:v>
                </c:pt>
                <c:pt idx="82" formatCode="0.0000">
                  <c:v>0.660977175244292</c:v>
                </c:pt>
                <c:pt idx="83" formatCode="0.0000">
                  <c:v>0.60083334619934436</c:v>
                </c:pt>
                <c:pt idx="84" formatCode="0.0000">
                  <c:v>0.46489061934028786</c:v>
                </c:pt>
                <c:pt idx="85" formatCode="0.0000">
                  <c:v>0.48413240319264322</c:v>
                </c:pt>
                <c:pt idx="86" formatCode="0.0000">
                  <c:v>0.49284861826308202</c:v>
                </c:pt>
                <c:pt idx="87" formatCode="0.0000">
                  <c:v>0.64821651004059699</c:v>
                </c:pt>
                <c:pt idx="88" formatCode="0.0000">
                  <c:v>0.93837712218736535</c:v>
                </c:pt>
                <c:pt idx="89" formatCode="0.0000">
                  <c:v>1.0380912193665688</c:v>
                </c:pt>
                <c:pt idx="90" formatCode="0.0000">
                  <c:v>1.160238361923658</c:v>
                </c:pt>
                <c:pt idx="91" formatCode="0.0000">
                  <c:v>1.2776659382045576</c:v>
                </c:pt>
                <c:pt idx="92" formatCode="0.0000">
                  <c:v>1.5089066439394252</c:v>
                </c:pt>
                <c:pt idx="93" formatCode="0.0000">
                  <c:v>1.6077080446580376</c:v>
                </c:pt>
                <c:pt idx="94" formatCode="0.0000">
                  <c:v>1.7747646505705761</c:v>
                </c:pt>
                <c:pt idx="95" formatCode="0.0000">
                  <c:v>1.6605284576726385</c:v>
                </c:pt>
                <c:pt idx="96" formatCode="0.0000">
                  <c:v>1.7930388021166301</c:v>
                </c:pt>
                <c:pt idx="97" formatCode="0.0000">
                  <c:v>1.9220694318605598</c:v>
                </c:pt>
                <c:pt idx="98" formatCode="0.0000">
                  <c:v>2.0687184067262412</c:v>
                </c:pt>
                <c:pt idx="99" formatCode="0.0000">
                  <c:v>1.9211738926310653</c:v>
                </c:pt>
                <c:pt idx="100" formatCode="0.0000">
                  <c:v>1.6604397317932607</c:v>
                </c:pt>
                <c:pt idx="101" formatCode="0.0000">
                  <c:v>1.403750835206812</c:v>
                </c:pt>
                <c:pt idx="102" formatCode="0.0000">
                  <c:v>1.3024556278118991</c:v>
                </c:pt>
                <c:pt idx="103" formatCode="0.0000">
                  <c:v>1.109238640814316</c:v>
                </c:pt>
                <c:pt idx="104" formatCode="0.0000">
                  <c:v>0.92738062265295351</c:v>
                </c:pt>
                <c:pt idx="105" formatCode="0.0000">
                  <c:v>0.70230811609375365</c:v>
                </c:pt>
                <c:pt idx="106" formatCode="0.0000">
                  <c:v>0.77430627693029874</c:v>
                </c:pt>
                <c:pt idx="107" formatCode="0.0000">
                  <c:v>0.81454378892502166</c:v>
                </c:pt>
                <c:pt idx="108" formatCode="0.0000">
                  <c:v>0.8342081408550952</c:v>
                </c:pt>
                <c:pt idx="109" formatCode="0.0000">
                  <c:v>0.90395934607769035</c:v>
                </c:pt>
                <c:pt idx="110" formatCode="0.0000">
                  <c:v>0.9172925119256875</c:v>
                </c:pt>
                <c:pt idx="111" formatCode="0.0000">
                  <c:v>0.898609717987499</c:v>
                </c:pt>
                <c:pt idx="112" formatCode="0.0000">
                  <c:v>0.81744079771584555</c:v>
                </c:pt>
                <c:pt idx="113" formatCode="0.0000">
                  <c:v>0.67069801021740594</c:v>
                </c:pt>
                <c:pt idx="114" formatCode="0.0000">
                  <c:v>0.70035572462820517</c:v>
                </c:pt>
                <c:pt idx="115" formatCode="0.0000">
                  <c:v>0.7897586431947049</c:v>
                </c:pt>
                <c:pt idx="116" formatCode="0.0000">
                  <c:v>0.69744834571725123</c:v>
                </c:pt>
                <c:pt idx="117" formatCode="0.0000">
                  <c:v>0.77137749457579674</c:v>
                </c:pt>
                <c:pt idx="118" formatCode="0.0000">
                  <c:v>0.89414680807130387</c:v>
                </c:pt>
                <c:pt idx="119" formatCode="0.0000">
                  <c:v>1.3382843230103449</c:v>
                </c:pt>
                <c:pt idx="120" formatCode="0.0000">
                  <c:v>1.4286262612510578</c:v>
                </c:pt>
                <c:pt idx="121" formatCode="0.0000">
                  <c:v>1.5312704904800862</c:v>
                </c:pt>
                <c:pt idx="122" formatCode="0.0000">
                  <c:v>1.4252112037073705</c:v>
                </c:pt>
                <c:pt idx="123" formatCode="0.0000">
                  <c:v>1.5362593266333584</c:v>
                </c:pt>
                <c:pt idx="124" formatCode="0.0000">
                  <c:v>1.4494922285289975</c:v>
                </c:pt>
                <c:pt idx="125" formatCode="0.0000">
                  <c:v>1.3633887937046327</c:v>
                </c:pt>
                <c:pt idx="126" formatCode="0.0000">
                  <c:v>1.0624243881029158</c:v>
                </c:pt>
                <c:pt idx="127" formatCode="0.0000">
                  <c:v>1.1306884367437284</c:v>
                </c:pt>
                <c:pt idx="128" formatCode="0.0000">
                  <c:v>1.1473177983139522</c:v>
                </c:pt>
                <c:pt idx="129" formatCode="0.0000">
                  <c:v>1.1738293961391009</c:v>
                </c:pt>
                <c:pt idx="130" formatCode="0.0000">
                  <c:v>1.2976565470807617</c:v>
                </c:pt>
                <c:pt idx="131" formatCode="0.0000">
                  <c:v>1.3342677381793007</c:v>
                </c:pt>
                <c:pt idx="132" formatCode="0.0000">
                  <c:v>1.4504569495473056</c:v>
                </c:pt>
                <c:pt idx="133" formatCode="0.0000">
                  <c:v>1.5108423350753903</c:v>
                </c:pt>
                <c:pt idx="134" formatCode="0.0000">
                  <c:v>1.5003090254729585</c:v>
                </c:pt>
                <c:pt idx="135" formatCode="0.0000">
                  <c:v>1.5179585400215403</c:v>
                </c:pt>
                <c:pt idx="136" formatCode="0.0000">
                  <c:v>1.6719903056727803</c:v>
                </c:pt>
                <c:pt idx="137" formatCode="0.0000">
                  <c:v>1.5895060967725989</c:v>
                </c:pt>
                <c:pt idx="138" formatCode="0.0000">
                  <c:v>1.7884599016021332</c:v>
                </c:pt>
                <c:pt idx="139" formatCode="0.0000">
                  <c:v>1.6871471441592949</c:v>
                </c:pt>
                <c:pt idx="140" formatCode="0.0000">
                  <c:v>1.6300885027340197</c:v>
                </c:pt>
                <c:pt idx="141" formatCode="0.0000">
                  <c:v>1.5591794551011735</c:v>
                </c:pt>
                <c:pt idx="142" formatCode="0.0000">
                  <c:v>1.4918234916559054</c:v>
                </c:pt>
                <c:pt idx="143" formatCode="0.0000">
                  <c:v>1.4636965562306623</c:v>
                </c:pt>
                <c:pt idx="144" formatCode="0.0000">
                  <c:v>1.5209070518294345</c:v>
                </c:pt>
                <c:pt idx="145" formatCode="0.0000">
                  <c:v>1.3737180937166202</c:v>
                </c:pt>
                <c:pt idx="146" formatCode="0.0000">
                  <c:v>1.3813927386583369</c:v>
                </c:pt>
                <c:pt idx="147" formatCode="0.0000">
                  <c:v>1.3857728216823879</c:v>
                </c:pt>
                <c:pt idx="148" formatCode="0.0000">
                  <c:v>1.4405635056265158</c:v>
                </c:pt>
                <c:pt idx="149" formatCode="0.0000">
                  <c:v>1.4742082506459151</c:v>
                </c:pt>
                <c:pt idx="150" formatCode="0.0000">
                  <c:v>1.3497638459803152</c:v>
                </c:pt>
                <c:pt idx="151" formatCode="0.0000">
                  <c:v>1.2844160971685847</c:v>
                </c:pt>
                <c:pt idx="152" formatCode="0.0000">
                  <c:v>1.1864234047644011</c:v>
                </c:pt>
                <c:pt idx="153" formatCode="0.0000">
                  <c:v>1.1945728336310399</c:v>
                </c:pt>
                <c:pt idx="154" formatCode="0.0000">
                  <c:v>1.1616243652690379</c:v>
                </c:pt>
                <c:pt idx="155" formatCode="0.0000">
                  <c:v>1.1171076417316914</c:v>
                </c:pt>
                <c:pt idx="156" formatCode="0.0000">
                  <c:v>1.0702679038224614</c:v>
                </c:pt>
                <c:pt idx="157" formatCode="0.0000">
                  <c:v>1.1634639033744254</c:v>
                </c:pt>
                <c:pt idx="158" formatCode="0.0000">
                  <c:v>1.0809026265034738</c:v>
                </c:pt>
                <c:pt idx="159" formatCode="0.0000">
                  <c:v>1.1161827763355419</c:v>
                </c:pt>
                <c:pt idx="160" formatCode="0.0000">
                  <c:v>1.2348893038771478</c:v>
                </c:pt>
                <c:pt idx="161" formatCode="0.0000">
                  <c:v>1.1861607648310881</c:v>
                </c:pt>
                <c:pt idx="162" formatCode="0.0000">
                  <c:v>1.2720352712680612</c:v>
                </c:pt>
                <c:pt idx="163" formatCode="0.0000">
                  <c:v>1.2516211413983405</c:v>
                </c:pt>
                <c:pt idx="164" formatCode="0.0000">
                  <c:v>1.2528781194134382</c:v>
                </c:pt>
                <c:pt idx="165" formatCode="0.0000">
                  <c:v>1.2443914186075047</c:v>
                </c:pt>
                <c:pt idx="166" formatCode="0.0000">
                  <c:v>1.1806357786901123</c:v>
                </c:pt>
                <c:pt idx="167" formatCode="0.0000">
                  <c:v>1.0401094278872742</c:v>
                </c:pt>
                <c:pt idx="168" formatCode="0.0000">
                  <c:v>1.1084560488978967</c:v>
                </c:pt>
                <c:pt idx="169" formatCode="0.0000">
                  <c:v>1.0480132218413438</c:v>
                </c:pt>
                <c:pt idx="170" formatCode="0.0000">
                  <c:v>1.0587093120577376</c:v>
                </c:pt>
                <c:pt idx="171" formatCode="0.0000">
                  <c:v>1.0162620507647639</c:v>
                </c:pt>
                <c:pt idx="172" formatCode="0.0000">
                  <c:v>1.0611112262978906</c:v>
                </c:pt>
                <c:pt idx="173" formatCode="0.0000">
                  <c:v>1.0781100649641442</c:v>
                </c:pt>
                <c:pt idx="174" formatCode="0.0000">
                  <c:v>1.0468880417978765</c:v>
                </c:pt>
                <c:pt idx="175" formatCode="0.0000">
                  <c:v>1.0535863951432423</c:v>
                </c:pt>
                <c:pt idx="176" formatCode="0.0000">
                  <c:v>1.0212456387777489</c:v>
                </c:pt>
                <c:pt idx="177" formatCode="0.0000">
                  <c:v>1.1125805268778572</c:v>
                </c:pt>
                <c:pt idx="178" formatCode="0.0000">
                  <c:v>1.078861897896791</c:v>
                </c:pt>
                <c:pt idx="179" formatCode="0.0000">
                  <c:v>0.99937932865927415</c:v>
                </c:pt>
                <c:pt idx="180" formatCode="0.0000">
                  <c:v>1.0573377031876128</c:v>
                </c:pt>
                <c:pt idx="181" formatCode="0.0000">
                  <c:v>1.0726710862957485</c:v>
                </c:pt>
                <c:pt idx="182" formatCode="0.0000">
                  <c:v>1.0572837515810567</c:v>
                </c:pt>
                <c:pt idx="183" formatCode="0.0000">
                  <c:v>1.0467108219668086</c:v>
                </c:pt>
                <c:pt idx="184" formatCode="0.0000">
                  <c:v>0.89053617359074277</c:v>
                </c:pt>
                <c:pt idx="185" formatCode="0.0000">
                  <c:v>0.88573721390321425</c:v>
                </c:pt>
                <c:pt idx="186" formatCode="0.0000">
                  <c:v>0.89279836014545044</c:v>
                </c:pt>
                <c:pt idx="187" formatCode="0.0000">
                  <c:v>0.83861767634582685</c:v>
                </c:pt>
                <c:pt idx="188" formatCode="0.0000">
                  <c:v>0.86381119606935619</c:v>
                </c:pt>
                <c:pt idx="189" formatCode="0.0000">
                  <c:v>0.83714773576491053</c:v>
                </c:pt>
                <c:pt idx="190" formatCode="0.0000">
                  <c:v>0.79942739935691109</c:v>
                </c:pt>
                <c:pt idx="191" formatCode="0.0000">
                  <c:v>0.82307865162072635</c:v>
                </c:pt>
                <c:pt idx="192" formatCode="0.0000">
                  <c:v>0.84464236459172348</c:v>
                </c:pt>
                <c:pt idx="193" formatCode="0.0000">
                  <c:v>0.83207346775627289</c:v>
                </c:pt>
                <c:pt idx="194" formatCode="0.0000">
                  <c:v>0.81867286401432826</c:v>
                </c:pt>
                <c:pt idx="195" formatCode="0.0000">
                  <c:v>0.78824349985405895</c:v>
                </c:pt>
                <c:pt idx="196" formatCode="0.0000">
                  <c:v>0.85326352126558924</c:v>
                </c:pt>
                <c:pt idx="197" formatCode="0.0000">
                  <c:v>0.93274450068688863</c:v>
                </c:pt>
                <c:pt idx="198" formatCode="0.0000">
                  <c:v>0.97912928102036834</c:v>
                </c:pt>
                <c:pt idx="199" formatCode="0.0000">
                  <c:v>0.94981282221383645</c:v>
                </c:pt>
                <c:pt idx="200" formatCode="0.0000">
                  <c:v>1.0365654085104412</c:v>
                </c:pt>
                <c:pt idx="201" formatCode="0.0000">
                  <c:v>1.0831990908763647</c:v>
                </c:pt>
                <c:pt idx="202" formatCode="0.0000">
                  <c:v>1.1191114880344306</c:v>
                </c:pt>
                <c:pt idx="203" formatCode="0.0000">
                  <c:v>1.0879772414411977</c:v>
                </c:pt>
                <c:pt idx="204" formatCode="0.0000">
                  <c:v>1.1074434804770728</c:v>
                </c:pt>
                <c:pt idx="205" formatCode="0.0000">
                  <c:v>1.1671460912412006</c:v>
                </c:pt>
                <c:pt idx="206" formatCode="0.0000">
                  <c:v>1.3262322682306835</c:v>
                </c:pt>
                <c:pt idx="207" formatCode="0.0000">
                  <c:v>1.3848220746870437</c:v>
                </c:pt>
                <c:pt idx="208" formatCode="0.0000">
                  <c:v>1.3886077478765877</c:v>
                </c:pt>
                <c:pt idx="209" formatCode="0.0000">
                  <c:v>1.4019239766356613</c:v>
                </c:pt>
                <c:pt idx="210" formatCode="0.0000">
                  <c:v>1.4050739925465539</c:v>
                </c:pt>
                <c:pt idx="211" formatCode="0.0000">
                  <c:v>1.4116931905466217</c:v>
                </c:pt>
                <c:pt idx="212" formatCode="0.0000">
                  <c:v>1.425057827580021</c:v>
                </c:pt>
                <c:pt idx="213" formatCode="0.0000">
                  <c:v>1.3627659408546564</c:v>
                </c:pt>
                <c:pt idx="214" formatCode="0.0000">
                  <c:v>1.3068337539376429</c:v>
                </c:pt>
                <c:pt idx="215" formatCode="0.0000">
                  <c:v>1.2937535913072533</c:v>
                </c:pt>
                <c:pt idx="216" formatCode="0.0000">
                  <c:v>1.321451325898213</c:v>
                </c:pt>
                <c:pt idx="217" formatCode="0.0000">
                  <c:v>1.3496322918940551</c:v>
                </c:pt>
                <c:pt idx="218" formatCode="0.0000">
                  <c:v>1.3962796976885754</c:v>
                </c:pt>
                <c:pt idx="219" formatCode="0.0000">
                  <c:v>1.4761453733652161</c:v>
                </c:pt>
                <c:pt idx="220" formatCode="0.0000">
                  <c:v>1.6202225132291936</c:v>
                </c:pt>
                <c:pt idx="221" formatCode="0.0000">
                  <c:v>1.6685631319023551</c:v>
                </c:pt>
                <c:pt idx="222" formatCode="0.0000">
                  <c:v>1.795589368828288</c:v>
                </c:pt>
                <c:pt idx="223" formatCode="0.0000">
                  <c:v>1.8743003922052019</c:v>
                </c:pt>
                <c:pt idx="224" formatCode="0.0000">
                  <c:v>1.9642892145029553</c:v>
                </c:pt>
                <c:pt idx="225" formatCode="0.0000">
                  <c:v>2.0351527777170402</c:v>
                </c:pt>
                <c:pt idx="226" formatCode="0.0000">
                  <c:v>2.0052985505701444</c:v>
                </c:pt>
                <c:pt idx="227" formatCode="0.0000">
                  <c:v>1.8571839480313057</c:v>
                </c:pt>
                <c:pt idx="228" formatCode="0.0000">
                  <c:v>1.8276692503708867</c:v>
                </c:pt>
                <c:pt idx="229" formatCode="0.0000">
                  <c:v>1.7323101542930284</c:v>
                </c:pt>
                <c:pt idx="230" formatCode="0.0000">
                  <c:v>1.7030986495930982</c:v>
                </c:pt>
                <c:pt idx="231" formatCode="0.0000">
                  <c:v>1.6625936847489453</c:v>
                </c:pt>
                <c:pt idx="232" formatCode="0.0000">
                  <c:v>1.544925694714083</c:v>
                </c:pt>
                <c:pt idx="233" formatCode="0.0000">
                  <c:v>1.4259292666915182</c:v>
                </c:pt>
                <c:pt idx="234" formatCode="0.0000">
                  <c:v>1.4108693079408781</c:v>
                </c:pt>
                <c:pt idx="235" formatCode="0.0000">
                  <c:v>1.362922300142797</c:v>
                </c:pt>
                <c:pt idx="236" formatCode="0.0000">
                  <c:v>1.3378068313900069</c:v>
                </c:pt>
                <c:pt idx="237" formatCode="0.0000">
                  <c:v>1.2746709401840024</c:v>
                </c:pt>
                <c:pt idx="238" formatCode="0.0000">
                  <c:v>1.268051857980975</c:v>
                </c:pt>
                <c:pt idx="239" formatCode="0.0000">
                  <c:v>1.3195048825525804</c:v>
                </c:pt>
                <c:pt idx="240" formatCode="0.0000">
                  <c:v>1.3313582047766661</c:v>
                </c:pt>
                <c:pt idx="241" formatCode="0.0000">
                  <c:v>1.309725818583404</c:v>
                </c:pt>
                <c:pt idx="242" formatCode="0.0000">
                  <c:v>1.2828028181845639</c:v>
                </c:pt>
                <c:pt idx="243" formatCode="0.0000">
                  <c:v>1.2837892270112141</c:v>
                </c:pt>
                <c:pt idx="244" formatCode="0.0000">
                  <c:v>1.3061019638906064</c:v>
                </c:pt>
                <c:pt idx="245" formatCode="0.0000">
                  <c:v>1.2676275796902117</c:v>
                </c:pt>
                <c:pt idx="246" formatCode="0.0000">
                  <c:v>1.2192031240358372</c:v>
                </c:pt>
                <c:pt idx="247" formatCode="0.0000">
                  <c:v>1.2154586386017157</c:v>
                </c:pt>
                <c:pt idx="248" formatCode="0.0000">
                  <c:v>1.2508244432196041</c:v>
                </c:pt>
                <c:pt idx="249" formatCode="0.0000">
                  <c:v>1.2705058742715984</c:v>
                </c:pt>
                <c:pt idx="250" formatCode="0.0000">
                  <c:v>1.3322628302950368</c:v>
                </c:pt>
                <c:pt idx="251" formatCode="0.0000">
                  <c:v>1.3480131293235031</c:v>
                </c:pt>
                <c:pt idx="252" formatCode="0.0000">
                  <c:v>1.3313271768214647</c:v>
                </c:pt>
                <c:pt idx="253" formatCode="0.0000">
                  <c:v>1.3217067312723485</c:v>
                </c:pt>
                <c:pt idx="254" formatCode="0.0000">
                  <c:v>1.2573010956546413</c:v>
                </c:pt>
                <c:pt idx="255" formatCode="0.0000">
                  <c:v>1.1753553570834026</c:v>
                </c:pt>
                <c:pt idx="256" formatCode="0.0000">
                  <c:v>1.1321550751061831</c:v>
                </c:pt>
                <c:pt idx="257" formatCode="0.0000">
                  <c:v>1.0499488987584293</c:v>
                </c:pt>
                <c:pt idx="258" formatCode="0.0000">
                  <c:v>0.95574307052649388</c:v>
                </c:pt>
                <c:pt idx="259" formatCode="0.0000">
                  <c:v>0.8985362697828706</c:v>
                </c:pt>
                <c:pt idx="260" formatCode="0.0000">
                  <c:v>0.82601049735919274</c:v>
                </c:pt>
                <c:pt idx="261" formatCode="0.0000">
                  <c:v>0.81772985981173629</c:v>
                </c:pt>
                <c:pt idx="262" formatCode="0.0000">
                  <c:v>0.82601808446048219</c:v>
                </c:pt>
                <c:pt idx="263" formatCode="0.0000">
                  <c:v>0.85298762585650834</c:v>
                </c:pt>
                <c:pt idx="264" formatCode="0.0000">
                  <c:v>0.84186879020097882</c:v>
                </c:pt>
                <c:pt idx="265" formatCode="0.0000">
                  <c:v>0.86425342053357057</c:v>
                </c:pt>
                <c:pt idx="266" formatCode="0.0000">
                  <c:v>0.78547389992690742</c:v>
                </c:pt>
                <c:pt idx="267" formatCode="0.0000">
                  <c:v>0.75479928275387154</c:v>
                </c:pt>
                <c:pt idx="268" formatCode="0.0000">
                  <c:v>0.71966796955416767</c:v>
                </c:pt>
                <c:pt idx="269" formatCode="0.0000">
                  <c:v>0.65828119331095258</c:v>
                </c:pt>
                <c:pt idx="270" formatCode="0.0000">
                  <c:v>0.56544843208658835</c:v>
                </c:pt>
                <c:pt idx="271" formatCode="0.0000">
                  <c:v>0.51139559669707713</c:v>
                </c:pt>
                <c:pt idx="272" formatCode="0.0000">
                  <c:v>0.44155656107228181</c:v>
                </c:pt>
                <c:pt idx="273" formatCode="0.0000">
                  <c:v>0.4714613732304942</c:v>
                </c:pt>
                <c:pt idx="274" formatCode="0.0000">
                  <c:v>0.51437163725232937</c:v>
                </c:pt>
                <c:pt idx="275" formatCode="0.0000">
                  <c:v>0.52894598783715807</c:v>
                </c:pt>
                <c:pt idx="276" formatCode="0.0000">
                  <c:v>0.53979708861590614</c:v>
                </c:pt>
                <c:pt idx="277" formatCode="0.0000">
                  <c:v>0.56313859438348424</c:v>
                </c:pt>
                <c:pt idx="278" formatCode="0.0000">
                  <c:v>0.58098525156793523</c:v>
                </c:pt>
                <c:pt idx="279" formatCode="0.0000">
                  <c:v>0.5872650462494643</c:v>
                </c:pt>
                <c:pt idx="280" formatCode="0.0000">
                  <c:v>0.74847838046333171</c:v>
                </c:pt>
                <c:pt idx="281" formatCode="0.0000">
                  <c:v>0.73550172629172761</c:v>
                </c:pt>
                <c:pt idx="282" formatCode="0.0000">
                  <c:v>0.73550617374730565</c:v>
                </c:pt>
                <c:pt idx="283" formatCode="0.0000">
                  <c:v>0.73965205493277797</c:v>
                </c:pt>
                <c:pt idx="284" formatCode="0.0000">
                  <c:v>0.73704511179805132</c:v>
                </c:pt>
                <c:pt idx="285" formatCode="0.0000">
                  <c:v>0.74231566918794112</c:v>
                </c:pt>
                <c:pt idx="286" formatCode="0.0000">
                  <c:v>0.73731797860050396</c:v>
                </c:pt>
                <c:pt idx="287" formatCode="0.0000">
                  <c:v>0.57392667586410673</c:v>
                </c:pt>
                <c:pt idx="288" formatCode="0.0000">
                  <c:v>0.62757700014711026</c:v>
                </c:pt>
                <c:pt idx="289" formatCode="0.0000">
                  <c:v>0.63353780480113175</c:v>
                </c:pt>
                <c:pt idx="290" formatCode="0.0000">
                  <c:v>0.65741981300961239</c:v>
                </c:pt>
                <c:pt idx="291" formatCode="0.0000">
                  <c:v>0.69175716153130218</c:v>
                </c:pt>
                <c:pt idx="292" formatCode="0.0000">
                  <c:v>0.71929408888023005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668A-4E0C-8221-EFF03689051C}"/>
            </c:ext>
          </c:extLst>
        </c:ser>
        <c:ser>
          <c:idx val="6"/>
          <c:order val="6"/>
          <c:tx>
            <c:strRef>
              <c:f>'R(t) Województwa'!$AZ$2</c:f>
              <c:strCache>
                <c:ptCount val="1"/>
                <c:pt idx="0">
                  <c:v>Mazowieckie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Województwa'!$AZ$3:$AZ$1000</c:f>
              <c:numCache>
                <c:formatCode>General</c:formatCode>
                <c:ptCount val="998"/>
                <c:pt idx="19" formatCode="0.0000">
                  <c:v>1.3769570453633082</c:v>
                </c:pt>
                <c:pt idx="20" formatCode="0.0000">
                  <c:v>1.6030954142793905</c:v>
                </c:pt>
                <c:pt idx="21" formatCode="0.0000">
                  <c:v>1.7891248453575026</c:v>
                </c:pt>
                <c:pt idx="22" formatCode="0.0000">
                  <c:v>1.8303153959189753</c:v>
                </c:pt>
                <c:pt idx="23" formatCode="0.0000">
                  <c:v>1.8169831746032561</c:v>
                </c:pt>
                <c:pt idx="24" formatCode="0.0000">
                  <c:v>1.6930474933532291</c:v>
                </c:pt>
                <c:pt idx="25" formatCode="0.0000">
                  <c:v>2.0300738010381645</c:v>
                </c:pt>
                <c:pt idx="26" formatCode="0.0000">
                  <c:v>1.9899161818023514</c:v>
                </c:pt>
                <c:pt idx="27" formatCode="0.0000">
                  <c:v>1.8289803276622725</c:v>
                </c:pt>
                <c:pt idx="28" formatCode="0.0000">
                  <c:v>1.7500726816448855</c:v>
                </c:pt>
                <c:pt idx="29" formatCode="0.0000">
                  <c:v>1.7231931706181949</c:v>
                </c:pt>
                <c:pt idx="30" formatCode="0.0000">
                  <c:v>1.9460543868608589</c:v>
                </c:pt>
                <c:pt idx="31" formatCode="0.0000">
                  <c:v>1.9282777984458106</c:v>
                </c:pt>
                <c:pt idx="32" formatCode="0.0000">
                  <c:v>1.3493875631389856</c:v>
                </c:pt>
                <c:pt idx="33" formatCode="0.0000">
                  <c:v>1.6619393382407652</c:v>
                </c:pt>
                <c:pt idx="34" formatCode="0.0000">
                  <c:v>1.7795642185355198</c:v>
                </c:pt>
                <c:pt idx="35" formatCode="0.0000">
                  <c:v>1.9263037960541267</c:v>
                </c:pt>
                <c:pt idx="36" formatCode="0.0000">
                  <c:v>1.7864231275732523</c:v>
                </c:pt>
                <c:pt idx="37" formatCode="0.0000">
                  <c:v>1.5018955618657372</c:v>
                </c:pt>
                <c:pt idx="38" formatCode="0.0000">
                  <c:v>1.4935014918346163</c:v>
                </c:pt>
                <c:pt idx="39" formatCode="0.0000">
                  <c:v>1.7082668167950981</c:v>
                </c:pt>
                <c:pt idx="40" formatCode="0.0000">
                  <c:v>1.2939498882910851</c:v>
                </c:pt>
                <c:pt idx="41" formatCode="0.0000">
                  <c:v>1.1171370045016056</c:v>
                </c:pt>
                <c:pt idx="42" formatCode="0.0000">
                  <c:v>0.79215387307873519</c:v>
                </c:pt>
                <c:pt idx="43" formatCode="0.0000">
                  <c:v>0.84168885499978718</c:v>
                </c:pt>
                <c:pt idx="44" formatCode="0.0000">
                  <c:v>0.76282400613097801</c:v>
                </c:pt>
                <c:pt idx="45" formatCode="0.0000">
                  <c:v>0.71447710514086082</c:v>
                </c:pt>
                <c:pt idx="46" formatCode="0.0000">
                  <c:v>0.62034208075177244</c:v>
                </c:pt>
                <c:pt idx="47" formatCode="0.0000">
                  <c:v>0.69591253330239089</c:v>
                </c:pt>
                <c:pt idx="48" formatCode="0.0000">
                  <c:v>0.74429283241312227</c:v>
                </c:pt>
                <c:pt idx="49" formatCode="0.0000">
                  <c:v>0.76491113060170413</c:v>
                </c:pt>
                <c:pt idx="50" formatCode="0.0000">
                  <c:v>0.70749850715846763</c:v>
                </c:pt>
                <c:pt idx="51" formatCode="0.0000">
                  <c:v>0.78553391583947241</c:v>
                </c:pt>
                <c:pt idx="52" formatCode="0.0000">
                  <c:v>0.81319522478845141</c:v>
                </c:pt>
                <c:pt idx="53" formatCode="0.0000">
                  <c:v>0.95776896585509996</c:v>
                </c:pt>
                <c:pt idx="54" formatCode="0.0000">
                  <c:v>0.94063743183507742</c:v>
                </c:pt>
                <c:pt idx="55" formatCode="0.0000">
                  <c:v>0.92208565134037879</c:v>
                </c:pt>
                <c:pt idx="56" formatCode="0.0000">
                  <c:v>0.89087114742127582</c:v>
                </c:pt>
                <c:pt idx="57" formatCode="0.0000">
                  <c:v>0.89592412036491065</c:v>
                </c:pt>
                <c:pt idx="58" formatCode="0.0000">
                  <c:v>0.78516170106214922</c:v>
                </c:pt>
                <c:pt idx="59" formatCode="0.0000">
                  <c:v>0.67867951053472919</c:v>
                </c:pt>
                <c:pt idx="60" formatCode="0.0000">
                  <c:v>0.51157799641723067</c:v>
                </c:pt>
                <c:pt idx="61" formatCode="0.0000">
                  <c:v>0.52570017789193757</c:v>
                </c:pt>
                <c:pt idx="62" formatCode="0.0000">
                  <c:v>0.64244663514346989</c:v>
                </c:pt>
                <c:pt idx="63" formatCode="0.0000">
                  <c:v>0.91293243015273073</c:v>
                </c:pt>
                <c:pt idx="64" formatCode="0.0000">
                  <c:v>0.94690954793972859</c:v>
                </c:pt>
                <c:pt idx="65" formatCode="0.0000">
                  <c:v>0.99115205773164994</c:v>
                </c:pt>
                <c:pt idx="66" formatCode="0.0000">
                  <c:v>1.0678060681447106</c:v>
                </c:pt>
                <c:pt idx="67" formatCode="0.0000">
                  <c:v>1.096567629524198</c:v>
                </c:pt>
                <c:pt idx="68" formatCode="0.0000">
                  <c:v>1.0678116306928147</c:v>
                </c:pt>
                <c:pt idx="69" formatCode="0.0000">
                  <c:v>0.94749013590902342</c:v>
                </c:pt>
                <c:pt idx="70" formatCode="0.0000">
                  <c:v>0.72612562707351869</c:v>
                </c:pt>
                <c:pt idx="71" formatCode="0.0000">
                  <c:v>0.81364131861127753</c:v>
                </c:pt>
                <c:pt idx="72" formatCode="0.0000">
                  <c:v>0.7822925811749476</c:v>
                </c:pt>
                <c:pt idx="73" formatCode="0.0000">
                  <c:v>0.82850212833784109</c:v>
                </c:pt>
                <c:pt idx="74" formatCode="0.0000">
                  <c:v>0.78671064562845883</c:v>
                </c:pt>
                <c:pt idx="75" formatCode="0.0000">
                  <c:v>0.78791434544331707</c:v>
                </c:pt>
                <c:pt idx="76" formatCode="0.0000">
                  <c:v>0.88434203705658554</c:v>
                </c:pt>
                <c:pt idx="77" formatCode="0.0000">
                  <c:v>0.97418528208568189</c:v>
                </c:pt>
                <c:pt idx="78" formatCode="0.0000">
                  <c:v>0.94011922027416184</c:v>
                </c:pt>
                <c:pt idx="79" formatCode="0.0000">
                  <c:v>1.0531864809869897</c:v>
                </c:pt>
                <c:pt idx="80" formatCode="0.0000">
                  <c:v>1.0518345972733181</c:v>
                </c:pt>
                <c:pt idx="81" formatCode="0.0000">
                  <c:v>1.1380198798122336</c:v>
                </c:pt>
                <c:pt idx="82" formatCode="0.0000">
                  <c:v>1.1214898816846872</c:v>
                </c:pt>
                <c:pt idx="83" formatCode="0.0000">
                  <c:v>1.2497973515250727</c:v>
                </c:pt>
                <c:pt idx="84" formatCode="0.0000">
                  <c:v>1.3625799314534295</c:v>
                </c:pt>
                <c:pt idx="85" formatCode="0.0000">
                  <c:v>1.2895528431892604</c:v>
                </c:pt>
                <c:pt idx="86" formatCode="0.0000">
                  <c:v>1.3068325311043922</c:v>
                </c:pt>
                <c:pt idx="87" formatCode="0.0000">
                  <c:v>1.2897377307199147</c:v>
                </c:pt>
                <c:pt idx="88" formatCode="0.0000">
                  <c:v>1.2895931635864708</c:v>
                </c:pt>
                <c:pt idx="89" formatCode="0.0000">
                  <c:v>1.318336507421866</c:v>
                </c:pt>
                <c:pt idx="90" formatCode="0.0000">
                  <c:v>1.1813505096048789</c:v>
                </c:pt>
                <c:pt idx="91" formatCode="0.0000">
                  <c:v>0.99298881893873403</c:v>
                </c:pt>
                <c:pt idx="92" formatCode="0.0000">
                  <c:v>0.96403344742242159</c:v>
                </c:pt>
                <c:pt idx="93" formatCode="0.0000">
                  <c:v>0.92024649923275903</c:v>
                </c:pt>
                <c:pt idx="94" formatCode="0.0000">
                  <c:v>1.0154352992645366</c:v>
                </c:pt>
                <c:pt idx="95" formatCode="0.0000">
                  <c:v>0.99738528496772905</c:v>
                </c:pt>
                <c:pt idx="96" formatCode="0.0000">
                  <c:v>1.0014332601278975</c:v>
                </c:pt>
                <c:pt idx="97" formatCode="0.0000">
                  <c:v>1.0913637292984488</c:v>
                </c:pt>
                <c:pt idx="98" formatCode="0.0000">
                  <c:v>1.227401186959894</c:v>
                </c:pt>
                <c:pt idx="99" formatCode="0.0000">
                  <c:v>1.3651515214919729</c:v>
                </c:pt>
                <c:pt idx="100" formatCode="0.0000">
                  <c:v>1.3226681832377427</c:v>
                </c:pt>
                <c:pt idx="101" formatCode="0.0000">
                  <c:v>1.2951351379393898</c:v>
                </c:pt>
                <c:pt idx="102" formatCode="0.0000">
                  <c:v>1.3043426776439975</c:v>
                </c:pt>
                <c:pt idx="103" formatCode="0.0000">
                  <c:v>1.3137021678458234</c:v>
                </c:pt>
                <c:pt idx="104" formatCode="0.0000">
                  <c:v>1.2060336919126289</c:v>
                </c:pt>
                <c:pt idx="105" formatCode="0.0000">
                  <c:v>1.0544642907303736</c:v>
                </c:pt>
                <c:pt idx="106" formatCode="0.0000">
                  <c:v>0.97043324203809411</c:v>
                </c:pt>
                <c:pt idx="107" formatCode="0.0000">
                  <c:v>0.94889314850257933</c:v>
                </c:pt>
                <c:pt idx="108" formatCode="0.0000">
                  <c:v>1.0011368084436063</c:v>
                </c:pt>
                <c:pt idx="109" formatCode="0.0000">
                  <c:v>0.96726883703454791</c:v>
                </c:pt>
                <c:pt idx="110" formatCode="0.0000">
                  <c:v>0.93956839717773821</c:v>
                </c:pt>
                <c:pt idx="111" formatCode="0.0000">
                  <c:v>0.88869896429346429</c:v>
                </c:pt>
                <c:pt idx="112" formatCode="0.0000">
                  <c:v>0.91106824466787228</c:v>
                </c:pt>
                <c:pt idx="113" formatCode="0.0000">
                  <c:v>0.85711394603065549</c:v>
                </c:pt>
                <c:pt idx="114" formatCode="0.0000">
                  <c:v>0.81839998864220065</c:v>
                </c:pt>
                <c:pt idx="115" formatCode="0.0000">
                  <c:v>0.73963683757640919</c:v>
                </c:pt>
                <c:pt idx="116" formatCode="0.0000">
                  <c:v>0.74349247425224385</c:v>
                </c:pt>
                <c:pt idx="117" formatCode="0.0000">
                  <c:v>0.75010985686999798</c:v>
                </c:pt>
                <c:pt idx="118" formatCode="0.0000">
                  <c:v>0.7550767303617425</c:v>
                </c:pt>
                <c:pt idx="119" formatCode="0.0000">
                  <c:v>0.71892277020346806</c:v>
                </c:pt>
                <c:pt idx="120" formatCode="0.0000">
                  <c:v>0.70085814610881891</c:v>
                </c:pt>
                <c:pt idx="121" formatCode="0.0000">
                  <c:v>0.81022045515723451</c:v>
                </c:pt>
                <c:pt idx="122" formatCode="0.0000">
                  <c:v>0.80653784074156598</c:v>
                </c:pt>
                <c:pt idx="123" formatCode="0.0000">
                  <c:v>0.78473204320392576</c:v>
                </c:pt>
                <c:pt idx="124" formatCode="0.0000">
                  <c:v>0.74970652311472386</c:v>
                </c:pt>
                <c:pt idx="125" formatCode="0.0000">
                  <c:v>0.82976901548472493</c:v>
                </c:pt>
                <c:pt idx="126" formatCode="0.0000">
                  <c:v>0.78037195415026983</c:v>
                </c:pt>
                <c:pt idx="127" formatCode="0.0000">
                  <c:v>0.88296188259589869</c:v>
                </c:pt>
                <c:pt idx="128" formatCode="0.0000">
                  <c:v>0.93194316207734695</c:v>
                </c:pt>
                <c:pt idx="129" formatCode="0.0000">
                  <c:v>0.8886394766941681</c:v>
                </c:pt>
                <c:pt idx="130" formatCode="0.0000">
                  <c:v>0.97997205412085897</c:v>
                </c:pt>
                <c:pt idx="131" formatCode="0.0000">
                  <c:v>0.94454229508894338</c:v>
                </c:pt>
                <c:pt idx="132" formatCode="0.0000">
                  <c:v>1.1151033854921772</c:v>
                </c:pt>
                <c:pt idx="133" formatCode="0.0000">
                  <c:v>1.2003930144345543</c:v>
                </c:pt>
                <c:pt idx="134" formatCode="0.0000">
                  <c:v>1.1111679678796891</c:v>
                </c:pt>
                <c:pt idx="135" formatCode="0.0000">
                  <c:v>1.0373089711348187</c:v>
                </c:pt>
                <c:pt idx="136" formatCode="0.0000">
                  <c:v>1.091708105920175</c:v>
                </c:pt>
                <c:pt idx="137" formatCode="0.0000">
                  <c:v>1.0203252955169797</c:v>
                </c:pt>
                <c:pt idx="138" formatCode="0.0000">
                  <c:v>1.1866490599321797</c:v>
                </c:pt>
                <c:pt idx="139" formatCode="0.0000">
                  <c:v>1.0620110235899616</c:v>
                </c:pt>
                <c:pt idx="140" formatCode="0.0000">
                  <c:v>1.1722242030950707</c:v>
                </c:pt>
                <c:pt idx="141" formatCode="0.0000">
                  <c:v>1.2420857399652958</c:v>
                </c:pt>
                <c:pt idx="142" formatCode="0.0000">
                  <c:v>1.4376716816591413</c:v>
                </c:pt>
                <c:pt idx="143" formatCode="0.0000">
                  <c:v>1.3749054886810779</c:v>
                </c:pt>
                <c:pt idx="144" formatCode="0.0000">
                  <c:v>1.4289791038628326</c:v>
                </c:pt>
                <c:pt idx="145" formatCode="0.0000">
                  <c:v>1.3830315728692304</c:v>
                </c:pt>
                <c:pt idx="146" formatCode="0.0000">
                  <c:v>1.3293009566886373</c:v>
                </c:pt>
                <c:pt idx="147" formatCode="0.0000">
                  <c:v>1.2796488203520917</c:v>
                </c:pt>
                <c:pt idx="148" formatCode="0.0000">
                  <c:v>1.2353761348030461</c:v>
                </c:pt>
                <c:pt idx="149" formatCode="0.0000">
                  <c:v>1.142529136675938</c:v>
                </c:pt>
                <c:pt idx="150" formatCode="0.0000">
                  <c:v>1.3090891829689169</c:v>
                </c:pt>
                <c:pt idx="151" formatCode="0.0000">
                  <c:v>1.2575965780502771</c:v>
                </c:pt>
                <c:pt idx="152" formatCode="0.0000">
                  <c:v>1.262276740546205</c:v>
                </c:pt>
                <c:pt idx="153" formatCode="0.0000">
                  <c:v>1.2791168060613987</c:v>
                </c:pt>
                <c:pt idx="154" formatCode="0.0000">
                  <c:v>1.2116206251542254</c:v>
                </c:pt>
                <c:pt idx="155" formatCode="0.0000">
                  <c:v>1.2859218511444317</c:v>
                </c:pt>
                <c:pt idx="156" formatCode="0.0000">
                  <c:v>1.2489853331733602</c:v>
                </c:pt>
                <c:pt idx="157" formatCode="0.0000">
                  <c:v>1.1948114448710687</c:v>
                </c:pt>
                <c:pt idx="158" formatCode="0.0000">
                  <c:v>1.3026257536184644</c:v>
                </c:pt>
                <c:pt idx="159" formatCode="0.0000">
                  <c:v>1.2793013487662355</c:v>
                </c:pt>
                <c:pt idx="160" formatCode="0.0000">
                  <c:v>1.1880284685880331</c:v>
                </c:pt>
                <c:pt idx="161" formatCode="0.0000">
                  <c:v>1.1730933724726869</c:v>
                </c:pt>
                <c:pt idx="162" formatCode="0.0000">
                  <c:v>1.1262550258060811</c:v>
                </c:pt>
                <c:pt idx="163" formatCode="0.0000">
                  <c:v>1.1791652144662714</c:v>
                </c:pt>
                <c:pt idx="164" formatCode="0.0000">
                  <c:v>1.213597900535021</c:v>
                </c:pt>
                <c:pt idx="165" formatCode="0.0000">
                  <c:v>1.1182241530065518</c:v>
                </c:pt>
                <c:pt idx="166" formatCode="0.0000">
                  <c:v>1.0929152538014777</c:v>
                </c:pt>
                <c:pt idx="167" formatCode="0.0000">
                  <c:v>1.2378063551876697</c:v>
                </c:pt>
                <c:pt idx="168" formatCode="0.0000">
                  <c:v>1.23744359355825</c:v>
                </c:pt>
                <c:pt idx="169" formatCode="0.0000">
                  <c:v>1.2849650114630293</c:v>
                </c:pt>
                <c:pt idx="170" formatCode="0.0000">
                  <c:v>1.1449754266209797</c:v>
                </c:pt>
                <c:pt idx="171" formatCode="0.0000">
                  <c:v>1.1196670652007692</c:v>
                </c:pt>
                <c:pt idx="172" formatCode="0.0000">
                  <c:v>1.1777420138700041</c:v>
                </c:pt>
                <c:pt idx="173" formatCode="0.0000">
                  <c:v>1.1301178467219524</c:v>
                </c:pt>
                <c:pt idx="174" formatCode="0.0000">
                  <c:v>0.9709393385685493</c:v>
                </c:pt>
                <c:pt idx="175" formatCode="0.0000">
                  <c:v>1.0298938689833057</c:v>
                </c:pt>
                <c:pt idx="176" formatCode="0.0000">
                  <c:v>0.99662878092746876</c:v>
                </c:pt>
                <c:pt idx="177" formatCode="0.0000">
                  <c:v>1.0145856849857158</c:v>
                </c:pt>
                <c:pt idx="178" formatCode="0.0000">
                  <c:v>0.99053076905684478</c:v>
                </c:pt>
                <c:pt idx="179" formatCode="0.0000">
                  <c:v>0.98045703514376359</c:v>
                </c:pt>
                <c:pt idx="180" formatCode="0.0000">
                  <c:v>0.97959146742772707</c:v>
                </c:pt>
                <c:pt idx="181" formatCode="0.0000">
                  <c:v>1.0118313655526883</c:v>
                </c:pt>
                <c:pt idx="182" formatCode="0.0000">
                  <c:v>0.99621398724082977</c:v>
                </c:pt>
                <c:pt idx="183" formatCode="0.0000">
                  <c:v>1.0383548908241198</c:v>
                </c:pt>
                <c:pt idx="184" formatCode="0.0000">
                  <c:v>1.0138036789152307</c:v>
                </c:pt>
                <c:pt idx="185" formatCode="0.0000">
                  <c:v>0.99980055246586319</c:v>
                </c:pt>
                <c:pt idx="186" formatCode="0.0000">
                  <c:v>0.90104946289741872</c:v>
                </c:pt>
                <c:pt idx="187" formatCode="0.0000">
                  <c:v>0.92554151512690297</c:v>
                </c:pt>
                <c:pt idx="188" formatCode="0.0000">
                  <c:v>0.85697036516124503</c:v>
                </c:pt>
                <c:pt idx="189" formatCode="0.0000">
                  <c:v>0.81490180191654404</c:v>
                </c:pt>
                <c:pt idx="190" formatCode="0.0000">
                  <c:v>0.72685916341620704</c:v>
                </c:pt>
                <c:pt idx="191" formatCode="0.0000">
                  <c:v>0.72311280834568337</c:v>
                </c:pt>
                <c:pt idx="192" formatCode="0.0000">
                  <c:v>0.69877766655086238</c:v>
                </c:pt>
                <c:pt idx="193" formatCode="0.0000">
                  <c:v>0.72583369539447085</c:v>
                </c:pt>
                <c:pt idx="194" formatCode="0.0000">
                  <c:v>0.80469393867840722</c:v>
                </c:pt>
                <c:pt idx="195" formatCode="0.0000">
                  <c:v>0.88187528313582764</c:v>
                </c:pt>
                <c:pt idx="196" formatCode="0.0000">
                  <c:v>0.9833049564594637</c:v>
                </c:pt>
                <c:pt idx="197" formatCode="0.0000">
                  <c:v>1.0022432502559389</c:v>
                </c:pt>
                <c:pt idx="198" formatCode="0.0000">
                  <c:v>1.1908668853055853</c:v>
                </c:pt>
                <c:pt idx="199" formatCode="0.0000">
                  <c:v>1.1829373220679205</c:v>
                </c:pt>
                <c:pt idx="200" formatCode="0.0000">
                  <c:v>1.2028027220661139</c:v>
                </c:pt>
                <c:pt idx="201" formatCode="0.0000">
                  <c:v>1.301856457732935</c:v>
                </c:pt>
                <c:pt idx="202" formatCode="0.0000">
                  <c:v>1.3583201523100712</c:v>
                </c:pt>
                <c:pt idx="203" formatCode="0.0000">
                  <c:v>1.3176123039811856</c:v>
                </c:pt>
                <c:pt idx="204" formatCode="0.0000">
                  <c:v>1.4142914786489023</c:v>
                </c:pt>
                <c:pt idx="205" formatCode="0.0000">
                  <c:v>1.2876731260612204</c:v>
                </c:pt>
                <c:pt idx="206" formatCode="0.0000">
                  <c:v>1.5059593789392995</c:v>
                </c:pt>
                <c:pt idx="207" formatCode="0.0000">
                  <c:v>1.5106537141125422</c:v>
                </c:pt>
                <c:pt idx="208" formatCode="0.0000">
                  <c:v>1.4391593786256338</c:v>
                </c:pt>
                <c:pt idx="209" formatCode="0.0000">
                  <c:v>1.4113253642876777</c:v>
                </c:pt>
                <c:pt idx="210" formatCode="0.0000">
                  <c:v>1.40398830051329</c:v>
                </c:pt>
                <c:pt idx="211" formatCode="0.0000">
                  <c:v>1.32780584503906</c:v>
                </c:pt>
                <c:pt idx="212" formatCode="0.0000">
                  <c:v>1.389832314460022</c:v>
                </c:pt>
                <c:pt idx="213" formatCode="0.0000">
                  <c:v>1.2389066783433793</c:v>
                </c:pt>
                <c:pt idx="214" formatCode="0.0000">
                  <c:v>1.3131400281299981</c:v>
                </c:pt>
                <c:pt idx="215" formatCode="0.0000">
                  <c:v>1.2415713599850549</c:v>
                </c:pt>
                <c:pt idx="216" formatCode="0.0000">
                  <c:v>1.3507223502469163</c:v>
                </c:pt>
                <c:pt idx="217" formatCode="0.0000">
                  <c:v>1.4235127191917678</c:v>
                </c:pt>
                <c:pt idx="218" formatCode="0.0000">
                  <c:v>1.6063881348264073</c:v>
                </c:pt>
                <c:pt idx="219" formatCode="0.0000">
                  <c:v>1.6721019019292132</c:v>
                </c:pt>
                <c:pt idx="220" formatCode="0.0000">
                  <c:v>1.6991268285393351</c:v>
                </c:pt>
                <c:pt idx="221" formatCode="0.0000">
                  <c:v>1.8164814945652275</c:v>
                </c:pt>
                <c:pt idx="222" formatCode="0.0000">
                  <c:v>1.8453598461556022</c:v>
                </c:pt>
                <c:pt idx="223" formatCode="0.0000">
                  <c:v>1.7433519325465829</c:v>
                </c:pt>
                <c:pt idx="224" formatCode="0.0000">
                  <c:v>1.7154210206465552</c:v>
                </c:pt>
                <c:pt idx="225" formatCode="0.0000">
                  <c:v>1.7691808910896669</c:v>
                </c:pt>
                <c:pt idx="226" formatCode="0.0000">
                  <c:v>1.7934347418966285</c:v>
                </c:pt>
                <c:pt idx="227" formatCode="0.0000">
                  <c:v>1.7567198387697616</c:v>
                </c:pt>
                <c:pt idx="228" formatCode="0.0000">
                  <c:v>1.7260562116005023</c:v>
                </c:pt>
                <c:pt idx="229" formatCode="0.0000">
                  <c:v>1.8144660261958596</c:v>
                </c:pt>
                <c:pt idx="230" formatCode="0.0000">
                  <c:v>1.8004374491465602</c:v>
                </c:pt>
                <c:pt idx="231" formatCode="0.0000">
                  <c:v>1.8211917490415834</c:v>
                </c:pt>
                <c:pt idx="232" formatCode="0.0000">
                  <c:v>1.611340198898892</c:v>
                </c:pt>
                <c:pt idx="233" formatCode="0.0000">
                  <c:v>1.5023794106587101</c:v>
                </c:pt>
                <c:pt idx="234" formatCode="0.0000">
                  <c:v>1.5844911140147426</c:v>
                </c:pt>
                <c:pt idx="235" formatCode="0.0000">
                  <c:v>1.5184496878243756</c:v>
                </c:pt>
                <c:pt idx="236" formatCode="0.0000">
                  <c:v>1.4805173528961448</c:v>
                </c:pt>
                <c:pt idx="237" formatCode="0.0000">
                  <c:v>1.5123251758524743</c:v>
                </c:pt>
                <c:pt idx="238" formatCode="0.0000">
                  <c:v>1.6555889454064869</c:v>
                </c:pt>
                <c:pt idx="239" formatCode="0.0000">
                  <c:v>1.6961329245961179</c:v>
                </c:pt>
                <c:pt idx="240" formatCode="0.0000">
                  <c:v>1.6358900120562205</c:v>
                </c:pt>
                <c:pt idx="241" formatCode="0.0000">
                  <c:v>1.6092092023615403</c:v>
                </c:pt>
                <c:pt idx="242" formatCode="0.0000">
                  <c:v>1.578338185457254</c:v>
                </c:pt>
                <c:pt idx="243" formatCode="0.0000">
                  <c:v>1.5272538084887348</c:v>
                </c:pt>
                <c:pt idx="244" formatCode="0.0000">
                  <c:v>1.4961046919753191</c:v>
                </c:pt>
                <c:pt idx="245" formatCode="0.0000">
                  <c:v>1.329252855677193</c:v>
                </c:pt>
                <c:pt idx="246" formatCode="0.0000">
                  <c:v>1.2791310910910574</c:v>
                </c:pt>
                <c:pt idx="247" formatCode="0.0000">
                  <c:v>1.277933461615145</c:v>
                </c:pt>
                <c:pt idx="248" formatCode="0.0000">
                  <c:v>1.1915540024419768</c:v>
                </c:pt>
                <c:pt idx="249" formatCode="0.0000">
                  <c:v>1.1478325876265958</c:v>
                </c:pt>
                <c:pt idx="250" formatCode="0.0000">
                  <c:v>1.1123339524491886</c:v>
                </c:pt>
                <c:pt idx="251" formatCode="0.0000">
                  <c:v>1.0650950420861611</c:v>
                </c:pt>
                <c:pt idx="252" formatCode="0.0000">
                  <c:v>0.99652095636126858</c:v>
                </c:pt>
                <c:pt idx="253" formatCode="0.0000">
                  <c:v>0.94800794551728751</c:v>
                </c:pt>
                <c:pt idx="254" formatCode="0.0000">
                  <c:v>0.88431805503438665</c:v>
                </c:pt>
                <c:pt idx="255" formatCode="0.0000">
                  <c:v>0.80671150108714429</c:v>
                </c:pt>
                <c:pt idx="256" formatCode="0.0000">
                  <c:v>0.80397626277168244</c:v>
                </c:pt>
                <c:pt idx="257" formatCode="0.0000">
                  <c:v>0.79898113890958178</c:v>
                </c:pt>
                <c:pt idx="258" formatCode="0.0000">
                  <c:v>0.8751551538062774</c:v>
                </c:pt>
                <c:pt idx="259" formatCode="0.0000">
                  <c:v>0.91062736331030847</c:v>
                </c:pt>
                <c:pt idx="260" formatCode="0.0000">
                  <c:v>1.012837343874547</c:v>
                </c:pt>
                <c:pt idx="261" formatCode="0.0000">
                  <c:v>1.0918191681164595</c:v>
                </c:pt>
                <c:pt idx="262" formatCode="0.0000">
                  <c:v>1.159205817115043</c:v>
                </c:pt>
                <c:pt idx="263" formatCode="0.0000">
                  <c:v>1.1745436626023538</c:v>
                </c:pt>
                <c:pt idx="264" formatCode="0.0000">
                  <c:v>1.2116777880608638</c:v>
                </c:pt>
                <c:pt idx="265" formatCode="0.0000">
                  <c:v>1.172570658782266</c:v>
                </c:pt>
                <c:pt idx="266" formatCode="0.0000">
                  <c:v>1.0863621800481733</c:v>
                </c:pt>
                <c:pt idx="267" formatCode="0.0000">
                  <c:v>0.96138510069703409</c:v>
                </c:pt>
                <c:pt idx="268" formatCode="0.0000">
                  <c:v>0.88909673936550426</c:v>
                </c:pt>
                <c:pt idx="269" formatCode="0.0000">
                  <c:v>0.8674001887094972</c:v>
                </c:pt>
                <c:pt idx="270" formatCode="0.0000">
                  <c:v>0.82059150491290656</c:v>
                </c:pt>
                <c:pt idx="271" formatCode="0.0000">
                  <c:v>0.76970617374008321</c:v>
                </c:pt>
                <c:pt idx="272" formatCode="0.0000">
                  <c:v>0.68814572130745066</c:v>
                </c:pt>
                <c:pt idx="273" formatCode="0.0000">
                  <c:v>0.68192811478047777</c:v>
                </c:pt>
                <c:pt idx="274" formatCode="0.0000">
                  <c:v>0.72388425559849856</c:v>
                </c:pt>
                <c:pt idx="275" formatCode="0.0000">
                  <c:v>0.76154784542575082</c:v>
                </c:pt>
                <c:pt idx="276" formatCode="0.0000">
                  <c:v>0.76480474149691013</c:v>
                </c:pt>
                <c:pt idx="277" formatCode="0.0000">
                  <c:v>0.7664807072582952</c:v>
                </c:pt>
                <c:pt idx="278" formatCode="0.0000">
                  <c:v>0.77183005136425564</c:v>
                </c:pt>
                <c:pt idx="279" formatCode="0.0000">
                  <c:v>0.779856863490065</c:v>
                </c:pt>
                <c:pt idx="280" formatCode="0.0000">
                  <c:v>0.81444873976020105</c:v>
                </c:pt>
                <c:pt idx="281" formatCode="0.0000">
                  <c:v>0.83036712907405585</c:v>
                </c:pt>
                <c:pt idx="282" formatCode="0.0000">
                  <c:v>0.85165972806389612</c:v>
                </c:pt>
                <c:pt idx="283" formatCode="0.0000">
                  <c:v>0.88290190743143315</c:v>
                </c:pt>
                <c:pt idx="284" formatCode="0.0000">
                  <c:v>0.89563319793076523</c:v>
                </c:pt>
                <c:pt idx="285" formatCode="0.0000">
                  <c:v>0.91806494431563357</c:v>
                </c:pt>
                <c:pt idx="286" formatCode="0.0000">
                  <c:v>0.93350495692564162</c:v>
                </c:pt>
                <c:pt idx="287" formatCode="0.0000">
                  <c:v>0.92022284057211701</c:v>
                </c:pt>
                <c:pt idx="288" formatCode="0.0000">
                  <c:v>0.93011733692191334</c:v>
                </c:pt>
                <c:pt idx="289" formatCode="0.0000">
                  <c:v>0.90160399248728462</c:v>
                </c:pt>
                <c:pt idx="290" formatCode="0.0000">
                  <c:v>0.88731360317645291</c:v>
                </c:pt>
                <c:pt idx="291" formatCode="0.0000">
                  <c:v>0.89061148972131987</c:v>
                </c:pt>
                <c:pt idx="292" formatCode="0.0000">
                  <c:v>0.88670274011233496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668A-4E0C-8221-EFF03689051C}"/>
            </c:ext>
          </c:extLst>
        </c:ser>
        <c:ser>
          <c:idx val="7"/>
          <c:order val="7"/>
          <c:tx>
            <c:strRef>
              <c:f>'R(t) Województwa'!$BG$2</c:f>
              <c:strCache>
                <c:ptCount val="1"/>
                <c:pt idx="0">
                  <c:v>Opolskie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Województwa'!$BG$3:$BG$1000</c:f>
              <c:numCache>
                <c:formatCode>General</c:formatCode>
                <c:ptCount val="998"/>
                <c:pt idx="36" formatCode="0.0000">
                  <c:v>0.77719033232628398</c:v>
                </c:pt>
                <c:pt idx="37" formatCode="0.0000">
                  <c:v>0.78996594516681973</c:v>
                </c:pt>
                <c:pt idx="38" formatCode="0.0000">
                  <c:v>0.67961036671812025</c:v>
                </c:pt>
                <c:pt idx="39" formatCode="0.0000">
                  <c:v>0.83298134486137099</c:v>
                </c:pt>
                <c:pt idx="40" formatCode="0.0000">
                  <c:v>0.8191392311682939</c:v>
                </c:pt>
                <c:pt idx="41" formatCode="0.0000">
                  <c:v>1.0119685185598635</c:v>
                </c:pt>
                <c:pt idx="42" formatCode="0.0000">
                  <c:v>1.3009712125796613</c:v>
                </c:pt>
                <c:pt idx="43" formatCode="0.0000">
                  <c:v>1.3147124340481253</c:v>
                </c:pt>
                <c:pt idx="44" formatCode="0.0000">
                  <c:v>1.3075532068279998</c:v>
                </c:pt>
                <c:pt idx="45" formatCode="0.0000">
                  <c:v>1.4851748996908865</c:v>
                </c:pt>
                <c:pt idx="46" formatCode="0.0000">
                  <c:v>1.4569937392269598</c:v>
                </c:pt>
                <c:pt idx="47" formatCode="0.0000">
                  <c:v>1.3933049511463274</c:v>
                </c:pt>
                <c:pt idx="48" formatCode="0.0000">
                  <c:v>1.2720420363307585</c:v>
                </c:pt>
                <c:pt idx="49" formatCode="0.0000">
                  <c:v>0.89778371639219579</c:v>
                </c:pt>
                <c:pt idx="50" formatCode="0.0000">
                  <c:v>1.0534610342844393</c:v>
                </c:pt>
                <c:pt idx="51" formatCode="0.0000">
                  <c:v>1.0028336262235154</c:v>
                </c:pt>
                <c:pt idx="52" formatCode="0.0000">
                  <c:v>0.91525840346427911</c:v>
                </c:pt>
                <c:pt idx="53" formatCode="0.0000">
                  <c:v>0.83041284938249915</c:v>
                </c:pt>
                <c:pt idx="54" formatCode="0.0000">
                  <c:v>0.90629615338699165</c:v>
                </c:pt>
                <c:pt idx="55" formatCode="0.0000">
                  <c:v>0.85796296374999148</c:v>
                </c:pt>
                <c:pt idx="56" formatCode="0.0000">
                  <c:v>0.85675660309547363</c:v>
                </c:pt>
                <c:pt idx="57" formatCode="0.0000">
                  <c:v>0.72867602181998292</c:v>
                </c:pt>
                <c:pt idx="58" formatCode="0.0000">
                  <c:v>0.72209532638743379</c:v>
                </c:pt>
                <c:pt idx="59" formatCode="0.0000">
                  <c:v>0.6219327590204754</c:v>
                </c:pt>
                <c:pt idx="60" formatCode="0.0000">
                  <c:v>0.68692283748706251</c:v>
                </c:pt>
                <c:pt idx="61" formatCode="0.0000">
                  <c:v>0.79485019088910025</c:v>
                </c:pt>
                <c:pt idx="62" formatCode="0.0000">
                  <c:v>0.86501632171648957</c:v>
                </c:pt>
                <c:pt idx="63" formatCode="0.0000">
                  <c:v>0.874540638093524</c:v>
                </c:pt>
                <c:pt idx="64" formatCode="0.0000">
                  <c:v>0.86843695171153301</c:v>
                </c:pt>
                <c:pt idx="65" formatCode="0.0000">
                  <c:v>0.94931562459423702</c:v>
                </c:pt>
                <c:pt idx="66" formatCode="0.0000">
                  <c:v>1.1298525533464649</c:v>
                </c:pt>
                <c:pt idx="67" formatCode="0.0000">
                  <c:v>1.0336380708690751</c:v>
                </c:pt>
                <c:pt idx="68" formatCode="0.0000">
                  <c:v>0.98477933766309467</c:v>
                </c:pt>
                <c:pt idx="69" formatCode="0.0000">
                  <c:v>0.87434510543068511</c:v>
                </c:pt>
                <c:pt idx="70" formatCode="0.0000">
                  <c:v>0.85347106886435709</c:v>
                </c:pt>
                <c:pt idx="71" formatCode="0.0000">
                  <c:v>0.77617789047620878</c:v>
                </c:pt>
                <c:pt idx="72" formatCode="0.0000">
                  <c:v>0.79393088244185983</c:v>
                </c:pt>
                <c:pt idx="73" formatCode="0.0000">
                  <c:v>0.87254001017771521</c:v>
                </c:pt>
                <c:pt idx="74" formatCode="0.0000">
                  <c:v>0.95840728953657106</c:v>
                </c:pt>
                <c:pt idx="75" formatCode="0.0000">
                  <c:v>0.92255749557629374</c:v>
                </c:pt>
                <c:pt idx="76" formatCode="0.0000">
                  <c:v>0.96233970153942094</c:v>
                </c:pt>
                <c:pt idx="77" formatCode="0.0000">
                  <c:v>0.98173698420070232</c:v>
                </c:pt>
                <c:pt idx="78" formatCode="0.0000">
                  <c:v>1.1456255483901789</c:v>
                </c:pt>
                <c:pt idx="79" formatCode="0.0000">
                  <c:v>1.128148583257482</c:v>
                </c:pt>
                <c:pt idx="80" formatCode="0.0000">
                  <c:v>0.97978621082246276</c:v>
                </c:pt>
                <c:pt idx="81" formatCode="0.0000">
                  <c:v>0.91841391981333431</c:v>
                </c:pt>
                <c:pt idx="82" formatCode="0.0000">
                  <c:v>0.82673500934388411</c:v>
                </c:pt>
                <c:pt idx="83" formatCode="0.0000">
                  <c:v>0.81130108944351964</c:v>
                </c:pt>
                <c:pt idx="84" formatCode="0.0000">
                  <c:v>0.80602494264739877</c:v>
                </c:pt>
                <c:pt idx="85" formatCode="0.0000">
                  <c:v>0.77210628423091043</c:v>
                </c:pt>
                <c:pt idx="86" formatCode="0.0000">
                  <c:v>0.89180685580522312</c:v>
                </c:pt>
                <c:pt idx="87" formatCode="0.0000">
                  <c:v>0.89554758421123382</c:v>
                </c:pt>
                <c:pt idx="88" formatCode="0.0000">
                  <c:v>1.0328286746085706</c:v>
                </c:pt>
                <c:pt idx="89" formatCode="0.0000">
                  <c:v>0.99733988739203916</c:v>
                </c:pt>
                <c:pt idx="90" formatCode="0.0000">
                  <c:v>1.0791723628677194</c:v>
                </c:pt>
                <c:pt idx="91" formatCode="0.0000">
                  <c:v>1.2865539805804593</c:v>
                </c:pt>
                <c:pt idx="92" formatCode="0.0000">
                  <c:v>1.4111133285575028</c:v>
                </c:pt>
                <c:pt idx="93" formatCode="0.0000">
                  <c:v>1.2753171815777289</c:v>
                </c:pt>
                <c:pt idx="94" formatCode="0.0000">
                  <c:v>1.2239818966105138</c:v>
                </c:pt>
                <c:pt idx="95" formatCode="0.0000">
                  <c:v>1.3104709457888224</c:v>
                </c:pt>
                <c:pt idx="96" formatCode="0.0000">
                  <c:v>1.3992126780499081</c:v>
                </c:pt>
                <c:pt idx="97" formatCode="0.0000">
                  <c:v>1.3445087224636214</c:v>
                </c:pt>
                <c:pt idx="98" formatCode="0.0000">
                  <c:v>1.2165921897615808</c:v>
                </c:pt>
                <c:pt idx="99" formatCode="0.0000">
                  <c:v>1.0759986624659006</c:v>
                </c:pt>
                <c:pt idx="100" formatCode="0.0000">
                  <c:v>1.0012128839056127</c:v>
                </c:pt>
                <c:pt idx="101" formatCode="0.0000">
                  <c:v>1.0182033907500332</c:v>
                </c:pt>
                <c:pt idx="102" formatCode="0.0000">
                  <c:v>1.0026799262249835</c:v>
                </c:pt>
                <c:pt idx="103" formatCode="0.0000">
                  <c:v>0.96372378675357451</c:v>
                </c:pt>
                <c:pt idx="104" formatCode="0.0000">
                  <c:v>0.95603537585258036</c:v>
                </c:pt>
                <c:pt idx="105" formatCode="0.0000">
                  <c:v>0.9351001411765445</c:v>
                </c:pt>
                <c:pt idx="106" formatCode="0.0000">
                  <c:v>0.85918556741989438</c:v>
                </c:pt>
                <c:pt idx="107" formatCode="0.0000">
                  <c:v>0.91371904153123418</c:v>
                </c:pt>
                <c:pt idx="108" formatCode="0.0000">
                  <c:v>0.94457416279768514</c:v>
                </c:pt>
                <c:pt idx="109" formatCode="0.0000">
                  <c:v>0.73640966298113919</c:v>
                </c:pt>
                <c:pt idx="110" formatCode="0.0000">
                  <c:v>0.91616608402941879</c:v>
                </c:pt>
                <c:pt idx="111" formatCode="0.0000">
                  <c:v>0.79993975833331532</c:v>
                </c:pt>
                <c:pt idx="112" formatCode="0.0000">
                  <c:v>0.7737131536166858</c:v>
                </c:pt>
                <c:pt idx="113" formatCode="0.0000">
                  <c:v>0.84321464241872879</c:v>
                </c:pt>
                <c:pt idx="114" formatCode="0.0000">
                  <c:v>1.184453847398329</c:v>
                </c:pt>
                <c:pt idx="115" formatCode="0.0000">
                  <c:v>1.0619797481337792</c:v>
                </c:pt>
                <c:pt idx="116" formatCode="0.0000">
                  <c:v>1.3387258952529457</c:v>
                </c:pt>
                <c:pt idx="117" formatCode="0.0000">
                  <c:v>1.3497616734777982</c:v>
                </c:pt>
                <c:pt idx="118" formatCode="0.0000">
                  <c:v>1.4471573303844008</c:v>
                </c:pt>
                <c:pt idx="119" formatCode="0.0000">
                  <c:v>1.3667320103436453</c:v>
                </c:pt>
                <c:pt idx="120" formatCode="0.0000">
                  <c:v>1.2928739102754796</c:v>
                </c:pt>
                <c:pt idx="121" formatCode="0.0000">
                  <c:v>0.96345203021499837</c:v>
                </c:pt>
                <c:pt idx="122" formatCode="0.0000">
                  <c:v>1.0620602088342221</c:v>
                </c:pt>
                <c:pt idx="123" formatCode="0.0000">
                  <c:v>0.76780861400859446</c:v>
                </c:pt>
                <c:pt idx="124" formatCode="0.0000">
                  <c:v>0.59747097967353746</c:v>
                </c:pt>
                <c:pt idx="125" formatCode="0.0000">
                  <c:v>0.51861926652637269</c:v>
                </c:pt>
                <c:pt idx="126" formatCode="0.0000">
                  <c:v>0.56939435119428217</c:v>
                </c:pt>
                <c:pt idx="127" formatCode="0.0000">
                  <c:v>0.55876585173490811</c:v>
                </c:pt>
                <c:pt idx="128" formatCode="0.0000">
                  <c:v>0.5972321864430129</c:v>
                </c:pt>
                <c:pt idx="129" formatCode="0.0000">
                  <c:v>0.67216988608622097</c:v>
                </c:pt>
                <c:pt idx="130" formatCode="0.0000">
                  <c:v>0.80455757950389029</c:v>
                </c:pt>
                <c:pt idx="131" formatCode="0.0000">
                  <c:v>0.84708873138196961</c:v>
                </c:pt>
                <c:pt idx="132" formatCode="0.0000">
                  <c:v>0.85051227967233489</c:v>
                </c:pt>
                <c:pt idx="133" formatCode="0.0000">
                  <c:v>0.83695955212492978</c:v>
                </c:pt>
                <c:pt idx="134" formatCode="0.0000">
                  <c:v>0.82759589790648069</c:v>
                </c:pt>
                <c:pt idx="135" formatCode="0.0000">
                  <c:v>0.79944319505586314</c:v>
                </c:pt>
                <c:pt idx="136" formatCode="0.0000">
                  <c:v>0.70222509372092368</c:v>
                </c:pt>
                <c:pt idx="137" formatCode="0.0000">
                  <c:v>0.67616729097546546</c:v>
                </c:pt>
                <c:pt idx="138" formatCode="0.0000">
                  <c:v>0.78956154086823283</c:v>
                </c:pt>
                <c:pt idx="139" formatCode="0.0000">
                  <c:v>0.87821876118509667</c:v>
                </c:pt>
                <c:pt idx="140" formatCode="0.0000">
                  <c:v>0.94255129306298235</c:v>
                </c:pt>
                <c:pt idx="141" formatCode="0.0000">
                  <c:v>1.448252460118747</c:v>
                </c:pt>
                <c:pt idx="142" formatCode="0.0000">
                  <c:v>1.7583761264846238</c:v>
                </c:pt>
                <c:pt idx="143" formatCode="0.0000">
                  <c:v>1.764793638740171</c:v>
                </c:pt>
                <c:pt idx="144" formatCode="0.0000">
                  <c:v>1.9329709930264041</c:v>
                </c:pt>
                <c:pt idx="145" formatCode="0.0000">
                  <c:v>1.9079408713598269</c:v>
                </c:pt>
                <c:pt idx="146" formatCode="0.0000">
                  <c:v>1.8100116473626595</c:v>
                </c:pt>
                <c:pt idx="147" formatCode="0.0000">
                  <c:v>1.9292261093073915</c:v>
                </c:pt>
                <c:pt idx="148" formatCode="0.0000">
                  <c:v>1.4077939420620944</c:v>
                </c:pt>
                <c:pt idx="149" formatCode="0.0000">
                  <c:v>1.2266128865736792</c:v>
                </c:pt>
                <c:pt idx="150" formatCode="0.0000">
                  <c:v>1.2704973738396077</c:v>
                </c:pt>
                <c:pt idx="151" formatCode="0.0000">
                  <c:v>1.0378373134303851</c:v>
                </c:pt>
                <c:pt idx="152" formatCode="0.0000">
                  <c:v>1.0352197237619054</c:v>
                </c:pt>
                <c:pt idx="153" formatCode="0.0000">
                  <c:v>1.0602462109151538</c:v>
                </c:pt>
                <c:pt idx="154" formatCode="0.0000">
                  <c:v>0.92508149898565251</c:v>
                </c:pt>
                <c:pt idx="155" formatCode="0.0000">
                  <c:v>1.1669904823170343</c:v>
                </c:pt>
                <c:pt idx="156" formatCode="0.0000">
                  <c:v>1.2361117163656417</c:v>
                </c:pt>
                <c:pt idx="157" formatCode="0.0000">
                  <c:v>1.3451706235192862</c:v>
                </c:pt>
                <c:pt idx="158" formatCode="0.0000">
                  <c:v>1.4166381061865052</c:v>
                </c:pt>
                <c:pt idx="159" formatCode="0.0000">
                  <c:v>1.3216016211493342</c:v>
                </c:pt>
                <c:pt idx="160" formatCode="0.0000">
                  <c:v>1.3504108040937974</c:v>
                </c:pt>
                <c:pt idx="161" formatCode="0.0000">
                  <c:v>1.4578485357679318</c:v>
                </c:pt>
                <c:pt idx="162" formatCode="0.0000">
                  <c:v>1.2264742339586545</c:v>
                </c:pt>
                <c:pt idx="163" formatCode="0.0000">
                  <c:v>1.0665340185043501</c:v>
                </c:pt>
                <c:pt idx="164" formatCode="0.0000">
                  <c:v>1.103976035589602</c:v>
                </c:pt>
                <c:pt idx="165" formatCode="0.0000">
                  <c:v>1.0040957577763605</c:v>
                </c:pt>
                <c:pt idx="166" formatCode="0.0000">
                  <c:v>1.0161004662150215</c:v>
                </c:pt>
                <c:pt idx="167" formatCode="0.0000">
                  <c:v>1.1700173083937948</c:v>
                </c:pt>
                <c:pt idx="168" formatCode="0.0000">
                  <c:v>1.0976390398350568</c:v>
                </c:pt>
                <c:pt idx="169" formatCode="0.0000">
                  <c:v>1.1279464399034098</c:v>
                </c:pt>
                <c:pt idx="170" formatCode="0.0000">
                  <c:v>1.0470230280414206</c:v>
                </c:pt>
                <c:pt idx="171" formatCode="0.0000">
                  <c:v>0.97962492310697857</c:v>
                </c:pt>
                <c:pt idx="172" formatCode="0.0000">
                  <c:v>1.180361996950424</c:v>
                </c:pt>
                <c:pt idx="173" formatCode="0.0000">
                  <c:v>1.0878505046540972</c:v>
                </c:pt>
                <c:pt idx="174" formatCode="0.0000">
                  <c:v>0.95727780061777679</c:v>
                </c:pt>
                <c:pt idx="175" formatCode="0.0000">
                  <c:v>0.9187628695615534</c:v>
                </c:pt>
                <c:pt idx="176" formatCode="0.0000">
                  <c:v>0.98047333142887561</c:v>
                </c:pt>
                <c:pt idx="177" formatCode="0.0000">
                  <c:v>1.0613857750362972</c:v>
                </c:pt>
                <c:pt idx="178" formatCode="0.0000">
                  <c:v>0.9555034065792779</c:v>
                </c:pt>
                <c:pt idx="179" formatCode="0.0000">
                  <c:v>0.770428324061881</c:v>
                </c:pt>
                <c:pt idx="180" formatCode="0.0000">
                  <c:v>0.81217739708523928</c:v>
                </c:pt>
                <c:pt idx="181" formatCode="0.0000">
                  <c:v>0.8424644835304268</c:v>
                </c:pt>
                <c:pt idx="182" formatCode="0.0000">
                  <c:v>0.90404636581175768</c:v>
                </c:pt>
                <c:pt idx="183" formatCode="0.0000">
                  <c:v>0.82280209355817657</c:v>
                </c:pt>
                <c:pt idx="184" formatCode="0.0000">
                  <c:v>0.76075831283322581</c:v>
                </c:pt>
                <c:pt idx="185" formatCode="0.0000">
                  <c:v>0.72735967509843424</c:v>
                </c:pt>
                <c:pt idx="186" formatCode="0.0000">
                  <c:v>0.76486710402366265</c:v>
                </c:pt>
                <c:pt idx="187" formatCode="0.0000">
                  <c:v>1.1528906372991539</c:v>
                </c:pt>
                <c:pt idx="188" formatCode="0.0000">
                  <c:v>1.0819219116860554</c:v>
                </c:pt>
                <c:pt idx="189" formatCode="0.0000">
                  <c:v>1.0014250373207934</c:v>
                </c:pt>
                <c:pt idx="190" formatCode="0.0000">
                  <c:v>1.0528079600116098</c:v>
                </c:pt>
                <c:pt idx="191" formatCode="0.0000">
                  <c:v>1.2396051269045849</c:v>
                </c:pt>
                <c:pt idx="192" formatCode="0.0000">
                  <c:v>1.2933563622003035</c:v>
                </c:pt>
                <c:pt idx="193" formatCode="0.0000">
                  <c:v>1.3198800184054531</c:v>
                </c:pt>
                <c:pt idx="194" formatCode="0.0000">
                  <c:v>0.90012827314185484</c:v>
                </c:pt>
                <c:pt idx="195" formatCode="0.0000">
                  <c:v>1.139450244840803</c:v>
                </c:pt>
                <c:pt idx="196" formatCode="0.0000">
                  <c:v>1.3346675038142295</c:v>
                </c:pt>
                <c:pt idx="197" formatCode="0.0000">
                  <c:v>1.3581655769057797</c:v>
                </c:pt>
                <c:pt idx="198" formatCode="0.0000">
                  <c:v>1.2379147417587184</c:v>
                </c:pt>
                <c:pt idx="199" formatCode="0.0000">
                  <c:v>1.2309001992386317</c:v>
                </c:pt>
                <c:pt idx="200" formatCode="0.0000">
                  <c:v>1.3756931252672724</c:v>
                </c:pt>
                <c:pt idx="201" formatCode="0.0000">
                  <c:v>1.9249551173143045</c:v>
                </c:pt>
                <c:pt idx="202" formatCode="0.0000">
                  <c:v>1.9794465813683846</c:v>
                </c:pt>
                <c:pt idx="203" formatCode="0.0000">
                  <c:v>1.8225622697896786</c:v>
                </c:pt>
                <c:pt idx="204" formatCode="0.0000">
                  <c:v>1.7603314592656578</c:v>
                </c:pt>
                <c:pt idx="205" formatCode="0.0000">
                  <c:v>1.6838223174915488</c:v>
                </c:pt>
                <c:pt idx="206" formatCode="0.0000">
                  <c:v>1.7038874611730004</c:v>
                </c:pt>
                <c:pt idx="207" formatCode="0.0000">
                  <c:v>1.5627223606232465</c:v>
                </c:pt>
                <c:pt idx="208" formatCode="0.0000">
                  <c:v>1.0351567774477342</c:v>
                </c:pt>
                <c:pt idx="209" formatCode="0.0000">
                  <c:v>0.86176414057433415</c:v>
                </c:pt>
                <c:pt idx="210" formatCode="0.0000">
                  <c:v>0.91735686608583766</c:v>
                </c:pt>
                <c:pt idx="211" formatCode="0.0000">
                  <c:v>0.98192662417146259</c:v>
                </c:pt>
                <c:pt idx="212" formatCode="0.0000">
                  <c:v>0.99294713188676753</c:v>
                </c:pt>
                <c:pt idx="213" formatCode="0.0000">
                  <c:v>1.080180269434464</c:v>
                </c:pt>
                <c:pt idx="214" formatCode="0.0000">
                  <c:v>1.1590508632710044</c:v>
                </c:pt>
                <c:pt idx="215" formatCode="0.0000">
                  <c:v>1.2585054277014456</c:v>
                </c:pt>
                <c:pt idx="216" formatCode="0.0000">
                  <c:v>1.2707741968968151</c:v>
                </c:pt>
                <c:pt idx="217" formatCode="0.0000">
                  <c:v>1.2941462510369111</c:v>
                </c:pt>
                <c:pt idx="218" formatCode="0.0000">
                  <c:v>1.3022997794253814</c:v>
                </c:pt>
                <c:pt idx="219" formatCode="0.0000">
                  <c:v>1.5110729170190715</c:v>
                </c:pt>
                <c:pt idx="220" formatCode="0.0000">
                  <c:v>1.5833310519751573</c:v>
                </c:pt>
                <c:pt idx="221" formatCode="0.0000">
                  <c:v>1.7030034860481693</c:v>
                </c:pt>
                <c:pt idx="222" formatCode="0.0000">
                  <c:v>1.7807360009454116</c:v>
                </c:pt>
                <c:pt idx="223" formatCode="0.0000">
                  <c:v>1.8790678192837025</c:v>
                </c:pt>
                <c:pt idx="224" formatCode="0.0000">
                  <c:v>2.0738604198317181</c:v>
                </c:pt>
                <c:pt idx="225" formatCode="0.0000">
                  <c:v>2.2015780208533724</c:v>
                </c:pt>
                <c:pt idx="226" formatCode="0.0000">
                  <c:v>2.2132251253318826</c:v>
                </c:pt>
                <c:pt idx="227" formatCode="0.0000">
                  <c:v>2.0869855923963518</c:v>
                </c:pt>
                <c:pt idx="228" formatCode="0.0000">
                  <c:v>1.9966215201196766</c:v>
                </c:pt>
                <c:pt idx="229" formatCode="0.0000">
                  <c:v>1.9982420884909577</c:v>
                </c:pt>
                <c:pt idx="230" formatCode="0.0000">
                  <c:v>1.9705546317196061</c:v>
                </c:pt>
                <c:pt idx="231" formatCode="0.0000">
                  <c:v>1.7832343390405456</c:v>
                </c:pt>
                <c:pt idx="232" formatCode="0.0000">
                  <c:v>1.7056938300094724</c:v>
                </c:pt>
                <c:pt idx="233" formatCode="0.0000">
                  <c:v>1.6219362718353996</c:v>
                </c:pt>
                <c:pt idx="234" formatCode="0.0000">
                  <c:v>1.6221680588280007</c:v>
                </c:pt>
                <c:pt idx="235" formatCode="0.0000">
                  <c:v>1.6442919363516342</c:v>
                </c:pt>
                <c:pt idx="236" formatCode="0.0000">
                  <c:v>1.5591095192477058</c:v>
                </c:pt>
                <c:pt idx="237" formatCode="0.0000">
                  <c:v>1.4490028411517455</c:v>
                </c:pt>
                <c:pt idx="238" formatCode="0.0000">
                  <c:v>1.4119935353648772</c:v>
                </c:pt>
                <c:pt idx="239" formatCode="0.0000">
                  <c:v>1.3527893625924352</c:v>
                </c:pt>
                <c:pt idx="240" formatCode="0.0000">
                  <c:v>1.3182960253987215</c:v>
                </c:pt>
                <c:pt idx="241" formatCode="0.0000">
                  <c:v>1.320402460260466</c:v>
                </c:pt>
                <c:pt idx="242" formatCode="0.0000">
                  <c:v>1.2161462371506662</c:v>
                </c:pt>
                <c:pt idx="243" formatCode="0.0000">
                  <c:v>1.2127455117221262</c:v>
                </c:pt>
                <c:pt idx="244" formatCode="0.0000">
                  <c:v>1.1929047968256619</c:v>
                </c:pt>
                <c:pt idx="245" formatCode="0.0000">
                  <c:v>1.1859926424387333</c:v>
                </c:pt>
                <c:pt idx="246" formatCode="0.0000">
                  <c:v>1.2452721492781269</c:v>
                </c:pt>
                <c:pt idx="247" formatCode="0.0000">
                  <c:v>1.2783100471260593</c:v>
                </c:pt>
                <c:pt idx="248" formatCode="0.0000">
                  <c:v>1.2841223371511585</c:v>
                </c:pt>
                <c:pt idx="249" formatCode="0.0000">
                  <c:v>1.3241738215550909</c:v>
                </c:pt>
                <c:pt idx="250" formatCode="0.0000">
                  <c:v>1.3829510140658889</c:v>
                </c:pt>
                <c:pt idx="251" formatCode="0.0000">
                  <c:v>1.4015898330576422</c:v>
                </c:pt>
                <c:pt idx="252" formatCode="0.0000">
                  <c:v>1.4271308890786536</c:v>
                </c:pt>
                <c:pt idx="253" formatCode="0.0000">
                  <c:v>1.4128072248098447</c:v>
                </c:pt>
                <c:pt idx="254" formatCode="0.0000">
                  <c:v>1.3654051555036697</c:v>
                </c:pt>
                <c:pt idx="255" formatCode="0.0000">
                  <c:v>1.313311943993426</c:v>
                </c:pt>
                <c:pt idx="256" formatCode="0.0000">
                  <c:v>1.2650083575211275</c:v>
                </c:pt>
                <c:pt idx="257" formatCode="0.0000">
                  <c:v>1.1641830989639275</c:v>
                </c:pt>
                <c:pt idx="258" formatCode="0.0000">
                  <c:v>1.1364003618404783</c:v>
                </c:pt>
                <c:pt idx="259" formatCode="0.0000">
                  <c:v>1.1076172018462382</c:v>
                </c:pt>
                <c:pt idx="260" formatCode="0.0000">
                  <c:v>1.0768406099714321</c:v>
                </c:pt>
                <c:pt idx="261" formatCode="0.0000">
                  <c:v>1.0313393351510265</c:v>
                </c:pt>
                <c:pt idx="262" formatCode="0.0000">
                  <c:v>1.0244852801784394</c:v>
                </c:pt>
                <c:pt idx="263" formatCode="0.0000">
                  <c:v>1.0018004077208347</c:v>
                </c:pt>
                <c:pt idx="264" formatCode="0.0000">
                  <c:v>0.99361180877033828</c:v>
                </c:pt>
                <c:pt idx="265" formatCode="0.0000">
                  <c:v>0.98140111526049589</c:v>
                </c:pt>
                <c:pt idx="266" formatCode="0.0000">
                  <c:v>0.93749966165062426</c:v>
                </c:pt>
                <c:pt idx="267" formatCode="0.0000">
                  <c:v>0.86046770003244022</c:v>
                </c:pt>
                <c:pt idx="268" formatCode="0.0000">
                  <c:v>0.85944674978889957</c:v>
                </c:pt>
                <c:pt idx="269" formatCode="0.0000">
                  <c:v>0.82450616221685524</c:v>
                </c:pt>
                <c:pt idx="270" formatCode="0.0000">
                  <c:v>0.78679452137221972</c:v>
                </c:pt>
                <c:pt idx="271" formatCode="0.0000">
                  <c:v>0.78156767631606638</c:v>
                </c:pt>
                <c:pt idx="272" formatCode="0.0000">
                  <c:v>0.73112674818891144</c:v>
                </c:pt>
                <c:pt idx="273" formatCode="0.0000">
                  <c:v>0.72341522187423102</c:v>
                </c:pt>
                <c:pt idx="274" formatCode="0.0000">
                  <c:v>0.69739980867946283</c:v>
                </c:pt>
                <c:pt idx="275" formatCode="0.0000">
                  <c:v>0.70982612391816213</c:v>
                </c:pt>
                <c:pt idx="276" formatCode="0.0000">
                  <c:v>0.72608839459843977</c:v>
                </c:pt>
                <c:pt idx="277" formatCode="0.0000">
                  <c:v>0.73735550313768539</c:v>
                </c:pt>
                <c:pt idx="278" formatCode="0.0000">
                  <c:v>0.73012883274787332</c:v>
                </c:pt>
                <c:pt idx="279" formatCode="0.0000">
                  <c:v>0.74545761711206016</c:v>
                </c:pt>
                <c:pt idx="280" formatCode="0.0000">
                  <c:v>0.69488723447816392</c:v>
                </c:pt>
                <c:pt idx="281" formatCode="0.0000">
                  <c:v>0.70972882266179904</c:v>
                </c:pt>
                <c:pt idx="282" formatCode="0.0000">
                  <c:v>0.77191008206389078</c:v>
                </c:pt>
                <c:pt idx="283" formatCode="0.0000">
                  <c:v>0.76553245249004076</c:v>
                </c:pt>
                <c:pt idx="284" formatCode="0.0000">
                  <c:v>0.77946829734903744</c:v>
                </c:pt>
                <c:pt idx="285" formatCode="0.0000">
                  <c:v>0.73433693189789884</c:v>
                </c:pt>
                <c:pt idx="286" formatCode="0.0000">
                  <c:v>0.74726627676808532</c:v>
                </c:pt>
                <c:pt idx="287" formatCode="0.0000">
                  <c:v>0.75773854910803295</c:v>
                </c:pt>
                <c:pt idx="288" formatCode="0.0000">
                  <c:v>0.79613147098540227</c:v>
                </c:pt>
                <c:pt idx="289" formatCode="0.0000">
                  <c:v>0.71873561357410032</c:v>
                </c:pt>
                <c:pt idx="290" formatCode="0.0000">
                  <c:v>0.71775641408607549</c:v>
                </c:pt>
                <c:pt idx="291" formatCode="0.0000">
                  <c:v>0.71065516244811167</c:v>
                </c:pt>
                <c:pt idx="292" formatCode="0.0000">
                  <c:v>0.75176795740501046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668A-4E0C-8221-EFF03689051C}"/>
            </c:ext>
          </c:extLst>
        </c:ser>
        <c:ser>
          <c:idx val="8"/>
          <c:order val="8"/>
          <c:tx>
            <c:strRef>
              <c:f>'R(t) Województwa'!$BN$2</c:f>
              <c:strCache>
                <c:ptCount val="1"/>
                <c:pt idx="0">
                  <c:v>Podkarpackie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Województwa'!$BN$3:$BN$1000</c:f>
              <c:numCache>
                <c:formatCode>General</c:formatCode>
                <c:ptCount val="998"/>
                <c:pt idx="31" formatCode="0.0000">
                  <c:v>1.1596232794011114</c:v>
                </c:pt>
                <c:pt idx="32" formatCode="0.0000">
                  <c:v>1.0252211108284568</c:v>
                </c:pt>
                <c:pt idx="33" formatCode="0.0000">
                  <c:v>1.0399696775188749</c:v>
                </c:pt>
                <c:pt idx="34" formatCode="0.0000">
                  <c:v>0.92252928215103769</c:v>
                </c:pt>
                <c:pt idx="35" formatCode="0.0000">
                  <c:v>0.94631202335859987</c:v>
                </c:pt>
                <c:pt idx="36" formatCode="0.0000">
                  <c:v>0.96114560119333114</c:v>
                </c:pt>
                <c:pt idx="37" formatCode="0.0000">
                  <c:v>0.99552521563748619</c:v>
                </c:pt>
                <c:pt idx="38" formatCode="0.0000">
                  <c:v>1.008659693947634</c:v>
                </c:pt>
                <c:pt idx="39" formatCode="0.0000">
                  <c:v>1.0079675731729019</c:v>
                </c:pt>
                <c:pt idx="40" formatCode="0.0000">
                  <c:v>0.86688328951243399</c:v>
                </c:pt>
                <c:pt idx="41" formatCode="0.0000">
                  <c:v>0.83927469971680357</c:v>
                </c:pt>
                <c:pt idx="42" formatCode="0.0000">
                  <c:v>0.82349694919174787</c:v>
                </c:pt>
                <c:pt idx="43" formatCode="0.0000">
                  <c:v>0.80991891530169224</c:v>
                </c:pt>
                <c:pt idx="44" formatCode="0.0000">
                  <c:v>0.68339277898960826</c:v>
                </c:pt>
                <c:pt idx="45" formatCode="0.0000">
                  <c:v>0.58801400929664904</c:v>
                </c:pt>
                <c:pt idx="46" formatCode="0.0000">
                  <c:v>0.60334687274652055</c:v>
                </c:pt>
                <c:pt idx="47" formatCode="0.0000">
                  <c:v>0.66266841178356206</c:v>
                </c:pt>
                <c:pt idx="48" formatCode="0.0000">
                  <c:v>0.66620493833008454</c:v>
                </c:pt>
                <c:pt idx="49" formatCode="0.0000">
                  <c:v>0.6168711086814006</c:v>
                </c:pt>
                <c:pt idx="50" formatCode="0.0000">
                  <c:v>0.61594199029788399</c:v>
                </c:pt>
                <c:pt idx="51" formatCode="0.0000">
                  <c:v>0.6381165292829859</c:v>
                </c:pt>
                <c:pt idx="52" formatCode="0.0000">
                  <c:v>0.77320606923223834</c:v>
                </c:pt>
                <c:pt idx="53" formatCode="0.0000">
                  <c:v>1.1504373879636745</c:v>
                </c:pt>
                <c:pt idx="54" formatCode="0.0000">
                  <c:v>1.1122192270816789</c:v>
                </c:pt>
                <c:pt idx="55" formatCode="0.0000">
                  <c:v>1.1101175488812234</c:v>
                </c:pt>
                <c:pt idx="56" formatCode="0.0000">
                  <c:v>1.2082234692842106</c:v>
                </c:pt>
                <c:pt idx="57" formatCode="0.0000">
                  <c:v>1.1331497795706618</c:v>
                </c:pt>
                <c:pt idx="58" formatCode="0.0000">
                  <c:v>1.0870507776961849</c:v>
                </c:pt>
                <c:pt idx="59" formatCode="0.0000">
                  <c:v>1.0619517292686702</c:v>
                </c:pt>
                <c:pt idx="60" formatCode="0.0000">
                  <c:v>0.63487005738219171</c:v>
                </c:pt>
                <c:pt idx="61" formatCode="0.0000">
                  <c:v>0.82026904486825813</c:v>
                </c:pt>
                <c:pt idx="62" formatCode="0.0000">
                  <c:v>1.0580786266904576</c:v>
                </c:pt>
                <c:pt idx="63" formatCode="0.0000">
                  <c:v>0.93510947594761706</c:v>
                </c:pt>
                <c:pt idx="64" formatCode="0.0000">
                  <c:v>0.87678839073945436</c:v>
                </c:pt>
                <c:pt idx="65" formatCode="0.0000">
                  <c:v>0.9054853882363737</c:v>
                </c:pt>
                <c:pt idx="66" formatCode="0.0000">
                  <c:v>0.76712654480662201</c:v>
                </c:pt>
                <c:pt idx="67" formatCode="0.0000">
                  <c:v>0.67507630639283867</c:v>
                </c:pt>
                <c:pt idx="68" formatCode="0.0000">
                  <c:v>0.492079574784482</c:v>
                </c:pt>
                <c:pt idx="69" formatCode="0.0000">
                  <c:v>0.19898543497648502</c:v>
                </c:pt>
                <c:pt idx="70" formatCode="0.0000">
                  <c:v>0.14018267574881374</c:v>
                </c:pt>
                <c:pt idx="71" formatCode="0.0000">
                  <c:v>0.14018267574881385</c:v>
                </c:pt>
                <c:pt idx="72" formatCode="0.0000">
                  <c:v>0.21553795628524572</c:v>
                </c:pt>
                <c:pt idx="73" formatCode="0.0000">
                  <c:v>0.16049013109019819</c:v>
                </c:pt>
                <c:pt idx="74" formatCode="0.0000">
                  <c:v>0.23488169593387451</c:v>
                </c:pt>
                <c:pt idx="75" formatCode="0.0000">
                  <c:v>0.19967937257591398</c:v>
                </c:pt>
                <c:pt idx="76" formatCode="0.0000">
                  <c:v>0.19967937257591403</c:v>
                </c:pt>
                <c:pt idx="77" formatCode="0.0000">
                  <c:v>0.19967937257591398</c:v>
                </c:pt>
                <c:pt idx="78" formatCode="0.0000">
                  <c:v>0.19967937257591387</c:v>
                </c:pt>
                <c:pt idx="79" formatCode="0.0000">
                  <c:v>0.22234053459061615</c:v>
                </c:pt>
                <c:pt idx="80" formatCode="0.0000">
                  <c:v>0.36953999019136419</c:v>
                </c:pt>
                <c:pt idx="81" formatCode="0.0000">
                  <c:v>0.44171145842217513</c:v>
                </c:pt>
                <c:pt idx="82" formatCode="0.0000">
                  <c:v>0.7337552423691841</c:v>
                </c:pt>
                <c:pt idx="83" formatCode="0.0000">
                  <c:v>0.73375524236918399</c:v>
                </c:pt>
                <c:pt idx="84" formatCode="0.0000">
                  <c:v>0.73375524236918399</c:v>
                </c:pt>
                <c:pt idx="85" formatCode="0.0000">
                  <c:v>0.7337552423691841</c:v>
                </c:pt>
                <c:pt idx="86" formatCode="0.0000">
                  <c:v>0.98935665851220933</c:v>
                </c:pt>
                <c:pt idx="87" formatCode="0.0000">
                  <c:v>1.162259169127408</c:v>
                </c:pt>
                <c:pt idx="88" formatCode="0.0000">
                  <c:v>1.0156961360529206</c:v>
                </c:pt>
                <c:pt idx="89" formatCode="0.0000">
                  <c:v>1.5167165612419213</c:v>
                </c:pt>
                <c:pt idx="90" formatCode="0.0000">
                  <c:v>1.5167165612419211</c:v>
                </c:pt>
                <c:pt idx="91" formatCode="0.0000">
                  <c:v>1.5167165612419211</c:v>
                </c:pt>
                <c:pt idx="92" formatCode="0.0000">
                  <c:v>1.647542386550459</c:v>
                </c:pt>
                <c:pt idx="93" formatCode="0.0000">
                  <c:v>1.2439920006604945</c:v>
                </c:pt>
                <c:pt idx="94" formatCode="0.0000">
                  <c:v>0.92389003444454809</c:v>
                </c:pt>
                <c:pt idx="95" formatCode="0.0000">
                  <c:v>1.1041270071448366</c:v>
                </c:pt>
                <c:pt idx="96" formatCode="0.0000">
                  <c:v>0.65854781268766549</c:v>
                </c:pt>
                <c:pt idx="97" formatCode="0.0000">
                  <c:v>1.3796937840019339</c:v>
                </c:pt>
                <c:pt idx="98" formatCode="0.0000">
                  <c:v>2.3849097547962734</c:v>
                </c:pt>
                <c:pt idx="99" formatCode="0.0000">
                  <c:v>2.4994267407155575</c:v>
                </c:pt>
                <c:pt idx="100" formatCode="0.0000">
                  <c:v>2.5884411626773067</c:v>
                </c:pt>
                <c:pt idx="101" formatCode="0.0000">
                  <c:v>2.9647609307648612</c:v>
                </c:pt>
                <c:pt idx="102" formatCode="0.0000">
                  <c:v>3.3947082642445148</c:v>
                </c:pt>
                <c:pt idx="103" formatCode="0.0000">
                  <c:v>3.567032602101416</c:v>
                </c:pt>
                <c:pt idx="104" formatCode="0.0000">
                  <c:v>3.110141660277205</c:v>
                </c:pt>
                <c:pt idx="105" formatCode="0.0000">
                  <c:v>2.3237415738051905</c:v>
                </c:pt>
                <c:pt idx="106" formatCode="0.0000">
                  <c:v>2.3756293334235443</c:v>
                </c:pt>
                <c:pt idx="107" formatCode="0.0000">
                  <c:v>2.4492352269586339</c:v>
                </c:pt>
                <c:pt idx="108" formatCode="0.0000">
                  <c:v>2.2456732257542265</c:v>
                </c:pt>
                <c:pt idx="109" formatCode="0.0000">
                  <c:v>1.7258116271899375</c:v>
                </c:pt>
                <c:pt idx="110" formatCode="0.0000">
                  <c:v>1.3830453013619461</c:v>
                </c:pt>
                <c:pt idx="111" formatCode="0.0000">
                  <c:v>1.2241384076358595</c:v>
                </c:pt>
                <c:pt idx="112" formatCode="0.0000">
                  <c:v>1.1147761561686409</c:v>
                </c:pt>
                <c:pt idx="113" formatCode="0.0000">
                  <c:v>0.98739976023572795</c:v>
                </c:pt>
                <c:pt idx="114" formatCode="0.0000">
                  <c:v>0.99016860323840683</c:v>
                </c:pt>
                <c:pt idx="115" formatCode="0.0000">
                  <c:v>1.0061130141821495</c:v>
                </c:pt>
                <c:pt idx="116" formatCode="0.0000">
                  <c:v>1.1477721754525008</c:v>
                </c:pt>
                <c:pt idx="117" formatCode="0.0000">
                  <c:v>1.1363946029896237</c:v>
                </c:pt>
                <c:pt idx="118" formatCode="0.0000">
                  <c:v>1.1698788947688514</c:v>
                </c:pt>
                <c:pt idx="119" formatCode="0.0000">
                  <c:v>1.0836575029940645</c:v>
                </c:pt>
                <c:pt idx="120" formatCode="0.0000">
                  <c:v>1.1776935849407271</c:v>
                </c:pt>
                <c:pt idx="121" formatCode="0.0000">
                  <c:v>1.1653138824656524</c:v>
                </c:pt>
                <c:pt idx="122" formatCode="0.0000">
                  <c:v>1.1164317060659366</c:v>
                </c:pt>
                <c:pt idx="123" formatCode="0.0000">
                  <c:v>1.351936331202795</c:v>
                </c:pt>
                <c:pt idx="124" formatCode="0.0000">
                  <c:v>1.4244910124152379</c:v>
                </c:pt>
                <c:pt idx="125" formatCode="0.0000">
                  <c:v>1.3903714376099572</c:v>
                </c:pt>
                <c:pt idx="126" formatCode="0.0000">
                  <c:v>1.5095017054124575</c:v>
                </c:pt>
                <c:pt idx="127" formatCode="0.0000">
                  <c:v>1.4718285043607371</c:v>
                </c:pt>
                <c:pt idx="128" formatCode="0.0000">
                  <c:v>1.3729551351708977</c:v>
                </c:pt>
                <c:pt idx="129" formatCode="0.0000">
                  <c:v>1.3689219066833378</c:v>
                </c:pt>
                <c:pt idx="130" formatCode="0.0000">
                  <c:v>0.97835935315381051</c:v>
                </c:pt>
                <c:pt idx="131" formatCode="0.0000">
                  <c:v>1.1610585865905707</c:v>
                </c:pt>
                <c:pt idx="132" formatCode="0.0000">
                  <c:v>1.5002412612714531</c:v>
                </c:pt>
                <c:pt idx="133" formatCode="0.0000">
                  <c:v>1.4239146698456933</c:v>
                </c:pt>
                <c:pt idx="134" formatCode="0.0000">
                  <c:v>1.2513458774675681</c:v>
                </c:pt>
                <c:pt idx="135" formatCode="0.0000">
                  <c:v>1.432821501016496</c:v>
                </c:pt>
                <c:pt idx="136" formatCode="0.0000">
                  <c:v>1.4048410541199154</c:v>
                </c:pt>
                <c:pt idx="137" formatCode="0.0000">
                  <c:v>1.4830869515850407</c:v>
                </c:pt>
                <c:pt idx="138" formatCode="0.0000">
                  <c:v>1.1663996942927994</c:v>
                </c:pt>
                <c:pt idx="139" formatCode="0.0000">
                  <c:v>0.86281218341229859</c:v>
                </c:pt>
                <c:pt idx="140" formatCode="0.0000">
                  <c:v>0.84792775448391289</c:v>
                </c:pt>
                <c:pt idx="141" formatCode="0.0000">
                  <c:v>0.91395095399029924</c:v>
                </c:pt>
                <c:pt idx="142" formatCode="0.0000">
                  <c:v>0.82247099260120515</c:v>
                </c:pt>
                <c:pt idx="143" formatCode="0.0000">
                  <c:v>0.76504656163355167</c:v>
                </c:pt>
                <c:pt idx="144" formatCode="0.0000">
                  <c:v>0.77642390032972397</c:v>
                </c:pt>
                <c:pt idx="145" formatCode="0.0000">
                  <c:v>0.76515920277819249</c:v>
                </c:pt>
                <c:pt idx="146" formatCode="0.0000">
                  <c:v>0.67377572524816653</c:v>
                </c:pt>
                <c:pt idx="147" formatCode="0.0000">
                  <c:v>0.79361340101085431</c:v>
                </c:pt>
                <c:pt idx="148" formatCode="0.0000">
                  <c:v>0.87526519109475542</c:v>
                </c:pt>
                <c:pt idx="149" formatCode="0.0000">
                  <c:v>1.1032694201393944</c:v>
                </c:pt>
                <c:pt idx="150" formatCode="0.0000">
                  <c:v>1.2412510342999339</c:v>
                </c:pt>
                <c:pt idx="151" formatCode="0.0000">
                  <c:v>1.2419998000581067</c:v>
                </c:pt>
                <c:pt idx="152" formatCode="0.0000">
                  <c:v>1.2934944705230413</c:v>
                </c:pt>
                <c:pt idx="153" formatCode="0.0000">
                  <c:v>1.507947554041779</c:v>
                </c:pt>
                <c:pt idx="154" formatCode="0.0000">
                  <c:v>1.566411337213107</c:v>
                </c:pt>
                <c:pt idx="155" formatCode="0.0000">
                  <c:v>1.5299011881352524</c:v>
                </c:pt>
                <c:pt idx="156" formatCode="0.0000">
                  <c:v>1.3240771843031747</c:v>
                </c:pt>
                <c:pt idx="157" formatCode="0.0000">
                  <c:v>1.3080627445055739</c:v>
                </c:pt>
                <c:pt idx="158" formatCode="0.0000">
                  <c:v>1.3512273176007716</c:v>
                </c:pt>
                <c:pt idx="159" formatCode="0.0000">
                  <c:v>1.3322138991262691</c:v>
                </c:pt>
                <c:pt idx="160" formatCode="0.0000">
                  <c:v>1.2375446845618341</c:v>
                </c:pt>
                <c:pt idx="161" formatCode="0.0000">
                  <c:v>1.0792082719308884</c:v>
                </c:pt>
                <c:pt idx="162" formatCode="0.0000">
                  <c:v>1.0197377438233894</c:v>
                </c:pt>
                <c:pt idx="163" formatCode="0.0000">
                  <c:v>1.0822726091906139</c:v>
                </c:pt>
                <c:pt idx="164" formatCode="0.0000">
                  <c:v>1.0885829884515812</c:v>
                </c:pt>
                <c:pt idx="165" formatCode="0.0000">
                  <c:v>1.0373385832513016</c:v>
                </c:pt>
                <c:pt idx="166" formatCode="0.0000">
                  <c:v>1.0772463071785991</c:v>
                </c:pt>
                <c:pt idx="167" formatCode="0.0000">
                  <c:v>1.0660000259378077</c:v>
                </c:pt>
                <c:pt idx="168" formatCode="0.0000">
                  <c:v>1.158467935959542</c:v>
                </c:pt>
                <c:pt idx="169" formatCode="0.0000">
                  <c:v>1.1887322033166277</c:v>
                </c:pt>
                <c:pt idx="170" formatCode="0.0000">
                  <c:v>1.0675074110784184</c:v>
                </c:pt>
                <c:pt idx="171" formatCode="0.0000">
                  <c:v>1.0862102800904447</c:v>
                </c:pt>
                <c:pt idx="172" formatCode="0.0000">
                  <c:v>1.0571931755707946</c:v>
                </c:pt>
                <c:pt idx="173" formatCode="0.0000">
                  <c:v>1.0772764582871244</c:v>
                </c:pt>
                <c:pt idx="174" formatCode="0.0000">
                  <c:v>1.0028183254397718</c:v>
                </c:pt>
                <c:pt idx="175" formatCode="0.0000">
                  <c:v>1.0872820411725341</c:v>
                </c:pt>
                <c:pt idx="176" formatCode="0.0000">
                  <c:v>1.1380738351076354</c:v>
                </c:pt>
                <c:pt idx="177" formatCode="0.0000">
                  <c:v>1.1507477000220994</c:v>
                </c:pt>
                <c:pt idx="178" formatCode="0.0000">
                  <c:v>1.2144484332028216</c:v>
                </c:pt>
                <c:pt idx="179" formatCode="0.0000">
                  <c:v>1.2243290222458039</c:v>
                </c:pt>
                <c:pt idx="180" formatCode="0.0000">
                  <c:v>1.139224889793917</c:v>
                </c:pt>
                <c:pt idx="181" formatCode="0.0000">
                  <c:v>1.1679984321452115</c:v>
                </c:pt>
                <c:pt idx="182" formatCode="0.0000">
                  <c:v>1.0136826863218151</c:v>
                </c:pt>
                <c:pt idx="183" formatCode="0.0000">
                  <c:v>1.00168575799115</c:v>
                </c:pt>
                <c:pt idx="184" formatCode="0.0000">
                  <c:v>0.9990027263319986</c:v>
                </c:pt>
                <c:pt idx="185" formatCode="0.0000">
                  <c:v>1.0848337932279315</c:v>
                </c:pt>
                <c:pt idx="186" formatCode="0.0000">
                  <c:v>1.1263882530723619</c:v>
                </c:pt>
                <c:pt idx="187" formatCode="0.0000">
                  <c:v>1.1255384760401774</c:v>
                </c:pt>
                <c:pt idx="188" formatCode="0.0000">
                  <c:v>1.086243155750696</c:v>
                </c:pt>
                <c:pt idx="189" formatCode="0.0000">
                  <c:v>1.0467502538261557</c:v>
                </c:pt>
                <c:pt idx="190" formatCode="0.0000">
                  <c:v>0.95417954440939678</c:v>
                </c:pt>
                <c:pt idx="191" formatCode="0.0000">
                  <c:v>0.90390937473172595</c:v>
                </c:pt>
                <c:pt idx="192" formatCode="0.0000">
                  <c:v>0.75412104134615621</c:v>
                </c:pt>
                <c:pt idx="193" formatCode="0.0000">
                  <c:v>0.73099933311433152</c:v>
                </c:pt>
                <c:pt idx="194" formatCode="0.0000">
                  <c:v>0.76357199991326397</c:v>
                </c:pt>
                <c:pt idx="195" formatCode="0.0000">
                  <c:v>0.85695349339610249</c:v>
                </c:pt>
                <c:pt idx="196" formatCode="0.0000">
                  <c:v>0.88180352816237417</c:v>
                </c:pt>
                <c:pt idx="197" formatCode="0.0000">
                  <c:v>0.94358241693216427</c:v>
                </c:pt>
                <c:pt idx="198" formatCode="0.0000">
                  <c:v>1.0492860760055507</c:v>
                </c:pt>
                <c:pt idx="199" formatCode="0.0000">
                  <c:v>1.04473737120123</c:v>
                </c:pt>
                <c:pt idx="200" formatCode="0.0000">
                  <c:v>1.1555307289802674</c:v>
                </c:pt>
                <c:pt idx="201" formatCode="0.0000">
                  <c:v>1.2382933249718084</c:v>
                </c:pt>
                <c:pt idx="202" formatCode="0.0000">
                  <c:v>1.2599001153718408</c:v>
                </c:pt>
                <c:pt idx="203" formatCode="0.0000">
                  <c:v>1.2736367787860938</c:v>
                </c:pt>
                <c:pt idx="204" formatCode="0.0000">
                  <c:v>1.208198876761051</c:v>
                </c:pt>
                <c:pt idx="205" formatCode="0.0000">
                  <c:v>1.2510630089348591</c:v>
                </c:pt>
                <c:pt idx="206" formatCode="0.0000">
                  <c:v>1.2369998581994446</c:v>
                </c:pt>
                <c:pt idx="207" formatCode="0.0000">
                  <c:v>1.1933184102406469</c:v>
                </c:pt>
                <c:pt idx="208" formatCode="0.0000">
                  <c:v>1.1810865773423431</c:v>
                </c:pt>
                <c:pt idx="209" formatCode="0.0000">
                  <c:v>1.1929792911159667</c:v>
                </c:pt>
                <c:pt idx="210" formatCode="0.0000">
                  <c:v>1.397420975834873</c:v>
                </c:pt>
                <c:pt idx="211" formatCode="0.0000">
                  <c:v>1.529732296827407</c:v>
                </c:pt>
                <c:pt idx="212" formatCode="0.0000">
                  <c:v>1.5382380825725512</c:v>
                </c:pt>
                <c:pt idx="213" formatCode="0.0000">
                  <c:v>1.782487534731132</c:v>
                </c:pt>
                <c:pt idx="214" formatCode="0.0000">
                  <c:v>1.7704961441359626</c:v>
                </c:pt>
                <c:pt idx="215" formatCode="0.0000">
                  <c:v>1.7674191935397991</c:v>
                </c:pt>
                <c:pt idx="216" formatCode="0.0000">
                  <c:v>1.7582100075083211</c:v>
                </c:pt>
                <c:pt idx="217" formatCode="0.0000">
                  <c:v>1.6361154230731818</c:v>
                </c:pt>
                <c:pt idx="218" formatCode="0.0000">
                  <c:v>1.6002761504569101</c:v>
                </c:pt>
                <c:pt idx="219" formatCode="0.0000">
                  <c:v>1.6831754594554105</c:v>
                </c:pt>
                <c:pt idx="220" formatCode="0.0000">
                  <c:v>1.6398068590583665</c:v>
                </c:pt>
                <c:pt idx="221" formatCode="0.0000">
                  <c:v>1.7154749021426183</c:v>
                </c:pt>
                <c:pt idx="222" formatCode="0.0000">
                  <c:v>1.745037883591072</c:v>
                </c:pt>
                <c:pt idx="223" formatCode="0.0000">
                  <c:v>1.7784968338505678</c:v>
                </c:pt>
                <c:pt idx="224" formatCode="0.0000">
                  <c:v>1.8455377818348448</c:v>
                </c:pt>
                <c:pt idx="225" formatCode="0.0000">
                  <c:v>1.85064620637717</c:v>
                </c:pt>
                <c:pt idx="226" formatCode="0.0000">
                  <c:v>1.7715741707305459</c:v>
                </c:pt>
                <c:pt idx="227" formatCode="0.0000">
                  <c:v>1.6740852275452192</c:v>
                </c:pt>
                <c:pt idx="228" formatCode="0.0000">
                  <c:v>1.694243132083187</c:v>
                </c:pt>
                <c:pt idx="229" formatCode="0.0000">
                  <c:v>1.7368386491880288</c:v>
                </c:pt>
                <c:pt idx="230" formatCode="0.0000">
                  <c:v>1.6661057326737969</c:v>
                </c:pt>
                <c:pt idx="231" formatCode="0.0000">
                  <c:v>1.6443261810386143</c:v>
                </c:pt>
                <c:pt idx="232" formatCode="0.0000">
                  <c:v>1.7347713358200461</c:v>
                </c:pt>
                <c:pt idx="233" formatCode="0.0000">
                  <c:v>1.7179114872672019</c:v>
                </c:pt>
                <c:pt idx="234" formatCode="0.0000">
                  <c:v>1.6529482351138864</c:v>
                </c:pt>
                <c:pt idx="235" formatCode="0.0000">
                  <c:v>1.5546982842297816</c:v>
                </c:pt>
                <c:pt idx="236" formatCode="0.0000">
                  <c:v>1.4853830456864447</c:v>
                </c:pt>
                <c:pt idx="237" formatCode="0.0000">
                  <c:v>1.4851707746712626</c:v>
                </c:pt>
                <c:pt idx="238" formatCode="0.0000">
                  <c:v>1.4186166599498213</c:v>
                </c:pt>
                <c:pt idx="239" formatCode="0.0000">
                  <c:v>1.3615439813931351</c:v>
                </c:pt>
                <c:pt idx="240" formatCode="0.0000">
                  <c:v>1.4004652182110224</c:v>
                </c:pt>
                <c:pt idx="241" formatCode="0.0000">
                  <c:v>1.4040242681021629</c:v>
                </c:pt>
                <c:pt idx="242" formatCode="0.0000">
                  <c:v>1.4182926131519971</c:v>
                </c:pt>
                <c:pt idx="243" formatCode="0.0000">
                  <c:v>1.4000275564185258</c:v>
                </c:pt>
                <c:pt idx="244" formatCode="0.0000">
                  <c:v>1.3968066644226449</c:v>
                </c:pt>
                <c:pt idx="245" formatCode="0.0000">
                  <c:v>1.3744105916013571</c:v>
                </c:pt>
                <c:pt idx="246" formatCode="0.0000">
                  <c:v>1.3445323926361348</c:v>
                </c:pt>
                <c:pt idx="247" formatCode="0.0000">
                  <c:v>1.3079260716658054</c:v>
                </c:pt>
                <c:pt idx="248" formatCode="0.0000">
                  <c:v>1.3067949282906803</c:v>
                </c:pt>
                <c:pt idx="249" formatCode="0.0000">
                  <c:v>1.3136109634356516</c:v>
                </c:pt>
                <c:pt idx="250" formatCode="0.0000">
                  <c:v>1.3291572032737389</c:v>
                </c:pt>
                <c:pt idx="251" formatCode="0.0000">
                  <c:v>1.3103508928317471</c:v>
                </c:pt>
                <c:pt idx="252" formatCode="0.0000">
                  <c:v>1.3086035092915775</c:v>
                </c:pt>
                <c:pt idx="253" formatCode="0.0000">
                  <c:v>1.2478843856551347</c:v>
                </c:pt>
                <c:pt idx="254" formatCode="0.0000">
                  <c:v>1.1727184095956307</c:v>
                </c:pt>
                <c:pt idx="255" formatCode="0.0000">
                  <c:v>1.0911937819950659</c:v>
                </c:pt>
                <c:pt idx="256" formatCode="0.0000">
                  <c:v>0.98624508564026492</c:v>
                </c:pt>
                <c:pt idx="257" formatCode="0.0000">
                  <c:v>0.88968855083125808</c:v>
                </c:pt>
                <c:pt idx="258" formatCode="0.0000">
                  <c:v>0.85666014973052473</c:v>
                </c:pt>
                <c:pt idx="259" formatCode="0.0000">
                  <c:v>0.79382693680201932</c:v>
                </c:pt>
                <c:pt idx="260" formatCode="0.0000">
                  <c:v>0.77339963154499169</c:v>
                </c:pt>
                <c:pt idx="261" formatCode="0.0000">
                  <c:v>0.78500402683771231</c:v>
                </c:pt>
                <c:pt idx="262" formatCode="0.0000">
                  <c:v>0.76141506909215351</c:v>
                </c:pt>
                <c:pt idx="263" formatCode="0.0000">
                  <c:v>0.75615335084950253</c:v>
                </c:pt>
                <c:pt idx="264" formatCode="0.0000">
                  <c:v>0.75358351284795155</c:v>
                </c:pt>
                <c:pt idx="265" formatCode="0.0000">
                  <c:v>0.73659095760892945</c:v>
                </c:pt>
                <c:pt idx="266" formatCode="0.0000">
                  <c:v>0.755657236966643</c:v>
                </c:pt>
                <c:pt idx="267" formatCode="0.0000">
                  <c:v>0.75315305535523558</c:v>
                </c:pt>
                <c:pt idx="268" formatCode="0.0000">
                  <c:v>0.71752554499917875</c:v>
                </c:pt>
                <c:pt idx="269" formatCode="0.0000">
                  <c:v>0.74674279283262279</c:v>
                </c:pt>
                <c:pt idx="270" formatCode="0.0000">
                  <c:v>0.75405462866905515</c:v>
                </c:pt>
                <c:pt idx="271" formatCode="0.0000">
                  <c:v>0.71590529530756264</c:v>
                </c:pt>
                <c:pt idx="272" formatCode="0.0000">
                  <c:v>0.67549767002212491</c:v>
                </c:pt>
                <c:pt idx="273" formatCode="0.0000">
                  <c:v>0.66666603311790718</c:v>
                </c:pt>
                <c:pt idx="274" formatCode="0.0000">
                  <c:v>0.69067817184922309</c:v>
                </c:pt>
                <c:pt idx="275" formatCode="0.0000">
                  <c:v>0.67665542770974096</c:v>
                </c:pt>
                <c:pt idx="276" formatCode="0.0000">
                  <c:v>0.61552146292698551</c:v>
                </c:pt>
                <c:pt idx="277" formatCode="0.0000">
                  <c:v>0.55509070167766417</c:v>
                </c:pt>
                <c:pt idx="278" formatCode="0.0000">
                  <c:v>0.54646239184030576</c:v>
                </c:pt>
                <c:pt idx="279" formatCode="0.0000">
                  <c:v>0.55594316174078096</c:v>
                </c:pt>
                <c:pt idx="280" formatCode="0.0000">
                  <c:v>0.55092583014304419</c:v>
                </c:pt>
                <c:pt idx="281" formatCode="0.0000">
                  <c:v>0.52357058238111687</c:v>
                </c:pt>
                <c:pt idx="282" formatCode="0.0000">
                  <c:v>0.58509556940397378</c:v>
                </c:pt>
                <c:pt idx="283" formatCode="0.0000">
                  <c:v>0.60457679706687451</c:v>
                </c:pt>
                <c:pt idx="284" formatCode="0.0000">
                  <c:v>0.74997420764626077</c:v>
                </c:pt>
                <c:pt idx="285" formatCode="0.0000">
                  <c:v>0.77397775596806828</c:v>
                </c:pt>
                <c:pt idx="286" formatCode="0.0000">
                  <c:v>0.79765359226192112</c:v>
                </c:pt>
                <c:pt idx="287" formatCode="0.0000">
                  <c:v>0.85957330749933247</c:v>
                </c:pt>
                <c:pt idx="288" formatCode="0.0000">
                  <c:v>0.90562449895792152</c:v>
                </c:pt>
                <c:pt idx="289" formatCode="0.0000">
                  <c:v>0.87096143219920152</c:v>
                </c:pt>
                <c:pt idx="290" formatCode="0.0000">
                  <c:v>0.84461698366706706</c:v>
                </c:pt>
                <c:pt idx="291" formatCode="0.0000">
                  <c:v>0.80652462467671349</c:v>
                </c:pt>
                <c:pt idx="292" formatCode="0.0000">
                  <c:v>0.79496580147577922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668A-4E0C-8221-EFF03689051C}"/>
            </c:ext>
          </c:extLst>
        </c:ser>
        <c:ser>
          <c:idx val="9"/>
          <c:order val="9"/>
          <c:tx>
            <c:strRef>
              <c:f>'R(t) Województwa'!$BU$2</c:f>
              <c:strCache>
                <c:ptCount val="1"/>
                <c:pt idx="0">
                  <c:v>Podlaskie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Województwa'!$BU$3:$BU$1000</c:f>
              <c:numCache>
                <c:formatCode>General</c:formatCode>
                <c:ptCount val="998"/>
                <c:pt idx="36" formatCode="0.0000">
                  <c:v>1.5356125356125359</c:v>
                </c:pt>
                <c:pt idx="37" formatCode="0.0000">
                  <c:v>1.3837798027779127</c:v>
                </c:pt>
                <c:pt idx="38" formatCode="0.0000">
                  <c:v>1.3618381632097762</c:v>
                </c:pt>
                <c:pt idx="39" formatCode="0.0000">
                  <c:v>1.111428021792251</c:v>
                </c:pt>
                <c:pt idx="40" formatCode="0.0000">
                  <c:v>1.2459308394441118</c:v>
                </c:pt>
                <c:pt idx="41" formatCode="0.0000">
                  <c:v>1.1967227532187672</c:v>
                </c:pt>
                <c:pt idx="42" formatCode="0.0000">
                  <c:v>1.1796346795953931</c:v>
                </c:pt>
                <c:pt idx="43" formatCode="0.0000">
                  <c:v>0.98562743612754566</c:v>
                </c:pt>
                <c:pt idx="44" formatCode="0.0000">
                  <c:v>0.99167417351118947</c:v>
                </c:pt>
                <c:pt idx="45" formatCode="0.0000">
                  <c:v>0.92325178834805288</c:v>
                </c:pt>
                <c:pt idx="46" formatCode="0.0000">
                  <c:v>1.1077152228299749</c:v>
                </c:pt>
                <c:pt idx="47" formatCode="0.0000">
                  <c:v>0.8960331600085405</c:v>
                </c:pt>
                <c:pt idx="48" formatCode="0.0000">
                  <c:v>0.81775734977183545</c:v>
                </c:pt>
                <c:pt idx="49" formatCode="0.0000">
                  <c:v>0.71630411388571524</c:v>
                </c:pt>
                <c:pt idx="50" formatCode="0.0000">
                  <c:v>0.72551681686792124</c:v>
                </c:pt>
                <c:pt idx="51" formatCode="0.0000">
                  <c:v>0.62103252210394266</c:v>
                </c:pt>
                <c:pt idx="52" formatCode="0.0000">
                  <c:v>0.54266224817116226</c:v>
                </c:pt>
                <c:pt idx="53" formatCode="0.0000">
                  <c:v>0.52218585083279634</c:v>
                </c:pt>
                <c:pt idx="54" formatCode="0.0000">
                  <c:v>0.5220612831711543</c:v>
                </c:pt>
                <c:pt idx="55" formatCode="0.0000">
                  <c:v>0.52827850624961292</c:v>
                </c:pt>
                <c:pt idx="56" formatCode="0.0000">
                  <c:v>0.51047417320884325</c:v>
                </c:pt>
                <c:pt idx="57" formatCode="0.0000">
                  <c:v>0.47589549432126538</c:v>
                </c:pt>
                <c:pt idx="58" formatCode="0.0000">
                  <c:v>0.57948345077171326</c:v>
                </c:pt>
                <c:pt idx="59" formatCode="0.0000">
                  <c:v>0.53799684071427289</c:v>
                </c:pt>
                <c:pt idx="60" formatCode="0.0000">
                  <c:v>0.37343815808438013</c:v>
                </c:pt>
                <c:pt idx="61" formatCode="0.0000">
                  <c:v>0.35841551065412997</c:v>
                </c:pt>
                <c:pt idx="62" formatCode="0.0000">
                  <c:v>0.29466233751351301</c:v>
                </c:pt>
                <c:pt idx="63" formatCode="0.0000">
                  <c:v>0.29697812685920544</c:v>
                </c:pt>
                <c:pt idx="64" formatCode="0.0000">
                  <c:v>0.33828406463318406</c:v>
                </c:pt>
                <c:pt idx="65" formatCode="0.0000">
                  <c:v>0.20311595367050783</c:v>
                </c:pt>
                <c:pt idx="66" formatCode="0.0000">
                  <c:v>0.30492933322320137</c:v>
                </c:pt>
                <c:pt idx="67" formatCode="0.0000">
                  <c:v>0.25404417906101295</c:v>
                </c:pt>
                <c:pt idx="68" formatCode="0.0000">
                  <c:v>0.28795768991772469</c:v>
                </c:pt>
                <c:pt idx="69" formatCode="0.0000">
                  <c:v>0.28795768991772469</c:v>
                </c:pt>
                <c:pt idx="70" formatCode="0.0000">
                  <c:v>0.32964447092123444</c:v>
                </c:pt>
                <c:pt idx="71" formatCode="0.0000">
                  <c:v>0.28833853314725572</c:v>
                </c:pt>
                <c:pt idx="72" formatCode="0.0000">
                  <c:v>0.34038059549953659</c:v>
                </c:pt>
                <c:pt idx="73" formatCode="0.0000">
                  <c:v>0.34118544256109856</c:v>
                </c:pt>
                <c:pt idx="74" formatCode="0.0000">
                  <c:v>0.34118544256109862</c:v>
                </c:pt>
                <c:pt idx="75" formatCode="0.0000">
                  <c:v>0.40399303150468807</c:v>
                </c:pt>
                <c:pt idx="76" formatCode="0.0000">
                  <c:v>0.53103528056856253</c:v>
                </c:pt>
                <c:pt idx="77" formatCode="0.0000">
                  <c:v>1.6141712052233774</c:v>
                </c:pt>
                <c:pt idx="78" formatCode="0.0000">
                  <c:v>2.0617355234256154</c:v>
                </c:pt>
                <c:pt idx="79" formatCode="0.0000">
                  <c:v>1.9637187344025708</c:v>
                </c:pt>
                <c:pt idx="80" formatCode="0.0000">
                  <c:v>2.2041386443601154</c:v>
                </c:pt>
                <c:pt idx="81" formatCode="0.0000">
                  <c:v>2.3470496462707806</c:v>
                </c:pt>
                <c:pt idx="82" formatCode="0.0000">
                  <c:v>2.4128466918844964</c:v>
                </c:pt>
                <c:pt idx="83" formatCode="0.0000">
                  <c:v>2.5131372540065868</c:v>
                </c:pt>
                <c:pt idx="84" formatCode="0.0000">
                  <c:v>1.6448584908407169</c:v>
                </c:pt>
                <c:pt idx="85" formatCode="0.0000">
                  <c:v>1.5252262502659548</c:v>
                </c:pt>
                <c:pt idx="86" formatCode="0.0000">
                  <c:v>1.6174657275642204</c:v>
                </c:pt>
                <c:pt idx="87" formatCode="0.0000">
                  <c:v>1.3715849468353272</c:v>
                </c:pt>
                <c:pt idx="88" formatCode="0.0000">
                  <c:v>1.3644206830696402</c:v>
                </c:pt>
                <c:pt idx="89" formatCode="0.0000">
                  <c:v>1.2080626588554677</c:v>
                </c:pt>
                <c:pt idx="90" formatCode="0.0000">
                  <c:v>1.28750736840222</c:v>
                </c:pt>
                <c:pt idx="91" formatCode="0.0000">
                  <c:v>1.1587657610889861</c:v>
                </c:pt>
                <c:pt idx="92" formatCode="0.0000">
                  <c:v>1.1532464193020293</c:v>
                </c:pt>
                <c:pt idx="93" formatCode="0.0000">
                  <c:v>1.3890078309063991</c:v>
                </c:pt>
                <c:pt idx="94" formatCode="0.0000">
                  <c:v>1.4763574262228414</c:v>
                </c:pt>
                <c:pt idx="95" formatCode="0.0000">
                  <c:v>1.4291754579692328</c:v>
                </c:pt>
                <c:pt idx="96" formatCode="0.0000">
                  <c:v>1.8866540817089825</c:v>
                </c:pt>
                <c:pt idx="97" formatCode="0.0000">
                  <c:v>1.6840237189905847</c:v>
                </c:pt>
                <c:pt idx="98" formatCode="0.0000">
                  <c:v>1.7901434385771393</c:v>
                </c:pt>
                <c:pt idx="99" formatCode="0.0000">
                  <c:v>1.6438176150447463</c:v>
                </c:pt>
                <c:pt idx="100" formatCode="0.0000">
                  <c:v>1.4552543559220177</c:v>
                </c:pt>
                <c:pt idx="101" formatCode="0.0000">
                  <c:v>1.5350333235021971</c:v>
                </c:pt>
                <c:pt idx="102" formatCode="0.0000">
                  <c:v>1.5712344572828791</c:v>
                </c:pt>
                <c:pt idx="103" formatCode="0.0000">
                  <c:v>1.4042969173250879</c:v>
                </c:pt>
                <c:pt idx="104" formatCode="0.0000">
                  <c:v>1.4554450358357194</c:v>
                </c:pt>
                <c:pt idx="105" formatCode="0.0000">
                  <c:v>1.2671856688622491</c:v>
                </c:pt>
                <c:pt idx="106" formatCode="0.0000">
                  <c:v>1.3171011304332858</c:v>
                </c:pt>
                <c:pt idx="107" formatCode="0.0000">
                  <c:v>1.3283579154148171</c:v>
                </c:pt>
                <c:pt idx="108" formatCode="0.0000">
                  <c:v>1.2250962982605758</c:v>
                </c:pt>
                <c:pt idx="109" formatCode="0.0000">
                  <c:v>1.2697780495574003</c:v>
                </c:pt>
                <c:pt idx="110" formatCode="0.0000">
                  <c:v>1.1101159102780362</c:v>
                </c:pt>
                <c:pt idx="111" formatCode="0.0000">
                  <c:v>1.2024136395638454</c:v>
                </c:pt>
                <c:pt idx="112" formatCode="0.0000">
                  <c:v>1.2172637341501786</c:v>
                </c:pt>
                <c:pt idx="113" formatCode="0.0000">
                  <c:v>1.1239642235022096</c:v>
                </c:pt>
                <c:pt idx="114" formatCode="0.0000">
                  <c:v>1.1176466271134717</c:v>
                </c:pt>
                <c:pt idx="115" formatCode="0.0000">
                  <c:v>1.1110770527174776</c:v>
                </c:pt>
                <c:pt idx="116" formatCode="0.0000">
                  <c:v>1.033239774986461</c:v>
                </c:pt>
                <c:pt idx="117" formatCode="0.0000">
                  <c:v>1.0720272550062531</c:v>
                </c:pt>
                <c:pt idx="118" formatCode="0.0000">
                  <c:v>0.99633862573178811</c:v>
                </c:pt>
                <c:pt idx="119" formatCode="0.0000">
                  <c:v>1.0954270428585811</c:v>
                </c:pt>
                <c:pt idx="120" formatCode="0.0000">
                  <c:v>1.0093542635788335</c:v>
                </c:pt>
                <c:pt idx="121" formatCode="0.0000">
                  <c:v>0.9268913377309328</c:v>
                </c:pt>
                <c:pt idx="122" formatCode="0.0000">
                  <c:v>0.85103118551036394</c:v>
                </c:pt>
                <c:pt idx="123" formatCode="0.0000">
                  <c:v>0.91540618248583372</c:v>
                </c:pt>
                <c:pt idx="124" formatCode="0.0000">
                  <c:v>0.73524682610709113</c:v>
                </c:pt>
                <c:pt idx="125" formatCode="0.0000">
                  <c:v>0.61712534510553829</c:v>
                </c:pt>
                <c:pt idx="126" formatCode="0.0000">
                  <c:v>0.45011461495343946</c:v>
                </c:pt>
                <c:pt idx="127" formatCode="0.0000">
                  <c:v>0.52001519952382258</c:v>
                </c:pt>
                <c:pt idx="128" formatCode="0.0000">
                  <c:v>0.56068541504836233</c:v>
                </c:pt>
                <c:pt idx="129" formatCode="0.0000">
                  <c:v>0.51772045550496415</c:v>
                </c:pt>
                <c:pt idx="130" formatCode="0.0000">
                  <c:v>0.40164403516297487</c:v>
                </c:pt>
                <c:pt idx="131" formatCode="0.0000">
                  <c:v>0.44469077737368029</c:v>
                </c:pt>
                <c:pt idx="132" formatCode="0.0000">
                  <c:v>0.39090788183893854</c:v>
                </c:pt>
                <c:pt idx="133" formatCode="0.0000">
                  <c:v>0.38947713145292917</c:v>
                </c:pt>
                <c:pt idx="134" formatCode="0.0000">
                  <c:v>0.30467851019067865</c:v>
                </c:pt>
                <c:pt idx="135" formatCode="0.0000">
                  <c:v>0.20209440214133881</c:v>
                </c:pt>
                <c:pt idx="136" formatCode="0.0000">
                  <c:v>0.3330606558061836</c:v>
                </c:pt>
                <c:pt idx="137" formatCode="0.0000">
                  <c:v>0.41520130171640623</c:v>
                </c:pt>
                <c:pt idx="138" formatCode="0.0000">
                  <c:v>0.34846777521103139</c:v>
                </c:pt>
                <c:pt idx="139" formatCode="0.0000">
                  <c:v>0.54235706801651762</c:v>
                </c:pt>
                <c:pt idx="140" formatCode="0.0000">
                  <c:v>0.60650437408407598</c:v>
                </c:pt>
                <c:pt idx="141" formatCode="0.0000">
                  <c:v>0.8176611703841159</c:v>
                </c:pt>
                <c:pt idx="142" formatCode="0.0000">
                  <c:v>0.9059818409264323</c:v>
                </c:pt>
                <c:pt idx="143" formatCode="0.0000">
                  <c:v>0.97292398773031807</c:v>
                </c:pt>
                <c:pt idx="144" formatCode="0.0000">
                  <c:v>1.2362927435845517</c:v>
                </c:pt>
                <c:pt idx="145" formatCode="0.0000">
                  <c:v>1.3052217609993892</c:v>
                </c:pt>
                <c:pt idx="146" formatCode="0.0000">
                  <c:v>1.3718430911594872</c:v>
                </c:pt>
                <c:pt idx="147" formatCode="0.0000">
                  <c:v>1.5459907979638481</c:v>
                </c:pt>
                <c:pt idx="148" formatCode="0.0000">
                  <c:v>1.5105619252956921</c:v>
                </c:pt>
                <c:pt idx="149" formatCode="0.0000">
                  <c:v>1.6171120229200506</c:v>
                </c:pt>
                <c:pt idx="150" formatCode="0.0000">
                  <c:v>1.5423476987173552</c:v>
                </c:pt>
                <c:pt idx="151" formatCode="0.0000">
                  <c:v>1.2611201133920777</c:v>
                </c:pt>
                <c:pt idx="152" formatCode="0.0000">
                  <c:v>1.4360494470261707</c:v>
                </c:pt>
                <c:pt idx="153" formatCode="0.0000">
                  <c:v>1.4216363954090299</c:v>
                </c:pt>
                <c:pt idx="154" formatCode="0.0000">
                  <c:v>1.48985303568742</c:v>
                </c:pt>
                <c:pt idx="155" formatCode="0.0000">
                  <c:v>1.4695706780059297</c:v>
                </c:pt>
                <c:pt idx="156" formatCode="0.0000">
                  <c:v>1.5793975112847636</c:v>
                </c:pt>
                <c:pt idx="157" formatCode="0.0000">
                  <c:v>1.4360505403516899</c:v>
                </c:pt>
                <c:pt idx="158" formatCode="0.0000">
                  <c:v>1.5440155153110677</c:v>
                </c:pt>
                <c:pt idx="159" formatCode="0.0000">
                  <c:v>1.465495876940391</c:v>
                </c:pt>
                <c:pt idx="160" formatCode="0.0000">
                  <c:v>1.3487609993036247</c:v>
                </c:pt>
                <c:pt idx="161" formatCode="0.0000">
                  <c:v>1.1288998068796507</c:v>
                </c:pt>
                <c:pt idx="162" formatCode="0.0000">
                  <c:v>1.0597823425676218</c:v>
                </c:pt>
                <c:pt idx="163" formatCode="0.0000">
                  <c:v>1.0490927606733143</c:v>
                </c:pt>
                <c:pt idx="164" formatCode="0.0000">
                  <c:v>1.4994019237168119</c:v>
                </c:pt>
                <c:pt idx="165" formatCode="0.0000">
                  <c:v>1.3553872909562579</c:v>
                </c:pt>
                <c:pt idx="166" formatCode="0.0000">
                  <c:v>1.226870308008692</c:v>
                </c:pt>
                <c:pt idx="167" formatCode="0.0000">
                  <c:v>1.166156362191799</c:v>
                </c:pt>
                <c:pt idx="168" formatCode="0.0000">
                  <c:v>1.1997184516167543</c:v>
                </c:pt>
                <c:pt idx="169" formatCode="0.0000">
                  <c:v>1.1996579633197562</c:v>
                </c:pt>
                <c:pt idx="170" formatCode="0.0000">
                  <c:v>1.0871613512610139</c:v>
                </c:pt>
                <c:pt idx="171" formatCode="0.0000">
                  <c:v>0.70880363249097234</c:v>
                </c:pt>
                <c:pt idx="172" formatCode="0.0000">
                  <c:v>0.74859150212575665</c:v>
                </c:pt>
                <c:pt idx="173" formatCode="0.0000">
                  <c:v>0.80762849747390431</c:v>
                </c:pt>
                <c:pt idx="174" formatCode="0.0000">
                  <c:v>0.87309456724866286</c:v>
                </c:pt>
                <c:pt idx="175" formatCode="0.0000">
                  <c:v>1.1983334755455746</c:v>
                </c:pt>
                <c:pt idx="176" formatCode="0.0000">
                  <c:v>1.2455560312019494</c:v>
                </c:pt>
                <c:pt idx="177" formatCode="0.0000">
                  <c:v>1.2132210959646801</c:v>
                </c:pt>
                <c:pt idx="178" formatCode="0.0000">
                  <c:v>1.1876094712585032</c:v>
                </c:pt>
                <c:pt idx="179" formatCode="0.0000">
                  <c:v>1.4023231722554108</c:v>
                </c:pt>
                <c:pt idx="180" formatCode="0.0000">
                  <c:v>1.3520437314510427</c:v>
                </c:pt>
                <c:pt idx="181" formatCode="0.0000">
                  <c:v>1.3315335158094703</c:v>
                </c:pt>
                <c:pt idx="182" formatCode="0.0000">
                  <c:v>0.98802287319618398</c:v>
                </c:pt>
                <c:pt idx="183" formatCode="0.0000">
                  <c:v>0.9150050289187186</c:v>
                </c:pt>
                <c:pt idx="184" formatCode="0.0000">
                  <c:v>0.90457708550425031</c:v>
                </c:pt>
                <c:pt idx="185" formatCode="0.0000">
                  <c:v>0.95426730104061919</c:v>
                </c:pt>
                <c:pt idx="186" formatCode="0.0000">
                  <c:v>0.78984586561900172</c:v>
                </c:pt>
                <c:pt idx="187" formatCode="0.0000">
                  <c:v>0.94259198612605744</c:v>
                </c:pt>
                <c:pt idx="188" formatCode="0.0000">
                  <c:v>1.0839982794503291</c:v>
                </c:pt>
                <c:pt idx="189" formatCode="0.0000">
                  <c:v>1.0625804555088934</c:v>
                </c:pt>
                <c:pt idx="190" formatCode="0.0000">
                  <c:v>1.032856345862373</c:v>
                </c:pt>
                <c:pt idx="191" formatCode="0.0000">
                  <c:v>1.1115195319212834</c:v>
                </c:pt>
                <c:pt idx="192" formatCode="0.0000">
                  <c:v>1.4173628124159561</c:v>
                </c:pt>
                <c:pt idx="193" formatCode="0.0000">
                  <c:v>1.3087532644897213</c:v>
                </c:pt>
                <c:pt idx="194" formatCode="0.0000">
                  <c:v>1.2964537009973722</c:v>
                </c:pt>
                <c:pt idx="195" formatCode="0.0000">
                  <c:v>1.1253617082185672</c:v>
                </c:pt>
                <c:pt idx="196" formatCode="0.0000">
                  <c:v>1.139363673353248</c:v>
                </c:pt>
                <c:pt idx="197" formatCode="0.0000">
                  <c:v>1.3840659998371059</c:v>
                </c:pt>
                <c:pt idx="198" formatCode="0.0000">
                  <c:v>1.3913973394232464</c:v>
                </c:pt>
                <c:pt idx="199" formatCode="0.0000">
                  <c:v>1.109575134599434</c:v>
                </c:pt>
                <c:pt idx="200" formatCode="0.0000">
                  <c:v>1.2783394297108921</c:v>
                </c:pt>
                <c:pt idx="201" formatCode="0.0000">
                  <c:v>1.2699757420676512</c:v>
                </c:pt>
                <c:pt idx="202" formatCode="0.0000">
                  <c:v>1.2923390202555478</c:v>
                </c:pt>
                <c:pt idx="203" formatCode="0.0000">
                  <c:v>1.3479282237306034</c:v>
                </c:pt>
                <c:pt idx="204" formatCode="0.0000">
                  <c:v>1.2210622769925545</c:v>
                </c:pt>
                <c:pt idx="205" formatCode="0.0000">
                  <c:v>1.2965295134822514</c:v>
                </c:pt>
                <c:pt idx="206" formatCode="0.0000">
                  <c:v>1.5296639976556676</c:v>
                </c:pt>
                <c:pt idx="207" formatCode="0.0000">
                  <c:v>1.7345272556441511</c:v>
                </c:pt>
                <c:pt idx="208" formatCode="0.0000">
                  <c:v>1.8395783148251368</c:v>
                </c:pt>
                <c:pt idx="209" formatCode="0.0000">
                  <c:v>1.9584268460253391</c:v>
                </c:pt>
                <c:pt idx="210" formatCode="0.0000">
                  <c:v>1.9811874768810855</c:v>
                </c:pt>
                <c:pt idx="211" formatCode="0.0000">
                  <c:v>1.9907995263831413</c:v>
                </c:pt>
                <c:pt idx="212" formatCode="0.0000">
                  <c:v>1.8942556114066771</c:v>
                </c:pt>
                <c:pt idx="213" formatCode="0.0000">
                  <c:v>1.7836318993046176</c:v>
                </c:pt>
                <c:pt idx="214" formatCode="0.0000">
                  <c:v>1.6993511605060725</c:v>
                </c:pt>
                <c:pt idx="215" formatCode="0.0000">
                  <c:v>1.5875692517877125</c:v>
                </c:pt>
                <c:pt idx="216" formatCode="0.0000">
                  <c:v>1.5593296370169174</c:v>
                </c:pt>
                <c:pt idx="217" formatCode="0.0000">
                  <c:v>1.4766697838394633</c:v>
                </c:pt>
                <c:pt idx="218" formatCode="0.0000">
                  <c:v>1.4654738299370353</c:v>
                </c:pt>
                <c:pt idx="219" formatCode="0.0000">
                  <c:v>1.4548909144859472</c:v>
                </c:pt>
                <c:pt idx="220" formatCode="0.0000">
                  <c:v>1.4257361174174732</c:v>
                </c:pt>
                <c:pt idx="221" formatCode="0.0000">
                  <c:v>1.3965496871105376</c:v>
                </c:pt>
                <c:pt idx="222" formatCode="0.0000">
                  <c:v>1.3953908716695309</c:v>
                </c:pt>
                <c:pt idx="223" formatCode="0.0000">
                  <c:v>1.3938812289466813</c:v>
                </c:pt>
                <c:pt idx="224" formatCode="0.0000">
                  <c:v>1.5368877823843772</c:v>
                </c:pt>
                <c:pt idx="225" formatCode="0.0000">
                  <c:v>1.5803011661320328</c:v>
                </c:pt>
                <c:pt idx="226" formatCode="0.0000">
                  <c:v>1.5516422112498096</c:v>
                </c:pt>
                <c:pt idx="227" formatCode="0.0000">
                  <c:v>1.5555536365112697</c:v>
                </c:pt>
                <c:pt idx="228" formatCode="0.0000">
                  <c:v>1.4040845351716702</c:v>
                </c:pt>
                <c:pt idx="229" formatCode="0.0000">
                  <c:v>1.379744343778994</c:v>
                </c:pt>
                <c:pt idx="230" formatCode="0.0000">
                  <c:v>1.4796983271033279</c:v>
                </c:pt>
                <c:pt idx="231" formatCode="0.0000">
                  <c:v>1.4076395262557335</c:v>
                </c:pt>
                <c:pt idx="232" formatCode="0.0000">
                  <c:v>1.4174117880173174</c:v>
                </c:pt>
                <c:pt idx="233" formatCode="0.0000">
                  <c:v>1.4309774848726649</c:v>
                </c:pt>
                <c:pt idx="234" formatCode="0.0000">
                  <c:v>1.3717166173138235</c:v>
                </c:pt>
                <c:pt idx="235" formatCode="0.0000">
                  <c:v>1.442817645951969</c:v>
                </c:pt>
                <c:pt idx="236" formatCode="0.0000">
                  <c:v>1.4427094638103595</c:v>
                </c:pt>
                <c:pt idx="237" formatCode="0.0000">
                  <c:v>1.2882376877484849</c:v>
                </c:pt>
                <c:pt idx="238" formatCode="0.0000">
                  <c:v>1.3908671820657454</c:v>
                </c:pt>
                <c:pt idx="239" formatCode="0.0000">
                  <c:v>1.3318773812388101</c:v>
                </c:pt>
                <c:pt idx="240" formatCode="0.0000">
                  <c:v>1.6505809632310153</c:v>
                </c:pt>
                <c:pt idx="241" formatCode="0.0000">
                  <c:v>1.6301765096428258</c:v>
                </c:pt>
                <c:pt idx="242" formatCode="0.0000">
                  <c:v>1.6598140565196975</c:v>
                </c:pt>
                <c:pt idx="243" formatCode="0.0000">
                  <c:v>1.7587024665744961</c:v>
                </c:pt>
                <c:pt idx="244" formatCode="0.0000">
                  <c:v>1.8048012666730187</c:v>
                </c:pt>
                <c:pt idx="245" formatCode="0.0000">
                  <c:v>1.617125935182947</c:v>
                </c:pt>
                <c:pt idx="246" formatCode="0.0000">
                  <c:v>1.6585894539501382</c:v>
                </c:pt>
                <c:pt idx="247" formatCode="0.0000">
                  <c:v>1.4506502993815231</c:v>
                </c:pt>
                <c:pt idx="248" formatCode="0.0000">
                  <c:v>1.4596038262123716</c:v>
                </c:pt>
                <c:pt idx="249" formatCode="0.0000">
                  <c:v>1.3691408725940708</c:v>
                </c:pt>
                <c:pt idx="250" formatCode="0.0000">
                  <c:v>1.4063297559383223</c:v>
                </c:pt>
                <c:pt idx="251" formatCode="0.0000">
                  <c:v>1.3360225643756554</c:v>
                </c:pt>
                <c:pt idx="252" formatCode="0.0000">
                  <c:v>1.4039140179113618</c:v>
                </c:pt>
                <c:pt idx="253" formatCode="0.0000">
                  <c:v>1.3445533539727503</c:v>
                </c:pt>
                <c:pt idx="254" formatCode="0.0000">
                  <c:v>1.2739803494363575</c:v>
                </c:pt>
                <c:pt idx="255" formatCode="0.0000">
                  <c:v>1.1984423095661243</c:v>
                </c:pt>
                <c:pt idx="256" formatCode="0.0000">
                  <c:v>1.1883333966313603</c:v>
                </c:pt>
                <c:pt idx="257" formatCode="0.0000">
                  <c:v>1.069700860913573</c:v>
                </c:pt>
                <c:pt idx="258" formatCode="0.0000">
                  <c:v>1.0602468096959166</c:v>
                </c:pt>
                <c:pt idx="259" formatCode="0.0000">
                  <c:v>1.0050197673420291</c:v>
                </c:pt>
                <c:pt idx="260" formatCode="0.0000">
                  <c:v>0.96247851074520763</c:v>
                </c:pt>
                <c:pt idx="261" formatCode="0.0000">
                  <c:v>0.86925271291802608</c:v>
                </c:pt>
                <c:pt idx="262" formatCode="0.0000">
                  <c:v>0.96044119985455112</c:v>
                </c:pt>
                <c:pt idx="263" formatCode="0.0000">
                  <c:v>1.0224280213938111</c:v>
                </c:pt>
                <c:pt idx="264" formatCode="0.0000">
                  <c:v>1.0505574122217076</c:v>
                </c:pt>
                <c:pt idx="265" formatCode="0.0000">
                  <c:v>1.0391679810894763</c:v>
                </c:pt>
                <c:pt idx="266" formatCode="0.0000">
                  <c:v>0.99057650180128376</c:v>
                </c:pt>
                <c:pt idx="267" formatCode="0.0000">
                  <c:v>0.98529783165721141</c:v>
                </c:pt>
                <c:pt idx="268" formatCode="0.0000">
                  <c:v>0.97523046258033708</c:v>
                </c:pt>
                <c:pt idx="269" formatCode="0.0000">
                  <c:v>0.92261845208778759</c:v>
                </c:pt>
                <c:pt idx="270" formatCode="0.0000">
                  <c:v>0.82690511543769851</c:v>
                </c:pt>
                <c:pt idx="271" formatCode="0.0000">
                  <c:v>0.71709343761944955</c:v>
                </c:pt>
                <c:pt idx="272" formatCode="0.0000">
                  <c:v>0.65450042285827426</c:v>
                </c:pt>
                <c:pt idx="273" formatCode="0.0000">
                  <c:v>0.65451537630301693</c:v>
                </c:pt>
                <c:pt idx="274" formatCode="0.0000">
                  <c:v>0.68157431311591521</c:v>
                </c:pt>
                <c:pt idx="275" formatCode="0.0000">
                  <c:v>0.68936850238733194</c:v>
                </c:pt>
                <c:pt idx="276" formatCode="0.0000">
                  <c:v>0.69548436347100284</c:v>
                </c:pt>
                <c:pt idx="277" formatCode="0.0000">
                  <c:v>0.67287371023475784</c:v>
                </c:pt>
                <c:pt idx="278" formatCode="0.0000">
                  <c:v>0.67451344880067998</c:v>
                </c:pt>
                <c:pt idx="279" formatCode="0.0000">
                  <c:v>0.70247378560241758</c:v>
                </c:pt>
                <c:pt idx="280" formatCode="0.0000">
                  <c:v>0.71713211139121236</c:v>
                </c:pt>
                <c:pt idx="281" formatCode="0.0000">
                  <c:v>0.74745289594341968</c:v>
                </c:pt>
                <c:pt idx="282" formatCode="0.0000">
                  <c:v>0.78765022357159098</c:v>
                </c:pt>
                <c:pt idx="283" formatCode="0.0000">
                  <c:v>0.79157859882974291</c:v>
                </c:pt>
                <c:pt idx="284" formatCode="0.0000">
                  <c:v>0.8468376153459457</c:v>
                </c:pt>
                <c:pt idx="285" formatCode="0.0000">
                  <c:v>0.8647758486385797</c:v>
                </c:pt>
                <c:pt idx="286" formatCode="0.0000">
                  <c:v>0.83908469726373536</c:v>
                </c:pt>
                <c:pt idx="287" formatCode="0.0000">
                  <c:v>0.84227065475241658</c:v>
                </c:pt>
                <c:pt idx="288" formatCode="0.0000">
                  <c:v>0.8776078975296997</c:v>
                </c:pt>
                <c:pt idx="289" formatCode="0.0000">
                  <c:v>0.83229790898747835</c:v>
                </c:pt>
                <c:pt idx="290" formatCode="0.0000">
                  <c:v>0.83668159744047821</c:v>
                </c:pt>
                <c:pt idx="291" formatCode="0.0000">
                  <c:v>0.85872493135973238</c:v>
                </c:pt>
                <c:pt idx="292" formatCode="0.0000">
                  <c:v>0.84841920427261852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668A-4E0C-8221-EFF03689051C}"/>
            </c:ext>
          </c:extLst>
        </c:ser>
        <c:ser>
          <c:idx val="10"/>
          <c:order val="10"/>
          <c:tx>
            <c:strRef>
              <c:f>'R(t) Województwa'!$CB$2</c:f>
              <c:strCache>
                <c:ptCount val="1"/>
                <c:pt idx="0">
                  <c:v>Pomorskie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Województwa'!$CB$3:$CB$1000</c:f>
              <c:numCache>
                <c:formatCode>General</c:formatCode>
                <c:ptCount val="998"/>
                <c:pt idx="34" formatCode="0.0000">
                  <c:v>0.60802127188123234</c:v>
                </c:pt>
                <c:pt idx="35" formatCode="0.0000">
                  <c:v>0.70656579656029339</c:v>
                </c:pt>
                <c:pt idx="36" formatCode="0.0000">
                  <c:v>0.69188857205684073</c:v>
                </c:pt>
                <c:pt idx="37" formatCode="0.0000">
                  <c:v>0.7364452802882413</c:v>
                </c:pt>
                <c:pt idx="38" formatCode="0.0000">
                  <c:v>0.66008147046980281</c:v>
                </c:pt>
                <c:pt idx="39" formatCode="0.0000">
                  <c:v>0.64772838097039875</c:v>
                </c:pt>
                <c:pt idx="40" formatCode="0.0000">
                  <c:v>0.67382440808589628</c:v>
                </c:pt>
                <c:pt idx="41" formatCode="0.0000">
                  <c:v>0.64775133266250629</c:v>
                </c:pt>
                <c:pt idx="42" formatCode="0.0000">
                  <c:v>0.53273557248545578</c:v>
                </c:pt>
                <c:pt idx="43" formatCode="0.0000">
                  <c:v>0.5153467748310836</c:v>
                </c:pt>
                <c:pt idx="44" formatCode="0.0000">
                  <c:v>0.432385962227121</c:v>
                </c:pt>
                <c:pt idx="45" formatCode="0.0000">
                  <c:v>0.47374980888685309</c:v>
                </c:pt>
                <c:pt idx="46" formatCode="0.0000">
                  <c:v>0.92328284622840251</c:v>
                </c:pt>
                <c:pt idx="47" formatCode="0.0000">
                  <c:v>0.8395197535152189</c:v>
                </c:pt>
                <c:pt idx="48" formatCode="0.0000">
                  <c:v>0.89599239359075167</c:v>
                </c:pt>
                <c:pt idx="49" formatCode="0.0000">
                  <c:v>0.9762191540209858</c:v>
                </c:pt>
                <c:pt idx="50" formatCode="0.0000">
                  <c:v>1.1557215621659134</c:v>
                </c:pt>
                <c:pt idx="51" formatCode="0.0000">
                  <c:v>1.3448859414935899</c:v>
                </c:pt>
                <c:pt idx="52" formatCode="0.0000">
                  <c:v>1.5001132944136342</c:v>
                </c:pt>
                <c:pt idx="53" formatCode="0.0000">
                  <c:v>1.5905373567988563</c:v>
                </c:pt>
                <c:pt idx="54" formatCode="0.0000">
                  <c:v>2.0956279549424588</c:v>
                </c:pt>
                <c:pt idx="55" formatCode="0.0000">
                  <c:v>2.0633946480409446</c:v>
                </c:pt>
                <c:pt idx="56" formatCode="0.0000">
                  <c:v>2.2867205767426029</c:v>
                </c:pt>
                <c:pt idx="57" formatCode="0.0000">
                  <c:v>2.2420077795801485</c:v>
                </c:pt>
                <c:pt idx="58" formatCode="0.0000">
                  <c:v>2.0379454901760292</c:v>
                </c:pt>
                <c:pt idx="59" formatCode="0.0000">
                  <c:v>1.8355845621240772</c:v>
                </c:pt>
                <c:pt idx="60" formatCode="0.0000">
                  <c:v>1.2616850669086237</c:v>
                </c:pt>
                <c:pt idx="61" formatCode="0.0000">
                  <c:v>0.75831219687043683</c:v>
                </c:pt>
                <c:pt idx="62" formatCode="0.0000">
                  <c:v>0.6732857574224892</c:v>
                </c:pt>
                <c:pt idx="63" formatCode="0.0000">
                  <c:v>0.45330551470358726</c:v>
                </c:pt>
                <c:pt idx="64" formatCode="0.0000">
                  <c:v>0.35547886835682113</c:v>
                </c:pt>
                <c:pt idx="65" formatCode="0.0000">
                  <c:v>0.43355902691584153</c:v>
                </c:pt>
                <c:pt idx="66" formatCode="0.0000">
                  <c:v>0.51094423850297199</c:v>
                </c:pt>
                <c:pt idx="67" formatCode="0.0000">
                  <c:v>0.4750493985890113</c:v>
                </c:pt>
                <c:pt idx="68" formatCode="0.0000">
                  <c:v>0.48624402887179091</c:v>
                </c:pt>
                <c:pt idx="69" formatCode="0.0000">
                  <c:v>0.5566412318415338</c:v>
                </c:pt>
                <c:pt idx="70" formatCode="0.0000">
                  <c:v>0.54896545663129059</c:v>
                </c:pt>
                <c:pt idx="71" formatCode="0.0000">
                  <c:v>0.47541529188537129</c:v>
                </c:pt>
                <c:pt idx="72" formatCode="0.0000">
                  <c:v>0.39354206357326416</c:v>
                </c:pt>
                <c:pt idx="73" formatCode="0.0000">
                  <c:v>0.29701083879962781</c:v>
                </c:pt>
                <c:pt idx="74" formatCode="0.0000">
                  <c:v>0.4872601482476297</c:v>
                </c:pt>
                <c:pt idx="75" formatCode="0.0000">
                  <c:v>0.49443585891647601</c:v>
                </c:pt>
                <c:pt idx="76" formatCode="0.0000">
                  <c:v>0.42403865594673312</c:v>
                </c:pt>
                <c:pt idx="77" formatCode="0.0000">
                  <c:v>0.38328770040185128</c:v>
                </c:pt>
                <c:pt idx="78" formatCode="0.0000">
                  <c:v>0.5395573859795979</c:v>
                </c:pt>
                <c:pt idx="79" formatCode="0.0000">
                  <c:v>0.70374348025452682</c:v>
                </c:pt>
                <c:pt idx="80" formatCode="0.0000">
                  <c:v>0.82117089607933025</c:v>
                </c:pt>
                <c:pt idx="81" formatCode="0.0000">
                  <c:v>0.97486837872456999</c:v>
                </c:pt>
                <c:pt idx="82" formatCode="0.0000">
                  <c:v>1.096620879785662</c:v>
                </c:pt>
                <c:pt idx="83" formatCode="0.0000">
                  <c:v>1.2960282928523799</c:v>
                </c:pt>
                <c:pt idx="84" formatCode="0.0000">
                  <c:v>1.3148067000658179</c:v>
                </c:pt>
                <c:pt idx="85" formatCode="0.0000">
                  <c:v>1.2362410399191801</c:v>
                </c:pt>
                <c:pt idx="86" formatCode="0.0000">
                  <c:v>1.110077782093186</c:v>
                </c:pt>
                <c:pt idx="87" formatCode="0.0000">
                  <c:v>1.0991174214941746</c:v>
                </c:pt>
                <c:pt idx="88" formatCode="0.0000">
                  <c:v>0.74129887430737817</c:v>
                </c:pt>
                <c:pt idx="89" formatCode="0.0000">
                  <c:v>0.6035695423369859</c:v>
                </c:pt>
                <c:pt idx="90" formatCode="0.0000">
                  <c:v>0.62163754207788102</c:v>
                </c:pt>
                <c:pt idx="91" formatCode="0.0000">
                  <c:v>0.60818833367413672</c:v>
                </c:pt>
                <c:pt idx="92" formatCode="0.0000">
                  <c:v>0.48981257414333695</c:v>
                </c:pt>
                <c:pt idx="93" formatCode="0.0000">
                  <c:v>0.48174605695535427</c:v>
                </c:pt>
                <c:pt idx="94" formatCode="0.0000">
                  <c:v>0.58083586610093818</c:v>
                </c:pt>
                <c:pt idx="95" formatCode="0.0000">
                  <c:v>0.79334273645620457</c:v>
                </c:pt>
                <c:pt idx="96" formatCode="0.0000">
                  <c:v>0.80403333498052554</c:v>
                </c:pt>
                <c:pt idx="97" formatCode="0.0000">
                  <c:v>0.58655792217291258</c:v>
                </c:pt>
                <c:pt idx="98" formatCode="0.0000">
                  <c:v>0.86558367587208551</c:v>
                </c:pt>
                <c:pt idx="99" formatCode="0.0000">
                  <c:v>1.1371193290195996</c:v>
                </c:pt>
                <c:pt idx="100" formatCode="0.0000">
                  <c:v>1.0845126014803621</c:v>
                </c:pt>
                <c:pt idx="101" formatCode="0.0000">
                  <c:v>0.9654805015792941</c:v>
                </c:pt>
                <c:pt idx="102" formatCode="0.0000">
                  <c:v>1.1004105015923844</c:v>
                </c:pt>
                <c:pt idx="103" formatCode="0.0000">
                  <c:v>1.0988147629695499</c:v>
                </c:pt>
                <c:pt idx="104" formatCode="0.0000">
                  <c:v>1.0988147629695499</c:v>
                </c:pt>
                <c:pt idx="105" formatCode="0.0000">
                  <c:v>0.90322638387494691</c:v>
                </c:pt>
                <c:pt idx="106" formatCode="0.0000">
                  <c:v>1.0106060940998076</c:v>
                </c:pt>
                <c:pt idx="107" formatCode="0.0000">
                  <c:v>1.1638817881906689</c:v>
                </c:pt>
                <c:pt idx="108" formatCode="0.0000">
                  <c:v>1.1527420414504828</c:v>
                </c:pt>
                <c:pt idx="109" formatCode="0.0000">
                  <c:v>0.91083894253804742</c:v>
                </c:pt>
                <c:pt idx="110" formatCode="0.0000">
                  <c:v>1.5205194410063025</c:v>
                </c:pt>
                <c:pt idx="111" formatCode="0.0000">
                  <c:v>1.5928844289791448</c:v>
                </c:pt>
                <c:pt idx="112" formatCode="0.0000">
                  <c:v>2.208575779999399</c:v>
                </c:pt>
                <c:pt idx="113" formatCode="0.0000">
                  <c:v>2.0003108937596132</c:v>
                </c:pt>
                <c:pt idx="114" formatCode="0.0000">
                  <c:v>1.9181933949324588</c:v>
                </c:pt>
                <c:pt idx="115" formatCode="0.0000">
                  <c:v>1.8937174510237764</c:v>
                </c:pt>
                <c:pt idx="116" formatCode="0.0000">
                  <c:v>1.8976353281374372</c:v>
                </c:pt>
                <c:pt idx="117" formatCode="0.0000">
                  <c:v>1.3531174675693287</c:v>
                </c:pt>
                <c:pt idx="118" formatCode="0.0000">
                  <c:v>1.5433072662394551</c:v>
                </c:pt>
                <c:pt idx="119" formatCode="0.0000">
                  <c:v>0.82975776159456893</c:v>
                </c:pt>
                <c:pt idx="120" formatCode="0.0000">
                  <c:v>0.65910728446198041</c:v>
                </c:pt>
                <c:pt idx="121" formatCode="0.0000">
                  <c:v>0.93211343317168449</c:v>
                </c:pt>
                <c:pt idx="122" formatCode="0.0000">
                  <c:v>0.97005582481111152</c:v>
                </c:pt>
                <c:pt idx="123" formatCode="0.0000">
                  <c:v>0.97853353630081608</c:v>
                </c:pt>
                <c:pt idx="124" formatCode="0.0000">
                  <c:v>0.92577135589378712</c:v>
                </c:pt>
                <c:pt idx="125" formatCode="0.0000">
                  <c:v>0.69616727165914682</c:v>
                </c:pt>
                <c:pt idx="126" formatCode="0.0000">
                  <c:v>0.74415187529643134</c:v>
                </c:pt>
                <c:pt idx="127" formatCode="0.0000">
                  <c:v>0.86341766521011554</c:v>
                </c:pt>
                <c:pt idx="128" formatCode="0.0000">
                  <c:v>0.51925332123670365</c:v>
                </c:pt>
                <c:pt idx="129" formatCode="0.0000">
                  <c:v>0.83217265149076691</c:v>
                </c:pt>
                <c:pt idx="130" formatCode="0.0000">
                  <c:v>0.86214800054220719</c:v>
                </c:pt>
                <c:pt idx="131" formatCode="0.0000">
                  <c:v>0.98562825933479614</c:v>
                </c:pt>
                <c:pt idx="132" formatCode="0.0000">
                  <c:v>1.0233540403002135</c:v>
                </c:pt>
                <c:pt idx="133" formatCode="0.0000">
                  <c:v>1.0254901342754885</c:v>
                </c:pt>
                <c:pt idx="134" formatCode="0.0000">
                  <c:v>0.90622434436180421</c:v>
                </c:pt>
                <c:pt idx="135" formatCode="0.0000">
                  <c:v>1.0490545502546331</c:v>
                </c:pt>
                <c:pt idx="136" formatCode="0.0000">
                  <c:v>1.0024294151171971</c:v>
                </c:pt>
                <c:pt idx="137" formatCode="0.0000">
                  <c:v>1.4313832248999321</c:v>
                </c:pt>
                <c:pt idx="138" formatCode="0.0000">
                  <c:v>1.3547033682740035</c:v>
                </c:pt>
                <c:pt idx="139" formatCode="0.0000">
                  <c:v>1.3118345393438424</c:v>
                </c:pt>
                <c:pt idx="140" formatCode="0.0000">
                  <c:v>1.7070022403493483</c:v>
                </c:pt>
                <c:pt idx="141" formatCode="0.0000">
                  <c:v>2.0144929102205795</c:v>
                </c:pt>
                <c:pt idx="142" formatCode="0.0000">
                  <c:v>1.952900717498385</c:v>
                </c:pt>
                <c:pt idx="143" formatCode="0.0000">
                  <c:v>1.7667981179902434</c:v>
                </c:pt>
                <c:pt idx="144" formatCode="0.0000">
                  <c:v>1.663157005540423</c:v>
                </c:pt>
                <c:pt idx="145" formatCode="0.0000">
                  <c:v>1.8497287474823507</c:v>
                </c:pt>
                <c:pt idx="146" formatCode="0.0000">
                  <c:v>1.8622312419563323</c:v>
                </c:pt>
                <c:pt idx="147" formatCode="0.0000">
                  <c:v>1.6154695419029979</c:v>
                </c:pt>
                <c:pt idx="148" formatCode="0.0000">
                  <c:v>1.6955247492743908</c:v>
                </c:pt>
                <c:pt idx="149" formatCode="0.0000">
                  <c:v>1.7477265959325194</c:v>
                </c:pt>
                <c:pt idx="150" formatCode="0.0000">
                  <c:v>1.7213239456063387</c:v>
                </c:pt>
                <c:pt idx="151" formatCode="0.0000">
                  <c:v>1.4341930133203917</c:v>
                </c:pt>
                <c:pt idx="152" formatCode="0.0000">
                  <c:v>1.392172881221692</c:v>
                </c:pt>
                <c:pt idx="153" formatCode="0.0000">
                  <c:v>1.5410959941482123</c:v>
                </c:pt>
                <c:pt idx="154" formatCode="0.0000">
                  <c:v>1.4702345251413693</c:v>
                </c:pt>
                <c:pt idx="155" formatCode="0.0000">
                  <c:v>1.2347562211420182</c:v>
                </c:pt>
                <c:pt idx="156" formatCode="0.0000">
                  <c:v>1.3583582842262383</c:v>
                </c:pt>
                <c:pt idx="157" formatCode="0.0000">
                  <c:v>1.5161341520667075</c:v>
                </c:pt>
                <c:pt idx="158" formatCode="0.0000">
                  <c:v>1.686357812008042</c:v>
                </c:pt>
                <c:pt idx="159" formatCode="0.0000">
                  <c:v>1.6561436770844176</c:v>
                </c:pt>
                <c:pt idx="160" formatCode="0.0000">
                  <c:v>1.7134284118824934</c:v>
                </c:pt>
                <c:pt idx="161" formatCode="0.0000">
                  <c:v>1.6993114866782053</c:v>
                </c:pt>
                <c:pt idx="162" formatCode="0.0000">
                  <c:v>1.8973896332821241</c:v>
                </c:pt>
                <c:pt idx="163" formatCode="0.0000">
                  <c:v>1.8762359568940343</c:v>
                </c:pt>
                <c:pt idx="164" formatCode="0.0000">
                  <c:v>1.7128173276979954</c:v>
                </c:pt>
                <c:pt idx="165" formatCode="0.0000">
                  <c:v>1.5958616699000081</c:v>
                </c:pt>
                <c:pt idx="166" formatCode="0.0000">
                  <c:v>1.643159730475054</c:v>
                </c:pt>
                <c:pt idx="167" formatCode="0.0000">
                  <c:v>1.5427350007401217</c:v>
                </c:pt>
                <c:pt idx="168" formatCode="0.0000">
                  <c:v>1.5459541535534604</c:v>
                </c:pt>
                <c:pt idx="169" formatCode="0.0000">
                  <c:v>1.3638398103382976</c:v>
                </c:pt>
                <c:pt idx="170" formatCode="0.0000">
                  <c:v>1.3137107781098329</c:v>
                </c:pt>
                <c:pt idx="171" formatCode="0.0000">
                  <c:v>1.3840924864646733</c:v>
                </c:pt>
                <c:pt idx="172" formatCode="0.0000">
                  <c:v>1.3009010547305695</c:v>
                </c:pt>
                <c:pt idx="173" formatCode="0.0000">
                  <c:v>1.2358956136568682</c:v>
                </c:pt>
                <c:pt idx="174" formatCode="0.0000">
                  <c:v>1.2238754290380702</c:v>
                </c:pt>
                <c:pt idx="175" formatCode="0.0000">
                  <c:v>1.290708735300969</c:v>
                </c:pt>
                <c:pt idx="176" formatCode="0.0000">
                  <c:v>1.2494691749423059</c:v>
                </c:pt>
                <c:pt idx="177" formatCode="0.0000">
                  <c:v>1.2161966923810452</c:v>
                </c:pt>
                <c:pt idx="178" formatCode="0.0000">
                  <c:v>1.0724152677541665</c:v>
                </c:pt>
                <c:pt idx="179" formatCode="0.0000">
                  <c:v>1.0173892040913288</c:v>
                </c:pt>
                <c:pt idx="180" formatCode="0.0000">
                  <c:v>0.93778941421272688</c:v>
                </c:pt>
                <c:pt idx="181" formatCode="0.0000">
                  <c:v>0.98294196221185992</c:v>
                </c:pt>
                <c:pt idx="182" formatCode="0.0000">
                  <c:v>0.85168480832817905</c:v>
                </c:pt>
                <c:pt idx="183" formatCode="0.0000">
                  <c:v>0.82840990303258355</c:v>
                </c:pt>
                <c:pt idx="184" formatCode="0.0000">
                  <c:v>0.7888104715568558</c:v>
                </c:pt>
                <c:pt idx="185" formatCode="0.0000">
                  <c:v>0.80790776992699731</c:v>
                </c:pt>
                <c:pt idx="186" formatCode="0.0000">
                  <c:v>0.82181552368901578</c:v>
                </c:pt>
                <c:pt idx="187" formatCode="0.0000">
                  <c:v>0.8243012106761044</c:v>
                </c:pt>
                <c:pt idx="188" formatCode="0.0000">
                  <c:v>0.70234629110536584</c:v>
                </c:pt>
                <c:pt idx="189" formatCode="0.0000">
                  <c:v>0.70536895209512218</c:v>
                </c:pt>
                <c:pt idx="190" formatCode="0.0000">
                  <c:v>0.72864056947126998</c:v>
                </c:pt>
                <c:pt idx="191" formatCode="0.0000">
                  <c:v>0.7242662088422408</c:v>
                </c:pt>
                <c:pt idx="192" formatCode="0.0000">
                  <c:v>0.75277954011132608</c:v>
                </c:pt>
                <c:pt idx="193" formatCode="0.0000">
                  <c:v>0.9168013116297502</c:v>
                </c:pt>
                <c:pt idx="194" formatCode="0.0000">
                  <c:v>0.96100840767676543</c:v>
                </c:pt>
                <c:pt idx="195" formatCode="0.0000">
                  <c:v>1.0428381310385608</c:v>
                </c:pt>
                <c:pt idx="196" formatCode="0.0000">
                  <c:v>1.0858660628971653</c:v>
                </c:pt>
                <c:pt idx="197" formatCode="0.0000">
                  <c:v>1.1229667813321129</c:v>
                </c:pt>
                <c:pt idx="198" formatCode="0.0000">
                  <c:v>1.4202799565571385</c:v>
                </c:pt>
                <c:pt idx="199" formatCode="0.0000">
                  <c:v>1.458377557638348</c:v>
                </c:pt>
                <c:pt idx="200" formatCode="0.0000">
                  <c:v>1.4023354322902948</c:v>
                </c:pt>
                <c:pt idx="201" formatCode="0.0000">
                  <c:v>1.3496311249501241</c:v>
                </c:pt>
                <c:pt idx="202" formatCode="0.0000">
                  <c:v>1.4089731770333962</c:v>
                </c:pt>
                <c:pt idx="203" formatCode="0.0000">
                  <c:v>1.45789601351877</c:v>
                </c:pt>
                <c:pt idx="204" formatCode="0.0000">
                  <c:v>1.5250800527425838</c:v>
                </c:pt>
                <c:pt idx="205" formatCode="0.0000">
                  <c:v>1.3856119483463221</c:v>
                </c:pt>
                <c:pt idx="206" formatCode="0.0000">
                  <c:v>1.4227708495258635</c:v>
                </c:pt>
                <c:pt idx="207" formatCode="0.0000">
                  <c:v>1.4338522501540489</c:v>
                </c:pt>
                <c:pt idx="208" formatCode="0.0000">
                  <c:v>1.5869203356311812</c:v>
                </c:pt>
                <c:pt idx="209" formatCode="0.0000">
                  <c:v>1.5773205968848711</c:v>
                </c:pt>
                <c:pt idx="210" formatCode="0.0000">
                  <c:v>1.5568070324344592</c:v>
                </c:pt>
                <c:pt idx="211" formatCode="0.0000">
                  <c:v>1.556920794087473</c:v>
                </c:pt>
                <c:pt idx="212" formatCode="0.0000">
                  <c:v>1.487656923318863</c:v>
                </c:pt>
                <c:pt idx="213" formatCode="0.0000">
                  <c:v>1.5122554896871758</c:v>
                </c:pt>
                <c:pt idx="214" formatCode="0.0000">
                  <c:v>1.5098116312072463</c:v>
                </c:pt>
                <c:pt idx="215" formatCode="0.0000">
                  <c:v>1.432907498394201</c:v>
                </c:pt>
                <c:pt idx="216" formatCode="0.0000">
                  <c:v>1.4115653579783145</c:v>
                </c:pt>
                <c:pt idx="217" formatCode="0.0000">
                  <c:v>1.4197520332572096</c:v>
                </c:pt>
                <c:pt idx="218" formatCode="0.0000">
                  <c:v>1.3419637784849672</c:v>
                </c:pt>
                <c:pt idx="219" formatCode="0.0000">
                  <c:v>1.391050764227393</c:v>
                </c:pt>
                <c:pt idx="220" formatCode="0.0000">
                  <c:v>1.4308336453630965</c:v>
                </c:pt>
                <c:pt idx="221" formatCode="0.0000">
                  <c:v>1.4267886504557308</c:v>
                </c:pt>
                <c:pt idx="222" formatCode="0.0000">
                  <c:v>1.4241960345599716</c:v>
                </c:pt>
                <c:pt idx="223" formatCode="0.0000">
                  <c:v>1.4136243486498332</c:v>
                </c:pt>
                <c:pt idx="224" formatCode="0.0000">
                  <c:v>1.4258579221843042</c:v>
                </c:pt>
                <c:pt idx="225" formatCode="0.0000">
                  <c:v>1.4543704863746956</c:v>
                </c:pt>
                <c:pt idx="226" formatCode="0.0000">
                  <c:v>1.4412820440817682</c:v>
                </c:pt>
                <c:pt idx="227" formatCode="0.0000">
                  <c:v>1.4200370268802451</c:v>
                </c:pt>
                <c:pt idx="228" formatCode="0.0000">
                  <c:v>1.4286611146826467</c:v>
                </c:pt>
                <c:pt idx="229" formatCode="0.0000">
                  <c:v>1.4006694849240338</c:v>
                </c:pt>
                <c:pt idx="230" formatCode="0.0000">
                  <c:v>1.4245360904150661</c:v>
                </c:pt>
                <c:pt idx="231" formatCode="0.0000">
                  <c:v>1.4265317857818292</c:v>
                </c:pt>
                <c:pt idx="232" formatCode="0.0000">
                  <c:v>1.4368395955083262</c:v>
                </c:pt>
                <c:pt idx="233" formatCode="0.0000">
                  <c:v>1.4410749987689724</c:v>
                </c:pt>
                <c:pt idx="234" formatCode="0.0000">
                  <c:v>1.4120388843182694</c:v>
                </c:pt>
                <c:pt idx="235" formatCode="0.0000">
                  <c:v>1.3945428218808189</c:v>
                </c:pt>
                <c:pt idx="236" formatCode="0.0000">
                  <c:v>1.3614122378278513</c:v>
                </c:pt>
                <c:pt idx="237" formatCode="0.0000">
                  <c:v>1.3588434961559339</c:v>
                </c:pt>
                <c:pt idx="238" formatCode="0.0000">
                  <c:v>1.3482796684753722</c:v>
                </c:pt>
                <c:pt idx="239" formatCode="0.0000">
                  <c:v>1.3819233582200934</c:v>
                </c:pt>
                <c:pt idx="240" formatCode="0.0000">
                  <c:v>1.3651834217461096</c:v>
                </c:pt>
                <c:pt idx="241" formatCode="0.0000">
                  <c:v>1.3641693627282272</c:v>
                </c:pt>
                <c:pt idx="242" formatCode="0.0000">
                  <c:v>1.3859038519312481</c:v>
                </c:pt>
                <c:pt idx="243" formatCode="0.0000">
                  <c:v>1.4395471567551839</c:v>
                </c:pt>
                <c:pt idx="244" formatCode="0.0000">
                  <c:v>1.4291538249689502</c:v>
                </c:pt>
                <c:pt idx="245" formatCode="0.0000">
                  <c:v>1.487453926791743</c:v>
                </c:pt>
                <c:pt idx="246" formatCode="0.0000">
                  <c:v>1.4735392885357261</c:v>
                </c:pt>
                <c:pt idx="247" formatCode="0.0000">
                  <c:v>1.4202619551587463</c:v>
                </c:pt>
                <c:pt idx="248" formatCode="0.0000">
                  <c:v>1.402654469187699</c:v>
                </c:pt>
                <c:pt idx="249" formatCode="0.0000">
                  <c:v>1.3867914308712284</c:v>
                </c:pt>
                <c:pt idx="250" formatCode="0.0000">
                  <c:v>1.3682959697055534</c:v>
                </c:pt>
                <c:pt idx="251" formatCode="0.0000">
                  <c:v>1.3367444888281597</c:v>
                </c:pt>
                <c:pt idx="252" formatCode="0.0000">
                  <c:v>1.2501850367768861</c:v>
                </c:pt>
                <c:pt idx="253" formatCode="0.0000">
                  <c:v>1.2007934663847226</c:v>
                </c:pt>
                <c:pt idx="254" formatCode="0.0000">
                  <c:v>1.167918438653184</c:v>
                </c:pt>
                <c:pt idx="255" formatCode="0.0000">
                  <c:v>1.1331699188758673</c:v>
                </c:pt>
                <c:pt idx="256" formatCode="0.0000">
                  <c:v>1.0654554363339643</c:v>
                </c:pt>
                <c:pt idx="257" formatCode="0.0000">
                  <c:v>1.0214393962787407</c:v>
                </c:pt>
                <c:pt idx="258" formatCode="0.0000">
                  <c:v>1.0085708557622992</c:v>
                </c:pt>
                <c:pt idx="259" formatCode="0.0000">
                  <c:v>1.0329356522481474</c:v>
                </c:pt>
                <c:pt idx="260" formatCode="0.0000">
                  <c:v>1.0269264539149314</c:v>
                </c:pt>
                <c:pt idx="261" formatCode="0.0000">
                  <c:v>1.0688009347838112</c:v>
                </c:pt>
                <c:pt idx="262" formatCode="0.0000">
                  <c:v>1.0723817189284357</c:v>
                </c:pt>
                <c:pt idx="263" formatCode="0.0000">
                  <c:v>1.1043093140459252</c:v>
                </c:pt>
                <c:pt idx="264" formatCode="0.0000">
                  <c:v>1.1023343518311022</c:v>
                </c:pt>
                <c:pt idx="265" formatCode="0.0000">
                  <c:v>1.0822426700949419</c:v>
                </c:pt>
                <c:pt idx="266" formatCode="0.0000">
                  <c:v>1.0312457356663718</c:v>
                </c:pt>
                <c:pt idx="267" formatCode="0.0000">
                  <c:v>1.0053217420179361</c:v>
                </c:pt>
                <c:pt idx="268" formatCode="0.0000">
                  <c:v>0.95878641522538821</c:v>
                </c:pt>
                <c:pt idx="269" formatCode="0.0000">
                  <c:v>0.93196738192645168</c:v>
                </c:pt>
                <c:pt idx="270" formatCode="0.0000">
                  <c:v>0.86440197908133043</c:v>
                </c:pt>
                <c:pt idx="271" formatCode="0.0000">
                  <c:v>0.86264669889577517</c:v>
                </c:pt>
                <c:pt idx="272" formatCode="0.0000">
                  <c:v>0.81394756736297225</c:v>
                </c:pt>
                <c:pt idx="273" formatCode="0.0000">
                  <c:v>0.76430965134963935</c:v>
                </c:pt>
                <c:pt idx="274" formatCode="0.0000">
                  <c:v>0.79066256468423091</c:v>
                </c:pt>
                <c:pt idx="275" formatCode="0.0000">
                  <c:v>0.83991929412431376</c:v>
                </c:pt>
                <c:pt idx="276" formatCode="0.0000">
                  <c:v>0.80479396903860534</c:v>
                </c:pt>
                <c:pt idx="277" formatCode="0.0000">
                  <c:v>0.82406638755408823</c:v>
                </c:pt>
                <c:pt idx="278" formatCode="0.0000">
                  <c:v>0.83297768749339807</c:v>
                </c:pt>
                <c:pt idx="279" formatCode="0.0000">
                  <c:v>0.82783597085823502</c:v>
                </c:pt>
                <c:pt idx="280" formatCode="0.0000">
                  <c:v>0.85155776825135965</c:v>
                </c:pt>
                <c:pt idx="281" formatCode="0.0000">
                  <c:v>0.856105363769608</c:v>
                </c:pt>
                <c:pt idx="282" formatCode="0.0000">
                  <c:v>0.82782003295512374</c:v>
                </c:pt>
                <c:pt idx="283" formatCode="0.0000">
                  <c:v>0.90665085493667241</c:v>
                </c:pt>
                <c:pt idx="284" formatCode="0.0000">
                  <c:v>0.88681542798288115</c:v>
                </c:pt>
                <c:pt idx="285" formatCode="0.0000">
                  <c:v>0.92439813658634162</c:v>
                </c:pt>
                <c:pt idx="286" formatCode="0.0000">
                  <c:v>0.94881388847177206</c:v>
                </c:pt>
                <c:pt idx="287" formatCode="0.0000">
                  <c:v>0.9503208457957405</c:v>
                </c:pt>
                <c:pt idx="288" formatCode="0.0000">
                  <c:v>0.947692991101589</c:v>
                </c:pt>
                <c:pt idx="289" formatCode="0.0000">
                  <c:v>0.96828859469973161</c:v>
                </c:pt>
                <c:pt idx="290" formatCode="0.0000">
                  <c:v>0.94147735974701752</c:v>
                </c:pt>
                <c:pt idx="291" formatCode="0.0000">
                  <c:v>0.99873906075746199</c:v>
                </c:pt>
                <c:pt idx="292" formatCode="0.0000">
                  <c:v>0.96916510163413971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668A-4E0C-8221-EFF03689051C}"/>
            </c:ext>
          </c:extLst>
        </c:ser>
        <c:ser>
          <c:idx val="11"/>
          <c:order val="11"/>
          <c:tx>
            <c:strRef>
              <c:f>'R(t) Województwa'!$CI$2</c:f>
              <c:strCache>
                <c:ptCount val="1"/>
                <c:pt idx="0">
                  <c:v>Śląskie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Województwa'!$CI$3:$CI$1000</c:f>
              <c:numCache>
                <c:formatCode>General</c:formatCode>
                <c:ptCount val="998"/>
                <c:pt idx="24" formatCode="0.0000">
                  <c:v>0.96970920840064689</c:v>
                </c:pt>
                <c:pt idx="25" formatCode="0.0000">
                  <c:v>1.319646282939386</c:v>
                </c:pt>
                <c:pt idx="26" formatCode="0.0000">
                  <c:v>1.5146902203291148</c:v>
                </c:pt>
                <c:pt idx="27" formatCode="0.0000">
                  <c:v>1.3328060834612041</c:v>
                </c:pt>
                <c:pt idx="28" formatCode="0.0000">
                  <c:v>1.7041183273375069</c:v>
                </c:pt>
                <c:pt idx="29" formatCode="0.0000">
                  <c:v>1.4789955844055296</c:v>
                </c:pt>
                <c:pt idx="30" formatCode="0.0000">
                  <c:v>1.4693368637114201</c:v>
                </c:pt>
                <c:pt idx="31" formatCode="0.0000">
                  <c:v>2.1844796175838419</c:v>
                </c:pt>
                <c:pt idx="32" formatCode="0.0000">
                  <c:v>2.1954606096357057</c:v>
                </c:pt>
                <c:pt idx="33" formatCode="0.0000">
                  <c:v>2.0655574414371842</c:v>
                </c:pt>
                <c:pt idx="34" formatCode="0.0000">
                  <c:v>2.0398754308789608</c:v>
                </c:pt>
                <c:pt idx="35" formatCode="0.0000">
                  <c:v>1.7276536402157954</c:v>
                </c:pt>
                <c:pt idx="36" formatCode="0.0000">
                  <c:v>1.8351944166079244</c:v>
                </c:pt>
                <c:pt idx="37" formatCode="0.0000">
                  <c:v>1.8181916091797266</c:v>
                </c:pt>
                <c:pt idx="38" formatCode="0.0000">
                  <c:v>1.0826667304681072</c:v>
                </c:pt>
                <c:pt idx="39" formatCode="0.0000">
                  <c:v>1.0184484280847699</c:v>
                </c:pt>
                <c:pt idx="40" formatCode="0.0000">
                  <c:v>1.0984098271933382</c:v>
                </c:pt>
                <c:pt idx="41" formatCode="0.0000">
                  <c:v>1.1161464639437657</c:v>
                </c:pt>
                <c:pt idx="42" formatCode="0.0000">
                  <c:v>1.1835040652092441</c:v>
                </c:pt>
                <c:pt idx="43" formatCode="0.0000">
                  <c:v>1.1642479007099362</c:v>
                </c:pt>
                <c:pt idx="44" formatCode="0.0000">
                  <c:v>1.233528314467802</c:v>
                </c:pt>
                <c:pt idx="45" formatCode="0.0000">
                  <c:v>1.5194828099671085</c:v>
                </c:pt>
                <c:pt idx="46" formatCode="0.0000">
                  <c:v>1.3894494988262791</c:v>
                </c:pt>
                <c:pt idx="47" formatCode="0.0000">
                  <c:v>1.5063381801727693</c:v>
                </c:pt>
                <c:pt idx="48" formatCode="0.0000">
                  <c:v>1.5455805168393053</c:v>
                </c:pt>
                <c:pt idx="49" formatCode="0.0000">
                  <c:v>1.4440526268984752</c:v>
                </c:pt>
                <c:pt idx="50" formatCode="0.0000">
                  <c:v>1.4015719015354533</c:v>
                </c:pt>
                <c:pt idx="51" formatCode="0.0000">
                  <c:v>1.2245082522864255</c:v>
                </c:pt>
                <c:pt idx="52" formatCode="0.0000">
                  <c:v>1.0484159451847574</c:v>
                </c:pt>
                <c:pt idx="53" formatCode="0.0000">
                  <c:v>1.1383075908625953</c:v>
                </c:pt>
                <c:pt idx="54" formatCode="0.0000">
                  <c:v>0.95918162496167192</c:v>
                </c:pt>
                <c:pt idx="55" formatCode="0.0000">
                  <c:v>0.90468249975893333</c:v>
                </c:pt>
                <c:pt idx="56" formatCode="0.0000">
                  <c:v>1.0065117395602574</c:v>
                </c:pt>
                <c:pt idx="57" formatCode="0.0000">
                  <c:v>1.244437638048272</c:v>
                </c:pt>
                <c:pt idx="58" formatCode="0.0000">
                  <c:v>1.3793192614009577</c:v>
                </c:pt>
                <c:pt idx="59" formatCode="0.0000">
                  <c:v>1.384054634007762</c:v>
                </c:pt>
                <c:pt idx="60" formatCode="0.0000">
                  <c:v>1.3388811481570684</c:v>
                </c:pt>
                <c:pt idx="61" formatCode="0.0000">
                  <c:v>1.3846635423663911</c:v>
                </c:pt>
                <c:pt idx="62" formatCode="0.0000">
                  <c:v>1.4145219784277641</c:v>
                </c:pt>
                <c:pt idx="63" formatCode="0.0000">
                  <c:v>1.4078183646564213</c:v>
                </c:pt>
                <c:pt idx="64" formatCode="0.0000">
                  <c:v>1.2991670726344198</c:v>
                </c:pt>
                <c:pt idx="65" formatCode="0.0000">
                  <c:v>1.2413717040446943</c:v>
                </c:pt>
                <c:pt idx="66" formatCode="0.0000">
                  <c:v>1.2435505322018474</c:v>
                </c:pt>
                <c:pt idx="67" formatCode="0.0000">
                  <c:v>1.3310689279934971</c:v>
                </c:pt>
                <c:pt idx="68" formatCode="0.0000">
                  <c:v>1.3220809155996387</c:v>
                </c:pt>
                <c:pt idx="69" formatCode="0.0000">
                  <c:v>1.4354937100833542</c:v>
                </c:pt>
                <c:pt idx="70" formatCode="0.0000">
                  <c:v>1.6849589127110935</c:v>
                </c:pt>
                <c:pt idx="71" formatCode="0.0000">
                  <c:v>1.5870156589999067</c:v>
                </c:pt>
                <c:pt idx="72" formatCode="0.0000">
                  <c:v>1.6674432649105184</c:v>
                </c:pt>
                <c:pt idx="73" formatCode="0.0000">
                  <c:v>1.6408294504976868</c:v>
                </c:pt>
                <c:pt idx="74" formatCode="0.0000">
                  <c:v>1.5634529899033673</c:v>
                </c:pt>
                <c:pt idx="75" formatCode="0.0000">
                  <c:v>1.4909046533256658</c:v>
                </c:pt>
                <c:pt idx="76" formatCode="0.0000">
                  <c:v>1.40250213557333</c:v>
                </c:pt>
                <c:pt idx="77" formatCode="0.0000">
                  <c:v>1.133338490262765</c:v>
                </c:pt>
                <c:pt idx="78" formatCode="0.0000">
                  <c:v>1.1910572022748884</c:v>
                </c:pt>
                <c:pt idx="79" formatCode="0.0000">
                  <c:v>1.1189720479167524</c:v>
                </c:pt>
                <c:pt idx="80" formatCode="0.0000">
                  <c:v>1.0914028757812035</c:v>
                </c:pt>
                <c:pt idx="81" formatCode="0.0000">
                  <c:v>1.0906760798357786</c:v>
                </c:pt>
                <c:pt idx="82" formatCode="0.0000">
                  <c:v>1.0834547170848283</c:v>
                </c:pt>
                <c:pt idx="83" formatCode="0.0000">
                  <c:v>1.041880967360026</c:v>
                </c:pt>
                <c:pt idx="84" formatCode="0.0000">
                  <c:v>1.0425203466679547</c:v>
                </c:pt>
                <c:pt idx="85" formatCode="0.0000">
                  <c:v>0.9713611975694485</c:v>
                </c:pt>
                <c:pt idx="86" formatCode="0.0000">
                  <c:v>0.90126138639097431</c:v>
                </c:pt>
                <c:pt idx="87" formatCode="0.0000">
                  <c:v>0.85489914772575359</c:v>
                </c:pt>
                <c:pt idx="88" formatCode="0.0000">
                  <c:v>0.90730663109425602</c:v>
                </c:pt>
                <c:pt idx="89" formatCode="0.0000">
                  <c:v>0.86347093486739313</c:v>
                </c:pt>
                <c:pt idx="90" formatCode="0.0000">
                  <c:v>0.90765231068639807</c:v>
                </c:pt>
                <c:pt idx="91" formatCode="0.0000">
                  <c:v>0.80363646219113727</c:v>
                </c:pt>
                <c:pt idx="92" formatCode="0.0000">
                  <c:v>0.77607440940621253</c:v>
                </c:pt>
                <c:pt idx="93" formatCode="0.0000">
                  <c:v>0.78494471013330447</c:v>
                </c:pt>
                <c:pt idx="94" formatCode="0.0000">
                  <c:v>0.8061032787775243</c:v>
                </c:pt>
                <c:pt idx="95" formatCode="0.0000">
                  <c:v>0.94889783148394879</c:v>
                </c:pt>
                <c:pt idx="96" formatCode="0.0000">
                  <c:v>1.118533617668924</c:v>
                </c:pt>
                <c:pt idx="97" formatCode="0.0000">
                  <c:v>1.193196205023872</c:v>
                </c:pt>
                <c:pt idx="98" formatCode="0.0000">
                  <c:v>1.1981764318949413</c:v>
                </c:pt>
                <c:pt idx="99" formatCode="0.0000">
                  <c:v>1.1622850759335663</c:v>
                </c:pt>
                <c:pt idx="100" formatCode="0.0000">
                  <c:v>1.1766656949304537</c:v>
                </c:pt>
                <c:pt idx="101" formatCode="0.0000">
                  <c:v>1.1254423617088931</c:v>
                </c:pt>
                <c:pt idx="102" formatCode="0.0000">
                  <c:v>0.98518202078917627</c:v>
                </c:pt>
                <c:pt idx="103" formatCode="0.0000">
                  <c:v>0.86557482771500671</c:v>
                </c:pt>
                <c:pt idx="104" formatCode="0.0000">
                  <c:v>0.79179743183096285</c:v>
                </c:pt>
                <c:pt idx="105" formatCode="0.0000">
                  <c:v>0.87432678783160001</c:v>
                </c:pt>
                <c:pt idx="106" formatCode="0.0000">
                  <c:v>0.94394937943944135</c:v>
                </c:pt>
                <c:pt idx="107" formatCode="0.0000">
                  <c:v>0.89710158001557072</c:v>
                </c:pt>
                <c:pt idx="108" formatCode="0.0000">
                  <c:v>0.86938768303273617</c:v>
                </c:pt>
                <c:pt idx="109" formatCode="0.0000">
                  <c:v>0.80784139162666613</c:v>
                </c:pt>
                <c:pt idx="110" formatCode="0.0000">
                  <c:v>0.80490144086494786</c:v>
                </c:pt>
                <c:pt idx="111" formatCode="0.0000">
                  <c:v>0.78220860459318764</c:v>
                </c:pt>
                <c:pt idx="112" formatCode="0.0000">
                  <c:v>0.73963705031911808</c:v>
                </c:pt>
                <c:pt idx="113" formatCode="0.0000">
                  <c:v>0.72675075145488444</c:v>
                </c:pt>
                <c:pt idx="114" formatCode="0.0000">
                  <c:v>0.78711835510021932</c:v>
                </c:pt>
                <c:pt idx="115" formatCode="0.0000">
                  <c:v>0.81094157790380716</c:v>
                </c:pt>
                <c:pt idx="116" formatCode="0.0000">
                  <c:v>0.79665873899308315</c:v>
                </c:pt>
                <c:pt idx="117" formatCode="0.0000">
                  <c:v>0.71110634554031849</c:v>
                </c:pt>
                <c:pt idx="118" formatCode="0.0000">
                  <c:v>0.68723106862031169</c:v>
                </c:pt>
                <c:pt idx="119" formatCode="0.0000">
                  <c:v>0.6745734027285929</c:v>
                </c:pt>
                <c:pt idx="120" formatCode="0.0000">
                  <c:v>0.80248539597105284</c:v>
                </c:pt>
                <c:pt idx="121" formatCode="0.0000">
                  <c:v>0.86221579184654895</c:v>
                </c:pt>
                <c:pt idx="122" formatCode="0.0000">
                  <c:v>0.8593087306072541</c:v>
                </c:pt>
                <c:pt idx="123" formatCode="0.0000">
                  <c:v>0.88956849547903649</c:v>
                </c:pt>
                <c:pt idx="124" formatCode="0.0000">
                  <c:v>0.96874145610246132</c:v>
                </c:pt>
                <c:pt idx="125" formatCode="0.0000">
                  <c:v>0.93372757572337017</c:v>
                </c:pt>
                <c:pt idx="126" formatCode="0.0000">
                  <c:v>0.95299302013100251</c:v>
                </c:pt>
                <c:pt idx="127" formatCode="0.0000">
                  <c:v>0.8591663573638828</c:v>
                </c:pt>
                <c:pt idx="128" formatCode="0.0000">
                  <c:v>0.79451148034357366</c:v>
                </c:pt>
                <c:pt idx="129" formatCode="0.0000">
                  <c:v>0.82941094869492549</c:v>
                </c:pt>
                <c:pt idx="130" formatCode="0.0000">
                  <c:v>0.82775046932148677</c:v>
                </c:pt>
                <c:pt idx="131" formatCode="0.0000">
                  <c:v>0.80288729112339652</c:v>
                </c:pt>
                <c:pt idx="132" formatCode="0.0000">
                  <c:v>0.84409188733932727</c:v>
                </c:pt>
                <c:pt idx="133" formatCode="0.0000">
                  <c:v>0.83443198758622439</c:v>
                </c:pt>
                <c:pt idx="134" formatCode="0.0000">
                  <c:v>0.84993856377440113</c:v>
                </c:pt>
                <c:pt idx="135" formatCode="0.0000">
                  <c:v>0.87905696974838221</c:v>
                </c:pt>
                <c:pt idx="136" formatCode="0.0000">
                  <c:v>0.89310792458662946</c:v>
                </c:pt>
                <c:pt idx="137" formatCode="0.0000">
                  <c:v>0.94741619654900033</c:v>
                </c:pt>
                <c:pt idx="138" formatCode="0.0000">
                  <c:v>0.94919321143060098</c:v>
                </c:pt>
                <c:pt idx="139" formatCode="0.0000">
                  <c:v>0.93769378973517614</c:v>
                </c:pt>
                <c:pt idx="140" formatCode="0.0000">
                  <c:v>1.070260831290555</c:v>
                </c:pt>
                <c:pt idx="141" formatCode="0.0000">
                  <c:v>1.0986866716187114</c:v>
                </c:pt>
                <c:pt idx="142" formatCode="0.0000">
                  <c:v>1.1187262583525359</c:v>
                </c:pt>
                <c:pt idx="143" formatCode="0.0000">
                  <c:v>1.2534079762703276</c:v>
                </c:pt>
                <c:pt idx="144" formatCode="0.0000">
                  <c:v>1.3343743826978347</c:v>
                </c:pt>
                <c:pt idx="145" formatCode="0.0000">
                  <c:v>1.4045418526500104</c:v>
                </c:pt>
                <c:pt idx="146" formatCode="0.0000">
                  <c:v>1.4870696291848555</c:v>
                </c:pt>
                <c:pt idx="147" formatCode="0.0000">
                  <c:v>1.4161251702081767</c:v>
                </c:pt>
                <c:pt idx="148" formatCode="0.0000">
                  <c:v>1.4322351936509026</c:v>
                </c:pt>
                <c:pt idx="149" formatCode="0.0000">
                  <c:v>1.4255367384160533</c:v>
                </c:pt>
                <c:pt idx="150" formatCode="0.0000">
                  <c:v>1.3751250610285684</c:v>
                </c:pt>
                <c:pt idx="151" formatCode="0.0000">
                  <c:v>1.3227151667059414</c:v>
                </c:pt>
                <c:pt idx="152" formatCode="0.0000">
                  <c:v>1.3306259393916329</c:v>
                </c:pt>
                <c:pt idx="153" formatCode="0.0000">
                  <c:v>1.2781466144448406</c:v>
                </c:pt>
                <c:pt idx="154" formatCode="0.0000">
                  <c:v>1.2879349925199792</c:v>
                </c:pt>
                <c:pt idx="155" formatCode="0.0000">
                  <c:v>1.2130200995266158</c:v>
                </c:pt>
                <c:pt idx="156" formatCode="0.0000">
                  <c:v>1.1625962070420166</c:v>
                </c:pt>
                <c:pt idx="157" formatCode="0.0000">
                  <c:v>1.1572983248356199</c:v>
                </c:pt>
                <c:pt idx="158" formatCode="0.0000">
                  <c:v>1.1245839193449139</c:v>
                </c:pt>
                <c:pt idx="159" formatCode="0.0000">
                  <c:v>1.0727098295676429</c:v>
                </c:pt>
                <c:pt idx="160" formatCode="0.0000">
                  <c:v>1.0258932026992593</c:v>
                </c:pt>
                <c:pt idx="161" formatCode="0.0000">
                  <c:v>0.94149110099528988</c:v>
                </c:pt>
                <c:pt idx="162" formatCode="0.0000">
                  <c:v>0.9438442128489738</c:v>
                </c:pt>
                <c:pt idx="163" formatCode="0.0000">
                  <c:v>0.9911129187167439</c:v>
                </c:pt>
                <c:pt idx="164" formatCode="0.0000">
                  <c:v>0.90715003413564888</c:v>
                </c:pt>
                <c:pt idx="165" formatCode="0.0000">
                  <c:v>0.85767788195689376</c:v>
                </c:pt>
                <c:pt idx="166" formatCode="0.0000">
                  <c:v>0.83881935707251976</c:v>
                </c:pt>
                <c:pt idx="167" formatCode="0.0000">
                  <c:v>0.83211552706135083</c:v>
                </c:pt>
                <c:pt idx="168" formatCode="0.0000">
                  <c:v>0.8088953578618252</c:v>
                </c:pt>
                <c:pt idx="169" formatCode="0.0000">
                  <c:v>0.85324427641135259</c:v>
                </c:pt>
                <c:pt idx="170" formatCode="0.0000">
                  <c:v>0.87498982674420589</c:v>
                </c:pt>
                <c:pt idx="171" formatCode="0.0000">
                  <c:v>0.90301274868816173</c:v>
                </c:pt>
                <c:pt idx="172" formatCode="0.0000">
                  <c:v>0.93560742886366122</c:v>
                </c:pt>
                <c:pt idx="173" formatCode="0.0000">
                  <c:v>0.93213369506858279</c:v>
                </c:pt>
                <c:pt idx="174" formatCode="0.0000">
                  <c:v>0.96030925385178623</c:v>
                </c:pt>
                <c:pt idx="175" formatCode="0.0000">
                  <c:v>0.96860568193790419</c:v>
                </c:pt>
                <c:pt idx="176" formatCode="0.0000">
                  <c:v>0.92333857081117598</c:v>
                </c:pt>
                <c:pt idx="177" formatCode="0.0000">
                  <c:v>0.87286184305379722</c:v>
                </c:pt>
                <c:pt idx="178" formatCode="0.0000">
                  <c:v>0.82297227908497061</c:v>
                </c:pt>
                <c:pt idx="179" formatCode="0.0000">
                  <c:v>0.78447205991370816</c:v>
                </c:pt>
                <c:pt idx="180" formatCode="0.0000">
                  <c:v>0.79435730647032021</c:v>
                </c:pt>
                <c:pt idx="181" formatCode="0.0000">
                  <c:v>0.79121768632129275</c:v>
                </c:pt>
                <c:pt idx="182" formatCode="0.0000">
                  <c:v>0.76613163426698228</c:v>
                </c:pt>
                <c:pt idx="183" formatCode="0.0000">
                  <c:v>0.72796773601169762</c:v>
                </c:pt>
                <c:pt idx="184" formatCode="0.0000">
                  <c:v>0.70040855260325718</c:v>
                </c:pt>
                <c:pt idx="185" formatCode="0.0000">
                  <c:v>0.6652265938177121</c:v>
                </c:pt>
                <c:pt idx="186" formatCode="0.0000">
                  <c:v>0.63307121626388707</c:v>
                </c:pt>
                <c:pt idx="187" formatCode="0.0000">
                  <c:v>0.59060497844195681</c:v>
                </c:pt>
                <c:pt idx="188" formatCode="0.0000">
                  <c:v>0.553084560728199</c:v>
                </c:pt>
                <c:pt idx="189" formatCode="0.0000">
                  <c:v>0.59227279590323045</c:v>
                </c:pt>
                <c:pt idx="190" formatCode="0.0000">
                  <c:v>0.62635384223315782</c:v>
                </c:pt>
                <c:pt idx="191" formatCode="0.0000">
                  <c:v>0.63242464157440037</c:v>
                </c:pt>
                <c:pt idx="192" formatCode="0.0000">
                  <c:v>0.65085210009805405</c:v>
                </c:pt>
                <c:pt idx="193" formatCode="0.0000">
                  <c:v>0.74257370798050182</c:v>
                </c:pt>
                <c:pt idx="194" formatCode="0.0000">
                  <c:v>0.80322193608218329</c:v>
                </c:pt>
                <c:pt idx="195" formatCode="0.0000">
                  <c:v>0.84975506330345973</c:v>
                </c:pt>
                <c:pt idx="196" formatCode="0.0000">
                  <c:v>0.89242669398722463</c:v>
                </c:pt>
                <c:pt idx="197" formatCode="0.0000">
                  <c:v>0.91904685507107853</c:v>
                </c:pt>
                <c:pt idx="198" formatCode="0.0000">
                  <c:v>0.96025023391704334</c:v>
                </c:pt>
                <c:pt idx="199" formatCode="0.0000">
                  <c:v>1.0123363428481307</c:v>
                </c:pt>
                <c:pt idx="200" formatCode="0.0000">
                  <c:v>0.99164688495598963</c:v>
                </c:pt>
                <c:pt idx="201" formatCode="0.0000">
                  <c:v>1.0418895576338187</c:v>
                </c:pt>
                <c:pt idx="202" formatCode="0.0000">
                  <c:v>1.0376678433846265</c:v>
                </c:pt>
                <c:pt idx="203" formatCode="0.0000">
                  <c:v>1.0559235683833106</c:v>
                </c:pt>
                <c:pt idx="204" formatCode="0.0000">
                  <c:v>1.0940343488085442</c:v>
                </c:pt>
                <c:pt idx="205" formatCode="0.0000">
                  <c:v>1.1818287349825649</c:v>
                </c:pt>
                <c:pt idx="206" formatCode="0.0000">
                  <c:v>1.279163808182896</c:v>
                </c:pt>
                <c:pt idx="207" formatCode="0.0000">
                  <c:v>1.3828935687656501</c:v>
                </c:pt>
                <c:pt idx="208" formatCode="0.0000">
                  <c:v>1.3609551834385936</c:v>
                </c:pt>
                <c:pt idx="209" formatCode="0.0000">
                  <c:v>1.3925327579453339</c:v>
                </c:pt>
                <c:pt idx="210" formatCode="0.0000">
                  <c:v>1.4237953299050152</c:v>
                </c:pt>
                <c:pt idx="211" formatCode="0.0000">
                  <c:v>1.4315526586573888</c:v>
                </c:pt>
                <c:pt idx="212" formatCode="0.0000">
                  <c:v>1.4051029715728056</c:v>
                </c:pt>
                <c:pt idx="213" formatCode="0.0000">
                  <c:v>1.3959476612101824</c:v>
                </c:pt>
                <c:pt idx="214" formatCode="0.0000">
                  <c:v>1.4142947549252252</c:v>
                </c:pt>
                <c:pt idx="215" formatCode="0.0000">
                  <c:v>1.3944040506684279</c:v>
                </c:pt>
                <c:pt idx="216" formatCode="0.0000">
                  <c:v>1.3989227799959318</c:v>
                </c:pt>
                <c:pt idx="217" formatCode="0.0000">
                  <c:v>1.4395019484868345</c:v>
                </c:pt>
                <c:pt idx="218" formatCode="0.0000">
                  <c:v>1.5319530403530845</c:v>
                </c:pt>
                <c:pt idx="219" formatCode="0.0000">
                  <c:v>1.6468912194290051</c:v>
                </c:pt>
                <c:pt idx="220" formatCode="0.0000">
                  <c:v>1.7674612712743714</c:v>
                </c:pt>
                <c:pt idx="221" formatCode="0.0000">
                  <c:v>1.7451308223387467</c:v>
                </c:pt>
                <c:pt idx="222" formatCode="0.0000">
                  <c:v>1.8083417928563652</c:v>
                </c:pt>
                <c:pt idx="223" formatCode="0.0000">
                  <c:v>1.8069301814292085</c:v>
                </c:pt>
                <c:pt idx="224" formatCode="0.0000">
                  <c:v>1.7964312927640156</c:v>
                </c:pt>
                <c:pt idx="225" formatCode="0.0000">
                  <c:v>1.7583174425939141</c:v>
                </c:pt>
                <c:pt idx="226" formatCode="0.0000">
                  <c:v>1.7856190859804848</c:v>
                </c:pt>
                <c:pt idx="227" formatCode="0.0000">
                  <c:v>1.6974871041478428</c:v>
                </c:pt>
                <c:pt idx="228" formatCode="0.0000">
                  <c:v>1.6890151809824505</c:v>
                </c:pt>
                <c:pt idx="229" formatCode="0.0000">
                  <c:v>1.7750397445228825</c:v>
                </c:pt>
                <c:pt idx="230" formatCode="0.0000">
                  <c:v>1.8115927375329515</c:v>
                </c:pt>
                <c:pt idx="231" formatCode="0.0000">
                  <c:v>1.7997328638267867</c:v>
                </c:pt>
                <c:pt idx="232" formatCode="0.0000">
                  <c:v>1.7787181885000014</c:v>
                </c:pt>
                <c:pt idx="233" formatCode="0.0000">
                  <c:v>1.6658379762836073</c:v>
                </c:pt>
                <c:pt idx="234" formatCode="0.0000">
                  <c:v>1.6386534373777242</c:v>
                </c:pt>
                <c:pt idx="235" formatCode="0.0000">
                  <c:v>1.6139082371411508</c:v>
                </c:pt>
                <c:pt idx="236" formatCode="0.0000">
                  <c:v>1.5152840752029273</c:v>
                </c:pt>
                <c:pt idx="237" formatCode="0.0000">
                  <c:v>1.4965108573146952</c:v>
                </c:pt>
                <c:pt idx="238" formatCode="0.0000">
                  <c:v>1.4746390304585308</c:v>
                </c:pt>
                <c:pt idx="239" formatCode="0.0000">
                  <c:v>1.5147426732886029</c:v>
                </c:pt>
                <c:pt idx="240" formatCode="0.0000">
                  <c:v>1.5253930801964819</c:v>
                </c:pt>
                <c:pt idx="241" formatCode="0.0000">
                  <c:v>1.4799161450473837</c:v>
                </c:pt>
                <c:pt idx="242" formatCode="0.0000">
                  <c:v>1.5098150218416815</c:v>
                </c:pt>
                <c:pt idx="243" formatCode="0.0000">
                  <c:v>1.4750552025183443</c:v>
                </c:pt>
                <c:pt idx="244" formatCode="0.0000">
                  <c:v>1.454011252703431</c:v>
                </c:pt>
                <c:pt idx="245" formatCode="0.0000">
                  <c:v>1.4942870351252697</c:v>
                </c:pt>
                <c:pt idx="246" formatCode="0.0000">
                  <c:v>1.4199296315538807</c:v>
                </c:pt>
                <c:pt idx="247" formatCode="0.0000">
                  <c:v>1.4946547793737832</c:v>
                </c:pt>
                <c:pt idx="248" formatCode="0.0000">
                  <c:v>1.5766170051017758</c:v>
                </c:pt>
                <c:pt idx="249" formatCode="0.0000">
                  <c:v>1.6009121590807716</c:v>
                </c:pt>
                <c:pt idx="250" formatCode="0.0000">
                  <c:v>1.6919676934898897</c:v>
                </c:pt>
                <c:pt idx="251" formatCode="0.0000">
                  <c:v>1.7823382914215082</c:v>
                </c:pt>
                <c:pt idx="252" formatCode="0.0000">
                  <c:v>1.7466739734365946</c:v>
                </c:pt>
                <c:pt idx="253" formatCode="0.0000">
                  <c:v>1.7328121366179892</c:v>
                </c:pt>
                <c:pt idx="254" formatCode="0.0000">
                  <c:v>1.5706832329399387</c:v>
                </c:pt>
                <c:pt idx="255" formatCode="0.0000">
                  <c:v>1.4469738788109081</c:v>
                </c:pt>
                <c:pt idx="256" formatCode="0.0000">
                  <c:v>1.3177837783997888</c:v>
                </c:pt>
                <c:pt idx="257" formatCode="0.0000">
                  <c:v>1.2272034365140798</c:v>
                </c:pt>
                <c:pt idx="258" formatCode="0.0000">
                  <c:v>1.1396540076350061</c:v>
                </c:pt>
                <c:pt idx="259" formatCode="0.0000">
                  <c:v>1.0380226093094487</c:v>
                </c:pt>
                <c:pt idx="260" formatCode="0.0000">
                  <c:v>0.95176553591415114</c:v>
                </c:pt>
                <c:pt idx="261" formatCode="0.0000">
                  <c:v>0.98162922114360363</c:v>
                </c:pt>
                <c:pt idx="262" formatCode="0.0000">
                  <c:v>0.93483206584858436</c:v>
                </c:pt>
                <c:pt idx="263" formatCode="0.0000">
                  <c:v>0.89247815946795106</c:v>
                </c:pt>
                <c:pt idx="264" formatCode="0.0000">
                  <c:v>0.81937432027707757</c:v>
                </c:pt>
                <c:pt idx="265" formatCode="0.0000">
                  <c:v>0.71741647070298442</c:v>
                </c:pt>
                <c:pt idx="266" formatCode="0.0000">
                  <c:v>0.6690406191934295</c:v>
                </c:pt>
                <c:pt idx="267" formatCode="0.0000">
                  <c:v>0.69211812550986329</c:v>
                </c:pt>
                <c:pt idx="268" formatCode="0.0000">
                  <c:v>0.60817199368598351</c:v>
                </c:pt>
                <c:pt idx="269" formatCode="0.0000">
                  <c:v>0.59434978458935483</c:v>
                </c:pt>
                <c:pt idx="270" formatCode="0.0000">
                  <c:v>0.58877669893950413</c:v>
                </c:pt>
                <c:pt idx="271" formatCode="0.0000">
                  <c:v>0.58355251763234983</c:v>
                </c:pt>
                <c:pt idx="272" formatCode="0.0000">
                  <c:v>0.58132579183808808</c:v>
                </c:pt>
                <c:pt idx="273" formatCode="0.0000">
                  <c:v>0.62189947418837099</c:v>
                </c:pt>
                <c:pt idx="274" formatCode="0.0000">
                  <c:v>0.63835350774026267</c:v>
                </c:pt>
                <c:pt idx="275" formatCode="0.0000">
                  <c:v>0.6636162827570492</c:v>
                </c:pt>
                <c:pt idx="276" formatCode="0.0000">
                  <c:v>0.68691491971236562</c:v>
                </c:pt>
                <c:pt idx="277" formatCode="0.0000">
                  <c:v>0.71209676923106924</c:v>
                </c:pt>
                <c:pt idx="278" formatCode="0.0000">
                  <c:v>0.72961113780219888</c:v>
                </c:pt>
                <c:pt idx="279" formatCode="0.0000">
                  <c:v>0.72424965951718256</c:v>
                </c:pt>
                <c:pt idx="280" formatCode="0.0000">
                  <c:v>0.72859728084762987</c:v>
                </c:pt>
                <c:pt idx="281" formatCode="0.0000">
                  <c:v>0.76908710201813524</c:v>
                </c:pt>
                <c:pt idx="282" formatCode="0.0000">
                  <c:v>0.77476856427055174</c:v>
                </c:pt>
                <c:pt idx="283" formatCode="0.0000">
                  <c:v>0.77593689765381202</c:v>
                </c:pt>
                <c:pt idx="284" formatCode="0.0000">
                  <c:v>0.77343143933546254</c:v>
                </c:pt>
                <c:pt idx="285" formatCode="0.0000">
                  <c:v>0.76762884702365886</c:v>
                </c:pt>
                <c:pt idx="286" formatCode="0.0000">
                  <c:v>0.77592552992023411</c:v>
                </c:pt>
                <c:pt idx="287" formatCode="0.0000">
                  <c:v>0.76639277335084033</c:v>
                </c:pt>
                <c:pt idx="288" formatCode="0.0000">
                  <c:v>0.79587281098091012</c:v>
                </c:pt>
                <c:pt idx="289" formatCode="0.0000">
                  <c:v>0.78958660767606936</c:v>
                </c:pt>
                <c:pt idx="290" formatCode="0.0000">
                  <c:v>0.79732871919153225</c:v>
                </c:pt>
                <c:pt idx="291" formatCode="0.0000">
                  <c:v>0.79760831248503095</c:v>
                </c:pt>
                <c:pt idx="292" formatCode="0.0000">
                  <c:v>0.82083593902489471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668A-4E0C-8221-EFF03689051C}"/>
            </c:ext>
          </c:extLst>
        </c:ser>
        <c:ser>
          <c:idx val="12"/>
          <c:order val="12"/>
          <c:tx>
            <c:strRef>
              <c:f>'R(t) Województwa'!$CP$2</c:f>
              <c:strCache>
                <c:ptCount val="1"/>
                <c:pt idx="0">
                  <c:v>Świętokrzyskie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Województwa'!$CP$3:$CP$1000</c:f>
              <c:numCache>
                <c:formatCode>General</c:formatCode>
                <c:ptCount val="998"/>
                <c:pt idx="36" formatCode="0.0000">
                  <c:v>0.52184307759182869</c:v>
                </c:pt>
                <c:pt idx="37" formatCode="0.0000">
                  <c:v>0.34093620204115715</c:v>
                </c:pt>
                <c:pt idx="38" formatCode="0.0000">
                  <c:v>0.25759924163112585</c:v>
                </c:pt>
                <c:pt idx="39" formatCode="0.0000">
                  <c:v>0.34994340988519829</c:v>
                </c:pt>
                <c:pt idx="40" formatCode="0.0000">
                  <c:v>0.39033266044375658</c:v>
                </c:pt>
                <c:pt idx="41" formatCode="0.0000">
                  <c:v>0.32527721703646389</c:v>
                </c:pt>
                <c:pt idx="42" formatCode="0.0000">
                  <c:v>0.53431781946797041</c:v>
                </c:pt>
                <c:pt idx="43" formatCode="0.0000">
                  <c:v>0.74240205189257957</c:v>
                </c:pt>
                <c:pt idx="44" formatCode="0.0000">
                  <c:v>0.79703215714992537</c:v>
                </c:pt>
                <c:pt idx="45" formatCode="0.0000">
                  <c:v>1.0825223239210278</c:v>
                </c:pt>
                <c:pt idx="46" formatCode="0.0000">
                  <c:v>1.1364458000214726</c:v>
                </c:pt>
                <c:pt idx="47" formatCode="0.0000">
                  <c:v>1.1579847710040707</c:v>
                </c:pt>
                <c:pt idx="48" formatCode="0.0000">
                  <c:v>1.4125800133431652</c:v>
                </c:pt>
                <c:pt idx="49" formatCode="0.0000">
                  <c:v>1.3052519084330478</c:v>
                </c:pt>
                <c:pt idx="50" formatCode="0.0000">
                  <c:v>1.1432153959183802</c:v>
                </c:pt>
                <c:pt idx="51" formatCode="0.0000">
                  <c:v>1.0794286675547682</c:v>
                </c:pt>
                <c:pt idx="52" formatCode="0.0000">
                  <c:v>0.8753724169698831</c:v>
                </c:pt>
                <c:pt idx="53" formatCode="0.0000">
                  <c:v>0.74841917134777369</c:v>
                </c:pt>
                <c:pt idx="54" formatCode="0.0000">
                  <c:v>0.70482688172587282</c:v>
                </c:pt>
                <c:pt idx="55" formatCode="0.0000">
                  <c:v>0.51236769427862849</c:v>
                </c:pt>
                <c:pt idx="56" formatCode="0.0000">
                  <c:v>0.43177919114589136</c:v>
                </c:pt>
                <c:pt idx="57" formatCode="0.0000">
                  <c:v>0.35991149524064625</c:v>
                </c:pt>
                <c:pt idx="58" formatCode="0.0000">
                  <c:v>0.45379161229404641</c:v>
                </c:pt>
                <c:pt idx="59" formatCode="0.0000">
                  <c:v>0.35936836456339138</c:v>
                </c:pt>
                <c:pt idx="60" formatCode="0.0000">
                  <c:v>0.37535632771800886</c:v>
                </c:pt>
                <c:pt idx="61" formatCode="0.0000">
                  <c:v>0.57448733273335273</c:v>
                </c:pt>
                <c:pt idx="62" formatCode="0.0000">
                  <c:v>0.64373612137888003</c:v>
                </c:pt>
                <c:pt idx="63" formatCode="0.0000">
                  <c:v>1.1742372544196387</c:v>
                </c:pt>
                <c:pt idx="64" formatCode="0.0000">
                  <c:v>1.1255082193303956</c:v>
                </c:pt>
                <c:pt idx="65" formatCode="0.0000">
                  <c:v>1.0978388892316944</c:v>
                </c:pt>
                <c:pt idx="66" formatCode="0.0000">
                  <c:v>1.3536890054558339</c:v>
                </c:pt>
                <c:pt idx="67" formatCode="0.0000">
                  <c:v>1.5510385935370492</c:v>
                </c:pt>
                <c:pt idx="68" formatCode="0.0000">
                  <c:v>1.3891078045962135</c:v>
                </c:pt>
                <c:pt idx="69" formatCode="0.0000">
                  <c:v>1.2577229610588365</c:v>
                </c:pt>
                <c:pt idx="70" formatCode="0.0000">
                  <c:v>0.74609485901003381</c:v>
                </c:pt>
                <c:pt idx="71" formatCode="0.0000">
                  <c:v>1.0209924671572239</c:v>
                </c:pt>
                <c:pt idx="72" formatCode="0.0000">
                  <c:v>0.94107697095300746</c:v>
                </c:pt>
                <c:pt idx="73" formatCode="0.0000">
                  <c:v>0.77966219398432746</c:v>
                </c:pt>
                <c:pt idx="74" formatCode="0.0000">
                  <c:v>0.58286667634140366</c:v>
                </c:pt>
                <c:pt idx="75" formatCode="0.0000">
                  <c:v>0.48887839852362797</c:v>
                </c:pt>
                <c:pt idx="76" formatCode="0.0000">
                  <c:v>0.96575873874323626</c:v>
                </c:pt>
                <c:pt idx="77" formatCode="0.0000">
                  <c:v>0.91179129387778401</c:v>
                </c:pt>
                <c:pt idx="78" formatCode="0.0000">
                  <c:v>0.78301001161176043</c:v>
                </c:pt>
                <c:pt idx="79" formatCode="0.0000">
                  <c:v>0.92865166468962479</c:v>
                </c:pt>
                <c:pt idx="80" formatCode="0.0000">
                  <c:v>1.0157628735626951</c:v>
                </c:pt>
                <c:pt idx="81" formatCode="0.0000">
                  <c:v>1.262337420830099</c:v>
                </c:pt>
                <c:pt idx="82" formatCode="0.0000">
                  <c:v>1.4775894033607455</c:v>
                </c:pt>
                <c:pt idx="83" formatCode="0.0000">
                  <c:v>1.2874531062962298</c:v>
                </c:pt>
                <c:pt idx="84" formatCode="0.0000">
                  <c:v>1.4304279708955483</c:v>
                </c:pt>
                <c:pt idx="85" formatCode="0.0000">
                  <c:v>1.5027934111583325</c:v>
                </c:pt>
                <c:pt idx="86" formatCode="0.0000">
                  <c:v>1.8988073044830949</c:v>
                </c:pt>
                <c:pt idx="87" formatCode="0.0000">
                  <c:v>1.8302025979382646</c:v>
                </c:pt>
                <c:pt idx="88" formatCode="0.0000">
                  <c:v>2.116039306741528</c:v>
                </c:pt>
                <c:pt idx="89" formatCode="0.0000">
                  <c:v>1.9826247415273386</c:v>
                </c:pt>
                <c:pt idx="90" formatCode="0.0000">
                  <c:v>1.7705855240302846</c:v>
                </c:pt>
                <c:pt idx="91" formatCode="0.0000">
                  <c:v>1.6886428150838309</c:v>
                </c:pt>
                <c:pt idx="92" formatCode="0.0000">
                  <c:v>1.5966533032885406</c:v>
                </c:pt>
                <c:pt idx="93" formatCode="0.0000">
                  <c:v>1.1835944823086739</c:v>
                </c:pt>
                <c:pt idx="94" formatCode="0.0000">
                  <c:v>1.0851478738470772</c:v>
                </c:pt>
                <c:pt idx="95" formatCode="0.0000">
                  <c:v>0.5695459930865413</c:v>
                </c:pt>
                <c:pt idx="96" formatCode="0.0000">
                  <c:v>0.48770857577008414</c:v>
                </c:pt>
                <c:pt idx="97" formatCode="0.0000">
                  <c:v>1.2686080209377042</c:v>
                </c:pt>
                <c:pt idx="98" formatCode="0.0000">
                  <c:v>1.3499209057944979</c:v>
                </c:pt>
                <c:pt idx="99" formatCode="0.0000">
                  <c:v>1.3565472480337111</c:v>
                </c:pt>
                <c:pt idx="100" formatCode="0.0000">
                  <c:v>1.2890540349879374</c:v>
                </c:pt>
                <c:pt idx="101" formatCode="0.0000">
                  <c:v>1.4209549453100634</c:v>
                </c:pt>
                <c:pt idx="102" formatCode="0.0000">
                  <c:v>1.3975889316642394</c:v>
                </c:pt>
                <c:pt idx="103" formatCode="0.0000">
                  <c:v>1.5926891122690741</c:v>
                </c:pt>
                <c:pt idx="104" formatCode="0.0000">
                  <c:v>0.93676103721558079</c:v>
                </c:pt>
                <c:pt idx="105" formatCode="0.0000">
                  <c:v>0.91037169715829214</c:v>
                </c:pt>
                <c:pt idx="106" formatCode="0.0000">
                  <c:v>1.0725076735285211</c:v>
                </c:pt>
                <c:pt idx="107" formatCode="0.0000">
                  <c:v>1.2210296922568875</c:v>
                </c:pt>
                <c:pt idx="108" formatCode="0.0000">
                  <c:v>1.194720057414038</c:v>
                </c:pt>
                <c:pt idx="109" formatCode="0.0000">
                  <c:v>1.2910811143604308</c:v>
                </c:pt>
                <c:pt idx="110" formatCode="0.0000">
                  <c:v>1.1643749331024733</c:v>
                </c:pt>
                <c:pt idx="111" formatCode="0.0000">
                  <c:v>1.1494401629885833</c:v>
                </c:pt>
                <c:pt idx="112" formatCode="0.0000">
                  <c:v>1.024628671565186</c:v>
                </c:pt>
                <c:pt idx="113" formatCode="0.0000">
                  <c:v>1.0112143505919042</c:v>
                </c:pt>
                <c:pt idx="114" formatCode="0.0000">
                  <c:v>0.89585511209563795</c:v>
                </c:pt>
                <c:pt idx="115" formatCode="0.0000">
                  <c:v>0.8005387806135511</c:v>
                </c:pt>
                <c:pt idx="116" formatCode="0.0000">
                  <c:v>0.87426220309866909</c:v>
                </c:pt>
                <c:pt idx="117" formatCode="0.0000">
                  <c:v>0.93913911763198077</c:v>
                </c:pt>
                <c:pt idx="118" formatCode="0.0000">
                  <c:v>0.94278287490541768</c:v>
                </c:pt>
                <c:pt idx="119" formatCode="0.0000">
                  <c:v>1.0221019721638454</c:v>
                </c:pt>
                <c:pt idx="120" formatCode="0.0000">
                  <c:v>0.79388146839336393</c:v>
                </c:pt>
                <c:pt idx="121" formatCode="0.0000">
                  <c:v>0.80264373539262135</c:v>
                </c:pt>
                <c:pt idx="122" formatCode="0.0000">
                  <c:v>0.97714917741825069</c:v>
                </c:pt>
                <c:pt idx="123" formatCode="0.0000">
                  <c:v>0.80956157987202904</c:v>
                </c:pt>
                <c:pt idx="124" formatCode="0.0000">
                  <c:v>0.75816184511314944</c:v>
                </c:pt>
                <c:pt idx="125" formatCode="0.0000">
                  <c:v>0.744153563823995</c:v>
                </c:pt>
                <c:pt idx="126" formatCode="0.0000">
                  <c:v>0.70881191622699957</c:v>
                </c:pt>
                <c:pt idx="127" formatCode="0.0000">
                  <c:v>0.71003281347862901</c:v>
                </c:pt>
                <c:pt idx="128" formatCode="0.0000">
                  <c:v>0.70722654464106427</c:v>
                </c:pt>
                <c:pt idx="129" formatCode="0.0000">
                  <c:v>0.5916993602405578</c:v>
                </c:pt>
                <c:pt idx="130" formatCode="0.0000">
                  <c:v>0.56267886481294305</c:v>
                </c:pt>
                <c:pt idx="131" formatCode="0.0000">
                  <c:v>0.55869115749460541</c:v>
                </c:pt>
                <c:pt idx="132" formatCode="0.0000">
                  <c:v>0.46760974111477666</c:v>
                </c:pt>
                <c:pt idx="133" formatCode="0.0000">
                  <c:v>0.45903760526276771</c:v>
                </c:pt>
                <c:pt idx="134" formatCode="0.0000">
                  <c:v>0.50087003288751064</c:v>
                </c:pt>
                <c:pt idx="135" formatCode="0.0000">
                  <c:v>0.50200175605843522</c:v>
                </c:pt>
                <c:pt idx="136" formatCode="0.0000">
                  <c:v>0.77072887270181922</c:v>
                </c:pt>
                <c:pt idx="137" formatCode="0.0000">
                  <c:v>0.77072887270181922</c:v>
                </c:pt>
                <c:pt idx="138" formatCode="0.0000">
                  <c:v>0.8968212037069172</c:v>
                </c:pt>
                <c:pt idx="139" formatCode="0.0000">
                  <c:v>0.9737149998966993</c:v>
                </c:pt>
                <c:pt idx="140" formatCode="0.0000">
                  <c:v>1.8279366514569726</c:v>
                </c:pt>
                <c:pt idx="141" formatCode="0.0000">
                  <c:v>1.8557793695175935</c:v>
                </c:pt>
                <c:pt idx="142" formatCode="0.0000">
                  <c:v>1.8269066409815078</c:v>
                </c:pt>
                <c:pt idx="143" formatCode="0.0000">
                  <c:v>1.6303678431442725</c:v>
                </c:pt>
                <c:pt idx="144" formatCode="0.0000">
                  <c:v>1.7650509005432382</c:v>
                </c:pt>
                <c:pt idx="145" formatCode="0.0000">
                  <c:v>1.6192721154451839</c:v>
                </c:pt>
                <c:pt idx="146" formatCode="0.0000">
                  <c:v>1.5014692883279135</c:v>
                </c:pt>
                <c:pt idx="147" formatCode="0.0000">
                  <c:v>0.72956247125077389</c:v>
                </c:pt>
                <c:pt idx="148" formatCode="0.0000">
                  <c:v>0.72302482084502784</c:v>
                </c:pt>
                <c:pt idx="149" formatCode="0.0000">
                  <c:v>0.77153174203229413</c:v>
                </c:pt>
                <c:pt idx="150" formatCode="0.0000">
                  <c:v>0.6650722870068575</c:v>
                </c:pt>
                <c:pt idx="151" formatCode="0.0000">
                  <c:v>0.72139595249544619</c:v>
                </c:pt>
                <c:pt idx="152" formatCode="0.0000">
                  <c:v>0.71526531007784</c:v>
                </c:pt>
                <c:pt idx="153" formatCode="0.0000">
                  <c:v>0.90194109327818528</c:v>
                </c:pt>
                <c:pt idx="154" formatCode="0.0000">
                  <c:v>1.4459488768575746</c:v>
                </c:pt>
                <c:pt idx="155" formatCode="0.0000">
                  <c:v>1.3792384754799518</c:v>
                </c:pt>
                <c:pt idx="156" formatCode="0.0000">
                  <c:v>1.8226177428562391</c:v>
                </c:pt>
                <c:pt idx="157" formatCode="0.0000">
                  <c:v>1.9187143004799307</c:v>
                </c:pt>
                <c:pt idx="158" formatCode="0.0000">
                  <c:v>1.8992832855800166</c:v>
                </c:pt>
                <c:pt idx="159" formatCode="0.0000">
                  <c:v>1.9883434050757078</c:v>
                </c:pt>
                <c:pt idx="160" formatCode="0.0000">
                  <c:v>1.8620965555478268</c:v>
                </c:pt>
                <c:pt idx="161" formatCode="0.0000">
                  <c:v>1.3239946890870731</c:v>
                </c:pt>
                <c:pt idx="162" formatCode="0.0000">
                  <c:v>1.2993853677170095</c:v>
                </c:pt>
                <c:pt idx="163" formatCode="0.0000">
                  <c:v>0.91599806710403109</c:v>
                </c:pt>
                <c:pt idx="164" formatCode="0.0000">
                  <c:v>0.81400771889193291</c:v>
                </c:pt>
                <c:pt idx="165" formatCode="0.0000">
                  <c:v>1.3037219411513827</c:v>
                </c:pt>
                <c:pt idx="166" formatCode="0.0000">
                  <c:v>1.3325498659242856</c:v>
                </c:pt>
                <c:pt idx="167" formatCode="0.0000">
                  <c:v>1.3331536132165112</c:v>
                </c:pt>
                <c:pt idx="168" formatCode="0.0000">
                  <c:v>1.2720177746071377</c:v>
                </c:pt>
                <c:pt idx="169" formatCode="0.0000">
                  <c:v>1.2910152819144654</c:v>
                </c:pt>
                <c:pt idx="170" formatCode="0.0000">
                  <c:v>1.2996783859122139</c:v>
                </c:pt>
                <c:pt idx="171" formatCode="0.0000">
                  <c:v>1.5218067213848008</c:v>
                </c:pt>
                <c:pt idx="172" formatCode="0.0000">
                  <c:v>0.9788365716394285</c:v>
                </c:pt>
                <c:pt idx="173" formatCode="0.0000">
                  <c:v>0.89709747282467045</c:v>
                </c:pt>
                <c:pt idx="174" formatCode="0.0000">
                  <c:v>1.4118847629970885</c:v>
                </c:pt>
                <c:pt idx="175" formatCode="0.0000">
                  <c:v>1.4838747519387669</c:v>
                </c:pt>
                <c:pt idx="176" formatCode="0.0000">
                  <c:v>1.5939635568247301</c:v>
                </c:pt>
                <c:pt idx="177" formatCode="0.0000">
                  <c:v>1.5427070648602743</c:v>
                </c:pt>
                <c:pt idx="178" formatCode="0.0000">
                  <c:v>1.4237261010677433</c:v>
                </c:pt>
                <c:pt idx="179" formatCode="0.0000">
                  <c:v>1.5131140182356193</c:v>
                </c:pt>
                <c:pt idx="180" formatCode="0.0000">
                  <c:v>1.4682449360204026</c:v>
                </c:pt>
                <c:pt idx="181" formatCode="0.0000">
                  <c:v>0.9623566093734226</c:v>
                </c:pt>
                <c:pt idx="182" formatCode="0.0000">
                  <c:v>0.93664155887001144</c:v>
                </c:pt>
                <c:pt idx="183" formatCode="0.0000">
                  <c:v>0.90633938831579353</c:v>
                </c:pt>
                <c:pt idx="184" formatCode="0.0000">
                  <c:v>0.94668473195312475</c:v>
                </c:pt>
                <c:pt idx="185" formatCode="0.0000">
                  <c:v>0.92319826710862873</c:v>
                </c:pt>
                <c:pt idx="186" formatCode="0.0000">
                  <c:v>0.9333877804612174</c:v>
                </c:pt>
                <c:pt idx="187" formatCode="0.0000">
                  <c:v>1.0069766526841961</c:v>
                </c:pt>
                <c:pt idx="188" formatCode="0.0000">
                  <c:v>0.96668673719192277</c:v>
                </c:pt>
                <c:pt idx="189" formatCode="0.0000">
                  <c:v>0.92902475498353199</c:v>
                </c:pt>
                <c:pt idx="190" formatCode="0.0000">
                  <c:v>0.95740734775081415</c:v>
                </c:pt>
                <c:pt idx="191" formatCode="0.0000">
                  <c:v>0.93978188999635337</c:v>
                </c:pt>
                <c:pt idx="192" formatCode="0.0000">
                  <c:v>0.94838684578315668</c:v>
                </c:pt>
                <c:pt idx="193" formatCode="0.0000">
                  <c:v>0.88158211299090794</c:v>
                </c:pt>
                <c:pt idx="194" formatCode="0.0000">
                  <c:v>0.87924455979918636</c:v>
                </c:pt>
                <c:pt idx="195" formatCode="0.0000">
                  <c:v>0.84350259695115859</c:v>
                </c:pt>
                <c:pt idx="196" formatCode="0.0000">
                  <c:v>1.0838274930021075</c:v>
                </c:pt>
                <c:pt idx="197" formatCode="0.0000">
                  <c:v>0.99813539068861989</c:v>
                </c:pt>
                <c:pt idx="198" formatCode="0.0000">
                  <c:v>1.1315702699229451</c:v>
                </c:pt>
                <c:pt idx="199" formatCode="0.0000">
                  <c:v>1.2155086894818268</c:v>
                </c:pt>
                <c:pt idx="200" formatCode="0.0000">
                  <c:v>1.220842862217647</c:v>
                </c:pt>
                <c:pt idx="201" formatCode="0.0000">
                  <c:v>1.2385302495648396</c:v>
                </c:pt>
                <c:pt idx="202" formatCode="0.0000">
                  <c:v>1.2616655540527966</c:v>
                </c:pt>
                <c:pt idx="203" formatCode="0.0000">
                  <c:v>1.0967761405491736</c:v>
                </c:pt>
                <c:pt idx="204" formatCode="0.0000">
                  <c:v>1.3126220173078906</c:v>
                </c:pt>
                <c:pt idx="205" formatCode="0.0000">
                  <c:v>1.2669399056736768</c:v>
                </c:pt>
                <c:pt idx="206" formatCode="0.0000">
                  <c:v>1.3761637680829828</c:v>
                </c:pt>
                <c:pt idx="207" formatCode="0.0000">
                  <c:v>1.4365101239224793</c:v>
                </c:pt>
                <c:pt idx="208" formatCode="0.0000">
                  <c:v>1.4962315742182064</c:v>
                </c:pt>
                <c:pt idx="209" formatCode="0.0000">
                  <c:v>1.5212769027936386</c:v>
                </c:pt>
                <c:pt idx="210" formatCode="0.0000">
                  <c:v>1.5454565421270483</c:v>
                </c:pt>
                <c:pt idx="211" formatCode="0.0000">
                  <c:v>1.4984524992739037</c:v>
                </c:pt>
                <c:pt idx="212" formatCode="0.0000">
                  <c:v>1.4358603994399712</c:v>
                </c:pt>
                <c:pt idx="213" formatCode="0.0000">
                  <c:v>1.2478508135388231</c:v>
                </c:pt>
                <c:pt idx="214" formatCode="0.0000">
                  <c:v>1.6825382906701962</c:v>
                </c:pt>
                <c:pt idx="215" formatCode="0.0000">
                  <c:v>1.6843018574310518</c:v>
                </c:pt>
                <c:pt idx="216" formatCode="0.0000">
                  <c:v>1.728902773263554</c:v>
                </c:pt>
                <c:pt idx="217" formatCode="0.0000">
                  <c:v>1.9057928336445948</c:v>
                </c:pt>
                <c:pt idx="218" formatCode="0.0000">
                  <c:v>1.9927850556428337</c:v>
                </c:pt>
                <c:pt idx="219" formatCode="0.0000">
                  <c:v>2.0992168518040688</c:v>
                </c:pt>
                <c:pt idx="220" formatCode="0.0000">
                  <c:v>2.2696031173753175</c:v>
                </c:pt>
                <c:pt idx="221" formatCode="0.0000">
                  <c:v>1.9178459292460843</c:v>
                </c:pt>
                <c:pt idx="222" formatCode="0.0000">
                  <c:v>1.9047114260883558</c:v>
                </c:pt>
                <c:pt idx="223" formatCode="0.0000">
                  <c:v>1.9897829835419698</c:v>
                </c:pt>
                <c:pt idx="224" formatCode="0.0000">
                  <c:v>1.747873684652216</c:v>
                </c:pt>
                <c:pt idx="225" formatCode="0.0000">
                  <c:v>1.7002194580914034</c:v>
                </c:pt>
                <c:pt idx="226" formatCode="0.0000">
                  <c:v>1.6780673828956665</c:v>
                </c:pt>
                <c:pt idx="227" formatCode="0.0000">
                  <c:v>1.6368718688408515</c:v>
                </c:pt>
                <c:pt idx="228" formatCode="0.0000">
                  <c:v>1.6360179263156662</c:v>
                </c:pt>
                <c:pt idx="229" formatCode="0.0000">
                  <c:v>1.593130270907452</c:v>
                </c:pt>
                <c:pt idx="230" formatCode="0.0000">
                  <c:v>1.4905425416014852</c:v>
                </c:pt>
                <c:pt idx="231" formatCode="0.0000">
                  <c:v>1.572547813786809</c:v>
                </c:pt>
                <c:pt idx="232" formatCode="0.0000">
                  <c:v>1.4604336300866556</c:v>
                </c:pt>
                <c:pt idx="233" formatCode="0.0000">
                  <c:v>1.4915587120385589</c:v>
                </c:pt>
                <c:pt idx="234" formatCode="0.0000">
                  <c:v>1.5676491761878701</c:v>
                </c:pt>
                <c:pt idx="235" formatCode="0.0000">
                  <c:v>1.4527958884916525</c:v>
                </c:pt>
                <c:pt idx="236" formatCode="0.0000">
                  <c:v>1.4887712212571962</c:v>
                </c:pt>
                <c:pt idx="237" formatCode="0.0000">
                  <c:v>1.5087080438439029</c:v>
                </c:pt>
                <c:pt idx="238" formatCode="0.0000">
                  <c:v>1.4800269381809721</c:v>
                </c:pt>
                <c:pt idx="239" formatCode="0.0000">
                  <c:v>1.5327872529033872</c:v>
                </c:pt>
                <c:pt idx="240" formatCode="0.0000">
                  <c:v>1.456847694591574</c:v>
                </c:pt>
                <c:pt idx="241" formatCode="0.0000">
                  <c:v>1.3258051214932418</c:v>
                </c:pt>
                <c:pt idx="242" formatCode="0.0000">
                  <c:v>1.4124931586303247</c:v>
                </c:pt>
                <c:pt idx="243" formatCode="0.0000">
                  <c:v>1.3144394670195061</c:v>
                </c:pt>
                <c:pt idx="244" formatCode="0.0000">
                  <c:v>1.2739784850761142</c:v>
                </c:pt>
                <c:pt idx="245" formatCode="0.0000">
                  <c:v>1.2712377634198313</c:v>
                </c:pt>
                <c:pt idx="246" formatCode="0.0000">
                  <c:v>1.2957842689495913</c:v>
                </c:pt>
                <c:pt idx="247" formatCode="0.0000">
                  <c:v>1.342319671333007</c:v>
                </c:pt>
                <c:pt idx="248" formatCode="0.0000">
                  <c:v>1.3881365725077148</c:v>
                </c:pt>
                <c:pt idx="249" formatCode="0.0000">
                  <c:v>1.3978122670106046</c:v>
                </c:pt>
                <c:pt idx="250" formatCode="0.0000">
                  <c:v>1.4080367690186806</c:v>
                </c:pt>
                <c:pt idx="251" formatCode="0.0000">
                  <c:v>1.3900450089575269</c:v>
                </c:pt>
                <c:pt idx="252" formatCode="0.0000">
                  <c:v>1.3819925957372423</c:v>
                </c:pt>
                <c:pt idx="253" formatCode="0.0000">
                  <c:v>1.2513939993131165</c:v>
                </c:pt>
                <c:pt idx="254" formatCode="0.0000">
                  <c:v>1.1681621782436504</c:v>
                </c:pt>
                <c:pt idx="255" formatCode="0.0000">
                  <c:v>1.112603509565226</c:v>
                </c:pt>
                <c:pt idx="256" formatCode="0.0000">
                  <c:v>1.0757512266788134</c:v>
                </c:pt>
                <c:pt idx="257" formatCode="0.0000">
                  <c:v>1.1186161308658551</c:v>
                </c:pt>
                <c:pt idx="258" formatCode="0.0000">
                  <c:v>1.1956275622531998</c:v>
                </c:pt>
                <c:pt idx="259" formatCode="0.0000">
                  <c:v>1.1418762247713585</c:v>
                </c:pt>
                <c:pt idx="260" formatCode="0.0000">
                  <c:v>1.1998339598910399</c:v>
                </c:pt>
                <c:pt idx="261" formatCode="0.0000">
                  <c:v>1.1895703189007321</c:v>
                </c:pt>
                <c:pt idx="262" formatCode="0.0000">
                  <c:v>1.1451232548458832</c:v>
                </c:pt>
                <c:pt idx="263" formatCode="0.0000">
                  <c:v>1.0384632576932094</c:v>
                </c:pt>
                <c:pt idx="264" formatCode="0.0000">
                  <c:v>0.98053451572540762</c:v>
                </c:pt>
                <c:pt idx="265" formatCode="0.0000">
                  <c:v>0.90154446233002561</c:v>
                </c:pt>
                <c:pt idx="266" formatCode="0.0000">
                  <c:v>0.85892578984250167</c:v>
                </c:pt>
                <c:pt idx="267" formatCode="0.0000">
                  <c:v>0.7583878607065373</c:v>
                </c:pt>
                <c:pt idx="268" formatCode="0.0000">
                  <c:v>0.6948669388272668</c:v>
                </c:pt>
                <c:pt idx="269" formatCode="0.0000">
                  <c:v>0.63954982670943039</c:v>
                </c:pt>
                <c:pt idx="270" formatCode="0.0000">
                  <c:v>0.5837129125684466</c:v>
                </c:pt>
                <c:pt idx="271" formatCode="0.0000">
                  <c:v>0.58809184473947518</c:v>
                </c:pt>
                <c:pt idx="272" formatCode="0.0000">
                  <c:v>0.57439723385409158</c:v>
                </c:pt>
                <c:pt idx="273" formatCode="0.0000">
                  <c:v>0.58514220791260008</c:v>
                </c:pt>
                <c:pt idx="274" formatCode="0.0000">
                  <c:v>0.61239351064881808</c:v>
                </c:pt>
                <c:pt idx="275" formatCode="0.0000">
                  <c:v>0.62545116980726712</c:v>
                </c:pt>
                <c:pt idx="276" formatCode="0.0000">
                  <c:v>0.61666617279057945</c:v>
                </c:pt>
                <c:pt idx="277" formatCode="0.0000">
                  <c:v>0.61679428195934471</c:v>
                </c:pt>
                <c:pt idx="278" formatCode="0.0000">
                  <c:v>0.61895838517772961</c:v>
                </c:pt>
                <c:pt idx="279" formatCode="0.0000">
                  <c:v>0.59214592399358046</c:v>
                </c:pt>
                <c:pt idx="280" formatCode="0.0000">
                  <c:v>0.59667479926360634</c:v>
                </c:pt>
                <c:pt idx="281" formatCode="0.0000">
                  <c:v>0.59475545779104289</c:v>
                </c:pt>
                <c:pt idx="282" formatCode="0.0000">
                  <c:v>0.58542693048103123</c:v>
                </c:pt>
                <c:pt idx="283" formatCode="0.0000">
                  <c:v>0.61606902199389757</c:v>
                </c:pt>
                <c:pt idx="284" formatCode="0.0000">
                  <c:v>0.64071745933126578</c:v>
                </c:pt>
                <c:pt idx="285" formatCode="0.0000">
                  <c:v>0.64258733842436266</c:v>
                </c:pt>
                <c:pt idx="286" formatCode="0.0000">
                  <c:v>0.68127718618433075</c:v>
                </c:pt>
                <c:pt idx="287" formatCode="0.0000">
                  <c:v>0.71091919004906567</c:v>
                </c:pt>
                <c:pt idx="288" formatCode="0.0000">
                  <c:v>0.74539811681455259</c:v>
                </c:pt>
                <c:pt idx="289" formatCode="0.0000">
                  <c:v>0.79239524324984656</c:v>
                </c:pt>
                <c:pt idx="290" formatCode="0.0000">
                  <c:v>0.79521407503326025</c:v>
                </c:pt>
                <c:pt idx="291" formatCode="0.0000">
                  <c:v>0.80652699185120102</c:v>
                </c:pt>
                <c:pt idx="292" formatCode="0.0000">
                  <c:v>0.82182835410281363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668A-4E0C-8221-EFF03689051C}"/>
            </c:ext>
          </c:extLst>
        </c:ser>
        <c:ser>
          <c:idx val="13"/>
          <c:order val="13"/>
          <c:tx>
            <c:strRef>
              <c:f>'R(t) Województwa'!$CW$2</c:f>
              <c:strCache>
                <c:ptCount val="1"/>
                <c:pt idx="0">
                  <c:v>Warmińsko-Mazurskie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Województwa'!$CW$3:$CW$1000</c:f>
              <c:numCache>
                <c:formatCode>General</c:formatCode>
                <c:ptCount val="998"/>
                <c:pt idx="40" formatCode="0.0000">
                  <c:v>0.92046840692851972</c:v>
                </c:pt>
                <c:pt idx="41" formatCode="0.0000">
                  <c:v>0.46023420346426025</c:v>
                </c:pt>
                <c:pt idx="42" formatCode="0.0000">
                  <c:v>0.30682280230950693</c:v>
                </c:pt>
                <c:pt idx="43" formatCode="0.0000">
                  <c:v>0.31652105115693141</c:v>
                </c:pt>
                <c:pt idx="44" formatCode="0.0000">
                  <c:v>0.35488538021410931</c:v>
                </c:pt>
                <c:pt idx="45" formatCode="0.0000">
                  <c:v>0.52354791645287424</c:v>
                </c:pt>
                <c:pt idx="46" formatCode="0.0000">
                  <c:v>0.44875535695960661</c:v>
                </c:pt>
                <c:pt idx="47" formatCode="0.0000">
                  <c:v>0.38219950130124092</c:v>
                </c:pt>
                <c:pt idx="48" formatCode="0.0000">
                  <c:v>0.40567521411347257</c:v>
                </c:pt>
                <c:pt idx="49" formatCode="0.0000">
                  <c:v>0.45899162967220652</c:v>
                </c:pt>
                <c:pt idx="50" formatCode="0.0000">
                  <c:v>0.40961794428660586</c:v>
                </c:pt>
                <c:pt idx="51" formatCode="0.0000">
                  <c:v>0.33699755908048862</c:v>
                </c:pt>
                <c:pt idx="52" formatCode="0.0000">
                  <c:v>0.18158503336174375</c:v>
                </c:pt>
                <c:pt idx="53" formatCode="0.0000">
                  <c:v>0.1815850333617437</c:v>
                </c:pt>
                <c:pt idx="54" formatCode="0.0000">
                  <c:v>0.11664540231603511</c:v>
                </c:pt>
                <c:pt idx="55" formatCode="0.0000">
                  <c:v>9.3169689503803402E-2</c:v>
                </c:pt>
                <c:pt idx="56" formatCode="0.0000">
                  <c:v>3.9853273945069531E-2</c:v>
                </c:pt>
                <c:pt idx="57" formatCode="0.0000">
                  <c:v>3.9853273945069469E-2</c:v>
                </c:pt>
                <c:pt idx="58" formatCode="0.0000">
                  <c:v>0.23191347467926277</c:v>
                </c:pt>
                <c:pt idx="59" formatCode="0.0000">
                  <c:v>0.19206020073419358</c:v>
                </c:pt>
                <c:pt idx="60" formatCode="0.0000">
                  <c:v>0.19206020073419364</c:v>
                </c:pt>
                <c:pt idx="61" formatCode="0.0000">
                  <c:v>0.19206020073419369</c:v>
                </c:pt>
                <c:pt idx="62" formatCode="0.0000">
                  <c:v>0.48274224091260681</c:v>
                </c:pt>
                <c:pt idx="63" formatCode="0.0000">
                  <c:v>0.73598822020508492</c:v>
                </c:pt>
                <c:pt idx="64" formatCode="0.0000">
                  <c:v>0.73598822020508492</c:v>
                </c:pt>
                <c:pt idx="65" formatCode="0.0000">
                  <c:v>1.0760905067242423</c:v>
                </c:pt>
                <c:pt idx="66" formatCode="0.0000">
                  <c:v>1.1718510408285412</c:v>
                </c:pt>
                <c:pt idx="67" formatCode="0.0000">
                  <c:v>1.4733313429784827</c:v>
                </c:pt>
                <c:pt idx="68" formatCode="0.0000">
                  <c:v>1.6468017819973606</c:v>
                </c:pt>
                <c:pt idx="69" formatCode="0.0000">
                  <c:v>1.3561197418189475</c:v>
                </c:pt>
                <c:pt idx="70" formatCode="0.0000">
                  <c:v>1.2992443892291132</c:v>
                </c:pt>
                <c:pt idx="71" formatCode="0.0000">
                  <c:v>1.6720362513434133</c:v>
                </c:pt>
                <c:pt idx="72" formatCode="0.0000">
                  <c:v>1.2156484894225286</c:v>
                </c:pt>
                <c:pt idx="73" formatCode="0.0000">
                  <c:v>1.2011113417736676</c:v>
                </c:pt>
                <c:pt idx="74" formatCode="0.0000">
                  <c:v>0.89963103962372615</c:v>
                </c:pt>
                <c:pt idx="75" formatCode="0.0000">
                  <c:v>0.72616060060484833</c:v>
                </c:pt>
                <c:pt idx="76" formatCode="0.0000">
                  <c:v>0.72616060060484844</c:v>
                </c:pt>
                <c:pt idx="77" formatCode="0.0000">
                  <c:v>1.0795954695605841</c:v>
                </c:pt>
                <c:pt idx="78" formatCode="0.0000">
                  <c:v>0.70680360744628445</c:v>
                </c:pt>
                <c:pt idx="79" formatCode="0.0000">
                  <c:v>0.63102888211381813</c:v>
                </c:pt>
                <c:pt idx="80" formatCode="0.0000">
                  <c:v>0.54980549565838011</c:v>
                </c:pt>
                <c:pt idx="81" formatCode="0.0000">
                  <c:v>0.70494103460704072</c:v>
                </c:pt>
                <c:pt idx="82" formatCode="0.0000">
                  <c:v>0.70494103460704061</c:v>
                </c:pt>
                <c:pt idx="83" formatCode="0.0000">
                  <c:v>0.70494103460704061</c:v>
                </c:pt>
                <c:pt idx="84" formatCode="0.0000">
                  <c:v>0.98951749002664202</c:v>
                </c:pt>
                <c:pt idx="85" formatCode="0.0000">
                  <c:v>0.98951749002664202</c:v>
                </c:pt>
                <c:pt idx="86" formatCode="0.0000">
                  <c:v>0.98951749002664191</c:v>
                </c:pt>
                <c:pt idx="87" formatCode="0.0000">
                  <c:v>0.98951749002664202</c:v>
                </c:pt>
                <c:pt idx="88" formatCode="0.0000">
                  <c:v>0.83438195107798152</c:v>
                </c:pt>
                <c:pt idx="89" formatCode="0.0000">
                  <c:v>0.83438195107798152</c:v>
                </c:pt>
                <c:pt idx="90" formatCode="0.0000">
                  <c:v>0.83438195107798163</c:v>
                </c:pt>
                <c:pt idx="91" formatCode="0.0000">
                  <c:v>3.9650822308041307E-16</c:v>
                </c:pt>
                <c:pt idx="92" formatCode="0.0000">
                  <c:v>4.282288809268461E-16</c:v>
                </c:pt>
                <c:pt idx="93" formatCode="0.0000">
                  <c:v>3.6478756523397999E-16</c:v>
                </c:pt>
                <c:pt idx="94" formatCode="0.0000">
                  <c:v>0.49379608779318679</c:v>
                </c:pt>
                <c:pt idx="95" formatCode="0.0000">
                  <c:v>0.49379608779318679</c:v>
                </c:pt>
                <c:pt idx="96" formatCode="0.0000">
                  <c:v>0.49379608779318673</c:v>
                </c:pt>
                <c:pt idx="97" formatCode="0.0000">
                  <c:v>0.99131031242775969</c:v>
                </c:pt>
                <c:pt idx="98" formatCode="0.0000">
                  <c:v>0.99131031242775958</c:v>
                </c:pt>
                <c:pt idx="99" formatCode="0.0000">
                  <c:v>0.99131031242775947</c:v>
                </c:pt>
                <c:pt idx="100" formatCode="0.0000">
                  <c:v>2.990848492813416</c:v>
                </c:pt>
                <c:pt idx="101" formatCode="0.0000">
                  <c:v>2.4970524050202298</c:v>
                </c:pt>
                <c:pt idx="102" formatCode="0.0000">
                  <c:v>2.4970524050202298</c:v>
                </c:pt>
                <c:pt idx="103" formatCode="0.0000">
                  <c:v>2.7352303463671945</c:v>
                </c:pt>
                <c:pt idx="104" formatCode="0.0000">
                  <c:v>2.2377161217326216</c:v>
                </c:pt>
                <c:pt idx="105" formatCode="0.0000">
                  <c:v>3.7598688935301388</c:v>
                </c:pt>
                <c:pt idx="106" formatCode="0.0000">
                  <c:v>4.1863684433080737</c:v>
                </c:pt>
                <c:pt idx="107" formatCode="0.0000">
                  <c:v>2.6852162006397102</c:v>
                </c:pt>
                <c:pt idx="108" formatCode="0.0000">
                  <c:v>2.9916070470305902</c:v>
                </c:pt>
                <c:pt idx="109" formatCode="0.0000">
                  <c:v>3.0969381931625324</c:v>
                </c:pt>
                <c:pt idx="110" formatCode="0.0000">
                  <c:v>2.8587602518155677</c:v>
                </c:pt>
                <c:pt idx="111" formatCode="0.0000">
                  <c:v>2.9864378168571313</c:v>
                </c:pt>
                <c:pt idx="112" formatCode="0.0000">
                  <c:v>1.593930574503819</c:v>
                </c:pt>
                <c:pt idx="113" formatCode="0.0000">
                  <c:v>1.8243374658961149</c:v>
                </c:pt>
                <c:pt idx="114" formatCode="0.0000">
                  <c:v>1.4995010795447217</c:v>
                </c:pt>
                <c:pt idx="115" formatCode="0.0000">
                  <c:v>1.5719686465365938</c:v>
                </c:pt>
                <c:pt idx="116" formatCode="0.0000">
                  <c:v>1.4666375004046517</c:v>
                </c:pt>
                <c:pt idx="117" formatCode="0.0000">
                  <c:v>1.6255735046952968</c:v>
                </c:pt>
                <c:pt idx="118" formatCode="0.0000">
                  <c:v>1.5761064065393522</c:v>
                </c:pt>
                <c:pt idx="119" formatCode="0.0000">
                  <c:v>1.5300768379053091</c:v>
                </c:pt>
                <c:pt idx="120" formatCode="0.0000">
                  <c:v>1.1398145967610742</c:v>
                </c:pt>
                <c:pt idx="121" formatCode="0.0000">
                  <c:v>1.4408108204599805</c:v>
                </c:pt>
                <c:pt idx="122" formatCode="0.0000">
                  <c:v>1.2104311141074233</c:v>
                </c:pt>
                <c:pt idx="123" formatCode="0.0000">
                  <c:v>1.3285500664608707</c:v>
                </c:pt>
                <c:pt idx="124" formatCode="0.0000">
                  <c:v>1.1998928424944679</c:v>
                </c:pt>
                <c:pt idx="125" formatCode="0.0000">
                  <c:v>1.18992227205912</c:v>
                </c:pt>
                <c:pt idx="126" formatCode="0.0000">
                  <c:v>1.1431774849256378</c:v>
                </c:pt>
                <c:pt idx="127" formatCode="0.0000">
                  <c:v>0.87653328489964188</c:v>
                </c:pt>
                <c:pt idx="128" formatCode="0.0000">
                  <c:v>0.54633547689087558</c:v>
                </c:pt>
                <c:pt idx="129" formatCode="0.0000">
                  <c:v>0.49394549649912683</c:v>
                </c:pt>
                <c:pt idx="130" formatCode="0.0000">
                  <c:v>0.47662967349361729</c:v>
                </c:pt>
                <c:pt idx="131" formatCode="0.0000">
                  <c:v>0.44635089316937482</c:v>
                </c:pt>
                <c:pt idx="132" formatCode="0.0000">
                  <c:v>0.50087747057504639</c:v>
                </c:pt>
                <c:pt idx="133" formatCode="0.0000">
                  <c:v>0.46400629689836742</c:v>
                </c:pt>
                <c:pt idx="134" formatCode="0.0000">
                  <c:v>0.61017038402461654</c:v>
                </c:pt>
                <c:pt idx="135" formatCode="0.0000">
                  <c:v>0.46582241696857629</c:v>
                </c:pt>
                <c:pt idx="136" formatCode="0.0000">
                  <c:v>0.79464046808143429</c:v>
                </c:pt>
                <c:pt idx="137" formatCode="0.0000">
                  <c:v>0.76012288122520866</c:v>
                </c:pt>
                <c:pt idx="138" formatCode="0.0000">
                  <c:v>0.9036868922908059</c:v>
                </c:pt>
                <c:pt idx="139" formatCode="0.0000">
                  <c:v>1.0678456222612687</c:v>
                </c:pt>
                <c:pt idx="140" formatCode="0.0000">
                  <c:v>1.6321317260639308</c:v>
                </c:pt>
                <c:pt idx="141" formatCode="0.0000">
                  <c:v>2.2358283642448704</c:v>
                </c:pt>
                <c:pt idx="142" formatCode="0.0000">
                  <c:v>2.2907248870797297</c:v>
                </c:pt>
                <c:pt idx="143" formatCode="0.0000">
                  <c:v>2.0463909794479163</c:v>
                </c:pt>
                <c:pt idx="144" formatCode="0.0000">
                  <c:v>2.0381087562903821</c:v>
                </c:pt>
                <c:pt idx="145" formatCode="0.0000">
                  <c:v>2.0213077057770961</c:v>
                </c:pt>
                <c:pt idx="146" formatCode="0.0000">
                  <c:v>1.7343825019506907</c:v>
                </c:pt>
                <c:pt idx="147" formatCode="0.0000">
                  <c:v>1.3579829290341858</c:v>
                </c:pt>
                <c:pt idx="148" formatCode="0.0000">
                  <c:v>0.78791287089715389</c:v>
                </c:pt>
                <c:pt idx="149" formatCode="0.0000">
                  <c:v>0.90640322673349161</c:v>
                </c:pt>
                <c:pt idx="150" formatCode="0.0000">
                  <c:v>1.0286807943664038</c:v>
                </c:pt>
                <c:pt idx="151" formatCode="0.0000">
                  <c:v>1.4638275901087976</c:v>
                </c:pt>
                <c:pt idx="152" formatCode="0.0000">
                  <c:v>1.4444814305598315</c:v>
                </c:pt>
                <c:pt idx="153" formatCode="0.0000">
                  <c:v>1.4667541433145388</c:v>
                </c:pt>
                <c:pt idx="154" formatCode="0.0000">
                  <c:v>1.3801744963049156</c:v>
                </c:pt>
                <c:pt idx="155" formatCode="0.0000">
                  <c:v>1.5439045778059983</c:v>
                </c:pt>
                <c:pt idx="156" formatCode="0.0000">
                  <c:v>1.6346183799258427</c:v>
                </c:pt>
                <c:pt idx="157" formatCode="0.0000">
                  <c:v>1.6654533713087269</c:v>
                </c:pt>
                <c:pt idx="158" formatCode="0.0000">
                  <c:v>1.6503134711008121</c:v>
                </c:pt>
                <c:pt idx="159" formatCode="0.0000">
                  <c:v>1.9132611894114986</c:v>
                </c:pt>
                <c:pt idx="160" formatCode="0.0000">
                  <c:v>1.9513326385604146</c:v>
                </c:pt>
                <c:pt idx="161" formatCode="0.0000">
                  <c:v>2.200805137358016</c:v>
                </c:pt>
                <c:pt idx="162" formatCode="0.0000">
                  <c:v>2.1567583336631584</c:v>
                </c:pt>
                <c:pt idx="163" formatCode="0.0000">
                  <c:v>1.9789651041753971</c:v>
                </c:pt>
                <c:pt idx="164" formatCode="0.0000">
                  <c:v>1.778342444602768</c:v>
                </c:pt>
                <c:pt idx="165" formatCode="0.0000">
                  <c:v>1.4179137908030957</c:v>
                </c:pt>
                <c:pt idx="166" formatCode="0.0000">
                  <c:v>1.1337139635453737</c:v>
                </c:pt>
                <c:pt idx="167" formatCode="0.0000">
                  <c:v>1.1738472772459754</c:v>
                </c:pt>
                <c:pt idx="168" formatCode="0.0000">
                  <c:v>0.89937634919971721</c:v>
                </c:pt>
                <c:pt idx="169" formatCode="0.0000">
                  <c:v>0.81449280746375252</c:v>
                </c:pt>
                <c:pt idx="170" formatCode="0.0000">
                  <c:v>0.85213567393725109</c:v>
                </c:pt>
                <c:pt idx="171" formatCode="0.0000">
                  <c:v>1.0106244126122446</c:v>
                </c:pt>
                <c:pt idx="172" formatCode="0.0000">
                  <c:v>1.0453295782955456</c:v>
                </c:pt>
                <c:pt idx="173" formatCode="0.0000">
                  <c:v>1.1686984149627992</c:v>
                </c:pt>
                <c:pt idx="174" formatCode="0.0000">
                  <c:v>1.0760783750907197</c:v>
                </c:pt>
                <c:pt idx="175" formatCode="0.0000">
                  <c:v>1.1905284112219867</c:v>
                </c:pt>
                <c:pt idx="176" formatCode="0.0000">
                  <c:v>1.1839821183944559</c:v>
                </c:pt>
                <c:pt idx="177" formatCode="0.0000">
                  <c:v>1.4750704258478058</c:v>
                </c:pt>
                <c:pt idx="178" formatCode="0.0000">
                  <c:v>1.3242506231001272</c:v>
                </c:pt>
                <c:pt idx="179" formatCode="0.0000">
                  <c:v>1.2617111884533414</c:v>
                </c:pt>
                <c:pt idx="180" formatCode="0.0000">
                  <c:v>1.1672689982404201</c:v>
                </c:pt>
                <c:pt idx="181" formatCode="0.0000">
                  <c:v>1.1733384101056676</c:v>
                </c:pt>
                <c:pt idx="182" formatCode="0.0000">
                  <c:v>1.0785091947301453</c:v>
                </c:pt>
                <c:pt idx="183" formatCode="0.0000">
                  <c:v>1.029831845943963</c:v>
                </c:pt>
                <c:pt idx="184" formatCode="0.0000">
                  <c:v>0.74681714479703776</c:v>
                </c:pt>
                <c:pt idx="185" formatCode="0.0000">
                  <c:v>0.73121340678145408</c:v>
                </c:pt>
                <c:pt idx="186" formatCode="0.0000">
                  <c:v>0.77734496664602204</c:v>
                </c:pt>
                <c:pt idx="187" formatCode="0.0000">
                  <c:v>0.73922259420304037</c:v>
                </c:pt>
                <c:pt idx="188" formatCode="0.0000">
                  <c:v>0.86262578239501031</c:v>
                </c:pt>
                <c:pt idx="189" formatCode="0.0000">
                  <c:v>0.80352138493157421</c:v>
                </c:pt>
                <c:pt idx="190" formatCode="0.0000">
                  <c:v>0.82952143705139991</c:v>
                </c:pt>
                <c:pt idx="191" formatCode="0.0000">
                  <c:v>0.82591457794953194</c:v>
                </c:pt>
                <c:pt idx="192" formatCode="0.0000">
                  <c:v>0.87117707003296496</c:v>
                </c:pt>
                <c:pt idx="193" formatCode="0.0000">
                  <c:v>0.91087736944885822</c:v>
                </c:pt>
                <c:pt idx="194" formatCode="0.0000">
                  <c:v>0.9566976572584398</c:v>
                </c:pt>
                <c:pt idx="195" formatCode="0.0000">
                  <c:v>0.83864513491129655</c:v>
                </c:pt>
                <c:pt idx="196" formatCode="0.0000">
                  <c:v>1.0327755130951872</c:v>
                </c:pt>
                <c:pt idx="197" formatCode="0.0000">
                  <c:v>0.97880521557928124</c:v>
                </c:pt>
                <c:pt idx="198" formatCode="0.0000">
                  <c:v>1.14690168696551</c:v>
                </c:pt>
                <c:pt idx="199" formatCode="0.0000">
                  <c:v>1.2069435500264336</c:v>
                </c:pt>
                <c:pt idx="200" formatCode="0.0000">
                  <c:v>1.2106450586724136</c:v>
                </c:pt>
                <c:pt idx="201" formatCode="0.0000">
                  <c:v>1.2686986531448508</c:v>
                </c:pt>
                <c:pt idx="202" formatCode="0.0000">
                  <c:v>1.3327460423951281</c:v>
                </c:pt>
                <c:pt idx="203" formatCode="0.0000">
                  <c:v>1.2709351429875311</c:v>
                </c:pt>
                <c:pt idx="204" formatCode="0.0000">
                  <c:v>1.4063769584557839</c:v>
                </c:pt>
                <c:pt idx="205" formatCode="0.0000">
                  <c:v>1.2704606678429105</c:v>
                </c:pt>
                <c:pt idx="206" formatCode="0.0000">
                  <c:v>1.6369160344878237</c:v>
                </c:pt>
                <c:pt idx="207" formatCode="0.0000">
                  <c:v>1.6605289493826052</c:v>
                </c:pt>
                <c:pt idx="208" formatCode="0.0000">
                  <c:v>1.8446861304891136</c:v>
                </c:pt>
                <c:pt idx="209" formatCode="0.0000">
                  <c:v>1.8123512379526725</c:v>
                </c:pt>
                <c:pt idx="210" formatCode="0.0000">
                  <c:v>1.8437361052126149</c:v>
                </c:pt>
                <c:pt idx="211" formatCode="0.0000">
                  <c:v>1.8309549287544493</c:v>
                </c:pt>
                <c:pt idx="212" formatCode="0.0000">
                  <c:v>2.0184260553088476</c:v>
                </c:pt>
                <c:pt idx="213" formatCode="0.0000">
                  <c:v>1.6253991629128623</c:v>
                </c:pt>
                <c:pt idx="214" formatCode="0.0000">
                  <c:v>1.625319589502785</c:v>
                </c:pt>
                <c:pt idx="215" formatCode="0.0000">
                  <c:v>1.434037728885768</c:v>
                </c:pt>
                <c:pt idx="216" formatCode="0.0000">
                  <c:v>1.4514316498390059</c:v>
                </c:pt>
                <c:pt idx="217" formatCode="0.0000">
                  <c:v>1.3432605455735822</c:v>
                </c:pt>
                <c:pt idx="218" formatCode="0.0000">
                  <c:v>1.4199219620993777</c:v>
                </c:pt>
                <c:pt idx="219" formatCode="0.0000">
                  <c:v>1.3175139819858546</c:v>
                </c:pt>
                <c:pt idx="220" formatCode="0.0000">
                  <c:v>1.3300485611657946</c:v>
                </c:pt>
                <c:pt idx="221" formatCode="0.0000">
                  <c:v>1.3446162561638062</c:v>
                </c:pt>
                <c:pt idx="222" formatCode="0.0000">
                  <c:v>1.3658465478669839</c:v>
                </c:pt>
                <c:pt idx="223" formatCode="0.0000">
                  <c:v>1.4250722228998463</c:v>
                </c:pt>
                <c:pt idx="224" formatCode="0.0000">
                  <c:v>1.4729504286507615</c:v>
                </c:pt>
                <c:pt idx="225" formatCode="0.0000">
                  <c:v>1.491074207556816</c:v>
                </c:pt>
                <c:pt idx="226" formatCode="0.0000">
                  <c:v>1.527293981810703</c:v>
                </c:pt>
                <c:pt idx="227" formatCode="0.0000">
                  <c:v>1.5454171686180433</c:v>
                </c:pt>
                <c:pt idx="228" formatCode="0.0000">
                  <c:v>1.5938989644368764</c:v>
                </c:pt>
                <c:pt idx="229" formatCode="0.0000">
                  <c:v>1.6208967325858157</c:v>
                </c:pt>
                <c:pt idx="230" formatCode="0.0000">
                  <c:v>1.6793778721120074</c:v>
                </c:pt>
                <c:pt idx="231" formatCode="0.0000">
                  <c:v>1.6940494415105432</c:v>
                </c:pt>
                <c:pt idx="232" formatCode="0.0000">
                  <c:v>1.6680316449565804</c:v>
                </c:pt>
                <c:pt idx="233" formatCode="0.0000">
                  <c:v>1.6306508189727731</c:v>
                </c:pt>
                <c:pt idx="234" formatCode="0.0000">
                  <c:v>1.6566093899614036</c:v>
                </c:pt>
                <c:pt idx="235" formatCode="0.0000">
                  <c:v>1.6104008610123066</c:v>
                </c:pt>
                <c:pt idx="236" formatCode="0.0000">
                  <c:v>1.590071715643935</c:v>
                </c:pt>
                <c:pt idx="237" formatCode="0.0000">
                  <c:v>1.6112109732873243</c:v>
                </c:pt>
                <c:pt idx="238" formatCode="0.0000">
                  <c:v>1.6146915665069195</c:v>
                </c:pt>
                <c:pt idx="239" formatCode="0.0000">
                  <c:v>1.520893680028085</c:v>
                </c:pt>
                <c:pt idx="240" formatCode="0.0000">
                  <c:v>1.5268468993153534</c:v>
                </c:pt>
                <c:pt idx="241" formatCode="0.0000">
                  <c:v>1.5222115444907323</c:v>
                </c:pt>
                <c:pt idx="242" formatCode="0.0000">
                  <c:v>1.5877656559657238</c:v>
                </c:pt>
                <c:pt idx="243" formatCode="0.0000">
                  <c:v>1.5687418133698352</c:v>
                </c:pt>
                <c:pt idx="244" formatCode="0.0000">
                  <c:v>1.5511368974555033</c:v>
                </c:pt>
                <c:pt idx="245" formatCode="0.0000">
                  <c:v>1.5686099374774665</c:v>
                </c:pt>
                <c:pt idx="246" formatCode="0.0000">
                  <c:v>1.5270009742832973</c:v>
                </c:pt>
                <c:pt idx="247" formatCode="0.0000">
                  <c:v>1.5058746455980565</c:v>
                </c:pt>
                <c:pt idx="248" formatCode="0.0000">
                  <c:v>1.4693382424627355</c:v>
                </c:pt>
                <c:pt idx="249" formatCode="0.0000">
                  <c:v>1.3516025746152585</c:v>
                </c:pt>
                <c:pt idx="250" formatCode="0.0000">
                  <c:v>1.3033319169600632</c:v>
                </c:pt>
                <c:pt idx="251" formatCode="0.0000">
                  <c:v>1.2822055960360312</c:v>
                </c:pt>
                <c:pt idx="252" formatCode="0.0000">
                  <c:v>1.259977705982781</c:v>
                </c:pt>
                <c:pt idx="253" formatCode="0.0000">
                  <c:v>1.2172954658999617</c:v>
                </c:pt>
                <c:pt idx="254" formatCode="0.0000">
                  <c:v>1.2018602778641974</c:v>
                </c:pt>
                <c:pt idx="255" formatCode="0.0000">
                  <c:v>1.1453746635546822</c:v>
                </c:pt>
                <c:pt idx="256" formatCode="0.0000">
                  <c:v>1.1897467482822162</c:v>
                </c:pt>
                <c:pt idx="257" formatCode="0.0000">
                  <c:v>1.2195681273409096</c:v>
                </c:pt>
                <c:pt idx="258" formatCode="0.0000">
                  <c:v>1.2549127691912447</c:v>
                </c:pt>
                <c:pt idx="259" formatCode="0.0000">
                  <c:v>1.1868122999821513</c:v>
                </c:pt>
                <c:pt idx="260" formatCode="0.0000">
                  <c:v>1.1965017346974267</c:v>
                </c:pt>
                <c:pt idx="261" formatCode="0.0000">
                  <c:v>1.1811835998831133</c:v>
                </c:pt>
                <c:pt idx="262" formatCode="0.0000">
                  <c:v>1.211962157970738</c:v>
                </c:pt>
                <c:pt idx="263" formatCode="0.0000">
                  <c:v>1.2081175276220348</c:v>
                </c:pt>
                <c:pt idx="264" formatCode="0.0000">
                  <c:v>1.1899004021499382</c:v>
                </c:pt>
                <c:pt idx="265" formatCode="0.0000">
                  <c:v>1.1272872656115269</c:v>
                </c:pt>
                <c:pt idx="266" formatCode="0.0000">
                  <c:v>1.1191971219731873</c:v>
                </c:pt>
                <c:pt idx="267" formatCode="0.0000">
                  <c:v>1.1150826955168751</c:v>
                </c:pt>
                <c:pt idx="268" formatCode="0.0000">
                  <c:v>1.1269178541354974</c:v>
                </c:pt>
                <c:pt idx="269" formatCode="0.0000">
                  <c:v>1.1067949845426395</c:v>
                </c:pt>
                <c:pt idx="270" formatCode="0.0000">
                  <c:v>1.0489402617694388</c:v>
                </c:pt>
                <c:pt idx="271" formatCode="0.0000">
                  <c:v>0.99998064583513491</c:v>
                </c:pt>
                <c:pt idx="272" formatCode="0.0000">
                  <c:v>0.91252603320546055</c:v>
                </c:pt>
                <c:pt idx="273" formatCode="0.0000">
                  <c:v>0.9314880430452589</c:v>
                </c:pt>
                <c:pt idx="274" formatCode="0.0000">
                  <c:v>0.92980042756696524</c:v>
                </c:pt>
                <c:pt idx="275" formatCode="0.0000">
                  <c:v>0.91855358631003414</c:v>
                </c:pt>
                <c:pt idx="276" formatCode="0.0000">
                  <c:v>0.91687182222333075</c:v>
                </c:pt>
                <c:pt idx="277" formatCode="0.0000">
                  <c:v>0.89870216445790041</c:v>
                </c:pt>
                <c:pt idx="278" formatCode="0.0000">
                  <c:v>0.92290602243771858</c:v>
                </c:pt>
                <c:pt idx="279" formatCode="0.0000">
                  <c:v>0.90796992974320445</c:v>
                </c:pt>
                <c:pt idx="280" formatCode="0.0000">
                  <c:v>0.91703978250242457</c:v>
                </c:pt>
                <c:pt idx="281" formatCode="0.0000">
                  <c:v>0.90351285830426131</c:v>
                </c:pt>
                <c:pt idx="282" formatCode="0.0000">
                  <c:v>0.89195366043101421</c:v>
                </c:pt>
                <c:pt idx="283" formatCode="0.0000">
                  <c:v>0.95998342633852851</c:v>
                </c:pt>
                <c:pt idx="284" formatCode="0.0000">
                  <c:v>0.96232034971586722</c:v>
                </c:pt>
                <c:pt idx="285" formatCode="0.0000">
                  <c:v>0.96005437592729326</c:v>
                </c:pt>
                <c:pt idx="286" formatCode="0.0000">
                  <c:v>0.97307445180973173</c:v>
                </c:pt>
                <c:pt idx="287" formatCode="0.0000">
                  <c:v>0.98626596608606432</c:v>
                </c:pt>
                <c:pt idx="288" formatCode="0.0000">
                  <c:v>1.0244404499381958</c:v>
                </c:pt>
                <c:pt idx="289" formatCode="0.0000">
                  <c:v>1.0297538576530183</c:v>
                </c:pt>
                <c:pt idx="290" formatCode="0.0000">
                  <c:v>0.95242819887452546</c:v>
                </c:pt>
                <c:pt idx="291" formatCode="0.0000">
                  <c:v>0.95435780473652443</c:v>
                </c:pt>
                <c:pt idx="292" formatCode="0.0000">
                  <c:v>0.95417389538680042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668A-4E0C-8221-EFF03689051C}"/>
            </c:ext>
          </c:extLst>
        </c:ser>
        <c:ser>
          <c:idx val="14"/>
          <c:order val="14"/>
          <c:tx>
            <c:strRef>
              <c:f>'R(t) Województwa'!$DD$2</c:f>
              <c:strCache>
                <c:ptCount val="1"/>
                <c:pt idx="0">
                  <c:v>Wielkopolskie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Województwa'!$DD$3:$DD$1000</c:f>
              <c:numCache>
                <c:formatCode>General</c:formatCode>
                <c:ptCount val="998"/>
                <c:pt idx="28" formatCode="0.0000">
                  <c:v>1.0722938647909341</c:v>
                </c:pt>
                <c:pt idx="29" formatCode="0.0000">
                  <c:v>1.2326465456123974</c:v>
                </c:pt>
                <c:pt idx="30" formatCode="0.0000">
                  <c:v>1.3660928377778045</c:v>
                </c:pt>
                <c:pt idx="31" formatCode="0.0000">
                  <c:v>1.2837637098896719</c:v>
                </c:pt>
                <c:pt idx="32" formatCode="0.0000">
                  <c:v>1.2562015943236666</c:v>
                </c:pt>
                <c:pt idx="33" formatCode="0.0000">
                  <c:v>1.4210171666433322</c:v>
                </c:pt>
                <c:pt idx="34" formatCode="0.0000">
                  <c:v>1.5856124530115583</c:v>
                </c:pt>
                <c:pt idx="35" formatCode="0.0000">
                  <c:v>1.5547082370678074</c:v>
                </c:pt>
                <c:pt idx="36" formatCode="0.0000">
                  <c:v>1.6110825133071838</c:v>
                </c:pt>
                <c:pt idx="37" formatCode="0.0000">
                  <c:v>1.5665369500542154</c:v>
                </c:pt>
                <c:pt idx="38" formatCode="0.0000">
                  <c:v>1.6427798160617706</c:v>
                </c:pt>
                <c:pt idx="39" formatCode="0.0000">
                  <c:v>1.7406364628528632</c:v>
                </c:pt>
                <c:pt idx="40" formatCode="0.0000">
                  <c:v>1.5368133028411555</c:v>
                </c:pt>
                <c:pt idx="41" formatCode="0.0000">
                  <c:v>1.5209968579247468</c:v>
                </c:pt>
                <c:pt idx="42" formatCode="0.0000">
                  <c:v>1.5151110631431572</c:v>
                </c:pt>
                <c:pt idx="43" formatCode="0.0000">
                  <c:v>1.6184127729923878</c:v>
                </c:pt>
                <c:pt idx="44" formatCode="0.0000">
                  <c:v>1.5569329236532228</c:v>
                </c:pt>
                <c:pt idx="45" formatCode="0.0000">
                  <c:v>1.482420360358361</c:v>
                </c:pt>
                <c:pt idx="46" formatCode="0.0000">
                  <c:v>1.2733744635358342</c:v>
                </c:pt>
                <c:pt idx="47" formatCode="0.0000">
                  <c:v>1.5477776917115142</c:v>
                </c:pt>
                <c:pt idx="48" formatCode="0.0000">
                  <c:v>1.2730705303630414</c:v>
                </c:pt>
                <c:pt idx="49" formatCode="0.0000">
                  <c:v>1.241927064684536</c:v>
                </c:pt>
                <c:pt idx="50" formatCode="0.0000">
                  <c:v>0.93577781705862983</c:v>
                </c:pt>
                <c:pt idx="51" formatCode="0.0000">
                  <c:v>1.0234501688912923</c:v>
                </c:pt>
                <c:pt idx="52" formatCode="0.0000">
                  <c:v>1.0830669361034477</c:v>
                </c:pt>
                <c:pt idx="53" formatCode="0.0000">
                  <c:v>1.1147110120029053</c:v>
                </c:pt>
                <c:pt idx="54" formatCode="0.0000">
                  <c:v>0.84559720184588572</c:v>
                </c:pt>
                <c:pt idx="55" formatCode="0.0000">
                  <c:v>0.87807922820103967</c:v>
                </c:pt>
                <c:pt idx="56" formatCode="0.0000">
                  <c:v>0.89671385121859515</c:v>
                </c:pt>
                <c:pt idx="57" formatCode="0.0000">
                  <c:v>0.97194025203615175</c:v>
                </c:pt>
                <c:pt idx="58" formatCode="0.0000">
                  <c:v>0.84348449232792311</c:v>
                </c:pt>
                <c:pt idx="59" formatCode="0.0000">
                  <c:v>0.64107588704101481</c:v>
                </c:pt>
                <c:pt idx="60" formatCode="0.0000">
                  <c:v>0.76492146781803017</c:v>
                </c:pt>
                <c:pt idx="61" formatCode="0.0000">
                  <c:v>0.73462617764141402</c:v>
                </c:pt>
                <c:pt idx="62" formatCode="0.0000">
                  <c:v>0.66945194348068282</c:v>
                </c:pt>
                <c:pt idx="63" formatCode="0.0000">
                  <c:v>0.8743713462481798</c:v>
                </c:pt>
                <c:pt idx="64" formatCode="0.0000">
                  <c:v>0.81571051559863705</c:v>
                </c:pt>
                <c:pt idx="65" formatCode="0.0000">
                  <c:v>0.82869526409384153</c:v>
                </c:pt>
                <c:pt idx="66" formatCode="0.0000">
                  <c:v>0.88662819530444281</c:v>
                </c:pt>
                <c:pt idx="67" formatCode="0.0000">
                  <c:v>0.74909034997115376</c:v>
                </c:pt>
                <c:pt idx="68" formatCode="0.0000">
                  <c:v>0.66732076680789187</c:v>
                </c:pt>
                <c:pt idx="69" formatCode="0.0000">
                  <c:v>0.78061117867961793</c:v>
                </c:pt>
                <c:pt idx="70" formatCode="0.0000">
                  <c:v>0.53510488105113641</c:v>
                </c:pt>
                <c:pt idx="71" formatCode="0.0000">
                  <c:v>0.54103485300257326</c:v>
                </c:pt>
                <c:pt idx="72" formatCode="0.0000">
                  <c:v>0.52876373649928132</c:v>
                </c:pt>
                <c:pt idx="73" formatCode="0.0000">
                  <c:v>0.58451836102722055</c:v>
                </c:pt>
                <c:pt idx="74" formatCode="0.0000">
                  <c:v>0.55036234610396262</c:v>
                </c:pt>
                <c:pt idx="75" formatCode="0.0000">
                  <c:v>0.86538931423451104</c:v>
                </c:pt>
                <c:pt idx="76" formatCode="0.0000">
                  <c:v>0.79709856659616729</c:v>
                </c:pt>
                <c:pt idx="77" formatCode="0.0000">
                  <c:v>0.77011923012881345</c:v>
                </c:pt>
                <c:pt idx="78" formatCode="0.0000">
                  <c:v>1.3780264241824778</c:v>
                </c:pt>
                <c:pt idx="79" formatCode="0.0000">
                  <c:v>1.4280931664325931</c:v>
                </c:pt>
                <c:pt idx="80" formatCode="0.0000">
                  <c:v>1.3922968052618465</c:v>
                </c:pt>
                <c:pt idx="81" formatCode="0.0000">
                  <c:v>1.4236045169794704</c:v>
                </c:pt>
                <c:pt idx="82" formatCode="0.0000">
                  <c:v>1.5128136782958685</c:v>
                </c:pt>
                <c:pt idx="83" formatCode="0.0000">
                  <c:v>1.5144881736418836</c:v>
                </c:pt>
                <c:pt idx="84" formatCode="0.0000">
                  <c:v>1.5741989899375588</c:v>
                </c:pt>
                <c:pt idx="85" formatCode="0.0000">
                  <c:v>1.2041195027682956</c:v>
                </c:pt>
                <c:pt idx="86" formatCode="0.0000">
                  <c:v>1.1348460251782011</c:v>
                </c:pt>
                <c:pt idx="87" formatCode="0.0000">
                  <c:v>1.1135914591366325</c:v>
                </c:pt>
                <c:pt idx="88" formatCode="0.0000">
                  <c:v>1.0512897338163898</c:v>
                </c:pt>
                <c:pt idx="89" formatCode="0.0000">
                  <c:v>0.65542992874227346</c:v>
                </c:pt>
                <c:pt idx="90" formatCode="0.0000">
                  <c:v>0.59959644760663156</c:v>
                </c:pt>
                <c:pt idx="91" formatCode="0.0000">
                  <c:v>0.76407481869235894</c:v>
                </c:pt>
                <c:pt idx="92" formatCode="0.0000">
                  <c:v>0.578362737267339</c:v>
                </c:pt>
                <c:pt idx="93" formatCode="0.0000">
                  <c:v>0.58214116040635311</c:v>
                </c:pt>
                <c:pt idx="94" formatCode="0.0000">
                  <c:v>0.54163093059894107</c:v>
                </c:pt>
                <c:pt idx="95" formatCode="0.0000">
                  <c:v>0.88733169874171047</c:v>
                </c:pt>
                <c:pt idx="96" formatCode="0.0000">
                  <c:v>0.97051541699562416</c:v>
                </c:pt>
                <c:pt idx="97" formatCode="0.0000">
                  <c:v>1.0337727911050723</c:v>
                </c:pt>
                <c:pt idx="98" formatCode="0.0000">
                  <c:v>0.88424420423775929</c:v>
                </c:pt>
                <c:pt idx="99" formatCode="0.0000">
                  <c:v>0.80623549492948732</c:v>
                </c:pt>
                <c:pt idx="100" formatCode="0.0000">
                  <c:v>0.9784207818332924</c:v>
                </c:pt>
                <c:pt idx="101" formatCode="0.0000">
                  <c:v>1.0537114031300234</c:v>
                </c:pt>
                <c:pt idx="102" formatCode="0.0000">
                  <c:v>0.90877137363849381</c:v>
                </c:pt>
                <c:pt idx="103" formatCode="0.0000">
                  <c:v>0.92014750486771535</c:v>
                </c:pt>
                <c:pt idx="104" formatCode="0.0000">
                  <c:v>0.96317706450748131</c:v>
                </c:pt>
                <c:pt idx="105" formatCode="0.0000">
                  <c:v>0.91887929596391782</c:v>
                </c:pt>
                <c:pt idx="106" formatCode="0.0000">
                  <c:v>0.97802161367951768</c:v>
                </c:pt>
                <c:pt idx="107" formatCode="0.0000">
                  <c:v>0.81818884686946269</c:v>
                </c:pt>
                <c:pt idx="108" formatCode="0.0000">
                  <c:v>0.82894290976699991</c:v>
                </c:pt>
                <c:pt idx="109" formatCode="0.0000">
                  <c:v>0.70505996966130202</c:v>
                </c:pt>
                <c:pt idx="110" formatCode="0.0000">
                  <c:v>0.66856226962992149</c:v>
                </c:pt>
                <c:pt idx="111" formatCode="0.0000">
                  <c:v>0.74963419733350867</c:v>
                </c:pt>
                <c:pt idx="112" formatCode="0.0000">
                  <c:v>0.9758967368616932</c:v>
                </c:pt>
                <c:pt idx="113" formatCode="0.0000">
                  <c:v>1.0280016982413247</c:v>
                </c:pt>
                <c:pt idx="114" formatCode="0.0000">
                  <c:v>1.0273323204070823</c:v>
                </c:pt>
                <c:pt idx="115" formatCode="0.0000">
                  <c:v>1.2631112348567866</c:v>
                </c:pt>
                <c:pt idx="116" formatCode="0.0000">
                  <c:v>1.5744956850181988</c:v>
                </c:pt>
                <c:pt idx="117" formatCode="0.0000">
                  <c:v>1.51103977049373</c:v>
                </c:pt>
                <c:pt idx="118" formatCode="0.0000">
                  <c:v>1.5219910734529087</c:v>
                </c:pt>
                <c:pt idx="119" formatCode="0.0000">
                  <c:v>1.4086283908544301</c:v>
                </c:pt>
                <c:pt idx="120" formatCode="0.0000">
                  <c:v>1.9611224644596186</c:v>
                </c:pt>
                <c:pt idx="121" formatCode="0.0000">
                  <c:v>1.996496997268018</c:v>
                </c:pt>
                <c:pt idx="122" formatCode="0.0000">
                  <c:v>1.8515063909227027</c:v>
                </c:pt>
                <c:pt idx="123" formatCode="0.0000">
                  <c:v>1.6923624261902754</c:v>
                </c:pt>
                <c:pt idx="124" formatCode="0.0000">
                  <c:v>1.8111266549811145</c:v>
                </c:pt>
                <c:pt idx="125" formatCode="0.0000">
                  <c:v>1.6080716606683456</c:v>
                </c:pt>
                <c:pt idx="126" formatCode="0.0000">
                  <c:v>1.7503937735392194</c:v>
                </c:pt>
                <c:pt idx="127" formatCode="0.0000">
                  <c:v>1.1212497359658353</c:v>
                </c:pt>
                <c:pt idx="128" formatCode="0.0000">
                  <c:v>1.1107655713457594</c:v>
                </c:pt>
                <c:pt idx="129" formatCode="0.0000">
                  <c:v>0.97888275464464236</c:v>
                </c:pt>
                <c:pt idx="130" formatCode="0.0000">
                  <c:v>0.93068056454459325</c:v>
                </c:pt>
                <c:pt idx="131" formatCode="0.0000">
                  <c:v>1.1889992762384496</c:v>
                </c:pt>
                <c:pt idx="132" formatCode="0.0000">
                  <c:v>1.2250793927686439</c:v>
                </c:pt>
                <c:pt idx="133" formatCode="0.0000">
                  <c:v>1.0905196180299783</c:v>
                </c:pt>
                <c:pt idx="134" formatCode="0.0000">
                  <c:v>1.0757798490707631</c:v>
                </c:pt>
                <c:pt idx="135" formatCode="0.0000">
                  <c:v>1.0419353942022036</c:v>
                </c:pt>
                <c:pt idx="136" formatCode="0.0000">
                  <c:v>1.157707300871343</c:v>
                </c:pt>
                <c:pt idx="137" formatCode="0.0000">
                  <c:v>1.0098728419759584</c:v>
                </c:pt>
                <c:pt idx="138" formatCode="0.0000">
                  <c:v>0.70972798392948777</c:v>
                </c:pt>
                <c:pt idx="139" formatCode="0.0000">
                  <c:v>0.79709341855000326</c:v>
                </c:pt>
                <c:pt idx="140" formatCode="0.0000">
                  <c:v>0.71273359001645764</c:v>
                </c:pt>
                <c:pt idx="141" formatCode="0.0000">
                  <c:v>0.74634511603826936</c:v>
                </c:pt>
                <c:pt idx="142" formatCode="0.0000">
                  <c:v>0.74474360294858521</c:v>
                </c:pt>
                <c:pt idx="143" formatCode="0.0000">
                  <c:v>0.62876752064554187</c:v>
                </c:pt>
                <c:pt idx="144" formatCode="0.0000">
                  <c:v>0.78239725961624551</c:v>
                </c:pt>
                <c:pt idx="145" formatCode="0.0000">
                  <c:v>0.82154576925234146</c:v>
                </c:pt>
                <c:pt idx="146" formatCode="0.0000">
                  <c:v>0.73311620611832562</c:v>
                </c:pt>
                <c:pt idx="147" formatCode="0.0000">
                  <c:v>0.89632663385691314</c:v>
                </c:pt>
                <c:pt idx="148" formatCode="0.0000">
                  <c:v>0.86745189867600525</c:v>
                </c:pt>
                <c:pt idx="149" formatCode="0.0000">
                  <c:v>0.94730462475919663</c:v>
                </c:pt>
                <c:pt idx="150" formatCode="0.0000">
                  <c:v>1.2098825032747162</c:v>
                </c:pt>
                <c:pt idx="151" formatCode="0.0000">
                  <c:v>1.2018001886945426</c:v>
                </c:pt>
                <c:pt idx="152" formatCode="0.0000">
                  <c:v>1.3987962851049782</c:v>
                </c:pt>
                <c:pt idx="153" formatCode="0.0000">
                  <c:v>1.7085014892135126</c:v>
                </c:pt>
                <c:pt idx="154" formatCode="0.0000">
                  <c:v>1.7343393065734058</c:v>
                </c:pt>
                <c:pt idx="155" formatCode="0.0000">
                  <c:v>1.9228502068853823</c:v>
                </c:pt>
                <c:pt idx="156" formatCode="0.0000">
                  <c:v>1.9850567926187934</c:v>
                </c:pt>
                <c:pt idx="157" formatCode="0.0000">
                  <c:v>1.7581829722944697</c:v>
                </c:pt>
                <c:pt idx="158" formatCode="0.0000">
                  <c:v>1.7008487702660795</c:v>
                </c:pt>
                <c:pt idx="159" formatCode="0.0000">
                  <c:v>1.5248106174736218</c:v>
                </c:pt>
                <c:pt idx="160" formatCode="0.0000">
                  <c:v>1.301046077099647</c:v>
                </c:pt>
                <c:pt idx="161" formatCode="0.0000">
                  <c:v>1.0981624095534965</c:v>
                </c:pt>
                <c:pt idx="162" formatCode="0.0000">
                  <c:v>0.9326165627726235</c:v>
                </c:pt>
                <c:pt idx="163" formatCode="0.0000">
                  <c:v>0.85802599859914963</c:v>
                </c:pt>
                <c:pt idx="164" formatCode="0.0000">
                  <c:v>0.86644566628510999</c:v>
                </c:pt>
                <c:pt idx="165" formatCode="0.0000">
                  <c:v>0.90652064510229979</c:v>
                </c:pt>
                <c:pt idx="166" formatCode="0.0000">
                  <c:v>0.88766248530811609</c:v>
                </c:pt>
                <c:pt idx="167" formatCode="0.0000">
                  <c:v>0.81592822006702814</c:v>
                </c:pt>
                <c:pt idx="168" formatCode="0.0000">
                  <c:v>0.84588106089525283</c:v>
                </c:pt>
                <c:pt idx="169" formatCode="0.0000">
                  <c:v>0.87409782035392403</c:v>
                </c:pt>
                <c:pt idx="170" formatCode="0.0000">
                  <c:v>0.97037118991079419</c:v>
                </c:pt>
                <c:pt idx="171" formatCode="0.0000">
                  <c:v>1.0665556010790207</c:v>
                </c:pt>
                <c:pt idx="172" formatCode="0.0000">
                  <c:v>1.1054716512621556</c:v>
                </c:pt>
                <c:pt idx="173" formatCode="0.0000">
                  <c:v>1.0840431772205215</c:v>
                </c:pt>
                <c:pt idx="174" formatCode="0.0000">
                  <c:v>1.1352503241125838</c:v>
                </c:pt>
                <c:pt idx="175" formatCode="0.0000">
                  <c:v>1.0961422466244217</c:v>
                </c:pt>
                <c:pt idx="176" formatCode="0.0000">
                  <c:v>1.2219828423423706</c:v>
                </c:pt>
                <c:pt idx="177" formatCode="0.0000">
                  <c:v>1.2068652095065933</c:v>
                </c:pt>
                <c:pt idx="178" formatCode="0.0000">
                  <c:v>1.2039949012023314</c:v>
                </c:pt>
                <c:pt idx="179" formatCode="0.0000">
                  <c:v>1.2000715074691801</c:v>
                </c:pt>
                <c:pt idx="180" formatCode="0.0000">
                  <c:v>1.2251234878582302</c:v>
                </c:pt>
                <c:pt idx="181" formatCode="0.0000">
                  <c:v>1.1542165856232292</c:v>
                </c:pt>
                <c:pt idx="182" formatCode="0.0000">
                  <c:v>1.1396432659404747</c:v>
                </c:pt>
                <c:pt idx="183" formatCode="0.0000">
                  <c:v>1.0141755429291011</c:v>
                </c:pt>
                <c:pt idx="184" formatCode="0.0000">
                  <c:v>0.90815300029477186</c:v>
                </c:pt>
                <c:pt idx="185" formatCode="0.0000">
                  <c:v>0.9328506315859969</c:v>
                </c:pt>
                <c:pt idx="186" formatCode="0.0000">
                  <c:v>0.86541219594681007</c:v>
                </c:pt>
                <c:pt idx="187" formatCode="0.0000">
                  <c:v>0.81081875071419163</c:v>
                </c:pt>
                <c:pt idx="188" formatCode="0.0000">
                  <c:v>0.80223000619787066</c:v>
                </c:pt>
                <c:pt idx="189" formatCode="0.0000">
                  <c:v>0.82034106281805941</c:v>
                </c:pt>
                <c:pt idx="190" formatCode="0.0000">
                  <c:v>0.77526950105308023</c:v>
                </c:pt>
                <c:pt idx="191" formatCode="0.0000">
                  <c:v>0.89203424489030247</c:v>
                </c:pt>
                <c:pt idx="192" formatCode="0.0000">
                  <c:v>0.82187348781468506</c:v>
                </c:pt>
                <c:pt idx="193" formatCode="0.0000">
                  <c:v>0.82553947276849027</c:v>
                </c:pt>
                <c:pt idx="194" formatCode="0.0000">
                  <c:v>0.94756109179763259</c:v>
                </c:pt>
                <c:pt idx="195" formatCode="0.0000">
                  <c:v>0.95632357446881677</c:v>
                </c:pt>
                <c:pt idx="196" formatCode="0.0000">
                  <c:v>0.95264995591551993</c:v>
                </c:pt>
                <c:pt idx="197" formatCode="0.0000">
                  <c:v>0.93332029761941526</c:v>
                </c:pt>
                <c:pt idx="198" formatCode="0.0000">
                  <c:v>0.94642502777728432</c:v>
                </c:pt>
                <c:pt idx="199" formatCode="0.0000">
                  <c:v>1.0120834907365706</c:v>
                </c:pt>
                <c:pt idx="200" formatCode="0.0000">
                  <c:v>1.135276210197969</c:v>
                </c:pt>
                <c:pt idx="201" formatCode="0.0000">
                  <c:v>1.2384548114054823</c:v>
                </c:pt>
                <c:pt idx="202" formatCode="0.0000">
                  <c:v>1.2893752682211381</c:v>
                </c:pt>
                <c:pt idx="203" formatCode="0.0000">
                  <c:v>1.2889515509527214</c:v>
                </c:pt>
                <c:pt idx="204" formatCode="0.0000">
                  <c:v>1.4071260008359201</c:v>
                </c:pt>
                <c:pt idx="205" formatCode="0.0000">
                  <c:v>1.352753165764113</c:v>
                </c:pt>
                <c:pt idx="206" formatCode="0.0000">
                  <c:v>1.3094145762924756</c:v>
                </c:pt>
                <c:pt idx="207" formatCode="0.0000">
                  <c:v>1.3968566843674191</c:v>
                </c:pt>
                <c:pt idx="208" formatCode="0.0000">
                  <c:v>1.2678944600376774</c:v>
                </c:pt>
                <c:pt idx="209" formatCode="0.0000">
                  <c:v>1.4917183706718349</c:v>
                </c:pt>
                <c:pt idx="210" formatCode="0.0000">
                  <c:v>1.5260714402377864</c:v>
                </c:pt>
                <c:pt idx="211" formatCode="0.0000">
                  <c:v>1.5495785581441628</c:v>
                </c:pt>
                <c:pt idx="212" formatCode="0.0000">
                  <c:v>1.5947950672403308</c:v>
                </c:pt>
                <c:pt idx="213" formatCode="0.0000">
                  <c:v>1.6573370488215373</c:v>
                </c:pt>
                <c:pt idx="214" formatCode="0.0000">
                  <c:v>1.5626476693037368</c:v>
                </c:pt>
                <c:pt idx="215" formatCode="0.0000">
                  <c:v>1.557451342971135</c:v>
                </c:pt>
                <c:pt idx="216" formatCode="0.0000">
                  <c:v>1.4010533387724935</c:v>
                </c:pt>
                <c:pt idx="217" formatCode="0.0000">
                  <c:v>1.3887741796970408</c:v>
                </c:pt>
                <c:pt idx="218" formatCode="0.0000">
                  <c:v>1.4279574485853161</c:v>
                </c:pt>
                <c:pt idx="219" formatCode="0.0000">
                  <c:v>1.6508211302980154</c:v>
                </c:pt>
                <c:pt idx="220" formatCode="0.0000">
                  <c:v>1.7071870369280313</c:v>
                </c:pt>
                <c:pt idx="221" formatCode="0.0000">
                  <c:v>1.667992350676613</c:v>
                </c:pt>
                <c:pt idx="222" formatCode="0.0000">
                  <c:v>1.7080291695553307</c:v>
                </c:pt>
                <c:pt idx="223" formatCode="0.0000">
                  <c:v>1.8054497705039663</c:v>
                </c:pt>
                <c:pt idx="224" formatCode="0.0000">
                  <c:v>1.8574116656233461</c:v>
                </c:pt>
                <c:pt idx="225" formatCode="0.0000">
                  <c:v>1.8466407608778626</c:v>
                </c:pt>
                <c:pt idx="226" formatCode="0.0000">
                  <c:v>1.736478045062315</c:v>
                </c:pt>
                <c:pt idx="227" formatCode="0.0000">
                  <c:v>1.6404590547681845</c:v>
                </c:pt>
                <c:pt idx="228" formatCode="0.0000">
                  <c:v>1.7708741297670945</c:v>
                </c:pt>
                <c:pt idx="229" formatCode="0.0000">
                  <c:v>1.7558866813391398</c:v>
                </c:pt>
                <c:pt idx="230" formatCode="0.0000">
                  <c:v>1.5888701223058626</c:v>
                </c:pt>
                <c:pt idx="231" formatCode="0.0000">
                  <c:v>1.7515274002809249</c:v>
                </c:pt>
                <c:pt idx="232" formatCode="0.0000">
                  <c:v>1.6920812996095644</c:v>
                </c:pt>
                <c:pt idx="233" formatCode="0.0000">
                  <c:v>1.6779918080089644</c:v>
                </c:pt>
                <c:pt idx="234" formatCode="0.0000">
                  <c:v>1.6674375329595907</c:v>
                </c:pt>
                <c:pt idx="235" formatCode="0.0000">
                  <c:v>1.5816973950129369</c:v>
                </c:pt>
                <c:pt idx="236" formatCode="0.0000">
                  <c:v>1.5195650844107715</c:v>
                </c:pt>
                <c:pt idx="237" formatCode="0.0000">
                  <c:v>1.4835372279861454</c:v>
                </c:pt>
                <c:pt idx="238" formatCode="0.0000">
                  <c:v>1.437290640024264</c:v>
                </c:pt>
                <c:pt idx="239" formatCode="0.0000">
                  <c:v>1.7038460516377565</c:v>
                </c:pt>
                <c:pt idx="240" formatCode="0.0000">
                  <c:v>1.6777157680412109</c:v>
                </c:pt>
                <c:pt idx="241" formatCode="0.0000">
                  <c:v>1.7930934991208571</c:v>
                </c:pt>
                <c:pt idx="242" formatCode="0.0000">
                  <c:v>1.7344362808717979</c:v>
                </c:pt>
                <c:pt idx="243" formatCode="0.0000">
                  <c:v>1.6688161168065652</c:v>
                </c:pt>
                <c:pt idx="244" formatCode="0.0000">
                  <c:v>1.7064257695741483</c:v>
                </c:pt>
                <c:pt idx="245" formatCode="0.0000">
                  <c:v>1.6287584014000387</c:v>
                </c:pt>
                <c:pt idx="246" formatCode="0.0000">
                  <c:v>1.5331095537660038</c:v>
                </c:pt>
                <c:pt idx="247" formatCode="0.0000">
                  <c:v>1.5052634626679369</c:v>
                </c:pt>
                <c:pt idx="248" formatCode="0.0000">
                  <c:v>1.3262812145973604</c:v>
                </c:pt>
                <c:pt idx="249" formatCode="0.0000">
                  <c:v>1.283052186945574</c:v>
                </c:pt>
                <c:pt idx="250" formatCode="0.0000">
                  <c:v>1.3312015683269138</c:v>
                </c:pt>
                <c:pt idx="251" formatCode="0.0000">
                  <c:v>1.3496058396118689</c:v>
                </c:pt>
                <c:pt idx="252" formatCode="0.0000">
                  <c:v>1.4109485372271207</c:v>
                </c:pt>
                <c:pt idx="253" formatCode="0.0000">
                  <c:v>1.251394919355133</c:v>
                </c:pt>
                <c:pt idx="254" formatCode="0.0000">
                  <c:v>1.0979429252190027</c:v>
                </c:pt>
                <c:pt idx="255" formatCode="0.0000">
                  <c:v>1.1331367247686781</c:v>
                </c:pt>
                <c:pt idx="256" formatCode="0.0000">
                  <c:v>1.1310224628396353</c:v>
                </c:pt>
                <c:pt idx="257" formatCode="0.0000">
                  <c:v>1.1341118420157408</c:v>
                </c:pt>
                <c:pt idx="258" formatCode="0.0000">
                  <c:v>1.1426409690963291</c:v>
                </c:pt>
                <c:pt idx="259" formatCode="0.0000">
                  <c:v>0.97401271586140148</c:v>
                </c:pt>
                <c:pt idx="260" formatCode="0.0000">
                  <c:v>0.86288880560786985</c:v>
                </c:pt>
                <c:pt idx="261" formatCode="0.0000">
                  <c:v>0.87716487942153465</c:v>
                </c:pt>
                <c:pt idx="262" formatCode="0.0000">
                  <c:v>0.8597730911037168</c:v>
                </c:pt>
                <c:pt idx="263" formatCode="0.0000">
                  <c:v>0.86980093410006487</c:v>
                </c:pt>
                <c:pt idx="264" formatCode="0.0000">
                  <c:v>0.88247656412411024</c:v>
                </c:pt>
                <c:pt idx="265" formatCode="0.0000">
                  <c:v>0.86792848793619837</c:v>
                </c:pt>
                <c:pt idx="266" formatCode="0.0000">
                  <c:v>0.82460053973885061</c:v>
                </c:pt>
                <c:pt idx="267" formatCode="0.0000">
                  <c:v>0.85717669369200145</c:v>
                </c:pt>
                <c:pt idx="268" formatCode="0.0000">
                  <c:v>0.8429764042084914</c:v>
                </c:pt>
                <c:pt idx="269" formatCode="0.0000">
                  <c:v>0.8550373432466164</c:v>
                </c:pt>
                <c:pt idx="270" formatCode="0.0000">
                  <c:v>0.82294515709400784</c:v>
                </c:pt>
                <c:pt idx="271" formatCode="0.0000">
                  <c:v>0.81153038122627641</c:v>
                </c:pt>
                <c:pt idx="272" formatCode="0.0000">
                  <c:v>0.73050004435298299</c:v>
                </c:pt>
                <c:pt idx="273" formatCode="0.0000">
                  <c:v>0.75857083826366123</c:v>
                </c:pt>
                <c:pt idx="274" formatCode="0.0000">
                  <c:v>0.80316976326270606</c:v>
                </c:pt>
                <c:pt idx="275" formatCode="0.0000">
                  <c:v>0.84044667953895025</c:v>
                </c:pt>
                <c:pt idx="276" formatCode="0.0000">
                  <c:v>0.80640151787823133</c:v>
                </c:pt>
                <c:pt idx="277" formatCode="0.0000">
                  <c:v>0.78469640592455037</c:v>
                </c:pt>
                <c:pt idx="278" formatCode="0.0000">
                  <c:v>0.76915843184395249</c:v>
                </c:pt>
                <c:pt idx="279" formatCode="0.0000">
                  <c:v>0.76974078564474269</c:v>
                </c:pt>
                <c:pt idx="280" formatCode="0.0000">
                  <c:v>0.76461016353876787</c:v>
                </c:pt>
                <c:pt idx="281" formatCode="0.0000">
                  <c:v>0.76212928608128294</c:v>
                </c:pt>
                <c:pt idx="282" formatCode="0.0000">
                  <c:v>0.79853241533748687</c:v>
                </c:pt>
                <c:pt idx="283" formatCode="0.0000">
                  <c:v>0.8321630185020652</c:v>
                </c:pt>
                <c:pt idx="284" formatCode="0.0000">
                  <c:v>0.83588736502591376</c:v>
                </c:pt>
                <c:pt idx="285" formatCode="0.0000">
                  <c:v>0.86030568556153231</c:v>
                </c:pt>
                <c:pt idx="286" formatCode="0.0000">
                  <c:v>0.86348025262136829</c:v>
                </c:pt>
                <c:pt idx="287" formatCode="0.0000">
                  <c:v>0.88131194615879083</c:v>
                </c:pt>
                <c:pt idx="288" formatCode="0.0000">
                  <c:v>0.92324907388999233</c:v>
                </c:pt>
                <c:pt idx="289" formatCode="0.0000">
                  <c:v>0.92617341108911133</c:v>
                </c:pt>
                <c:pt idx="290" formatCode="0.0000">
                  <c:v>0.907743587961509</c:v>
                </c:pt>
                <c:pt idx="291" formatCode="0.0000">
                  <c:v>0.94061001531354194</c:v>
                </c:pt>
                <c:pt idx="292" formatCode="0.0000">
                  <c:v>0.95227534049400719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668A-4E0C-8221-EFF03689051C}"/>
            </c:ext>
          </c:extLst>
        </c:ser>
        <c:ser>
          <c:idx val="15"/>
          <c:order val="15"/>
          <c:tx>
            <c:strRef>
              <c:f>'R(t) Województwa'!$DK$2</c:f>
              <c:strCache>
                <c:ptCount val="1"/>
                <c:pt idx="0">
                  <c:v>Zachodniopomorskie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Województwa'!$DK$3:$DK$1000</c:f>
              <c:numCache>
                <c:formatCode>General</c:formatCode>
                <c:ptCount val="998"/>
                <c:pt idx="34" formatCode="0.0000">
                  <c:v>0.9527777777777785</c:v>
                </c:pt>
                <c:pt idx="35" formatCode="0.0000">
                  <c:v>1.1740244534841027</c:v>
                </c:pt>
                <c:pt idx="36" formatCode="0.0000">
                  <c:v>1.663146329400113</c:v>
                </c:pt>
                <c:pt idx="37" formatCode="0.0000">
                  <c:v>1.3978053545721876</c:v>
                </c:pt>
                <c:pt idx="38" formatCode="0.0000">
                  <c:v>1.2600402322932784</c:v>
                </c:pt>
                <c:pt idx="39" formatCode="0.0000">
                  <c:v>1.1363357883218053</c:v>
                </c:pt>
                <c:pt idx="40" formatCode="0.0000">
                  <c:v>0.9967009330000548</c:v>
                </c:pt>
                <c:pt idx="41" formatCode="0.0000">
                  <c:v>0.98958364594180215</c:v>
                </c:pt>
                <c:pt idx="42" formatCode="0.0000">
                  <c:v>0.89490499620626818</c:v>
                </c:pt>
                <c:pt idx="43" formatCode="0.0000">
                  <c:v>0.59916604490021441</c:v>
                </c:pt>
                <c:pt idx="44" formatCode="0.0000">
                  <c:v>0.60012430972809927</c:v>
                </c:pt>
                <c:pt idx="45" formatCode="0.0000">
                  <c:v>0.60626471314251495</c:v>
                </c:pt>
                <c:pt idx="46" formatCode="0.0000">
                  <c:v>0.83457993760587557</c:v>
                </c:pt>
                <c:pt idx="47" formatCode="0.0000">
                  <c:v>1.0451581516985493</c:v>
                </c:pt>
                <c:pt idx="48" formatCode="0.0000">
                  <c:v>1.0545917067563362</c:v>
                </c:pt>
                <c:pt idx="49" formatCode="0.0000">
                  <c:v>0.97522651094032653</c:v>
                </c:pt>
                <c:pt idx="50" formatCode="0.0000">
                  <c:v>1.0225447862787069</c:v>
                </c:pt>
                <c:pt idx="51" formatCode="0.0000">
                  <c:v>1.1680493291175134</c:v>
                </c:pt>
                <c:pt idx="52" formatCode="0.0000">
                  <c:v>1.487272853059316</c:v>
                </c:pt>
                <c:pt idx="53" formatCode="0.0000">
                  <c:v>1.257682292349297</c:v>
                </c:pt>
                <c:pt idx="54" formatCode="0.0000">
                  <c:v>1.1584337667534743</c:v>
                </c:pt>
                <c:pt idx="55" formatCode="0.0000">
                  <c:v>1.189034318492683</c:v>
                </c:pt>
                <c:pt idx="56" formatCode="0.0000">
                  <c:v>1.2296405782793625</c:v>
                </c:pt>
                <c:pt idx="57" formatCode="0.0000">
                  <c:v>1.148307202969812</c:v>
                </c:pt>
                <c:pt idx="58" formatCode="0.0000">
                  <c:v>1.1262691895721366</c:v>
                </c:pt>
                <c:pt idx="59" formatCode="0.0000">
                  <c:v>0.76121099724052954</c:v>
                </c:pt>
                <c:pt idx="60" formatCode="0.0000">
                  <c:v>0.75554948521589915</c:v>
                </c:pt>
                <c:pt idx="61" formatCode="0.0000">
                  <c:v>0.73757898947063638</c:v>
                </c:pt>
                <c:pt idx="62" formatCode="0.0000">
                  <c:v>0.77724542177317069</c:v>
                </c:pt>
                <c:pt idx="63" formatCode="0.0000">
                  <c:v>0.89317583920704391</c:v>
                </c:pt>
                <c:pt idx="64" formatCode="0.0000">
                  <c:v>0.99366476657786229</c:v>
                </c:pt>
                <c:pt idx="65" formatCode="0.0000">
                  <c:v>0.89040377584777797</c:v>
                </c:pt>
                <c:pt idx="66" formatCode="0.0000">
                  <c:v>0.88436610459079934</c:v>
                </c:pt>
                <c:pt idx="67" formatCode="0.0000">
                  <c:v>0.89341053415806082</c:v>
                </c:pt>
                <c:pt idx="68" formatCode="0.0000">
                  <c:v>0.84257240765904096</c:v>
                </c:pt>
                <c:pt idx="69" formatCode="0.0000">
                  <c:v>0.6515554428043695</c:v>
                </c:pt>
                <c:pt idx="70" formatCode="0.0000">
                  <c:v>0.59097951526192838</c:v>
                </c:pt>
                <c:pt idx="71" formatCode="0.0000">
                  <c:v>0.56682317861346343</c:v>
                </c:pt>
                <c:pt idx="72" formatCode="0.0000">
                  <c:v>0.50179444649580662</c:v>
                </c:pt>
                <c:pt idx="73" formatCode="0.0000">
                  <c:v>0.51647565172584731</c:v>
                </c:pt>
                <c:pt idx="74" formatCode="0.0000">
                  <c:v>0.46563875023186702</c:v>
                </c:pt>
                <c:pt idx="75" formatCode="0.0000">
                  <c:v>0.45763649213253949</c:v>
                </c:pt>
                <c:pt idx="76" formatCode="0.0000">
                  <c:v>0.5338241020864658</c:v>
                </c:pt>
                <c:pt idx="77" formatCode="0.0000">
                  <c:v>0.57708368316684555</c:v>
                </c:pt>
                <c:pt idx="78" formatCode="0.0000">
                  <c:v>0.48536689098629487</c:v>
                </c:pt>
                <c:pt idx="79" formatCode="0.0000">
                  <c:v>0.80536253179093154</c:v>
                </c:pt>
                <c:pt idx="80" formatCode="0.0000">
                  <c:v>0.79452791813068491</c:v>
                </c:pt>
                <c:pt idx="81" formatCode="0.0000">
                  <c:v>0.89889622703655425</c:v>
                </c:pt>
                <c:pt idx="82" formatCode="0.0000">
                  <c:v>0.87451661167482153</c:v>
                </c:pt>
                <c:pt idx="83" formatCode="0.0000">
                  <c:v>0.81754904954047536</c:v>
                </c:pt>
                <c:pt idx="84" formatCode="0.0000">
                  <c:v>0.81812991947004787</c:v>
                </c:pt>
                <c:pt idx="85" formatCode="0.0000">
                  <c:v>0.86667307318879294</c:v>
                </c:pt>
                <c:pt idx="86" formatCode="0.0000">
                  <c:v>0.50457344237882229</c:v>
                </c:pt>
                <c:pt idx="87" formatCode="0.0000">
                  <c:v>0.64606124142893417</c:v>
                </c:pt>
                <c:pt idx="88" formatCode="0.0000">
                  <c:v>0.70631649779077499</c:v>
                </c:pt>
                <c:pt idx="89" formatCode="0.0000">
                  <c:v>0.71881412897149422</c:v>
                </c:pt>
                <c:pt idx="90" formatCode="0.0000">
                  <c:v>0.68191668285419704</c:v>
                </c:pt>
                <c:pt idx="91" formatCode="0.0000">
                  <c:v>0.80987008449794062</c:v>
                </c:pt>
                <c:pt idx="92" formatCode="0.0000">
                  <c:v>1.0858070250484662</c:v>
                </c:pt>
                <c:pt idx="93" formatCode="0.0000">
                  <c:v>1.1697642787259035</c:v>
                </c:pt>
                <c:pt idx="94" formatCode="0.0000">
                  <c:v>1.102696733866815</c:v>
                </c:pt>
                <c:pt idx="95" formatCode="0.0000">
                  <c:v>0.91282912187362142</c:v>
                </c:pt>
                <c:pt idx="96" formatCode="0.0000">
                  <c:v>0.92000840166046649</c:v>
                </c:pt>
                <c:pt idx="97" formatCode="0.0000">
                  <c:v>0.92000840166046616</c:v>
                </c:pt>
                <c:pt idx="98" formatCode="0.0000">
                  <c:v>1.0310861858087623</c:v>
                </c:pt>
                <c:pt idx="99" formatCode="0.0000">
                  <c:v>0.94140727486566556</c:v>
                </c:pt>
                <c:pt idx="100" formatCode="0.0000">
                  <c:v>0.95245692567111206</c:v>
                </c:pt>
                <c:pt idx="101" formatCode="0.0000">
                  <c:v>0.91842066737722661</c:v>
                </c:pt>
                <c:pt idx="102" formatCode="0.0000">
                  <c:v>1.2833765373322681</c:v>
                </c:pt>
                <c:pt idx="103" formatCode="0.0000">
                  <c:v>1.4441690557720599</c:v>
                </c:pt>
                <c:pt idx="104" formatCode="0.0000">
                  <c:v>1.5238766141017812</c:v>
                </c:pt>
                <c:pt idx="105" formatCode="0.0000">
                  <c:v>1.3324644933637431</c:v>
                </c:pt>
                <c:pt idx="106" formatCode="0.0000">
                  <c:v>1.1847490593123884</c:v>
                </c:pt>
                <c:pt idx="107" formatCode="0.0000">
                  <c:v>1.0897421548295045</c:v>
                </c:pt>
                <c:pt idx="108" formatCode="0.0000">
                  <c:v>1.180000140470373</c:v>
                </c:pt>
                <c:pt idx="109" formatCode="0.0000">
                  <c:v>0.8604135091624624</c:v>
                </c:pt>
                <c:pt idx="110" formatCode="0.0000">
                  <c:v>0.69737600903423835</c:v>
                </c:pt>
                <c:pt idx="111" formatCode="0.0000">
                  <c:v>0.61766845070451704</c:v>
                </c:pt>
                <c:pt idx="112" formatCode="0.0000">
                  <c:v>0.53423240191189025</c:v>
                </c:pt>
                <c:pt idx="113" formatCode="0.0000">
                  <c:v>0.67703554259372256</c:v>
                </c:pt>
                <c:pt idx="114" formatCode="0.0000">
                  <c:v>0.73557822860828637</c:v>
                </c:pt>
                <c:pt idx="115" formatCode="0.0000">
                  <c:v>0.80127147974866908</c:v>
                </c:pt>
                <c:pt idx="116" formatCode="0.0000">
                  <c:v>0.81335087156207619</c:v>
                </c:pt>
                <c:pt idx="117" formatCode="0.0000">
                  <c:v>0.7630809207672139</c:v>
                </c:pt>
                <c:pt idx="118" formatCode="0.0000">
                  <c:v>0.7630809207672139</c:v>
                </c:pt>
                <c:pt idx="119" formatCode="0.0000">
                  <c:v>0.80480822351930725</c:v>
                </c:pt>
                <c:pt idx="120" formatCode="0.0000">
                  <c:v>0.54271614612205832</c:v>
                </c:pt>
                <c:pt idx="121" formatCode="0.0000">
                  <c:v>0.48417346010749462</c:v>
                </c:pt>
                <c:pt idx="122" formatCode="0.0000">
                  <c:v>0.45481110276324471</c:v>
                </c:pt>
                <c:pt idx="123" formatCode="0.0000">
                  <c:v>1.128591425390892</c:v>
                </c:pt>
                <c:pt idx="124" formatCode="0.0000">
                  <c:v>1.1943576888940217</c:v>
                </c:pt>
                <c:pt idx="125" formatCode="0.0000">
                  <c:v>1.1943576888940215</c:v>
                </c:pt>
                <c:pt idx="126" formatCode="0.0000">
                  <c:v>1.1065019304462533</c:v>
                </c:pt>
                <c:pt idx="127" formatCode="0.0000">
                  <c:v>1.1065019304462533</c:v>
                </c:pt>
                <c:pt idx="128" formatCode="0.0000">
                  <c:v>1.2096547186122002</c:v>
                </c:pt>
                <c:pt idx="129" formatCode="0.0000">
                  <c:v>1.8426262892780814</c:v>
                </c:pt>
                <c:pt idx="130" formatCode="0.0000">
                  <c:v>1.361717622258775</c:v>
                </c:pt>
                <c:pt idx="131" formatCode="0.0000">
                  <c:v>1.2959513587556455</c:v>
                </c:pt>
                <c:pt idx="132" formatCode="0.0000">
                  <c:v>1.4278023984661332</c:v>
                </c:pt>
                <c:pt idx="133" formatCode="0.0000">
                  <c:v>1.4113252133767313</c:v>
                </c:pt>
                <c:pt idx="134" formatCode="0.0000">
                  <c:v>1.6999549203060442</c:v>
                </c:pt>
                <c:pt idx="135" formatCode="0.0000">
                  <c:v>1.7857334148264488</c:v>
                </c:pt>
                <c:pt idx="136" formatCode="0.0000">
                  <c:v>0.92639149303505242</c:v>
                </c:pt>
                <c:pt idx="137" formatCode="0.0000">
                  <c:v>1.2379684859658713</c:v>
                </c:pt>
                <c:pt idx="138" formatCode="0.0000">
                  <c:v>1.3864572244152811</c:v>
                </c:pt>
                <c:pt idx="139" formatCode="0.0000">
                  <c:v>1.4514824418420902</c:v>
                </c:pt>
                <c:pt idx="140" formatCode="0.0000">
                  <c:v>1.7116991674209296</c:v>
                </c:pt>
                <c:pt idx="141" formatCode="0.0000">
                  <c:v>1.6597036718706419</c:v>
                </c:pt>
                <c:pt idx="142" formatCode="0.0000">
                  <c:v>1.8313489304637218</c:v>
                </c:pt>
                <c:pt idx="143" formatCode="0.0000">
                  <c:v>1.9497921585987434</c:v>
                </c:pt>
                <c:pt idx="144" formatCode="0.0000">
                  <c:v>1.4182466932222602</c:v>
                </c:pt>
                <c:pt idx="145" formatCode="0.0000">
                  <c:v>1.5091539786150054</c:v>
                </c:pt>
                <c:pt idx="146" formatCode="0.0000">
                  <c:v>1.3746547745316409</c:v>
                </c:pt>
                <c:pt idx="147" formatCode="0.0000">
                  <c:v>1.251288503988105</c:v>
                </c:pt>
                <c:pt idx="148" formatCode="0.0000">
                  <c:v>1.3983985153944531</c:v>
                </c:pt>
                <c:pt idx="149" formatCode="0.0000">
                  <c:v>1.218217757297605</c:v>
                </c:pt>
                <c:pt idx="150" formatCode="0.0000">
                  <c:v>1.1991282309615134</c:v>
                </c:pt>
                <c:pt idx="151" formatCode="0.0000">
                  <c:v>1.5582983432281174</c:v>
                </c:pt>
                <c:pt idx="152" formatCode="0.0000">
                  <c:v>1.4230527243147182</c:v>
                </c:pt>
                <c:pt idx="153" formatCode="0.0000">
                  <c:v>1.685707820256533</c:v>
                </c:pt>
                <c:pt idx="154" formatCode="0.0000">
                  <c:v>1.7571423771537948</c:v>
                </c:pt>
                <c:pt idx="155" formatCode="0.0000">
                  <c:v>1.6486450231962166</c:v>
                </c:pt>
                <c:pt idx="156" formatCode="0.0000">
                  <c:v>1.7399126491213777</c:v>
                </c:pt>
                <c:pt idx="157" formatCode="0.0000">
                  <c:v>1.8178905623876287</c:v>
                </c:pt>
                <c:pt idx="158" formatCode="0.0000">
                  <c:v>1.6855015380280076</c:v>
                </c:pt>
                <c:pt idx="159" formatCode="0.0000">
                  <c:v>1.7461813888113349</c:v>
                </c:pt>
                <c:pt idx="160" formatCode="0.0000">
                  <c:v>1.539425855252031</c:v>
                </c:pt>
                <c:pt idx="161" formatCode="0.0000">
                  <c:v>1.5510895477982634</c:v>
                </c:pt>
                <c:pt idx="162" formatCode="0.0000">
                  <c:v>1.4107735829194579</c:v>
                </c:pt>
                <c:pt idx="163" formatCode="0.0000">
                  <c:v>1.1973997209520491</c:v>
                </c:pt>
                <c:pt idx="164" formatCode="0.0000">
                  <c:v>1.1049672156665455</c:v>
                </c:pt>
                <c:pt idx="165" formatCode="0.0000">
                  <c:v>1.0844056888699971</c:v>
                </c:pt>
                <c:pt idx="166" formatCode="0.0000">
                  <c:v>1.1049762061820589</c:v>
                </c:pt>
                <c:pt idx="167" formatCode="0.0000">
                  <c:v>1.1250157216665859</c:v>
                </c:pt>
                <c:pt idx="168" formatCode="0.0000">
                  <c:v>0.99720451534337218</c:v>
                </c:pt>
                <c:pt idx="169" formatCode="0.0000">
                  <c:v>0.98927162151290904</c:v>
                </c:pt>
                <c:pt idx="170" formatCode="0.0000">
                  <c:v>1.0501001156173402</c:v>
                </c:pt>
                <c:pt idx="171" formatCode="0.0000">
                  <c:v>1.0262082844460234</c:v>
                </c:pt>
                <c:pt idx="172" formatCode="0.0000">
                  <c:v>0.91145432616044963</c:v>
                </c:pt>
                <c:pt idx="173" formatCode="0.0000">
                  <c:v>0.75999050916486799</c:v>
                </c:pt>
                <c:pt idx="174" formatCode="0.0000">
                  <c:v>0.67245464959097989</c:v>
                </c:pt>
                <c:pt idx="175" formatCode="0.0000">
                  <c:v>0.68144840589353795</c:v>
                </c:pt>
                <c:pt idx="176" formatCode="0.0000">
                  <c:v>0.80001335171492782</c:v>
                </c:pt>
                <c:pt idx="177" formatCode="0.0000">
                  <c:v>0.81698441879964356</c:v>
                </c:pt>
                <c:pt idx="178" formatCode="0.0000">
                  <c:v>0.88053754048990274</c:v>
                </c:pt>
                <c:pt idx="179" formatCode="0.0000">
                  <c:v>0.8982902429039934</c:v>
                </c:pt>
                <c:pt idx="180" formatCode="0.0000">
                  <c:v>0.96619357935111927</c:v>
                </c:pt>
                <c:pt idx="181" formatCode="0.0000">
                  <c:v>1.0481584617069442</c:v>
                </c:pt>
                <c:pt idx="182" formatCode="0.0000">
                  <c:v>0.97423885799939991</c:v>
                </c:pt>
                <c:pt idx="183" formatCode="0.0000">
                  <c:v>0.78507937362044056</c:v>
                </c:pt>
                <c:pt idx="184" formatCode="0.0000">
                  <c:v>0.91139048146191837</c:v>
                </c:pt>
                <c:pt idx="185" formatCode="0.0000">
                  <c:v>0.81440437857357573</c:v>
                </c:pt>
                <c:pt idx="186" formatCode="0.0000">
                  <c:v>0.89300577461714103</c:v>
                </c:pt>
                <c:pt idx="187" formatCode="0.0000">
                  <c:v>0.84913431447998045</c:v>
                </c:pt>
                <c:pt idx="188" formatCode="0.0000">
                  <c:v>0.7638987978559485</c:v>
                </c:pt>
                <c:pt idx="189" formatCode="0.0000">
                  <c:v>0.95011864815772107</c:v>
                </c:pt>
                <c:pt idx="190" formatCode="0.0000">
                  <c:v>1.0630404167811303</c:v>
                </c:pt>
                <c:pt idx="191" formatCode="0.0000">
                  <c:v>0.98059556826209382</c:v>
                </c:pt>
                <c:pt idx="192" formatCode="0.0000">
                  <c:v>1.1120795770666443</c:v>
                </c:pt>
                <c:pt idx="193" formatCode="0.0000">
                  <c:v>1.0931184661369646</c:v>
                </c:pt>
                <c:pt idx="194" formatCode="0.0000">
                  <c:v>1.0620900808883538</c:v>
                </c:pt>
                <c:pt idx="195" formatCode="0.0000">
                  <c:v>1.0602895647049877</c:v>
                </c:pt>
                <c:pt idx="196" formatCode="0.0000">
                  <c:v>1.0670879420724666</c:v>
                </c:pt>
                <c:pt idx="197" formatCode="0.0000">
                  <c:v>1.2517911508982096</c:v>
                </c:pt>
                <c:pt idx="198" formatCode="0.0000">
                  <c:v>1.5711859555297487</c:v>
                </c:pt>
                <c:pt idx="199" formatCode="0.0000">
                  <c:v>1.5916976468086692</c:v>
                </c:pt>
                <c:pt idx="200" formatCode="0.0000">
                  <c:v>1.660964184032381</c:v>
                </c:pt>
                <c:pt idx="201" formatCode="0.0000">
                  <c:v>1.7340460575696139</c:v>
                </c:pt>
                <c:pt idx="202" formatCode="0.0000">
                  <c:v>1.7847970859856683</c:v>
                </c:pt>
                <c:pt idx="203" formatCode="0.0000">
                  <c:v>1.826656453683587</c:v>
                </c:pt>
                <c:pt idx="204" formatCode="0.0000">
                  <c:v>1.5863577793842703</c:v>
                </c:pt>
                <c:pt idx="205" formatCode="0.0000">
                  <c:v>1.2920057697989284</c:v>
                </c:pt>
                <c:pt idx="206" formatCode="0.0000">
                  <c:v>1.5329102025560961</c:v>
                </c:pt>
                <c:pt idx="207" formatCode="0.0000">
                  <c:v>1.5395893658112694</c:v>
                </c:pt>
                <c:pt idx="208" formatCode="0.0000">
                  <c:v>1.711162640774391</c:v>
                </c:pt>
                <c:pt idx="209" formatCode="0.0000">
                  <c:v>1.7202370154001063</c:v>
                </c:pt>
                <c:pt idx="210" formatCode="0.0000">
                  <c:v>1.6458210402345677</c:v>
                </c:pt>
                <c:pt idx="211" formatCode="0.0000">
                  <c:v>1.8200941389993621</c:v>
                </c:pt>
                <c:pt idx="212" formatCode="0.0000">
                  <c:v>1.814917007568623</c:v>
                </c:pt>
                <c:pt idx="213" formatCode="0.0000">
                  <c:v>1.7660273461568428</c:v>
                </c:pt>
                <c:pt idx="214" formatCode="0.0000">
                  <c:v>1.6553421608274714</c:v>
                </c:pt>
                <c:pt idx="215" formatCode="0.0000">
                  <c:v>1.5343513198512173</c:v>
                </c:pt>
                <c:pt idx="216" formatCode="0.0000">
                  <c:v>1.5344602928251416</c:v>
                </c:pt>
                <c:pt idx="217" formatCode="0.0000">
                  <c:v>1.5771931709825253</c:v>
                </c:pt>
                <c:pt idx="218" formatCode="0.0000">
                  <c:v>1.6277207111496623</c:v>
                </c:pt>
                <c:pt idx="219" formatCode="0.0000">
                  <c:v>1.652851910826455</c:v>
                </c:pt>
                <c:pt idx="220" formatCode="0.0000">
                  <c:v>1.5142426363801142</c:v>
                </c:pt>
                <c:pt idx="221" formatCode="0.0000">
                  <c:v>1.5996547837464337</c:v>
                </c:pt>
                <c:pt idx="222" formatCode="0.0000">
                  <c:v>1.6792297960915938</c:v>
                </c:pt>
                <c:pt idx="223" formatCode="0.0000">
                  <c:v>1.7320154201351801</c:v>
                </c:pt>
                <c:pt idx="224" formatCode="0.0000">
                  <c:v>1.6380189209484652</c:v>
                </c:pt>
                <c:pt idx="225" formatCode="0.0000">
                  <c:v>1.5214674489646249</c:v>
                </c:pt>
                <c:pt idx="226" formatCode="0.0000">
                  <c:v>1.5045694377559562</c:v>
                </c:pt>
                <c:pt idx="227" formatCode="0.0000">
                  <c:v>1.614783200950926</c:v>
                </c:pt>
                <c:pt idx="228" formatCode="0.0000">
                  <c:v>1.6774726497042884</c:v>
                </c:pt>
                <c:pt idx="229" formatCode="0.0000">
                  <c:v>1.6964371710046131</c:v>
                </c:pt>
                <c:pt idx="230" formatCode="0.0000">
                  <c:v>1.6921722525971785</c:v>
                </c:pt>
                <c:pt idx="231" formatCode="0.0000">
                  <c:v>1.6387340091826805</c:v>
                </c:pt>
                <c:pt idx="232" formatCode="0.0000">
                  <c:v>1.6156180175434485</c:v>
                </c:pt>
                <c:pt idx="233" formatCode="0.0000">
                  <c:v>1.7478543881360082</c:v>
                </c:pt>
                <c:pt idx="234" formatCode="0.0000">
                  <c:v>1.7125763581017408</c:v>
                </c:pt>
                <c:pt idx="235" formatCode="0.0000">
                  <c:v>1.6747130610329264</c:v>
                </c:pt>
                <c:pt idx="236" formatCode="0.0000">
                  <c:v>1.6239195513488336</c:v>
                </c:pt>
                <c:pt idx="237" formatCode="0.0000">
                  <c:v>1.6917732413291535</c:v>
                </c:pt>
                <c:pt idx="238" formatCode="0.0000">
                  <c:v>1.7335468870123611</c:v>
                </c:pt>
                <c:pt idx="239" formatCode="0.0000">
                  <c:v>1.6608168339245122</c:v>
                </c:pt>
                <c:pt idx="240" formatCode="0.0000">
                  <c:v>1.5161505809442317</c:v>
                </c:pt>
                <c:pt idx="241" formatCode="0.0000">
                  <c:v>1.4343362797668779</c:v>
                </c:pt>
                <c:pt idx="242" formatCode="0.0000">
                  <c:v>1.3892847204848822</c:v>
                </c:pt>
                <c:pt idx="243" formatCode="0.0000">
                  <c:v>1.3953492232970099</c:v>
                </c:pt>
                <c:pt idx="244" formatCode="0.0000">
                  <c:v>1.3282472337795037</c:v>
                </c:pt>
                <c:pt idx="245" formatCode="0.0000">
                  <c:v>1.2583356801199308</c:v>
                </c:pt>
                <c:pt idx="246" formatCode="0.0000">
                  <c:v>1.3364677402127556</c:v>
                </c:pt>
                <c:pt idx="247" formatCode="0.0000">
                  <c:v>1.3639481836234162</c:v>
                </c:pt>
                <c:pt idx="248" formatCode="0.0000">
                  <c:v>1.3532064804369561</c:v>
                </c:pt>
                <c:pt idx="249" formatCode="0.0000">
                  <c:v>1.3619266839671884</c:v>
                </c:pt>
                <c:pt idx="250" formatCode="0.0000">
                  <c:v>1.3042650274264107</c:v>
                </c:pt>
                <c:pt idx="251" formatCode="0.0000">
                  <c:v>1.3149434723545548</c:v>
                </c:pt>
                <c:pt idx="252" formatCode="0.0000">
                  <c:v>1.3393503334380727</c:v>
                </c:pt>
                <c:pt idx="253" formatCode="0.0000">
                  <c:v>1.3030113435404194</c:v>
                </c:pt>
                <c:pt idx="254" formatCode="0.0000">
                  <c:v>1.2275745849450297</c:v>
                </c:pt>
                <c:pt idx="255" formatCode="0.0000">
                  <c:v>1.2669135088224068</c:v>
                </c:pt>
                <c:pt idx="256" formatCode="0.0000">
                  <c:v>1.2083879793791681</c:v>
                </c:pt>
                <c:pt idx="257" formatCode="0.0000">
                  <c:v>1.2330787785051081</c:v>
                </c:pt>
                <c:pt idx="258" formatCode="0.0000">
                  <c:v>1.2465882602485834</c:v>
                </c:pt>
                <c:pt idx="259" formatCode="0.0000">
                  <c:v>1.2861402868415621</c:v>
                </c:pt>
                <c:pt idx="260" formatCode="0.0000">
                  <c:v>1.2893686767839958</c:v>
                </c:pt>
                <c:pt idx="261" formatCode="0.0000">
                  <c:v>1.3138094373156457</c:v>
                </c:pt>
                <c:pt idx="262" formatCode="0.0000">
                  <c:v>1.2391738571886122</c:v>
                </c:pt>
                <c:pt idx="263" formatCode="0.0000">
                  <c:v>1.2091130793059992</c:v>
                </c:pt>
                <c:pt idx="264" formatCode="0.0000">
                  <c:v>1.1673776401741029</c:v>
                </c:pt>
                <c:pt idx="265" formatCode="0.0000">
                  <c:v>1.1203955200775124</c:v>
                </c:pt>
                <c:pt idx="266" formatCode="0.0000">
                  <c:v>0.99819251261662656</c:v>
                </c:pt>
                <c:pt idx="267" formatCode="0.0000">
                  <c:v>0.97906245630743516</c:v>
                </c:pt>
                <c:pt idx="268" formatCode="0.0000">
                  <c:v>0.95461691753444644</c:v>
                </c:pt>
                <c:pt idx="269" formatCode="0.0000">
                  <c:v>0.91024514460374173</c:v>
                </c:pt>
                <c:pt idx="270" formatCode="0.0000">
                  <c:v>0.89517861845436797</c:v>
                </c:pt>
                <c:pt idx="271" formatCode="0.0000">
                  <c:v>0.88292761192507485</c:v>
                </c:pt>
                <c:pt idx="272" formatCode="0.0000">
                  <c:v>0.84335836133209618</c:v>
                </c:pt>
                <c:pt idx="273" formatCode="0.0000">
                  <c:v>0.85511265537631409</c:v>
                </c:pt>
                <c:pt idx="274" formatCode="0.0000">
                  <c:v>0.83416731141038214</c:v>
                </c:pt>
                <c:pt idx="275" formatCode="0.0000">
                  <c:v>0.85234975970806182</c:v>
                </c:pt>
                <c:pt idx="276" formatCode="0.0000">
                  <c:v>0.88914081128293654</c:v>
                </c:pt>
                <c:pt idx="277" formatCode="0.0000">
                  <c:v>0.91773959928550064</c:v>
                </c:pt>
                <c:pt idx="278" formatCode="0.0000">
                  <c:v>0.91103363545041882</c:v>
                </c:pt>
                <c:pt idx="279" formatCode="0.0000">
                  <c:v>0.9082900442063131</c:v>
                </c:pt>
                <c:pt idx="280" formatCode="0.0000">
                  <c:v>0.92041804941178196</c:v>
                </c:pt>
                <c:pt idx="281" formatCode="0.0000">
                  <c:v>0.96629037821908603</c:v>
                </c:pt>
                <c:pt idx="282" formatCode="0.0000">
                  <c:v>0.97596832893031216</c:v>
                </c:pt>
                <c:pt idx="283" formatCode="0.0000">
                  <c:v>1.0008420697561067</c:v>
                </c:pt>
                <c:pt idx="284" formatCode="0.0000">
                  <c:v>1.0015720124563254</c:v>
                </c:pt>
                <c:pt idx="285" formatCode="0.0000">
                  <c:v>0.98872810940253486</c:v>
                </c:pt>
                <c:pt idx="286" formatCode="0.0000">
                  <c:v>0.99590328627179037</c:v>
                </c:pt>
                <c:pt idx="287" formatCode="0.0000">
                  <c:v>0.96820234895646196</c:v>
                </c:pt>
                <c:pt idx="288" formatCode="0.0000">
                  <c:v>1.0015833600980979</c:v>
                </c:pt>
                <c:pt idx="289" formatCode="0.0000">
                  <c:v>1.0342080190138025</c:v>
                </c:pt>
                <c:pt idx="290" formatCode="0.0000">
                  <c:v>1.0030430814543623</c:v>
                </c:pt>
                <c:pt idx="291" formatCode="0.0000">
                  <c:v>1.0044450085387759</c:v>
                </c:pt>
                <c:pt idx="292" formatCode="0.0000">
                  <c:v>1.0349463706986148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668A-4E0C-8221-EFF036890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460134"/>
        <c:axId val="602843858"/>
      </c:lineChart>
      <c:dateAx>
        <c:axId val="4074601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602843858"/>
        <c:crosses val="autoZero"/>
        <c:auto val="1"/>
        <c:lblOffset val="100"/>
        <c:baseTimeUnit val="days"/>
      </c:dateAx>
      <c:valAx>
        <c:axId val="602843858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407460134"/>
        <c:crosses val="autoZero"/>
        <c:crossBetween val="between"/>
        <c:majorUnit val="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Dolnośląskiego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Województwa'!$J$2</c:f>
              <c:strCache>
                <c:ptCount val="1"/>
                <c:pt idx="0">
                  <c:v>Dolnośląskie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Województwa'!$J$3:$J$1000</c:f>
              <c:numCache>
                <c:formatCode>General</c:formatCode>
                <c:ptCount val="998"/>
                <c:pt idx="22" formatCode="0.0000">
                  <c:v>1.019127205199629</c:v>
                </c:pt>
                <c:pt idx="23" formatCode="0.0000">
                  <c:v>0.98597769858372897</c:v>
                </c:pt>
                <c:pt idx="24" formatCode="0.0000">
                  <c:v>1.254211702608417</c:v>
                </c:pt>
                <c:pt idx="25" formatCode="0.0000">
                  <c:v>1.2423355506816074</c:v>
                </c:pt>
                <c:pt idx="26" formatCode="0.0000">
                  <c:v>1.2171247449870073</c:v>
                </c:pt>
                <c:pt idx="27" formatCode="0.0000">
                  <c:v>1.2338788707511881</c:v>
                </c:pt>
                <c:pt idx="28" formatCode="0.0000">
                  <c:v>1.1776535154206991</c:v>
                </c:pt>
                <c:pt idx="29" formatCode="0.0000">
                  <c:v>1.4313123312440397</c:v>
                </c:pt>
                <c:pt idx="30" formatCode="0.0000">
                  <c:v>1.3685264678806102</c:v>
                </c:pt>
                <c:pt idx="31" formatCode="0.0000">
                  <c:v>1.519909469382299</c:v>
                </c:pt>
                <c:pt idx="32" formatCode="0.0000">
                  <c:v>1.3838845272642657</c:v>
                </c:pt>
                <c:pt idx="33" formatCode="0.0000">
                  <c:v>1.5790495865822709</c:v>
                </c:pt>
                <c:pt idx="34" formatCode="0.0000">
                  <c:v>1.4867667644180993</c:v>
                </c:pt>
                <c:pt idx="35" formatCode="0.0000">
                  <c:v>1.5630397821986008</c:v>
                </c:pt>
                <c:pt idx="36" formatCode="0.0000">
                  <c:v>1.2211309957777392</c:v>
                </c:pt>
                <c:pt idx="37" formatCode="0.0000">
                  <c:v>1.2993277166292643</c:v>
                </c:pt>
                <c:pt idx="38" formatCode="0.0000">
                  <c:v>1.2495685628221627</c:v>
                </c:pt>
                <c:pt idx="39" formatCode="0.0000">
                  <c:v>1.3113026336649392</c:v>
                </c:pt>
                <c:pt idx="40" formatCode="0.0000">
                  <c:v>1.1218697720739494</c:v>
                </c:pt>
                <c:pt idx="41" formatCode="0.0000">
                  <c:v>1.078324660148406</c:v>
                </c:pt>
                <c:pt idx="42" formatCode="0.0000">
                  <c:v>0.9492311578578938</c:v>
                </c:pt>
                <c:pt idx="43" formatCode="0.0000">
                  <c:v>1.1048658480419606</c:v>
                </c:pt>
                <c:pt idx="44" formatCode="0.0000">
                  <c:v>1.2203142243542104</c:v>
                </c:pt>
                <c:pt idx="45" formatCode="0.0000">
                  <c:v>1.1824231883881779</c:v>
                </c:pt>
                <c:pt idx="46" formatCode="0.0000">
                  <c:v>1.2898341659392969</c:v>
                </c:pt>
                <c:pt idx="47" formatCode="0.0000">
                  <c:v>1.4527071136518679</c:v>
                </c:pt>
                <c:pt idx="48" formatCode="0.0000">
                  <c:v>1.4964527208416811</c:v>
                </c:pt>
                <c:pt idx="49" formatCode="0.0000">
                  <c:v>1.5545460954380201</c:v>
                </c:pt>
                <c:pt idx="50" formatCode="0.0000">
                  <c:v>1.4224592869307824</c:v>
                </c:pt>
                <c:pt idx="51" formatCode="0.0000">
                  <c:v>1.3810095704287533</c:v>
                </c:pt>
                <c:pt idx="52" formatCode="0.0000">
                  <c:v>1.1319221344796264</c:v>
                </c:pt>
                <c:pt idx="53" formatCode="0.0000">
                  <c:v>1.0684200086448781</c:v>
                </c:pt>
                <c:pt idx="54" formatCode="0.0000">
                  <c:v>0.94857698735943874</c:v>
                </c:pt>
                <c:pt idx="55" formatCode="0.0000">
                  <c:v>1.072696537486866</c:v>
                </c:pt>
                <c:pt idx="56" formatCode="0.0000">
                  <c:v>1.0884768274705592</c:v>
                </c:pt>
                <c:pt idx="57" formatCode="0.0000">
                  <c:v>1.177780391292419</c:v>
                </c:pt>
                <c:pt idx="58" formatCode="0.0000">
                  <c:v>1.0729898981970247</c:v>
                </c:pt>
                <c:pt idx="59" formatCode="0.0000">
                  <c:v>1.0513462374348441</c:v>
                </c:pt>
                <c:pt idx="60" formatCode="0.0000">
                  <c:v>1.0361185066114387</c:v>
                </c:pt>
                <c:pt idx="61" formatCode="0.0000">
                  <c:v>0.9084181491362715</c:v>
                </c:pt>
                <c:pt idx="62" formatCode="0.0000">
                  <c:v>0.95610140723898573</c:v>
                </c:pt>
                <c:pt idx="63" formatCode="0.0000">
                  <c:v>0.9554598427516704</c:v>
                </c:pt>
                <c:pt idx="64" formatCode="0.0000">
                  <c:v>0.84648308079519752</c:v>
                </c:pt>
                <c:pt idx="65" formatCode="0.0000">
                  <c:v>0.84572712775340375</c:v>
                </c:pt>
                <c:pt idx="66" formatCode="0.0000">
                  <c:v>0.95040190760618359</c:v>
                </c:pt>
                <c:pt idx="67" formatCode="0.0000">
                  <c:v>0.934998724589161</c:v>
                </c:pt>
                <c:pt idx="68" formatCode="0.0000">
                  <c:v>1.1994507594451942</c:v>
                </c:pt>
                <c:pt idx="69" formatCode="0.0000">
                  <c:v>0.99526734558544816</c:v>
                </c:pt>
                <c:pt idx="70" formatCode="0.0000">
                  <c:v>0.95553885374317082</c:v>
                </c:pt>
                <c:pt idx="71" formatCode="0.0000">
                  <c:v>1.0389147609576102</c:v>
                </c:pt>
                <c:pt idx="72" formatCode="0.0000">
                  <c:v>1.0009447791005985</c:v>
                </c:pt>
                <c:pt idx="73" formatCode="0.0000">
                  <c:v>0.90334473120992675</c:v>
                </c:pt>
                <c:pt idx="74" formatCode="0.0000">
                  <c:v>0.86465940579558709</c:v>
                </c:pt>
                <c:pt idx="75" formatCode="0.0000">
                  <c:v>0.54436328563075809</c:v>
                </c:pt>
                <c:pt idx="76" formatCode="0.0000">
                  <c:v>0.76053669974541882</c:v>
                </c:pt>
                <c:pt idx="77" formatCode="0.0000">
                  <c:v>0.78701149958644123</c:v>
                </c:pt>
                <c:pt idx="78" formatCode="0.0000">
                  <c:v>0.72162316642917801</c:v>
                </c:pt>
                <c:pt idx="79" formatCode="0.0000">
                  <c:v>0.72419801085486768</c:v>
                </c:pt>
                <c:pt idx="80" formatCode="0.0000">
                  <c:v>1.0039538850857712</c:v>
                </c:pt>
                <c:pt idx="81" formatCode="0.0000">
                  <c:v>1.06205445936534</c:v>
                </c:pt>
                <c:pt idx="82" formatCode="0.0000">
                  <c:v>1.1135906340868502</c:v>
                </c:pt>
                <c:pt idx="83" formatCode="0.0000">
                  <c:v>0.992674998258262</c:v>
                </c:pt>
                <c:pt idx="84" formatCode="0.0000">
                  <c:v>0.93314942320299987</c:v>
                </c:pt>
                <c:pt idx="85" formatCode="0.0000">
                  <c:v>1.0414635354996322</c:v>
                </c:pt>
                <c:pt idx="86" formatCode="0.0000">
                  <c:v>1.035682055386725</c:v>
                </c:pt>
                <c:pt idx="87" formatCode="0.0000">
                  <c:v>0.82165744680033137</c:v>
                </c:pt>
                <c:pt idx="88" formatCode="0.0000">
                  <c:v>0.81034734455256152</c:v>
                </c:pt>
                <c:pt idx="89" formatCode="0.0000">
                  <c:v>0.79774098324285458</c:v>
                </c:pt>
                <c:pt idx="90" formatCode="0.0000">
                  <c:v>0.83003976024043591</c:v>
                </c:pt>
                <c:pt idx="91" formatCode="0.0000">
                  <c:v>0.80798532801740053</c:v>
                </c:pt>
                <c:pt idx="92" formatCode="0.0000">
                  <c:v>0.67661908307475371</c:v>
                </c:pt>
                <c:pt idx="93" formatCode="0.0000">
                  <c:v>0.66544294900603906</c:v>
                </c:pt>
                <c:pt idx="94" formatCode="0.0000">
                  <c:v>0.67678766960405046</c:v>
                </c:pt>
                <c:pt idx="95" formatCode="0.0000">
                  <c:v>0.69160114719497556</c:v>
                </c:pt>
                <c:pt idx="96" formatCode="0.0000">
                  <c:v>0.68216587641946524</c:v>
                </c:pt>
                <c:pt idx="97" formatCode="0.0000">
                  <c:v>0.60974277513177211</c:v>
                </c:pt>
                <c:pt idx="98" formatCode="0.0000">
                  <c:v>0.65548977967708588</c:v>
                </c:pt>
                <c:pt idx="99" formatCode="0.0000">
                  <c:v>0.62342197822323597</c:v>
                </c:pt>
                <c:pt idx="100" formatCode="0.0000">
                  <c:v>0.64688608127613301</c:v>
                </c:pt>
                <c:pt idx="101" formatCode="0.0000">
                  <c:v>0.52352881180782762</c:v>
                </c:pt>
                <c:pt idx="102" formatCode="0.0000">
                  <c:v>0.57765459719986822</c:v>
                </c:pt>
                <c:pt idx="103" formatCode="0.0000">
                  <c:v>0.52347358430644753</c:v>
                </c:pt>
                <c:pt idx="104" formatCode="0.0000">
                  <c:v>0.40456742004397989</c:v>
                </c:pt>
                <c:pt idx="105" formatCode="0.0000">
                  <c:v>0.4719118236256164</c:v>
                </c:pt>
                <c:pt idx="106" formatCode="0.0000">
                  <c:v>0.95914517689043521</c:v>
                </c:pt>
                <c:pt idx="107" formatCode="0.0000">
                  <c:v>0.98222124570129032</c:v>
                </c:pt>
                <c:pt idx="108" formatCode="0.0000">
                  <c:v>1.1115266159151365</c:v>
                </c:pt>
                <c:pt idx="109" formatCode="0.0000">
                  <c:v>1.0625705420911491</c:v>
                </c:pt>
                <c:pt idx="110" formatCode="0.0000">
                  <c:v>1.0840993449906136</c:v>
                </c:pt>
                <c:pt idx="111" formatCode="0.0000">
                  <c:v>1.1331024115022328</c:v>
                </c:pt>
                <c:pt idx="112" formatCode="0.0000">
                  <c:v>1.1095864317725292</c:v>
                </c:pt>
                <c:pt idx="113" formatCode="0.0000">
                  <c:v>0.74813523477574839</c:v>
                </c:pt>
                <c:pt idx="114" formatCode="0.0000">
                  <c:v>0.71514169775271219</c:v>
                </c:pt>
                <c:pt idx="115" formatCode="0.0000">
                  <c:v>0.8357641457338929</c:v>
                </c:pt>
                <c:pt idx="116" formatCode="0.0000">
                  <c:v>0.77377422892996794</c:v>
                </c:pt>
                <c:pt idx="117" formatCode="0.0000">
                  <c:v>0.77987612871465106</c:v>
                </c:pt>
                <c:pt idx="118" formatCode="0.0000">
                  <c:v>0.77771674730854612</c:v>
                </c:pt>
                <c:pt idx="119" formatCode="0.0000">
                  <c:v>0.74615836215176956</c:v>
                </c:pt>
                <c:pt idx="120" formatCode="0.0000">
                  <c:v>0.68618468875663552</c:v>
                </c:pt>
                <c:pt idx="121" formatCode="0.0000">
                  <c:v>0.71891093297497133</c:v>
                </c:pt>
                <c:pt idx="122" formatCode="0.0000">
                  <c:v>0.51802553771639648</c:v>
                </c:pt>
                <c:pt idx="123" formatCode="0.0000">
                  <c:v>0.50459514247007797</c:v>
                </c:pt>
                <c:pt idx="124" formatCode="0.0000">
                  <c:v>0.47696443978593062</c:v>
                </c:pt>
                <c:pt idx="125" formatCode="0.0000">
                  <c:v>0.56530076894879855</c:v>
                </c:pt>
                <c:pt idx="126" formatCode="0.0000">
                  <c:v>0.70686926220087443</c:v>
                </c:pt>
                <c:pt idx="127" formatCode="0.0000">
                  <c:v>0.66640991963601581</c:v>
                </c:pt>
                <c:pt idx="128" formatCode="0.0000">
                  <c:v>0.6888213195209244</c:v>
                </c:pt>
                <c:pt idx="129" formatCode="0.0000">
                  <c:v>0.98692055862895489</c:v>
                </c:pt>
                <c:pt idx="130" formatCode="0.0000">
                  <c:v>0.9680923035334269</c:v>
                </c:pt>
                <c:pt idx="131" formatCode="0.0000">
                  <c:v>1.0181984058022981</c:v>
                </c:pt>
                <c:pt idx="132" formatCode="0.0000">
                  <c:v>0.91063269836175798</c:v>
                </c:pt>
                <c:pt idx="133" formatCode="0.0000">
                  <c:v>0.91511555598328853</c:v>
                </c:pt>
                <c:pt idx="134" formatCode="0.0000">
                  <c:v>1.0912736345853049</c:v>
                </c:pt>
                <c:pt idx="135" formatCode="0.0000">
                  <c:v>1.6321040887127345</c:v>
                </c:pt>
                <c:pt idx="136" formatCode="0.0000">
                  <c:v>1.4111530963911163</c:v>
                </c:pt>
                <c:pt idx="137" formatCode="0.0000">
                  <c:v>1.6565603879394479</c:v>
                </c:pt>
                <c:pt idx="138" formatCode="0.0000">
                  <c:v>1.7405046114727969</c:v>
                </c:pt>
                <c:pt idx="139" formatCode="0.0000">
                  <c:v>2.0434803246545683</c:v>
                </c:pt>
                <c:pt idx="140" formatCode="0.0000">
                  <c:v>1.8317460065432523</c:v>
                </c:pt>
                <c:pt idx="141" formatCode="0.0000">
                  <c:v>1.8605762460117536</c:v>
                </c:pt>
                <c:pt idx="142" formatCode="0.0000">
                  <c:v>1.2724435323766716</c:v>
                </c:pt>
                <c:pt idx="143" formatCode="0.0000">
                  <c:v>1.5263911176868479</c:v>
                </c:pt>
                <c:pt idx="144" formatCode="0.0000">
                  <c:v>1.4621170349526089</c:v>
                </c:pt>
                <c:pt idx="145" formatCode="0.0000">
                  <c:v>1.4275454436040906</c:v>
                </c:pt>
                <c:pt idx="146" formatCode="0.0000">
                  <c:v>1.1905460991498023</c:v>
                </c:pt>
                <c:pt idx="147" formatCode="0.0000">
                  <c:v>1.4916638536263618</c:v>
                </c:pt>
                <c:pt idx="148" formatCode="0.0000">
                  <c:v>1.39268727324418</c:v>
                </c:pt>
                <c:pt idx="149" formatCode="0.0000">
                  <c:v>1.3488268542334194</c:v>
                </c:pt>
                <c:pt idx="150" formatCode="0.0000">
                  <c:v>1.3093580673853946</c:v>
                </c:pt>
                <c:pt idx="151" formatCode="0.0000">
                  <c:v>1.2073412168495454</c:v>
                </c:pt>
                <c:pt idx="152" formatCode="0.0000">
                  <c:v>1.2429845007358964</c:v>
                </c:pt>
                <c:pt idx="153" formatCode="0.0000">
                  <c:v>1.2940801362992997</c:v>
                </c:pt>
                <c:pt idx="154" formatCode="0.0000">
                  <c:v>1.3542920712185953</c:v>
                </c:pt>
                <c:pt idx="155" formatCode="0.0000">
                  <c:v>1.3476037235608185</c:v>
                </c:pt>
                <c:pt idx="156" formatCode="0.0000">
                  <c:v>1.5646086030198691</c:v>
                </c:pt>
                <c:pt idx="157" formatCode="0.0000">
                  <c:v>1.346453230173976</c:v>
                </c:pt>
                <c:pt idx="158" formatCode="0.0000">
                  <c:v>1.434596463450666</c:v>
                </c:pt>
                <c:pt idx="159" formatCode="0.0000">
                  <c:v>1.3675810720947708</c:v>
                </c:pt>
                <c:pt idx="160" formatCode="0.0000">
                  <c:v>1.3333081599876897</c:v>
                </c:pt>
                <c:pt idx="161" formatCode="0.0000">
                  <c:v>1.1051970348252151</c:v>
                </c:pt>
                <c:pt idx="162" formatCode="0.0000">
                  <c:v>1.147563349615893</c:v>
                </c:pt>
                <c:pt idx="163" formatCode="0.0000">
                  <c:v>1.0206788834283929</c:v>
                </c:pt>
                <c:pt idx="164" formatCode="0.0000">
                  <c:v>1.013010374279349</c:v>
                </c:pt>
                <c:pt idx="165" formatCode="0.0000">
                  <c:v>1.1446696368025517</c:v>
                </c:pt>
                <c:pt idx="166" formatCode="0.0000">
                  <c:v>1.1318471903227854</c:v>
                </c:pt>
                <c:pt idx="167" formatCode="0.0000">
                  <c:v>1.1150732655123328</c:v>
                </c:pt>
                <c:pt idx="168" formatCode="0.0000">
                  <c:v>1.1350798413381606</c:v>
                </c:pt>
                <c:pt idx="169" formatCode="0.0000">
                  <c:v>1.1152740872084108</c:v>
                </c:pt>
                <c:pt idx="170" formatCode="0.0000">
                  <c:v>1.0928443522666156</c:v>
                </c:pt>
                <c:pt idx="171" formatCode="0.0000">
                  <c:v>1.1345819053475155</c:v>
                </c:pt>
                <c:pt idx="172" formatCode="0.0000">
                  <c:v>0.95826331082678384</c:v>
                </c:pt>
                <c:pt idx="173" formatCode="0.0000">
                  <c:v>1.029736076616228</c:v>
                </c:pt>
                <c:pt idx="174" formatCode="0.0000">
                  <c:v>1.0434558967346743</c:v>
                </c:pt>
                <c:pt idx="175" formatCode="0.0000">
                  <c:v>1.0971589865714964</c:v>
                </c:pt>
                <c:pt idx="176" formatCode="0.0000">
                  <c:v>1.0015979850925745</c:v>
                </c:pt>
                <c:pt idx="177" formatCode="0.0000">
                  <c:v>1.0403360393386643</c:v>
                </c:pt>
                <c:pt idx="178" formatCode="0.0000">
                  <c:v>1.0351481545203303</c:v>
                </c:pt>
                <c:pt idx="179" formatCode="0.0000">
                  <c:v>1.0992620627836081</c:v>
                </c:pt>
                <c:pt idx="180" formatCode="0.0000">
                  <c:v>1.0209049617428334</c:v>
                </c:pt>
                <c:pt idx="181" formatCode="0.0000">
                  <c:v>0.96699410792743734</c:v>
                </c:pt>
                <c:pt idx="182" formatCode="0.0000">
                  <c:v>0.92754826731362061</c:v>
                </c:pt>
                <c:pt idx="183" formatCode="0.0000">
                  <c:v>0.92360558181518815</c:v>
                </c:pt>
                <c:pt idx="184" formatCode="0.0000">
                  <c:v>0.91474066170771018</c:v>
                </c:pt>
                <c:pt idx="185" formatCode="0.0000">
                  <c:v>0.91431513557085531</c:v>
                </c:pt>
                <c:pt idx="186" formatCode="0.0000">
                  <c:v>0.81679305353460097</c:v>
                </c:pt>
                <c:pt idx="187" formatCode="0.0000">
                  <c:v>0.81554147246069264</c:v>
                </c:pt>
                <c:pt idx="188" formatCode="0.0000">
                  <c:v>0.80119680871660159</c:v>
                </c:pt>
                <c:pt idx="189" formatCode="0.0000">
                  <c:v>0.95207592421105347</c:v>
                </c:pt>
                <c:pt idx="190" formatCode="0.0000">
                  <c:v>1.084012672626598</c:v>
                </c:pt>
                <c:pt idx="191" formatCode="0.0000">
                  <c:v>1.0542714312852248</c:v>
                </c:pt>
                <c:pt idx="192" formatCode="0.0000">
                  <c:v>1.1673595206002549</c:v>
                </c:pt>
                <c:pt idx="193" formatCode="0.0000">
                  <c:v>1.0895940364754244</c:v>
                </c:pt>
                <c:pt idx="194" formatCode="0.0000">
                  <c:v>1.1326046964457885</c:v>
                </c:pt>
                <c:pt idx="195" formatCode="0.0000">
                  <c:v>1.1470365467008354</c:v>
                </c:pt>
                <c:pt idx="196" formatCode="0.0000">
                  <c:v>1.1826301874175742</c:v>
                </c:pt>
                <c:pt idx="197" formatCode="0.0000">
                  <c:v>1.2246653309632654</c:v>
                </c:pt>
                <c:pt idx="198" formatCode="0.0000">
                  <c:v>1.2302279120744208</c:v>
                </c:pt>
                <c:pt idx="199" formatCode="0.0000">
                  <c:v>1.1363691009389929</c:v>
                </c:pt>
                <c:pt idx="200" formatCode="0.0000">
                  <c:v>1.4687045074459764</c:v>
                </c:pt>
                <c:pt idx="201" formatCode="0.0000">
                  <c:v>1.5477834062403328</c:v>
                </c:pt>
                <c:pt idx="202" formatCode="0.0000">
                  <c:v>1.5272253724763174</c:v>
                </c:pt>
                <c:pt idx="203" formatCode="0.0000">
                  <c:v>1.3287904789290927</c:v>
                </c:pt>
                <c:pt idx="204" formatCode="0.0000">
                  <c:v>1.2632428383968333</c:v>
                </c:pt>
                <c:pt idx="205" formatCode="0.0000">
                  <c:v>1.3637727233153749</c:v>
                </c:pt>
                <c:pt idx="206" formatCode="0.0000">
                  <c:v>1.3664628567239772</c:v>
                </c:pt>
                <c:pt idx="207" formatCode="0.0000">
                  <c:v>1.1901578804710655</c:v>
                </c:pt>
                <c:pt idx="208" formatCode="0.0000">
                  <c:v>1.1755362314395776</c:v>
                </c:pt>
                <c:pt idx="209" formatCode="0.0000">
                  <c:v>1.2298838773674852</c:v>
                </c:pt>
                <c:pt idx="210" formatCode="0.0000">
                  <c:v>1.2477450411289721</c:v>
                </c:pt>
                <c:pt idx="211" formatCode="0.0000">
                  <c:v>1.2807537313799873</c:v>
                </c:pt>
                <c:pt idx="212" formatCode="0.0000">
                  <c:v>1.3388664139966127</c:v>
                </c:pt>
                <c:pt idx="213" formatCode="0.0000">
                  <c:v>1.4134534654975077</c:v>
                </c:pt>
                <c:pt idx="214" formatCode="0.0000">
                  <c:v>1.3447021471376759</c:v>
                </c:pt>
                <c:pt idx="215" formatCode="0.0000">
                  <c:v>1.331570541353259</c:v>
                </c:pt>
                <c:pt idx="216" formatCode="0.0000">
                  <c:v>1.4430529777774925</c:v>
                </c:pt>
                <c:pt idx="217" formatCode="0.0000">
                  <c:v>1.534685629165746</c:v>
                </c:pt>
                <c:pt idx="218" formatCode="0.0000">
                  <c:v>1.6646736974506786</c:v>
                </c:pt>
                <c:pt idx="219" formatCode="0.0000">
                  <c:v>1.7884299375348367</c:v>
                </c:pt>
                <c:pt idx="220" formatCode="0.0000">
                  <c:v>1.8401534999169289</c:v>
                </c:pt>
                <c:pt idx="221" formatCode="0.0000">
                  <c:v>1.952612899810249</c:v>
                </c:pt>
                <c:pt idx="222" formatCode="0.0000">
                  <c:v>1.9880906745898042</c:v>
                </c:pt>
                <c:pt idx="223" formatCode="0.0000">
                  <c:v>1.9723694767383655</c:v>
                </c:pt>
                <c:pt idx="224" formatCode="0.0000">
                  <c:v>1.9718828268238593</c:v>
                </c:pt>
                <c:pt idx="225" formatCode="0.0000">
                  <c:v>1.8689024307330189</c:v>
                </c:pt>
                <c:pt idx="226" formatCode="0.0000">
                  <c:v>1.7334635516834571</c:v>
                </c:pt>
                <c:pt idx="227" formatCode="0.0000">
                  <c:v>1.6976758761996742</c:v>
                </c:pt>
                <c:pt idx="228" formatCode="0.0000">
                  <c:v>1.7283385577153993</c:v>
                </c:pt>
                <c:pt idx="229" formatCode="0.0000">
                  <c:v>1.7280384020824466</c:v>
                </c:pt>
                <c:pt idx="230" formatCode="0.0000">
                  <c:v>1.73297217339316</c:v>
                </c:pt>
                <c:pt idx="231" formatCode="0.0000">
                  <c:v>1.681723226119993</c:v>
                </c:pt>
                <c:pt idx="232" formatCode="0.0000">
                  <c:v>1.6261637438809036</c:v>
                </c:pt>
                <c:pt idx="233" formatCode="0.0000">
                  <c:v>1.5947342537762632</c:v>
                </c:pt>
                <c:pt idx="234" formatCode="0.0000">
                  <c:v>1.5562606320526069</c:v>
                </c:pt>
                <c:pt idx="235" formatCode="0.0000">
                  <c:v>1.4769791087721402</c:v>
                </c:pt>
                <c:pt idx="236" formatCode="0.0000">
                  <c:v>1.4772658013658386</c:v>
                </c:pt>
                <c:pt idx="237" formatCode="0.0000">
                  <c:v>1.424382734611823</c:v>
                </c:pt>
                <c:pt idx="238" formatCode="0.0000">
                  <c:v>1.4434628598262902</c:v>
                </c:pt>
                <c:pt idx="239" formatCode="0.0000">
                  <c:v>1.5568303625027657</c:v>
                </c:pt>
                <c:pt idx="240" formatCode="0.0000">
                  <c:v>1.5167286605912034</c:v>
                </c:pt>
                <c:pt idx="241" formatCode="0.0000">
                  <c:v>1.4972929353277831</c:v>
                </c:pt>
                <c:pt idx="242" formatCode="0.0000">
                  <c:v>1.5363350720107523</c:v>
                </c:pt>
                <c:pt idx="243" formatCode="0.0000">
                  <c:v>1.4547054515121158</c:v>
                </c:pt>
                <c:pt idx="244" formatCode="0.0000">
                  <c:v>1.4603249927910036</c:v>
                </c:pt>
                <c:pt idx="245" formatCode="0.0000">
                  <c:v>1.5658974838878312</c:v>
                </c:pt>
                <c:pt idx="246" formatCode="0.0000">
                  <c:v>1.6285636673015307</c:v>
                </c:pt>
                <c:pt idx="247" formatCode="0.0000">
                  <c:v>1.746980291008827</c:v>
                </c:pt>
                <c:pt idx="248" formatCode="0.0000">
                  <c:v>1.8056194090408233</c:v>
                </c:pt>
                <c:pt idx="249" formatCode="0.0000">
                  <c:v>1.7558801338566248</c:v>
                </c:pt>
                <c:pt idx="250" formatCode="0.0000">
                  <c:v>1.8250044730243509</c:v>
                </c:pt>
                <c:pt idx="251" formatCode="0.0000">
                  <c:v>1.8380584530650255</c:v>
                </c:pt>
                <c:pt idx="252" formatCode="0.0000">
                  <c:v>1.6870695676907541</c:v>
                </c:pt>
                <c:pt idx="253" formatCode="0.0000">
                  <c:v>1.5440045789815919</c:v>
                </c:pt>
                <c:pt idx="254" formatCode="0.0000">
                  <c:v>1.3721877085856622</c:v>
                </c:pt>
                <c:pt idx="255" formatCode="0.0000">
                  <c:v>1.3137743960104213</c:v>
                </c:pt>
                <c:pt idx="256" formatCode="0.0000">
                  <c:v>1.3154318722416216</c:v>
                </c:pt>
                <c:pt idx="257" formatCode="0.0000">
                  <c:v>1.286787875933358</c:v>
                </c:pt>
                <c:pt idx="258" formatCode="0.0000">
                  <c:v>1.2540031885585106</c:v>
                </c:pt>
                <c:pt idx="259" formatCode="0.0000">
                  <c:v>1.196803346955073</c:v>
                </c:pt>
                <c:pt idx="260" formatCode="0.0000">
                  <c:v>1.1206458950428495</c:v>
                </c:pt>
                <c:pt idx="261" formatCode="0.0000">
                  <c:v>1.1026001814539532</c:v>
                </c:pt>
                <c:pt idx="262" formatCode="0.0000">
                  <c:v>0.99973770001944084</c:v>
                </c:pt>
                <c:pt idx="263" formatCode="0.0000">
                  <c:v>0.92885691768585033</c:v>
                </c:pt>
                <c:pt idx="264" formatCode="0.0000">
                  <c:v>0.86584607923578194</c:v>
                </c:pt>
                <c:pt idx="265" formatCode="0.0000">
                  <c:v>0.82542982074455507</c:v>
                </c:pt>
                <c:pt idx="266" formatCode="0.0000">
                  <c:v>0.74369299344779605</c:v>
                </c:pt>
                <c:pt idx="267" formatCode="0.0000">
                  <c:v>0.67484226734575692</c:v>
                </c:pt>
                <c:pt idx="268" formatCode="0.0000">
                  <c:v>0.65764555622386056</c:v>
                </c:pt>
                <c:pt idx="269" formatCode="0.0000">
                  <c:v>0.67487379972965589</c:v>
                </c:pt>
                <c:pt idx="270" formatCode="0.0000">
                  <c:v>0.69471862970239451</c:v>
                </c:pt>
                <c:pt idx="271" formatCode="0.0000">
                  <c:v>0.69943647551539889</c:v>
                </c:pt>
                <c:pt idx="272" formatCode="0.0000">
                  <c:v>0.66607640675686131</c:v>
                </c:pt>
                <c:pt idx="273" formatCode="0.0000">
                  <c:v>0.66429431649712789</c:v>
                </c:pt>
                <c:pt idx="274" formatCode="0.0000">
                  <c:v>0.69690691712507147</c:v>
                </c:pt>
                <c:pt idx="275" formatCode="0.0000">
                  <c:v>0.70096273517923602</c:v>
                </c:pt>
                <c:pt idx="276" formatCode="0.0000">
                  <c:v>0.68228261112531807</c:v>
                </c:pt>
                <c:pt idx="277" formatCode="0.0000">
                  <c:v>0.66201111768552923</c:v>
                </c:pt>
                <c:pt idx="278" formatCode="0.0000">
                  <c:v>0.65146084649977809</c:v>
                </c:pt>
                <c:pt idx="279" formatCode="0.0000">
                  <c:v>0.64789773751415569</c:v>
                </c:pt>
                <c:pt idx="280" formatCode="0.0000">
                  <c:v>0.65935934673912844</c:v>
                </c:pt>
                <c:pt idx="281" formatCode="0.0000">
                  <c:v>0.69827875930461702</c:v>
                </c:pt>
                <c:pt idx="282" formatCode="0.0000">
                  <c:v>0.76335894248694458</c:v>
                </c:pt>
                <c:pt idx="283" formatCode="0.0000">
                  <c:v>0.78917414788512374</c:v>
                </c:pt>
                <c:pt idx="284" formatCode="0.0000">
                  <c:v>0.78232611197127266</c:v>
                </c:pt>
                <c:pt idx="285" formatCode="0.0000">
                  <c:v>0.80335000271165968</c:v>
                </c:pt>
                <c:pt idx="286" formatCode="0.0000">
                  <c:v>0.80789007102743959</c:v>
                </c:pt>
                <c:pt idx="287" formatCode="0.0000">
                  <c:v>0.81940409194514652</c:v>
                </c:pt>
                <c:pt idx="288" formatCode="0.0000">
                  <c:v>0.80989232364530328</c:v>
                </c:pt>
                <c:pt idx="289" formatCode="0.0000">
                  <c:v>0.78244479834300862</c:v>
                </c:pt>
                <c:pt idx="290" formatCode="0.0000">
                  <c:v>0.79416062636711637</c:v>
                </c:pt>
                <c:pt idx="291" formatCode="0.0000">
                  <c:v>0.80035771296379143</c:v>
                </c:pt>
                <c:pt idx="292" formatCode="0.0000">
                  <c:v>0.81796604929277739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C42-42B6-AA89-27B80C69A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334254"/>
        <c:axId val="379920107"/>
      </c:lineChart>
      <c:lineChart>
        <c:grouping val="standard"/>
        <c:varyColors val="0"/>
        <c:ser>
          <c:idx val="1"/>
          <c:order val="1"/>
          <c:tx>
            <c:strRef>
              <c:f>'R(t) Województwa'!$F$2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Województwa'!$F$3:$F$1000</c:f>
              <c:numCache>
                <c:formatCode>0.00</c:formatCode>
                <c:ptCount val="998"/>
                <c:pt idx="4">
                  <c:v>0.25</c:v>
                </c:pt>
                <c:pt idx="5">
                  <c:v>0.4</c:v>
                </c:pt>
                <c:pt idx="6">
                  <c:v>0.5</c:v>
                </c:pt>
                <c:pt idx="7">
                  <c:v>0.5714285714285714</c:v>
                </c:pt>
                <c:pt idx="8">
                  <c:v>0.5714285714285714</c:v>
                </c:pt>
                <c:pt idx="9">
                  <c:v>1</c:v>
                </c:pt>
                <c:pt idx="10">
                  <c:v>1</c:v>
                </c:pt>
                <c:pt idx="11">
                  <c:v>1.7142857142857142</c:v>
                </c:pt>
                <c:pt idx="12">
                  <c:v>1.8571428571428572</c:v>
                </c:pt>
                <c:pt idx="13">
                  <c:v>3.4285714285714284</c:v>
                </c:pt>
                <c:pt idx="14">
                  <c:v>4.8571428571428568</c:v>
                </c:pt>
                <c:pt idx="15">
                  <c:v>5.1428571428571432</c:v>
                </c:pt>
                <c:pt idx="16">
                  <c:v>6.5714285714285712</c:v>
                </c:pt>
                <c:pt idx="17">
                  <c:v>7.1428571428571432</c:v>
                </c:pt>
                <c:pt idx="18">
                  <c:v>7.5714285714285712</c:v>
                </c:pt>
                <c:pt idx="19">
                  <c:v>9.1428571428571423</c:v>
                </c:pt>
                <c:pt idx="20">
                  <c:v>10.571428571428571</c:v>
                </c:pt>
                <c:pt idx="21">
                  <c:v>13.714285714285714</c:v>
                </c:pt>
                <c:pt idx="22">
                  <c:v>15.714285714285714</c:v>
                </c:pt>
                <c:pt idx="23">
                  <c:v>16</c:v>
                </c:pt>
                <c:pt idx="24">
                  <c:v>19.285714285714285</c:v>
                </c:pt>
                <c:pt idx="25">
                  <c:v>21.142857142857142</c:v>
                </c:pt>
                <c:pt idx="26">
                  <c:v>22.142857142857142</c:v>
                </c:pt>
                <c:pt idx="27">
                  <c:v>22.428571428571427</c:v>
                </c:pt>
                <c:pt idx="28">
                  <c:v>20</c:v>
                </c:pt>
                <c:pt idx="29">
                  <c:v>25.142857142857142</c:v>
                </c:pt>
                <c:pt idx="30">
                  <c:v>24.714285714285715</c:v>
                </c:pt>
                <c:pt idx="31">
                  <c:v>29.571428571428573</c:v>
                </c:pt>
                <c:pt idx="32">
                  <c:v>27.571428571428573</c:v>
                </c:pt>
                <c:pt idx="33">
                  <c:v>33.428571428571431</c:v>
                </c:pt>
                <c:pt idx="34">
                  <c:v>32.857142857142854</c:v>
                </c:pt>
                <c:pt idx="35">
                  <c:v>36.142857142857146</c:v>
                </c:pt>
                <c:pt idx="36">
                  <c:v>30.428571428571427</c:v>
                </c:pt>
                <c:pt idx="37">
                  <c:v>32.857142857142854</c:v>
                </c:pt>
                <c:pt idx="38">
                  <c:v>33.857142857142854</c:v>
                </c:pt>
                <c:pt idx="39">
                  <c:v>36.142857142857146</c:v>
                </c:pt>
                <c:pt idx="40">
                  <c:v>32.714285714285715</c:v>
                </c:pt>
                <c:pt idx="41">
                  <c:v>31.571428571428573</c:v>
                </c:pt>
                <c:pt idx="42">
                  <c:v>28</c:v>
                </c:pt>
                <c:pt idx="43">
                  <c:v>32.142857142857146</c:v>
                </c:pt>
                <c:pt idx="44">
                  <c:v>35.857142857142854</c:v>
                </c:pt>
                <c:pt idx="45">
                  <c:v>36.571428571428569</c:v>
                </c:pt>
                <c:pt idx="46">
                  <c:v>41.285714285714285</c:v>
                </c:pt>
                <c:pt idx="47">
                  <c:v>49.571428571428569</c:v>
                </c:pt>
                <c:pt idx="48">
                  <c:v>52.571428571428569</c:v>
                </c:pt>
                <c:pt idx="49">
                  <c:v>56.428571428571431</c:v>
                </c:pt>
                <c:pt idx="50">
                  <c:v>54.285714285714285</c:v>
                </c:pt>
                <c:pt idx="51">
                  <c:v>56.142857142857146</c:v>
                </c:pt>
                <c:pt idx="52">
                  <c:v>48.857142857142854</c:v>
                </c:pt>
                <c:pt idx="53">
                  <c:v>47</c:v>
                </c:pt>
                <c:pt idx="54">
                  <c:v>42.428571428571431</c:v>
                </c:pt>
                <c:pt idx="55">
                  <c:v>47.857142857142854</c:v>
                </c:pt>
                <c:pt idx="56">
                  <c:v>49</c:v>
                </c:pt>
                <c:pt idx="57">
                  <c:v>53.714285714285715</c:v>
                </c:pt>
                <c:pt idx="58">
                  <c:v>50.142857142857146</c:v>
                </c:pt>
                <c:pt idx="59">
                  <c:v>49.285714285714285</c:v>
                </c:pt>
                <c:pt idx="60">
                  <c:v>48.857142857142854</c:v>
                </c:pt>
                <c:pt idx="61">
                  <c:v>43.428571428571431</c:v>
                </c:pt>
                <c:pt idx="62">
                  <c:v>44.428571428571431</c:v>
                </c:pt>
                <c:pt idx="63">
                  <c:v>44</c:v>
                </c:pt>
                <c:pt idx="64">
                  <c:v>38.428571428571431</c:v>
                </c:pt>
                <c:pt idx="65">
                  <c:v>37.428571428571431</c:v>
                </c:pt>
                <c:pt idx="66">
                  <c:v>41.428571428571431</c:v>
                </c:pt>
                <c:pt idx="67">
                  <c:v>40.428571428571431</c:v>
                </c:pt>
                <c:pt idx="68">
                  <c:v>51</c:v>
                </c:pt>
                <c:pt idx="69">
                  <c:v>43</c:v>
                </c:pt>
                <c:pt idx="70">
                  <c:v>41</c:v>
                </c:pt>
                <c:pt idx="71">
                  <c:v>44.428571428571431</c:v>
                </c:pt>
                <c:pt idx="72">
                  <c:v>42.857142857142854</c:v>
                </c:pt>
                <c:pt idx="73">
                  <c:v>38.714285714285715</c:v>
                </c:pt>
                <c:pt idx="74">
                  <c:v>36.714285714285715</c:v>
                </c:pt>
                <c:pt idx="75">
                  <c:v>23.428571428571427</c:v>
                </c:pt>
                <c:pt idx="76">
                  <c:v>28.857142857142858</c:v>
                </c:pt>
                <c:pt idx="77">
                  <c:v>28.714285714285715</c:v>
                </c:pt>
                <c:pt idx="78">
                  <c:v>25.142857142857142</c:v>
                </c:pt>
                <c:pt idx="79">
                  <c:v>24.285714285714285</c:v>
                </c:pt>
                <c:pt idx="80">
                  <c:v>32.142857142857146</c:v>
                </c:pt>
                <c:pt idx="81">
                  <c:v>34.142857142857146</c:v>
                </c:pt>
                <c:pt idx="82">
                  <c:v>36</c:v>
                </c:pt>
                <c:pt idx="83">
                  <c:v>32.714285714285715</c:v>
                </c:pt>
                <c:pt idx="84">
                  <c:v>30.571428571428573</c:v>
                </c:pt>
                <c:pt idx="85">
                  <c:v>33.714285714285715</c:v>
                </c:pt>
                <c:pt idx="86">
                  <c:v>33.571428571428569</c:v>
                </c:pt>
                <c:pt idx="87">
                  <c:v>27.142857142857142</c:v>
                </c:pt>
                <c:pt idx="88">
                  <c:v>26</c:v>
                </c:pt>
                <c:pt idx="89">
                  <c:v>25.142857142857142</c:v>
                </c:pt>
                <c:pt idx="90">
                  <c:v>25</c:v>
                </c:pt>
                <c:pt idx="91">
                  <c:v>24</c:v>
                </c:pt>
                <c:pt idx="92">
                  <c:v>19.571428571428573</c:v>
                </c:pt>
                <c:pt idx="93">
                  <c:v>18.571428571428573</c:v>
                </c:pt>
                <c:pt idx="94">
                  <c:v>17.714285714285715</c:v>
                </c:pt>
                <c:pt idx="95">
                  <c:v>17</c:v>
                </c:pt>
                <c:pt idx="96">
                  <c:v>16.285714285714285</c:v>
                </c:pt>
                <c:pt idx="97">
                  <c:v>13.428571428571429</c:v>
                </c:pt>
                <c:pt idx="98">
                  <c:v>13.857142857142858</c:v>
                </c:pt>
                <c:pt idx="99">
                  <c:v>12.857142857142858</c:v>
                </c:pt>
                <c:pt idx="100">
                  <c:v>12.714285714285714</c:v>
                </c:pt>
                <c:pt idx="101">
                  <c:v>10</c:v>
                </c:pt>
                <c:pt idx="102">
                  <c:v>9.5714285714285712</c:v>
                </c:pt>
                <c:pt idx="103">
                  <c:v>8.4285714285714288</c:v>
                </c:pt>
                <c:pt idx="104">
                  <c:v>6.1428571428571432</c:v>
                </c:pt>
                <c:pt idx="105">
                  <c:v>6</c:v>
                </c:pt>
                <c:pt idx="106">
                  <c:v>10.714285714285714</c:v>
                </c:pt>
                <c:pt idx="107">
                  <c:v>10.857142857142858</c:v>
                </c:pt>
                <c:pt idx="108">
                  <c:v>12.571428571428571</c:v>
                </c:pt>
                <c:pt idx="109">
                  <c:v>12</c:v>
                </c:pt>
                <c:pt idx="110">
                  <c:v>12.285714285714286</c:v>
                </c:pt>
                <c:pt idx="111">
                  <c:v>12.857142857142858</c:v>
                </c:pt>
                <c:pt idx="112">
                  <c:v>12.714285714285714</c:v>
                </c:pt>
                <c:pt idx="113">
                  <c:v>9.1428571428571423</c:v>
                </c:pt>
                <c:pt idx="114">
                  <c:v>8.4285714285714288</c:v>
                </c:pt>
                <c:pt idx="115">
                  <c:v>9.1428571428571423</c:v>
                </c:pt>
                <c:pt idx="116">
                  <c:v>8.1428571428571423</c:v>
                </c:pt>
                <c:pt idx="117">
                  <c:v>8.1428571428571423</c:v>
                </c:pt>
                <c:pt idx="118">
                  <c:v>8</c:v>
                </c:pt>
                <c:pt idx="119">
                  <c:v>7.4285714285714288</c:v>
                </c:pt>
                <c:pt idx="120">
                  <c:v>6.5714285714285712</c:v>
                </c:pt>
                <c:pt idx="121">
                  <c:v>6.5714285714285712</c:v>
                </c:pt>
                <c:pt idx="122">
                  <c:v>4.4285714285714288</c:v>
                </c:pt>
                <c:pt idx="123">
                  <c:v>4</c:v>
                </c:pt>
                <c:pt idx="124">
                  <c:v>3.7142857142857144</c:v>
                </c:pt>
                <c:pt idx="125">
                  <c:v>4</c:v>
                </c:pt>
                <c:pt idx="126">
                  <c:v>4.4285714285714288</c:v>
                </c:pt>
                <c:pt idx="127">
                  <c:v>4</c:v>
                </c:pt>
                <c:pt idx="128">
                  <c:v>3.8571428571428572</c:v>
                </c:pt>
                <c:pt idx="129">
                  <c:v>5.2857142857142856</c:v>
                </c:pt>
                <c:pt idx="130">
                  <c:v>5.1428571428571432</c:v>
                </c:pt>
                <c:pt idx="131">
                  <c:v>5.4285714285714288</c:v>
                </c:pt>
                <c:pt idx="132">
                  <c:v>4.8571428571428568</c:v>
                </c:pt>
                <c:pt idx="133">
                  <c:v>4.7142857142857144</c:v>
                </c:pt>
                <c:pt idx="134">
                  <c:v>5.5714285714285712</c:v>
                </c:pt>
                <c:pt idx="135">
                  <c:v>8.5714285714285712</c:v>
                </c:pt>
                <c:pt idx="136">
                  <c:v>7.8571428571428568</c:v>
                </c:pt>
                <c:pt idx="137">
                  <c:v>10</c:v>
                </c:pt>
                <c:pt idx="138">
                  <c:v>11</c:v>
                </c:pt>
                <c:pt idx="139">
                  <c:v>14</c:v>
                </c:pt>
                <c:pt idx="140">
                  <c:v>13.285714285714286</c:v>
                </c:pt>
                <c:pt idx="141">
                  <c:v>14.714285714285714</c:v>
                </c:pt>
                <c:pt idx="142">
                  <c:v>12</c:v>
                </c:pt>
                <c:pt idx="143">
                  <c:v>15</c:v>
                </c:pt>
                <c:pt idx="144">
                  <c:v>15.571428571428571</c:v>
                </c:pt>
                <c:pt idx="145">
                  <c:v>15.714285714285714</c:v>
                </c:pt>
                <c:pt idx="146">
                  <c:v>13.857142857142858</c:v>
                </c:pt>
                <c:pt idx="147">
                  <c:v>17.857142857142858</c:v>
                </c:pt>
                <c:pt idx="148">
                  <c:v>17.714285714285715</c:v>
                </c:pt>
                <c:pt idx="149">
                  <c:v>17.428571428571427</c:v>
                </c:pt>
                <c:pt idx="150">
                  <c:v>18.285714285714285</c:v>
                </c:pt>
                <c:pt idx="151">
                  <c:v>17.428571428571427</c:v>
                </c:pt>
                <c:pt idx="152">
                  <c:v>18.285714285714285</c:v>
                </c:pt>
                <c:pt idx="153">
                  <c:v>19.428571428571427</c:v>
                </c:pt>
                <c:pt idx="154">
                  <c:v>21.714285714285715</c:v>
                </c:pt>
                <c:pt idx="155">
                  <c:v>22.428571428571427</c:v>
                </c:pt>
                <c:pt idx="156">
                  <c:v>27.285714285714285</c:v>
                </c:pt>
                <c:pt idx="157">
                  <c:v>25.428571428571427</c:v>
                </c:pt>
                <c:pt idx="158">
                  <c:v>28.285714285714285</c:v>
                </c:pt>
                <c:pt idx="159">
                  <c:v>27.714285714285715</c:v>
                </c:pt>
                <c:pt idx="160">
                  <c:v>27.857142857142858</c:v>
                </c:pt>
                <c:pt idx="161">
                  <c:v>25</c:v>
                </c:pt>
                <c:pt idx="162">
                  <c:v>26.285714285714285</c:v>
                </c:pt>
                <c:pt idx="163">
                  <c:v>24</c:v>
                </c:pt>
                <c:pt idx="164">
                  <c:v>23.857142857142858</c:v>
                </c:pt>
                <c:pt idx="165">
                  <c:v>27</c:v>
                </c:pt>
                <c:pt idx="166">
                  <c:v>26.857142857142858</c:v>
                </c:pt>
                <c:pt idx="167">
                  <c:v>26.714285714285715</c:v>
                </c:pt>
                <c:pt idx="168">
                  <c:v>27.571428571428573</c:v>
                </c:pt>
                <c:pt idx="169">
                  <c:v>27.571428571428573</c:v>
                </c:pt>
                <c:pt idx="170">
                  <c:v>27.285714285714285</c:v>
                </c:pt>
                <c:pt idx="171">
                  <c:v>28.571428571428573</c:v>
                </c:pt>
                <c:pt idx="172">
                  <c:v>24.857142857142858</c:v>
                </c:pt>
                <c:pt idx="173">
                  <c:v>26.714285714285715</c:v>
                </c:pt>
                <c:pt idx="174">
                  <c:v>27.142857142857142</c:v>
                </c:pt>
                <c:pt idx="175">
                  <c:v>28.714285714285715</c:v>
                </c:pt>
                <c:pt idx="176">
                  <c:v>26.428571428571427</c:v>
                </c:pt>
                <c:pt idx="177">
                  <c:v>27.428571428571427</c:v>
                </c:pt>
                <c:pt idx="178">
                  <c:v>27.428571428571427</c:v>
                </c:pt>
                <c:pt idx="179">
                  <c:v>29.285714285714285</c:v>
                </c:pt>
                <c:pt idx="180">
                  <c:v>27.285714285714285</c:v>
                </c:pt>
                <c:pt idx="181">
                  <c:v>25.857142857142858</c:v>
                </c:pt>
                <c:pt idx="182">
                  <c:v>24.571428571428573</c:v>
                </c:pt>
                <c:pt idx="183">
                  <c:v>24.285714285714285</c:v>
                </c:pt>
                <c:pt idx="184">
                  <c:v>23.714285714285715</c:v>
                </c:pt>
                <c:pt idx="185">
                  <c:v>23.285714285714285</c:v>
                </c:pt>
                <c:pt idx="186">
                  <c:v>20.285714285714285</c:v>
                </c:pt>
                <c:pt idx="187">
                  <c:v>20</c:v>
                </c:pt>
                <c:pt idx="188">
                  <c:v>19.428571428571427</c:v>
                </c:pt>
                <c:pt idx="189">
                  <c:v>21.428571428571427</c:v>
                </c:pt>
                <c:pt idx="190">
                  <c:v>24.428571428571427</c:v>
                </c:pt>
                <c:pt idx="191">
                  <c:v>23.857142857142858</c:v>
                </c:pt>
                <c:pt idx="192">
                  <c:v>26.714285714285715</c:v>
                </c:pt>
                <c:pt idx="193">
                  <c:v>25</c:v>
                </c:pt>
                <c:pt idx="194">
                  <c:v>26.142857142857142</c:v>
                </c:pt>
                <c:pt idx="195">
                  <c:v>26.571428571428573</c:v>
                </c:pt>
                <c:pt idx="196">
                  <c:v>28.142857142857142</c:v>
                </c:pt>
                <c:pt idx="197">
                  <c:v>30</c:v>
                </c:pt>
                <c:pt idx="198">
                  <c:v>30.714285714285715</c:v>
                </c:pt>
                <c:pt idx="199">
                  <c:v>29.285714285714285</c:v>
                </c:pt>
                <c:pt idx="200">
                  <c:v>39.571428571428569</c:v>
                </c:pt>
                <c:pt idx="201">
                  <c:v>43.714285714285715</c:v>
                </c:pt>
                <c:pt idx="202">
                  <c:v>43.714285714285715</c:v>
                </c:pt>
                <c:pt idx="203">
                  <c:v>41.857142857142854</c:v>
                </c:pt>
                <c:pt idx="204">
                  <c:v>41.714285714285715</c:v>
                </c:pt>
                <c:pt idx="205">
                  <c:v>46.428571428571431</c:v>
                </c:pt>
                <c:pt idx="206">
                  <c:v>48.571428571428569</c:v>
                </c:pt>
                <c:pt idx="207">
                  <c:v>45.714285714285715</c:v>
                </c:pt>
                <c:pt idx="208">
                  <c:v>46.285714285714285</c:v>
                </c:pt>
                <c:pt idx="209">
                  <c:v>49</c:v>
                </c:pt>
                <c:pt idx="210">
                  <c:v>51.428571428571431</c:v>
                </c:pt>
                <c:pt idx="211">
                  <c:v>54.714285714285715</c:v>
                </c:pt>
                <c:pt idx="212">
                  <c:v>60.142857142857146</c:v>
                </c:pt>
                <c:pt idx="213">
                  <c:v>67.142857142857139</c:v>
                </c:pt>
                <c:pt idx="214">
                  <c:v>67.142857142857139</c:v>
                </c:pt>
                <c:pt idx="215">
                  <c:v>69</c:v>
                </c:pt>
                <c:pt idx="216">
                  <c:v>77.428571428571431</c:v>
                </c:pt>
                <c:pt idx="217">
                  <c:v>88.285714285714292</c:v>
                </c:pt>
                <c:pt idx="218">
                  <c:v>104.71428571428571</c:v>
                </c:pt>
                <c:pt idx="219">
                  <c:v>127.85714285714286</c:v>
                </c:pt>
                <c:pt idx="220">
                  <c:v>149.14285714285714</c:v>
                </c:pt>
                <c:pt idx="221">
                  <c:v>174.71428571428572</c:v>
                </c:pt>
                <c:pt idx="222">
                  <c:v>192.42857142857142</c:v>
                </c:pt>
                <c:pt idx="223">
                  <c:v>208.42857142857142</c:v>
                </c:pt>
                <c:pt idx="224">
                  <c:v>237.28571428571428</c:v>
                </c:pt>
                <c:pt idx="225">
                  <c:v>256</c:v>
                </c:pt>
                <c:pt idx="226">
                  <c:v>273.71428571428572</c:v>
                </c:pt>
                <c:pt idx="227">
                  <c:v>301</c:v>
                </c:pt>
                <c:pt idx="228">
                  <c:v>341.28571428571428</c:v>
                </c:pt>
                <c:pt idx="229">
                  <c:v>367.42857142857144</c:v>
                </c:pt>
                <c:pt idx="230">
                  <c:v>397</c:v>
                </c:pt>
                <c:pt idx="231">
                  <c:v>429.14285714285717</c:v>
                </c:pt>
                <c:pt idx="232">
                  <c:v>450.14285714285717</c:v>
                </c:pt>
                <c:pt idx="233">
                  <c:v>482.71428571428572</c:v>
                </c:pt>
                <c:pt idx="234">
                  <c:v>515</c:v>
                </c:pt>
                <c:pt idx="235">
                  <c:v>532.28571428571433</c:v>
                </c:pt>
                <c:pt idx="236">
                  <c:v>563.14285714285711</c:v>
                </c:pt>
                <c:pt idx="237">
                  <c:v>571.14285714285711</c:v>
                </c:pt>
                <c:pt idx="238">
                  <c:v>621.14285714285711</c:v>
                </c:pt>
                <c:pt idx="239">
                  <c:v>718</c:v>
                </c:pt>
                <c:pt idx="240">
                  <c:v>753.28571428571433</c:v>
                </c:pt>
                <c:pt idx="241">
                  <c:v>800.71428571428567</c:v>
                </c:pt>
                <c:pt idx="242">
                  <c:v>884.14285714285711</c:v>
                </c:pt>
                <c:pt idx="243">
                  <c:v>875.42857142857144</c:v>
                </c:pt>
                <c:pt idx="244">
                  <c:v>914.71428571428567</c:v>
                </c:pt>
                <c:pt idx="245">
                  <c:v>1064.2857142857142</c:v>
                </c:pt>
                <c:pt idx="246">
                  <c:v>1233.4285714285713</c:v>
                </c:pt>
                <c:pt idx="247">
                  <c:v>1461.1428571428571</c:v>
                </c:pt>
                <c:pt idx="248">
                  <c:v>1677.2857142857142</c:v>
                </c:pt>
                <c:pt idx="249">
                  <c:v>1793.8571428571429</c:v>
                </c:pt>
                <c:pt idx="250">
                  <c:v>1976</c:v>
                </c:pt>
                <c:pt idx="251">
                  <c:v>2116.2857142857142</c:v>
                </c:pt>
                <c:pt idx="252">
                  <c:v>2198.7142857142858</c:v>
                </c:pt>
                <c:pt idx="253">
                  <c:v>2246.8571428571427</c:v>
                </c:pt>
                <c:pt idx="254">
                  <c:v>2160.5714285714284</c:v>
                </c:pt>
                <c:pt idx="255">
                  <c:v>2205</c:v>
                </c:pt>
                <c:pt idx="256">
                  <c:v>2312</c:v>
                </c:pt>
                <c:pt idx="257">
                  <c:v>2343</c:v>
                </c:pt>
                <c:pt idx="258">
                  <c:v>2352.2857142857142</c:v>
                </c:pt>
                <c:pt idx="259">
                  <c:v>2334.7142857142858</c:v>
                </c:pt>
                <c:pt idx="260">
                  <c:v>2253.2857142857142</c:v>
                </c:pt>
                <c:pt idx="261">
                  <c:v>2247.7142857142858</c:v>
                </c:pt>
                <c:pt idx="262">
                  <c:v>2076.7142857142858</c:v>
                </c:pt>
                <c:pt idx="263">
                  <c:v>1933.5714285714287</c:v>
                </c:pt>
                <c:pt idx="264">
                  <c:v>1789.1428571428571</c:v>
                </c:pt>
                <c:pt idx="265">
                  <c:v>1682.1428571428571</c:v>
                </c:pt>
                <c:pt idx="266">
                  <c:v>1484.5714285714287</c:v>
                </c:pt>
                <c:pt idx="267">
                  <c:v>1303.7142857142858</c:v>
                </c:pt>
                <c:pt idx="268">
                  <c:v>1204.2857142857142</c:v>
                </c:pt>
                <c:pt idx="269">
                  <c:v>1160.2857142857142</c:v>
                </c:pt>
                <c:pt idx="270">
                  <c:v>1115.8571428571429</c:v>
                </c:pt>
                <c:pt idx="271">
                  <c:v>1083.8571428571429</c:v>
                </c:pt>
                <c:pt idx="272">
                  <c:v>999.57142857142856</c:v>
                </c:pt>
                <c:pt idx="273">
                  <c:v>954.14285714285711</c:v>
                </c:pt>
                <c:pt idx="274">
                  <c:v>956.85714285714289</c:v>
                </c:pt>
                <c:pt idx="275">
                  <c:v>918.57142857142856</c:v>
                </c:pt>
                <c:pt idx="276">
                  <c:v>848.57142857142856</c:v>
                </c:pt>
                <c:pt idx="277">
                  <c:v>768.42857142857144</c:v>
                </c:pt>
                <c:pt idx="278">
                  <c:v>724.85714285714289</c:v>
                </c:pt>
                <c:pt idx="279">
                  <c:v>702.28571428571433</c:v>
                </c:pt>
                <c:pt idx="280">
                  <c:v>680.71428571428567</c:v>
                </c:pt>
                <c:pt idx="281">
                  <c:v>676.28571428571433</c:v>
                </c:pt>
                <c:pt idx="282">
                  <c:v>696.42857142857144</c:v>
                </c:pt>
                <c:pt idx="283">
                  <c:v>692</c:v>
                </c:pt>
                <c:pt idx="284">
                  <c:v>660.28571428571433</c:v>
                </c:pt>
                <c:pt idx="285">
                  <c:v>663.42857142857144</c:v>
                </c:pt>
                <c:pt idx="286">
                  <c:v>659.28571428571433</c:v>
                </c:pt>
                <c:pt idx="287">
                  <c:v>652.57142857142856</c:v>
                </c:pt>
                <c:pt idx="288">
                  <c:v>626.28571428571433</c:v>
                </c:pt>
                <c:pt idx="289">
                  <c:v>582.85714285714289</c:v>
                </c:pt>
                <c:pt idx="290">
                  <c:v>567.71428571428567</c:v>
                </c:pt>
                <c:pt idx="291">
                  <c:v>552.71428571428567</c:v>
                </c:pt>
                <c:pt idx="292">
                  <c:v>551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C42-42B6-AA89-27B80C69A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9992581"/>
        <c:axId val="1076529053"/>
      </c:lineChart>
      <c:dateAx>
        <c:axId val="19393342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379920107"/>
        <c:crosses val="autoZero"/>
        <c:auto val="1"/>
        <c:lblOffset val="100"/>
        <c:baseTimeUnit val="days"/>
      </c:dateAx>
      <c:valAx>
        <c:axId val="379920107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939334254"/>
        <c:crosses val="autoZero"/>
        <c:crossBetween val="between"/>
      </c:valAx>
      <c:dateAx>
        <c:axId val="1829992581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1076529053"/>
        <c:crosses val="autoZero"/>
        <c:auto val="1"/>
        <c:lblOffset val="100"/>
        <c:baseTimeUnit val="days"/>
      </c:dateAx>
      <c:valAx>
        <c:axId val="1076529053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829992581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Kujawsko-Pomorskiego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Województwa'!$Q$2</c:f>
              <c:strCache>
                <c:ptCount val="1"/>
                <c:pt idx="0">
                  <c:v>Kujawsko-Pomorskie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Województwa'!$Q$3:$Q$1000</c:f>
              <c:numCache>
                <c:formatCode>General</c:formatCode>
                <c:ptCount val="998"/>
                <c:pt idx="32" formatCode="0.0000">
                  <c:v>1.052405498281787</c:v>
                </c:pt>
                <c:pt idx="33" formatCode="0.0000">
                  <c:v>0.88136172100104748</c:v>
                </c:pt>
                <c:pt idx="34" formatCode="0.0000">
                  <c:v>0.64569072525905669</c:v>
                </c:pt>
                <c:pt idx="35" formatCode="0.0000">
                  <c:v>0.71899301851164343</c:v>
                </c:pt>
                <c:pt idx="36" formatCode="0.0000">
                  <c:v>0.7048067862456221</c:v>
                </c:pt>
                <c:pt idx="37" formatCode="0.0000">
                  <c:v>0.61358395978924518</c:v>
                </c:pt>
                <c:pt idx="38" formatCode="0.0000">
                  <c:v>0.61117506813217459</c:v>
                </c:pt>
                <c:pt idx="39" formatCode="0.0000">
                  <c:v>0.66888324435832569</c:v>
                </c:pt>
                <c:pt idx="40" formatCode="0.0000">
                  <c:v>0.76272736985534473</c:v>
                </c:pt>
                <c:pt idx="41" formatCode="0.0000">
                  <c:v>0.81043956471579393</c:v>
                </c:pt>
                <c:pt idx="42" formatCode="0.0000">
                  <c:v>0.7370594203959614</c:v>
                </c:pt>
                <c:pt idx="43" formatCode="0.0000">
                  <c:v>0.71066173528732235</c:v>
                </c:pt>
                <c:pt idx="44" formatCode="0.0000">
                  <c:v>0.77008432868687315</c:v>
                </c:pt>
                <c:pt idx="45" formatCode="0.0000">
                  <c:v>0.90292396406233877</c:v>
                </c:pt>
                <c:pt idx="46" formatCode="0.0000">
                  <c:v>0.80642711483323171</c:v>
                </c:pt>
                <c:pt idx="47" formatCode="0.0000">
                  <c:v>0.69486152034840321</c:v>
                </c:pt>
                <c:pt idx="48" formatCode="0.0000">
                  <c:v>0.78914293917572464</c:v>
                </c:pt>
                <c:pt idx="49" formatCode="0.0000">
                  <c:v>0.91310738123553548</c:v>
                </c:pt>
                <c:pt idx="50" formatCode="0.0000">
                  <c:v>0.99293011328807501</c:v>
                </c:pt>
                <c:pt idx="51" formatCode="0.0000">
                  <c:v>0.99418160470894534</c:v>
                </c:pt>
                <c:pt idx="52" formatCode="0.0000">
                  <c:v>0.89771347600109508</c:v>
                </c:pt>
                <c:pt idx="53" formatCode="0.0000">
                  <c:v>0.82004668016852034</c:v>
                </c:pt>
                <c:pt idx="54" formatCode="0.0000">
                  <c:v>0.78700421120521824</c:v>
                </c:pt>
                <c:pt idx="55" formatCode="0.0000">
                  <c:v>0.68992504244548936</c:v>
                </c:pt>
                <c:pt idx="56" formatCode="0.0000">
                  <c:v>1.032470753465794</c:v>
                </c:pt>
                <c:pt idx="57" formatCode="0.0000">
                  <c:v>1.093216224462314</c:v>
                </c:pt>
                <c:pt idx="58" formatCode="0.0000">
                  <c:v>1.0816432133453573</c:v>
                </c:pt>
                <c:pt idx="59" formatCode="0.0000">
                  <c:v>1.0261030983745862</c:v>
                </c:pt>
                <c:pt idx="60" formatCode="0.0000">
                  <c:v>1.0399300495665</c:v>
                </c:pt>
                <c:pt idx="61" formatCode="0.0000">
                  <c:v>1.0287691230820497</c:v>
                </c:pt>
                <c:pt idx="62" formatCode="0.0000">
                  <c:v>0.95894771618613983</c:v>
                </c:pt>
                <c:pt idx="63" formatCode="0.0000">
                  <c:v>0.50029784347054218</c:v>
                </c:pt>
                <c:pt idx="64" formatCode="0.0000">
                  <c:v>0.29354706021847354</c:v>
                </c:pt>
                <c:pt idx="65" formatCode="0.0000">
                  <c:v>0.33002934233670395</c:v>
                </c:pt>
                <c:pt idx="66" formatCode="0.0000">
                  <c:v>0.37592525339232996</c:v>
                </c:pt>
                <c:pt idx="67" formatCode="0.0000">
                  <c:v>0.35131845573922654</c:v>
                </c:pt>
                <c:pt idx="68" formatCode="0.0000">
                  <c:v>0.36427326736978671</c:v>
                </c:pt>
                <c:pt idx="69" formatCode="0.0000">
                  <c:v>0.4508518262709838</c:v>
                </c:pt>
                <c:pt idx="70" formatCode="0.0000">
                  <c:v>0.38224313333066934</c:v>
                </c:pt>
                <c:pt idx="71" formatCode="0.0000">
                  <c:v>0.38224313333066939</c:v>
                </c:pt>
                <c:pt idx="72" formatCode="0.0000">
                  <c:v>0.31578761379866516</c:v>
                </c:pt>
                <c:pt idx="73" formatCode="0.0000">
                  <c:v>0.34274987465333601</c:v>
                </c:pt>
                <c:pt idx="74" formatCode="0.0000">
                  <c:v>0.36613572091267638</c:v>
                </c:pt>
                <c:pt idx="75" formatCode="0.0000">
                  <c:v>0.31363178175763445</c:v>
                </c:pt>
                <c:pt idx="76" formatCode="0.0000">
                  <c:v>0.22705322285643739</c:v>
                </c:pt>
                <c:pt idx="77" formatCode="0.0000">
                  <c:v>0.29708547485886921</c:v>
                </c:pt>
                <c:pt idx="78" formatCode="0.0000">
                  <c:v>0.3726184041962311</c:v>
                </c:pt>
                <c:pt idx="79" formatCode="0.0000">
                  <c:v>0.57395045971632841</c:v>
                </c:pt>
                <c:pt idx="80" formatCode="0.0000">
                  <c:v>0.58224756751526741</c:v>
                </c:pt>
                <c:pt idx="81" formatCode="0.0000">
                  <c:v>0.60904900542491958</c:v>
                </c:pt>
                <c:pt idx="82" formatCode="0.0000">
                  <c:v>0.6878243505502446</c:v>
                </c:pt>
                <c:pt idx="83" formatCode="0.0000">
                  <c:v>0.77199339965561964</c:v>
                </c:pt>
                <c:pt idx="84" formatCode="0.0000">
                  <c:v>0.70196114765318784</c:v>
                </c:pt>
                <c:pt idx="85" formatCode="0.0000">
                  <c:v>0.73074775714717177</c:v>
                </c:pt>
                <c:pt idx="86" formatCode="0.0000">
                  <c:v>0.48779217569347544</c:v>
                </c:pt>
                <c:pt idx="87" formatCode="0.0000">
                  <c:v>0.34055954454600218</c:v>
                </c:pt>
                <c:pt idx="88" formatCode="0.0000">
                  <c:v>0.26726393306204616</c:v>
                </c:pt>
                <c:pt idx="89" formatCode="0.0000">
                  <c:v>0.18848858793672127</c:v>
                </c:pt>
                <c:pt idx="90" formatCode="0.0000">
                  <c:v>0.1043195388313463</c:v>
                </c:pt>
                <c:pt idx="91" formatCode="0.0000">
                  <c:v>0.33883274464296065</c:v>
                </c:pt>
                <c:pt idx="92" formatCode="0.0000">
                  <c:v>0.44933654969240172</c:v>
                </c:pt>
                <c:pt idx="93" formatCode="0.0000">
                  <c:v>1.2509414647565049</c:v>
                </c:pt>
                <c:pt idx="94" formatCode="0.0000">
                  <c:v>1.4925710025606673</c:v>
                </c:pt>
                <c:pt idx="95" formatCode="0.0000">
                  <c:v>1.4925710025606673</c:v>
                </c:pt>
                <c:pt idx="96" formatCode="0.0000">
                  <c:v>1.4925710025606673</c:v>
                </c:pt>
                <c:pt idx="97" formatCode="0.0000">
                  <c:v>1.6422310459829201</c:v>
                </c:pt>
                <c:pt idx="98" formatCode="0.0000">
                  <c:v>1.5563666405852199</c:v>
                </c:pt>
                <c:pt idx="99" formatCode="0.0000">
                  <c:v>1.7849218014784911</c:v>
                </c:pt>
                <c:pt idx="100" formatCode="0.0000">
                  <c:v>1.2105993275222295</c:v>
                </c:pt>
                <c:pt idx="101" formatCode="0.0000">
                  <c:v>1.178557708290674</c:v>
                </c:pt>
                <c:pt idx="102" formatCode="0.0000">
                  <c:v>1.5715114382175794</c:v>
                </c:pt>
                <c:pt idx="103" formatCode="0.0000">
                  <c:v>2.5145275235138191</c:v>
                </c:pt>
                <c:pt idx="104" formatCode="0.0000">
                  <c:v>2.3648674800915659</c:v>
                </c:pt>
                <c:pt idx="105" formatCode="0.0000">
                  <c:v>2.2671486932683287</c:v>
                </c:pt>
                <c:pt idx="106" formatCode="0.0000">
                  <c:v>1.9920276551539753</c:v>
                </c:pt>
                <c:pt idx="107" formatCode="0.0000">
                  <c:v>2.3664068578917883</c:v>
                </c:pt>
                <c:pt idx="108" formatCode="0.0000">
                  <c:v>2.2693011390378164</c:v>
                </c:pt>
                <c:pt idx="109" formatCode="0.0000">
                  <c:v>2.0696905282246019</c:v>
                </c:pt>
                <c:pt idx="110" formatCode="0.0000">
                  <c:v>1.2371051141512253</c:v>
                </c:pt>
                <c:pt idx="111" formatCode="0.0000">
                  <c:v>1.237105114151225</c:v>
                </c:pt>
                <c:pt idx="112" formatCode="0.0000">
                  <c:v>1.1861751005605485</c:v>
                </c:pt>
                <c:pt idx="113" formatCode="0.0000">
                  <c:v>1.0696995430451808</c:v>
                </c:pt>
                <c:pt idx="114" formatCode="0.0000">
                  <c:v>0.92380199378664529</c:v>
                </c:pt>
                <c:pt idx="115" formatCode="0.0000">
                  <c:v>0.81131979406801058</c:v>
                </c:pt>
                <c:pt idx="116" formatCode="0.0000">
                  <c:v>0.87110046655169227</c:v>
                </c:pt>
                <c:pt idx="117" formatCode="0.0000">
                  <c:v>0.89746060601448696</c:v>
                </c:pt>
                <c:pt idx="118" formatCode="0.0000">
                  <c:v>0.89746060601448685</c:v>
                </c:pt>
                <c:pt idx="119" formatCode="0.0000">
                  <c:v>1.0580239155177533</c:v>
                </c:pt>
                <c:pt idx="120" formatCode="0.0000">
                  <c:v>1.2166017542921532</c:v>
                </c:pt>
                <c:pt idx="121" formatCode="0.0000">
                  <c:v>0.85936657519493964</c:v>
                </c:pt>
                <c:pt idx="122" formatCode="0.0000">
                  <c:v>0.91091613348024425</c:v>
                </c:pt>
                <c:pt idx="123" formatCode="0.0000">
                  <c:v>0.65779234188287095</c:v>
                </c:pt>
                <c:pt idx="124" formatCode="0.0000">
                  <c:v>0.65337008696317711</c:v>
                </c:pt>
                <c:pt idx="125" formatCode="0.0000">
                  <c:v>0.85402753371790296</c:v>
                </c:pt>
                <c:pt idx="126" formatCode="0.0000">
                  <c:v>0.75669526634844986</c:v>
                </c:pt>
                <c:pt idx="127" formatCode="0.0000">
                  <c:v>0.8898428809456822</c:v>
                </c:pt>
                <c:pt idx="128" formatCode="0.0000">
                  <c:v>0.96297463243016534</c:v>
                </c:pt>
                <c:pt idx="129" formatCode="0.0000">
                  <c:v>0.9670432956841909</c:v>
                </c:pt>
                <c:pt idx="130" formatCode="0.0000">
                  <c:v>1.0889113788842979</c:v>
                </c:pt>
                <c:pt idx="131" formatCode="0.0000">
                  <c:v>0.95654282311833438</c:v>
                </c:pt>
                <c:pt idx="132" formatCode="0.0000">
                  <c:v>0.75588537636360853</c:v>
                </c:pt>
                <c:pt idx="133" formatCode="0.0000">
                  <c:v>1.2009510098789031</c:v>
                </c:pt>
                <c:pt idx="134" formatCode="0.0000">
                  <c:v>1.1676591881235072</c:v>
                </c:pt>
                <c:pt idx="135" formatCode="0.0000">
                  <c:v>1.3148882893482094</c:v>
                </c:pt>
                <c:pt idx="136" formatCode="0.0000">
                  <c:v>1.2592700678088793</c:v>
                </c:pt>
                <c:pt idx="137" formatCode="0.0000">
                  <c:v>1.3483020650328537</c:v>
                </c:pt>
                <c:pt idx="138" formatCode="0.0000">
                  <c:v>1.4964001000036125</c:v>
                </c:pt>
                <c:pt idx="139" formatCode="0.0000">
                  <c:v>1.6928346543247081</c:v>
                </c:pt>
                <c:pt idx="140" formatCode="0.0000">
                  <c:v>1.1845379786755996</c:v>
                </c:pt>
                <c:pt idx="141" formatCode="0.0000">
                  <c:v>0.98308219501228045</c:v>
                </c:pt>
                <c:pt idx="142" formatCode="0.0000">
                  <c:v>0.72049197269588472</c:v>
                </c:pt>
                <c:pt idx="143" formatCode="0.0000">
                  <c:v>1.2752022765595488</c:v>
                </c:pt>
                <c:pt idx="144" formatCode="0.0000">
                  <c:v>1.1952672566162634</c:v>
                </c:pt>
                <c:pt idx="145" formatCode="0.0000">
                  <c:v>1.4889733948703598</c:v>
                </c:pt>
                <c:pt idx="146" formatCode="0.0000">
                  <c:v>1.3265513262700861</c:v>
                </c:pt>
                <c:pt idx="147" formatCode="0.0000">
                  <c:v>1.4792182478935347</c:v>
                </c:pt>
                <c:pt idx="148" formatCode="0.0000">
                  <c:v>1.7484180947574435</c:v>
                </c:pt>
                <c:pt idx="149" formatCode="0.0000">
                  <c:v>1.967531847995684</c:v>
                </c:pt>
                <c:pt idx="150" formatCode="0.0000">
                  <c:v>1.8721586972476298</c:v>
                </c:pt>
                <c:pt idx="151" formatCode="0.0000">
                  <c:v>1.9669609523221858</c:v>
                </c:pt>
                <c:pt idx="152" formatCode="0.0000">
                  <c:v>1.6957329888182673</c:v>
                </c:pt>
                <c:pt idx="153" formatCode="0.0000">
                  <c:v>1.8276960261958641</c:v>
                </c:pt>
                <c:pt idx="154" formatCode="0.0000">
                  <c:v>1.7291041514434262</c:v>
                </c:pt>
                <c:pt idx="155" formatCode="0.0000">
                  <c:v>1.4500507231855233</c:v>
                </c:pt>
                <c:pt idx="156" formatCode="0.0000">
                  <c:v>1.4022341048534415</c:v>
                </c:pt>
                <c:pt idx="157" formatCode="0.0000">
                  <c:v>1.0954910565596572</c:v>
                </c:pt>
                <c:pt idx="158" formatCode="0.0000">
                  <c:v>1.3230916295826864</c:v>
                </c:pt>
                <c:pt idx="159" formatCode="0.0000">
                  <c:v>1.2245878113031856</c:v>
                </c:pt>
                <c:pt idx="160" formatCode="0.0000">
                  <c:v>1.2447626335881219</c:v>
                </c:pt>
                <c:pt idx="161" formatCode="0.0000">
                  <c:v>1.6962271390779173</c:v>
                </c:pt>
                <c:pt idx="162" formatCode="0.0000">
                  <c:v>1.6737009561146994</c:v>
                </c:pt>
                <c:pt idx="163" formatCode="0.0000">
                  <c:v>1.6097424610427189</c:v>
                </c:pt>
                <c:pt idx="164" formatCode="0.0000">
                  <c:v>1.7090591084933224</c:v>
                </c:pt>
                <c:pt idx="165" formatCode="0.0000">
                  <c:v>1.3692613621217018</c:v>
                </c:pt>
                <c:pt idx="166" formatCode="0.0000">
                  <c:v>1.4354577061989549</c:v>
                </c:pt>
                <c:pt idx="167" formatCode="0.0000">
                  <c:v>1.5484897155215678</c:v>
                </c:pt>
                <c:pt idx="168" formatCode="0.0000">
                  <c:v>1.2000395596225739</c:v>
                </c:pt>
                <c:pt idx="169" formatCode="0.0000">
                  <c:v>1.2785446002696124</c:v>
                </c:pt>
                <c:pt idx="170" formatCode="0.0000">
                  <c:v>1.3039610566678301</c:v>
                </c:pt>
                <c:pt idx="171" formatCode="0.0000">
                  <c:v>1.3188074533733365</c:v>
                </c:pt>
                <c:pt idx="172" formatCode="0.0000">
                  <c:v>1.3430531728536461</c:v>
                </c:pt>
                <c:pt idx="173" formatCode="0.0000">
                  <c:v>1.250955820823491</c:v>
                </c:pt>
                <c:pt idx="174" formatCode="0.0000">
                  <c:v>1.181783374466997</c:v>
                </c:pt>
                <c:pt idx="175" formatCode="0.0000">
                  <c:v>1.2597727755254324</c:v>
                </c:pt>
                <c:pt idx="176" formatCode="0.0000">
                  <c:v>1.2698973602221908</c:v>
                </c:pt>
                <c:pt idx="177" formatCode="0.0000">
                  <c:v>1.2492950317080498</c:v>
                </c:pt>
                <c:pt idx="178" formatCode="0.0000">
                  <c:v>1.2425977687454408</c:v>
                </c:pt>
                <c:pt idx="179" formatCode="0.0000">
                  <c:v>1.2456736734054705</c:v>
                </c:pt>
                <c:pt idx="180" formatCode="0.0000">
                  <c:v>1.3345337148831702</c:v>
                </c:pt>
                <c:pt idx="181" formatCode="0.0000">
                  <c:v>1.2282478770845358</c:v>
                </c:pt>
                <c:pt idx="182" formatCode="0.0000">
                  <c:v>1.2139096482906331</c:v>
                </c:pt>
                <c:pt idx="183" formatCode="0.0000">
                  <c:v>1.1425186645164627</c:v>
                </c:pt>
                <c:pt idx="184" formatCode="0.0000">
                  <c:v>1.1771545439056375</c:v>
                </c:pt>
                <c:pt idx="185" formatCode="0.0000">
                  <c:v>0.98094495195739262</c:v>
                </c:pt>
                <c:pt idx="186" formatCode="0.0000">
                  <c:v>0.921985867024678</c:v>
                </c:pt>
                <c:pt idx="187" formatCode="0.0000">
                  <c:v>0.91447109032305307</c:v>
                </c:pt>
                <c:pt idx="188" formatCode="0.0000">
                  <c:v>0.89298646147849048</c:v>
                </c:pt>
                <c:pt idx="189" formatCode="0.0000">
                  <c:v>0.72908215323845871</c:v>
                </c:pt>
                <c:pt idx="190" formatCode="0.0000">
                  <c:v>0.74428816703350209</c:v>
                </c:pt>
                <c:pt idx="191" formatCode="0.0000">
                  <c:v>0.70214098102568367</c:v>
                </c:pt>
                <c:pt idx="192" formatCode="0.0000">
                  <c:v>0.75685238849431191</c:v>
                </c:pt>
                <c:pt idx="193" formatCode="0.0000">
                  <c:v>1.1123698775563429</c:v>
                </c:pt>
                <c:pt idx="194" formatCode="0.0000">
                  <c:v>1.1162609436169648</c:v>
                </c:pt>
                <c:pt idx="195" formatCode="0.0000">
                  <c:v>1.1659411398914632</c:v>
                </c:pt>
                <c:pt idx="196" formatCode="0.0000">
                  <c:v>1.2471138420036272</c:v>
                </c:pt>
                <c:pt idx="197" formatCode="0.0000">
                  <c:v>1.3589185580515337</c:v>
                </c:pt>
                <c:pt idx="198" formatCode="0.0000">
                  <c:v>1.2857098565706979</c:v>
                </c:pt>
                <c:pt idx="199" formatCode="0.0000">
                  <c:v>1.4271300712879673</c:v>
                </c:pt>
                <c:pt idx="200" formatCode="0.0000">
                  <c:v>1.1836166946567945</c:v>
                </c:pt>
                <c:pt idx="201" formatCode="0.0000">
                  <c:v>1.1892750270724723</c:v>
                </c:pt>
                <c:pt idx="202" formatCode="0.0000">
                  <c:v>1.1487074310679459</c:v>
                </c:pt>
                <c:pt idx="203" formatCode="0.0000">
                  <c:v>1.0818730472144724</c:v>
                </c:pt>
                <c:pt idx="204" formatCode="0.0000">
                  <c:v>1.1797212196695688</c:v>
                </c:pt>
                <c:pt idx="205" formatCode="0.0000">
                  <c:v>1.2976735210538735</c:v>
                </c:pt>
                <c:pt idx="206" formatCode="0.0000">
                  <c:v>1.8023547882349307</c:v>
                </c:pt>
                <c:pt idx="207" formatCode="0.0000">
                  <c:v>2.0915483664937344</c:v>
                </c:pt>
                <c:pt idx="208" formatCode="0.0000">
                  <c:v>2.1108314269852788</c:v>
                </c:pt>
                <c:pt idx="209" formatCode="0.0000">
                  <c:v>2.3251557091367494</c:v>
                </c:pt>
                <c:pt idx="210" formatCode="0.0000">
                  <c:v>2.4713540742368596</c:v>
                </c:pt>
                <c:pt idx="211" formatCode="0.0000">
                  <c:v>2.2843705681212163</c:v>
                </c:pt>
                <c:pt idx="212" formatCode="0.0000">
                  <c:v>2.383916269293394</c:v>
                </c:pt>
                <c:pt idx="213" formatCode="0.0000">
                  <c:v>1.9390583016059106</c:v>
                </c:pt>
                <c:pt idx="214" formatCode="0.0000">
                  <c:v>1.593036446005587</c:v>
                </c:pt>
                <c:pt idx="215" formatCode="0.0000">
                  <c:v>1.7237726877153143</c:v>
                </c:pt>
                <c:pt idx="216" formatCode="0.0000">
                  <c:v>1.517519753763203</c:v>
                </c:pt>
                <c:pt idx="217" formatCode="0.0000">
                  <c:v>1.4718002923922868</c:v>
                </c:pt>
                <c:pt idx="218" formatCode="0.0000">
                  <c:v>1.5409610837479681</c:v>
                </c:pt>
                <c:pt idx="219" formatCode="0.0000">
                  <c:v>1.5563499983184634</c:v>
                </c:pt>
                <c:pt idx="220" formatCode="0.0000">
                  <c:v>1.5201515636504557</c:v>
                </c:pt>
                <c:pt idx="221" formatCode="0.0000">
                  <c:v>1.8081429693501214</c:v>
                </c:pt>
                <c:pt idx="222" formatCode="0.0000">
                  <c:v>1.602443658436935</c:v>
                </c:pt>
                <c:pt idx="223" formatCode="0.0000">
                  <c:v>1.6475267659826698</c:v>
                </c:pt>
                <c:pt idx="224" formatCode="0.0000">
                  <c:v>1.6886949621734755</c:v>
                </c:pt>
                <c:pt idx="225" formatCode="0.0000">
                  <c:v>1.695695000509037</c:v>
                </c:pt>
                <c:pt idx="226" formatCode="0.0000">
                  <c:v>1.5492773663522819</c:v>
                </c:pt>
                <c:pt idx="227" formatCode="0.0000">
                  <c:v>1.515313425394716</c:v>
                </c:pt>
                <c:pt idx="228" formatCode="0.0000">
                  <c:v>1.3157701224520735</c:v>
                </c:pt>
                <c:pt idx="229" formatCode="0.0000">
                  <c:v>1.4662043936226998</c:v>
                </c:pt>
                <c:pt idx="230" formatCode="0.0000">
                  <c:v>1.4942275995854906</c:v>
                </c:pt>
                <c:pt idx="231" formatCode="0.0000">
                  <c:v>1.4543547459225876</c:v>
                </c:pt>
                <c:pt idx="232" formatCode="0.0000">
                  <c:v>1.5369425519095767</c:v>
                </c:pt>
                <c:pt idx="233" formatCode="0.0000">
                  <c:v>1.6596655018065294</c:v>
                </c:pt>
                <c:pt idx="234" formatCode="0.0000">
                  <c:v>1.7531644491605043</c:v>
                </c:pt>
                <c:pt idx="235" formatCode="0.0000">
                  <c:v>1.7116439665324819</c:v>
                </c:pt>
                <c:pt idx="236" formatCode="0.0000">
                  <c:v>1.7414337724375568</c:v>
                </c:pt>
                <c:pt idx="237" formatCode="0.0000">
                  <c:v>1.6556574876800116</c:v>
                </c:pt>
                <c:pt idx="238" formatCode="0.0000">
                  <c:v>1.7989319286905558</c:v>
                </c:pt>
                <c:pt idx="239" formatCode="0.0000">
                  <c:v>1.7271306465794056</c:v>
                </c:pt>
                <c:pt idx="240" formatCode="0.0000">
                  <c:v>1.6647217863909591</c:v>
                </c:pt>
                <c:pt idx="241" formatCode="0.0000">
                  <c:v>1.6207733621742142</c:v>
                </c:pt>
                <c:pt idx="242" formatCode="0.0000">
                  <c:v>1.6301982498306222</c:v>
                </c:pt>
                <c:pt idx="243" formatCode="0.0000">
                  <c:v>1.5871394170887665</c:v>
                </c:pt>
                <c:pt idx="244" formatCode="0.0000">
                  <c:v>1.6419630685691835</c:v>
                </c:pt>
                <c:pt idx="245" formatCode="0.0000">
                  <c:v>1.3891139690701313</c:v>
                </c:pt>
                <c:pt idx="246" formatCode="0.0000">
                  <c:v>1.3492230830695304</c:v>
                </c:pt>
                <c:pt idx="247" formatCode="0.0000">
                  <c:v>1.315334643885242</c:v>
                </c:pt>
                <c:pt idx="248" formatCode="0.0000">
                  <c:v>1.2387725566722014</c:v>
                </c:pt>
                <c:pt idx="249" formatCode="0.0000">
                  <c:v>1.2363901143631466</c:v>
                </c:pt>
                <c:pt idx="250" formatCode="0.0000">
                  <c:v>1.1628432380421942</c:v>
                </c:pt>
                <c:pt idx="251" formatCode="0.0000">
                  <c:v>1.1036276668389995</c:v>
                </c:pt>
                <c:pt idx="252" formatCode="0.0000">
                  <c:v>1.1563667205003014</c:v>
                </c:pt>
                <c:pt idx="253" formatCode="0.0000">
                  <c:v>1.0630948036783281</c:v>
                </c:pt>
                <c:pt idx="254" formatCode="0.0000">
                  <c:v>0.98620413793245398</c:v>
                </c:pt>
                <c:pt idx="255" formatCode="0.0000">
                  <c:v>0.91255168706110312</c:v>
                </c:pt>
                <c:pt idx="256" formatCode="0.0000">
                  <c:v>0.83203535398954442</c:v>
                </c:pt>
                <c:pt idx="257" formatCode="0.0000">
                  <c:v>0.89316309992401277</c:v>
                </c:pt>
                <c:pt idx="258" formatCode="0.0000">
                  <c:v>0.89161606878600119</c:v>
                </c:pt>
                <c:pt idx="259" formatCode="0.0000">
                  <c:v>0.86218407604399183</c:v>
                </c:pt>
                <c:pt idx="260" formatCode="0.0000">
                  <c:v>0.88318156960454164</c:v>
                </c:pt>
                <c:pt idx="261" formatCode="0.0000">
                  <c:v>0.88086501980449139</c:v>
                </c:pt>
                <c:pt idx="262" formatCode="0.0000">
                  <c:v>0.9207781031965937</c:v>
                </c:pt>
                <c:pt idx="263" formatCode="0.0000">
                  <c:v>0.96883765647192821</c:v>
                </c:pt>
                <c:pt idx="264" formatCode="0.0000">
                  <c:v>0.88693779812508111</c:v>
                </c:pt>
                <c:pt idx="265" formatCode="0.0000">
                  <c:v>0.90397863267015954</c:v>
                </c:pt>
                <c:pt idx="266" formatCode="0.0000">
                  <c:v>0.88494204271420351</c:v>
                </c:pt>
                <c:pt idx="267" formatCode="0.0000">
                  <c:v>0.96412864294597433</c:v>
                </c:pt>
                <c:pt idx="268" formatCode="0.0000">
                  <c:v>1.0052413932584245</c:v>
                </c:pt>
                <c:pt idx="269" formatCode="0.0000">
                  <c:v>0.99700770767259539</c:v>
                </c:pt>
                <c:pt idx="270" formatCode="0.0000">
                  <c:v>0.96614482526166534</c:v>
                </c:pt>
                <c:pt idx="271" formatCode="0.0000">
                  <c:v>0.92240451781367838</c:v>
                </c:pt>
                <c:pt idx="272" formatCode="0.0000">
                  <c:v>0.84547408523700085</c:v>
                </c:pt>
                <c:pt idx="273" formatCode="0.0000">
                  <c:v>0.96409839344171488</c:v>
                </c:pt>
                <c:pt idx="274" formatCode="0.0000">
                  <c:v>0.96097813648684594</c:v>
                </c:pt>
                <c:pt idx="275" formatCode="0.0000">
                  <c:v>0.98998839008314188</c:v>
                </c:pt>
                <c:pt idx="276" formatCode="0.0000">
                  <c:v>0.95515381371993047</c:v>
                </c:pt>
                <c:pt idx="277" formatCode="0.0000">
                  <c:v>0.97413221365722191</c:v>
                </c:pt>
                <c:pt idx="278" formatCode="0.0000">
                  <c:v>0.98983653391959869</c:v>
                </c:pt>
                <c:pt idx="279" formatCode="0.0000">
                  <c:v>0.99823967838087557</c:v>
                </c:pt>
                <c:pt idx="280" formatCode="0.0000">
                  <c:v>0.91894559993318192</c:v>
                </c:pt>
                <c:pt idx="281" formatCode="0.0000">
                  <c:v>0.91365073024464283</c:v>
                </c:pt>
                <c:pt idx="282" formatCode="0.0000">
                  <c:v>0.94041547712527362</c:v>
                </c:pt>
                <c:pt idx="283" formatCode="0.0000">
                  <c:v>0.93946212290572573</c:v>
                </c:pt>
                <c:pt idx="284" formatCode="0.0000">
                  <c:v>0.94899157874659712</c:v>
                </c:pt>
                <c:pt idx="285" formatCode="0.0000">
                  <c:v>0.96043558772744864</c:v>
                </c:pt>
                <c:pt idx="286" formatCode="0.0000">
                  <c:v>0.98947182067361583</c:v>
                </c:pt>
                <c:pt idx="287" formatCode="0.0000">
                  <c:v>1.000811357222003</c:v>
                </c:pt>
                <c:pt idx="288" formatCode="0.0000">
                  <c:v>1.014757054041209</c:v>
                </c:pt>
                <c:pt idx="289" formatCode="0.0000">
                  <c:v>0.97203641461776868</c:v>
                </c:pt>
                <c:pt idx="290" formatCode="0.0000">
                  <c:v>0.98404083347661475</c:v>
                </c:pt>
                <c:pt idx="291" formatCode="0.0000">
                  <c:v>0.9919098713525436</c:v>
                </c:pt>
                <c:pt idx="292" formatCode="0.0000">
                  <c:v>0.99795375768100614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C7-4F5C-9AA0-8E2203E64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5565"/>
        <c:axId val="562464020"/>
      </c:lineChart>
      <c:lineChart>
        <c:grouping val="standard"/>
        <c:varyColors val="0"/>
        <c:ser>
          <c:idx val="1"/>
          <c:order val="1"/>
          <c:tx>
            <c:strRef>
              <c:f>'R(t) Województwa'!$M$2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Województwa'!$M$3:$M$1000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1.1428571428571428</c:v>
                </c:pt>
                <c:pt idx="15">
                  <c:v>1.1428571428571428</c:v>
                </c:pt>
                <c:pt idx="16">
                  <c:v>1.5714285714285714</c:v>
                </c:pt>
                <c:pt idx="17">
                  <c:v>2</c:v>
                </c:pt>
                <c:pt idx="18">
                  <c:v>2.5714285714285716</c:v>
                </c:pt>
                <c:pt idx="19">
                  <c:v>2.5714285714285716</c:v>
                </c:pt>
                <c:pt idx="20">
                  <c:v>3</c:v>
                </c:pt>
                <c:pt idx="21">
                  <c:v>2</c:v>
                </c:pt>
                <c:pt idx="22">
                  <c:v>2.7142857142857144</c:v>
                </c:pt>
                <c:pt idx="23">
                  <c:v>2.8571428571428572</c:v>
                </c:pt>
                <c:pt idx="24">
                  <c:v>2.7142857142857144</c:v>
                </c:pt>
                <c:pt idx="25">
                  <c:v>2.7142857142857144</c:v>
                </c:pt>
                <c:pt idx="26">
                  <c:v>4.1428571428571432</c:v>
                </c:pt>
                <c:pt idx="27">
                  <c:v>7.2857142857142856</c:v>
                </c:pt>
                <c:pt idx="28">
                  <c:v>7.7142857142857144</c:v>
                </c:pt>
                <c:pt idx="29">
                  <c:v>8.1428571428571423</c:v>
                </c:pt>
                <c:pt idx="30">
                  <c:v>18</c:v>
                </c:pt>
                <c:pt idx="31">
                  <c:v>23.714285714285715</c:v>
                </c:pt>
                <c:pt idx="32">
                  <c:v>26.714285714285715</c:v>
                </c:pt>
                <c:pt idx="33">
                  <c:v>27.714285714285715</c:v>
                </c:pt>
                <c:pt idx="34">
                  <c:v>24.714285714285715</c:v>
                </c:pt>
                <c:pt idx="35">
                  <c:v>26.857142857142858</c:v>
                </c:pt>
                <c:pt idx="36">
                  <c:v>27.571428571428573</c:v>
                </c:pt>
                <c:pt idx="37">
                  <c:v>17.571428571428573</c:v>
                </c:pt>
                <c:pt idx="38">
                  <c:v>13</c:v>
                </c:pt>
                <c:pt idx="39">
                  <c:v>12.714285714285714</c:v>
                </c:pt>
                <c:pt idx="40">
                  <c:v>13.571428571428571</c:v>
                </c:pt>
                <c:pt idx="41">
                  <c:v>14.285714285714286</c:v>
                </c:pt>
                <c:pt idx="42">
                  <c:v>12.571428571428571</c:v>
                </c:pt>
                <c:pt idx="43">
                  <c:v>11.714285714285714</c:v>
                </c:pt>
                <c:pt idx="44">
                  <c:v>12.428571428571429</c:v>
                </c:pt>
                <c:pt idx="45">
                  <c:v>13.857142857142858</c:v>
                </c:pt>
                <c:pt idx="46">
                  <c:v>12.142857142857142</c:v>
                </c:pt>
                <c:pt idx="47">
                  <c:v>10</c:v>
                </c:pt>
                <c:pt idx="48">
                  <c:v>10.857142857142858</c:v>
                </c:pt>
                <c:pt idx="49">
                  <c:v>12.285714285714286</c:v>
                </c:pt>
                <c:pt idx="50">
                  <c:v>13.285714285714286</c:v>
                </c:pt>
                <c:pt idx="51">
                  <c:v>13.285714285714286</c:v>
                </c:pt>
                <c:pt idx="52">
                  <c:v>12</c:v>
                </c:pt>
                <c:pt idx="53">
                  <c:v>10.857142857142858</c:v>
                </c:pt>
                <c:pt idx="54">
                  <c:v>10.285714285714286</c:v>
                </c:pt>
                <c:pt idx="55">
                  <c:v>8.8571428571428577</c:v>
                </c:pt>
                <c:pt idx="56">
                  <c:v>11.428571428571429</c:v>
                </c:pt>
                <c:pt idx="57">
                  <c:v>12.142857142857142</c:v>
                </c:pt>
                <c:pt idx="58">
                  <c:v>12</c:v>
                </c:pt>
                <c:pt idx="59">
                  <c:v>11.285714285714286</c:v>
                </c:pt>
                <c:pt idx="60">
                  <c:v>11.428571428571429</c:v>
                </c:pt>
                <c:pt idx="61">
                  <c:v>11.285714285714286</c:v>
                </c:pt>
                <c:pt idx="62">
                  <c:v>10.571428571428571</c:v>
                </c:pt>
                <c:pt idx="63">
                  <c:v>6.1428571428571432</c:v>
                </c:pt>
                <c:pt idx="64">
                  <c:v>3.4285714285714284</c:v>
                </c:pt>
                <c:pt idx="65">
                  <c:v>3.1428571428571428</c:v>
                </c:pt>
                <c:pt idx="66">
                  <c:v>3</c:v>
                </c:pt>
                <c:pt idx="67">
                  <c:v>2.5714285714285716</c:v>
                </c:pt>
                <c:pt idx="68">
                  <c:v>2.4285714285714284</c:v>
                </c:pt>
                <c:pt idx="69">
                  <c:v>2.8571428571428572</c:v>
                </c:pt>
                <c:pt idx="70">
                  <c:v>2.2857142857142856</c:v>
                </c:pt>
                <c:pt idx="71">
                  <c:v>2.2857142857142856</c:v>
                </c:pt>
                <c:pt idx="72">
                  <c:v>1.7142857142857142</c:v>
                </c:pt>
                <c:pt idx="73">
                  <c:v>1.4285714285714286</c:v>
                </c:pt>
                <c:pt idx="74">
                  <c:v>1.4285714285714286</c:v>
                </c:pt>
                <c:pt idx="75">
                  <c:v>1.1428571428571428</c:v>
                </c:pt>
                <c:pt idx="76">
                  <c:v>0.7142857142857143</c:v>
                </c:pt>
                <c:pt idx="77">
                  <c:v>0.8571428571428571</c:v>
                </c:pt>
                <c:pt idx="78">
                  <c:v>1</c:v>
                </c:pt>
                <c:pt idx="79">
                  <c:v>1.2857142857142858</c:v>
                </c:pt>
                <c:pt idx="80">
                  <c:v>1.1428571428571428</c:v>
                </c:pt>
                <c:pt idx="81">
                  <c:v>1.1428571428571428</c:v>
                </c:pt>
                <c:pt idx="82">
                  <c:v>1.2857142857142858</c:v>
                </c:pt>
                <c:pt idx="83">
                  <c:v>1.4285714285714286</c:v>
                </c:pt>
                <c:pt idx="84">
                  <c:v>1.2857142857142858</c:v>
                </c:pt>
                <c:pt idx="85">
                  <c:v>1.2857142857142858</c:v>
                </c:pt>
                <c:pt idx="86">
                  <c:v>0.8571428571428571</c:v>
                </c:pt>
                <c:pt idx="87">
                  <c:v>0.5714285714285714</c:v>
                </c:pt>
                <c:pt idx="88">
                  <c:v>0.42857142857142855</c:v>
                </c:pt>
                <c:pt idx="89">
                  <c:v>0.2857142857142857</c:v>
                </c:pt>
                <c:pt idx="90">
                  <c:v>0.14285714285714285</c:v>
                </c:pt>
                <c:pt idx="91">
                  <c:v>0.2857142857142857</c:v>
                </c:pt>
                <c:pt idx="92">
                  <c:v>0.2857142857142857</c:v>
                </c:pt>
                <c:pt idx="93">
                  <c:v>0.8571428571428571</c:v>
                </c:pt>
                <c:pt idx="94">
                  <c:v>1.1428571428571428</c:v>
                </c:pt>
                <c:pt idx="95">
                  <c:v>1.1428571428571428</c:v>
                </c:pt>
                <c:pt idx="96">
                  <c:v>1.1428571428571428</c:v>
                </c:pt>
                <c:pt idx="97">
                  <c:v>1.2857142857142858</c:v>
                </c:pt>
                <c:pt idx="98">
                  <c:v>1.2857142857142858</c:v>
                </c:pt>
                <c:pt idx="99">
                  <c:v>1.5714285714285714</c:v>
                </c:pt>
                <c:pt idx="100">
                  <c:v>1.2857142857142858</c:v>
                </c:pt>
                <c:pt idx="101">
                  <c:v>1.2857142857142858</c:v>
                </c:pt>
                <c:pt idx="102">
                  <c:v>1.8571428571428572</c:v>
                </c:pt>
                <c:pt idx="103">
                  <c:v>3.5714285714285716</c:v>
                </c:pt>
                <c:pt idx="104">
                  <c:v>3.4285714285714284</c:v>
                </c:pt>
                <c:pt idx="105">
                  <c:v>3.4285714285714284</c:v>
                </c:pt>
                <c:pt idx="106">
                  <c:v>3.4285714285714284</c:v>
                </c:pt>
                <c:pt idx="107">
                  <c:v>4.7142857142857144</c:v>
                </c:pt>
                <c:pt idx="108">
                  <c:v>4.8571428571428568</c:v>
                </c:pt>
                <c:pt idx="109">
                  <c:v>5</c:v>
                </c:pt>
                <c:pt idx="110">
                  <c:v>3.7142857142857144</c:v>
                </c:pt>
                <c:pt idx="111">
                  <c:v>3.7142857142857144</c:v>
                </c:pt>
                <c:pt idx="112">
                  <c:v>3.5714285714285716</c:v>
                </c:pt>
                <c:pt idx="113">
                  <c:v>3.2857142857142856</c:v>
                </c:pt>
                <c:pt idx="114">
                  <c:v>2.8571428571428572</c:v>
                </c:pt>
                <c:pt idx="115">
                  <c:v>2.4285714285714284</c:v>
                </c:pt>
                <c:pt idx="116">
                  <c:v>2.4285714285714284</c:v>
                </c:pt>
                <c:pt idx="117">
                  <c:v>2.4285714285714284</c:v>
                </c:pt>
                <c:pt idx="118">
                  <c:v>2.4285714285714284</c:v>
                </c:pt>
                <c:pt idx="119">
                  <c:v>2.8571428571428572</c:v>
                </c:pt>
                <c:pt idx="120">
                  <c:v>3.2857142857142856</c:v>
                </c:pt>
                <c:pt idx="121">
                  <c:v>2.4285714285714284</c:v>
                </c:pt>
                <c:pt idx="122">
                  <c:v>2.5714285714285716</c:v>
                </c:pt>
                <c:pt idx="123">
                  <c:v>1.8571428571428572</c:v>
                </c:pt>
                <c:pt idx="124">
                  <c:v>1.7142857142857142</c:v>
                </c:pt>
                <c:pt idx="125">
                  <c:v>2.1428571428571428</c:v>
                </c:pt>
                <c:pt idx="126">
                  <c:v>1.8571428571428572</c:v>
                </c:pt>
                <c:pt idx="127">
                  <c:v>2</c:v>
                </c:pt>
                <c:pt idx="128">
                  <c:v>2.1428571428571428</c:v>
                </c:pt>
                <c:pt idx="129">
                  <c:v>2.1428571428571428</c:v>
                </c:pt>
                <c:pt idx="130">
                  <c:v>2.4285714285714284</c:v>
                </c:pt>
                <c:pt idx="131">
                  <c:v>2.1428571428571428</c:v>
                </c:pt>
                <c:pt idx="132">
                  <c:v>1.7142857142857142</c:v>
                </c:pt>
                <c:pt idx="133">
                  <c:v>2.4285714285714284</c:v>
                </c:pt>
                <c:pt idx="134">
                  <c:v>2.4285714285714284</c:v>
                </c:pt>
                <c:pt idx="135">
                  <c:v>2.8571428571428572</c:v>
                </c:pt>
                <c:pt idx="136">
                  <c:v>2.7142857142857144</c:v>
                </c:pt>
                <c:pt idx="137">
                  <c:v>3</c:v>
                </c:pt>
                <c:pt idx="138">
                  <c:v>3.4285714285714284</c:v>
                </c:pt>
                <c:pt idx="139">
                  <c:v>4</c:v>
                </c:pt>
                <c:pt idx="140">
                  <c:v>3.1428571428571428</c:v>
                </c:pt>
                <c:pt idx="141">
                  <c:v>2.7142857142857144</c:v>
                </c:pt>
                <c:pt idx="142">
                  <c:v>2</c:v>
                </c:pt>
                <c:pt idx="143">
                  <c:v>3.2857142857142856</c:v>
                </c:pt>
                <c:pt idx="144">
                  <c:v>3.1428571428571428</c:v>
                </c:pt>
                <c:pt idx="145">
                  <c:v>4.1428571428571432</c:v>
                </c:pt>
                <c:pt idx="146">
                  <c:v>3.7142857142857144</c:v>
                </c:pt>
                <c:pt idx="147">
                  <c:v>4.2857142857142856</c:v>
                </c:pt>
                <c:pt idx="148">
                  <c:v>5.4285714285714288</c:v>
                </c:pt>
                <c:pt idx="149">
                  <c:v>6.5714285714285712</c:v>
                </c:pt>
                <c:pt idx="150">
                  <c:v>7.7142857142857144</c:v>
                </c:pt>
                <c:pt idx="151">
                  <c:v>8.8571428571428577</c:v>
                </c:pt>
                <c:pt idx="152">
                  <c:v>8.7142857142857135</c:v>
                </c:pt>
                <c:pt idx="153">
                  <c:v>9.8571428571428577</c:v>
                </c:pt>
                <c:pt idx="154">
                  <c:v>9.7142857142857135</c:v>
                </c:pt>
                <c:pt idx="155">
                  <c:v>9</c:v>
                </c:pt>
                <c:pt idx="156">
                  <c:v>9.2857142857142865</c:v>
                </c:pt>
                <c:pt idx="157">
                  <c:v>8</c:v>
                </c:pt>
                <c:pt idx="158">
                  <c:v>9.8571428571428577</c:v>
                </c:pt>
                <c:pt idx="159">
                  <c:v>9.2857142857142865</c:v>
                </c:pt>
                <c:pt idx="160">
                  <c:v>9.7142857142857135</c:v>
                </c:pt>
                <c:pt idx="161">
                  <c:v>14.142857142857142</c:v>
                </c:pt>
                <c:pt idx="162">
                  <c:v>14.428571428571429</c:v>
                </c:pt>
                <c:pt idx="163">
                  <c:v>14.857142857142858</c:v>
                </c:pt>
                <c:pt idx="164">
                  <c:v>16.857142857142858</c:v>
                </c:pt>
                <c:pt idx="165">
                  <c:v>15</c:v>
                </c:pt>
                <c:pt idx="166">
                  <c:v>16.142857142857142</c:v>
                </c:pt>
                <c:pt idx="167">
                  <c:v>18.428571428571427</c:v>
                </c:pt>
                <c:pt idx="168">
                  <c:v>16</c:v>
                </c:pt>
                <c:pt idx="169">
                  <c:v>17.428571428571427</c:v>
                </c:pt>
                <c:pt idx="170">
                  <c:v>18.428571428571427</c:v>
                </c:pt>
                <c:pt idx="171">
                  <c:v>19.714285714285715</c:v>
                </c:pt>
                <c:pt idx="172">
                  <c:v>20.714285714285715</c:v>
                </c:pt>
                <c:pt idx="173">
                  <c:v>19.714285714285715</c:v>
                </c:pt>
                <c:pt idx="174">
                  <c:v>19.571428571428573</c:v>
                </c:pt>
                <c:pt idx="175">
                  <c:v>21.428571428571427</c:v>
                </c:pt>
                <c:pt idx="176">
                  <c:v>22.285714285714285</c:v>
                </c:pt>
                <c:pt idx="177">
                  <c:v>22.714285714285715</c:v>
                </c:pt>
                <c:pt idx="178">
                  <c:v>23.714285714285715</c:v>
                </c:pt>
                <c:pt idx="179">
                  <c:v>24.428571428571427</c:v>
                </c:pt>
                <c:pt idx="180">
                  <c:v>26.714285714285715</c:v>
                </c:pt>
                <c:pt idx="181">
                  <c:v>25.714285714285715</c:v>
                </c:pt>
                <c:pt idx="182">
                  <c:v>26.428571428571427</c:v>
                </c:pt>
                <c:pt idx="183">
                  <c:v>25.428571428571427</c:v>
                </c:pt>
                <c:pt idx="184">
                  <c:v>26.714285714285715</c:v>
                </c:pt>
                <c:pt idx="185">
                  <c:v>22.857142857142858</c:v>
                </c:pt>
                <c:pt idx="186">
                  <c:v>21.428571428571427</c:v>
                </c:pt>
                <c:pt idx="187">
                  <c:v>21</c:v>
                </c:pt>
                <c:pt idx="188">
                  <c:v>20.285714285714285</c:v>
                </c:pt>
                <c:pt idx="189">
                  <c:v>16.428571428571427</c:v>
                </c:pt>
                <c:pt idx="190">
                  <c:v>16.142857142857142</c:v>
                </c:pt>
                <c:pt idx="191">
                  <c:v>14.285714285714286</c:v>
                </c:pt>
                <c:pt idx="192">
                  <c:v>14.857142857142858</c:v>
                </c:pt>
                <c:pt idx="193">
                  <c:v>20.714285714285715</c:v>
                </c:pt>
                <c:pt idx="194">
                  <c:v>21</c:v>
                </c:pt>
                <c:pt idx="195">
                  <c:v>22.285714285714285</c:v>
                </c:pt>
                <c:pt idx="196">
                  <c:v>24.285714285714285</c:v>
                </c:pt>
                <c:pt idx="197">
                  <c:v>27.285714285714285</c:v>
                </c:pt>
                <c:pt idx="198">
                  <c:v>26.571428571428573</c:v>
                </c:pt>
                <c:pt idx="199">
                  <c:v>30.428571428571427</c:v>
                </c:pt>
                <c:pt idx="200">
                  <c:v>27.714285714285715</c:v>
                </c:pt>
                <c:pt idx="201">
                  <c:v>28.428571428571427</c:v>
                </c:pt>
                <c:pt idx="202">
                  <c:v>28</c:v>
                </c:pt>
                <c:pt idx="203">
                  <c:v>26.714285714285715</c:v>
                </c:pt>
                <c:pt idx="204">
                  <c:v>29.428571428571427</c:v>
                </c:pt>
                <c:pt idx="205">
                  <c:v>33.142857142857146</c:v>
                </c:pt>
                <c:pt idx="206">
                  <c:v>50.285714285714285</c:v>
                </c:pt>
                <c:pt idx="207">
                  <c:v>69</c:v>
                </c:pt>
                <c:pt idx="208">
                  <c:v>75.571428571428569</c:v>
                </c:pt>
                <c:pt idx="209">
                  <c:v>94.285714285714292</c:v>
                </c:pt>
                <c:pt idx="210">
                  <c:v>109.57142857142857</c:v>
                </c:pt>
                <c:pt idx="211">
                  <c:v>113</c:v>
                </c:pt>
                <c:pt idx="212">
                  <c:v>132.71428571428572</c:v>
                </c:pt>
                <c:pt idx="213">
                  <c:v>140.71428571428572</c:v>
                </c:pt>
                <c:pt idx="214">
                  <c:v>132.71428571428572</c:v>
                </c:pt>
                <c:pt idx="215">
                  <c:v>155.14285714285714</c:v>
                </c:pt>
                <c:pt idx="216">
                  <c:v>149</c:v>
                </c:pt>
                <c:pt idx="217">
                  <c:v>153.71428571428572</c:v>
                </c:pt>
                <c:pt idx="218">
                  <c:v>168.85714285714286</c:v>
                </c:pt>
                <c:pt idx="219">
                  <c:v>187.71428571428572</c:v>
                </c:pt>
                <c:pt idx="220">
                  <c:v>202.85714285714286</c:v>
                </c:pt>
                <c:pt idx="221">
                  <c:v>266.28571428571428</c:v>
                </c:pt>
                <c:pt idx="222">
                  <c:v>253</c:v>
                </c:pt>
                <c:pt idx="223">
                  <c:v>274.28571428571428</c:v>
                </c:pt>
                <c:pt idx="224">
                  <c:v>301.14285714285717</c:v>
                </c:pt>
                <c:pt idx="225">
                  <c:v>325.71428571428572</c:v>
                </c:pt>
                <c:pt idx="226">
                  <c:v>326.71428571428572</c:v>
                </c:pt>
                <c:pt idx="227">
                  <c:v>347.57142857142856</c:v>
                </c:pt>
                <c:pt idx="228">
                  <c:v>335.57142857142856</c:v>
                </c:pt>
                <c:pt idx="229">
                  <c:v>390.85714285714283</c:v>
                </c:pt>
                <c:pt idx="230">
                  <c:v>421.57142857142856</c:v>
                </c:pt>
                <c:pt idx="231">
                  <c:v>436.57142857142856</c:v>
                </c:pt>
                <c:pt idx="232">
                  <c:v>495.85714285714283</c:v>
                </c:pt>
                <c:pt idx="233">
                  <c:v>579.71428571428567</c:v>
                </c:pt>
                <c:pt idx="234">
                  <c:v>685</c:v>
                </c:pt>
                <c:pt idx="235">
                  <c:v>728.85714285714289</c:v>
                </c:pt>
                <c:pt idx="236">
                  <c:v>818.42857142857144</c:v>
                </c:pt>
                <c:pt idx="237">
                  <c:v>825.85714285714289</c:v>
                </c:pt>
                <c:pt idx="238">
                  <c:v>976.28571428571433</c:v>
                </c:pt>
                <c:pt idx="239">
                  <c:v>1039.7142857142858</c:v>
                </c:pt>
                <c:pt idx="240">
                  <c:v>1110.8571428571429</c:v>
                </c:pt>
                <c:pt idx="241">
                  <c:v>1217.5714285714287</c:v>
                </c:pt>
                <c:pt idx="242">
                  <c:v>1315.2857142857142</c:v>
                </c:pt>
                <c:pt idx="243">
                  <c:v>1398.7142857142858</c:v>
                </c:pt>
                <c:pt idx="244">
                  <c:v>1520.7142857142858</c:v>
                </c:pt>
                <c:pt idx="245">
                  <c:v>1385.2857142857142</c:v>
                </c:pt>
                <c:pt idx="246">
                  <c:v>1415.8571428571429</c:v>
                </c:pt>
                <c:pt idx="247">
                  <c:v>1453</c:v>
                </c:pt>
                <c:pt idx="248">
                  <c:v>1452.7142857142858</c:v>
                </c:pt>
                <c:pt idx="249">
                  <c:v>1502.4285714285713</c:v>
                </c:pt>
                <c:pt idx="250">
                  <c:v>1460.2857142857142</c:v>
                </c:pt>
                <c:pt idx="251">
                  <c:v>1408.7142857142858</c:v>
                </c:pt>
                <c:pt idx="252">
                  <c:v>1488.2857142857142</c:v>
                </c:pt>
                <c:pt idx="253">
                  <c:v>1397.2857142857142</c:v>
                </c:pt>
                <c:pt idx="254">
                  <c:v>1314.4285714285713</c:v>
                </c:pt>
                <c:pt idx="255">
                  <c:v>1218.2857142857142</c:v>
                </c:pt>
                <c:pt idx="256">
                  <c:v>1096.2857142857142</c:v>
                </c:pt>
                <c:pt idx="257">
                  <c:v>1136.8571428571429</c:v>
                </c:pt>
                <c:pt idx="258">
                  <c:v>1119.4285714285713</c:v>
                </c:pt>
                <c:pt idx="259">
                  <c:v>1066.5714285714287</c:v>
                </c:pt>
                <c:pt idx="260">
                  <c:v>1075.4285714285713</c:v>
                </c:pt>
                <c:pt idx="261">
                  <c:v>1055</c:v>
                </c:pt>
                <c:pt idx="262">
                  <c:v>1076.7142857142858</c:v>
                </c:pt>
                <c:pt idx="263">
                  <c:v>1119.8571428571429</c:v>
                </c:pt>
                <c:pt idx="264">
                  <c:v>1016.5714285714286</c:v>
                </c:pt>
                <c:pt idx="265">
                  <c:v>1021.5714285714286</c:v>
                </c:pt>
                <c:pt idx="266">
                  <c:v>990.57142857142856</c:v>
                </c:pt>
                <c:pt idx="267">
                  <c:v>1057.2857142857142</c:v>
                </c:pt>
                <c:pt idx="268">
                  <c:v>1095.4285714285713</c:v>
                </c:pt>
                <c:pt idx="269">
                  <c:v>1086.4285714285713</c:v>
                </c:pt>
                <c:pt idx="270">
                  <c:v>1050.2857142857142</c:v>
                </c:pt>
                <c:pt idx="271">
                  <c:v>996.42857142857144</c:v>
                </c:pt>
                <c:pt idx="272">
                  <c:v>905.85714285714289</c:v>
                </c:pt>
                <c:pt idx="273">
                  <c:v>1004.8571428571429</c:v>
                </c:pt>
                <c:pt idx="274">
                  <c:v>993.28571428571433</c:v>
                </c:pt>
                <c:pt idx="275">
                  <c:v>1014.2857142857143</c:v>
                </c:pt>
                <c:pt idx="276">
                  <c:v>973.28571428571433</c:v>
                </c:pt>
                <c:pt idx="277">
                  <c:v>985.71428571428567</c:v>
                </c:pt>
                <c:pt idx="278">
                  <c:v>999.28571428571433</c:v>
                </c:pt>
                <c:pt idx="279">
                  <c:v>1007</c:v>
                </c:pt>
                <c:pt idx="280">
                  <c:v>932.14285714285711</c:v>
                </c:pt>
                <c:pt idx="281">
                  <c:v>912.28571428571433</c:v>
                </c:pt>
                <c:pt idx="282">
                  <c:v>919.42857142857144</c:v>
                </c:pt>
                <c:pt idx="283">
                  <c:v>908.14285714285711</c:v>
                </c:pt>
                <c:pt idx="284">
                  <c:v>907</c:v>
                </c:pt>
                <c:pt idx="285">
                  <c:v>912.42857142857144</c:v>
                </c:pt>
                <c:pt idx="286">
                  <c:v>938.14285714285711</c:v>
                </c:pt>
                <c:pt idx="287">
                  <c:v>946.71428571428567</c:v>
                </c:pt>
                <c:pt idx="288">
                  <c:v>958.14285714285711</c:v>
                </c:pt>
                <c:pt idx="289">
                  <c:v>920.14285714285711</c:v>
                </c:pt>
                <c:pt idx="290">
                  <c:v>927</c:v>
                </c:pt>
                <c:pt idx="291">
                  <c:v>931.42857142857144</c:v>
                </c:pt>
                <c:pt idx="292">
                  <c:v>936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9C7-4F5C-9AA0-8E2203E64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392418"/>
        <c:axId val="1208664343"/>
      </c:lineChart>
      <c:dateAx>
        <c:axId val="50255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562464020"/>
        <c:crosses val="autoZero"/>
        <c:auto val="1"/>
        <c:lblOffset val="100"/>
        <c:baseTimeUnit val="days"/>
      </c:dateAx>
      <c:valAx>
        <c:axId val="562464020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5025565"/>
        <c:crosses val="autoZero"/>
        <c:crossBetween val="between"/>
      </c:valAx>
      <c:dateAx>
        <c:axId val="1304392418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1208664343"/>
        <c:crosses val="autoZero"/>
        <c:auto val="1"/>
        <c:lblOffset val="100"/>
        <c:baseTimeUnit val="days"/>
      </c:dateAx>
      <c:valAx>
        <c:axId val="1208664343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30439241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Lubelskiego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Województwa'!$X$2</c:f>
              <c:strCache>
                <c:ptCount val="1"/>
                <c:pt idx="0">
                  <c:v>Lubelskie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Województwa'!$X$3:$X$1000</c:f>
              <c:numCache>
                <c:formatCode>General</c:formatCode>
                <c:ptCount val="998"/>
                <c:pt idx="28" formatCode="0.0000">
                  <c:v>1.4261954261954268</c:v>
                </c:pt>
                <c:pt idx="29" formatCode="0.0000">
                  <c:v>0.75044062712035864</c:v>
                </c:pt>
                <c:pt idx="30" formatCode="0.0000">
                  <c:v>1.016666921433389</c:v>
                </c:pt>
                <c:pt idx="31" formatCode="0.0000">
                  <c:v>0.90215381390954874</c:v>
                </c:pt>
                <c:pt idx="32" formatCode="0.0000">
                  <c:v>0.84096474293710699</c:v>
                </c:pt>
                <c:pt idx="33" formatCode="0.0000">
                  <c:v>0.83638376229189015</c:v>
                </c:pt>
                <c:pt idx="34" formatCode="0.0000">
                  <c:v>0.80976126772126411</c:v>
                </c:pt>
                <c:pt idx="35" formatCode="0.0000">
                  <c:v>0.75962295279703607</c:v>
                </c:pt>
                <c:pt idx="36" formatCode="0.0000">
                  <c:v>0.85947769303022981</c:v>
                </c:pt>
                <c:pt idx="37" formatCode="0.0000">
                  <c:v>0.70956060989802872</c:v>
                </c:pt>
                <c:pt idx="38" formatCode="0.0000">
                  <c:v>0.89115210778556886</c:v>
                </c:pt>
                <c:pt idx="39" formatCode="0.0000">
                  <c:v>0.84721932285660684</c:v>
                </c:pt>
                <c:pt idx="40" formatCode="0.0000">
                  <c:v>0.86872170087509315</c:v>
                </c:pt>
                <c:pt idx="41" formatCode="0.0000">
                  <c:v>0.86814455800197965</c:v>
                </c:pt>
                <c:pt idx="42" formatCode="0.0000">
                  <c:v>0.79554022177206529</c:v>
                </c:pt>
                <c:pt idx="43" formatCode="0.0000">
                  <c:v>1.116717873271994</c:v>
                </c:pt>
                <c:pt idx="44" formatCode="0.0000">
                  <c:v>1.1659150852145781</c:v>
                </c:pt>
                <c:pt idx="45" formatCode="0.0000">
                  <c:v>1.0552581792582461</c:v>
                </c:pt>
                <c:pt idx="46" formatCode="0.0000">
                  <c:v>1.0548069313487425</c:v>
                </c:pt>
                <c:pt idx="47" formatCode="0.0000">
                  <c:v>1.1442186638262248</c:v>
                </c:pt>
                <c:pt idx="48" formatCode="0.0000">
                  <c:v>1.0938295908536373</c:v>
                </c:pt>
                <c:pt idx="49" formatCode="0.0000">
                  <c:v>1.2302942900479938</c:v>
                </c:pt>
                <c:pt idx="50" formatCode="0.0000">
                  <c:v>0.89977563835064855</c:v>
                </c:pt>
                <c:pt idx="51" formatCode="0.0000">
                  <c:v>0.83952599038040432</c:v>
                </c:pt>
                <c:pt idx="52" formatCode="0.0000">
                  <c:v>0.78742939038934601</c:v>
                </c:pt>
                <c:pt idx="53" formatCode="0.0000">
                  <c:v>0.81544306349003837</c:v>
                </c:pt>
                <c:pt idx="54" formatCode="0.0000">
                  <c:v>0.68119883489166477</c:v>
                </c:pt>
                <c:pt idx="55" formatCode="0.0000">
                  <c:v>0.67841101411162708</c:v>
                </c:pt>
                <c:pt idx="56" formatCode="0.0000">
                  <c:v>0.52639760016993509</c:v>
                </c:pt>
                <c:pt idx="57" formatCode="0.0000">
                  <c:v>0.49615666849766321</c:v>
                </c:pt>
                <c:pt idx="58" formatCode="0.0000">
                  <c:v>0.46130318129365971</c:v>
                </c:pt>
                <c:pt idx="59" formatCode="0.0000">
                  <c:v>0.50700442479232533</c:v>
                </c:pt>
                <c:pt idx="60" formatCode="0.0000">
                  <c:v>0.49585310636838581</c:v>
                </c:pt>
                <c:pt idx="61" formatCode="0.0000">
                  <c:v>0.62354445558941562</c:v>
                </c:pt>
                <c:pt idx="62" formatCode="0.0000">
                  <c:v>0.58443759217265334</c:v>
                </c:pt>
                <c:pt idx="63" formatCode="0.0000">
                  <c:v>0.58720900365254247</c:v>
                </c:pt>
                <c:pt idx="64" formatCode="0.0000">
                  <c:v>0.66371615768745396</c:v>
                </c:pt>
                <c:pt idx="65" formatCode="0.0000">
                  <c:v>0.67493021220663796</c:v>
                </c:pt>
                <c:pt idx="66" formatCode="0.0000">
                  <c:v>0.65374507911903801</c:v>
                </c:pt>
                <c:pt idx="67" formatCode="0.0000">
                  <c:v>0.67984827338643761</c:v>
                </c:pt>
                <c:pt idx="68" formatCode="0.0000">
                  <c:v>0.54829099535552073</c:v>
                </c:pt>
                <c:pt idx="69" formatCode="0.0000">
                  <c:v>0.73645240504850684</c:v>
                </c:pt>
                <c:pt idx="70" formatCode="0.0000">
                  <c:v>0.84823650953581675</c:v>
                </c:pt>
                <c:pt idx="71" formatCode="0.0000">
                  <c:v>0.78756653413239808</c:v>
                </c:pt>
                <c:pt idx="72" formatCode="0.0000">
                  <c:v>0.8428075919507394</c:v>
                </c:pt>
                <c:pt idx="73" formatCode="0.0000">
                  <c:v>0.76808522427792714</c:v>
                </c:pt>
                <c:pt idx="74" formatCode="0.0000">
                  <c:v>0.68433107116547764</c:v>
                </c:pt>
                <c:pt idx="75" formatCode="0.0000">
                  <c:v>0.65771377864884806</c:v>
                </c:pt>
                <c:pt idx="76" formatCode="0.0000">
                  <c:v>0.94455629591419654</c:v>
                </c:pt>
                <c:pt idx="77" formatCode="0.0000">
                  <c:v>0.76454994210627192</c:v>
                </c:pt>
                <c:pt idx="78" formatCode="0.0000">
                  <c:v>0.79662730488683831</c:v>
                </c:pt>
                <c:pt idx="79" formatCode="0.0000">
                  <c:v>1.0700309399280488</c:v>
                </c:pt>
                <c:pt idx="80" formatCode="0.0000">
                  <c:v>1.1710221212204976</c:v>
                </c:pt>
                <c:pt idx="81" formatCode="0.0000">
                  <c:v>1.220505451183763</c:v>
                </c:pt>
                <c:pt idx="82" formatCode="0.0000">
                  <c:v>1.8676428315022702</c:v>
                </c:pt>
                <c:pt idx="83" formatCode="0.0000">
                  <c:v>1.8106926457160284</c:v>
                </c:pt>
                <c:pt idx="84" formatCode="0.0000">
                  <c:v>1.8926513299150984</c:v>
                </c:pt>
                <c:pt idx="85" formatCode="0.0000">
                  <c:v>2.3556179508589055</c:v>
                </c:pt>
                <c:pt idx="86" formatCode="0.0000">
                  <c:v>2.313746846369618</c:v>
                </c:pt>
                <c:pt idx="87" formatCode="0.0000">
                  <c:v>2.1814458123773144</c:v>
                </c:pt>
                <c:pt idx="88" formatCode="0.0000">
                  <c:v>2.1319624824140488</c:v>
                </c:pt>
                <c:pt idx="89" formatCode="0.0000">
                  <c:v>1.5823847631426784</c:v>
                </c:pt>
                <c:pt idx="90" formatCode="0.0000">
                  <c:v>1.2092648021349688</c:v>
                </c:pt>
                <c:pt idx="91" formatCode="0.0000">
                  <c:v>1.1273061179358987</c:v>
                </c:pt>
                <c:pt idx="92" formatCode="0.0000">
                  <c:v>0.7779363568258546</c:v>
                </c:pt>
                <c:pt idx="93" formatCode="0.0000">
                  <c:v>0.48113633019155566</c:v>
                </c:pt>
                <c:pt idx="94" formatCode="0.0000">
                  <c:v>0.49418559327518569</c:v>
                </c:pt>
                <c:pt idx="95" formatCode="0.0000">
                  <c:v>0.59620070218167542</c:v>
                </c:pt>
                <c:pt idx="96" formatCode="0.0000">
                  <c:v>0.64896117085548688</c:v>
                </c:pt>
                <c:pt idx="97" formatCode="0.0000">
                  <c:v>0.63716535178569877</c:v>
                </c:pt>
                <c:pt idx="98" formatCode="0.0000">
                  <c:v>0.78605303044062202</c:v>
                </c:pt>
                <c:pt idx="99" formatCode="0.0000">
                  <c:v>0.59059821391820899</c:v>
                </c:pt>
                <c:pt idx="100" formatCode="0.0000">
                  <c:v>0.64668906198828613</c:v>
                </c:pt>
                <c:pt idx="101" formatCode="0.0000">
                  <c:v>0.70456579679258891</c:v>
                </c:pt>
                <c:pt idx="102" formatCode="0.0000">
                  <c:v>0.88201731962576946</c:v>
                </c:pt>
                <c:pt idx="103" formatCode="0.0000">
                  <c:v>1.2020337177220326</c:v>
                </c:pt>
                <c:pt idx="104" formatCode="0.0000">
                  <c:v>1.1983800665407018</c:v>
                </c:pt>
                <c:pt idx="105" formatCode="0.0000">
                  <c:v>1.3487825507401967</c:v>
                </c:pt>
                <c:pt idx="106" formatCode="0.0000">
                  <c:v>1.6281004633980092</c:v>
                </c:pt>
                <c:pt idx="107" formatCode="0.0000">
                  <c:v>1.6923744569790347</c:v>
                </c:pt>
                <c:pt idx="108" formatCode="0.0000">
                  <c:v>1.9703768002498994</c:v>
                </c:pt>
                <c:pt idx="109" formatCode="0.0000">
                  <c:v>1.7906632055153862</c:v>
                </c:pt>
                <c:pt idx="110" formatCode="0.0000">
                  <c:v>1.4872710266604707</c:v>
                </c:pt>
                <c:pt idx="111" formatCode="0.0000">
                  <c:v>1.5537350970731416</c:v>
                </c:pt>
                <c:pt idx="112" formatCode="0.0000">
                  <c:v>1.3349815095675877</c:v>
                </c:pt>
                <c:pt idx="113" formatCode="0.0000">
                  <c:v>1.1045540414464996</c:v>
                </c:pt>
                <c:pt idx="114" formatCode="0.0000">
                  <c:v>1.0713689901150272</c:v>
                </c:pt>
                <c:pt idx="115" formatCode="0.0000">
                  <c:v>0.77566583455979943</c:v>
                </c:pt>
                <c:pt idx="116" formatCode="0.0000">
                  <c:v>0.92874206960899408</c:v>
                </c:pt>
                <c:pt idx="117" formatCode="0.0000">
                  <c:v>0.92717963274821691</c:v>
                </c:pt>
                <c:pt idx="118" formatCode="0.0000">
                  <c:v>1.0201865165143507</c:v>
                </c:pt>
                <c:pt idx="119" formatCode="0.0000">
                  <c:v>0.93964994116548595</c:v>
                </c:pt>
                <c:pt idx="120" formatCode="0.0000">
                  <c:v>1.017664450842527</c:v>
                </c:pt>
                <c:pt idx="121" formatCode="0.0000">
                  <c:v>1.0414103258627041</c:v>
                </c:pt>
                <c:pt idx="122" formatCode="0.0000">
                  <c:v>1.0632753189501563</c:v>
                </c:pt>
                <c:pt idx="123" formatCode="0.0000">
                  <c:v>1.0532791750708974</c:v>
                </c:pt>
                <c:pt idx="124" formatCode="0.0000">
                  <c:v>1.134566429174821</c:v>
                </c:pt>
                <c:pt idx="125" formatCode="0.0000">
                  <c:v>1.437788189635965</c:v>
                </c:pt>
                <c:pt idx="126" formatCode="0.0000">
                  <c:v>1.6482262682916851</c:v>
                </c:pt>
                <c:pt idx="127" formatCode="0.0000">
                  <c:v>1.6157336800475066</c:v>
                </c:pt>
                <c:pt idx="128" formatCode="0.0000">
                  <c:v>1.5313137009268616</c:v>
                </c:pt>
                <c:pt idx="129" formatCode="0.0000">
                  <c:v>1.6289375295376896</c:v>
                </c:pt>
                <c:pt idx="130" formatCode="0.0000">
                  <c:v>1.5813714742512772</c:v>
                </c:pt>
                <c:pt idx="131" formatCode="0.0000">
                  <c:v>1.8024266342774333</c:v>
                </c:pt>
                <c:pt idx="132" formatCode="0.0000">
                  <c:v>1.3866765664382836</c:v>
                </c:pt>
                <c:pt idx="133" formatCode="0.0000">
                  <c:v>1.2990364118044133</c:v>
                </c:pt>
                <c:pt idx="134" formatCode="0.0000">
                  <c:v>1.2824941937331042</c:v>
                </c:pt>
                <c:pt idx="135" formatCode="0.0000">
                  <c:v>1.2722943803017623</c:v>
                </c:pt>
                <c:pt idx="136" formatCode="0.0000">
                  <c:v>1.2137466938210213</c:v>
                </c:pt>
                <c:pt idx="137" formatCode="0.0000">
                  <c:v>1.1996068868889125</c:v>
                </c:pt>
                <c:pt idx="138" formatCode="0.0000">
                  <c:v>0.75089510328984355</c:v>
                </c:pt>
                <c:pt idx="139" formatCode="0.0000">
                  <c:v>0.67446814657578058</c:v>
                </c:pt>
                <c:pt idx="140" formatCode="0.0000">
                  <c:v>0.58058368136175553</c:v>
                </c:pt>
                <c:pt idx="141" formatCode="0.0000">
                  <c:v>0.57992542930873392</c:v>
                </c:pt>
                <c:pt idx="142" formatCode="0.0000">
                  <c:v>0.55374914681165477</c:v>
                </c:pt>
                <c:pt idx="143" formatCode="0.0000">
                  <c:v>0.556997780676732</c:v>
                </c:pt>
                <c:pt idx="144" formatCode="0.0000">
                  <c:v>0.6084432355380337</c:v>
                </c:pt>
                <c:pt idx="145" formatCode="0.0000">
                  <c:v>0.75824335599517612</c:v>
                </c:pt>
                <c:pt idx="146" formatCode="0.0000">
                  <c:v>0.80726813742278314</c:v>
                </c:pt>
                <c:pt idx="147" formatCode="0.0000">
                  <c:v>0.77835467861495844</c:v>
                </c:pt>
                <c:pt idx="148" formatCode="0.0000">
                  <c:v>1.0428525770961428</c:v>
                </c:pt>
                <c:pt idx="149" formatCode="0.0000">
                  <c:v>1.2133216469891863</c:v>
                </c:pt>
                <c:pt idx="150" formatCode="0.0000">
                  <c:v>1.4047889008690084</c:v>
                </c:pt>
                <c:pt idx="151" formatCode="0.0000">
                  <c:v>1.420203153989738</c:v>
                </c:pt>
                <c:pt idx="152" formatCode="0.0000">
                  <c:v>1.2762577674796121</c:v>
                </c:pt>
                <c:pt idx="153" formatCode="0.0000">
                  <c:v>1.3988367183956396</c:v>
                </c:pt>
                <c:pt idx="154" formatCode="0.0000">
                  <c:v>1.5014881370307815</c:v>
                </c:pt>
                <c:pt idx="155" formatCode="0.0000">
                  <c:v>1.457002921734754</c:v>
                </c:pt>
                <c:pt idx="156" formatCode="0.0000">
                  <c:v>1.4156165702876697</c:v>
                </c:pt>
                <c:pt idx="157" formatCode="0.0000">
                  <c:v>1.2462382137668764</c:v>
                </c:pt>
                <c:pt idx="158" formatCode="0.0000">
                  <c:v>1.2410373215380999</c:v>
                </c:pt>
                <c:pt idx="159" formatCode="0.0000">
                  <c:v>1.324335343528658</c:v>
                </c:pt>
                <c:pt idx="160" formatCode="0.0000">
                  <c:v>1.3186965964388899</c:v>
                </c:pt>
                <c:pt idx="161" formatCode="0.0000">
                  <c:v>1.292382359765204</c:v>
                </c:pt>
                <c:pt idx="162" formatCode="0.0000">
                  <c:v>1.3568217792799453</c:v>
                </c:pt>
                <c:pt idx="163" formatCode="0.0000">
                  <c:v>1.5853771266895502</c:v>
                </c:pt>
                <c:pt idx="164" formatCode="0.0000">
                  <c:v>1.5807636814720596</c:v>
                </c:pt>
                <c:pt idx="165" formatCode="0.0000">
                  <c:v>1.4427671386083332</c:v>
                </c:pt>
                <c:pt idx="166" formatCode="0.0000">
                  <c:v>1.272203913886321</c:v>
                </c:pt>
                <c:pt idx="167" formatCode="0.0000">
                  <c:v>1.1538986430118991</c:v>
                </c:pt>
                <c:pt idx="168" formatCode="0.0000">
                  <c:v>1.2443629640726095</c:v>
                </c:pt>
                <c:pt idx="169" formatCode="0.0000">
                  <c:v>1.0857647176994312</c:v>
                </c:pt>
                <c:pt idx="170" formatCode="0.0000">
                  <c:v>0.83635592812861226</c:v>
                </c:pt>
                <c:pt idx="171" formatCode="0.0000">
                  <c:v>0.8514176536161564</c:v>
                </c:pt>
                <c:pt idx="172" formatCode="0.0000">
                  <c:v>0.92528922431790683</c:v>
                </c:pt>
                <c:pt idx="173" formatCode="0.0000">
                  <c:v>1.0152816311203445</c:v>
                </c:pt>
                <c:pt idx="174" formatCode="0.0000">
                  <c:v>1.0230475487842943</c:v>
                </c:pt>
                <c:pt idx="175" formatCode="0.0000">
                  <c:v>1.1078660373893909</c:v>
                </c:pt>
                <c:pt idx="176" formatCode="0.0000">
                  <c:v>1.0243101850928584</c:v>
                </c:pt>
                <c:pt idx="177" formatCode="0.0000">
                  <c:v>1.0073645409280261</c:v>
                </c:pt>
                <c:pt idx="178" formatCode="0.0000">
                  <c:v>1.0562396840230006</c:v>
                </c:pt>
                <c:pt idx="179" formatCode="0.0000">
                  <c:v>0.99683288744455489</c:v>
                </c:pt>
                <c:pt idx="180" formatCode="0.0000">
                  <c:v>1.4335566986145907</c:v>
                </c:pt>
                <c:pt idx="181" formatCode="0.0000">
                  <c:v>1.4774216903393544</c:v>
                </c:pt>
                <c:pt idx="182" formatCode="0.0000">
                  <c:v>1.3007780523999244</c:v>
                </c:pt>
                <c:pt idx="183" formatCode="0.0000">
                  <c:v>1.2618303104542454</c:v>
                </c:pt>
                <c:pt idx="184" formatCode="0.0000">
                  <c:v>1.4076696452762589</c:v>
                </c:pt>
                <c:pt idx="185" formatCode="0.0000">
                  <c:v>1.3459814956919371</c:v>
                </c:pt>
                <c:pt idx="186" formatCode="0.0000">
                  <c:v>1.3114624082339703</c:v>
                </c:pt>
                <c:pt idx="187" formatCode="0.0000">
                  <c:v>0.86271508750591896</c:v>
                </c:pt>
                <c:pt idx="188" formatCode="0.0000">
                  <c:v>0.84680369288188595</c:v>
                </c:pt>
                <c:pt idx="189" formatCode="0.0000">
                  <c:v>0.81274367885744692</c:v>
                </c:pt>
                <c:pt idx="190" formatCode="0.0000">
                  <c:v>0.83945874638922946</c:v>
                </c:pt>
                <c:pt idx="191" formatCode="0.0000">
                  <c:v>0.74477582621665839</c:v>
                </c:pt>
                <c:pt idx="192" formatCode="0.0000">
                  <c:v>0.78448609947397663</c:v>
                </c:pt>
                <c:pt idx="193" formatCode="0.0000">
                  <c:v>0.90558433942904437</c:v>
                </c:pt>
                <c:pt idx="194" formatCode="0.0000">
                  <c:v>1.00122264718452</c:v>
                </c:pt>
                <c:pt idx="195" formatCode="0.0000">
                  <c:v>0.94375542304546056</c:v>
                </c:pt>
                <c:pt idx="196" formatCode="0.0000">
                  <c:v>1.064228860661826</c:v>
                </c:pt>
                <c:pt idx="197" formatCode="0.0000">
                  <c:v>1.2224544430747666</c:v>
                </c:pt>
                <c:pt idx="198" formatCode="0.0000">
                  <c:v>1.0818500659662116</c:v>
                </c:pt>
                <c:pt idx="199" formatCode="0.0000">
                  <c:v>1.164459625532577</c:v>
                </c:pt>
                <c:pt idx="200" formatCode="0.0000">
                  <c:v>1.7217807997934773</c:v>
                </c:pt>
                <c:pt idx="201" formatCode="0.0000">
                  <c:v>1.683295575110201</c:v>
                </c:pt>
                <c:pt idx="202" formatCode="0.0000">
                  <c:v>1.8441382926736356</c:v>
                </c:pt>
                <c:pt idx="203" formatCode="0.0000">
                  <c:v>1.7610178712307873</c:v>
                </c:pt>
                <c:pt idx="204" formatCode="0.0000">
                  <c:v>1.6418014083913428</c:v>
                </c:pt>
                <c:pt idx="205" formatCode="0.0000">
                  <c:v>1.84528758867196</c:v>
                </c:pt>
                <c:pt idx="206" formatCode="0.0000">
                  <c:v>1.778059344629876</c:v>
                </c:pt>
                <c:pt idx="207" formatCode="0.0000">
                  <c:v>1.2145329704959273</c:v>
                </c:pt>
                <c:pt idx="208" formatCode="0.0000">
                  <c:v>1.3218377579057443</c:v>
                </c:pt>
                <c:pt idx="209" formatCode="0.0000">
                  <c:v>1.3841902836096083</c:v>
                </c:pt>
                <c:pt idx="210" formatCode="0.0000">
                  <c:v>1.3809814850713149</c:v>
                </c:pt>
                <c:pt idx="211" formatCode="0.0000">
                  <c:v>1.4253721840861036</c:v>
                </c:pt>
                <c:pt idx="212" formatCode="0.0000">
                  <c:v>1.4540790340367613</c:v>
                </c:pt>
                <c:pt idx="213" formatCode="0.0000">
                  <c:v>1.4687977335110947</c:v>
                </c:pt>
                <c:pt idx="214" formatCode="0.0000">
                  <c:v>1.5170052105031075</c:v>
                </c:pt>
                <c:pt idx="215" formatCode="0.0000">
                  <c:v>1.4717990335890254</c:v>
                </c:pt>
                <c:pt idx="216" formatCode="0.0000">
                  <c:v>1.5381124836918871</c:v>
                </c:pt>
                <c:pt idx="217" formatCode="0.0000">
                  <c:v>1.6788782617906832</c:v>
                </c:pt>
                <c:pt idx="218" formatCode="0.0000">
                  <c:v>1.6057079274980073</c:v>
                </c:pt>
                <c:pt idx="219" formatCode="0.0000">
                  <c:v>1.6488086986295509</c:v>
                </c:pt>
                <c:pt idx="220" formatCode="0.0000">
                  <c:v>1.6563034502083498</c:v>
                </c:pt>
                <c:pt idx="221" formatCode="0.0000">
                  <c:v>1.6970489892835177</c:v>
                </c:pt>
                <c:pt idx="222" formatCode="0.0000">
                  <c:v>1.8048902886559048</c:v>
                </c:pt>
                <c:pt idx="223" formatCode="0.0000">
                  <c:v>1.8167130218237317</c:v>
                </c:pt>
                <c:pt idx="224" formatCode="0.0000">
                  <c:v>1.7197166493209968</c:v>
                </c:pt>
                <c:pt idx="225" formatCode="0.0000">
                  <c:v>1.7564343502780504</c:v>
                </c:pt>
                <c:pt idx="226" formatCode="0.0000">
                  <c:v>1.6869468444477385</c:v>
                </c:pt>
                <c:pt idx="227" formatCode="0.0000">
                  <c:v>1.642467033549472</c:v>
                </c:pt>
                <c:pt idx="228" formatCode="0.0000">
                  <c:v>1.6245238587115334</c:v>
                </c:pt>
                <c:pt idx="229" formatCode="0.0000">
                  <c:v>1.6439023388210712</c:v>
                </c:pt>
                <c:pt idx="230" formatCode="0.0000">
                  <c:v>1.5656755200968895</c:v>
                </c:pt>
                <c:pt idx="231" formatCode="0.0000">
                  <c:v>1.5405734709623871</c:v>
                </c:pt>
                <c:pt idx="232" formatCode="0.0000">
                  <c:v>1.6455121930818823</c:v>
                </c:pt>
                <c:pt idx="233" formatCode="0.0000">
                  <c:v>1.5814720221685143</c:v>
                </c:pt>
                <c:pt idx="234" formatCode="0.0000">
                  <c:v>1.6793515660065323</c:v>
                </c:pt>
                <c:pt idx="235" formatCode="0.0000">
                  <c:v>1.6488204979802616</c:v>
                </c:pt>
                <c:pt idx="236" formatCode="0.0000">
                  <c:v>1.5386155803957569</c:v>
                </c:pt>
                <c:pt idx="237" formatCode="0.0000">
                  <c:v>1.5038444707155121</c:v>
                </c:pt>
                <c:pt idx="238" formatCode="0.0000">
                  <c:v>1.5167672100486549</c:v>
                </c:pt>
                <c:pt idx="239" formatCode="0.0000">
                  <c:v>1.4142553108917195</c:v>
                </c:pt>
                <c:pt idx="240" formatCode="0.0000">
                  <c:v>1.7014165929979299</c:v>
                </c:pt>
                <c:pt idx="241" formatCode="0.0000">
                  <c:v>1.7100471961698005</c:v>
                </c:pt>
                <c:pt idx="242" formatCode="0.0000">
                  <c:v>1.7433154002080886</c:v>
                </c:pt>
                <c:pt idx="243" formatCode="0.0000">
                  <c:v>1.8033117431304599</c:v>
                </c:pt>
                <c:pt idx="244" formatCode="0.0000">
                  <c:v>1.7320587898146171</c:v>
                </c:pt>
                <c:pt idx="245" formatCode="0.0000">
                  <c:v>1.8022397910179708</c:v>
                </c:pt>
                <c:pt idx="246" formatCode="0.0000">
                  <c:v>1.8131524344791505</c:v>
                </c:pt>
                <c:pt idx="247" formatCode="0.0000">
                  <c:v>1.4661123214467242</c:v>
                </c:pt>
                <c:pt idx="248" formatCode="0.0000">
                  <c:v>1.3735750066976686</c:v>
                </c:pt>
                <c:pt idx="249" formatCode="0.0000">
                  <c:v>1.3212529640485664</c:v>
                </c:pt>
                <c:pt idx="250" formatCode="0.0000">
                  <c:v>1.2444999170710112</c:v>
                </c:pt>
                <c:pt idx="251" formatCode="0.0000">
                  <c:v>1.2316510138678025</c:v>
                </c:pt>
                <c:pt idx="252" formatCode="0.0000">
                  <c:v>1.162931133725714</c:v>
                </c:pt>
                <c:pt idx="253" formatCode="0.0000">
                  <c:v>1.1231328117224919</c:v>
                </c:pt>
                <c:pt idx="254" formatCode="0.0000">
                  <c:v>1.1150793634465799</c:v>
                </c:pt>
                <c:pt idx="255" formatCode="0.0000">
                  <c:v>0.97565276502148612</c:v>
                </c:pt>
                <c:pt idx="256" formatCode="0.0000">
                  <c:v>0.95393618731337704</c:v>
                </c:pt>
                <c:pt idx="257" formatCode="0.0000">
                  <c:v>0.90711177501529072</c:v>
                </c:pt>
                <c:pt idx="258" formatCode="0.0000">
                  <c:v>0.91627534708030678</c:v>
                </c:pt>
                <c:pt idx="259" formatCode="0.0000">
                  <c:v>0.963714512432717</c:v>
                </c:pt>
                <c:pt idx="260" formatCode="0.0000">
                  <c:v>0.87337668713230909</c:v>
                </c:pt>
                <c:pt idx="261" formatCode="0.0000">
                  <c:v>0.92209395188474319</c:v>
                </c:pt>
                <c:pt idx="262" formatCode="0.0000">
                  <c:v>0.94661354580979495</c:v>
                </c:pt>
                <c:pt idx="263" formatCode="0.0000">
                  <c:v>0.96376993659152055</c:v>
                </c:pt>
                <c:pt idx="264" formatCode="0.0000">
                  <c:v>0.92654075984030082</c:v>
                </c:pt>
                <c:pt idx="265" formatCode="0.0000">
                  <c:v>0.89046404390161105</c:v>
                </c:pt>
                <c:pt idx="266" formatCode="0.0000">
                  <c:v>0.82550213492791735</c:v>
                </c:pt>
                <c:pt idx="267" formatCode="0.0000">
                  <c:v>0.88403873748407624</c:v>
                </c:pt>
                <c:pt idx="268" formatCode="0.0000">
                  <c:v>0.89083532813554656</c:v>
                </c:pt>
                <c:pt idx="269" formatCode="0.0000">
                  <c:v>0.91965229540307913</c:v>
                </c:pt>
                <c:pt idx="270" formatCode="0.0000">
                  <c:v>0.84133659323059296</c:v>
                </c:pt>
                <c:pt idx="271" formatCode="0.0000">
                  <c:v>0.81917870237568535</c:v>
                </c:pt>
                <c:pt idx="272" formatCode="0.0000">
                  <c:v>0.76047105610217558</c:v>
                </c:pt>
                <c:pt idx="273" formatCode="0.0000">
                  <c:v>0.76465400040039133</c:v>
                </c:pt>
                <c:pt idx="274" formatCode="0.0000">
                  <c:v>0.76983622575947863</c:v>
                </c:pt>
                <c:pt idx="275" formatCode="0.0000">
                  <c:v>0.76687284149110357</c:v>
                </c:pt>
                <c:pt idx="276" formatCode="0.0000">
                  <c:v>0.78200799829334333</c:v>
                </c:pt>
                <c:pt idx="277" formatCode="0.0000">
                  <c:v>0.77838985261014693</c:v>
                </c:pt>
                <c:pt idx="278" formatCode="0.0000">
                  <c:v>0.75291493581213609</c:v>
                </c:pt>
                <c:pt idx="279" formatCode="0.0000">
                  <c:v>0.74413604701082314</c:v>
                </c:pt>
                <c:pt idx="280" formatCode="0.0000">
                  <c:v>0.74345037613003273</c:v>
                </c:pt>
                <c:pt idx="281" formatCode="0.0000">
                  <c:v>0.77839794005807661</c:v>
                </c:pt>
                <c:pt idx="282" formatCode="0.0000">
                  <c:v>0.77600731709247384</c:v>
                </c:pt>
                <c:pt idx="283" formatCode="0.0000">
                  <c:v>0.79340797884491476</c:v>
                </c:pt>
                <c:pt idx="284" formatCode="0.0000">
                  <c:v>0.83002885146707073</c:v>
                </c:pt>
                <c:pt idx="285" formatCode="0.0000">
                  <c:v>0.84869806763507916</c:v>
                </c:pt>
                <c:pt idx="286" formatCode="0.0000">
                  <c:v>0.85543090866203664</c:v>
                </c:pt>
                <c:pt idx="287" formatCode="0.0000">
                  <c:v>0.87661594581968572</c:v>
                </c:pt>
                <c:pt idx="288" formatCode="0.0000">
                  <c:v>0.87740183217501111</c:v>
                </c:pt>
                <c:pt idx="289" formatCode="0.0000">
                  <c:v>0.91868237286539078</c:v>
                </c:pt>
                <c:pt idx="290" formatCode="0.0000">
                  <c:v>0.90613095620193351</c:v>
                </c:pt>
                <c:pt idx="291" formatCode="0.0000">
                  <c:v>0.90053095255266746</c:v>
                </c:pt>
                <c:pt idx="292" formatCode="0.0000">
                  <c:v>0.89054392337608379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936-4CCC-B9FE-48A73286A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875368"/>
        <c:axId val="319509222"/>
      </c:lineChart>
      <c:lineChart>
        <c:grouping val="standard"/>
        <c:varyColors val="0"/>
        <c:ser>
          <c:idx val="1"/>
          <c:order val="1"/>
          <c:tx>
            <c:strRef>
              <c:f>'R(t) Województwa'!$T$2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Województwa'!$T$3:$T$1000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0.14285714285714285</c:v>
                </c:pt>
                <c:pt idx="8">
                  <c:v>0.2857142857142857</c:v>
                </c:pt>
                <c:pt idx="9">
                  <c:v>0.8571428571428571</c:v>
                </c:pt>
                <c:pt idx="10">
                  <c:v>1</c:v>
                </c:pt>
                <c:pt idx="11">
                  <c:v>2.1428571428571428</c:v>
                </c:pt>
                <c:pt idx="12">
                  <c:v>2.4285714285714284</c:v>
                </c:pt>
                <c:pt idx="13">
                  <c:v>2.5714285714285716</c:v>
                </c:pt>
                <c:pt idx="14">
                  <c:v>3</c:v>
                </c:pt>
                <c:pt idx="15">
                  <c:v>2.8571428571428572</c:v>
                </c:pt>
                <c:pt idx="16">
                  <c:v>2.7142857142857144</c:v>
                </c:pt>
                <c:pt idx="17">
                  <c:v>3</c:v>
                </c:pt>
                <c:pt idx="18">
                  <c:v>2.2857142857142856</c:v>
                </c:pt>
                <c:pt idx="19">
                  <c:v>3.1428571428571428</c:v>
                </c:pt>
                <c:pt idx="20">
                  <c:v>4.2857142857142856</c:v>
                </c:pt>
                <c:pt idx="21">
                  <c:v>4.5714285714285712</c:v>
                </c:pt>
                <c:pt idx="22">
                  <c:v>5.4285714285714288</c:v>
                </c:pt>
                <c:pt idx="23">
                  <c:v>7</c:v>
                </c:pt>
                <c:pt idx="24">
                  <c:v>7.1428571428571432</c:v>
                </c:pt>
                <c:pt idx="25">
                  <c:v>8</c:v>
                </c:pt>
                <c:pt idx="26">
                  <c:v>9.4285714285714288</c:v>
                </c:pt>
                <c:pt idx="27">
                  <c:v>9.4285714285714288</c:v>
                </c:pt>
                <c:pt idx="28">
                  <c:v>11.142857142857142</c:v>
                </c:pt>
                <c:pt idx="29">
                  <c:v>10.428571428571429</c:v>
                </c:pt>
                <c:pt idx="30">
                  <c:v>11</c:v>
                </c:pt>
                <c:pt idx="31">
                  <c:v>11.428571428571429</c:v>
                </c:pt>
                <c:pt idx="32">
                  <c:v>11.142857142857142</c:v>
                </c:pt>
                <c:pt idx="33">
                  <c:v>9.8571428571428577</c:v>
                </c:pt>
                <c:pt idx="34">
                  <c:v>9.5714285714285712</c:v>
                </c:pt>
                <c:pt idx="35">
                  <c:v>8.5714285714285712</c:v>
                </c:pt>
                <c:pt idx="36">
                  <c:v>9.5714285714285712</c:v>
                </c:pt>
                <c:pt idx="37">
                  <c:v>7.7142857142857144</c:v>
                </c:pt>
                <c:pt idx="38">
                  <c:v>9.1428571428571423</c:v>
                </c:pt>
                <c:pt idx="39">
                  <c:v>8.5714285714285712</c:v>
                </c:pt>
                <c:pt idx="40">
                  <c:v>8.5714285714285712</c:v>
                </c:pt>
                <c:pt idx="41">
                  <c:v>8.4285714285714288</c:v>
                </c:pt>
                <c:pt idx="42">
                  <c:v>7.5714285714285712</c:v>
                </c:pt>
                <c:pt idx="43">
                  <c:v>10</c:v>
                </c:pt>
                <c:pt idx="44">
                  <c:v>10.571428571428571</c:v>
                </c:pt>
                <c:pt idx="45">
                  <c:v>9.7142857142857135</c:v>
                </c:pt>
                <c:pt idx="46">
                  <c:v>9.7142857142857135</c:v>
                </c:pt>
                <c:pt idx="47">
                  <c:v>10.571428571428571</c:v>
                </c:pt>
                <c:pt idx="48">
                  <c:v>10.142857142857142</c:v>
                </c:pt>
                <c:pt idx="49">
                  <c:v>11.428571428571429</c:v>
                </c:pt>
                <c:pt idx="50">
                  <c:v>8.8571428571428577</c:v>
                </c:pt>
                <c:pt idx="51">
                  <c:v>8.1428571428571423</c:v>
                </c:pt>
                <c:pt idx="52">
                  <c:v>7.4285714285714288</c:v>
                </c:pt>
                <c:pt idx="53">
                  <c:v>7.5714285714285712</c:v>
                </c:pt>
                <c:pt idx="54">
                  <c:v>6.1428571428571432</c:v>
                </c:pt>
                <c:pt idx="55">
                  <c:v>6</c:v>
                </c:pt>
                <c:pt idx="56">
                  <c:v>4.4285714285714288</c:v>
                </c:pt>
                <c:pt idx="57">
                  <c:v>3.8571428571428572</c:v>
                </c:pt>
                <c:pt idx="58">
                  <c:v>3.4285714285714284</c:v>
                </c:pt>
                <c:pt idx="59">
                  <c:v>3.2857142857142856</c:v>
                </c:pt>
                <c:pt idx="60">
                  <c:v>3</c:v>
                </c:pt>
                <c:pt idx="61">
                  <c:v>3.2857142857142856</c:v>
                </c:pt>
                <c:pt idx="62">
                  <c:v>3</c:v>
                </c:pt>
                <c:pt idx="63">
                  <c:v>2.8571428571428572</c:v>
                </c:pt>
                <c:pt idx="64">
                  <c:v>3</c:v>
                </c:pt>
                <c:pt idx="65">
                  <c:v>3</c:v>
                </c:pt>
                <c:pt idx="66">
                  <c:v>2.7142857142857144</c:v>
                </c:pt>
                <c:pt idx="67">
                  <c:v>2.7142857142857144</c:v>
                </c:pt>
                <c:pt idx="68">
                  <c:v>2</c:v>
                </c:pt>
                <c:pt idx="69">
                  <c:v>2.5714285714285716</c:v>
                </c:pt>
                <c:pt idx="70">
                  <c:v>2.8571428571428572</c:v>
                </c:pt>
                <c:pt idx="71">
                  <c:v>2.5714285714285716</c:v>
                </c:pt>
                <c:pt idx="72">
                  <c:v>2.7142857142857144</c:v>
                </c:pt>
                <c:pt idx="73">
                  <c:v>2.4285714285714284</c:v>
                </c:pt>
                <c:pt idx="74">
                  <c:v>2.1428571428571428</c:v>
                </c:pt>
                <c:pt idx="75">
                  <c:v>2</c:v>
                </c:pt>
                <c:pt idx="76">
                  <c:v>2.4285714285714284</c:v>
                </c:pt>
                <c:pt idx="77">
                  <c:v>1.8571428571428572</c:v>
                </c:pt>
                <c:pt idx="78">
                  <c:v>1.8571428571428572</c:v>
                </c:pt>
                <c:pt idx="79">
                  <c:v>2.4285714285714284</c:v>
                </c:pt>
                <c:pt idx="80">
                  <c:v>2.7142857142857144</c:v>
                </c:pt>
                <c:pt idx="81">
                  <c:v>2.8571428571428572</c:v>
                </c:pt>
                <c:pt idx="82">
                  <c:v>4.5714285714285712</c:v>
                </c:pt>
                <c:pt idx="83">
                  <c:v>5.2857142857142856</c:v>
                </c:pt>
                <c:pt idx="84">
                  <c:v>5.7142857142857144</c:v>
                </c:pt>
                <c:pt idx="85">
                  <c:v>8.2857142857142865</c:v>
                </c:pt>
                <c:pt idx="86">
                  <c:v>9.7142857142857135</c:v>
                </c:pt>
                <c:pt idx="87">
                  <c:v>9.4285714285714288</c:v>
                </c:pt>
                <c:pt idx="88">
                  <c:v>9.2857142857142865</c:v>
                </c:pt>
                <c:pt idx="89">
                  <c:v>8.4285714285714288</c:v>
                </c:pt>
                <c:pt idx="90">
                  <c:v>7</c:v>
                </c:pt>
                <c:pt idx="91">
                  <c:v>6.5714285714285712</c:v>
                </c:pt>
                <c:pt idx="92">
                  <c:v>4.8571428571428568</c:v>
                </c:pt>
                <c:pt idx="93">
                  <c:v>2.7142857142857144</c:v>
                </c:pt>
                <c:pt idx="94">
                  <c:v>2.7142857142857144</c:v>
                </c:pt>
                <c:pt idx="95">
                  <c:v>3.1428571428571428</c:v>
                </c:pt>
                <c:pt idx="96">
                  <c:v>3</c:v>
                </c:pt>
                <c:pt idx="97">
                  <c:v>2.8571428571428572</c:v>
                </c:pt>
                <c:pt idx="98">
                  <c:v>3.4285714285714284</c:v>
                </c:pt>
                <c:pt idx="99">
                  <c:v>2.4285714285714284</c:v>
                </c:pt>
                <c:pt idx="100">
                  <c:v>2.5714285714285716</c:v>
                </c:pt>
                <c:pt idx="101">
                  <c:v>2.7142857142857144</c:v>
                </c:pt>
                <c:pt idx="102">
                  <c:v>3.1428571428571428</c:v>
                </c:pt>
                <c:pt idx="103">
                  <c:v>4.1428571428571432</c:v>
                </c:pt>
                <c:pt idx="104">
                  <c:v>4.1428571428571432</c:v>
                </c:pt>
                <c:pt idx="105">
                  <c:v>4.8571428571428568</c:v>
                </c:pt>
                <c:pt idx="106">
                  <c:v>6.2857142857142856</c:v>
                </c:pt>
                <c:pt idx="107">
                  <c:v>6.8571428571428568</c:v>
                </c:pt>
                <c:pt idx="108">
                  <c:v>8.7142857142857135</c:v>
                </c:pt>
                <c:pt idx="109">
                  <c:v>8.5714285714285712</c:v>
                </c:pt>
                <c:pt idx="110">
                  <c:v>8.2857142857142865</c:v>
                </c:pt>
                <c:pt idx="111">
                  <c:v>8.8571428571428577</c:v>
                </c:pt>
                <c:pt idx="112">
                  <c:v>8.1428571428571423</c:v>
                </c:pt>
                <c:pt idx="113">
                  <c:v>7.1428571428571432</c:v>
                </c:pt>
                <c:pt idx="114">
                  <c:v>7</c:v>
                </c:pt>
                <c:pt idx="115">
                  <c:v>5.2857142857142856</c:v>
                </c:pt>
                <c:pt idx="116">
                  <c:v>6</c:v>
                </c:pt>
                <c:pt idx="117">
                  <c:v>5.8571428571428568</c:v>
                </c:pt>
                <c:pt idx="118">
                  <c:v>6.4285714285714288</c:v>
                </c:pt>
                <c:pt idx="119">
                  <c:v>5.8571428571428568</c:v>
                </c:pt>
                <c:pt idx="120">
                  <c:v>6.2857142857142856</c:v>
                </c:pt>
                <c:pt idx="121">
                  <c:v>6.4285714285714288</c:v>
                </c:pt>
                <c:pt idx="122">
                  <c:v>6.5714285714285712</c:v>
                </c:pt>
                <c:pt idx="123">
                  <c:v>6.5714285714285712</c:v>
                </c:pt>
                <c:pt idx="124">
                  <c:v>7.1428571428571432</c:v>
                </c:pt>
                <c:pt idx="125">
                  <c:v>9.5714285714285712</c:v>
                </c:pt>
                <c:pt idx="126">
                  <c:v>11.714285714285714</c:v>
                </c:pt>
                <c:pt idx="127">
                  <c:v>12.142857142857142</c:v>
                </c:pt>
                <c:pt idx="128">
                  <c:v>11.857142857142858</c:v>
                </c:pt>
                <c:pt idx="129">
                  <c:v>13.142857142857142</c:v>
                </c:pt>
                <c:pt idx="130">
                  <c:v>13.714285714285714</c:v>
                </c:pt>
                <c:pt idx="131">
                  <c:v>17.428571428571427</c:v>
                </c:pt>
                <c:pt idx="132">
                  <c:v>14.857142857142858</c:v>
                </c:pt>
                <c:pt idx="133">
                  <c:v>14.428571428571429</c:v>
                </c:pt>
                <c:pt idx="134">
                  <c:v>14.571428571428571</c:v>
                </c:pt>
                <c:pt idx="135">
                  <c:v>14.571428571428571</c:v>
                </c:pt>
                <c:pt idx="136">
                  <c:v>14.285714285714286</c:v>
                </c:pt>
                <c:pt idx="137">
                  <c:v>14.428571428571429</c:v>
                </c:pt>
                <c:pt idx="138">
                  <c:v>9.7142857142857135</c:v>
                </c:pt>
                <c:pt idx="139">
                  <c:v>8.5714285714285712</c:v>
                </c:pt>
                <c:pt idx="140">
                  <c:v>7.1428571428571432</c:v>
                </c:pt>
                <c:pt idx="141">
                  <c:v>6.5714285714285712</c:v>
                </c:pt>
                <c:pt idx="142">
                  <c:v>6.1428571428571432</c:v>
                </c:pt>
                <c:pt idx="143">
                  <c:v>5.5714285714285712</c:v>
                </c:pt>
                <c:pt idx="144">
                  <c:v>5.1428571428571432</c:v>
                </c:pt>
                <c:pt idx="145">
                  <c:v>6</c:v>
                </c:pt>
                <c:pt idx="146">
                  <c:v>6.4285714285714288</c:v>
                </c:pt>
                <c:pt idx="147">
                  <c:v>6.1428571428571432</c:v>
                </c:pt>
                <c:pt idx="148">
                  <c:v>7.7142857142857144</c:v>
                </c:pt>
                <c:pt idx="149">
                  <c:v>9.1428571428571423</c:v>
                </c:pt>
                <c:pt idx="150">
                  <c:v>11</c:v>
                </c:pt>
                <c:pt idx="151">
                  <c:v>11.857142857142858</c:v>
                </c:pt>
                <c:pt idx="152">
                  <c:v>11</c:v>
                </c:pt>
                <c:pt idx="153">
                  <c:v>12.428571428571429</c:v>
                </c:pt>
                <c:pt idx="154">
                  <c:v>13.571428571428571</c:v>
                </c:pt>
                <c:pt idx="155">
                  <c:v>14.571428571428571</c:v>
                </c:pt>
                <c:pt idx="156">
                  <c:v>14.857142857142858</c:v>
                </c:pt>
                <c:pt idx="157">
                  <c:v>14</c:v>
                </c:pt>
                <c:pt idx="158">
                  <c:v>14.571428571428571</c:v>
                </c:pt>
                <c:pt idx="159">
                  <c:v>16</c:v>
                </c:pt>
                <c:pt idx="160">
                  <c:v>16.571428571428573</c:v>
                </c:pt>
                <c:pt idx="161">
                  <c:v>16.571428571428573</c:v>
                </c:pt>
                <c:pt idx="162">
                  <c:v>18.571428571428573</c:v>
                </c:pt>
                <c:pt idx="163">
                  <c:v>23.285714285714285</c:v>
                </c:pt>
                <c:pt idx="164">
                  <c:v>24.571428571428573</c:v>
                </c:pt>
                <c:pt idx="165">
                  <c:v>23.714285714285715</c:v>
                </c:pt>
                <c:pt idx="166">
                  <c:v>21.285714285714285</c:v>
                </c:pt>
                <c:pt idx="167">
                  <c:v>19.714285714285715</c:v>
                </c:pt>
                <c:pt idx="168">
                  <c:v>21.285714285714285</c:v>
                </c:pt>
                <c:pt idx="169">
                  <c:v>19.714285714285715</c:v>
                </c:pt>
                <c:pt idx="170">
                  <c:v>15.428571428571429</c:v>
                </c:pt>
                <c:pt idx="171">
                  <c:v>15.142857142857142</c:v>
                </c:pt>
                <c:pt idx="172">
                  <c:v>16.142857142857142</c:v>
                </c:pt>
                <c:pt idx="173">
                  <c:v>17.857142857142858</c:v>
                </c:pt>
                <c:pt idx="174">
                  <c:v>18</c:v>
                </c:pt>
                <c:pt idx="175">
                  <c:v>19.428571428571427</c:v>
                </c:pt>
                <c:pt idx="176">
                  <c:v>18.285714285714285</c:v>
                </c:pt>
                <c:pt idx="177">
                  <c:v>18</c:v>
                </c:pt>
                <c:pt idx="178">
                  <c:v>18.857142857142858</c:v>
                </c:pt>
                <c:pt idx="179">
                  <c:v>17.857142857142858</c:v>
                </c:pt>
                <c:pt idx="180">
                  <c:v>26</c:v>
                </c:pt>
                <c:pt idx="181">
                  <c:v>27.571428571428573</c:v>
                </c:pt>
                <c:pt idx="182">
                  <c:v>25.285714285714285</c:v>
                </c:pt>
                <c:pt idx="183">
                  <c:v>25.142857142857142</c:v>
                </c:pt>
                <c:pt idx="184">
                  <c:v>28.857142857142858</c:v>
                </c:pt>
                <c:pt idx="185">
                  <c:v>28.857142857142858</c:v>
                </c:pt>
                <c:pt idx="186">
                  <c:v>28.714285714285715</c:v>
                </c:pt>
                <c:pt idx="187">
                  <c:v>20.714285714285715</c:v>
                </c:pt>
                <c:pt idx="188">
                  <c:v>20</c:v>
                </c:pt>
                <c:pt idx="189">
                  <c:v>19</c:v>
                </c:pt>
                <c:pt idx="190">
                  <c:v>19</c:v>
                </c:pt>
                <c:pt idx="191">
                  <c:v>16.285714285714285</c:v>
                </c:pt>
                <c:pt idx="192">
                  <c:v>16.142857142857142</c:v>
                </c:pt>
                <c:pt idx="193">
                  <c:v>18.142857142857142</c:v>
                </c:pt>
                <c:pt idx="194">
                  <c:v>20</c:v>
                </c:pt>
                <c:pt idx="195">
                  <c:v>18.714285714285715</c:v>
                </c:pt>
                <c:pt idx="196">
                  <c:v>21</c:v>
                </c:pt>
                <c:pt idx="197">
                  <c:v>24.285714285714285</c:v>
                </c:pt>
                <c:pt idx="198">
                  <c:v>21.714285714285715</c:v>
                </c:pt>
                <c:pt idx="199">
                  <c:v>23.571428571428573</c:v>
                </c:pt>
                <c:pt idx="200">
                  <c:v>36.857142857142854</c:v>
                </c:pt>
                <c:pt idx="201">
                  <c:v>38.142857142857146</c:v>
                </c:pt>
                <c:pt idx="202">
                  <c:v>44.428571428571431</c:v>
                </c:pt>
                <c:pt idx="203">
                  <c:v>44.285714285714285</c:v>
                </c:pt>
                <c:pt idx="204">
                  <c:v>44.857142857142854</c:v>
                </c:pt>
                <c:pt idx="205">
                  <c:v>52.714285714285715</c:v>
                </c:pt>
                <c:pt idx="206">
                  <c:v>55.571428571428569</c:v>
                </c:pt>
                <c:pt idx="207">
                  <c:v>46.714285714285715</c:v>
                </c:pt>
                <c:pt idx="208">
                  <c:v>52.714285714285715</c:v>
                </c:pt>
                <c:pt idx="209">
                  <c:v>58.285714285714285</c:v>
                </c:pt>
                <c:pt idx="210">
                  <c:v>59.428571428571431</c:v>
                </c:pt>
                <c:pt idx="211">
                  <c:v>64.571428571428569</c:v>
                </c:pt>
                <c:pt idx="212">
                  <c:v>70.285714285714292</c:v>
                </c:pt>
                <c:pt idx="213">
                  <c:v>75.714285714285708</c:v>
                </c:pt>
                <c:pt idx="214">
                  <c:v>83.714285714285708</c:v>
                </c:pt>
                <c:pt idx="215">
                  <c:v>87.285714285714292</c:v>
                </c:pt>
                <c:pt idx="216">
                  <c:v>99.428571428571431</c:v>
                </c:pt>
                <c:pt idx="217">
                  <c:v>115</c:v>
                </c:pt>
                <c:pt idx="218">
                  <c:v>118.42857142857143</c:v>
                </c:pt>
                <c:pt idx="219">
                  <c:v>133.57142857142858</c:v>
                </c:pt>
                <c:pt idx="220">
                  <c:v>146.14285714285714</c:v>
                </c:pt>
                <c:pt idx="221">
                  <c:v>165.42857142857142</c:v>
                </c:pt>
                <c:pt idx="222">
                  <c:v>194.28571428571428</c:v>
                </c:pt>
                <c:pt idx="223">
                  <c:v>223.85714285714286</c:v>
                </c:pt>
                <c:pt idx="224">
                  <c:v>227.42857142857142</c:v>
                </c:pt>
                <c:pt idx="225">
                  <c:v>248.85714285714286</c:v>
                </c:pt>
                <c:pt idx="226">
                  <c:v>264.71428571428572</c:v>
                </c:pt>
                <c:pt idx="227">
                  <c:v>278.85714285714283</c:v>
                </c:pt>
                <c:pt idx="228">
                  <c:v>304.28571428571428</c:v>
                </c:pt>
                <c:pt idx="229">
                  <c:v>343.71428571428572</c:v>
                </c:pt>
                <c:pt idx="230">
                  <c:v>364.71428571428572</c:v>
                </c:pt>
                <c:pt idx="231">
                  <c:v>372.71428571428572</c:v>
                </c:pt>
                <c:pt idx="232">
                  <c:v>430.14285714285717</c:v>
                </c:pt>
                <c:pt idx="233">
                  <c:v>443.85714285714283</c:v>
                </c:pt>
                <c:pt idx="234">
                  <c:v>509.42857142857144</c:v>
                </c:pt>
                <c:pt idx="235">
                  <c:v>550.28571428571433</c:v>
                </c:pt>
                <c:pt idx="236">
                  <c:v>567.42857142857144</c:v>
                </c:pt>
                <c:pt idx="237">
                  <c:v>599.42857142857144</c:v>
                </c:pt>
                <c:pt idx="238">
                  <c:v>625.28571428571433</c:v>
                </c:pt>
                <c:pt idx="239">
                  <c:v>631.28571428571433</c:v>
                </c:pt>
                <c:pt idx="240">
                  <c:v>815.42857142857144</c:v>
                </c:pt>
                <c:pt idx="241">
                  <c:v>917.14285714285711</c:v>
                </c:pt>
                <c:pt idx="242">
                  <c:v>1037.7142857142858</c:v>
                </c:pt>
                <c:pt idx="243">
                  <c:v>1190.2857142857142</c:v>
                </c:pt>
                <c:pt idx="244">
                  <c:v>1232.1428571428571</c:v>
                </c:pt>
                <c:pt idx="245">
                  <c:v>1359.2857142857142</c:v>
                </c:pt>
                <c:pt idx="246">
                  <c:v>1479.7142857142858</c:v>
                </c:pt>
                <c:pt idx="247">
                  <c:v>1351.8571428571429</c:v>
                </c:pt>
                <c:pt idx="248">
                  <c:v>1364.2857142857142</c:v>
                </c:pt>
                <c:pt idx="249">
                  <c:v>1397.8571428571429</c:v>
                </c:pt>
                <c:pt idx="250">
                  <c:v>1392.1428571428571</c:v>
                </c:pt>
                <c:pt idx="251">
                  <c:v>1414.7142857142858</c:v>
                </c:pt>
                <c:pt idx="252">
                  <c:v>1371.1428571428571</c:v>
                </c:pt>
                <c:pt idx="253">
                  <c:v>1357.7142857142858</c:v>
                </c:pt>
                <c:pt idx="254">
                  <c:v>1361.4285714285713</c:v>
                </c:pt>
                <c:pt idx="255">
                  <c:v>1216.2857142857142</c:v>
                </c:pt>
                <c:pt idx="256">
                  <c:v>1183.2857142857142</c:v>
                </c:pt>
                <c:pt idx="257">
                  <c:v>1114.7142857142858</c:v>
                </c:pt>
                <c:pt idx="258">
                  <c:v>1109.2857142857142</c:v>
                </c:pt>
                <c:pt idx="259">
                  <c:v>1153.4285714285713</c:v>
                </c:pt>
                <c:pt idx="260">
                  <c:v>1036</c:v>
                </c:pt>
                <c:pt idx="261">
                  <c:v>1075.5714285714287</c:v>
                </c:pt>
                <c:pt idx="262">
                  <c:v>1096.8571428571429</c:v>
                </c:pt>
                <c:pt idx="263">
                  <c:v>1102.1428571428571</c:v>
                </c:pt>
                <c:pt idx="264">
                  <c:v>1052.4285714285713</c:v>
                </c:pt>
                <c:pt idx="265">
                  <c:v>999.85714285714289</c:v>
                </c:pt>
                <c:pt idx="266">
                  <c:v>910.71428571428567</c:v>
                </c:pt>
                <c:pt idx="267">
                  <c:v>954.28571428571433</c:v>
                </c:pt>
                <c:pt idx="268">
                  <c:v>942.71428571428567</c:v>
                </c:pt>
                <c:pt idx="269">
                  <c:v>960.85714285714289</c:v>
                </c:pt>
                <c:pt idx="270">
                  <c:v>866.14285714285711</c:v>
                </c:pt>
                <c:pt idx="271">
                  <c:v>825.57142857142856</c:v>
                </c:pt>
                <c:pt idx="272">
                  <c:v>752.71428571428567</c:v>
                </c:pt>
                <c:pt idx="273">
                  <c:v>735.14285714285711</c:v>
                </c:pt>
                <c:pt idx="274">
                  <c:v>710.42857142857144</c:v>
                </c:pt>
                <c:pt idx="275">
                  <c:v>677</c:v>
                </c:pt>
                <c:pt idx="276">
                  <c:v>664.28571428571433</c:v>
                </c:pt>
                <c:pt idx="277">
                  <c:v>634.42857142857144</c:v>
                </c:pt>
                <c:pt idx="278">
                  <c:v>596.85714285714289</c:v>
                </c:pt>
                <c:pt idx="279">
                  <c:v>581.42857142857144</c:v>
                </c:pt>
                <c:pt idx="280">
                  <c:v>562.71428571428567</c:v>
                </c:pt>
                <c:pt idx="281">
                  <c:v>558.28571428571433</c:v>
                </c:pt>
                <c:pt idx="282">
                  <c:v>533.28571428571433</c:v>
                </c:pt>
                <c:pt idx="283">
                  <c:v>522.71428571428567</c:v>
                </c:pt>
                <c:pt idx="284">
                  <c:v>525.14285714285711</c:v>
                </c:pt>
                <c:pt idx="285">
                  <c:v>528.71428571428567</c:v>
                </c:pt>
                <c:pt idx="286">
                  <c:v>529</c:v>
                </c:pt>
                <c:pt idx="287">
                  <c:v>532</c:v>
                </c:pt>
                <c:pt idx="288">
                  <c:v>519.57142857142856</c:v>
                </c:pt>
                <c:pt idx="289">
                  <c:v>531.14285714285711</c:v>
                </c:pt>
                <c:pt idx="290">
                  <c:v>516.14285714285711</c:v>
                </c:pt>
                <c:pt idx="291">
                  <c:v>502.57142857142856</c:v>
                </c:pt>
                <c:pt idx="292">
                  <c:v>491.28571428571428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936-4CCC-B9FE-48A73286A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403537"/>
        <c:axId val="1884055760"/>
      </c:lineChart>
      <c:dateAx>
        <c:axId val="557875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319509222"/>
        <c:crosses val="autoZero"/>
        <c:auto val="1"/>
        <c:lblOffset val="100"/>
        <c:baseTimeUnit val="days"/>
      </c:dateAx>
      <c:valAx>
        <c:axId val="319509222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557875368"/>
        <c:crosses val="autoZero"/>
        <c:crossBetween val="between"/>
      </c:valAx>
      <c:dateAx>
        <c:axId val="868403537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1884055760"/>
        <c:crosses val="autoZero"/>
        <c:auto val="1"/>
        <c:lblOffset val="100"/>
        <c:baseTimeUnit val="days"/>
      </c:dateAx>
      <c:valAx>
        <c:axId val="1884055760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868403537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Łódzkiego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Województwa'!$AL$2</c:f>
              <c:strCache>
                <c:ptCount val="1"/>
                <c:pt idx="0">
                  <c:v>Łódzkie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Województwa'!$AL$3:$AL$1000</c:f>
              <c:numCache>
                <c:formatCode>General</c:formatCode>
                <c:ptCount val="998"/>
                <c:pt idx="21" formatCode="0.0000">
                  <c:v>1.48735244519393</c:v>
                </c:pt>
                <c:pt idx="22" formatCode="0.0000">
                  <c:v>1.323068114488857</c:v>
                </c:pt>
                <c:pt idx="23" formatCode="0.0000">
                  <c:v>1.2345596983698457</c:v>
                </c:pt>
                <c:pt idx="24" formatCode="0.0000">
                  <c:v>1.113226972293816</c:v>
                </c:pt>
                <c:pt idx="25" formatCode="0.0000">
                  <c:v>1.1081602792209053</c:v>
                </c:pt>
                <c:pt idx="26" formatCode="0.0000">
                  <c:v>1.025791001320375</c:v>
                </c:pt>
                <c:pt idx="27" formatCode="0.0000">
                  <c:v>1.0184881097612339</c:v>
                </c:pt>
                <c:pt idx="28" formatCode="0.0000">
                  <c:v>0.87588135889566077</c:v>
                </c:pt>
                <c:pt idx="29" formatCode="0.0000">
                  <c:v>0.87364960730289154</c:v>
                </c:pt>
                <c:pt idx="30" formatCode="0.0000">
                  <c:v>0.90722873984818719</c:v>
                </c:pt>
                <c:pt idx="31" formatCode="0.0000">
                  <c:v>0.94199430111767435</c:v>
                </c:pt>
                <c:pt idx="32" formatCode="0.0000">
                  <c:v>0.91670045173077253</c:v>
                </c:pt>
                <c:pt idx="33" formatCode="0.0000">
                  <c:v>1.6317655870885974</c:v>
                </c:pt>
                <c:pt idx="34" formatCode="0.0000">
                  <c:v>1.5935823010634034</c:v>
                </c:pt>
                <c:pt idx="35" formatCode="0.0000">
                  <c:v>1.6593066672870189</c:v>
                </c:pt>
                <c:pt idx="36" formatCode="0.0000">
                  <c:v>1.8147037942324544</c:v>
                </c:pt>
                <c:pt idx="37" formatCode="0.0000">
                  <c:v>1.8365562800638713</c:v>
                </c:pt>
                <c:pt idx="38" formatCode="0.0000">
                  <c:v>1.8828418751317442</c:v>
                </c:pt>
                <c:pt idx="39" formatCode="0.0000">
                  <c:v>1.9210584796082233</c:v>
                </c:pt>
                <c:pt idx="40" formatCode="0.0000">
                  <c:v>1.3277243832152448</c:v>
                </c:pt>
                <c:pt idx="41" formatCode="0.0000">
                  <c:v>1.3434256522511467</c:v>
                </c:pt>
                <c:pt idx="42" formatCode="0.0000">
                  <c:v>1.295018744049105</c:v>
                </c:pt>
                <c:pt idx="43" formatCode="0.0000">
                  <c:v>1.0051657577646289</c:v>
                </c:pt>
                <c:pt idx="44" formatCode="0.0000">
                  <c:v>0.9158925244824222</c:v>
                </c:pt>
                <c:pt idx="45" formatCode="0.0000">
                  <c:v>0.84144296020039755</c:v>
                </c:pt>
                <c:pt idx="46" formatCode="0.0000">
                  <c:v>0.90033117774638094</c:v>
                </c:pt>
                <c:pt idx="47" formatCode="0.0000">
                  <c:v>0.81789107538822048</c:v>
                </c:pt>
                <c:pt idx="48" formatCode="0.0000">
                  <c:v>0.84308272964164155</c:v>
                </c:pt>
                <c:pt idx="49" formatCode="0.0000">
                  <c:v>0.83984795320136685</c:v>
                </c:pt>
                <c:pt idx="50" formatCode="0.0000">
                  <c:v>1.291353843554637</c:v>
                </c:pt>
                <c:pt idx="51" formatCode="0.0000">
                  <c:v>1.2562084960853597</c:v>
                </c:pt>
                <c:pt idx="52" formatCode="0.0000">
                  <c:v>1.3173775977817281</c:v>
                </c:pt>
                <c:pt idx="53" formatCode="0.0000">
                  <c:v>1.2119037265121064</c:v>
                </c:pt>
                <c:pt idx="54" formatCode="0.0000">
                  <c:v>1.1876514910807241</c:v>
                </c:pt>
                <c:pt idx="55" formatCode="0.0000">
                  <c:v>1.242879568959302</c:v>
                </c:pt>
                <c:pt idx="56" formatCode="0.0000">
                  <c:v>1.2337318102346326</c:v>
                </c:pt>
                <c:pt idx="57" formatCode="0.0000">
                  <c:v>0.93684597673016035</c:v>
                </c:pt>
                <c:pt idx="58" formatCode="0.0000">
                  <c:v>0.95393084671390249</c:v>
                </c:pt>
                <c:pt idx="59" formatCode="0.0000">
                  <c:v>0.88283295835416775</c:v>
                </c:pt>
                <c:pt idx="60" formatCode="0.0000">
                  <c:v>0.96495249436084818</c:v>
                </c:pt>
                <c:pt idx="61" formatCode="0.0000">
                  <c:v>1.1052163354719362</c:v>
                </c:pt>
                <c:pt idx="62" formatCode="0.0000">
                  <c:v>1.0056410486518528</c:v>
                </c:pt>
                <c:pt idx="63" formatCode="0.0000">
                  <c:v>0.94697514337822652</c:v>
                </c:pt>
                <c:pt idx="64" formatCode="0.0000">
                  <c:v>0.92985202673990131</c:v>
                </c:pt>
                <c:pt idx="65" formatCode="0.0000">
                  <c:v>1.0594246886618262</c:v>
                </c:pt>
                <c:pt idx="66" formatCode="0.0000">
                  <c:v>1.0166982127480666</c:v>
                </c:pt>
                <c:pt idx="67" formatCode="0.0000">
                  <c:v>0.90943494331283492</c:v>
                </c:pt>
                <c:pt idx="68" formatCode="0.0000">
                  <c:v>0.74239465303711238</c:v>
                </c:pt>
                <c:pt idx="69" formatCode="0.0000">
                  <c:v>0.71263880088691844</c:v>
                </c:pt>
                <c:pt idx="70" formatCode="0.0000">
                  <c:v>0.79184892856816291</c:v>
                </c:pt>
                <c:pt idx="71" formatCode="0.0000">
                  <c:v>0.71020496497899166</c:v>
                </c:pt>
                <c:pt idx="72" formatCode="0.0000">
                  <c:v>0.53868870520703493</c:v>
                </c:pt>
                <c:pt idx="73" formatCode="0.0000">
                  <c:v>0.54924255477944162</c:v>
                </c:pt>
                <c:pt idx="74" formatCode="0.0000">
                  <c:v>0.52003422678097999</c:v>
                </c:pt>
                <c:pt idx="75" formatCode="0.0000">
                  <c:v>0.50655070457797524</c:v>
                </c:pt>
                <c:pt idx="76" formatCode="0.0000">
                  <c:v>0.56327323771725712</c:v>
                </c:pt>
                <c:pt idx="77" formatCode="0.0000">
                  <c:v>0.53713383055613007</c:v>
                </c:pt>
                <c:pt idx="78" formatCode="0.0000">
                  <c:v>0.65166594294960689</c:v>
                </c:pt>
                <c:pt idx="79" formatCode="0.0000">
                  <c:v>0.66516070865625643</c:v>
                </c:pt>
                <c:pt idx="80" formatCode="0.0000">
                  <c:v>1.0128640186415343</c:v>
                </c:pt>
                <c:pt idx="81" formatCode="0.0000">
                  <c:v>1.0649046853575725</c:v>
                </c:pt>
                <c:pt idx="82" formatCode="0.0000">
                  <c:v>1.2368339915426743</c:v>
                </c:pt>
                <c:pt idx="83" formatCode="0.0000">
                  <c:v>1.2523220354207951</c:v>
                </c:pt>
                <c:pt idx="84" formatCode="0.0000">
                  <c:v>1.3891023976641672</c:v>
                </c:pt>
                <c:pt idx="85" formatCode="0.0000">
                  <c:v>1.4364670671987585</c:v>
                </c:pt>
                <c:pt idx="86" formatCode="0.0000">
                  <c:v>1.7327933253162324</c:v>
                </c:pt>
                <c:pt idx="87" formatCode="0.0000">
                  <c:v>1.5090996684059321</c:v>
                </c:pt>
                <c:pt idx="88" formatCode="0.0000">
                  <c:v>1.6063758179606542</c:v>
                </c:pt>
                <c:pt idx="89" formatCode="0.0000">
                  <c:v>1.5449413425502034</c:v>
                </c:pt>
                <c:pt idx="90" formatCode="0.0000">
                  <c:v>1.6959497278052607</c:v>
                </c:pt>
                <c:pt idx="91" formatCode="0.0000">
                  <c:v>1.5289566167834292</c:v>
                </c:pt>
                <c:pt idx="92" formatCode="0.0000">
                  <c:v>1.5761068381041796</c:v>
                </c:pt>
                <c:pt idx="93" formatCode="0.0000">
                  <c:v>1.7384375084028327</c:v>
                </c:pt>
                <c:pt idx="94" formatCode="0.0000">
                  <c:v>1.7031169863953184</c:v>
                </c:pt>
                <c:pt idx="95" formatCode="0.0000">
                  <c:v>1.6941509131727435</c:v>
                </c:pt>
                <c:pt idx="96" formatCode="0.0000">
                  <c:v>1.8956167635500312</c:v>
                </c:pt>
                <c:pt idx="97" formatCode="0.0000">
                  <c:v>1.8012809334156004</c:v>
                </c:pt>
                <c:pt idx="98" formatCode="0.0000">
                  <c:v>1.8713758751772389</c:v>
                </c:pt>
                <c:pt idx="99" formatCode="0.0000">
                  <c:v>1.6729659420840639</c:v>
                </c:pt>
                <c:pt idx="100" formatCode="0.0000">
                  <c:v>1.335878028773404</c:v>
                </c:pt>
                <c:pt idx="101" formatCode="0.0000">
                  <c:v>1.4015642885168673</c:v>
                </c:pt>
                <c:pt idx="102" formatCode="0.0000">
                  <c:v>1.2795667731443745</c:v>
                </c:pt>
                <c:pt idx="103" formatCode="0.0000">
                  <c:v>1.0009820322715191</c:v>
                </c:pt>
                <c:pt idx="104" formatCode="0.0000">
                  <c:v>0.99253430991928682</c:v>
                </c:pt>
                <c:pt idx="105" formatCode="0.0000">
                  <c:v>1.0364017630168116</c:v>
                </c:pt>
                <c:pt idx="106" formatCode="0.0000">
                  <c:v>1.0973751000620808</c:v>
                </c:pt>
                <c:pt idx="107" formatCode="0.0000">
                  <c:v>1.0858298861338771</c:v>
                </c:pt>
                <c:pt idx="108" formatCode="0.0000">
                  <c:v>1.0062086941998587</c:v>
                </c:pt>
                <c:pt idx="109" formatCode="0.0000">
                  <c:v>1.0222765779557397</c:v>
                </c:pt>
                <c:pt idx="110" formatCode="0.0000">
                  <c:v>1.0301791788770502</c:v>
                </c:pt>
                <c:pt idx="111" formatCode="0.0000">
                  <c:v>0.96244008895228306</c:v>
                </c:pt>
                <c:pt idx="112" formatCode="0.0000">
                  <c:v>0.91222264126722774</c:v>
                </c:pt>
                <c:pt idx="113" formatCode="0.0000">
                  <c:v>0.86026809908969859</c:v>
                </c:pt>
                <c:pt idx="114" formatCode="0.0000">
                  <c:v>0.77414233891993278</c:v>
                </c:pt>
                <c:pt idx="115" formatCode="0.0000">
                  <c:v>0.68633759281908724</c:v>
                </c:pt>
                <c:pt idx="116" formatCode="0.0000">
                  <c:v>0.74100316038954384</c:v>
                </c:pt>
                <c:pt idx="117" formatCode="0.0000">
                  <c:v>0.71915606102059759</c:v>
                </c:pt>
                <c:pt idx="118" formatCode="0.0000">
                  <c:v>0.66907154327737639</c:v>
                </c:pt>
                <c:pt idx="119" formatCode="0.0000">
                  <c:v>0.62781587100985414</c:v>
                </c:pt>
                <c:pt idx="120" formatCode="0.0000">
                  <c:v>0.56282753223871018</c:v>
                </c:pt>
                <c:pt idx="121" formatCode="0.0000">
                  <c:v>0.69657779794601316</c:v>
                </c:pt>
                <c:pt idx="122" formatCode="0.0000">
                  <c:v>0.73519551658070392</c:v>
                </c:pt>
                <c:pt idx="123" formatCode="0.0000">
                  <c:v>0.66774702713294565</c:v>
                </c:pt>
                <c:pt idx="124" formatCode="0.0000">
                  <c:v>0.65752660774839189</c:v>
                </c:pt>
                <c:pt idx="125" formatCode="0.0000">
                  <c:v>0.73662318089285395</c:v>
                </c:pt>
                <c:pt idx="126" formatCode="0.0000">
                  <c:v>0.71826472362525884</c:v>
                </c:pt>
                <c:pt idx="127" formatCode="0.0000">
                  <c:v>0.84922968521208531</c:v>
                </c:pt>
                <c:pt idx="128" formatCode="0.0000">
                  <c:v>0.73483020846360236</c:v>
                </c:pt>
                <c:pt idx="129" formatCode="0.0000">
                  <c:v>0.72308665413302298</c:v>
                </c:pt>
                <c:pt idx="130" formatCode="0.0000">
                  <c:v>0.82649850098261113</c:v>
                </c:pt>
                <c:pt idx="131" formatCode="0.0000">
                  <c:v>0.91119391146171502</c:v>
                </c:pt>
                <c:pt idx="132" formatCode="0.0000">
                  <c:v>0.85741464059251327</c:v>
                </c:pt>
                <c:pt idx="133" formatCode="0.0000">
                  <c:v>0.92037484299480832</c:v>
                </c:pt>
                <c:pt idx="134" formatCode="0.0000">
                  <c:v>0.92973803352248041</c:v>
                </c:pt>
                <c:pt idx="135" formatCode="0.0000">
                  <c:v>1.0282142733562021</c:v>
                </c:pt>
                <c:pt idx="136" formatCode="0.0000">
                  <c:v>1.0996695708579824</c:v>
                </c:pt>
                <c:pt idx="137" formatCode="0.0000">
                  <c:v>1.020633808104062</c:v>
                </c:pt>
                <c:pt idx="138" formatCode="0.0000">
                  <c:v>1.0554568564672568</c:v>
                </c:pt>
                <c:pt idx="139" formatCode="0.0000">
                  <c:v>1.0407466980880788</c:v>
                </c:pt>
                <c:pt idx="140" formatCode="0.0000">
                  <c:v>1.0804621167877391</c:v>
                </c:pt>
                <c:pt idx="141" formatCode="0.0000">
                  <c:v>1.0784434839175943</c:v>
                </c:pt>
                <c:pt idx="142" formatCode="0.0000">
                  <c:v>1.0376950336028583</c:v>
                </c:pt>
                <c:pt idx="143" formatCode="0.0000">
                  <c:v>1.0275434133057868</c:v>
                </c:pt>
                <c:pt idx="144" formatCode="0.0000">
                  <c:v>1.0753495227910432</c:v>
                </c:pt>
                <c:pt idx="145" formatCode="0.0000">
                  <c:v>0.99297438019198192</c:v>
                </c:pt>
                <c:pt idx="146" formatCode="0.0000">
                  <c:v>1.0040966003537746</c:v>
                </c:pt>
                <c:pt idx="147" formatCode="0.0000">
                  <c:v>1.0147410062531097</c:v>
                </c:pt>
                <c:pt idx="148" formatCode="0.0000">
                  <c:v>0.99673245416942624</c:v>
                </c:pt>
                <c:pt idx="149" formatCode="0.0000">
                  <c:v>1.1757374161056939</c:v>
                </c:pt>
                <c:pt idx="150" formatCode="0.0000">
                  <c:v>1.159087927994219</c:v>
                </c:pt>
                <c:pt idx="151" formatCode="0.0000">
                  <c:v>1.1822527640316556</c:v>
                </c:pt>
                <c:pt idx="152" formatCode="0.0000">
                  <c:v>1.128208971905281</c:v>
                </c:pt>
                <c:pt idx="153" formatCode="0.0000">
                  <c:v>1.1284640887034398</c:v>
                </c:pt>
                <c:pt idx="154" formatCode="0.0000">
                  <c:v>1.1618455544416741</c:v>
                </c:pt>
                <c:pt idx="155" formatCode="0.0000">
                  <c:v>1.1741873330611516</c:v>
                </c:pt>
                <c:pt idx="156" formatCode="0.0000">
                  <c:v>0.99965631692006818</c:v>
                </c:pt>
                <c:pt idx="157" formatCode="0.0000">
                  <c:v>1.0707437872191614</c:v>
                </c:pt>
                <c:pt idx="158" formatCode="0.0000">
                  <c:v>1.0144242500320424</c:v>
                </c:pt>
                <c:pt idx="159" formatCode="0.0000">
                  <c:v>1.0518774291049722</c:v>
                </c:pt>
                <c:pt idx="160" formatCode="0.0000">
                  <c:v>1.0963519674871418</c:v>
                </c:pt>
                <c:pt idx="161" formatCode="0.0000">
                  <c:v>1.1331157459342001</c:v>
                </c:pt>
                <c:pt idx="162" formatCode="0.0000">
                  <c:v>1.1373883725810969</c:v>
                </c:pt>
                <c:pt idx="163" formatCode="0.0000">
                  <c:v>1.1159285664504708</c:v>
                </c:pt>
                <c:pt idx="164" formatCode="0.0000">
                  <c:v>1.1265435311599596</c:v>
                </c:pt>
                <c:pt idx="165" formatCode="0.0000">
                  <c:v>1.1525373917677029</c:v>
                </c:pt>
                <c:pt idx="166" formatCode="0.0000">
                  <c:v>1.314207700729175</c:v>
                </c:pt>
                <c:pt idx="167" formatCode="0.0000">
                  <c:v>1.3209436567650534</c:v>
                </c:pt>
                <c:pt idx="168" formatCode="0.0000">
                  <c:v>1.2509352487115772</c:v>
                </c:pt>
                <c:pt idx="169" formatCode="0.0000">
                  <c:v>1.1744057791593205</c:v>
                </c:pt>
                <c:pt idx="170" formatCode="0.0000">
                  <c:v>1.1676595187089889</c:v>
                </c:pt>
                <c:pt idx="171" formatCode="0.0000">
                  <c:v>1.1198940154655028</c:v>
                </c:pt>
                <c:pt idx="172" formatCode="0.0000">
                  <c:v>1.205039630095976</c:v>
                </c:pt>
                <c:pt idx="173" formatCode="0.0000">
                  <c:v>1.1513701459821373</c:v>
                </c:pt>
                <c:pt idx="174" formatCode="0.0000">
                  <c:v>1.2084050422176975</c:v>
                </c:pt>
                <c:pt idx="175" formatCode="0.0000">
                  <c:v>1.1854208154251531</c:v>
                </c:pt>
                <c:pt idx="176" formatCode="0.0000">
                  <c:v>1.1773598826186149</c:v>
                </c:pt>
                <c:pt idx="177" formatCode="0.0000">
                  <c:v>1.1629828164534739</c:v>
                </c:pt>
                <c:pt idx="178" formatCode="0.0000">
                  <c:v>1.1109263168999555</c:v>
                </c:pt>
                <c:pt idx="179" formatCode="0.0000">
                  <c:v>0.97238599248073121</c:v>
                </c:pt>
                <c:pt idx="180" formatCode="0.0000">
                  <c:v>0.87414294441434492</c:v>
                </c:pt>
                <c:pt idx="181" formatCode="0.0000">
                  <c:v>0.77658435894740063</c:v>
                </c:pt>
                <c:pt idx="182" formatCode="0.0000">
                  <c:v>0.74702067088416568</c:v>
                </c:pt>
                <c:pt idx="183" formatCode="0.0000">
                  <c:v>0.77403780196032812</c:v>
                </c:pt>
                <c:pt idx="184" formatCode="0.0000">
                  <c:v>0.81218833287869452</c:v>
                </c:pt>
                <c:pt idx="185" formatCode="0.0000">
                  <c:v>0.84983207997291699</c:v>
                </c:pt>
                <c:pt idx="186" formatCode="0.0000">
                  <c:v>0.85625793336926759</c:v>
                </c:pt>
                <c:pt idx="187" formatCode="0.0000">
                  <c:v>0.82590393443949239</c:v>
                </c:pt>
                <c:pt idx="188" formatCode="0.0000">
                  <c:v>0.75363388306313339</c:v>
                </c:pt>
                <c:pt idx="189" formatCode="0.0000">
                  <c:v>0.70172038538886383</c:v>
                </c:pt>
                <c:pt idx="190" formatCode="0.0000">
                  <c:v>0.64033163674606464</c:v>
                </c:pt>
                <c:pt idx="191" formatCode="0.0000">
                  <c:v>0.53649965213682094</c:v>
                </c:pt>
                <c:pt idx="192" formatCode="0.0000">
                  <c:v>0.54508862588775686</c:v>
                </c:pt>
                <c:pt idx="193" formatCode="0.0000">
                  <c:v>0.64380688444127998</c:v>
                </c:pt>
                <c:pt idx="194" formatCode="0.0000">
                  <c:v>0.66634729959023076</c:v>
                </c:pt>
                <c:pt idx="195" formatCode="0.0000">
                  <c:v>0.76750410053640616</c:v>
                </c:pt>
                <c:pt idx="196" formatCode="0.0000">
                  <c:v>0.80991432480717973</c:v>
                </c:pt>
                <c:pt idx="197" formatCode="0.0000">
                  <c:v>0.93372911206257003</c:v>
                </c:pt>
                <c:pt idx="198" formatCode="0.0000">
                  <c:v>1.0965570720009215</c:v>
                </c:pt>
                <c:pt idx="199" formatCode="0.0000">
                  <c:v>1.336768245217721</c:v>
                </c:pt>
                <c:pt idx="200" formatCode="0.0000">
                  <c:v>1.3823106869754558</c:v>
                </c:pt>
                <c:pt idx="201" formatCode="0.0000">
                  <c:v>1.4888464373560468</c:v>
                </c:pt>
                <c:pt idx="202" formatCode="0.0000">
                  <c:v>1.6836191522120811</c:v>
                </c:pt>
                <c:pt idx="203" formatCode="0.0000">
                  <c:v>1.7404489671515873</c:v>
                </c:pt>
                <c:pt idx="204" formatCode="0.0000">
                  <c:v>1.8065119261458136</c:v>
                </c:pt>
                <c:pt idx="205" formatCode="0.0000">
                  <c:v>1.7996180710864274</c:v>
                </c:pt>
                <c:pt idx="206" formatCode="0.0000">
                  <c:v>1.5935676875462035</c:v>
                </c:pt>
                <c:pt idx="207" formatCode="0.0000">
                  <c:v>1.5865220507976916</c:v>
                </c:pt>
                <c:pt idx="208" formatCode="0.0000">
                  <c:v>1.5692072213511188</c:v>
                </c:pt>
                <c:pt idx="209" formatCode="0.0000">
                  <c:v>1.3592463411095534</c:v>
                </c:pt>
                <c:pt idx="210" formatCode="0.0000">
                  <c:v>1.4014831449536238</c:v>
                </c:pt>
                <c:pt idx="211" formatCode="0.0000">
                  <c:v>1.328517259376834</c:v>
                </c:pt>
                <c:pt idx="212" formatCode="0.0000">
                  <c:v>1.3318618797303299</c:v>
                </c:pt>
                <c:pt idx="213" formatCode="0.0000">
                  <c:v>1.390286760781932</c:v>
                </c:pt>
                <c:pt idx="214" formatCode="0.0000">
                  <c:v>1.3916822125499662</c:v>
                </c:pt>
                <c:pt idx="215" formatCode="0.0000">
                  <c:v>1.394413154114398</c:v>
                </c:pt>
                <c:pt idx="216" formatCode="0.0000">
                  <c:v>1.4546027560876402</c:v>
                </c:pt>
                <c:pt idx="217" formatCode="0.0000">
                  <c:v>1.4715661227912007</c:v>
                </c:pt>
                <c:pt idx="218" formatCode="0.0000">
                  <c:v>1.58105924622495</c:v>
                </c:pt>
                <c:pt idx="219" formatCode="0.0000">
                  <c:v>1.6650176131656449</c:v>
                </c:pt>
                <c:pt idx="220" formatCode="0.0000">
                  <c:v>1.7608216496013314</c:v>
                </c:pt>
                <c:pt idx="221" formatCode="0.0000">
                  <c:v>1.8410734638323742</c:v>
                </c:pt>
                <c:pt idx="222" formatCode="0.0000">
                  <c:v>1.8654136729739308</c:v>
                </c:pt>
                <c:pt idx="223" formatCode="0.0000">
                  <c:v>1.9043854311161925</c:v>
                </c:pt>
                <c:pt idx="224" formatCode="0.0000">
                  <c:v>1.8980144575429254</c:v>
                </c:pt>
                <c:pt idx="225" formatCode="0.0000">
                  <c:v>1.8375475959585423</c:v>
                </c:pt>
                <c:pt idx="226" formatCode="0.0000">
                  <c:v>1.878976371397632</c:v>
                </c:pt>
                <c:pt idx="227" formatCode="0.0000">
                  <c:v>1.805780324814283</c:v>
                </c:pt>
                <c:pt idx="228" formatCode="0.0000">
                  <c:v>1.7861523535489776</c:v>
                </c:pt>
                <c:pt idx="229" formatCode="0.0000">
                  <c:v>1.7629492936593769</c:v>
                </c:pt>
                <c:pt idx="230" formatCode="0.0000">
                  <c:v>1.7554464925862734</c:v>
                </c:pt>
                <c:pt idx="231" formatCode="0.0000">
                  <c:v>1.7313379770631629</c:v>
                </c:pt>
                <c:pt idx="232" formatCode="0.0000">
                  <c:v>1.6955852187247802</c:v>
                </c:pt>
                <c:pt idx="233" formatCode="0.0000">
                  <c:v>1.5724966274840815</c:v>
                </c:pt>
                <c:pt idx="234" formatCode="0.0000">
                  <c:v>1.4949553685561408</c:v>
                </c:pt>
                <c:pt idx="235" formatCode="0.0000">
                  <c:v>1.4212851331346423</c:v>
                </c:pt>
                <c:pt idx="236" formatCode="0.0000">
                  <c:v>1.4084579446079821</c:v>
                </c:pt>
                <c:pt idx="237" formatCode="0.0000">
                  <c:v>1.3436550541849972</c:v>
                </c:pt>
                <c:pt idx="238" formatCode="0.0000">
                  <c:v>1.4571006674516198</c:v>
                </c:pt>
                <c:pt idx="239" formatCode="0.0000">
                  <c:v>1.6034923734543267</c:v>
                </c:pt>
                <c:pt idx="240" formatCode="0.0000">
                  <c:v>1.6443996550206446</c:v>
                </c:pt>
                <c:pt idx="241" formatCode="0.0000">
                  <c:v>1.6563532015155247</c:v>
                </c:pt>
                <c:pt idx="242" formatCode="0.0000">
                  <c:v>1.637102240313119</c:v>
                </c:pt>
                <c:pt idx="243" formatCode="0.0000">
                  <c:v>1.6584694336214423</c:v>
                </c:pt>
                <c:pt idx="244" formatCode="0.0000">
                  <c:v>1.6461922356488987</c:v>
                </c:pt>
                <c:pt idx="245" formatCode="0.0000">
                  <c:v>1.4777025881847297</c:v>
                </c:pt>
                <c:pt idx="246" formatCode="0.0000">
                  <c:v>1.3463480313486473</c:v>
                </c:pt>
                <c:pt idx="247" formatCode="0.0000">
                  <c:v>1.2613542638990829</c:v>
                </c:pt>
                <c:pt idx="248" formatCode="0.0000">
                  <c:v>1.2190036473600332</c:v>
                </c:pt>
                <c:pt idx="249" formatCode="0.0000">
                  <c:v>1.1628706254671823</c:v>
                </c:pt>
                <c:pt idx="250" formatCode="0.0000">
                  <c:v>1.1247857870936406</c:v>
                </c:pt>
                <c:pt idx="251" formatCode="0.0000">
                  <c:v>1.1185286482729246</c:v>
                </c:pt>
                <c:pt idx="252" formatCode="0.0000">
                  <c:v>1.13414345764001</c:v>
                </c:pt>
                <c:pt idx="253" formatCode="0.0000">
                  <c:v>1.076787235001015</c:v>
                </c:pt>
                <c:pt idx="254" formatCode="0.0000">
                  <c:v>1.0447712176535024</c:v>
                </c:pt>
                <c:pt idx="255" formatCode="0.0000">
                  <c:v>1.0340618807436488</c:v>
                </c:pt>
                <c:pt idx="256" formatCode="0.0000">
                  <c:v>1.022784238618774</c:v>
                </c:pt>
                <c:pt idx="257" formatCode="0.0000">
                  <c:v>1.0009910096870163</c:v>
                </c:pt>
                <c:pt idx="258" formatCode="0.0000">
                  <c:v>0.98257580430702374</c:v>
                </c:pt>
                <c:pt idx="259" formatCode="0.0000">
                  <c:v>0.95398127882813555</c:v>
                </c:pt>
                <c:pt idx="260" formatCode="0.0000">
                  <c:v>0.93052991528976448</c:v>
                </c:pt>
                <c:pt idx="261" formatCode="0.0000">
                  <c:v>0.91595164787140093</c:v>
                </c:pt>
                <c:pt idx="262" formatCode="0.0000">
                  <c:v>0.92056560111939423</c:v>
                </c:pt>
                <c:pt idx="263" formatCode="0.0000">
                  <c:v>0.94097146786663555</c:v>
                </c:pt>
                <c:pt idx="264" formatCode="0.0000">
                  <c:v>0.92318493547990932</c:v>
                </c:pt>
                <c:pt idx="265" formatCode="0.0000">
                  <c:v>0.91307311396878921</c:v>
                </c:pt>
                <c:pt idx="266" formatCode="0.0000">
                  <c:v>0.86396304598414464</c:v>
                </c:pt>
                <c:pt idx="267" formatCode="0.0000">
                  <c:v>0.86496300374649437</c:v>
                </c:pt>
                <c:pt idx="268" formatCode="0.0000">
                  <c:v>0.86245313520125211</c:v>
                </c:pt>
                <c:pt idx="269" formatCode="0.0000">
                  <c:v>0.82813404094104903</c:v>
                </c:pt>
                <c:pt idx="270" formatCode="0.0000">
                  <c:v>0.74537775161192854</c:v>
                </c:pt>
                <c:pt idx="271" formatCode="0.0000">
                  <c:v>0.74044685382526065</c:v>
                </c:pt>
                <c:pt idx="272" formatCode="0.0000">
                  <c:v>0.6960409946520304</c:v>
                </c:pt>
                <c:pt idx="273" formatCode="0.0000">
                  <c:v>0.72725750936093425</c:v>
                </c:pt>
                <c:pt idx="274" formatCode="0.0000">
                  <c:v>0.76756506196201968</c:v>
                </c:pt>
                <c:pt idx="275" formatCode="0.0000">
                  <c:v>0.77152428921462946</c:v>
                </c:pt>
                <c:pt idx="276" formatCode="0.0000">
                  <c:v>0.79129625397744008</c:v>
                </c:pt>
                <c:pt idx="277" formatCode="0.0000">
                  <c:v>0.84927827743945772</c:v>
                </c:pt>
                <c:pt idx="278" formatCode="0.0000">
                  <c:v>0.82473486453210343</c:v>
                </c:pt>
                <c:pt idx="279" formatCode="0.0000">
                  <c:v>0.8122975737861805</c:v>
                </c:pt>
                <c:pt idx="280" formatCode="0.0000">
                  <c:v>0.82303975424585851</c:v>
                </c:pt>
                <c:pt idx="281" formatCode="0.0000">
                  <c:v>0.81901226982031805</c:v>
                </c:pt>
                <c:pt idx="282" formatCode="0.0000">
                  <c:v>0.84325159163869223</c:v>
                </c:pt>
                <c:pt idx="283" formatCode="0.0000">
                  <c:v>0.85486395923714198</c:v>
                </c:pt>
                <c:pt idx="284" formatCode="0.0000">
                  <c:v>0.84118351773852418</c:v>
                </c:pt>
                <c:pt idx="285" formatCode="0.0000">
                  <c:v>0.8593942859693785</c:v>
                </c:pt>
                <c:pt idx="286" formatCode="0.0000">
                  <c:v>0.85644748870870335</c:v>
                </c:pt>
                <c:pt idx="287" formatCode="0.0000">
                  <c:v>0.8482468653335028</c:v>
                </c:pt>
                <c:pt idx="288" formatCode="0.0000">
                  <c:v>0.90359732136020932</c:v>
                </c:pt>
                <c:pt idx="289" formatCode="0.0000">
                  <c:v>0.9018243667044159</c:v>
                </c:pt>
                <c:pt idx="290" formatCode="0.0000">
                  <c:v>0.88193948042798032</c:v>
                </c:pt>
                <c:pt idx="291" formatCode="0.0000">
                  <c:v>0.91353137537567231</c:v>
                </c:pt>
                <c:pt idx="292" formatCode="0.0000">
                  <c:v>0.89868759302440304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ED6-4938-A6B4-A05FA1047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375932"/>
        <c:axId val="1256872257"/>
      </c:lineChart>
      <c:lineChart>
        <c:grouping val="standard"/>
        <c:varyColors val="0"/>
        <c:ser>
          <c:idx val="1"/>
          <c:order val="1"/>
          <c:tx>
            <c:strRef>
              <c:f>'R(t) Województwa'!$AH$2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Województwa'!$AH$3:$AH$1000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0.14285714285714285</c:v>
                </c:pt>
                <c:pt idx="9">
                  <c:v>0.2857142857142857</c:v>
                </c:pt>
                <c:pt idx="10">
                  <c:v>0.7142857142857143</c:v>
                </c:pt>
                <c:pt idx="11">
                  <c:v>2.1428571428571428</c:v>
                </c:pt>
                <c:pt idx="12">
                  <c:v>2.7142857142857144</c:v>
                </c:pt>
                <c:pt idx="13">
                  <c:v>4.4285714285714288</c:v>
                </c:pt>
                <c:pt idx="14">
                  <c:v>6</c:v>
                </c:pt>
                <c:pt idx="15">
                  <c:v>5.8571428571428568</c:v>
                </c:pt>
                <c:pt idx="16">
                  <c:v>6.5714285714285712</c:v>
                </c:pt>
                <c:pt idx="17">
                  <c:v>7.4285714285714288</c:v>
                </c:pt>
                <c:pt idx="18">
                  <c:v>10.857142857142858</c:v>
                </c:pt>
                <c:pt idx="19">
                  <c:v>12.428571428571429</c:v>
                </c:pt>
                <c:pt idx="20">
                  <c:v>11.428571428571429</c:v>
                </c:pt>
                <c:pt idx="21">
                  <c:v>12.428571428571429</c:v>
                </c:pt>
                <c:pt idx="22">
                  <c:v>14.571428571428571</c:v>
                </c:pt>
                <c:pt idx="23">
                  <c:v>15.714285714285714</c:v>
                </c:pt>
                <c:pt idx="24">
                  <c:v>15.857142857142858</c:v>
                </c:pt>
                <c:pt idx="25">
                  <c:v>13</c:v>
                </c:pt>
                <c:pt idx="26">
                  <c:v>12</c:v>
                </c:pt>
                <c:pt idx="27">
                  <c:v>13</c:v>
                </c:pt>
                <c:pt idx="28">
                  <c:v>11.285714285714286</c:v>
                </c:pt>
                <c:pt idx="29">
                  <c:v>11</c:v>
                </c:pt>
                <c:pt idx="30">
                  <c:v>11.142857142857142</c:v>
                </c:pt>
                <c:pt idx="31">
                  <c:v>11.428571428571429</c:v>
                </c:pt>
                <c:pt idx="32">
                  <c:v>11</c:v>
                </c:pt>
                <c:pt idx="33">
                  <c:v>19.428571428571427</c:v>
                </c:pt>
                <c:pt idx="34">
                  <c:v>19.714285714285715</c:v>
                </c:pt>
                <c:pt idx="35">
                  <c:v>21.428571428571427</c:v>
                </c:pt>
                <c:pt idx="36">
                  <c:v>25.571428571428573</c:v>
                </c:pt>
                <c:pt idx="37">
                  <c:v>28</c:v>
                </c:pt>
                <c:pt idx="38">
                  <c:v>30.714285714285715</c:v>
                </c:pt>
                <c:pt idx="39">
                  <c:v>33.285714285714285</c:v>
                </c:pt>
                <c:pt idx="40">
                  <c:v>29</c:v>
                </c:pt>
                <c:pt idx="41">
                  <c:v>30.142857142857142</c:v>
                </c:pt>
                <c:pt idx="42">
                  <c:v>29.857142857142858</c:v>
                </c:pt>
                <c:pt idx="43">
                  <c:v>24.571428571428573</c:v>
                </c:pt>
                <c:pt idx="44">
                  <c:v>22.571428571428573</c:v>
                </c:pt>
                <c:pt idx="45">
                  <c:v>20.571428571428573</c:v>
                </c:pt>
                <c:pt idx="46">
                  <c:v>21.142857142857142</c:v>
                </c:pt>
                <c:pt idx="47">
                  <c:v>18.714285714285715</c:v>
                </c:pt>
                <c:pt idx="48">
                  <c:v>18.714285714285715</c:v>
                </c:pt>
                <c:pt idx="49">
                  <c:v>18.285714285714285</c:v>
                </c:pt>
                <c:pt idx="50">
                  <c:v>27.571428571428573</c:v>
                </c:pt>
                <c:pt idx="51">
                  <c:v>27.285714285714285</c:v>
                </c:pt>
                <c:pt idx="52">
                  <c:v>29.428571428571427</c:v>
                </c:pt>
                <c:pt idx="53">
                  <c:v>28</c:v>
                </c:pt>
                <c:pt idx="54">
                  <c:v>27.857142857142858</c:v>
                </c:pt>
                <c:pt idx="55">
                  <c:v>29.714285714285715</c:v>
                </c:pt>
                <c:pt idx="56">
                  <c:v>29.857142857142858</c:v>
                </c:pt>
                <c:pt idx="57">
                  <c:v>24.428571428571427</c:v>
                </c:pt>
                <c:pt idx="58">
                  <c:v>24.714285714285715</c:v>
                </c:pt>
                <c:pt idx="59">
                  <c:v>22.714285714285715</c:v>
                </c:pt>
                <c:pt idx="60">
                  <c:v>24.285714285714285</c:v>
                </c:pt>
                <c:pt idx="61">
                  <c:v>27.714285714285715</c:v>
                </c:pt>
                <c:pt idx="62">
                  <c:v>25.428571428571427</c:v>
                </c:pt>
                <c:pt idx="63">
                  <c:v>23.857142857142858</c:v>
                </c:pt>
                <c:pt idx="64">
                  <c:v>23.142857142857142</c:v>
                </c:pt>
                <c:pt idx="65">
                  <c:v>26</c:v>
                </c:pt>
                <c:pt idx="66">
                  <c:v>25</c:v>
                </c:pt>
                <c:pt idx="67">
                  <c:v>22.428571428571427</c:v>
                </c:pt>
                <c:pt idx="68">
                  <c:v>18</c:v>
                </c:pt>
                <c:pt idx="69">
                  <c:v>16.714285714285715</c:v>
                </c:pt>
                <c:pt idx="70">
                  <c:v>18.142857142857142</c:v>
                </c:pt>
                <c:pt idx="71">
                  <c:v>15.857142857142858</c:v>
                </c:pt>
                <c:pt idx="72">
                  <c:v>11.428571428571429</c:v>
                </c:pt>
                <c:pt idx="73">
                  <c:v>11</c:v>
                </c:pt>
                <c:pt idx="74">
                  <c:v>9.7142857142857135</c:v>
                </c:pt>
                <c:pt idx="75">
                  <c:v>8.8571428571428577</c:v>
                </c:pt>
                <c:pt idx="76">
                  <c:v>9</c:v>
                </c:pt>
                <c:pt idx="77">
                  <c:v>8</c:v>
                </c:pt>
                <c:pt idx="78">
                  <c:v>8.7142857142857135</c:v>
                </c:pt>
                <c:pt idx="79">
                  <c:v>8.5714285714285712</c:v>
                </c:pt>
                <c:pt idx="80">
                  <c:v>12.142857142857142</c:v>
                </c:pt>
                <c:pt idx="81">
                  <c:v>12.857142857142858</c:v>
                </c:pt>
                <c:pt idx="82">
                  <c:v>15.285714285714286</c:v>
                </c:pt>
                <c:pt idx="83">
                  <c:v>15.857142857142858</c:v>
                </c:pt>
                <c:pt idx="84">
                  <c:v>18.142857142857142</c:v>
                </c:pt>
                <c:pt idx="85">
                  <c:v>19.857142857142858</c:v>
                </c:pt>
                <c:pt idx="86">
                  <c:v>25.571428571428573</c:v>
                </c:pt>
                <c:pt idx="87">
                  <c:v>25.142857142857142</c:v>
                </c:pt>
                <c:pt idx="88">
                  <c:v>28.428571428571427</c:v>
                </c:pt>
                <c:pt idx="89">
                  <c:v>29.428571428571427</c:v>
                </c:pt>
                <c:pt idx="90">
                  <c:v>34.714285714285715</c:v>
                </c:pt>
                <c:pt idx="91">
                  <c:v>32.714285714285715</c:v>
                </c:pt>
                <c:pt idx="92">
                  <c:v>36.428571428571431</c:v>
                </c:pt>
                <c:pt idx="93">
                  <c:v>45.857142857142854</c:v>
                </c:pt>
                <c:pt idx="94">
                  <c:v>48.285714285714285</c:v>
                </c:pt>
                <c:pt idx="95">
                  <c:v>52.142857142857146</c:v>
                </c:pt>
                <c:pt idx="96">
                  <c:v>64.857142857142861</c:v>
                </c:pt>
                <c:pt idx="97">
                  <c:v>68.428571428571431</c:v>
                </c:pt>
                <c:pt idx="98">
                  <c:v>73.714285714285708</c:v>
                </c:pt>
                <c:pt idx="99">
                  <c:v>71.428571428571431</c:v>
                </c:pt>
                <c:pt idx="100">
                  <c:v>65.857142857142861</c:v>
                </c:pt>
                <c:pt idx="101">
                  <c:v>72</c:v>
                </c:pt>
                <c:pt idx="102">
                  <c:v>68.428571428571431</c:v>
                </c:pt>
                <c:pt idx="103">
                  <c:v>57</c:v>
                </c:pt>
                <c:pt idx="104">
                  <c:v>56.428571428571431</c:v>
                </c:pt>
                <c:pt idx="105">
                  <c:v>58.857142857142854</c:v>
                </c:pt>
                <c:pt idx="106">
                  <c:v>62.571428571428569</c:v>
                </c:pt>
                <c:pt idx="107">
                  <c:v>62.857142857142854</c:v>
                </c:pt>
                <c:pt idx="108">
                  <c:v>59</c:v>
                </c:pt>
                <c:pt idx="109">
                  <c:v>60</c:v>
                </c:pt>
                <c:pt idx="110">
                  <c:v>60.571428571428569</c:v>
                </c:pt>
                <c:pt idx="111">
                  <c:v>57</c:v>
                </c:pt>
                <c:pt idx="112">
                  <c:v>53.857142857142854</c:v>
                </c:pt>
                <c:pt idx="113">
                  <c:v>50.285714285714285</c:v>
                </c:pt>
                <c:pt idx="114">
                  <c:v>44.428571428571431</c:v>
                </c:pt>
                <c:pt idx="115">
                  <c:v>38.285714285714285</c:v>
                </c:pt>
                <c:pt idx="116">
                  <c:v>39</c:v>
                </c:pt>
                <c:pt idx="117">
                  <c:v>36.571428571428569</c:v>
                </c:pt>
                <c:pt idx="118">
                  <c:v>32.714285714285715</c:v>
                </c:pt>
                <c:pt idx="119">
                  <c:v>29.428571428571427</c:v>
                </c:pt>
                <c:pt idx="120">
                  <c:v>25.285714285714285</c:v>
                </c:pt>
                <c:pt idx="121">
                  <c:v>27.857142857142858</c:v>
                </c:pt>
                <c:pt idx="122">
                  <c:v>28.428571428571427</c:v>
                </c:pt>
                <c:pt idx="123">
                  <c:v>24.428571428571427</c:v>
                </c:pt>
                <c:pt idx="124">
                  <c:v>23</c:v>
                </c:pt>
                <c:pt idx="125">
                  <c:v>24.428571428571427</c:v>
                </c:pt>
                <c:pt idx="126">
                  <c:v>23.285714285714285</c:v>
                </c:pt>
                <c:pt idx="127">
                  <c:v>26.428571428571427</c:v>
                </c:pt>
                <c:pt idx="128">
                  <c:v>22.142857142857142</c:v>
                </c:pt>
                <c:pt idx="129">
                  <c:v>21</c:v>
                </c:pt>
                <c:pt idx="130">
                  <c:v>22.857142857142858</c:v>
                </c:pt>
                <c:pt idx="131">
                  <c:v>24.714285714285715</c:v>
                </c:pt>
                <c:pt idx="132">
                  <c:v>22.857142857142858</c:v>
                </c:pt>
                <c:pt idx="133">
                  <c:v>24.285714285714285</c:v>
                </c:pt>
                <c:pt idx="134">
                  <c:v>24.142857142857142</c:v>
                </c:pt>
                <c:pt idx="135">
                  <c:v>26.428571428571427</c:v>
                </c:pt>
                <c:pt idx="136">
                  <c:v>28.428571428571427</c:v>
                </c:pt>
                <c:pt idx="137">
                  <c:v>26.714285714285715</c:v>
                </c:pt>
                <c:pt idx="138">
                  <c:v>27.714285714285715</c:v>
                </c:pt>
                <c:pt idx="139">
                  <c:v>27.428571428571427</c:v>
                </c:pt>
                <c:pt idx="140">
                  <c:v>28.571428571428573</c:v>
                </c:pt>
                <c:pt idx="141">
                  <c:v>28.857142857142858</c:v>
                </c:pt>
                <c:pt idx="142">
                  <c:v>28.142857142857142</c:v>
                </c:pt>
                <c:pt idx="143">
                  <c:v>28</c:v>
                </c:pt>
                <c:pt idx="144">
                  <c:v>29.428571428571427</c:v>
                </c:pt>
                <c:pt idx="145">
                  <c:v>27.428571428571427</c:v>
                </c:pt>
                <c:pt idx="146">
                  <c:v>27.714285714285715</c:v>
                </c:pt>
                <c:pt idx="147">
                  <c:v>28</c:v>
                </c:pt>
                <c:pt idx="148">
                  <c:v>27.571428571428573</c:v>
                </c:pt>
                <c:pt idx="149">
                  <c:v>32.428571428571431</c:v>
                </c:pt>
                <c:pt idx="150">
                  <c:v>32.571428571428569</c:v>
                </c:pt>
                <c:pt idx="151">
                  <c:v>34</c:v>
                </c:pt>
                <c:pt idx="152">
                  <c:v>32.714285714285715</c:v>
                </c:pt>
                <c:pt idx="153">
                  <c:v>33</c:v>
                </c:pt>
                <c:pt idx="154">
                  <c:v>34.428571428571431</c:v>
                </c:pt>
                <c:pt idx="155">
                  <c:v>35.428571428571431</c:v>
                </c:pt>
                <c:pt idx="156">
                  <c:v>31.428571428571427</c:v>
                </c:pt>
                <c:pt idx="157">
                  <c:v>33.714285714285715</c:v>
                </c:pt>
                <c:pt idx="158">
                  <c:v>32.142857142857146</c:v>
                </c:pt>
                <c:pt idx="159">
                  <c:v>33.428571428571431</c:v>
                </c:pt>
                <c:pt idx="160">
                  <c:v>35</c:v>
                </c:pt>
                <c:pt idx="161">
                  <c:v>36.714285714285715</c:v>
                </c:pt>
                <c:pt idx="162">
                  <c:v>37.571428571428569</c:v>
                </c:pt>
                <c:pt idx="163">
                  <c:v>37.571428571428569</c:v>
                </c:pt>
                <c:pt idx="164">
                  <c:v>38.714285714285715</c:v>
                </c:pt>
                <c:pt idx="165">
                  <c:v>40.285714285714285</c:v>
                </c:pt>
                <c:pt idx="166">
                  <c:v>47.142857142857146</c:v>
                </c:pt>
                <c:pt idx="167">
                  <c:v>49</c:v>
                </c:pt>
                <c:pt idx="168">
                  <c:v>48.571428571428569</c:v>
                </c:pt>
                <c:pt idx="169">
                  <c:v>46.857142857142854</c:v>
                </c:pt>
                <c:pt idx="170">
                  <c:v>47.571428571428569</c:v>
                </c:pt>
                <c:pt idx="171">
                  <c:v>46.857142857142854</c:v>
                </c:pt>
                <c:pt idx="172">
                  <c:v>51.285714285714285</c:v>
                </c:pt>
                <c:pt idx="173">
                  <c:v>50.857142857142854</c:v>
                </c:pt>
                <c:pt idx="174">
                  <c:v>54.714285714285715</c:v>
                </c:pt>
                <c:pt idx="175">
                  <c:v>55</c:v>
                </c:pt>
                <c:pt idx="176">
                  <c:v>55.428571428571431</c:v>
                </c:pt>
                <c:pt idx="177">
                  <c:v>55.857142857142854</c:v>
                </c:pt>
                <c:pt idx="178">
                  <c:v>54.428571428571431</c:v>
                </c:pt>
                <c:pt idx="179">
                  <c:v>48.857142857142854</c:v>
                </c:pt>
                <c:pt idx="180">
                  <c:v>44</c:v>
                </c:pt>
                <c:pt idx="181">
                  <c:v>38.428571428571431</c:v>
                </c:pt>
                <c:pt idx="182">
                  <c:v>35.714285714285715</c:v>
                </c:pt>
                <c:pt idx="183">
                  <c:v>35.714285714285715</c:v>
                </c:pt>
                <c:pt idx="184">
                  <c:v>35.857142857142854</c:v>
                </c:pt>
                <c:pt idx="185">
                  <c:v>36.428571428571431</c:v>
                </c:pt>
                <c:pt idx="186">
                  <c:v>36</c:v>
                </c:pt>
                <c:pt idx="187">
                  <c:v>34.142857142857146</c:v>
                </c:pt>
                <c:pt idx="188">
                  <c:v>30.714285714285715</c:v>
                </c:pt>
                <c:pt idx="189">
                  <c:v>28</c:v>
                </c:pt>
                <c:pt idx="190">
                  <c:v>24.857142857142858</c:v>
                </c:pt>
                <c:pt idx="191">
                  <c:v>19.857142857142858</c:v>
                </c:pt>
                <c:pt idx="192">
                  <c:v>17.714285714285715</c:v>
                </c:pt>
                <c:pt idx="193">
                  <c:v>18.571428571428573</c:v>
                </c:pt>
                <c:pt idx="194">
                  <c:v>18.285714285714285</c:v>
                </c:pt>
                <c:pt idx="195">
                  <c:v>20.571428571428573</c:v>
                </c:pt>
                <c:pt idx="196">
                  <c:v>21.285714285714285</c:v>
                </c:pt>
                <c:pt idx="197">
                  <c:v>24</c:v>
                </c:pt>
                <c:pt idx="198">
                  <c:v>28</c:v>
                </c:pt>
                <c:pt idx="199">
                  <c:v>35</c:v>
                </c:pt>
                <c:pt idx="200">
                  <c:v>38.428571428571431</c:v>
                </c:pt>
                <c:pt idx="201">
                  <c:v>43.571428571428569</c:v>
                </c:pt>
                <c:pt idx="202">
                  <c:v>53.428571428571431</c:v>
                </c:pt>
                <c:pt idx="203">
                  <c:v>58.285714285714285</c:v>
                </c:pt>
                <c:pt idx="204">
                  <c:v>65.857142857142861</c:v>
                </c:pt>
                <c:pt idx="205">
                  <c:v>72</c:v>
                </c:pt>
                <c:pt idx="206">
                  <c:v>72.142857142857139</c:v>
                </c:pt>
                <c:pt idx="207">
                  <c:v>78.285714285714292</c:v>
                </c:pt>
                <c:pt idx="208">
                  <c:v>82.857142857142861</c:v>
                </c:pt>
                <c:pt idx="209">
                  <c:v>77.714285714285708</c:v>
                </c:pt>
                <c:pt idx="210">
                  <c:v>83.571428571428569</c:v>
                </c:pt>
                <c:pt idx="211">
                  <c:v>84</c:v>
                </c:pt>
                <c:pt idx="212">
                  <c:v>88.714285714285708</c:v>
                </c:pt>
                <c:pt idx="213">
                  <c:v>97.571428571428569</c:v>
                </c:pt>
                <c:pt idx="214">
                  <c:v>104.42857142857143</c:v>
                </c:pt>
                <c:pt idx="215">
                  <c:v>110.28571428571429</c:v>
                </c:pt>
                <c:pt idx="216">
                  <c:v>120.14285714285714</c:v>
                </c:pt>
                <c:pt idx="217">
                  <c:v>129.14285714285714</c:v>
                </c:pt>
                <c:pt idx="218">
                  <c:v>148.57142857142858</c:v>
                </c:pt>
                <c:pt idx="219">
                  <c:v>171.71428571428572</c:v>
                </c:pt>
                <c:pt idx="220">
                  <c:v>203.57142857142858</c:v>
                </c:pt>
                <c:pt idx="221">
                  <c:v>240.57142857142858</c:v>
                </c:pt>
                <c:pt idx="222">
                  <c:v>267.28571428571428</c:v>
                </c:pt>
                <c:pt idx="223">
                  <c:v>298.42857142857144</c:v>
                </c:pt>
                <c:pt idx="224">
                  <c:v>326.14285714285717</c:v>
                </c:pt>
                <c:pt idx="225">
                  <c:v>352.14285714285717</c:v>
                </c:pt>
                <c:pt idx="226">
                  <c:v>411</c:v>
                </c:pt>
                <c:pt idx="227">
                  <c:v>451.71428571428572</c:v>
                </c:pt>
                <c:pt idx="228">
                  <c:v>510.28571428571428</c:v>
                </c:pt>
                <c:pt idx="229">
                  <c:v>548.85714285714289</c:v>
                </c:pt>
                <c:pt idx="230">
                  <c:v>596.71428571428567</c:v>
                </c:pt>
                <c:pt idx="231">
                  <c:v>636.14285714285711</c:v>
                </c:pt>
                <c:pt idx="232">
                  <c:v>674.71428571428567</c:v>
                </c:pt>
                <c:pt idx="233">
                  <c:v>699.28571428571433</c:v>
                </c:pt>
                <c:pt idx="234">
                  <c:v>721</c:v>
                </c:pt>
                <c:pt idx="235">
                  <c:v>746.71428571428567</c:v>
                </c:pt>
                <c:pt idx="236">
                  <c:v>780.14285714285711</c:v>
                </c:pt>
                <c:pt idx="237">
                  <c:v>782.42857142857144</c:v>
                </c:pt>
                <c:pt idx="238">
                  <c:v>896.14285714285711</c:v>
                </c:pt>
                <c:pt idx="239">
                  <c:v>1065.4285714285713</c:v>
                </c:pt>
                <c:pt idx="240">
                  <c:v>1198.4285714285713</c:v>
                </c:pt>
                <c:pt idx="241">
                  <c:v>1306.1428571428571</c:v>
                </c:pt>
                <c:pt idx="242">
                  <c:v>1406</c:v>
                </c:pt>
                <c:pt idx="243">
                  <c:v>1527.7142857142858</c:v>
                </c:pt>
                <c:pt idx="244">
                  <c:v>1597</c:v>
                </c:pt>
                <c:pt idx="245">
                  <c:v>1552.5714285714287</c:v>
                </c:pt>
                <c:pt idx="246">
                  <c:v>1539.1428571428571</c:v>
                </c:pt>
                <c:pt idx="247">
                  <c:v>1527.5714285714287</c:v>
                </c:pt>
                <c:pt idx="248">
                  <c:v>1533.1428571428571</c:v>
                </c:pt>
                <c:pt idx="249">
                  <c:v>1511.5714285714287</c:v>
                </c:pt>
                <c:pt idx="250">
                  <c:v>1498.1428571428571</c:v>
                </c:pt>
                <c:pt idx="251">
                  <c:v>1510.8571428571429</c:v>
                </c:pt>
                <c:pt idx="252">
                  <c:v>1552.4285714285713</c:v>
                </c:pt>
                <c:pt idx="253">
                  <c:v>1506.2857142857142</c:v>
                </c:pt>
                <c:pt idx="254">
                  <c:v>1479.8571428571429</c:v>
                </c:pt>
                <c:pt idx="255">
                  <c:v>1474.7142857142858</c:v>
                </c:pt>
                <c:pt idx="256">
                  <c:v>1465.8571428571429</c:v>
                </c:pt>
                <c:pt idx="257">
                  <c:v>1439.1428571428571</c:v>
                </c:pt>
                <c:pt idx="258">
                  <c:v>1412.5714285714287</c:v>
                </c:pt>
                <c:pt idx="259">
                  <c:v>1369</c:v>
                </c:pt>
                <c:pt idx="260">
                  <c:v>1327.7142857142858</c:v>
                </c:pt>
                <c:pt idx="261">
                  <c:v>1293.4285714285713</c:v>
                </c:pt>
                <c:pt idx="262">
                  <c:v>1281.2857142857142</c:v>
                </c:pt>
                <c:pt idx="263">
                  <c:v>1292.1428571428571</c:v>
                </c:pt>
                <c:pt idx="264">
                  <c:v>1256</c:v>
                </c:pt>
                <c:pt idx="265">
                  <c:v>1230.7142857142858</c:v>
                </c:pt>
                <c:pt idx="266">
                  <c:v>1154.5714285714287</c:v>
                </c:pt>
                <c:pt idx="267">
                  <c:v>1134</c:v>
                </c:pt>
                <c:pt idx="268">
                  <c:v>1107</c:v>
                </c:pt>
                <c:pt idx="269">
                  <c:v>1039.7142857142858</c:v>
                </c:pt>
                <c:pt idx="270">
                  <c:v>910.42857142857144</c:v>
                </c:pt>
                <c:pt idx="271">
                  <c:v>867.85714285714289</c:v>
                </c:pt>
                <c:pt idx="272">
                  <c:v>792</c:v>
                </c:pt>
                <c:pt idx="273">
                  <c:v>799.42857142857144</c:v>
                </c:pt>
                <c:pt idx="274">
                  <c:v>799.85714285714289</c:v>
                </c:pt>
                <c:pt idx="275">
                  <c:v>769.85714285714289</c:v>
                </c:pt>
                <c:pt idx="276">
                  <c:v>757.57142857142856</c:v>
                </c:pt>
                <c:pt idx="277">
                  <c:v>791.71428571428567</c:v>
                </c:pt>
                <c:pt idx="278">
                  <c:v>752.14285714285711</c:v>
                </c:pt>
                <c:pt idx="279">
                  <c:v>732.57142857142856</c:v>
                </c:pt>
                <c:pt idx="280">
                  <c:v>725.14285714285711</c:v>
                </c:pt>
                <c:pt idx="281">
                  <c:v>697.71428571428567</c:v>
                </c:pt>
                <c:pt idx="282">
                  <c:v>694</c:v>
                </c:pt>
                <c:pt idx="283">
                  <c:v>683</c:v>
                </c:pt>
                <c:pt idx="284">
                  <c:v>654.14285714285711</c:v>
                </c:pt>
                <c:pt idx="285">
                  <c:v>655.71428571428567</c:v>
                </c:pt>
                <c:pt idx="286">
                  <c:v>648.85714285714289</c:v>
                </c:pt>
                <c:pt idx="287">
                  <c:v>632.14285714285711</c:v>
                </c:pt>
                <c:pt idx="288">
                  <c:v>649.57142857142856</c:v>
                </c:pt>
                <c:pt idx="289">
                  <c:v>635.85714285714289</c:v>
                </c:pt>
                <c:pt idx="290">
                  <c:v>609.85714285714289</c:v>
                </c:pt>
                <c:pt idx="291">
                  <c:v>619.42857142857144</c:v>
                </c:pt>
                <c:pt idx="292">
                  <c:v>601.57142857142856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ED6-4938-A6B4-A05FA1047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3281301"/>
        <c:axId val="375478742"/>
      </c:lineChart>
      <c:dateAx>
        <c:axId val="1793759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256872257"/>
        <c:crosses val="autoZero"/>
        <c:auto val="1"/>
        <c:lblOffset val="100"/>
        <c:baseTimeUnit val="days"/>
      </c:dateAx>
      <c:valAx>
        <c:axId val="1256872257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79375932"/>
        <c:crosses val="autoZero"/>
        <c:crossBetween val="between"/>
      </c:valAx>
      <c:dateAx>
        <c:axId val="793281301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375478742"/>
        <c:crosses val="autoZero"/>
        <c:auto val="1"/>
        <c:lblOffset val="100"/>
        <c:baseTimeUnit val="days"/>
      </c:dateAx>
      <c:valAx>
        <c:axId val="37547874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793281301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Lubuskiego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Województwa'!$AE$2</c:f>
              <c:strCache>
                <c:ptCount val="1"/>
                <c:pt idx="0">
                  <c:v>Lubuskie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Województwa'!$AE$3:$AE$1000</c:f>
              <c:numCache>
                <c:formatCode>General</c:formatCode>
                <c:ptCount val="998"/>
                <c:pt idx="84" formatCode="0.0000">
                  <c:v>0.2587377420165955</c:v>
                </c:pt>
                <c:pt idx="85" formatCode="0.0000">
                  <c:v>0.12936887100829814</c:v>
                </c:pt>
                <c:pt idx="86" formatCode="0.0000">
                  <c:v>0.16127080028749941</c:v>
                </c:pt>
                <c:pt idx="87" formatCode="0.0000">
                  <c:v>0.15258972102471152</c:v>
                </c:pt>
                <c:pt idx="88" formatCode="0.0000">
                  <c:v>0.17990699508364816</c:v>
                </c:pt>
                <c:pt idx="89" formatCode="0.0000">
                  <c:v>0.14992249590304016</c:v>
                </c:pt>
                <c:pt idx="90" formatCode="0.0000">
                  <c:v>0.18214828801659347</c:v>
                </c:pt>
                <c:pt idx="91" formatCode="0.0000">
                  <c:v>0.20408354367219195</c:v>
                </c:pt>
                <c:pt idx="92" formatCode="0.0000">
                  <c:v>0.26837958817453073</c:v>
                </c:pt>
                <c:pt idx="93" formatCode="0.0000">
                  <c:v>0.23622606548225905</c:v>
                </c:pt>
                <c:pt idx="94" formatCode="0.0000">
                  <c:v>0.29955551222134125</c:v>
                </c:pt>
                <c:pt idx="95" formatCode="0.0000">
                  <c:v>0.2582446420328563</c:v>
                </c:pt>
                <c:pt idx="96" formatCode="0.0000">
                  <c:v>0.35943839551597462</c:v>
                </c:pt>
                <c:pt idx="97" formatCode="0.0000">
                  <c:v>0.30579510398770143</c:v>
                </c:pt>
                <c:pt idx="98" formatCode="0.0000">
                  <c:v>0.43168527514045751</c:v>
                </c:pt>
                <c:pt idx="99" formatCode="0.0000">
                  <c:v>0.36738923063811868</c:v>
                </c:pt>
                <c:pt idx="100" formatCode="0.0000">
                  <c:v>0.36738923063811862</c:v>
                </c:pt>
                <c:pt idx="101" formatCode="0.0000">
                  <c:v>0.36644673326028004</c:v>
                </c:pt>
                <c:pt idx="102" formatCode="0.0000">
                  <c:v>0.45226621120445604</c:v>
                </c:pt>
                <c:pt idx="103" formatCode="0.0000">
                  <c:v>0.4420829623309997</c:v>
                </c:pt>
                <c:pt idx="104" formatCode="0.0000">
                  <c:v>0.53807007610491764</c:v>
                </c:pt>
                <c:pt idx="105" formatCode="0.0000">
                  <c:v>0.35328211472276372</c:v>
                </c:pt>
                <c:pt idx="106" formatCode="0.0000">
                  <c:v>1.175724789285816</c:v>
                </c:pt>
                <c:pt idx="107" formatCode="0.0000">
                  <c:v>1.175724789285816</c:v>
                </c:pt>
                <c:pt idx="108" formatCode="0.0000">
                  <c:v>1.0952597708908087</c:v>
                </c:pt>
                <c:pt idx="109" formatCode="0.0000">
                  <c:v>1.2950811357450163</c:v>
                </c:pt>
                <c:pt idx="110" formatCode="0.0000">
                  <c:v>1.2873878977983488</c:v>
                </c:pt>
                <c:pt idx="111" formatCode="0.0000">
                  <c:v>1.2799928088790586</c:v>
                </c:pt>
                <c:pt idx="112" formatCode="0.0000">
                  <c:v>1.2799928088790586</c:v>
                </c:pt>
                <c:pt idx="113" formatCode="0.0000">
                  <c:v>0.45755013431600638</c:v>
                </c:pt>
                <c:pt idx="114" formatCode="0.0000">
                  <c:v>0.5850526634928741</c:v>
                </c:pt>
                <c:pt idx="115" formatCode="0.0000">
                  <c:v>0.71454347404085161</c:v>
                </c:pt>
                <c:pt idx="116" formatCode="0.0000">
                  <c:v>0.69139278293381301</c:v>
                </c:pt>
                <c:pt idx="117" formatCode="0.0000">
                  <c:v>0.60807551627081846</c:v>
                </c:pt>
                <c:pt idx="118" formatCode="0.0000">
                  <c:v>0.51948349141619043</c:v>
                </c:pt>
                <c:pt idx="119" formatCode="0.0000">
                  <c:v>0.83858650035332416</c:v>
                </c:pt>
                <c:pt idx="120" formatCode="0.0000">
                  <c:v>0.83858650035332405</c:v>
                </c:pt>
                <c:pt idx="121" formatCode="0.0000">
                  <c:v>0.71108397117645639</c:v>
                </c:pt>
                <c:pt idx="122" formatCode="0.0000">
                  <c:v>0.58159316062847866</c:v>
                </c:pt>
                <c:pt idx="123" formatCode="0.0000">
                  <c:v>0.31910300893713411</c:v>
                </c:pt>
                <c:pt idx="124" formatCode="0.0000">
                  <c:v>0.31910300893713411</c:v>
                </c:pt>
                <c:pt idx="125" formatCode="0.0000">
                  <c:v>0.61228462992878308</c:v>
                </c:pt>
                <c:pt idx="126" formatCode="0.0000">
                  <c:v>0.29318162099164952</c:v>
                </c:pt>
                <c:pt idx="127" formatCode="0.0000">
                  <c:v>0.29318162099164968</c:v>
                </c:pt>
                <c:pt idx="128" formatCode="0.0000">
                  <c:v>1.3338951835312773</c:v>
                </c:pt>
                <c:pt idx="129" formatCode="0.0000">
                  <c:v>5.903583876111357</c:v>
                </c:pt>
                <c:pt idx="130" formatCode="0.0000">
                  <c:v>6.1056769899606733</c:v>
                </c:pt>
                <c:pt idx="131" formatCode="0.0000">
                  <c:v>7.632008190061577</c:v>
                </c:pt>
                <c:pt idx="132" formatCode="0.0000">
                  <c:v>7.405532910118886</c:v>
                </c:pt>
                <c:pt idx="133" formatCode="0.0000">
                  <c:v>7.4921786629272669</c:v>
                </c:pt>
                <c:pt idx="134" formatCode="0.0000">
                  <c:v>7.6757912895150282</c:v>
                </c:pt>
                <c:pt idx="135" formatCode="0.0000">
                  <c:v>6.6938852084822011</c:v>
                </c:pt>
                <c:pt idx="136" formatCode="0.0000">
                  <c:v>2.3970626155777417</c:v>
                </c:pt>
                <c:pt idx="137" formatCode="0.0000">
                  <c:v>2.2801950936649718</c:v>
                </c:pt>
                <c:pt idx="138" formatCode="0.0000">
                  <c:v>1.130687452773681</c:v>
                </c:pt>
                <c:pt idx="139" formatCode="0.0000">
                  <c:v>1.1861314568932673</c:v>
                </c:pt>
                <c:pt idx="140" formatCode="0.0000">
                  <c:v>1.2117455567952002</c:v>
                </c:pt>
                <c:pt idx="141" formatCode="0.0000">
                  <c:v>1.0796009809608818</c:v>
                </c:pt>
                <c:pt idx="142" formatCode="0.0000">
                  <c:v>1.1482442192163738</c:v>
                </c:pt>
                <c:pt idx="143" formatCode="0.0000">
                  <c:v>1.0048231238062737</c:v>
                </c:pt>
                <c:pt idx="144" formatCode="0.0000">
                  <c:v>1.0216456633137416</c:v>
                </c:pt>
                <c:pt idx="145" formatCode="0.0000">
                  <c:v>0.72081481392659896</c:v>
                </c:pt>
                <c:pt idx="146" formatCode="0.0000">
                  <c:v>0.66381488206368722</c:v>
                </c:pt>
                <c:pt idx="147" formatCode="0.0000">
                  <c:v>0.62219461373844731</c:v>
                </c:pt>
                <c:pt idx="148" formatCode="0.0000">
                  <c:v>0.76107179162702099</c:v>
                </c:pt>
                <c:pt idx="149" formatCode="0.0000">
                  <c:v>0.81533696078521811</c:v>
                </c:pt>
                <c:pt idx="150" formatCode="0.0000">
                  <c:v>0.8783025980722583</c:v>
                </c:pt>
                <c:pt idx="151" formatCode="0.0000">
                  <c:v>0.9262486200836737</c:v>
                </c:pt>
                <c:pt idx="152" formatCode="0.0000">
                  <c:v>0.9991871399519151</c:v>
                </c:pt>
                <c:pt idx="153" formatCode="0.0000">
                  <c:v>1.147860827819674</c:v>
                </c:pt>
                <c:pt idx="154" formatCode="0.0000">
                  <c:v>1.1540116974016754</c:v>
                </c:pt>
                <c:pt idx="155" formatCode="0.0000">
                  <c:v>1.1774453092178858</c:v>
                </c:pt>
                <c:pt idx="156" formatCode="0.0000">
                  <c:v>1.1185733311150126</c:v>
                </c:pt>
                <c:pt idx="157" formatCode="0.0000">
                  <c:v>1.2552133221208348</c:v>
                </c:pt>
                <c:pt idx="158" formatCode="0.0000">
                  <c:v>1.4354578244352543</c:v>
                </c:pt>
                <c:pt idx="159" formatCode="0.0000">
                  <c:v>1.5090253634577309</c:v>
                </c:pt>
                <c:pt idx="160" formatCode="0.0000">
                  <c:v>1.5631127547648198</c:v>
                </c:pt>
                <c:pt idx="161" formatCode="0.0000">
                  <c:v>1.5046401503767908</c:v>
                </c:pt>
                <c:pt idx="162" formatCode="0.0000">
                  <c:v>1.3013231441496125</c:v>
                </c:pt>
                <c:pt idx="163" formatCode="0.0000">
                  <c:v>1.2025958254506592</c:v>
                </c:pt>
                <c:pt idx="164" formatCode="0.0000">
                  <c:v>0.98300940182130858</c:v>
                </c:pt>
                <c:pt idx="165" formatCode="0.0000">
                  <c:v>0.79432801990560387</c:v>
                </c:pt>
                <c:pt idx="166" formatCode="0.0000">
                  <c:v>0.68522246660159247</c:v>
                </c:pt>
                <c:pt idx="167" formatCode="0.0000">
                  <c:v>0.53414662672185342</c:v>
                </c:pt>
                <c:pt idx="168" formatCode="0.0000">
                  <c:v>0.72575372929100301</c:v>
                </c:pt>
                <c:pt idx="169" formatCode="0.0000">
                  <c:v>0.82770941386126684</c:v>
                </c:pt>
                <c:pt idx="170" formatCode="0.0000">
                  <c:v>0.91953972055418376</c:v>
                </c:pt>
                <c:pt idx="171" formatCode="0.0000">
                  <c:v>0.82496967967363966</c:v>
                </c:pt>
                <c:pt idx="172" formatCode="0.0000">
                  <c:v>0.7688111195106917</c:v>
                </c:pt>
                <c:pt idx="173" formatCode="0.0000">
                  <c:v>0.72790167889407109</c:v>
                </c:pt>
                <c:pt idx="174" formatCode="0.0000">
                  <c:v>0.61106602629333062</c:v>
                </c:pt>
                <c:pt idx="175" formatCode="0.0000">
                  <c:v>0.53759005433720142</c:v>
                </c:pt>
                <c:pt idx="176" formatCode="0.0000">
                  <c:v>0.51672520674009681</c:v>
                </c:pt>
                <c:pt idx="177" formatCode="0.0000">
                  <c:v>0.69028954246671914</c:v>
                </c:pt>
                <c:pt idx="178" formatCode="0.0000">
                  <c:v>0.86475799692047273</c:v>
                </c:pt>
                <c:pt idx="179" formatCode="0.0000">
                  <c:v>1.0206227085820794</c:v>
                </c:pt>
                <c:pt idx="180" formatCode="0.0000">
                  <c:v>1.2593078136748115</c:v>
                </c:pt>
                <c:pt idx="181" formatCode="0.0000">
                  <c:v>1.3846445790454547</c:v>
                </c:pt>
                <c:pt idx="182" formatCode="0.0000">
                  <c:v>1.3917139556832629</c:v>
                </c:pt>
                <c:pt idx="183" formatCode="0.0000">
                  <c:v>1.4435848076713744</c:v>
                </c:pt>
                <c:pt idx="184" formatCode="0.0000">
                  <c:v>1.2655620573976709</c:v>
                </c:pt>
                <c:pt idx="185" formatCode="0.0000">
                  <c:v>1.2899546928087915</c:v>
                </c:pt>
                <c:pt idx="186" formatCode="0.0000">
                  <c:v>1.2636491302293844</c:v>
                </c:pt>
                <c:pt idx="187" formatCode="0.0000">
                  <c:v>0.98112332980484307</c:v>
                </c:pt>
                <c:pt idx="188" formatCode="0.0000">
                  <c:v>0.87195473683179625</c:v>
                </c:pt>
                <c:pt idx="189" formatCode="0.0000">
                  <c:v>0.80249096926368413</c:v>
                </c:pt>
                <c:pt idx="190" formatCode="0.0000">
                  <c:v>0.77835673785532777</c:v>
                </c:pt>
                <c:pt idx="191" formatCode="0.0000">
                  <c:v>0.78903679537335381</c:v>
                </c:pt>
                <c:pt idx="192" formatCode="0.0000">
                  <c:v>0.67923939832408242</c:v>
                </c:pt>
                <c:pt idx="193" formatCode="0.0000">
                  <c:v>0.61571312069353945</c:v>
                </c:pt>
                <c:pt idx="194" formatCode="0.0000">
                  <c:v>0.71576505481737041</c:v>
                </c:pt>
                <c:pt idx="195" formatCode="0.0000">
                  <c:v>0.80838337545100625</c:v>
                </c:pt>
                <c:pt idx="196" formatCode="0.0000">
                  <c:v>0.84695244030186101</c:v>
                </c:pt>
                <c:pt idx="197" formatCode="0.0000">
                  <c:v>0.82057100029909447</c:v>
                </c:pt>
                <c:pt idx="198" formatCode="0.0000">
                  <c:v>0.79619497728266775</c:v>
                </c:pt>
                <c:pt idx="199" formatCode="0.0000">
                  <c:v>1.0762651403294075</c:v>
                </c:pt>
                <c:pt idx="200" formatCode="0.0000">
                  <c:v>1.0898510795357386</c:v>
                </c:pt>
                <c:pt idx="201" formatCode="0.0000">
                  <c:v>1.1629560076935586</c:v>
                </c:pt>
                <c:pt idx="202" formatCode="0.0000">
                  <c:v>1.340020566232107</c:v>
                </c:pt>
                <c:pt idx="203" formatCode="0.0000">
                  <c:v>1.3607781077745558</c:v>
                </c:pt>
                <c:pt idx="204" formatCode="0.0000">
                  <c:v>1.5540168063637394</c:v>
                </c:pt>
                <c:pt idx="205" formatCode="0.0000">
                  <c:v>1.7506755422173927</c:v>
                </c:pt>
                <c:pt idx="206" formatCode="0.0000">
                  <c:v>1.5584151200241518</c:v>
                </c:pt>
                <c:pt idx="207" formatCode="0.0000">
                  <c:v>1.5396580129280686</c:v>
                </c:pt>
                <c:pt idx="208" formatCode="0.0000">
                  <c:v>1.4107402417870918</c:v>
                </c:pt>
                <c:pt idx="209" formatCode="0.0000">
                  <c:v>1.634266997025642</c:v>
                </c:pt>
                <c:pt idx="210" formatCode="0.0000">
                  <c:v>1.6538110486780204</c:v>
                </c:pt>
                <c:pt idx="211" formatCode="0.0000">
                  <c:v>1.6799289101645551</c:v>
                </c:pt>
                <c:pt idx="212" formatCode="0.0000">
                  <c:v>1.6120468151569622</c:v>
                </c:pt>
                <c:pt idx="213" formatCode="0.0000">
                  <c:v>1.6144134898509719</c:v>
                </c:pt>
                <c:pt idx="214" formatCode="0.0000">
                  <c:v>1.8658934506893037</c:v>
                </c:pt>
                <c:pt idx="215" formatCode="0.0000">
                  <c:v>2.3363611544125971</c:v>
                </c:pt>
                <c:pt idx="216" formatCode="0.0000">
                  <c:v>2.045216757489499</c:v>
                </c:pt>
                <c:pt idx="217" formatCode="0.0000">
                  <c:v>1.9261143088582706</c:v>
                </c:pt>
                <c:pt idx="218" formatCode="0.0000">
                  <c:v>1.6644658378146542</c:v>
                </c:pt>
                <c:pt idx="219" formatCode="0.0000">
                  <c:v>1.7585123090636532</c:v>
                </c:pt>
                <c:pt idx="220" formatCode="0.0000">
                  <c:v>1.6945727304391398</c:v>
                </c:pt>
                <c:pt idx="221" formatCode="0.0000">
                  <c:v>1.7803352396520591</c:v>
                </c:pt>
                <c:pt idx="222" formatCode="0.0000">
                  <c:v>1.5171591657764996</c:v>
                </c:pt>
                <c:pt idx="223" formatCode="0.0000">
                  <c:v>1.3356156368969678</c:v>
                </c:pt>
                <c:pt idx="224" formatCode="0.0000">
                  <c:v>1.7826386727716181</c:v>
                </c:pt>
                <c:pt idx="225" formatCode="0.0000">
                  <c:v>2.049766886348666</c:v>
                </c:pt>
                <c:pt idx="226" formatCode="0.0000">
                  <c:v>2.0592825774344989</c:v>
                </c:pt>
                <c:pt idx="227" formatCode="0.0000">
                  <c:v>2.1600175717343948</c:v>
                </c:pt>
                <c:pt idx="228" formatCode="0.0000">
                  <c:v>1.9031900059650062</c:v>
                </c:pt>
                <c:pt idx="229" formatCode="0.0000">
                  <c:v>1.8481469780182593</c:v>
                </c:pt>
                <c:pt idx="230" formatCode="0.0000">
                  <c:v>1.9259277153665855</c:v>
                </c:pt>
                <c:pt idx="231" formatCode="0.0000">
                  <c:v>1.7339185963145975</c:v>
                </c:pt>
                <c:pt idx="232" formatCode="0.0000">
                  <c:v>1.7290179231985585</c:v>
                </c:pt>
                <c:pt idx="233" formatCode="0.0000">
                  <c:v>1.6795051234153253</c:v>
                </c:pt>
                <c:pt idx="234" formatCode="0.0000">
                  <c:v>1.8214433658908324</c:v>
                </c:pt>
                <c:pt idx="235" formatCode="0.0000">
                  <c:v>1.8506496010786992</c:v>
                </c:pt>
                <c:pt idx="236" formatCode="0.0000">
                  <c:v>1.8147748376489568</c:v>
                </c:pt>
                <c:pt idx="237" formatCode="0.0000">
                  <c:v>1.9107326654524983</c:v>
                </c:pt>
                <c:pt idx="238" formatCode="0.0000">
                  <c:v>1.7972853951486496</c:v>
                </c:pt>
                <c:pt idx="239" formatCode="0.0000">
                  <c:v>1.6842812053828549</c:v>
                </c:pt>
                <c:pt idx="240" formatCode="0.0000">
                  <c:v>1.563373622758472</c:v>
                </c:pt>
                <c:pt idx="241" formatCode="0.0000">
                  <c:v>1.3832880690287299</c:v>
                </c:pt>
                <c:pt idx="242" formatCode="0.0000">
                  <c:v>1.3594888471550861</c:v>
                </c:pt>
                <c:pt idx="243" formatCode="0.0000">
                  <c:v>1.3418020820678207</c:v>
                </c:pt>
                <c:pt idx="244" formatCode="0.0000">
                  <c:v>1.2540676096294789</c:v>
                </c:pt>
                <c:pt idx="245" formatCode="0.0000">
                  <c:v>1.2000767116157149</c:v>
                </c:pt>
                <c:pt idx="246" formatCode="0.0000">
                  <c:v>1.1884973876275198</c:v>
                </c:pt>
                <c:pt idx="247" formatCode="0.0000">
                  <c:v>1.2686213694160773</c:v>
                </c:pt>
                <c:pt idx="248" formatCode="0.0000">
                  <c:v>1.2638326209472257</c:v>
                </c:pt>
                <c:pt idx="249" formatCode="0.0000">
                  <c:v>1.216329977624486</c:v>
                </c:pt>
                <c:pt idx="250" formatCode="0.0000">
                  <c:v>1.2080507125232351</c:v>
                </c:pt>
                <c:pt idx="251" formatCode="0.0000">
                  <c:v>1.2702312673116813</c:v>
                </c:pt>
                <c:pt idx="252" formatCode="0.0000">
                  <c:v>1.3612137103757256</c:v>
                </c:pt>
                <c:pt idx="253" formatCode="0.0000">
                  <c:v>1.4146045753828376</c:v>
                </c:pt>
                <c:pt idx="254" formatCode="0.0000">
                  <c:v>1.3660560540436701</c:v>
                </c:pt>
                <c:pt idx="255" formatCode="0.0000">
                  <c:v>1.3350546777517291</c:v>
                </c:pt>
                <c:pt idx="256" formatCode="0.0000">
                  <c:v>1.3492099574323333</c:v>
                </c:pt>
                <c:pt idx="257" formatCode="0.0000">
                  <c:v>1.2896874075113161</c:v>
                </c:pt>
                <c:pt idx="258" formatCode="0.0000">
                  <c:v>1.2535228210055074</c:v>
                </c:pt>
                <c:pt idx="259" formatCode="0.0000">
                  <c:v>1.1167296434565859</c:v>
                </c:pt>
                <c:pt idx="260" formatCode="0.0000">
                  <c:v>1.0360585135955915</c:v>
                </c:pt>
                <c:pt idx="261" formatCode="0.0000">
                  <c:v>1.0177264572973246</c:v>
                </c:pt>
                <c:pt idx="262" formatCode="0.0000">
                  <c:v>1.0079422487975465</c:v>
                </c:pt>
                <c:pt idx="263" formatCode="0.0000">
                  <c:v>0.97742412000964662</c:v>
                </c:pt>
                <c:pt idx="264" formatCode="0.0000">
                  <c:v>1.019145485992631</c:v>
                </c:pt>
                <c:pt idx="265" formatCode="0.0000">
                  <c:v>0.97343101802330234</c:v>
                </c:pt>
                <c:pt idx="266" formatCode="0.0000">
                  <c:v>0.96838874503296923</c:v>
                </c:pt>
                <c:pt idx="267" formatCode="0.0000">
                  <c:v>0.95095359324042483</c:v>
                </c:pt>
                <c:pt idx="268" formatCode="0.0000">
                  <c:v>0.92258365441207546</c:v>
                </c:pt>
                <c:pt idx="269" formatCode="0.0000">
                  <c:v>0.91573296818186278</c:v>
                </c:pt>
                <c:pt idx="270" formatCode="0.0000">
                  <c:v>0.86088094992527453</c:v>
                </c:pt>
                <c:pt idx="271" formatCode="0.0000">
                  <c:v>0.82486467144527587</c:v>
                </c:pt>
                <c:pt idx="272" formatCode="0.0000">
                  <c:v>0.80050898568741702</c:v>
                </c:pt>
                <c:pt idx="273" formatCode="0.0000">
                  <c:v>0.79063836303545576</c:v>
                </c:pt>
                <c:pt idx="274" formatCode="0.0000">
                  <c:v>0.7839051487911064</c:v>
                </c:pt>
                <c:pt idx="275" formatCode="0.0000">
                  <c:v>0.76664987550959529</c:v>
                </c:pt>
                <c:pt idx="276" formatCode="0.0000">
                  <c:v>0.80042845835152077</c:v>
                </c:pt>
                <c:pt idx="277" formatCode="0.0000">
                  <c:v>0.80582221373035368</c:v>
                </c:pt>
                <c:pt idx="278" formatCode="0.0000">
                  <c:v>0.81301526527218537</c:v>
                </c:pt>
                <c:pt idx="279" formatCode="0.0000">
                  <c:v>0.79446149389981202</c:v>
                </c:pt>
                <c:pt idx="280" formatCode="0.0000">
                  <c:v>0.8037155807110884</c:v>
                </c:pt>
                <c:pt idx="281" formatCode="0.0000">
                  <c:v>0.81819769225611838</c:v>
                </c:pt>
                <c:pt idx="282" formatCode="0.0000">
                  <c:v>0.89162204981724447</c:v>
                </c:pt>
                <c:pt idx="283" formatCode="0.0000">
                  <c:v>0.89912574356372321</c:v>
                </c:pt>
                <c:pt idx="284" formatCode="0.0000">
                  <c:v>0.92627792203916226</c:v>
                </c:pt>
                <c:pt idx="285" formatCode="0.0000">
                  <c:v>0.92660958657276093</c:v>
                </c:pt>
                <c:pt idx="286" formatCode="0.0000">
                  <c:v>0.94939470012544269</c:v>
                </c:pt>
                <c:pt idx="287" formatCode="0.0000">
                  <c:v>0.94334936671631664</c:v>
                </c:pt>
                <c:pt idx="288" formatCode="0.0000">
                  <c:v>0.94141408893853651</c:v>
                </c:pt>
                <c:pt idx="289" formatCode="0.0000">
                  <c:v>0.88767579278637065</c:v>
                </c:pt>
                <c:pt idx="290" formatCode="0.0000">
                  <c:v>0.90139723184942666</c:v>
                </c:pt>
                <c:pt idx="291" formatCode="0.0000">
                  <c:v>0.93240806929771469</c:v>
                </c:pt>
                <c:pt idx="292" formatCode="0.0000">
                  <c:v>0.94993144035166399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D7A-42B1-8043-FB7C1F4D9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87549"/>
        <c:axId val="131016387"/>
      </c:lineChart>
      <c:lineChart>
        <c:grouping val="standard"/>
        <c:varyColors val="0"/>
        <c:ser>
          <c:idx val="1"/>
          <c:order val="1"/>
          <c:tx>
            <c:strRef>
              <c:f>'R(t) Województwa'!$AA$2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Województwa'!$AA$3:$AA$1000</c:f>
              <c:numCache>
                <c:formatCode>General</c:formatCode>
                <c:ptCount val="998"/>
                <c:pt idx="4">
                  <c:v>0.2</c:v>
                </c:pt>
                <c:pt idx="5">
                  <c:v>0.16666666666666666</c:v>
                </c:pt>
                <c:pt idx="6">
                  <c:v>0.14285714285714285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0.14285714285714285</c:v>
                </c:pt>
                <c:pt idx="13">
                  <c:v>0.14285714285714285</c:v>
                </c:pt>
                <c:pt idx="14">
                  <c:v>0.14285714285714285</c:v>
                </c:pt>
                <c:pt idx="15">
                  <c:v>0.2857142857142857</c:v>
                </c:pt>
                <c:pt idx="16">
                  <c:v>1.1428571428571428</c:v>
                </c:pt>
                <c:pt idx="17">
                  <c:v>1.1428571428571428</c:v>
                </c:pt>
                <c:pt idx="18">
                  <c:v>1.1428571428571428</c:v>
                </c:pt>
                <c:pt idx="19">
                  <c:v>1.2857142857142858</c:v>
                </c:pt>
                <c:pt idx="20">
                  <c:v>2</c:v>
                </c:pt>
                <c:pt idx="21">
                  <c:v>2.7142857142857144</c:v>
                </c:pt>
                <c:pt idx="22">
                  <c:v>2.8571428571428572</c:v>
                </c:pt>
                <c:pt idx="23">
                  <c:v>3</c:v>
                </c:pt>
                <c:pt idx="24">
                  <c:v>3.1428571428571428</c:v>
                </c:pt>
                <c:pt idx="25">
                  <c:v>3.4285714285714284</c:v>
                </c:pt>
                <c:pt idx="26">
                  <c:v>3.1428571428571428</c:v>
                </c:pt>
                <c:pt idx="27">
                  <c:v>2.8571428571428572</c:v>
                </c:pt>
                <c:pt idx="28">
                  <c:v>3</c:v>
                </c:pt>
                <c:pt idx="29">
                  <c:v>3.4285714285714284</c:v>
                </c:pt>
                <c:pt idx="30">
                  <c:v>2.5714285714285716</c:v>
                </c:pt>
                <c:pt idx="31">
                  <c:v>2.7142857142857144</c:v>
                </c:pt>
                <c:pt idx="32">
                  <c:v>3.2857142857142856</c:v>
                </c:pt>
                <c:pt idx="33">
                  <c:v>3.7142857142857144</c:v>
                </c:pt>
                <c:pt idx="34">
                  <c:v>3.7142857142857144</c:v>
                </c:pt>
                <c:pt idx="35">
                  <c:v>2.8571428571428572</c:v>
                </c:pt>
                <c:pt idx="36">
                  <c:v>2.7142857142857144</c:v>
                </c:pt>
                <c:pt idx="37">
                  <c:v>3</c:v>
                </c:pt>
                <c:pt idx="38">
                  <c:v>3.4285714285714284</c:v>
                </c:pt>
                <c:pt idx="39">
                  <c:v>2.8571428571428572</c:v>
                </c:pt>
                <c:pt idx="40">
                  <c:v>2.7142857142857144</c:v>
                </c:pt>
                <c:pt idx="41">
                  <c:v>2.2857142857142856</c:v>
                </c:pt>
                <c:pt idx="42">
                  <c:v>2.4285714285714284</c:v>
                </c:pt>
                <c:pt idx="43">
                  <c:v>1.8571428571428572</c:v>
                </c:pt>
                <c:pt idx="44">
                  <c:v>1.7142857142857142</c:v>
                </c:pt>
                <c:pt idx="45">
                  <c:v>1</c:v>
                </c:pt>
                <c:pt idx="46">
                  <c:v>0.7142857142857143</c:v>
                </c:pt>
                <c:pt idx="47">
                  <c:v>0.42857142857142855</c:v>
                </c:pt>
                <c:pt idx="48">
                  <c:v>0.5714285714285714</c:v>
                </c:pt>
                <c:pt idx="49">
                  <c:v>0.7142857142857143</c:v>
                </c:pt>
                <c:pt idx="50">
                  <c:v>0.8571428571428571</c:v>
                </c:pt>
                <c:pt idx="51">
                  <c:v>0.5714285714285714</c:v>
                </c:pt>
                <c:pt idx="52">
                  <c:v>0.5714285714285714</c:v>
                </c:pt>
                <c:pt idx="53">
                  <c:v>0.5714285714285714</c:v>
                </c:pt>
                <c:pt idx="54">
                  <c:v>0.8571428571428571</c:v>
                </c:pt>
                <c:pt idx="55">
                  <c:v>0.7142857142857143</c:v>
                </c:pt>
                <c:pt idx="56">
                  <c:v>0.42857142857142855</c:v>
                </c:pt>
                <c:pt idx="57">
                  <c:v>0.2857142857142857</c:v>
                </c:pt>
                <c:pt idx="58">
                  <c:v>0.2857142857142857</c:v>
                </c:pt>
                <c:pt idx="59">
                  <c:v>0.2857142857142857</c:v>
                </c:pt>
                <c:pt idx="60">
                  <c:v>0.2857142857142857</c:v>
                </c:pt>
                <c:pt idx="61">
                  <c:v>0.14285714285714285</c:v>
                </c:pt>
                <c:pt idx="62">
                  <c:v>0.42857142857142855</c:v>
                </c:pt>
                <c:pt idx="63">
                  <c:v>0.42857142857142855</c:v>
                </c:pt>
                <c:pt idx="64">
                  <c:v>0.42857142857142855</c:v>
                </c:pt>
                <c:pt idx="65">
                  <c:v>0.7142857142857143</c:v>
                </c:pt>
                <c:pt idx="66">
                  <c:v>0.7142857142857143</c:v>
                </c:pt>
                <c:pt idx="67">
                  <c:v>0.7142857142857143</c:v>
                </c:pt>
                <c:pt idx="68">
                  <c:v>0.5714285714285714</c:v>
                </c:pt>
                <c:pt idx="69">
                  <c:v>0.2857142857142857</c:v>
                </c:pt>
                <c:pt idx="70">
                  <c:v>0.2857142857142857</c:v>
                </c:pt>
                <c:pt idx="71">
                  <c:v>0.2857142857142857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0.42857142857142855</c:v>
                </c:pt>
                <c:pt idx="80">
                  <c:v>0.7142857142857143</c:v>
                </c:pt>
                <c:pt idx="81">
                  <c:v>1</c:v>
                </c:pt>
                <c:pt idx="82">
                  <c:v>1.5714285714285714</c:v>
                </c:pt>
                <c:pt idx="83">
                  <c:v>2.2857142857142856</c:v>
                </c:pt>
                <c:pt idx="84">
                  <c:v>2.7142857142857144</c:v>
                </c:pt>
                <c:pt idx="85">
                  <c:v>2.7142857142857144</c:v>
                </c:pt>
                <c:pt idx="86">
                  <c:v>2.5714285714285716</c:v>
                </c:pt>
                <c:pt idx="87">
                  <c:v>2.4285714285714284</c:v>
                </c:pt>
                <c:pt idx="88">
                  <c:v>2.4285714285714284</c:v>
                </c:pt>
                <c:pt idx="89">
                  <c:v>1.8571428571428572</c:v>
                </c:pt>
                <c:pt idx="90">
                  <c:v>1.4285714285714286</c:v>
                </c:pt>
                <c:pt idx="91">
                  <c:v>1.2857142857142858</c:v>
                </c:pt>
                <c:pt idx="92">
                  <c:v>1.5714285714285714</c:v>
                </c:pt>
                <c:pt idx="93">
                  <c:v>1.2857142857142858</c:v>
                </c:pt>
                <c:pt idx="94">
                  <c:v>1.4285714285714286</c:v>
                </c:pt>
                <c:pt idx="95">
                  <c:v>1.1428571428571428</c:v>
                </c:pt>
                <c:pt idx="96">
                  <c:v>1.4285714285714286</c:v>
                </c:pt>
                <c:pt idx="97">
                  <c:v>1.1428571428571428</c:v>
                </c:pt>
                <c:pt idx="98">
                  <c:v>1.2857142857142858</c:v>
                </c:pt>
                <c:pt idx="99">
                  <c:v>1</c:v>
                </c:pt>
                <c:pt idx="100">
                  <c:v>1</c:v>
                </c:pt>
                <c:pt idx="101">
                  <c:v>0.8571428571428571</c:v>
                </c:pt>
                <c:pt idx="102">
                  <c:v>1</c:v>
                </c:pt>
                <c:pt idx="103">
                  <c:v>0.8571428571428571</c:v>
                </c:pt>
                <c:pt idx="104">
                  <c:v>1</c:v>
                </c:pt>
                <c:pt idx="105">
                  <c:v>0.5714285714285714</c:v>
                </c:pt>
                <c:pt idx="106">
                  <c:v>1.5714285714285714</c:v>
                </c:pt>
                <c:pt idx="107">
                  <c:v>1.5714285714285714</c:v>
                </c:pt>
                <c:pt idx="108">
                  <c:v>1.4285714285714286</c:v>
                </c:pt>
                <c:pt idx="109">
                  <c:v>1.7142857142857142</c:v>
                </c:pt>
                <c:pt idx="110">
                  <c:v>1.7142857142857142</c:v>
                </c:pt>
                <c:pt idx="111">
                  <c:v>1.7142857142857142</c:v>
                </c:pt>
                <c:pt idx="112">
                  <c:v>1.7142857142857142</c:v>
                </c:pt>
                <c:pt idx="113">
                  <c:v>0.7142857142857143</c:v>
                </c:pt>
                <c:pt idx="114">
                  <c:v>0.8571428571428571</c:v>
                </c:pt>
                <c:pt idx="115">
                  <c:v>1</c:v>
                </c:pt>
                <c:pt idx="116">
                  <c:v>0.8571428571428571</c:v>
                </c:pt>
                <c:pt idx="117">
                  <c:v>0.7142857142857143</c:v>
                </c:pt>
                <c:pt idx="118">
                  <c:v>0.5714285714285714</c:v>
                </c:pt>
                <c:pt idx="119">
                  <c:v>0.8571428571428571</c:v>
                </c:pt>
                <c:pt idx="120">
                  <c:v>0.8571428571428571</c:v>
                </c:pt>
                <c:pt idx="121">
                  <c:v>0.7142857142857143</c:v>
                </c:pt>
                <c:pt idx="122">
                  <c:v>0.5714285714285714</c:v>
                </c:pt>
                <c:pt idx="123">
                  <c:v>0.2857142857142857</c:v>
                </c:pt>
                <c:pt idx="124">
                  <c:v>0.2857142857142857</c:v>
                </c:pt>
                <c:pt idx="125">
                  <c:v>0.42857142857142855</c:v>
                </c:pt>
                <c:pt idx="126">
                  <c:v>0.14285714285714285</c:v>
                </c:pt>
                <c:pt idx="127">
                  <c:v>0.14285714285714285</c:v>
                </c:pt>
                <c:pt idx="128">
                  <c:v>0.5714285714285714</c:v>
                </c:pt>
                <c:pt idx="129">
                  <c:v>4.1428571428571432</c:v>
                </c:pt>
                <c:pt idx="130">
                  <c:v>5</c:v>
                </c:pt>
                <c:pt idx="131">
                  <c:v>11.857142857142858</c:v>
                </c:pt>
                <c:pt idx="132">
                  <c:v>12.428571428571429</c:v>
                </c:pt>
                <c:pt idx="133">
                  <c:v>13.285714285714286</c:v>
                </c:pt>
                <c:pt idx="134">
                  <c:v>15</c:v>
                </c:pt>
                <c:pt idx="135">
                  <c:v>15.142857142857142</c:v>
                </c:pt>
                <c:pt idx="136">
                  <c:v>14</c:v>
                </c:pt>
                <c:pt idx="137">
                  <c:v>14</c:v>
                </c:pt>
                <c:pt idx="138">
                  <c:v>10.714285714285714</c:v>
                </c:pt>
                <c:pt idx="139">
                  <c:v>11.428571428571429</c:v>
                </c:pt>
                <c:pt idx="140">
                  <c:v>11.857142857142858</c:v>
                </c:pt>
                <c:pt idx="141">
                  <c:v>10.714285714285714</c:v>
                </c:pt>
                <c:pt idx="142">
                  <c:v>11.428571428571429</c:v>
                </c:pt>
                <c:pt idx="143">
                  <c:v>10.285714285714286</c:v>
                </c:pt>
                <c:pt idx="144">
                  <c:v>10.428571428571429</c:v>
                </c:pt>
                <c:pt idx="145">
                  <c:v>7.5714285714285712</c:v>
                </c:pt>
                <c:pt idx="146">
                  <c:v>6.7142857142857144</c:v>
                </c:pt>
                <c:pt idx="147">
                  <c:v>6</c:v>
                </c:pt>
                <c:pt idx="148">
                  <c:v>6.8571428571428568</c:v>
                </c:pt>
                <c:pt idx="149">
                  <c:v>7</c:v>
                </c:pt>
                <c:pt idx="150">
                  <c:v>7.2857142857142856</c:v>
                </c:pt>
                <c:pt idx="151">
                  <c:v>7.5714285714285712</c:v>
                </c:pt>
                <c:pt idx="152">
                  <c:v>8.1428571428571423</c:v>
                </c:pt>
                <c:pt idx="153">
                  <c:v>9.4285714285714288</c:v>
                </c:pt>
                <c:pt idx="154">
                  <c:v>9.5714285714285712</c:v>
                </c:pt>
                <c:pt idx="155">
                  <c:v>10</c:v>
                </c:pt>
                <c:pt idx="156">
                  <c:v>9.7142857142857135</c:v>
                </c:pt>
                <c:pt idx="157">
                  <c:v>11.142857142857142</c:v>
                </c:pt>
                <c:pt idx="158">
                  <c:v>13.428571428571429</c:v>
                </c:pt>
                <c:pt idx="159">
                  <c:v>15</c:v>
                </c:pt>
                <c:pt idx="160">
                  <c:v>16.857142857142858</c:v>
                </c:pt>
                <c:pt idx="161">
                  <c:v>16.428571428571427</c:v>
                </c:pt>
                <c:pt idx="162">
                  <c:v>14.714285714285714</c:v>
                </c:pt>
                <c:pt idx="163">
                  <c:v>13.857142857142858</c:v>
                </c:pt>
                <c:pt idx="164">
                  <c:v>12</c:v>
                </c:pt>
                <c:pt idx="165">
                  <c:v>9.8571428571428577</c:v>
                </c:pt>
                <c:pt idx="166">
                  <c:v>8.1428571428571423</c:v>
                </c:pt>
                <c:pt idx="167">
                  <c:v>5.5714285714285712</c:v>
                </c:pt>
                <c:pt idx="168">
                  <c:v>7.2857142857142856</c:v>
                </c:pt>
                <c:pt idx="169">
                  <c:v>8.2857142857142865</c:v>
                </c:pt>
                <c:pt idx="170">
                  <c:v>9.1428571428571423</c:v>
                </c:pt>
                <c:pt idx="171">
                  <c:v>8.1428571428571423</c:v>
                </c:pt>
                <c:pt idx="172">
                  <c:v>7.4285714285714288</c:v>
                </c:pt>
                <c:pt idx="173">
                  <c:v>6.8571428571428568</c:v>
                </c:pt>
                <c:pt idx="174">
                  <c:v>5.7142857142857144</c:v>
                </c:pt>
                <c:pt idx="175">
                  <c:v>4.5714285714285712</c:v>
                </c:pt>
                <c:pt idx="176">
                  <c:v>4</c:v>
                </c:pt>
                <c:pt idx="177">
                  <c:v>4.5714285714285712</c:v>
                </c:pt>
                <c:pt idx="178">
                  <c:v>5.7142857142857144</c:v>
                </c:pt>
                <c:pt idx="179">
                  <c:v>6.7142857142857144</c:v>
                </c:pt>
                <c:pt idx="180">
                  <c:v>8.5714285714285712</c:v>
                </c:pt>
                <c:pt idx="181">
                  <c:v>9.7142857142857135</c:v>
                </c:pt>
                <c:pt idx="182">
                  <c:v>10.142857142857142</c:v>
                </c:pt>
                <c:pt idx="183">
                  <c:v>10.857142857142858</c:v>
                </c:pt>
                <c:pt idx="184">
                  <c:v>10.142857142857142</c:v>
                </c:pt>
                <c:pt idx="185">
                  <c:v>10.714285714285714</c:v>
                </c:pt>
                <c:pt idx="186">
                  <c:v>11</c:v>
                </c:pt>
                <c:pt idx="187">
                  <c:v>8.8571428571428577</c:v>
                </c:pt>
                <c:pt idx="188">
                  <c:v>7.8571428571428568</c:v>
                </c:pt>
                <c:pt idx="189">
                  <c:v>7.1428571428571432</c:v>
                </c:pt>
                <c:pt idx="190">
                  <c:v>6.7142857142857144</c:v>
                </c:pt>
                <c:pt idx="191">
                  <c:v>6.5714285714285712</c:v>
                </c:pt>
                <c:pt idx="192">
                  <c:v>5.4285714285714288</c:v>
                </c:pt>
                <c:pt idx="193">
                  <c:v>4.4285714285714288</c:v>
                </c:pt>
                <c:pt idx="194">
                  <c:v>5</c:v>
                </c:pt>
                <c:pt idx="195">
                  <c:v>5.5714285714285712</c:v>
                </c:pt>
                <c:pt idx="196">
                  <c:v>5.7142857142857144</c:v>
                </c:pt>
                <c:pt idx="197">
                  <c:v>5.4285714285714288</c:v>
                </c:pt>
                <c:pt idx="198">
                  <c:v>5.1428571428571432</c:v>
                </c:pt>
                <c:pt idx="199">
                  <c:v>6.5714285714285712</c:v>
                </c:pt>
                <c:pt idx="200">
                  <c:v>6.7142857142857144</c:v>
                </c:pt>
                <c:pt idx="201">
                  <c:v>7.2857142857142856</c:v>
                </c:pt>
                <c:pt idx="202">
                  <c:v>8.7142857142857135</c:v>
                </c:pt>
                <c:pt idx="203">
                  <c:v>9.1428571428571423</c:v>
                </c:pt>
                <c:pt idx="204">
                  <c:v>11</c:v>
                </c:pt>
                <c:pt idx="205">
                  <c:v>13.285714285714286</c:v>
                </c:pt>
                <c:pt idx="206">
                  <c:v>13.285714285714286</c:v>
                </c:pt>
                <c:pt idx="207">
                  <c:v>13.857142857142858</c:v>
                </c:pt>
                <c:pt idx="208">
                  <c:v>13.285714285714286</c:v>
                </c:pt>
                <c:pt idx="209">
                  <c:v>16.714285714285715</c:v>
                </c:pt>
                <c:pt idx="210">
                  <c:v>17.857142857142858</c:v>
                </c:pt>
                <c:pt idx="211">
                  <c:v>20.142857142857142</c:v>
                </c:pt>
                <c:pt idx="212">
                  <c:v>21.285714285714285</c:v>
                </c:pt>
                <c:pt idx="213">
                  <c:v>22.857142857142858</c:v>
                </c:pt>
                <c:pt idx="214">
                  <c:v>29.142857142857142</c:v>
                </c:pt>
                <c:pt idx="215">
                  <c:v>42</c:v>
                </c:pt>
                <c:pt idx="216">
                  <c:v>44.142857142857146</c:v>
                </c:pt>
                <c:pt idx="217">
                  <c:v>43.142857142857146</c:v>
                </c:pt>
                <c:pt idx="218">
                  <c:v>40.142857142857146</c:v>
                </c:pt>
                <c:pt idx="219">
                  <c:v>46</c:v>
                </c:pt>
                <c:pt idx="220">
                  <c:v>47</c:v>
                </c:pt>
                <c:pt idx="221">
                  <c:v>56.285714285714285</c:v>
                </c:pt>
                <c:pt idx="222">
                  <c:v>56</c:v>
                </c:pt>
                <c:pt idx="223">
                  <c:v>50.285714285714285</c:v>
                </c:pt>
                <c:pt idx="224">
                  <c:v>72.428571428571431</c:v>
                </c:pt>
                <c:pt idx="225">
                  <c:v>91.428571428571431</c:v>
                </c:pt>
                <c:pt idx="226">
                  <c:v>106.85714285714286</c:v>
                </c:pt>
                <c:pt idx="227">
                  <c:v>123.14285714285714</c:v>
                </c:pt>
                <c:pt idx="228">
                  <c:v>128.28571428571428</c:v>
                </c:pt>
                <c:pt idx="229">
                  <c:v>139</c:v>
                </c:pt>
                <c:pt idx="230">
                  <c:v>150.28571428571428</c:v>
                </c:pt>
                <c:pt idx="231">
                  <c:v>159.42857142857142</c:v>
                </c:pt>
                <c:pt idx="232">
                  <c:v>179.14285714285714</c:v>
                </c:pt>
                <c:pt idx="233">
                  <c:v>196.28571428571428</c:v>
                </c:pt>
                <c:pt idx="234">
                  <c:v>239.42857142857142</c:v>
                </c:pt>
                <c:pt idx="235">
                  <c:v>271.14285714285717</c:v>
                </c:pt>
                <c:pt idx="236">
                  <c:v>291.57142857142856</c:v>
                </c:pt>
                <c:pt idx="237">
                  <c:v>330.14285714285717</c:v>
                </c:pt>
                <c:pt idx="238">
                  <c:v>343.71428571428572</c:v>
                </c:pt>
                <c:pt idx="239">
                  <c:v>357.57142857142856</c:v>
                </c:pt>
                <c:pt idx="240">
                  <c:v>361</c:v>
                </c:pt>
                <c:pt idx="241">
                  <c:v>353.14285714285717</c:v>
                </c:pt>
                <c:pt idx="242">
                  <c:v>370.14285714285717</c:v>
                </c:pt>
                <c:pt idx="243">
                  <c:v>382.85714285714283</c:v>
                </c:pt>
                <c:pt idx="244">
                  <c:v>373.14285714285717</c:v>
                </c:pt>
                <c:pt idx="245">
                  <c:v>367.85714285714283</c:v>
                </c:pt>
                <c:pt idx="246">
                  <c:v>375.57142857142856</c:v>
                </c:pt>
                <c:pt idx="247">
                  <c:v>412.28571428571428</c:v>
                </c:pt>
                <c:pt idx="248">
                  <c:v>427</c:v>
                </c:pt>
                <c:pt idx="249">
                  <c:v>428.71428571428572</c:v>
                </c:pt>
                <c:pt idx="250">
                  <c:v>438.57142857142856</c:v>
                </c:pt>
                <c:pt idx="251">
                  <c:v>474</c:v>
                </c:pt>
                <c:pt idx="252">
                  <c:v>526</c:v>
                </c:pt>
                <c:pt idx="253">
                  <c:v>577</c:v>
                </c:pt>
                <c:pt idx="254">
                  <c:v>592.71428571428567</c:v>
                </c:pt>
                <c:pt idx="255">
                  <c:v>606.28571428571433</c:v>
                </c:pt>
                <c:pt idx="256">
                  <c:v>642</c:v>
                </c:pt>
                <c:pt idx="257">
                  <c:v>634.71428571428567</c:v>
                </c:pt>
                <c:pt idx="258">
                  <c:v>639.57142857142856</c:v>
                </c:pt>
                <c:pt idx="259">
                  <c:v>588.85714285714289</c:v>
                </c:pt>
                <c:pt idx="260">
                  <c:v>559.57142857142856</c:v>
                </c:pt>
                <c:pt idx="261">
                  <c:v>552.85714285714289</c:v>
                </c:pt>
                <c:pt idx="262">
                  <c:v>548.57142857142856</c:v>
                </c:pt>
                <c:pt idx="263">
                  <c:v>532.14285714285711</c:v>
                </c:pt>
                <c:pt idx="264">
                  <c:v>554</c:v>
                </c:pt>
                <c:pt idx="265">
                  <c:v>529.57142857142856</c:v>
                </c:pt>
                <c:pt idx="266">
                  <c:v>525.57142857142856</c:v>
                </c:pt>
                <c:pt idx="267">
                  <c:v>513.85714285714289</c:v>
                </c:pt>
                <c:pt idx="268">
                  <c:v>494.85714285714283</c:v>
                </c:pt>
                <c:pt idx="269">
                  <c:v>485.14285714285717</c:v>
                </c:pt>
                <c:pt idx="270">
                  <c:v>449.85714285714283</c:v>
                </c:pt>
                <c:pt idx="271">
                  <c:v>421.42857142857144</c:v>
                </c:pt>
                <c:pt idx="272">
                  <c:v>400.42857142857144</c:v>
                </c:pt>
                <c:pt idx="273">
                  <c:v>389</c:v>
                </c:pt>
                <c:pt idx="274">
                  <c:v>372.28571428571428</c:v>
                </c:pt>
                <c:pt idx="275">
                  <c:v>350.85714285714283</c:v>
                </c:pt>
                <c:pt idx="276">
                  <c:v>349.14285714285717</c:v>
                </c:pt>
                <c:pt idx="277">
                  <c:v>340.71428571428572</c:v>
                </c:pt>
                <c:pt idx="278">
                  <c:v>333.85714285714283</c:v>
                </c:pt>
                <c:pt idx="279">
                  <c:v>320.14285714285717</c:v>
                </c:pt>
                <c:pt idx="280">
                  <c:v>318.28571428571428</c:v>
                </c:pt>
                <c:pt idx="281">
                  <c:v>312.85714285714283</c:v>
                </c:pt>
                <c:pt idx="282">
                  <c:v>328.42857142857144</c:v>
                </c:pt>
                <c:pt idx="283">
                  <c:v>323.42857142857144</c:v>
                </c:pt>
                <c:pt idx="284">
                  <c:v>328.28571428571428</c:v>
                </c:pt>
                <c:pt idx="285">
                  <c:v>324.71428571428572</c:v>
                </c:pt>
                <c:pt idx="286">
                  <c:v>331</c:v>
                </c:pt>
                <c:pt idx="287">
                  <c:v>327.57142857142856</c:v>
                </c:pt>
                <c:pt idx="288">
                  <c:v>323.85714285714283</c:v>
                </c:pt>
                <c:pt idx="289">
                  <c:v>302.85714285714283</c:v>
                </c:pt>
                <c:pt idx="290">
                  <c:v>300</c:v>
                </c:pt>
                <c:pt idx="291">
                  <c:v>304.85714285714283</c:v>
                </c:pt>
                <c:pt idx="292">
                  <c:v>307.71428571428572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D7A-42B1-8043-FB7C1F4D9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728640"/>
        <c:axId val="1794485296"/>
      </c:lineChart>
      <c:dateAx>
        <c:axId val="1681875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31016387"/>
        <c:crosses val="autoZero"/>
        <c:auto val="1"/>
        <c:lblOffset val="100"/>
        <c:baseTimeUnit val="days"/>
      </c:dateAx>
      <c:valAx>
        <c:axId val="131016387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68187549"/>
        <c:crosses val="autoZero"/>
        <c:crossBetween val="between"/>
      </c:valAx>
      <c:dateAx>
        <c:axId val="1707728640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1794485296"/>
        <c:crosses val="autoZero"/>
        <c:auto val="1"/>
        <c:lblOffset val="100"/>
        <c:baseTimeUnit val="days"/>
      </c:dateAx>
      <c:valAx>
        <c:axId val="1794485296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70772864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Małopolskiego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Województwa'!$AS$2</c:f>
              <c:strCache>
                <c:ptCount val="1"/>
                <c:pt idx="0">
                  <c:v>Małopolskie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Województwa'!$AS$3:$AS$1000</c:f>
              <c:numCache>
                <c:formatCode>General</c:formatCode>
                <c:ptCount val="998"/>
                <c:pt idx="27" formatCode="0.0000">
                  <c:v>1.3701731025299604</c:v>
                </c:pt>
                <c:pt idx="28" formatCode="0.0000">
                  <c:v>1.1730946813462806</c:v>
                </c:pt>
                <c:pt idx="29" formatCode="0.0000">
                  <c:v>1.090383882659224</c:v>
                </c:pt>
                <c:pt idx="30" formatCode="0.0000">
                  <c:v>1.1065332856480037</c:v>
                </c:pt>
                <c:pt idx="31" formatCode="0.0000">
                  <c:v>1.2295965648625553</c:v>
                </c:pt>
                <c:pt idx="32" formatCode="0.0000">
                  <c:v>1.3986267174399607</c:v>
                </c:pt>
                <c:pt idx="33" formatCode="0.0000">
                  <c:v>1.3112443794241482</c:v>
                </c:pt>
                <c:pt idx="34" formatCode="0.0000">
                  <c:v>1.2497638494853525</c:v>
                </c:pt>
                <c:pt idx="35" formatCode="0.0000">
                  <c:v>1.2457558954537007</c:v>
                </c:pt>
                <c:pt idx="36" formatCode="0.0000">
                  <c:v>1.2872658255155986</c:v>
                </c:pt>
                <c:pt idx="37" formatCode="0.0000">
                  <c:v>1.3268275975041848</c:v>
                </c:pt>
                <c:pt idx="38" formatCode="0.0000">
                  <c:v>1.1941849234868247</c:v>
                </c:pt>
                <c:pt idx="39" formatCode="0.0000">
                  <c:v>1.0663379761852547</c:v>
                </c:pt>
                <c:pt idx="40" formatCode="0.0000">
                  <c:v>1.0595942653876635</c:v>
                </c:pt>
                <c:pt idx="41" formatCode="0.0000">
                  <c:v>1.0004337162167327</c:v>
                </c:pt>
                <c:pt idx="42" formatCode="0.0000">
                  <c:v>0.98274701107510565</c:v>
                </c:pt>
                <c:pt idx="43" formatCode="0.0000">
                  <c:v>0.96165130356951189</c:v>
                </c:pt>
                <c:pt idx="44" formatCode="0.0000">
                  <c:v>0.84522624210667152</c:v>
                </c:pt>
                <c:pt idx="45" formatCode="0.0000">
                  <c:v>0.87174475134258311</c:v>
                </c:pt>
                <c:pt idx="46" formatCode="0.0000">
                  <c:v>0.90616489935434963</c:v>
                </c:pt>
                <c:pt idx="47" formatCode="0.0000">
                  <c:v>0.89905855799363132</c:v>
                </c:pt>
                <c:pt idx="48" formatCode="0.0000">
                  <c:v>1.0366848338930124</c:v>
                </c:pt>
                <c:pt idx="49" formatCode="0.0000">
                  <c:v>1.0876548573298526</c:v>
                </c:pt>
                <c:pt idx="50" formatCode="0.0000">
                  <c:v>1.0936850002997018</c:v>
                </c:pt>
                <c:pt idx="51" formatCode="0.0000">
                  <c:v>1.1905900909477329</c:v>
                </c:pt>
                <c:pt idx="52" formatCode="0.0000">
                  <c:v>1.1728011838074093</c:v>
                </c:pt>
                <c:pt idx="53" formatCode="0.0000">
                  <c:v>1.0816781135373714</c:v>
                </c:pt>
                <c:pt idx="54" formatCode="0.0000">
                  <c:v>1.0344554821645437</c:v>
                </c:pt>
                <c:pt idx="55" formatCode="0.0000">
                  <c:v>0.94733334263100122</c:v>
                </c:pt>
                <c:pt idx="56" formatCode="0.0000">
                  <c:v>0.84892115274816249</c:v>
                </c:pt>
                <c:pt idx="57" formatCode="0.0000">
                  <c:v>0.85570784363483654</c:v>
                </c:pt>
                <c:pt idx="58" formatCode="0.0000">
                  <c:v>0.81218051905516098</c:v>
                </c:pt>
                <c:pt idx="59" formatCode="0.0000">
                  <c:v>0.79807884916722549</c:v>
                </c:pt>
                <c:pt idx="60" formatCode="0.0000">
                  <c:v>0.8089147875030791</c:v>
                </c:pt>
                <c:pt idx="61" formatCode="0.0000">
                  <c:v>0.82720662303711678</c:v>
                </c:pt>
                <c:pt idx="62" formatCode="0.0000">
                  <c:v>0.94205986928889174</c:v>
                </c:pt>
                <c:pt idx="63" formatCode="0.0000">
                  <c:v>1.0155331701982226</c:v>
                </c:pt>
                <c:pt idx="64" formatCode="0.0000">
                  <c:v>0.93224271743000997</c:v>
                </c:pt>
                <c:pt idx="65" formatCode="0.0000">
                  <c:v>0.86355549041989665</c:v>
                </c:pt>
                <c:pt idx="66" formatCode="0.0000">
                  <c:v>0.86522398093054165</c:v>
                </c:pt>
                <c:pt idx="67" formatCode="0.0000">
                  <c:v>0.79939825342603377</c:v>
                </c:pt>
                <c:pt idx="68" formatCode="0.0000">
                  <c:v>0.76429393333752171</c:v>
                </c:pt>
                <c:pt idx="69" formatCode="0.0000">
                  <c:v>0.75622922329911646</c:v>
                </c:pt>
                <c:pt idx="70" formatCode="0.0000">
                  <c:v>0.63912356436878659</c:v>
                </c:pt>
                <c:pt idx="71" formatCode="0.0000">
                  <c:v>0.65760207611375654</c:v>
                </c:pt>
                <c:pt idx="72" formatCode="0.0000">
                  <c:v>0.83677281730825503</c:v>
                </c:pt>
                <c:pt idx="73" formatCode="0.0000">
                  <c:v>0.81234025429366419</c:v>
                </c:pt>
                <c:pt idx="74" formatCode="0.0000">
                  <c:v>0.80166124178918141</c:v>
                </c:pt>
                <c:pt idx="75" formatCode="0.0000">
                  <c:v>0.81045105298055042</c:v>
                </c:pt>
                <c:pt idx="76" formatCode="0.0000">
                  <c:v>0.6382042739088799</c:v>
                </c:pt>
                <c:pt idx="77" formatCode="0.0000">
                  <c:v>0.80824386704383389</c:v>
                </c:pt>
                <c:pt idx="78" formatCode="0.0000">
                  <c:v>0.73257411235359704</c:v>
                </c:pt>
                <c:pt idx="79" formatCode="0.0000">
                  <c:v>0.69219434675037361</c:v>
                </c:pt>
                <c:pt idx="80" formatCode="0.0000">
                  <c:v>0.63339481109476892</c:v>
                </c:pt>
                <c:pt idx="81" formatCode="0.0000">
                  <c:v>0.62283363891983801</c:v>
                </c:pt>
                <c:pt idx="82" formatCode="0.0000">
                  <c:v>0.660977175244292</c:v>
                </c:pt>
                <c:pt idx="83" formatCode="0.0000">
                  <c:v>0.60083334619934436</c:v>
                </c:pt>
                <c:pt idx="84" formatCode="0.0000">
                  <c:v>0.46489061934028786</c:v>
                </c:pt>
                <c:pt idx="85" formatCode="0.0000">
                  <c:v>0.48413240319264322</c:v>
                </c:pt>
                <c:pt idx="86" formatCode="0.0000">
                  <c:v>0.49284861826308202</c:v>
                </c:pt>
                <c:pt idx="87" formatCode="0.0000">
                  <c:v>0.64821651004059699</c:v>
                </c:pt>
                <c:pt idx="88" formatCode="0.0000">
                  <c:v>0.93837712218736535</c:v>
                </c:pt>
                <c:pt idx="89" formatCode="0.0000">
                  <c:v>1.0380912193665688</c:v>
                </c:pt>
                <c:pt idx="90" formatCode="0.0000">
                  <c:v>1.160238361923658</c:v>
                </c:pt>
                <c:pt idx="91" formatCode="0.0000">
                  <c:v>1.2776659382045576</c:v>
                </c:pt>
                <c:pt idx="92" formatCode="0.0000">
                  <c:v>1.5089066439394252</c:v>
                </c:pt>
                <c:pt idx="93" formatCode="0.0000">
                  <c:v>1.6077080446580376</c:v>
                </c:pt>
                <c:pt idx="94" formatCode="0.0000">
                  <c:v>1.7747646505705761</c:v>
                </c:pt>
                <c:pt idx="95" formatCode="0.0000">
                  <c:v>1.6605284576726385</c:v>
                </c:pt>
                <c:pt idx="96" formatCode="0.0000">
                  <c:v>1.7930388021166301</c:v>
                </c:pt>
                <c:pt idx="97" formatCode="0.0000">
                  <c:v>1.9220694318605598</c:v>
                </c:pt>
                <c:pt idx="98" formatCode="0.0000">
                  <c:v>2.0687184067262412</c:v>
                </c:pt>
                <c:pt idx="99" formatCode="0.0000">
                  <c:v>1.9211738926310653</c:v>
                </c:pt>
                <c:pt idx="100" formatCode="0.0000">
                  <c:v>1.6604397317932607</c:v>
                </c:pt>
                <c:pt idx="101" formatCode="0.0000">
                  <c:v>1.403750835206812</c:v>
                </c:pt>
                <c:pt idx="102" formatCode="0.0000">
                  <c:v>1.3024556278118991</c:v>
                </c:pt>
                <c:pt idx="103" formatCode="0.0000">
                  <c:v>1.109238640814316</c:v>
                </c:pt>
                <c:pt idx="104" formatCode="0.0000">
                  <c:v>0.92738062265295351</c:v>
                </c:pt>
                <c:pt idx="105" formatCode="0.0000">
                  <c:v>0.70230811609375365</c:v>
                </c:pt>
                <c:pt idx="106" formatCode="0.0000">
                  <c:v>0.77430627693029874</c:v>
                </c:pt>
                <c:pt idx="107" formatCode="0.0000">
                  <c:v>0.81454378892502166</c:v>
                </c:pt>
                <c:pt idx="108" formatCode="0.0000">
                  <c:v>0.8342081408550952</c:v>
                </c:pt>
                <c:pt idx="109" formatCode="0.0000">
                  <c:v>0.90395934607769035</c:v>
                </c:pt>
                <c:pt idx="110" formatCode="0.0000">
                  <c:v>0.9172925119256875</c:v>
                </c:pt>
                <c:pt idx="111" formatCode="0.0000">
                  <c:v>0.898609717987499</c:v>
                </c:pt>
                <c:pt idx="112" formatCode="0.0000">
                  <c:v>0.81744079771584555</c:v>
                </c:pt>
                <c:pt idx="113" formatCode="0.0000">
                  <c:v>0.67069801021740594</c:v>
                </c:pt>
                <c:pt idx="114" formatCode="0.0000">
                  <c:v>0.70035572462820517</c:v>
                </c:pt>
                <c:pt idx="115" formatCode="0.0000">
                  <c:v>0.7897586431947049</c:v>
                </c:pt>
                <c:pt idx="116" formatCode="0.0000">
                  <c:v>0.69744834571725123</c:v>
                </c:pt>
                <c:pt idx="117" formatCode="0.0000">
                  <c:v>0.77137749457579674</c:v>
                </c:pt>
                <c:pt idx="118" formatCode="0.0000">
                  <c:v>0.89414680807130387</c:v>
                </c:pt>
                <c:pt idx="119" formatCode="0.0000">
                  <c:v>1.3382843230103449</c:v>
                </c:pt>
                <c:pt idx="120" formatCode="0.0000">
                  <c:v>1.4286262612510578</c:v>
                </c:pt>
                <c:pt idx="121" formatCode="0.0000">
                  <c:v>1.5312704904800862</c:v>
                </c:pt>
                <c:pt idx="122" formatCode="0.0000">
                  <c:v>1.4252112037073705</c:v>
                </c:pt>
                <c:pt idx="123" formatCode="0.0000">
                  <c:v>1.5362593266333584</c:v>
                </c:pt>
                <c:pt idx="124" formatCode="0.0000">
                  <c:v>1.4494922285289975</c:v>
                </c:pt>
                <c:pt idx="125" formatCode="0.0000">
                  <c:v>1.3633887937046327</c:v>
                </c:pt>
                <c:pt idx="126" formatCode="0.0000">
                  <c:v>1.0624243881029158</c:v>
                </c:pt>
                <c:pt idx="127" formatCode="0.0000">
                  <c:v>1.1306884367437284</c:v>
                </c:pt>
                <c:pt idx="128" formatCode="0.0000">
                  <c:v>1.1473177983139522</c:v>
                </c:pt>
                <c:pt idx="129" formatCode="0.0000">
                  <c:v>1.1738293961391009</c:v>
                </c:pt>
                <c:pt idx="130" formatCode="0.0000">
                  <c:v>1.2976565470807617</c:v>
                </c:pt>
                <c:pt idx="131" formatCode="0.0000">
                  <c:v>1.3342677381793007</c:v>
                </c:pt>
                <c:pt idx="132" formatCode="0.0000">
                  <c:v>1.4504569495473056</c:v>
                </c:pt>
                <c:pt idx="133" formatCode="0.0000">
                  <c:v>1.5108423350753903</c:v>
                </c:pt>
                <c:pt idx="134" formatCode="0.0000">
                  <c:v>1.5003090254729585</c:v>
                </c:pt>
                <c:pt idx="135" formatCode="0.0000">
                  <c:v>1.5179585400215403</c:v>
                </c:pt>
                <c:pt idx="136" formatCode="0.0000">
                  <c:v>1.6719903056727803</c:v>
                </c:pt>
                <c:pt idx="137" formatCode="0.0000">
                  <c:v>1.5895060967725989</c:v>
                </c:pt>
                <c:pt idx="138" formatCode="0.0000">
                  <c:v>1.7884599016021332</c:v>
                </c:pt>
                <c:pt idx="139" formatCode="0.0000">
                  <c:v>1.6871471441592949</c:v>
                </c:pt>
                <c:pt idx="140" formatCode="0.0000">
                  <c:v>1.6300885027340197</c:v>
                </c:pt>
                <c:pt idx="141" formatCode="0.0000">
                  <c:v>1.5591794551011735</c:v>
                </c:pt>
                <c:pt idx="142" formatCode="0.0000">
                  <c:v>1.4918234916559054</c:v>
                </c:pt>
                <c:pt idx="143" formatCode="0.0000">
                  <c:v>1.4636965562306623</c:v>
                </c:pt>
                <c:pt idx="144" formatCode="0.0000">
                  <c:v>1.5209070518294345</c:v>
                </c:pt>
                <c:pt idx="145" formatCode="0.0000">
                  <c:v>1.3737180937166202</c:v>
                </c:pt>
                <c:pt idx="146" formatCode="0.0000">
                  <c:v>1.3813927386583369</c:v>
                </c:pt>
                <c:pt idx="147" formatCode="0.0000">
                  <c:v>1.3857728216823879</c:v>
                </c:pt>
                <c:pt idx="148" formatCode="0.0000">
                  <c:v>1.4405635056265158</c:v>
                </c:pt>
                <c:pt idx="149" formatCode="0.0000">
                  <c:v>1.4742082506459151</c:v>
                </c:pt>
                <c:pt idx="150" formatCode="0.0000">
                  <c:v>1.3497638459803152</c:v>
                </c:pt>
                <c:pt idx="151" formatCode="0.0000">
                  <c:v>1.2844160971685847</c:v>
                </c:pt>
                <c:pt idx="152" formatCode="0.0000">
                  <c:v>1.1864234047644011</c:v>
                </c:pt>
                <c:pt idx="153" formatCode="0.0000">
                  <c:v>1.1945728336310399</c:v>
                </c:pt>
                <c:pt idx="154" formatCode="0.0000">
                  <c:v>1.1616243652690379</c:v>
                </c:pt>
                <c:pt idx="155" formatCode="0.0000">
                  <c:v>1.1171076417316914</c:v>
                </c:pt>
                <c:pt idx="156" formatCode="0.0000">
                  <c:v>1.0702679038224614</c:v>
                </c:pt>
                <c:pt idx="157" formatCode="0.0000">
                  <c:v>1.1634639033744254</c:v>
                </c:pt>
                <c:pt idx="158" formatCode="0.0000">
                  <c:v>1.0809026265034738</c:v>
                </c:pt>
                <c:pt idx="159" formatCode="0.0000">
                  <c:v>1.1161827763355419</c:v>
                </c:pt>
                <c:pt idx="160" formatCode="0.0000">
                  <c:v>1.2348893038771478</c:v>
                </c:pt>
                <c:pt idx="161" formatCode="0.0000">
                  <c:v>1.1861607648310881</c:v>
                </c:pt>
                <c:pt idx="162" formatCode="0.0000">
                  <c:v>1.2720352712680612</c:v>
                </c:pt>
                <c:pt idx="163" formatCode="0.0000">
                  <c:v>1.2516211413983405</c:v>
                </c:pt>
                <c:pt idx="164" formatCode="0.0000">
                  <c:v>1.2528781194134382</c:v>
                </c:pt>
                <c:pt idx="165" formatCode="0.0000">
                  <c:v>1.2443914186075047</c:v>
                </c:pt>
                <c:pt idx="166" formatCode="0.0000">
                  <c:v>1.1806357786901123</c:v>
                </c:pt>
                <c:pt idx="167" formatCode="0.0000">
                  <c:v>1.0401094278872742</c:v>
                </c:pt>
                <c:pt idx="168" formatCode="0.0000">
                  <c:v>1.1084560488978967</c:v>
                </c:pt>
                <c:pt idx="169" formatCode="0.0000">
                  <c:v>1.0480132218413438</c:v>
                </c:pt>
                <c:pt idx="170" formatCode="0.0000">
                  <c:v>1.0587093120577376</c:v>
                </c:pt>
                <c:pt idx="171" formatCode="0.0000">
                  <c:v>1.0162620507647639</c:v>
                </c:pt>
                <c:pt idx="172" formatCode="0.0000">
                  <c:v>1.0611112262978906</c:v>
                </c:pt>
                <c:pt idx="173" formatCode="0.0000">
                  <c:v>1.0781100649641442</c:v>
                </c:pt>
                <c:pt idx="174" formatCode="0.0000">
                  <c:v>1.0468880417978765</c:v>
                </c:pt>
                <c:pt idx="175" formatCode="0.0000">
                  <c:v>1.0535863951432423</c:v>
                </c:pt>
                <c:pt idx="176" formatCode="0.0000">
                  <c:v>1.0212456387777489</c:v>
                </c:pt>
                <c:pt idx="177" formatCode="0.0000">
                  <c:v>1.1125805268778572</c:v>
                </c:pt>
                <c:pt idx="178" formatCode="0.0000">
                  <c:v>1.078861897896791</c:v>
                </c:pt>
                <c:pt idx="179" formatCode="0.0000">
                  <c:v>0.99937932865927415</c:v>
                </c:pt>
                <c:pt idx="180" formatCode="0.0000">
                  <c:v>1.0573377031876128</c:v>
                </c:pt>
                <c:pt idx="181" formatCode="0.0000">
                  <c:v>1.0726710862957485</c:v>
                </c:pt>
                <c:pt idx="182" formatCode="0.0000">
                  <c:v>1.0572837515810567</c:v>
                </c:pt>
                <c:pt idx="183" formatCode="0.0000">
                  <c:v>1.0467108219668086</c:v>
                </c:pt>
                <c:pt idx="184" formatCode="0.0000">
                  <c:v>0.89053617359074277</c:v>
                </c:pt>
                <c:pt idx="185" formatCode="0.0000">
                  <c:v>0.88573721390321425</c:v>
                </c:pt>
                <c:pt idx="186" formatCode="0.0000">
                  <c:v>0.89279836014545044</c:v>
                </c:pt>
                <c:pt idx="187" formatCode="0.0000">
                  <c:v>0.83861767634582685</c:v>
                </c:pt>
                <c:pt idx="188" formatCode="0.0000">
                  <c:v>0.86381119606935619</c:v>
                </c:pt>
                <c:pt idx="189" formatCode="0.0000">
                  <c:v>0.83714773576491053</c:v>
                </c:pt>
                <c:pt idx="190" formatCode="0.0000">
                  <c:v>0.79942739935691109</c:v>
                </c:pt>
                <c:pt idx="191" formatCode="0.0000">
                  <c:v>0.82307865162072635</c:v>
                </c:pt>
                <c:pt idx="192" formatCode="0.0000">
                  <c:v>0.84464236459172348</c:v>
                </c:pt>
                <c:pt idx="193" formatCode="0.0000">
                  <c:v>0.83207346775627289</c:v>
                </c:pt>
                <c:pt idx="194" formatCode="0.0000">
                  <c:v>0.81867286401432826</c:v>
                </c:pt>
                <c:pt idx="195" formatCode="0.0000">
                  <c:v>0.78824349985405895</c:v>
                </c:pt>
                <c:pt idx="196" formatCode="0.0000">
                  <c:v>0.85326352126558924</c:v>
                </c:pt>
                <c:pt idx="197" formatCode="0.0000">
                  <c:v>0.93274450068688863</c:v>
                </c:pt>
                <c:pt idx="198" formatCode="0.0000">
                  <c:v>0.97912928102036834</c:v>
                </c:pt>
                <c:pt idx="199" formatCode="0.0000">
                  <c:v>0.94981282221383645</c:v>
                </c:pt>
                <c:pt idx="200" formatCode="0.0000">
                  <c:v>1.0365654085104412</c:v>
                </c:pt>
                <c:pt idx="201" formatCode="0.0000">
                  <c:v>1.0831990908763647</c:v>
                </c:pt>
                <c:pt idx="202" formatCode="0.0000">
                  <c:v>1.1191114880344306</c:v>
                </c:pt>
                <c:pt idx="203" formatCode="0.0000">
                  <c:v>1.0879772414411977</c:v>
                </c:pt>
                <c:pt idx="204" formatCode="0.0000">
                  <c:v>1.1074434804770728</c:v>
                </c:pt>
                <c:pt idx="205" formatCode="0.0000">
                  <c:v>1.1671460912412006</c:v>
                </c:pt>
                <c:pt idx="206" formatCode="0.0000">
                  <c:v>1.3262322682306835</c:v>
                </c:pt>
                <c:pt idx="207" formatCode="0.0000">
                  <c:v>1.3848220746870437</c:v>
                </c:pt>
                <c:pt idx="208" formatCode="0.0000">
                  <c:v>1.3886077478765877</c:v>
                </c:pt>
                <c:pt idx="209" formatCode="0.0000">
                  <c:v>1.4019239766356613</c:v>
                </c:pt>
                <c:pt idx="210" formatCode="0.0000">
                  <c:v>1.4050739925465539</c:v>
                </c:pt>
                <c:pt idx="211" formatCode="0.0000">
                  <c:v>1.4116931905466217</c:v>
                </c:pt>
                <c:pt idx="212" formatCode="0.0000">
                  <c:v>1.425057827580021</c:v>
                </c:pt>
                <c:pt idx="213" formatCode="0.0000">
                  <c:v>1.3627659408546564</c:v>
                </c:pt>
                <c:pt idx="214" formatCode="0.0000">
                  <c:v>1.3068337539376429</c:v>
                </c:pt>
                <c:pt idx="215" formatCode="0.0000">
                  <c:v>1.2937535913072533</c:v>
                </c:pt>
                <c:pt idx="216" formatCode="0.0000">
                  <c:v>1.321451325898213</c:v>
                </c:pt>
                <c:pt idx="217" formatCode="0.0000">
                  <c:v>1.3496322918940551</c:v>
                </c:pt>
                <c:pt idx="218" formatCode="0.0000">
                  <c:v>1.3962796976885754</c:v>
                </c:pt>
                <c:pt idx="219" formatCode="0.0000">
                  <c:v>1.4761453733652161</c:v>
                </c:pt>
                <c:pt idx="220" formatCode="0.0000">
                  <c:v>1.6202225132291936</c:v>
                </c:pt>
                <c:pt idx="221" formatCode="0.0000">
                  <c:v>1.6685631319023551</c:v>
                </c:pt>
                <c:pt idx="222" formatCode="0.0000">
                  <c:v>1.795589368828288</c:v>
                </c:pt>
                <c:pt idx="223" formatCode="0.0000">
                  <c:v>1.8743003922052019</c:v>
                </c:pt>
                <c:pt idx="224" formatCode="0.0000">
                  <c:v>1.9642892145029553</c:v>
                </c:pt>
                <c:pt idx="225" formatCode="0.0000">
                  <c:v>2.0351527777170402</c:v>
                </c:pt>
                <c:pt idx="226" formatCode="0.0000">
                  <c:v>2.0052985505701444</c:v>
                </c:pt>
                <c:pt idx="227" formatCode="0.0000">
                  <c:v>1.8571839480313057</c:v>
                </c:pt>
                <c:pt idx="228" formatCode="0.0000">
                  <c:v>1.8276692503708867</c:v>
                </c:pt>
                <c:pt idx="229" formatCode="0.0000">
                  <c:v>1.7323101542930284</c:v>
                </c:pt>
                <c:pt idx="230" formatCode="0.0000">
                  <c:v>1.7030986495930982</c:v>
                </c:pt>
                <c:pt idx="231" formatCode="0.0000">
                  <c:v>1.6625936847489453</c:v>
                </c:pt>
                <c:pt idx="232" formatCode="0.0000">
                  <c:v>1.544925694714083</c:v>
                </c:pt>
                <c:pt idx="233" formatCode="0.0000">
                  <c:v>1.4259292666915182</c:v>
                </c:pt>
                <c:pt idx="234" formatCode="0.0000">
                  <c:v>1.4108693079408781</c:v>
                </c:pt>
                <c:pt idx="235" formatCode="0.0000">
                  <c:v>1.362922300142797</c:v>
                </c:pt>
                <c:pt idx="236" formatCode="0.0000">
                  <c:v>1.3378068313900069</c:v>
                </c:pt>
                <c:pt idx="237" formatCode="0.0000">
                  <c:v>1.2746709401840024</c:v>
                </c:pt>
                <c:pt idx="238" formatCode="0.0000">
                  <c:v>1.268051857980975</c:v>
                </c:pt>
                <c:pt idx="239" formatCode="0.0000">
                  <c:v>1.3195048825525804</c:v>
                </c:pt>
                <c:pt idx="240" formatCode="0.0000">
                  <c:v>1.3313582047766661</c:v>
                </c:pt>
                <c:pt idx="241" formatCode="0.0000">
                  <c:v>1.309725818583404</c:v>
                </c:pt>
                <c:pt idx="242" formatCode="0.0000">
                  <c:v>1.2828028181845639</c:v>
                </c:pt>
                <c:pt idx="243" formatCode="0.0000">
                  <c:v>1.2837892270112141</c:v>
                </c:pt>
                <c:pt idx="244" formatCode="0.0000">
                  <c:v>1.3061019638906064</c:v>
                </c:pt>
                <c:pt idx="245" formatCode="0.0000">
                  <c:v>1.2676275796902117</c:v>
                </c:pt>
                <c:pt idx="246" formatCode="0.0000">
                  <c:v>1.2192031240358372</c:v>
                </c:pt>
                <c:pt idx="247" formatCode="0.0000">
                  <c:v>1.2154586386017157</c:v>
                </c:pt>
                <c:pt idx="248" formatCode="0.0000">
                  <c:v>1.2508244432196041</c:v>
                </c:pt>
                <c:pt idx="249" formatCode="0.0000">
                  <c:v>1.2705058742715984</c:v>
                </c:pt>
                <c:pt idx="250" formatCode="0.0000">
                  <c:v>1.3322628302950368</c:v>
                </c:pt>
                <c:pt idx="251" formatCode="0.0000">
                  <c:v>1.3480131293235031</c:v>
                </c:pt>
                <c:pt idx="252" formatCode="0.0000">
                  <c:v>1.3313271768214647</c:v>
                </c:pt>
                <c:pt idx="253" formatCode="0.0000">
                  <c:v>1.3217067312723485</c:v>
                </c:pt>
                <c:pt idx="254" formatCode="0.0000">
                  <c:v>1.2573010956546413</c:v>
                </c:pt>
                <c:pt idx="255" formatCode="0.0000">
                  <c:v>1.1753553570834026</c:v>
                </c:pt>
                <c:pt idx="256" formatCode="0.0000">
                  <c:v>1.1321550751061831</c:v>
                </c:pt>
                <c:pt idx="257" formatCode="0.0000">
                  <c:v>1.0499488987584293</c:v>
                </c:pt>
                <c:pt idx="258" formatCode="0.0000">
                  <c:v>0.95574307052649388</c:v>
                </c:pt>
                <c:pt idx="259" formatCode="0.0000">
                  <c:v>0.8985362697828706</c:v>
                </c:pt>
                <c:pt idx="260" formatCode="0.0000">
                  <c:v>0.82601049735919274</c:v>
                </c:pt>
                <c:pt idx="261" formatCode="0.0000">
                  <c:v>0.81772985981173629</c:v>
                </c:pt>
                <c:pt idx="262" formatCode="0.0000">
                  <c:v>0.82601808446048219</c:v>
                </c:pt>
                <c:pt idx="263" formatCode="0.0000">
                  <c:v>0.85298762585650834</c:v>
                </c:pt>
                <c:pt idx="264" formatCode="0.0000">
                  <c:v>0.84186879020097882</c:v>
                </c:pt>
                <c:pt idx="265" formatCode="0.0000">
                  <c:v>0.86425342053357057</c:v>
                </c:pt>
                <c:pt idx="266" formatCode="0.0000">
                  <c:v>0.78547389992690742</c:v>
                </c:pt>
                <c:pt idx="267" formatCode="0.0000">
                  <c:v>0.75479928275387154</c:v>
                </c:pt>
                <c:pt idx="268" formatCode="0.0000">
                  <c:v>0.71966796955416767</c:v>
                </c:pt>
                <c:pt idx="269" formatCode="0.0000">
                  <c:v>0.65828119331095258</c:v>
                </c:pt>
                <c:pt idx="270" formatCode="0.0000">
                  <c:v>0.56544843208658835</c:v>
                </c:pt>
                <c:pt idx="271" formatCode="0.0000">
                  <c:v>0.51139559669707713</c:v>
                </c:pt>
                <c:pt idx="272" formatCode="0.0000">
                  <c:v>0.44155656107228181</c:v>
                </c:pt>
                <c:pt idx="273" formatCode="0.0000">
                  <c:v>0.4714613732304942</c:v>
                </c:pt>
                <c:pt idx="274" formatCode="0.0000">
                  <c:v>0.51437163725232937</c:v>
                </c:pt>
                <c:pt idx="275" formatCode="0.0000">
                  <c:v>0.52894598783715807</c:v>
                </c:pt>
                <c:pt idx="276" formatCode="0.0000">
                  <c:v>0.53979708861590614</c:v>
                </c:pt>
                <c:pt idx="277" formatCode="0.0000">
                  <c:v>0.56313859438348424</c:v>
                </c:pt>
                <c:pt idx="278" formatCode="0.0000">
                  <c:v>0.58098525156793523</c:v>
                </c:pt>
                <c:pt idx="279" formatCode="0.0000">
                  <c:v>0.5872650462494643</c:v>
                </c:pt>
                <c:pt idx="280" formatCode="0.0000">
                  <c:v>0.74847838046333171</c:v>
                </c:pt>
                <c:pt idx="281" formatCode="0.0000">
                  <c:v>0.73550172629172761</c:v>
                </c:pt>
                <c:pt idx="282" formatCode="0.0000">
                  <c:v>0.73550617374730565</c:v>
                </c:pt>
                <c:pt idx="283" formatCode="0.0000">
                  <c:v>0.73965205493277797</c:v>
                </c:pt>
                <c:pt idx="284" formatCode="0.0000">
                  <c:v>0.73704511179805132</c:v>
                </c:pt>
                <c:pt idx="285" formatCode="0.0000">
                  <c:v>0.74231566918794112</c:v>
                </c:pt>
                <c:pt idx="286" formatCode="0.0000">
                  <c:v>0.73731797860050396</c:v>
                </c:pt>
                <c:pt idx="287" formatCode="0.0000">
                  <c:v>0.57392667586410673</c:v>
                </c:pt>
                <c:pt idx="288" formatCode="0.0000">
                  <c:v>0.62757700014711026</c:v>
                </c:pt>
                <c:pt idx="289" formatCode="0.0000">
                  <c:v>0.63353780480113175</c:v>
                </c:pt>
                <c:pt idx="290" formatCode="0.0000">
                  <c:v>0.65741981300961239</c:v>
                </c:pt>
                <c:pt idx="291" formatCode="0.0000">
                  <c:v>0.69175716153130218</c:v>
                </c:pt>
                <c:pt idx="292" formatCode="0.0000">
                  <c:v>0.71929408888023005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A93-4DA7-8ECD-62F7E7CCE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175636"/>
        <c:axId val="437298318"/>
      </c:lineChart>
      <c:lineChart>
        <c:grouping val="standard"/>
        <c:varyColors val="0"/>
        <c:ser>
          <c:idx val="1"/>
          <c:order val="1"/>
          <c:tx>
            <c:strRef>
              <c:f>'R(t) Województwa'!$AO$2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Województwa'!$AO$3:$AO$1000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0.14285714285714285</c:v>
                </c:pt>
                <c:pt idx="7">
                  <c:v>0.14285714285714285</c:v>
                </c:pt>
                <c:pt idx="8">
                  <c:v>0.14285714285714285</c:v>
                </c:pt>
                <c:pt idx="9">
                  <c:v>0.14285714285714285</c:v>
                </c:pt>
                <c:pt idx="10">
                  <c:v>0.14285714285714285</c:v>
                </c:pt>
                <c:pt idx="11">
                  <c:v>0.14285714285714285</c:v>
                </c:pt>
                <c:pt idx="12">
                  <c:v>0.14285714285714285</c:v>
                </c:pt>
                <c:pt idx="13">
                  <c:v>0.14285714285714285</c:v>
                </c:pt>
                <c:pt idx="14">
                  <c:v>0.5714285714285714</c:v>
                </c:pt>
                <c:pt idx="15">
                  <c:v>0.7142857142857143</c:v>
                </c:pt>
                <c:pt idx="16">
                  <c:v>0.8571428571428571</c:v>
                </c:pt>
                <c:pt idx="17">
                  <c:v>1.8571428571428572</c:v>
                </c:pt>
                <c:pt idx="18">
                  <c:v>2.1428571428571428</c:v>
                </c:pt>
                <c:pt idx="19">
                  <c:v>3.2857142857142856</c:v>
                </c:pt>
                <c:pt idx="20">
                  <c:v>4.4285714285714288</c:v>
                </c:pt>
                <c:pt idx="21">
                  <c:v>6.2857142857142856</c:v>
                </c:pt>
                <c:pt idx="22">
                  <c:v>7.1428571428571432</c:v>
                </c:pt>
                <c:pt idx="23">
                  <c:v>8.8571428571428577</c:v>
                </c:pt>
                <c:pt idx="24">
                  <c:v>11.285714285714286</c:v>
                </c:pt>
                <c:pt idx="25">
                  <c:v>13.714285714285714</c:v>
                </c:pt>
                <c:pt idx="26">
                  <c:v>18</c:v>
                </c:pt>
                <c:pt idx="27">
                  <c:v>20.142857142857142</c:v>
                </c:pt>
                <c:pt idx="28">
                  <c:v>20.428571428571427</c:v>
                </c:pt>
                <c:pt idx="29">
                  <c:v>21.857142857142858</c:v>
                </c:pt>
                <c:pt idx="30">
                  <c:v>23</c:v>
                </c:pt>
                <c:pt idx="31">
                  <c:v>24.142857142857142</c:v>
                </c:pt>
                <c:pt idx="32">
                  <c:v>28</c:v>
                </c:pt>
                <c:pt idx="33">
                  <c:v>25.285714285714285</c:v>
                </c:pt>
                <c:pt idx="34">
                  <c:v>25</c:v>
                </c:pt>
                <c:pt idx="35">
                  <c:v>25.571428571428573</c:v>
                </c:pt>
                <c:pt idx="36">
                  <c:v>27.142857142857142</c:v>
                </c:pt>
                <c:pt idx="37">
                  <c:v>29</c:v>
                </c:pt>
                <c:pt idx="38">
                  <c:v>27.285714285714285</c:v>
                </c:pt>
                <c:pt idx="39">
                  <c:v>25.428571428571427</c:v>
                </c:pt>
                <c:pt idx="40">
                  <c:v>25.428571428571427</c:v>
                </c:pt>
                <c:pt idx="41">
                  <c:v>24.142857142857142</c:v>
                </c:pt>
                <c:pt idx="42">
                  <c:v>23.714285714285715</c:v>
                </c:pt>
                <c:pt idx="43">
                  <c:v>23.142857142857142</c:v>
                </c:pt>
                <c:pt idx="44">
                  <c:v>20.285714285714285</c:v>
                </c:pt>
                <c:pt idx="45">
                  <c:v>20.428571428571427</c:v>
                </c:pt>
                <c:pt idx="46">
                  <c:v>20.571428571428573</c:v>
                </c:pt>
                <c:pt idx="47">
                  <c:v>20.142857142857142</c:v>
                </c:pt>
                <c:pt idx="48">
                  <c:v>23</c:v>
                </c:pt>
                <c:pt idx="49">
                  <c:v>24.285714285714285</c:v>
                </c:pt>
                <c:pt idx="50">
                  <c:v>24.714285714285715</c:v>
                </c:pt>
                <c:pt idx="51">
                  <c:v>27.285714285714285</c:v>
                </c:pt>
                <c:pt idx="52">
                  <c:v>27.428571428571427</c:v>
                </c:pt>
                <c:pt idx="53">
                  <c:v>26</c:v>
                </c:pt>
                <c:pt idx="54">
                  <c:v>25</c:v>
                </c:pt>
                <c:pt idx="55">
                  <c:v>23.142857142857142</c:v>
                </c:pt>
                <c:pt idx="56">
                  <c:v>20.714285714285715</c:v>
                </c:pt>
                <c:pt idx="57">
                  <c:v>20.285714285714285</c:v>
                </c:pt>
                <c:pt idx="58">
                  <c:v>18.714285714285715</c:v>
                </c:pt>
                <c:pt idx="59">
                  <c:v>17.857142857142858</c:v>
                </c:pt>
                <c:pt idx="60">
                  <c:v>17.428571428571427</c:v>
                </c:pt>
                <c:pt idx="61">
                  <c:v>17.571428571428573</c:v>
                </c:pt>
                <c:pt idx="62">
                  <c:v>19.285714285714285</c:v>
                </c:pt>
                <c:pt idx="63">
                  <c:v>20.714285714285715</c:v>
                </c:pt>
                <c:pt idx="64">
                  <c:v>19</c:v>
                </c:pt>
                <c:pt idx="65">
                  <c:v>17.428571428571427</c:v>
                </c:pt>
                <c:pt idx="66">
                  <c:v>17.142857142857142</c:v>
                </c:pt>
                <c:pt idx="67">
                  <c:v>15.571428571428571</c:v>
                </c:pt>
                <c:pt idx="68">
                  <c:v>14.714285714285714</c:v>
                </c:pt>
                <c:pt idx="69">
                  <c:v>13.571428571428571</c:v>
                </c:pt>
                <c:pt idx="70">
                  <c:v>11</c:v>
                </c:pt>
                <c:pt idx="71">
                  <c:v>10.714285714285714</c:v>
                </c:pt>
                <c:pt idx="72">
                  <c:v>12.714285714285714</c:v>
                </c:pt>
                <c:pt idx="73">
                  <c:v>12</c:v>
                </c:pt>
                <c:pt idx="74">
                  <c:v>11.571428571428571</c:v>
                </c:pt>
                <c:pt idx="75">
                  <c:v>11.571428571428571</c:v>
                </c:pt>
                <c:pt idx="76">
                  <c:v>8.8571428571428577</c:v>
                </c:pt>
                <c:pt idx="77">
                  <c:v>10.571428571428571</c:v>
                </c:pt>
                <c:pt idx="78">
                  <c:v>9.4285714285714288</c:v>
                </c:pt>
                <c:pt idx="79">
                  <c:v>8.1428571428571423</c:v>
                </c:pt>
                <c:pt idx="80">
                  <c:v>7.1428571428571432</c:v>
                </c:pt>
                <c:pt idx="81">
                  <c:v>6.7142857142857144</c:v>
                </c:pt>
                <c:pt idx="82">
                  <c:v>6.8571428571428568</c:v>
                </c:pt>
                <c:pt idx="83">
                  <c:v>6.1428571428571432</c:v>
                </c:pt>
                <c:pt idx="84">
                  <c:v>4.4285714285714288</c:v>
                </c:pt>
                <c:pt idx="85">
                  <c:v>4.4285714285714288</c:v>
                </c:pt>
                <c:pt idx="86">
                  <c:v>3.5714285714285716</c:v>
                </c:pt>
                <c:pt idx="87">
                  <c:v>4.4285714285714288</c:v>
                </c:pt>
                <c:pt idx="88">
                  <c:v>6.1428571428571432</c:v>
                </c:pt>
                <c:pt idx="89">
                  <c:v>6.8571428571428568</c:v>
                </c:pt>
                <c:pt idx="90">
                  <c:v>7.8571428571428568</c:v>
                </c:pt>
                <c:pt idx="91">
                  <c:v>8.8571428571428577</c:v>
                </c:pt>
                <c:pt idx="92">
                  <c:v>10.857142857142858</c:v>
                </c:pt>
                <c:pt idx="93">
                  <c:v>12.571428571428571</c:v>
                </c:pt>
                <c:pt idx="94">
                  <c:v>15.285714285714286</c:v>
                </c:pt>
                <c:pt idx="95">
                  <c:v>16.142857142857142</c:v>
                </c:pt>
                <c:pt idx="96">
                  <c:v>19.285714285714285</c:v>
                </c:pt>
                <c:pt idx="97">
                  <c:v>22.571428571428573</c:v>
                </c:pt>
                <c:pt idx="98">
                  <c:v>27.285714285714285</c:v>
                </c:pt>
                <c:pt idx="99">
                  <c:v>27.857142857142858</c:v>
                </c:pt>
                <c:pt idx="100">
                  <c:v>26.142857142857142</c:v>
                </c:pt>
                <c:pt idx="101">
                  <c:v>24.142857142857142</c:v>
                </c:pt>
                <c:pt idx="102">
                  <c:v>23.571428571428573</c:v>
                </c:pt>
                <c:pt idx="103">
                  <c:v>21.285714285714285</c:v>
                </c:pt>
                <c:pt idx="104">
                  <c:v>18.285714285714285</c:v>
                </c:pt>
                <c:pt idx="105">
                  <c:v>13.857142857142858</c:v>
                </c:pt>
                <c:pt idx="106">
                  <c:v>14.285714285714286</c:v>
                </c:pt>
                <c:pt idx="107">
                  <c:v>14.714285714285714</c:v>
                </c:pt>
                <c:pt idx="108">
                  <c:v>14.714285714285714</c:v>
                </c:pt>
                <c:pt idx="109">
                  <c:v>15.428571428571429</c:v>
                </c:pt>
                <c:pt idx="110">
                  <c:v>15.428571428571429</c:v>
                </c:pt>
                <c:pt idx="111">
                  <c:v>15</c:v>
                </c:pt>
                <c:pt idx="112">
                  <c:v>13.571428571428571</c:v>
                </c:pt>
                <c:pt idx="113">
                  <c:v>11</c:v>
                </c:pt>
                <c:pt idx="114">
                  <c:v>10.857142857142858</c:v>
                </c:pt>
                <c:pt idx="115">
                  <c:v>11.428571428571429</c:v>
                </c:pt>
                <c:pt idx="116">
                  <c:v>9.5714285714285712</c:v>
                </c:pt>
                <c:pt idx="117">
                  <c:v>9.8571428571428577</c:v>
                </c:pt>
                <c:pt idx="118">
                  <c:v>11.285714285714286</c:v>
                </c:pt>
                <c:pt idx="119">
                  <c:v>17.285714285714285</c:v>
                </c:pt>
                <c:pt idx="120">
                  <c:v>19.142857142857142</c:v>
                </c:pt>
                <c:pt idx="121">
                  <c:v>21.714285714285715</c:v>
                </c:pt>
                <c:pt idx="122">
                  <c:v>21.142857142857142</c:v>
                </c:pt>
                <c:pt idx="123">
                  <c:v>23.857142857142858</c:v>
                </c:pt>
                <c:pt idx="124">
                  <c:v>23.714285714285715</c:v>
                </c:pt>
                <c:pt idx="125">
                  <c:v>23.142857142857142</c:v>
                </c:pt>
                <c:pt idx="126">
                  <c:v>19.857142857142858</c:v>
                </c:pt>
                <c:pt idx="127">
                  <c:v>21.285714285714285</c:v>
                </c:pt>
                <c:pt idx="128">
                  <c:v>22.142857142857142</c:v>
                </c:pt>
                <c:pt idx="129">
                  <c:v>23</c:v>
                </c:pt>
                <c:pt idx="130">
                  <c:v>26.428571428571427</c:v>
                </c:pt>
                <c:pt idx="131">
                  <c:v>28.142857142857142</c:v>
                </c:pt>
                <c:pt idx="132">
                  <c:v>31.857142857142858</c:v>
                </c:pt>
                <c:pt idx="133">
                  <c:v>35.142857142857146</c:v>
                </c:pt>
                <c:pt idx="134">
                  <c:v>37.285714285714285</c:v>
                </c:pt>
                <c:pt idx="135">
                  <c:v>40.857142857142854</c:v>
                </c:pt>
                <c:pt idx="136">
                  <c:v>48.142857142857146</c:v>
                </c:pt>
                <c:pt idx="137">
                  <c:v>51.428571428571431</c:v>
                </c:pt>
                <c:pt idx="138">
                  <c:v>63.714285714285715</c:v>
                </c:pt>
                <c:pt idx="139">
                  <c:v>64</c:v>
                </c:pt>
                <c:pt idx="140">
                  <c:v>66.571428571428569</c:v>
                </c:pt>
                <c:pt idx="141">
                  <c:v>67.571428571428569</c:v>
                </c:pt>
                <c:pt idx="142">
                  <c:v>69.714285714285708</c:v>
                </c:pt>
                <c:pt idx="143">
                  <c:v>73.857142857142861</c:v>
                </c:pt>
                <c:pt idx="144">
                  <c:v>83.285714285714292</c:v>
                </c:pt>
                <c:pt idx="145">
                  <c:v>82.428571428571431</c:v>
                </c:pt>
                <c:pt idx="146">
                  <c:v>85.428571428571431</c:v>
                </c:pt>
                <c:pt idx="147">
                  <c:v>89.571428571428569</c:v>
                </c:pt>
                <c:pt idx="148">
                  <c:v>97</c:v>
                </c:pt>
                <c:pt idx="149">
                  <c:v>105.28571428571429</c:v>
                </c:pt>
                <c:pt idx="150">
                  <c:v>102.14285714285714</c:v>
                </c:pt>
                <c:pt idx="151">
                  <c:v>104.28571428571429</c:v>
                </c:pt>
                <c:pt idx="152">
                  <c:v>99.571428571428569</c:v>
                </c:pt>
                <c:pt idx="153">
                  <c:v>102</c:v>
                </c:pt>
                <c:pt idx="154">
                  <c:v>101.57142857142857</c:v>
                </c:pt>
                <c:pt idx="155">
                  <c:v>99.857142857142861</c:v>
                </c:pt>
                <c:pt idx="156">
                  <c:v>97.714285714285708</c:v>
                </c:pt>
                <c:pt idx="157">
                  <c:v>107.28571428571429</c:v>
                </c:pt>
                <c:pt idx="158">
                  <c:v>102.57142857142857</c:v>
                </c:pt>
                <c:pt idx="159">
                  <c:v>107.14285714285714</c:v>
                </c:pt>
                <c:pt idx="160">
                  <c:v>121</c:v>
                </c:pt>
                <c:pt idx="161">
                  <c:v>118.57142857142857</c:v>
                </c:pt>
                <c:pt idx="162">
                  <c:v>130.42857142857142</c:v>
                </c:pt>
                <c:pt idx="163">
                  <c:v>133</c:v>
                </c:pt>
                <c:pt idx="164">
                  <c:v>138.71428571428572</c:v>
                </c:pt>
                <c:pt idx="165">
                  <c:v>142.42857142857142</c:v>
                </c:pt>
                <c:pt idx="166">
                  <c:v>138</c:v>
                </c:pt>
                <c:pt idx="167">
                  <c:v>125</c:v>
                </c:pt>
                <c:pt idx="168">
                  <c:v>133.42857142857142</c:v>
                </c:pt>
                <c:pt idx="169">
                  <c:v>128.71428571428572</c:v>
                </c:pt>
                <c:pt idx="170">
                  <c:v>130.85714285714286</c:v>
                </c:pt>
                <c:pt idx="171">
                  <c:v>126.85714285714286</c:v>
                </c:pt>
                <c:pt idx="172">
                  <c:v>133</c:v>
                </c:pt>
                <c:pt idx="173">
                  <c:v>136</c:v>
                </c:pt>
                <c:pt idx="174">
                  <c:v>132.71428571428572</c:v>
                </c:pt>
                <c:pt idx="175">
                  <c:v>134.28571428571428</c:v>
                </c:pt>
                <c:pt idx="176">
                  <c:v>131.14285714285714</c:v>
                </c:pt>
                <c:pt idx="177">
                  <c:v>142.85714285714286</c:v>
                </c:pt>
                <c:pt idx="178">
                  <c:v>140.42857142857142</c:v>
                </c:pt>
                <c:pt idx="179">
                  <c:v>131.14285714285714</c:v>
                </c:pt>
                <c:pt idx="180">
                  <c:v>139</c:v>
                </c:pt>
                <c:pt idx="181">
                  <c:v>141.57142857142858</c:v>
                </c:pt>
                <c:pt idx="182">
                  <c:v>140.85714285714286</c:v>
                </c:pt>
                <c:pt idx="183">
                  <c:v>140.28571428571428</c:v>
                </c:pt>
                <c:pt idx="184">
                  <c:v>121.28571428571429</c:v>
                </c:pt>
                <c:pt idx="185">
                  <c:v>118.57142857142857</c:v>
                </c:pt>
                <c:pt idx="186">
                  <c:v>117.42857142857143</c:v>
                </c:pt>
                <c:pt idx="187">
                  <c:v>108.42857142857143</c:v>
                </c:pt>
                <c:pt idx="188">
                  <c:v>109.71428571428571</c:v>
                </c:pt>
                <c:pt idx="189">
                  <c:v>104.14285714285714</c:v>
                </c:pt>
                <c:pt idx="190">
                  <c:v>97.428571428571431</c:v>
                </c:pt>
                <c:pt idx="191">
                  <c:v>97.285714285714292</c:v>
                </c:pt>
                <c:pt idx="192">
                  <c:v>96.714285714285708</c:v>
                </c:pt>
                <c:pt idx="193">
                  <c:v>92.857142857142861</c:v>
                </c:pt>
                <c:pt idx="194">
                  <c:v>89.428571428571431</c:v>
                </c:pt>
                <c:pt idx="195">
                  <c:v>84.285714285714292</c:v>
                </c:pt>
                <c:pt idx="196">
                  <c:v>87.571428571428569</c:v>
                </c:pt>
                <c:pt idx="197">
                  <c:v>93.857142857142861</c:v>
                </c:pt>
                <c:pt idx="198">
                  <c:v>97.428571428571431</c:v>
                </c:pt>
                <c:pt idx="199">
                  <c:v>94</c:v>
                </c:pt>
                <c:pt idx="200">
                  <c:v>102</c:v>
                </c:pt>
                <c:pt idx="201">
                  <c:v>107.28571428571429</c:v>
                </c:pt>
                <c:pt idx="202">
                  <c:v>111.71428571428571</c:v>
                </c:pt>
                <c:pt idx="203">
                  <c:v>110.57142857142857</c:v>
                </c:pt>
                <c:pt idx="204">
                  <c:v>114</c:v>
                </c:pt>
                <c:pt idx="205">
                  <c:v>122.42857142857143</c:v>
                </c:pt>
                <c:pt idx="206">
                  <c:v>143.71428571428572</c:v>
                </c:pt>
                <c:pt idx="207">
                  <c:v>159.42857142857142</c:v>
                </c:pt>
                <c:pt idx="208">
                  <c:v>166.42857142857142</c:v>
                </c:pt>
                <c:pt idx="209">
                  <c:v>173.71428571428572</c:v>
                </c:pt>
                <c:pt idx="210">
                  <c:v>181.57142857142858</c:v>
                </c:pt>
                <c:pt idx="211">
                  <c:v>191.57142857142858</c:v>
                </c:pt>
                <c:pt idx="212">
                  <c:v>206.14285714285714</c:v>
                </c:pt>
                <c:pt idx="213">
                  <c:v>212</c:v>
                </c:pt>
                <c:pt idx="214">
                  <c:v>216.42857142857142</c:v>
                </c:pt>
                <c:pt idx="215">
                  <c:v>221.14285714285714</c:v>
                </c:pt>
                <c:pt idx="216">
                  <c:v>233</c:v>
                </c:pt>
                <c:pt idx="217">
                  <c:v>247.42857142857142</c:v>
                </c:pt>
                <c:pt idx="218">
                  <c:v>269.14285714285717</c:v>
                </c:pt>
                <c:pt idx="219">
                  <c:v>306.71428571428572</c:v>
                </c:pt>
                <c:pt idx="220">
                  <c:v>369.85714285714283</c:v>
                </c:pt>
                <c:pt idx="221">
                  <c:v>418.57142857142856</c:v>
                </c:pt>
                <c:pt idx="222">
                  <c:v>490</c:v>
                </c:pt>
                <c:pt idx="223">
                  <c:v>557.57142857142856</c:v>
                </c:pt>
                <c:pt idx="224">
                  <c:v>647.57142857142856</c:v>
                </c:pt>
                <c:pt idx="225">
                  <c:v>759</c:v>
                </c:pt>
                <c:pt idx="226">
                  <c:v>866.85714285714289</c:v>
                </c:pt>
                <c:pt idx="227">
                  <c:v>921.28571428571433</c:v>
                </c:pt>
                <c:pt idx="228">
                  <c:v>1010.2857142857143</c:v>
                </c:pt>
                <c:pt idx="229">
                  <c:v>1045.8571428571429</c:v>
                </c:pt>
                <c:pt idx="230">
                  <c:v>1118.8571428571429</c:v>
                </c:pt>
                <c:pt idx="231">
                  <c:v>1202.8571428571429</c:v>
                </c:pt>
                <c:pt idx="232">
                  <c:v>1228.2857142857142</c:v>
                </c:pt>
                <c:pt idx="233">
                  <c:v>1232.2857142857142</c:v>
                </c:pt>
                <c:pt idx="234">
                  <c:v>1296.4285714285713</c:v>
                </c:pt>
                <c:pt idx="235">
                  <c:v>1329</c:v>
                </c:pt>
                <c:pt idx="236">
                  <c:v>1355.4285714285713</c:v>
                </c:pt>
                <c:pt idx="237">
                  <c:v>1347.2857142857142</c:v>
                </c:pt>
                <c:pt idx="238">
                  <c:v>1404.1428571428571</c:v>
                </c:pt>
                <c:pt idx="239">
                  <c:v>1525.5714285714287</c:v>
                </c:pt>
                <c:pt idx="240">
                  <c:v>1610.7142857142858</c:v>
                </c:pt>
                <c:pt idx="241">
                  <c:v>1662.1428571428571</c:v>
                </c:pt>
                <c:pt idx="242">
                  <c:v>1694.2857142857142</c:v>
                </c:pt>
                <c:pt idx="243">
                  <c:v>1745.8571428571429</c:v>
                </c:pt>
                <c:pt idx="244">
                  <c:v>1831.8571428571429</c:v>
                </c:pt>
                <c:pt idx="245">
                  <c:v>1863.5714285714287</c:v>
                </c:pt>
                <c:pt idx="246">
                  <c:v>1875</c:v>
                </c:pt>
                <c:pt idx="247">
                  <c:v>1934.2857142857142</c:v>
                </c:pt>
                <c:pt idx="248">
                  <c:v>2063</c:v>
                </c:pt>
                <c:pt idx="249">
                  <c:v>2169.1428571428573</c:v>
                </c:pt>
                <c:pt idx="250">
                  <c:v>2358.5714285714284</c:v>
                </c:pt>
                <c:pt idx="251">
                  <c:v>2487.7142857142858</c:v>
                </c:pt>
                <c:pt idx="252">
                  <c:v>2572.1428571428573</c:v>
                </c:pt>
                <c:pt idx="253">
                  <c:v>2672.4285714285716</c:v>
                </c:pt>
                <c:pt idx="254">
                  <c:v>2642.4285714285716</c:v>
                </c:pt>
                <c:pt idx="255">
                  <c:v>2564.7142857142858</c:v>
                </c:pt>
                <c:pt idx="256">
                  <c:v>2529.2857142857142</c:v>
                </c:pt>
                <c:pt idx="257">
                  <c:v>2394</c:v>
                </c:pt>
                <c:pt idx="258">
                  <c:v>2200.4285714285716</c:v>
                </c:pt>
                <c:pt idx="259">
                  <c:v>2061.4285714285716</c:v>
                </c:pt>
                <c:pt idx="260">
                  <c:v>1870.1428571428571</c:v>
                </c:pt>
                <c:pt idx="261">
                  <c:v>1804.1428571428571</c:v>
                </c:pt>
                <c:pt idx="262">
                  <c:v>1765.2857142857142</c:v>
                </c:pt>
                <c:pt idx="263">
                  <c:v>1766.8571428571429</c:v>
                </c:pt>
                <c:pt idx="264">
                  <c:v>1707.5714285714287</c:v>
                </c:pt>
                <c:pt idx="265">
                  <c:v>1722.7142857142858</c:v>
                </c:pt>
                <c:pt idx="266">
                  <c:v>1545.8571428571429</c:v>
                </c:pt>
                <c:pt idx="267">
                  <c:v>1449.4285714285713</c:v>
                </c:pt>
                <c:pt idx="268">
                  <c:v>1341.4285714285713</c:v>
                </c:pt>
                <c:pt idx="269">
                  <c:v>1179.8571428571429</c:v>
                </c:pt>
                <c:pt idx="270">
                  <c:v>958.14285714285711</c:v>
                </c:pt>
                <c:pt idx="271">
                  <c:v>814.71428571428567</c:v>
                </c:pt>
                <c:pt idx="272">
                  <c:v>654.57142857142856</c:v>
                </c:pt>
                <c:pt idx="273">
                  <c:v>654.57142857142856</c:v>
                </c:pt>
                <c:pt idx="274">
                  <c:v>638.85714285714289</c:v>
                </c:pt>
                <c:pt idx="275">
                  <c:v>600.57142857142856</c:v>
                </c:pt>
                <c:pt idx="276">
                  <c:v>562.14285714285711</c:v>
                </c:pt>
                <c:pt idx="277">
                  <c:v>546</c:v>
                </c:pt>
                <c:pt idx="278">
                  <c:v>537.42857142857144</c:v>
                </c:pt>
                <c:pt idx="279">
                  <c:v>528</c:v>
                </c:pt>
                <c:pt idx="280">
                  <c:v>611.71428571428567</c:v>
                </c:pt>
                <c:pt idx="281">
                  <c:v>574.71428571428567</c:v>
                </c:pt>
                <c:pt idx="282">
                  <c:v>552.14285714285711</c:v>
                </c:pt>
                <c:pt idx="283">
                  <c:v>534</c:v>
                </c:pt>
                <c:pt idx="284">
                  <c:v>513.42857142857144</c:v>
                </c:pt>
                <c:pt idx="285">
                  <c:v>503.42857142857144</c:v>
                </c:pt>
                <c:pt idx="286">
                  <c:v>493.28571428571428</c:v>
                </c:pt>
                <c:pt idx="287">
                  <c:v>373.28571428571428</c:v>
                </c:pt>
                <c:pt idx="288">
                  <c:v>369.57142857142856</c:v>
                </c:pt>
                <c:pt idx="289">
                  <c:v>350</c:v>
                </c:pt>
                <c:pt idx="290">
                  <c:v>339.57142857142856</c:v>
                </c:pt>
                <c:pt idx="291">
                  <c:v>337.71428571428572</c:v>
                </c:pt>
                <c:pt idx="292">
                  <c:v>337.71428571428572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A93-4DA7-8ECD-62F7E7CCE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5737479"/>
        <c:axId val="1309975432"/>
      </c:lineChart>
      <c:dateAx>
        <c:axId val="7391756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437298318"/>
        <c:crosses val="autoZero"/>
        <c:auto val="1"/>
        <c:lblOffset val="100"/>
        <c:baseTimeUnit val="days"/>
      </c:dateAx>
      <c:valAx>
        <c:axId val="437298318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739175636"/>
        <c:crosses val="autoZero"/>
        <c:crossBetween val="between"/>
      </c:valAx>
      <c:dateAx>
        <c:axId val="2035737479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1309975432"/>
        <c:crosses val="autoZero"/>
        <c:auto val="1"/>
        <c:lblOffset val="100"/>
        <c:baseTimeUnit val="days"/>
      </c:dateAx>
      <c:valAx>
        <c:axId val="130997543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2035737479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Podkarpackiego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Województwa'!$BN$2</c:f>
              <c:strCache>
                <c:ptCount val="1"/>
                <c:pt idx="0">
                  <c:v>Podkarpackie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Województwa'!$BN$3:$BN$1000</c:f>
              <c:numCache>
                <c:formatCode>General</c:formatCode>
                <c:ptCount val="998"/>
                <c:pt idx="31" formatCode="0.0000">
                  <c:v>1.1596232794011114</c:v>
                </c:pt>
                <c:pt idx="32" formatCode="0.0000">
                  <c:v>1.0252211108284568</c:v>
                </c:pt>
                <c:pt idx="33" formatCode="0.0000">
                  <c:v>1.0399696775188749</c:v>
                </c:pt>
                <c:pt idx="34" formatCode="0.0000">
                  <c:v>0.92252928215103769</c:v>
                </c:pt>
                <c:pt idx="35" formatCode="0.0000">
                  <c:v>0.94631202335859987</c:v>
                </c:pt>
                <c:pt idx="36" formatCode="0.0000">
                  <c:v>0.96114560119333114</c:v>
                </c:pt>
                <c:pt idx="37" formatCode="0.0000">
                  <c:v>0.99552521563748619</c:v>
                </c:pt>
                <c:pt idx="38" formatCode="0.0000">
                  <c:v>1.008659693947634</c:v>
                </c:pt>
                <c:pt idx="39" formatCode="0.0000">
                  <c:v>1.0079675731729019</c:v>
                </c:pt>
                <c:pt idx="40" formatCode="0.0000">
                  <c:v>0.86688328951243399</c:v>
                </c:pt>
                <c:pt idx="41" formatCode="0.0000">
                  <c:v>0.83927469971680357</c:v>
                </c:pt>
                <c:pt idx="42" formatCode="0.0000">
                  <c:v>0.82349694919174787</c:v>
                </c:pt>
                <c:pt idx="43" formatCode="0.0000">
                  <c:v>0.80991891530169224</c:v>
                </c:pt>
                <c:pt idx="44" formatCode="0.0000">
                  <c:v>0.68339277898960826</c:v>
                </c:pt>
                <c:pt idx="45" formatCode="0.0000">
                  <c:v>0.58801400929664904</c:v>
                </c:pt>
                <c:pt idx="46" formatCode="0.0000">
                  <c:v>0.60334687274652055</c:v>
                </c:pt>
                <c:pt idx="47" formatCode="0.0000">
                  <c:v>0.66266841178356206</c:v>
                </c:pt>
                <c:pt idx="48" formatCode="0.0000">
                  <c:v>0.66620493833008454</c:v>
                </c:pt>
                <c:pt idx="49" formatCode="0.0000">
                  <c:v>0.6168711086814006</c:v>
                </c:pt>
                <c:pt idx="50" formatCode="0.0000">
                  <c:v>0.61594199029788399</c:v>
                </c:pt>
                <c:pt idx="51" formatCode="0.0000">
                  <c:v>0.6381165292829859</c:v>
                </c:pt>
                <c:pt idx="52" formatCode="0.0000">
                  <c:v>0.77320606923223834</c:v>
                </c:pt>
                <c:pt idx="53" formatCode="0.0000">
                  <c:v>1.1504373879636745</c:v>
                </c:pt>
                <c:pt idx="54" formatCode="0.0000">
                  <c:v>1.1122192270816789</c:v>
                </c:pt>
                <c:pt idx="55" formatCode="0.0000">
                  <c:v>1.1101175488812234</c:v>
                </c:pt>
                <c:pt idx="56" formatCode="0.0000">
                  <c:v>1.2082234692842106</c:v>
                </c:pt>
                <c:pt idx="57" formatCode="0.0000">
                  <c:v>1.1331497795706618</c:v>
                </c:pt>
                <c:pt idx="58" formatCode="0.0000">
                  <c:v>1.0870507776961849</c:v>
                </c:pt>
                <c:pt idx="59" formatCode="0.0000">
                  <c:v>1.0619517292686702</c:v>
                </c:pt>
                <c:pt idx="60" formatCode="0.0000">
                  <c:v>0.63487005738219171</c:v>
                </c:pt>
                <c:pt idx="61" formatCode="0.0000">
                  <c:v>0.82026904486825813</c:v>
                </c:pt>
                <c:pt idx="62" formatCode="0.0000">
                  <c:v>1.0580786266904576</c:v>
                </c:pt>
                <c:pt idx="63" formatCode="0.0000">
                  <c:v>0.93510947594761706</c:v>
                </c:pt>
                <c:pt idx="64" formatCode="0.0000">
                  <c:v>0.87678839073945436</c:v>
                </c:pt>
                <c:pt idx="65" formatCode="0.0000">
                  <c:v>0.9054853882363737</c:v>
                </c:pt>
                <c:pt idx="66" formatCode="0.0000">
                  <c:v>0.76712654480662201</c:v>
                </c:pt>
                <c:pt idx="67" formatCode="0.0000">
                  <c:v>0.67507630639283867</c:v>
                </c:pt>
                <c:pt idx="68" formatCode="0.0000">
                  <c:v>0.492079574784482</c:v>
                </c:pt>
                <c:pt idx="69" formatCode="0.0000">
                  <c:v>0.19898543497648502</c:v>
                </c:pt>
                <c:pt idx="70" formatCode="0.0000">
                  <c:v>0.14018267574881374</c:v>
                </c:pt>
                <c:pt idx="71" formatCode="0.0000">
                  <c:v>0.14018267574881385</c:v>
                </c:pt>
                <c:pt idx="72" formatCode="0.0000">
                  <c:v>0.21553795628524572</c:v>
                </c:pt>
                <c:pt idx="73" formatCode="0.0000">
                  <c:v>0.16049013109019819</c:v>
                </c:pt>
                <c:pt idx="74" formatCode="0.0000">
                  <c:v>0.23488169593387451</c:v>
                </c:pt>
                <c:pt idx="75" formatCode="0.0000">
                  <c:v>0.19967937257591398</c:v>
                </c:pt>
                <c:pt idx="76" formatCode="0.0000">
                  <c:v>0.19967937257591403</c:v>
                </c:pt>
                <c:pt idx="77" formatCode="0.0000">
                  <c:v>0.19967937257591398</c:v>
                </c:pt>
                <c:pt idx="78" formatCode="0.0000">
                  <c:v>0.19967937257591387</c:v>
                </c:pt>
                <c:pt idx="79" formatCode="0.0000">
                  <c:v>0.22234053459061615</c:v>
                </c:pt>
                <c:pt idx="80" formatCode="0.0000">
                  <c:v>0.36953999019136419</c:v>
                </c:pt>
                <c:pt idx="81" formatCode="0.0000">
                  <c:v>0.44171145842217513</c:v>
                </c:pt>
                <c:pt idx="82" formatCode="0.0000">
                  <c:v>0.7337552423691841</c:v>
                </c:pt>
                <c:pt idx="83" formatCode="0.0000">
                  <c:v>0.73375524236918399</c:v>
                </c:pt>
                <c:pt idx="84" formatCode="0.0000">
                  <c:v>0.73375524236918399</c:v>
                </c:pt>
                <c:pt idx="85" formatCode="0.0000">
                  <c:v>0.7337552423691841</c:v>
                </c:pt>
                <c:pt idx="86" formatCode="0.0000">
                  <c:v>0.98935665851220933</c:v>
                </c:pt>
                <c:pt idx="87" formatCode="0.0000">
                  <c:v>1.162259169127408</c:v>
                </c:pt>
                <c:pt idx="88" formatCode="0.0000">
                  <c:v>1.0156961360529206</c:v>
                </c:pt>
                <c:pt idx="89" formatCode="0.0000">
                  <c:v>1.5167165612419213</c:v>
                </c:pt>
                <c:pt idx="90" formatCode="0.0000">
                  <c:v>1.5167165612419211</c:v>
                </c:pt>
                <c:pt idx="91" formatCode="0.0000">
                  <c:v>1.5167165612419211</c:v>
                </c:pt>
                <c:pt idx="92" formatCode="0.0000">
                  <c:v>1.647542386550459</c:v>
                </c:pt>
                <c:pt idx="93" formatCode="0.0000">
                  <c:v>1.2439920006604945</c:v>
                </c:pt>
                <c:pt idx="94" formatCode="0.0000">
                  <c:v>0.92389003444454809</c:v>
                </c:pt>
                <c:pt idx="95" formatCode="0.0000">
                  <c:v>1.1041270071448366</c:v>
                </c:pt>
                <c:pt idx="96" formatCode="0.0000">
                  <c:v>0.65854781268766549</c:v>
                </c:pt>
                <c:pt idx="97" formatCode="0.0000">
                  <c:v>1.3796937840019339</c:v>
                </c:pt>
                <c:pt idx="98" formatCode="0.0000">
                  <c:v>2.3849097547962734</c:v>
                </c:pt>
                <c:pt idx="99" formatCode="0.0000">
                  <c:v>2.4994267407155575</c:v>
                </c:pt>
                <c:pt idx="100" formatCode="0.0000">
                  <c:v>2.5884411626773067</c:v>
                </c:pt>
                <c:pt idx="101" formatCode="0.0000">
                  <c:v>2.9647609307648612</c:v>
                </c:pt>
                <c:pt idx="102" formatCode="0.0000">
                  <c:v>3.3947082642445148</c:v>
                </c:pt>
                <c:pt idx="103" formatCode="0.0000">
                  <c:v>3.567032602101416</c:v>
                </c:pt>
                <c:pt idx="104" formatCode="0.0000">
                  <c:v>3.110141660277205</c:v>
                </c:pt>
                <c:pt idx="105" formatCode="0.0000">
                  <c:v>2.3237415738051905</c:v>
                </c:pt>
                <c:pt idx="106" formatCode="0.0000">
                  <c:v>2.3756293334235443</c:v>
                </c:pt>
                <c:pt idx="107" formatCode="0.0000">
                  <c:v>2.4492352269586339</c:v>
                </c:pt>
                <c:pt idx="108" formatCode="0.0000">
                  <c:v>2.2456732257542265</c:v>
                </c:pt>
                <c:pt idx="109" formatCode="0.0000">
                  <c:v>1.7258116271899375</c:v>
                </c:pt>
                <c:pt idx="110" formatCode="0.0000">
                  <c:v>1.3830453013619461</c:v>
                </c:pt>
                <c:pt idx="111" formatCode="0.0000">
                  <c:v>1.2241384076358595</c:v>
                </c:pt>
                <c:pt idx="112" formatCode="0.0000">
                  <c:v>1.1147761561686409</c:v>
                </c:pt>
                <c:pt idx="113" formatCode="0.0000">
                  <c:v>0.98739976023572795</c:v>
                </c:pt>
                <c:pt idx="114" formatCode="0.0000">
                  <c:v>0.99016860323840683</c:v>
                </c:pt>
                <c:pt idx="115" formatCode="0.0000">
                  <c:v>1.0061130141821495</c:v>
                </c:pt>
                <c:pt idx="116" formatCode="0.0000">
                  <c:v>1.1477721754525008</c:v>
                </c:pt>
                <c:pt idx="117" formatCode="0.0000">
                  <c:v>1.1363946029896237</c:v>
                </c:pt>
                <c:pt idx="118" formatCode="0.0000">
                  <c:v>1.1698788947688514</c:v>
                </c:pt>
                <c:pt idx="119" formatCode="0.0000">
                  <c:v>1.0836575029940645</c:v>
                </c:pt>
                <c:pt idx="120" formatCode="0.0000">
                  <c:v>1.1776935849407271</c:v>
                </c:pt>
                <c:pt idx="121" formatCode="0.0000">
                  <c:v>1.1653138824656524</c:v>
                </c:pt>
                <c:pt idx="122" formatCode="0.0000">
                  <c:v>1.1164317060659366</c:v>
                </c:pt>
                <c:pt idx="123" formatCode="0.0000">
                  <c:v>1.351936331202795</c:v>
                </c:pt>
                <c:pt idx="124" formatCode="0.0000">
                  <c:v>1.4244910124152379</c:v>
                </c:pt>
                <c:pt idx="125" formatCode="0.0000">
                  <c:v>1.3903714376099572</c:v>
                </c:pt>
                <c:pt idx="126" formatCode="0.0000">
                  <c:v>1.5095017054124575</c:v>
                </c:pt>
                <c:pt idx="127" formatCode="0.0000">
                  <c:v>1.4718285043607371</c:v>
                </c:pt>
                <c:pt idx="128" formatCode="0.0000">
                  <c:v>1.3729551351708977</c:v>
                </c:pt>
                <c:pt idx="129" formatCode="0.0000">
                  <c:v>1.3689219066833378</c:v>
                </c:pt>
                <c:pt idx="130" formatCode="0.0000">
                  <c:v>0.97835935315381051</c:v>
                </c:pt>
                <c:pt idx="131" formatCode="0.0000">
                  <c:v>1.1610585865905707</c:v>
                </c:pt>
                <c:pt idx="132" formatCode="0.0000">
                  <c:v>1.5002412612714531</c:v>
                </c:pt>
                <c:pt idx="133" formatCode="0.0000">
                  <c:v>1.4239146698456933</c:v>
                </c:pt>
                <c:pt idx="134" formatCode="0.0000">
                  <c:v>1.2513458774675681</c:v>
                </c:pt>
                <c:pt idx="135" formatCode="0.0000">
                  <c:v>1.432821501016496</c:v>
                </c:pt>
                <c:pt idx="136" formatCode="0.0000">
                  <c:v>1.4048410541199154</c:v>
                </c:pt>
                <c:pt idx="137" formatCode="0.0000">
                  <c:v>1.4830869515850407</c:v>
                </c:pt>
                <c:pt idx="138" formatCode="0.0000">
                  <c:v>1.1663996942927994</c:v>
                </c:pt>
                <c:pt idx="139" formatCode="0.0000">
                  <c:v>0.86281218341229859</c:v>
                </c:pt>
                <c:pt idx="140" formatCode="0.0000">
                  <c:v>0.84792775448391289</c:v>
                </c:pt>
                <c:pt idx="141" formatCode="0.0000">
                  <c:v>0.91395095399029924</c:v>
                </c:pt>
                <c:pt idx="142" formatCode="0.0000">
                  <c:v>0.82247099260120515</c:v>
                </c:pt>
                <c:pt idx="143" formatCode="0.0000">
                  <c:v>0.76504656163355167</c:v>
                </c:pt>
                <c:pt idx="144" formatCode="0.0000">
                  <c:v>0.77642390032972397</c:v>
                </c:pt>
                <c:pt idx="145" formatCode="0.0000">
                  <c:v>0.76515920277819249</c:v>
                </c:pt>
                <c:pt idx="146" formatCode="0.0000">
                  <c:v>0.67377572524816653</c:v>
                </c:pt>
                <c:pt idx="147" formatCode="0.0000">
                  <c:v>0.79361340101085431</c:v>
                </c:pt>
                <c:pt idx="148" formatCode="0.0000">
                  <c:v>0.87526519109475542</c:v>
                </c:pt>
                <c:pt idx="149" formatCode="0.0000">
                  <c:v>1.1032694201393944</c:v>
                </c:pt>
                <c:pt idx="150" formatCode="0.0000">
                  <c:v>1.2412510342999339</c:v>
                </c:pt>
                <c:pt idx="151" formatCode="0.0000">
                  <c:v>1.2419998000581067</c:v>
                </c:pt>
                <c:pt idx="152" formatCode="0.0000">
                  <c:v>1.2934944705230413</c:v>
                </c:pt>
                <c:pt idx="153" formatCode="0.0000">
                  <c:v>1.507947554041779</c:v>
                </c:pt>
                <c:pt idx="154" formatCode="0.0000">
                  <c:v>1.566411337213107</c:v>
                </c:pt>
                <c:pt idx="155" formatCode="0.0000">
                  <c:v>1.5299011881352524</c:v>
                </c:pt>
                <c:pt idx="156" formatCode="0.0000">
                  <c:v>1.3240771843031747</c:v>
                </c:pt>
                <c:pt idx="157" formatCode="0.0000">
                  <c:v>1.3080627445055739</c:v>
                </c:pt>
                <c:pt idx="158" formatCode="0.0000">
                  <c:v>1.3512273176007716</c:v>
                </c:pt>
                <c:pt idx="159" formatCode="0.0000">
                  <c:v>1.3322138991262691</c:v>
                </c:pt>
                <c:pt idx="160" formatCode="0.0000">
                  <c:v>1.2375446845618341</c:v>
                </c:pt>
                <c:pt idx="161" formatCode="0.0000">
                  <c:v>1.0792082719308884</c:v>
                </c:pt>
                <c:pt idx="162" formatCode="0.0000">
                  <c:v>1.0197377438233894</c:v>
                </c:pt>
                <c:pt idx="163" formatCode="0.0000">
                  <c:v>1.0822726091906139</c:v>
                </c:pt>
                <c:pt idx="164" formatCode="0.0000">
                  <c:v>1.0885829884515812</c:v>
                </c:pt>
                <c:pt idx="165" formatCode="0.0000">
                  <c:v>1.0373385832513016</c:v>
                </c:pt>
                <c:pt idx="166" formatCode="0.0000">
                  <c:v>1.0772463071785991</c:v>
                </c:pt>
                <c:pt idx="167" formatCode="0.0000">
                  <c:v>1.0660000259378077</c:v>
                </c:pt>
                <c:pt idx="168" formatCode="0.0000">
                  <c:v>1.158467935959542</c:v>
                </c:pt>
                <c:pt idx="169" formatCode="0.0000">
                  <c:v>1.1887322033166277</c:v>
                </c:pt>
                <c:pt idx="170" formatCode="0.0000">
                  <c:v>1.0675074110784184</c:v>
                </c:pt>
                <c:pt idx="171" formatCode="0.0000">
                  <c:v>1.0862102800904447</c:v>
                </c:pt>
                <c:pt idx="172" formatCode="0.0000">
                  <c:v>1.0571931755707946</c:v>
                </c:pt>
                <c:pt idx="173" formatCode="0.0000">
                  <c:v>1.0772764582871244</c:v>
                </c:pt>
                <c:pt idx="174" formatCode="0.0000">
                  <c:v>1.0028183254397718</c:v>
                </c:pt>
                <c:pt idx="175" formatCode="0.0000">
                  <c:v>1.0872820411725341</c:v>
                </c:pt>
                <c:pt idx="176" formatCode="0.0000">
                  <c:v>1.1380738351076354</c:v>
                </c:pt>
                <c:pt idx="177" formatCode="0.0000">
                  <c:v>1.1507477000220994</c:v>
                </c:pt>
                <c:pt idx="178" formatCode="0.0000">
                  <c:v>1.2144484332028216</c:v>
                </c:pt>
                <c:pt idx="179" formatCode="0.0000">
                  <c:v>1.2243290222458039</c:v>
                </c:pt>
                <c:pt idx="180" formatCode="0.0000">
                  <c:v>1.139224889793917</c:v>
                </c:pt>
                <c:pt idx="181" formatCode="0.0000">
                  <c:v>1.1679984321452115</c:v>
                </c:pt>
                <c:pt idx="182" formatCode="0.0000">
                  <c:v>1.0136826863218151</c:v>
                </c:pt>
                <c:pt idx="183" formatCode="0.0000">
                  <c:v>1.00168575799115</c:v>
                </c:pt>
                <c:pt idx="184" formatCode="0.0000">
                  <c:v>0.9990027263319986</c:v>
                </c:pt>
                <c:pt idx="185" formatCode="0.0000">
                  <c:v>1.0848337932279315</c:v>
                </c:pt>
                <c:pt idx="186" formatCode="0.0000">
                  <c:v>1.1263882530723619</c:v>
                </c:pt>
                <c:pt idx="187" formatCode="0.0000">
                  <c:v>1.1255384760401774</c:v>
                </c:pt>
                <c:pt idx="188" formatCode="0.0000">
                  <c:v>1.086243155750696</c:v>
                </c:pt>
                <c:pt idx="189" formatCode="0.0000">
                  <c:v>1.0467502538261557</c:v>
                </c:pt>
                <c:pt idx="190" formatCode="0.0000">
                  <c:v>0.95417954440939678</c:v>
                </c:pt>
                <c:pt idx="191" formatCode="0.0000">
                  <c:v>0.90390937473172595</c:v>
                </c:pt>
                <c:pt idx="192" formatCode="0.0000">
                  <c:v>0.75412104134615621</c:v>
                </c:pt>
                <c:pt idx="193" formatCode="0.0000">
                  <c:v>0.73099933311433152</c:v>
                </c:pt>
                <c:pt idx="194" formatCode="0.0000">
                  <c:v>0.76357199991326397</c:v>
                </c:pt>
                <c:pt idx="195" formatCode="0.0000">
                  <c:v>0.85695349339610249</c:v>
                </c:pt>
                <c:pt idx="196" formatCode="0.0000">
                  <c:v>0.88180352816237417</c:v>
                </c:pt>
                <c:pt idx="197" formatCode="0.0000">
                  <c:v>0.94358241693216427</c:v>
                </c:pt>
                <c:pt idx="198" formatCode="0.0000">
                  <c:v>1.0492860760055507</c:v>
                </c:pt>
                <c:pt idx="199" formatCode="0.0000">
                  <c:v>1.04473737120123</c:v>
                </c:pt>
                <c:pt idx="200" formatCode="0.0000">
                  <c:v>1.1555307289802674</c:v>
                </c:pt>
                <c:pt idx="201" formatCode="0.0000">
                  <c:v>1.2382933249718084</c:v>
                </c:pt>
                <c:pt idx="202" formatCode="0.0000">
                  <c:v>1.2599001153718408</c:v>
                </c:pt>
                <c:pt idx="203" formatCode="0.0000">
                  <c:v>1.2736367787860938</c:v>
                </c:pt>
                <c:pt idx="204" formatCode="0.0000">
                  <c:v>1.208198876761051</c:v>
                </c:pt>
                <c:pt idx="205" formatCode="0.0000">
                  <c:v>1.2510630089348591</c:v>
                </c:pt>
                <c:pt idx="206" formatCode="0.0000">
                  <c:v>1.2369998581994446</c:v>
                </c:pt>
                <c:pt idx="207" formatCode="0.0000">
                  <c:v>1.1933184102406469</c:v>
                </c:pt>
                <c:pt idx="208" formatCode="0.0000">
                  <c:v>1.1810865773423431</c:v>
                </c:pt>
                <c:pt idx="209" formatCode="0.0000">
                  <c:v>1.1929792911159667</c:v>
                </c:pt>
                <c:pt idx="210" formatCode="0.0000">
                  <c:v>1.397420975834873</c:v>
                </c:pt>
                <c:pt idx="211" formatCode="0.0000">
                  <c:v>1.529732296827407</c:v>
                </c:pt>
                <c:pt idx="212" formatCode="0.0000">
                  <c:v>1.5382380825725512</c:v>
                </c:pt>
                <c:pt idx="213" formatCode="0.0000">
                  <c:v>1.782487534731132</c:v>
                </c:pt>
                <c:pt idx="214" formatCode="0.0000">
                  <c:v>1.7704961441359626</c:v>
                </c:pt>
                <c:pt idx="215" formatCode="0.0000">
                  <c:v>1.7674191935397991</c:v>
                </c:pt>
                <c:pt idx="216" formatCode="0.0000">
                  <c:v>1.7582100075083211</c:v>
                </c:pt>
                <c:pt idx="217" formatCode="0.0000">
                  <c:v>1.6361154230731818</c:v>
                </c:pt>
                <c:pt idx="218" formatCode="0.0000">
                  <c:v>1.6002761504569101</c:v>
                </c:pt>
                <c:pt idx="219" formatCode="0.0000">
                  <c:v>1.6831754594554105</c:v>
                </c:pt>
                <c:pt idx="220" formatCode="0.0000">
                  <c:v>1.6398068590583665</c:v>
                </c:pt>
                <c:pt idx="221" formatCode="0.0000">
                  <c:v>1.7154749021426183</c:v>
                </c:pt>
                <c:pt idx="222" formatCode="0.0000">
                  <c:v>1.745037883591072</c:v>
                </c:pt>
                <c:pt idx="223" formatCode="0.0000">
                  <c:v>1.7784968338505678</c:v>
                </c:pt>
                <c:pt idx="224" formatCode="0.0000">
                  <c:v>1.8455377818348448</c:v>
                </c:pt>
                <c:pt idx="225" formatCode="0.0000">
                  <c:v>1.85064620637717</c:v>
                </c:pt>
                <c:pt idx="226" formatCode="0.0000">
                  <c:v>1.7715741707305459</c:v>
                </c:pt>
                <c:pt idx="227" formatCode="0.0000">
                  <c:v>1.6740852275452192</c:v>
                </c:pt>
                <c:pt idx="228" formatCode="0.0000">
                  <c:v>1.694243132083187</c:v>
                </c:pt>
                <c:pt idx="229" formatCode="0.0000">
                  <c:v>1.7368386491880288</c:v>
                </c:pt>
                <c:pt idx="230" formatCode="0.0000">
                  <c:v>1.6661057326737969</c:v>
                </c:pt>
                <c:pt idx="231" formatCode="0.0000">
                  <c:v>1.6443261810386143</c:v>
                </c:pt>
                <c:pt idx="232" formatCode="0.0000">
                  <c:v>1.7347713358200461</c:v>
                </c:pt>
                <c:pt idx="233" formatCode="0.0000">
                  <c:v>1.7179114872672019</c:v>
                </c:pt>
                <c:pt idx="234" formatCode="0.0000">
                  <c:v>1.6529482351138864</c:v>
                </c:pt>
                <c:pt idx="235" formatCode="0.0000">
                  <c:v>1.5546982842297816</c:v>
                </c:pt>
                <c:pt idx="236" formatCode="0.0000">
                  <c:v>1.4853830456864447</c:v>
                </c:pt>
                <c:pt idx="237" formatCode="0.0000">
                  <c:v>1.4851707746712626</c:v>
                </c:pt>
                <c:pt idx="238" formatCode="0.0000">
                  <c:v>1.4186166599498213</c:v>
                </c:pt>
                <c:pt idx="239" formatCode="0.0000">
                  <c:v>1.3615439813931351</c:v>
                </c:pt>
                <c:pt idx="240" formatCode="0.0000">
                  <c:v>1.4004652182110224</c:v>
                </c:pt>
                <c:pt idx="241" formatCode="0.0000">
                  <c:v>1.4040242681021629</c:v>
                </c:pt>
                <c:pt idx="242" formatCode="0.0000">
                  <c:v>1.4182926131519971</c:v>
                </c:pt>
                <c:pt idx="243" formatCode="0.0000">
                  <c:v>1.4000275564185258</c:v>
                </c:pt>
                <c:pt idx="244" formatCode="0.0000">
                  <c:v>1.3968066644226449</c:v>
                </c:pt>
                <c:pt idx="245" formatCode="0.0000">
                  <c:v>1.3744105916013571</c:v>
                </c:pt>
                <c:pt idx="246" formatCode="0.0000">
                  <c:v>1.3445323926361348</c:v>
                </c:pt>
                <c:pt idx="247" formatCode="0.0000">
                  <c:v>1.3079260716658054</c:v>
                </c:pt>
                <c:pt idx="248" formatCode="0.0000">
                  <c:v>1.3067949282906803</c:v>
                </c:pt>
                <c:pt idx="249" formatCode="0.0000">
                  <c:v>1.3136109634356516</c:v>
                </c:pt>
                <c:pt idx="250" formatCode="0.0000">
                  <c:v>1.3291572032737389</c:v>
                </c:pt>
                <c:pt idx="251" formatCode="0.0000">
                  <c:v>1.3103508928317471</c:v>
                </c:pt>
                <c:pt idx="252" formatCode="0.0000">
                  <c:v>1.3086035092915775</c:v>
                </c:pt>
                <c:pt idx="253" formatCode="0.0000">
                  <c:v>1.2478843856551347</c:v>
                </c:pt>
                <c:pt idx="254" formatCode="0.0000">
                  <c:v>1.1727184095956307</c:v>
                </c:pt>
                <c:pt idx="255" formatCode="0.0000">
                  <c:v>1.0911937819950659</c:v>
                </c:pt>
                <c:pt idx="256" formatCode="0.0000">
                  <c:v>0.98624508564026492</c:v>
                </c:pt>
                <c:pt idx="257" formatCode="0.0000">
                  <c:v>0.88968855083125808</c:v>
                </c:pt>
                <c:pt idx="258" formatCode="0.0000">
                  <c:v>0.85666014973052473</c:v>
                </c:pt>
                <c:pt idx="259" formatCode="0.0000">
                  <c:v>0.79382693680201932</c:v>
                </c:pt>
                <c:pt idx="260" formatCode="0.0000">
                  <c:v>0.77339963154499169</c:v>
                </c:pt>
                <c:pt idx="261" formatCode="0.0000">
                  <c:v>0.78500402683771231</c:v>
                </c:pt>
                <c:pt idx="262" formatCode="0.0000">
                  <c:v>0.76141506909215351</c:v>
                </c:pt>
                <c:pt idx="263" formatCode="0.0000">
                  <c:v>0.75615335084950253</c:v>
                </c:pt>
                <c:pt idx="264" formatCode="0.0000">
                  <c:v>0.75358351284795155</c:v>
                </c:pt>
                <c:pt idx="265" formatCode="0.0000">
                  <c:v>0.73659095760892945</c:v>
                </c:pt>
                <c:pt idx="266" formatCode="0.0000">
                  <c:v>0.755657236966643</c:v>
                </c:pt>
                <c:pt idx="267" formatCode="0.0000">
                  <c:v>0.75315305535523558</c:v>
                </c:pt>
                <c:pt idx="268" formatCode="0.0000">
                  <c:v>0.71752554499917875</c:v>
                </c:pt>
                <c:pt idx="269" formatCode="0.0000">
                  <c:v>0.74674279283262279</c:v>
                </c:pt>
                <c:pt idx="270" formatCode="0.0000">
                  <c:v>0.75405462866905515</c:v>
                </c:pt>
                <c:pt idx="271" formatCode="0.0000">
                  <c:v>0.71590529530756264</c:v>
                </c:pt>
                <c:pt idx="272" formatCode="0.0000">
                  <c:v>0.67549767002212491</c:v>
                </c:pt>
                <c:pt idx="273" formatCode="0.0000">
                  <c:v>0.66666603311790718</c:v>
                </c:pt>
                <c:pt idx="274" formatCode="0.0000">
                  <c:v>0.69067817184922309</c:v>
                </c:pt>
                <c:pt idx="275" formatCode="0.0000">
                  <c:v>0.67665542770974096</c:v>
                </c:pt>
                <c:pt idx="276" formatCode="0.0000">
                  <c:v>0.61552146292698551</c:v>
                </c:pt>
                <c:pt idx="277" formatCode="0.0000">
                  <c:v>0.55509070167766417</c:v>
                </c:pt>
                <c:pt idx="278" formatCode="0.0000">
                  <c:v>0.54646239184030576</c:v>
                </c:pt>
                <c:pt idx="279" formatCode="0.0000">
                  <c:v>0.55594316174078096</c:v>
                </c:pt>
                <c:pt idx="280" formatCode="0.0000">
                  <c:v>0.55092583014304419</c:v>
                </c:pt>
                <c:pt idx="281" formatCode="0.0000">
                  <c:v>0.52357058238111687</c:v>
                </c:pt>
                <c:pt idx="282" formatCode="0.0000">
                  <c:v>0.58509556940397378</c:v>
                </c:pt>
                <c:pt idx="283" formatCode="0.0000">
                  <c:v>0.60457679706687451</c:v>
                </c:pt>
                <c:pt idx="284" formatCode="0.0000">
                  <c:v>0.74997420764626077</c:v>
                </c:pt>
                <c:pt idx="285" formatCode="0.0000">
                  <c:v>0.77397775596806828</c:v>
                </c:pt>
                <c:pt idx="286" formatCode="0.0000">
                  <c:v>0.79765359226192112</c:v>
                </c:pt>
                <c:pt idx="287" formatCode="0.0000">
                  <c:v>0.85957330749933247</c:v>
                </c:pt>
                <c:pt idx="288" formatCode="0.0000">
                  <c:v>0.90562449895792152</c:v>
                </c:pt>
                <c:pt idx="289" formatCode="0.0000">
                  <c:v>0.87096143219920152</c:v>
                </c:pt>
                <c:pt idx="290" formatCode="0.0000">
                  <c:v>0.84461698366706706</c:v>
                </c:pt>
                <c:pt idx="291" formatCode="0.0000">
                  <c:v>0.80652462467671349</c:v>
                </c:pt>
                <c:pt idx="292" formatCode="0.0000">
                  <c:v>0.79496580147577922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486-4F59-972D-1DB198CB2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320301"/>
        <c:axId val="1773857357"/>
      </c:lineChart>
      <c:lineChart>
        <c:grouping val="standard"/>
        <c:varyColors val="0"/>
        <c:ser>
          <c:idx val="1"/>
          <c:order val="1"/>
          <c:tx>
            <c:strRef>
              <c:f>'R(t) Województwa'!$BJ$2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Województwa'!$BJ$3:$BJ$1000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0.14285714285714285</c:v>
                </c:pt>
                <c:pt idx="9">
                  <c:v>0.42857142857142855</c:v>
                </c:pt>
                <c:pt idx="10">
                  <c:v>0.8571428571428571</c:v>
                </c:pt>
                <c:pt idx="11">
                  <c:v>1</c:v>
                </c:pt>
                <c:pt idx="12">
                  <c:v>1.1428571428571428</c:v>
                </c:pt>
                <c:pt idx="13">
                  <c:v>1.5714285714285714</c:v>
                </c:pt>
                <c:pt idx="14">
                  <c:v>1.5714285714285714</c:v>
                </c:pt>
                <c:pt idx="15">
                  <c:v>1.8571428571428572</c:v>
                </c:pt>
                <c:pt idx="16">
                  <c:v>2</c:v>
                </c:pt>
                <c:pt idx="17">
                  <c:v>1.8571428571428572</c:v>
                </c:pt>
                <c:pt idx="18">
                  <c:v>2.5714285714285716</c:v>
                </c:pt>
                <c:pt idx="19">
                  <c:v>3</c:v>
                </c:pt>
                <c:pt idx="20">
                  <c:v>2.7142857142857144</c:v>
                </c:pt>
                <c:pt idx="21">
                  <c:v>3.7142857142857144</c:v>
                </c:pt>
                <c:pt idx="22">
                  <c:v>4.1428571428571432</c:v>
                </c:pt>
                <c:pt idx="23">
                  <c:v>5.1428571428571432</c:v>
                </c:pt>
                <c:pt idx="24">
                  <c:v>6</c:v>
                </c:pt>
                <c:pt idx="25">
                  <c:v>6.5714285714285712</c:v>
                </c:pt>
                <c:pt idx="26">
                  <c:v>6.7142857142857144</c:v>
                </c:pt>
                <c:pt idx="27">
                  <c:v>7.1428571428571432</c:v>
                </c:pt>
                <c:pt idx="28">
                  <c:v>8.2857142857142865</c:v>
                </c:pt>
                <c:pt idx="29">
                  <c:v>8.7142857142857135</c:v>
                </c:pt>
                <c:pt idx="30">
                  <c:v>8.2857142857142865</c:v>
                </c:pt>
                <c:pt idx="31">
                  <c:v>9.1428571428571423</c:v>
                </c:pt>
                <c:pt idx="32">
                  <c:v>9.2857142857142865</c:v>
                </c:pt>
                <c:pt idx="33">
                  <c:v>10.428571428571429</c:v>
                </c:pt>
                <c:pt idx="34">
                  <c:v>10.857142857142858</c:v>
                </c:pt>
                <c:pt idx="35">
                  <c:v>10.428571428571429</c:v>
                </c:pt>
                <c:pt idx="36">
                  <c:v>10.857142857142858</c:v>
                </c:pt>
                <c:pt idx="37">
                  <c:v>11.857142857142858</c:v>
                </c:pt>
                <c:pt idx="38">
                  <c:v>12</c:v>
                </c:pt>
                <c:pt idx="39">
                  <c:v>12</c:v>
                </c:pt>
                <c:pt idx="40">
                  <c:v>10.285714285714286</c:v>
                </c:pt>
                <c:pt idx="41">
                  <c:v>9.8571428571428577</c:v>
                </c:pt>
                <c:pt idx="42">
                  <c:v>9.4285714285714288</c:v>
                </c:pt>
                <c:pt idx="43">
                  <c:v>9</c:v>
                </c:pt>
                <c:pt idx="44">
                  <c:v>7.4285714285714288</c:v>
                </c:pt>
                <c:pt idx="45">
                  <c:v>6</c:v>
                </c:pt>
                <c:pt idx="46">
                  <c:v>5.5714285714285712</c:v>
                </c:pt>
                <c:pt idx="47">
                  <c:v>6</c:v>
                </c:pt>
                <c:pt idx="48">
                  <c:v>5.8571428571428568</c:v>
                </c:pt>
                <c:pt idx="49">
                  <c:v>5.1428571428571432</c:v>
                </c:pt>
                <c:pt idx="50">
                  <c:v>4.7142857142857144</c:v>
                </c:pt>
                <c:pt idx="51">
                  <c:v>4.7142857142857144</c:v>
                </c:pt>
                <c:pt idx="52">
                  <c:v>5.2857142857142856</c:v>
                </c:pt>
                <c:pt idx="53">
                  <c:v>7.4285714285714288</c:v>
                </c:pt>
                <c:pt idx="54">
                  <c:v>7.1428571428571432</c:v>
                </c:pt>
                <c:pt idx="55">
                  <c:v>7.1428571428571432</c:v>
                </c:pt>
                <c:pt idx="56">
                  <c:v>7.8571428571428568</c:v>
                </c:pt>
                <c:pt idx="57">
                  <c:v>7.4285714285714288</c:v>
                </c:pt>
                <c:pt idx="58">
                  <c:v>7.1428571428571432</c:v>
                </c:pt>
                <c:pt idx="59">
                  <c:v>7</c:v>
                </c:pt>
                <c:pt idx="60">
                  <c:v>4.2857142857142856</c:v>
                </c:pt>
                <c:pt idx="61">
                  <c:v>5.2857142857142856</c:v>
                </c:pt>
                <c:pt idx="62">
                  <c:v>6.7142857142857144</c:v>
                </c:pt>
                <c:pt idx="63">
                  <c:v>5.8571428571428568</c:v>
                </c:pt>
                <c:pt idx="64">
                  <c:v>5.4285714285714288</c:v>
                </c:pt>
                <c:pt idx="65">
                  <c:v>5.5714285714285712</c:v>
                </c:pt>
                <c:pt idx="66">
                  <c:v>4.7142857142857144</c:v>
                </c:pt>
                <c:pt idx="67">
                  <c:v>4.1428571428571432</c:v>
                </c:pt>
                <c:pt idx="68">
                  <c:v>3</c:v>
                </c:pt>
                <c:pt idx="69">
                  <c:v>1.1428571428571428</c:v>
                </c:pt>
                <c:pt idx="70">
                  <c:v>0.7142857142857143</c:v>
                </c:pt>
                <c:pt idx="71">
                  <c:v>0.7142857142857143</c:v>
                </c:pt>
                <c:pt idx="72">
                  <c:v>0.7142857142857143</c:v>
                </c:pt>
                <c:pt idx="73">
                  <c:v>0.42857142857142855</c:v>
                </c:pt>
                <c:pt idx="74">
                  <c:v>0.5714285714285714</c:v>
                </c:pt>
                <c:pt idx="75">
                  <c:v>0.42857142857142855</c:v>
                </c:pt>
                <c:pt idx="76">
                  <c:v>0.42857142857142855</c:v>
                </c:pt>
                <c:pt idx="77">
                  <c:v>0.42857142857142855</c:v>
                </c:pt>
                <c:pt idx="78">
                  <c:v>0.42857142857142855</c:v>
                </c:pt>
                <c:pt idx="79">
                  <c:v>0.2857142857142857</c:v>
                </c:pt>
                <c:pt idx="80">
                  <c:v>0.42857142857142855</c:v>
                </c:pt>
                <c:pt idx="81">
                  <c:v>0.42857142857142855</c:v>
                </c:pt>
                <c:pt idx="82">
                  <c:v>0.7142857142857143</c:v>
                </c:pt>
                <c:pt idx="83">
                  <c:v>0.7142857142857143</c:v>
                </c:pt>
                <c:pt idx="84">
                  <c:v>0.7142857142857143</c:v>
                </c:pt>
                <c:pt idx="85">
                  <c:v>0.7142857142857143</c:v>
                </c:pt>
                <c:pt idx="86">
                  <c:v>0.8571428571428571</c:v>
                </c:pt>
                <c:pt idx="87">
                  <c:v>1</c:v>
                </c:pt>
                <c:pt idx="88">
                  <c:v>0.8571428571428571</c:v>
                </c:pt>
                <c:pt idx="89">
                  <c:v>1.2857142857142858</c:v>
                </c:pt>
                <c:pt idx="90">
                  <c:v>1.2857142857142858</c:v>
                </c:pt>
                <c:pt idx="91">
                  <c:v>1.2857142857142858</c:v>
                </c:pt>
                <c:pt idx="92">
                  <c:v>1.4285714285714286</c:v>
                </c:pt>
                <c:pt idx="93">
                  <c:v>1.1428571428571428</c:v>
                </c:pt>
                <c:pt idx="94">
                  <c:v>0.8571428571428571</c:v>
                </c:pt>
                <c:pt idx="95">
                  <c:v>1</c:v>
                </c:pt>
                <c:pt idx="96">
                  <c:v>0.5714285714285714</c:v>
                </c:pt>
                <c:pt idx="97">
                  <c:v>1.2857142857142858</c:v>
                </c:pt>
                <c:pt idx="98">
                  <c:v>2.8571428571428572</c:v>
                </c:pt>
                <c:pt idx="99">
                  <c:v>3.4285714285714284</c:v>
                </c:pt>
                <c:pt idx="100">
                  <c:v>3.7142857142857144</c:v>
                </c:pt>
                <c:pt idx="101">
                  <c:v>4.8571428571428568</c:v>
                </c:pt>
                <c:pt idx="102">
                  <c:v>7</c:v>
                </c:pt>
                <c:pt idx="103">
                  <c:v>9.5714285714285712</c:v>
                </c:pt>
                <c:pt idx="104">
                  <c:v>10.857142857142858</c:v>
                </c:pt>
                <c:pt idx="105">
                  <c:v>11.142857142857142</c:v>
                </c:pt>
                <c:pt idx="106">
                  <c:v>13.142857142857142</c:v>
                </c:pt>
                <c:pt idx="107">
                  <c:v>14.571428571428571</c:v>
                </c:pt>
                <c:pt idx="108">
                  <c:v>15.285714285714286</c:v>
                </c:pt>
                <c:pt idx="109">
                  <c:v>14</c:v>
                </c:pt>
                <c:pt idx="110">
                  <c:v>13</c:v>
                </c:pt>
                <c:pt idx="111">
                  <c:v>12.142857142857142</c:v>
                </c:pt>
                <c:pt idx="112">
                  <c:v>11.428571428571429</c:v>
                </c:pt>
                <c:pt idx="113">
                  <c:v>10.428571428571429</c:v>
                </c:pt>
                <c:pt idx="114">
                  <c:v>10.428571428571429</c:v>
                </c:pt>
                <c:pt idx="115">
                  <c:v>10.571428571428571</c:v>
                </c:pt>
                <c:pt idx="116">
                  <c:v>12.142857142857142</c:v>
                </c:pt>
                <c:pt idx="117">
                  <c:v>12.285714285714286</c:v>
                </c:pt>
                <c:pt idx="118">
                  <c:v>12.857142857142858</c:v>
                </c:pt>
                <c:pt idx="119">
                  <c:v>12</c:v>
                </c:pt>
                <c:pt idx="120">
                  <c:v>13.142857142857142</c:v>
                </c:pt>
                <c:pt idx="121">
                  <c:v>13.285714285714286</c:v>
                </c:pt>
                <c:pt idx="122">
                  <c:v>13</c:v>
                </c:pt>
                <c:pt idx="123">
                  <c:v>16.142857142857142</c:v>
                </c:pt>
                <c:pt idx="124">
                  <c:v>18</c:v>
                </c:pt>
                <c:pt idx="125">
                  <c:v>18.142857142857142</c:v>
                </c:pt>
                <c:pt idx="126">
                  <c:v>20.285714285714285</c:v>
                </c:pt>
                <c:pt idx="127">
                  <c:v>21.285714285714285</c:v>
                </c:pt>
                <c:pt idx="128">
                  <c:v>20.428571428571427</c:v>
                </c:pt>
                <c:pt idx="129">
                  <c:v>21</c:v>
                </c:pt>
                <c:pt idx="130">
                  <c:v>16.571428571428573</c:v>
                </c:pt>
                <c:pt idx="131">
                  <c:v>19.285714285714285</c:v>
                </c:pt>
                <c:pt idx="132">
                  <c:v>26.285714285714285</c:v>
                </c:pt>
                <c:pt idx="133">
                  <c:v>25.571428571428573</c:v>
                </c:pt>
                <c:pt idx="134">
                  <c:v>23</c:v>
                </c:pt>
                <c:pt idx="135">
                  <c:v>27.142857142857142</c:v>
                </c:pt>
                <c:pt idx="136">
                  <c:v>27.428571428571427</c:v>
                </c:pt>
                <c:pt idx="137">
                  <c:v>29.714285714285715</c:v>
                </c:pt>
                <c:pt idx="138">
                  <c:v>25.571428571428573</c:v>
                </c:pt>
                <c:pt idx="139">
                  <c:v>19.857142857142858</c:v>
                </c:pt>
                <c:pt idx="140">
                  <c:v>19.285714285714285</c:v>
                </c:pt>
                <c:pt idx="141">
                  <c:v>20.428571428571427</c:v>
                </c:pt>
                <c:pt idx="142">
                  <c:v>18.142857142857142</c:v>
                </c:pt>
                <c:pt idx="143">
                  <c:v>16.571428571428573</c:v>
                </c:pt>
                <c:pt idx="144">
                  <c:v>16</c:v>
                </c:pt>
                <c:pt idx="145">
                  <c:v>15.285714285714286</c:v>
                </c:pt>
                <c:pt idx="146">
                  <c:v>13</c:v>
                </c:pt>
                <c:pt idx="147">
                  <c:v>14.571428571428571</c:v>
                </c:pt>
                <c:pt idx="148">
                  <c:v>15.428571428571429</c:v>
                </c:pt>
                <c:pt idx="149">
                  <c:v>19</c:v>
                </c:pt>
                <c:pt idx="150">
                  <c:v>22</c:v>
                </c:pt>
                <c:pt idx="151">
                  <c:v>22.714285714285715</c:v>
                </c:pt>
                <c:pt idx="152">
                  <c:v>24.285714285714285</c:v>
                </c:pt>
                <c:pt idx="153">
                  <c:v>29.428571428571427</c:v>
                </c:pt>
                <c:pt idx="154">
                  <c:v>32.571428571428569</c:v>
                </c:pt>
                <c:pt idx="155">
                  <c:v>33.857142857142854</c:v>
                </c:pt>
                <c:pt idx="156">
                  <c:v>32.142857142857146</c:v>
                </c:pt>
                <c:pt idx="157">
                  <c:v>33.142857142857146</c:v>
                </c:pt>
                <c:pt idx="158">
                  <c:v>35.714285714285715</c:v>
                </c:pt>
                <c:pt idx="159">
                  <c:v>36.428571428571431</c:v>
                </c:pt>
                <c:pt idx="160">
                  <c:v>35.714285714285715</c:v>
                </c:pt>
                <c:pt idx="161">
                  <c:v>32.142857142857146</c:v>
                </c:pt>
                <c:pt idx="162">
                  <c:v>30.714285714285715</c:v>
                </c:pt>
                <c:pt idx="163">
                  <c:v>32.571428571428569</c:v>
                </c:pt>
                <c:pt idx="164">
                  <c:v>33.142857142857146</c:v>
                </c:pt>
                <c:pt idx="165">
                  <c:v>32</c:v>
                </c:pt>
                <c:pt idx="166">
                  <c:v>33.428571428571431</c:v>
                </c:pt>
                <c:pt idx="167">
                  <c:v>33.428571428571431</c:v>
                </c:pt>
                <c:pt idx="168">
                  <c:v>36.714285714285715</c:v>
                </c:pt>
                <c:pt idx="169">
                  <c:v>38.285714285714285</c:v>
                </c:pt>
                <c:pt idx="170">
                  <c:v>35.428571428571431</c:v>
                </c:pt>
                <c:pt idx="171">
                  <c:v>36.428571428571431</c:v>
                </c:pt>
                <c:pt idx="172">
                  <c:v>35.857142857142854</c:v>
                </c:pt>
                <c:pt idx="173">
                  <c:v>36.857142857142854</c:v>
                </c:pt>
                <c:pt idx="174">
                  <c:v>34.571428571428569</c:v>
                </c:pt>
                <c:pt idx="175">
                  <c:v>37.428571428571431</c:v>
                </c:pt>
                <c:pt idx="176">
                  <c:v>39.714285714285715</c:v>
                </c:pt>
                <c:pt idx="177">
                  <c:v>40.714285714285715</c:v>
                </c:pt>
                <c:pt idx="178">
                  <c:v>44.142857142857146</c:v>
                </c:pt>
                <c:pt idx="179">
                  <c:v>45.571428571428569</c:v>
                </c:pt>
                <c:pt idx="180">
                  <c:v>43.428571428571431</c:v>
                </c:pt>
                <c:pt idx="181">
                  <c:v>45</c:v>
                </c:pt>
                <c:pt idx="182">
                  <c:v>40.285714285714285</c:v>
                </c:pt>
                <c:pt idx="183">
                  <c:v>39.857142857142854</c:v>
                </c:pt>
                <c:pt idx="184">
                  <c:v>39.714285714285715</c:v>
                </c:pt>
                <c:pt idx="185">
                  <c:v>42.857142857142854</c:v>
                </c:pt>
                <c:pt idx="186">
                  <c:v>45.142857142857146</c:v>
                </c:pt>
                <c:pt idx="187">
                  <c:v>45.571428571428569</c:v>
                </c:pt>
                <c:pt idx="188">
                  <c:v>44.285714285714285</c:v>
                </c:pt>
                <c:pt idx="189">
                  <c:v>42.857142857142854</c:v>
                </c:pt>
                <c:pt idx="190">
                  <c:v>39.428571428571431</c:v>
                </c:pt>
                <c:pt idx="191">
                  <c:v>37.285714285714285</c:v>
                </c:pt>
                <c:pt idx="192">
                  <c:v>30.714285714285715</c:v>
                </c:pt>
                <c:pt idx="193">
                  <c:v>28</c:v>
                </c:pt>
                <c:pt idx="194">
                  <c:v>28</c:v>
                </c:pt>
                <c:pt idx="195">
                  <c:v>30.571428571428573</c:v>
                </c:pt>
                <c:pt idx="196">
                  <c:v>31.142857142857142</c:v>
                </c:pt>
                <c:pt idx="197">
                  <c:v>32.857142857142854</c:v>
                </c:pt>
                <c:pt idx="198">
                  <c:v>36.285714285714285</c:v>
                </c:pt>
                <c:pt idx="199">
                  <c:v>36.428571428571431</c:v>
                </c:pt>
                <c:pt idx="200">
                  <c:v>40.714285714285715</c:v>
                </c:pt>
                <c:pt idx="201">
                  <c:v>44.857142857142854</c:v>
                </c:pt>
                <c:pt idx="202">
                  <c:v>47.285714285714285</c:v>
                </c:pt>
                <c:pt idx="203">
                  <c:v>48.714285714285715</c:v>
                </c:pt>
                <c:pt idx="204">
                  <c:v>47.285714285714285</c:v>
                </c:pt>
                <c:pt idx="205">
                  <c:v>50.285714285714285</c:v>
                </c:pt>
                <c:pt idx="206">
                  <c:v>51.428571428571431</c:v>
                </c:pt>
                <c:pt idx="207">
                  <c:v>51.857142857142854</c:v>
                </c:pt>
                <c:pt idx="208">
                  <c:v>53</c:v>
                </c:pt>
                <c:pt idx="209">
                  <c:v>55.142857142857146</c:v>
                </c:pt>
                <c:pt idx="210">
                  <c:v>67.285714285714292</c:v>
                </c:pt>
                <c:pt idx="211">
                  <c:v>77.285714285714292</c:v>
                </c:pt>
                <c:pt idx="212">
                  <c:v>83.714285714285708</c:v>
                </c:pt>
                <c:pt idx="213">
                  <c:v>107</c:v>
                </c:pt>
                <c:pt idx="214">
                  <c:v>116.85714285714286</c:v>
                </c:pt>
                <c:pt idx="215">
                  <c:v>127</c:v>
                </c:pt>
                <c:pt idx="216">
                  <c:v>136.85714285714286</c:v>
                </c:pt>
                <c:pt idx="217">
                  <c:v>140</c:v>
                </c:pt>
                <c:pt idx="218">
                  <c:v>146.71428571428572</c:v>
                </c:pt>
                <c:pt idx="219">
                  <c:v>168</c:v>
                </c:pt>
                <c:pt idx="220">
                  <c:v>189.42857142857142</c:v>
                </c:pt>
                <c:pt idx="221">
                  <c:v>218.85714285714286</c:v>
                </c:pt>
                <c:pt idx="222">
                  <c:v>243.71428571428572</c:v>
                </c:pt>
                <c:pt idx="223">
                  <c:v>271.14285714285717</c:v>
                </c:pt>
                <c:pt idx="224">
                  <c:v>307.42857142857144</c:v>
                </c:pt>
                <c:pt idx="225">
                  <c:v>332.85714285714283</c:v>
                </c:pt>
                <c:pt idx="226">
                  <c:v>356.28571428571428</c:v>
                </c:pt>
                <c:pt idx="227">
                  <c:v>384.14285714285717</c:v>
                </c:pt>
                <c:pt idx="228">
                  <c:v>435.14285714285717</c:v>
                </c:pt>
                <c:pt idx="229">
                  <c:v>493.14285714285717</c:v>
                </c:pt>
                <c:pt idx="230">
                  <c:v>510.85714285714283</c:v>
                </c:pt>
                <c:pt idx="231">
                  <c:v>550.28571428571433</c:v>
                </c:pt>
                <c:pt idx="232">
                  <c:v>630.57142857142856</c:v>
                </c:pt>
                <c:pt idx="233">
                  <c:v>681.57142857142856</c:v>
                </c:pt>
                <c:pt idx="234">
                  <c:v>722.85714285714289</c:v>
                </c:pt>
                <c:pt idx="235">
                  <c:v>749.57142857142856</c:v>
                </c:pt>
                <c:pt idx="236">
                  <c:v>776.85714285714289</c:v>
                </c:pt>
                <c:pt idx="237">
                  <c:v>815.57142857142856</c:v>
                </c:pt>
                <c:pt idx="238">
                  <c:v>826.28571428571433</c:v>
                </c:pt>
                <c:pt idx="239">
                  <c:v>848.85714285714289</c:v>
                </c:pt>
                <c:pt idx="240">
                  <c:v>924.42857142857144</c:v>
                </c:pt>
                <c:pt idx="241">
                  <c:v>984.71428571428567</c:v>
                </c:pt>
                <c:pt idx="242">
                  <c:v>1058</c:v>
                </c:pt>
                <c:pt idx="243">
                  <c:v>1105</c:v>
                </c:pt>
                <c:pt idx="244">
                  <c:v>1150.7142857142858</c:v>
                </c:pt>
                <c:pt idx="245">
                  <c:v>1177.4285714285713</c:v>
                </c:pt>
                <c:pt idx="246">
                  <c:v>1211.8571428571429</c:v>
                </c:pt>
                <c:pt idx="247">
                  <c:v>1247.1428571428571</c:v>
                </c:pt>
                <c:pt idx="248">
                  <c:v>1309</c:v>
                </c:pt>
                <c:pt idx="249">
                  <c:v>1386.4285714285713</c:v>
                </c:pt>
                <c:pt idx="250">
                  <c:v>1469.4285714285713</c:v>
                </c:pt>
                <c:pt idx="251">
                  <c:v>1499.5714285714287</c:v>
                </c:pt>
                <c:pt idx="252">
                  <c:v>1543.4285714285713</c:v>
                </c:pt>
                <c:pt idx="253">
                  <c:v>1525.1428571428571</c:v>
                </c:pt>
                <c:pt idx="254">
                  <c:v>1485.5714285714287</c:v>
                </c:pt>
                <c:pt idx="255">
                  <c:v>1422.2857142857142</c:v>
                </c:pt>
                <c:pt idx="256">
                  <c:v>1310.2857142857142</c:v>
                </c:pt>
                <c:pt idx="257">
                  <c:v>1182.2857142857142</c:v>
                </c:pt>
                <c:pt idx="258">
                  <c:v>1122.5714285714287</c:v>
                </c:pt>
                <c:pt idx="259">
                  <c:v>1024.7142857142858</c:v>
                </c:pt>
                <c:pt idx="260">
                  <c:v>971.14285714285711</c:v>
                </c:pt>
                <c:pt idx="261">
                  <c:v>945.42857142857144</c:v>
                </c:pt>
                <c:pt idx="262">
                  <c:v>884.85714285714289</c:v>
                </c:pt>
                <c:pt idx="263">
                  <c:v>843.42857142857144</c:v>
                </c:pt>
                <c:pt idx="264">
                  <c:v>811.57142857142856</c:v>
                </c:pt>
                <c:pt idx="265">
                  <c:v>768.42857142857144</c:v>
                </c:pt>
                <c:pt idx="266">
                  <c:v>766.85714285714289</c:v>
                </c:pt>
                <c:pt idx="267">
                  <c:v>740.14285714285711</c:v>
                </c:pt>
                <c:pt idx="268">
                  <c:v>676.28571428571433</c:v>
                </c:pt>
                <c:pt idx="269">
                  <c:v>669.14285714285711</c:v>
                </c:pt>
                <c:pt idx="270">
                  <c:v>646.42857142857144</c:v>
                </c:pt>
                <c:pt idx="271">
                  <c:v>594.42857142857144</c:v>
                </c:pt>
                <c:pt idx="272">
                  <c:v>546</c:v>
                </c:pt>
                <c:pt idx="273">
                  <c:v>518.28571428571433</c:v>
                </c:pt>
                <c:pt idx="274">
                  <c:v>508</c:v>
                </c:pt>
                <c:pt idx="275">
                  <c:v>474.28571428571428</c:v>
                </c:pt>
                <c:pt idx="276">
                  <c:v>407.71428571428572</c:v>
                </c:pt>
                <c:pt idx="277">
                  <c:v>342.28571428571428</c:v>
                </c:pt>
                <c:pt idx="278">
                  <c:v>320.14285714285717</c:v>
                </c:pt>
                <c:pt idx="279">
                  <c:v>313.57142857142856</c:v>
                </c:pt>
                <c:pt idx="280">
                  <c:v>293.28571428571428</c:v>
                </c:pt>
                <c:pt idx="281">
                  <c:v>255.42857142857142</c:v>
                </c:pt>
                <c:pt idx="282">
                  <c:v>254.42857142857142</c:v>
                </c:pt>
                <c:pt idx="283">
                  <c:v>245.28571428571428</c:v>
                </c:pt>
                <c:pt idx="284">
                  <c:v>283.85714285714283</c:v>
                </c:pt>
                <c:pt idx="285">
                  <c:v>286.71428571428572</c:v>
                </c:pt>
                <c:pt idx="286">
                  <c:v>290.28571428571428</c:v>
                </c:pt>
                <c:pt idx="287">
                  <c:v>304.85714285714283</c:v>
                </c:pt>
                <c:pt idx="288">
                  <c:v>314.71428571428572</c:v>
                </c:pt>
                <c:pt idx="289">
                  <c:v>297.85714285714283</c:v>
                </c:pt>
                <c:pt idx="290">
                  <c:v>284.71428571428572</c:v>
                </c:pt>
                <c:pt idx="291">
                  <c:v>262</c:v>
                </c:pt>
                <c:pt idx="292">
                  <c:v>253.14285714285714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486-4F59-972D-1DB198CB2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732240"/>
        <c:axId val="762536912"/>
      </c:lineChart>
      <c:dateAx>
        <c:axId val="1283203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773857357"/>
        <c:crosses val="autoZero"/>
        <c:auto val="1"/>
        <c:lblOffset val="100"/>
        <c:baseTimeUnit val="days"/>
      </c:dateAx>
      <c:valAx>
        <c:axId val="1773857357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28320301"/>
        <c:crosses val="autoZero"/>
        <c:crossBetween val="between"/>
      </c:valAx>
      <c:dateAx>
        <c:axId val="2112732240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762536912"/>
        <c:crosses val="autoZero"/>
        <c:auto val="1"/>
        <c:lblOffset val="100"/>
        <c:baseTimeUnit val="days"/>
      </c:dateAx>
      <c:valAx>
        <c:axId val="76253691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211273224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Podlaskiego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Województwa'!$BU$2</c:f>
              <c:strCache>
                <c:ptCount val="1"/>
                <c:pt idx="0">
                  <c:v>Podlaskie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Województwa'!$BU$3:$BU$1000</c:f>
              <c:numCache>
                <c:formatCode>General</c:formatCode>
                <c:ptCount val="998"/>
                <c:pt idx="36" formatCode="0.0000">
                  <c:v>1.5356125356125359</c:v>
                </c:pt>
                <c:pt idx="37" formatCode="0.0000">
                  <c:v>1.3837798027779127</c:v>
                </c:pt>
                <c:pt idx="38" formatCode="0.0000">
                  <c:v>1.3618381632097762</c:v>
                </c:pt>
                <c:pt idx="39" formatCode="0.0000">
                  <c:v>1.111428021792251</c:v>
                </c:pt>
                <c:pt idx="40" formatCode="0.0000">
                  <c:v>1.2459308394441118</c:v>
                </c:pt>
                <c:pt idx="41" formatCode="0.0000">
                  <c:v>1.1967227532187672</c:v>
                </c:pt>
                <c:pt idx="42" formatCode="0.0000">
                  <c:v>1.1796346795953931</c:v>
                </c:pt>
                <c:pt idx="43" formatCode="0.0000">
                  <c:v>0.98562743612754566</c:v>
                </c:pt>
                <c:pt idx="44" formatCode="0.0000">
                  <c:v>0.99167417351118947</c:v>
                </c:pt>
                <c:pt idx="45" formatCode="0.0000">
                  <c:v>0.92325178834805288</c:v>
                </c:pt>
                <c:pt idx="46" formatCode="0.0000">
                  <c:v>1.1077152228299749</c:v>
                </c:pt>
                <c:pt idx="47" formatCode="0.0000">
                  <c:v>0.8960331600085405</c:v>
                </c:pt>
                <c:pt idx="48" formatCode="0.0000">
                  <c:v>0.81775734977183545</c:v>
                </c:pt>
                <c:pt idx="49" formatCode="0.0000">
                  <c:v>0.71630411388571524</c:v>
                </c:pt>
                <c:pt idx="50" formatCode="0.0000">
                  <c:v>0.72551681686792124</c:v>
                </c:pt>
                <c:pt idx="51" formatCode="0.0000">
                  <c:v>0.62103252210394266</c:v>
                </c:pt>
                <c:pt idx="52" formatCode="0.0000">
                  <c:v>0.54266224817116226</c:v>
                </c:pt>
                <c:pt idx="53" formatCode="0.0000">
                  <c:v>0.52218585083279634</c:v>
                </c:pt>
                <c:pt idx="54" formatCode="0.0000">
                  <c:v>0.5220612831711543</c:v>
                </c:pt>
                <c:pt idx="55" formatCode="0.0000">
                  <c:v>0.52827850624961292</c:v>
                </c:pt>
                <c:pt idx="56" formatCode="0.0000">
                  <c:v>0.51047417320884325</c:v>
                </c:pt>
                <c:pt idx="57" formatCode="0.0000">
                  <c:v>0.47589549432126538</c:v>
                </c:pt>
                <c:pt idx="58" formatCode="0.0000">
                  <c:v>0.57948345077171326</c:v>
                </c:pt>
                <c:pt idx="59" formatCode="0.0000">
                  <c:v>0.53799684071427289</c:v>
                </c:pt>
                <c:pt idx="60" formatCode="0.0000">
                  <c:v>0.37343815808438013</c:v>
                </c:pt>
                <c:pt idx="61" formatCode="0.0000">
                  <c:v>0.35841551065412997</c:v>
                </c:pt>
                <c:pt idx="62" formatCode="0.0000">
                  <c:v>0.29466233751351301</c:v>
                </c:pt>
                <c:pt idx="63" formatCode="0.0000">
                  <c:v>0.29697812685920544</c:v>
                </c:pt>
                <c:pt idx="64" formatCode="0.0000">
                  <c:v>0.33828406463318406</c:v>
                </c:pt>
                <c:pt idx="65" formatCode="0.0000">
                  <c:v>0.20311595367050783</c:v>
                </c:pt>
                <c:pt idx="66" formatCode="0.0000">
                  <c:v>0.30492933322320137</c:v>
                </c:pt>
                <c:pt idx="67" formatCode="0.0000">
                  <c:v>0.25404417906101295</c:v>
                </c:pt>
                <c:pt idx="68" formatCode="0.0000">
                  <c:v>0.28795768991772469</c:v>
                </c:pt>
                <c:pt idx="69" formatCode="0.0000">
                  <c:v>0.28795768991772469</c:v>
                </c:pt>
                <c:pt idx="70" formatCode="0.0000">
                  <c:v>0.32964447092123444</c:v>
                </c:pt>
                <c:pt idx="71" formatCode="0.0000">
                  <c:v>0.28833853314725572</c:v>
                </c:pt>
                <c:pt idx="72" formatCode="0.0000">
                  <c:v>0.34038059549953659</c:v>
                </c:pt>
                <c:pt idx="73" formatCode="0.0000">
                  <c:v>0.34118544256109856</c:v>
                </c:pt>
                <c:pt idx="74" formatCode="0.0000">
                  <c:v>0.34118544256109862</c:v>
                </c:pt>
                <c:pt idx="75" formatCode="0.0000">
                  <c:v>0.40399303150468807</c:v>
                </c:pt>
                <c:pt idx="76" formatCode="0.0000">
                  <c:v>0.53103528056856253</c:v>
                </c:pt>
                <c:pt idx="77" formatCode="0.0000">
                  <c:v>1.6141712052233774</c:v>
                </c:pt>
                <c:pt idx="78" formatCode="0.0000">
                  <c:v>2.0617355234256154</c:v>
                </c:pt>
                <c:pt idx="79" formatCode="0.0000">
                  <c:v>1.9637187344025708</c:v>
                </c:pt>
                <c:pt idx="80" formatCode="0.0000">
                  <c:v>2.2041386443601154</c:v>
                </c:pt>
                <c:pt idx="81" formatCode="0.0000">
                  <c:v>2.3470496462707806</c:v>
                </c:pt>
                <c:pt idx="82" formatCode="0.0000">
                  <c:v>2.4128466918844964</c:v>
                </c:pt>
                <c:pt idx="83" formatCode="0.0000">
                  <c:v>2.5131372540065868</c:v>
                </c:pt>
                <c:pt idx="84" formatCode="0.0000">
                  <c:v>1.6448584908407169</c:v>
                </c:pt>
                <c:pt idx="85" formatCode="0.0000">
                  <c:v>1.5252262502659548</c:v>
                </c:pt>
                <c:pt idx="86" formatCode="0.0000">
                  <c:v>1.6174657275642204</c:v>
                </c:pt>
                <c:pt idx="87" formatCode="0.0000">
                  <c:v>1.3715849468353272</c:v>
                </c:pt>
                <c:pt idx="88" formatCode="0.0000">
                  <c:v>1.3644206830696402</c:v>
                </c:pt>
                <c:pt idx="89" formatCode="0.0000">
                  <c:v>1.2080626588554677</c:v>
                </c:pt>
                <c:pt idx="90" formatCode="0.0000">
                  <c:v>1.28750736840222</c:v>
                </c:pt>
                <c:pt idx="91" formatCode="0.0000">
                  <c:v>1.1587657610889861</c:v>
                </c:pt>
                <c:pt idx="92" formatCode="0.0000">
                  <c:v>1.1532464193020293</c:v>
                </c:pt>
                <c:pt idx="93" formatCode="0.0000">
                  <c:v>1.3890078309063991</c:v>
                </c:pt>
                <c:pt idx="94" formatCode="0.0000">
                  <c:v>1.4763574262228414</c:v>
                </c:pt>
                <c:pt idx="95" formatCode="0.0000">
                  <c:v>1.4291754579692328</c:v>
                </c:pt>
                <c:pt idx="96" formatCode="0.0000">
                  <c:v>1.8866540817089825</c:v>
                </c:pt>
                <c:pt idx="97" formatCode="0.0000">
                  <c:v>1.6840237189905847</c:v>
                </c:pt>
                <c:pt idx="98" formatCode="0.0000">
                  <c:v>1.7901434385771393</c:v>
                </c:pt>
                <c:pt idx="99" formatCode="0.0000">
                  <c:v>1.6438176150447463</c:v>
                </c:pt>
                <c:pt idx="100" formatCode="0.0000">
                  <c:v>1.4552543559220177</c:v>
                </c:pt>
                <c:pt idx="101" formatCode="0.0000">
                  <c:v>1.5350333235021971</c:v>
                </c:pt>
                <c:pt idx="102" formatCode="0.0000">
                  <c:v>1.5712344572828791</c:v>
                </c:pt>
                <c:pt idx="103" formatCode="0.0000">
                  <c:v>1.4042969173250879</c:v>
                </c:pt>
                <c:pt idx="104" formatCode="0.0000">
                  <c:v>1.4554450358357194</c:v>
                </c:pt>
                <c:pt idx="105" formatCode="0.0000">
                  <c:v>1.2671856688622491</c:v>
                </c:pt>
                <c:pt idx="106" formatCode="0.0000">
                  <c:v>1.3171011304332858</c:v>
                </c:pt>
                <c:pt idx="107" formatCode="0.0000">
                  <c:v>1.3283579154148171</c:v>
                </c:pt>
                <c:pt idx="108" formatCode="0.0000">
                  <c:v>1.2250962982605758</c:v>
                </c:pt>
                <c:pt idx="109" formatCode="0.0000">
                  <c:v>1.2697780495574003</c:v>
                </c:pt>
                <c:pt idx="110" formatCode="0.0000">
                  <c:v>1.1101159102780362</c:v>
                </c:pt>
                <c:pt idx="111" formatCode="0.0000">
                  <c:v>1.2024136395638454</c:v>
                </c:pt>
                <c:pt idx="112" formatCode="0.0000">
                  <c:v>1.2172637341501786</c:v>
                </c:pt>
                <c:pt idx="113" formatCode="0.0000">
                  <c:v>1.1239642235022096</c:v>
                </c:pt>
                <c:pt idx="114" formatCode="0.0000">
                  <c:v>1.1176466271134717</c:v>
                </c:pt>
                <c:pt idx="115" formatCode="0.0000">
                  <c:v>1.1110770527174776</c:v>
                </c:pt>
                <c:pt idx="116" formatCode="0.0000">
                  <c:v>1.033239774986461</c:v>
                </c:pt>
                <c:pt idx="117" formatCode="0.0000">
                  <c:v>1.0720272550062531</c:v>
                </c:pt>
                <c:pt idx="118" formatCode="0.0000">
                  <c:v>0.99633862573178811</c:v>
                </c:pt>
                <c:pt idx="119" formatCode="0.0000">
                  <c:v>1.0954270428585811</c:v>
                </c:pt>
                <c:pt idx="120" formatCode="0.0000">
                  <c:v>1.0093542635788335</c:v>
                </c:pt>
                <c:pt idx="121" formatCode="0.0000">
                  <c:v>0.9268913377309328</c:v>
                </c:pt>
                <c:pt idx="122" formatCode="0.0000">
                  <c:v>0.85103118551036394</c:v>
                </c:pt>
                <c:pt idx="123" formatCode="0.0000">
                  <c:v>0.91540618248583372</c:v>
                </c:pt>
                <c:pt idx="124" formatCode="0.0000">
                  <c:v>0.73524682610709113</c:v>
                </c:pt>
                <c:pt idx="125" formatCode="0.0000">
                  <c:v>0.61712534510553829</c:v>
                </c:pt>
                <c:pt idx="126" formatCode="0.0000">
                  <c:v>0.45011461495343946</c:v>
                </c:pt>
                <c:pt idx="127" formatCode="0.0000">
                  <c:v>0.52001519952382258</c:v>
                </c:pt>
                <c:pt idx="128" formatCode="0.0000">
                  <c:v>0.56068541504836233</c:v>
                </c:pt>
                <c:pt idx="129" formatCode="0.0000">
                  <c:v>0.51772045550496415</c:v>
                </c:pt>
                <c:pt idx="130" formatCode="0.0000">
                  <c:v>0.40164403516297487</c:v>
                </c:pt>
                <c:pt idx="131" formatCode="0.0000">
                  <c:v>0.44469077737368029</c:v>
                </c:pt>
                <c:pt idx="132" formatCode="0.0000">
                  <c:v>0.39090788183893854</c:v>
                </c:pt>
                <c:pt idx="133" formatCode="0.0000">
                  <c:v>0.38947713145292917</c:v>
                </c:pt>
                <c:pt idx="134" formatCode="0.0000">
                  <c:v>0.30467851019067865</c:v>
                </c:pt>
                <c:pt idx="135" formatCode="0.0000">
                  <c:v>0.20209440214133881</c:v>
                </c:pt>
                <c:pt idx="136" formatCode="0.0000">
                  <c:v>0.3330606558061836</c:v>
                </c:pt>
                <c:pt idx="137" formatCode="0.0000">
                  <c:v>0.41520130171640623</c:v>
                </c:pt>
                <c:pt idx="138" formatCode="0.0000">
                  <c:v>0.34846777521103139</c:v>
                </c:pt>
                <c:pt idx="139" formatCode="0.0000">
                  <c:v>0.54235706801651762</c:v>
                </c:pt>
                <c:pt idx="140" formatCode="0.0000">
                  <c:v>0.60650437408407598</c:v>
                </c:pt>
                <c:pt idx="141" formatCode="0.0000">
                  <c:v>0.8176611703841159</c:v>
                </c:pt>
                <c:pt idx="142" formatCode="0.0000">
                  <c:v>0.9059818409264323</c:v>
                </c:pt>
                <c:pt idx="143" formatCode="0.0000">
                  <c:v>0.97292398773031807</c:v>
                </c:pt>
                <c:pt idx="144" formatCode="0.0000">
                  <c:v>1.2362927435845517</c:v>
                </c:pt>
                <c:pt idx="145" formatCode="0.0000">
                  <c:v>1.3052217609993892</c:v>
                </c:pt>
                <c:pt idx="146" formatCode="0.0000">
                  <c:v>1.3718430911594872</c:v>
                </c:pt>
                <c:pt idx="147" formatCode="0.0000">
                  <c:v>1.5459907979638481</c:v>
                </c:pt>
                <c:pt idx="148" formatCode="0.0000">
                  <c:v>1.5105619252956921</c:v>
                </c:pt>
                <c:pt idx="149" formatCode="0.0000">
                  <c:v>1.6171120229200506</c:v>
                </c:pt>
                <c:pt idx="150" formatCode="0.0000">
                  <c:v>1.5423476987173552</c:v>
                </c:pt>
                <c:pt idx="151" formatCode="0.0000">
                  <c:v>1.2611201133920777</c:v>
                </c:pt>
                <c:pt idx="152" formatCode="0.0000">
                  <c:v>1.4360494470261707</c:v>
                </c:pt>
                <c:pt idx="153" formatCode="0.0000">
                  <c:v>1.4216363954090299</c:v>
                </c:pt>
                <c:pt idx="154" formatCode="0.0000">
                  <c:v>1.48985303568742</c:v>
                </c:pt>
                <c:pt idx="155" formatCode="0.0000">
                  <c:v>1.4695706780059297</c:v>
                </c:pt>
                <c:pt idx="156" formatCode="0.0000">
                  <c:v>1.5793975112847636</c:v>
                </c:pt>
                <c:pt idx="157" formatCode="0.0000">
                  <c:v>1.4360505403516899</c:v>
                </c:pt>
                <c:pt idx="158" formatCode="0.0000">
                  <c:v>1.5440155153110677</c:v>
                </c:pt>
                <c:pt idx="159" formatCode="0.0000">
                  <c:v>1.465495876940391</c:v>
                </c:pt>
                <c:pt idx="160" formatCode="0.0000">
                  <c:v>1.3487609993036247</c:v>
                </c:pt>
                <c:pt idx="161" formatCode="0.0000">
                  <c:v>1.1288998068796507</c:v>
                </c:pt>
                <c:pt idx="162" formatCode="0.0000">
                  <c:v>1.0597823425676218</c:v>
                </c:pt>
                <c:pt idx="163" formatCode="0.0000">
                  <c:v>1.0490927606733143</c:v>
                </c:pt>
                <c:pt idx="164" formatCode="0.0000">
                  <c:v>1.4994019237168119</c:v>
                </c:pt>
                <c:pt idx="165" formatCode="0.0000">
                  <c:v>1.3553872909562579</c:v>
                </c:pt>
                <c:pt idx="166" formatCode="0.0000">
                  <c:v>1.226870308008692</c:v>
                </c:pt>
                <c:pt idx="167" formatCode="0.0000">
                  <c:v>1.166156362191799</c:v>
                </c:pt>
                <c:pt idx="168" formatCode="0.0000">
                  <c:v>1.1997184516167543</c:v>
                </c:pt>
                <c:pt idx="169" formatCode="0.0000">
                  <c:v>1.1996579633197562</c:v>
                </c:pt>
                <c:pt idx="170" formatCode="0.0000">
                  <c:v>1.0871613512610139</c:v>
                </c:pt>
                <c:pt idx="171" formatCode="0.0000">
                  <c:v>0.70880363249097234</c:v>
                </c:pt>
                <c:pt idx="172" formatCode="0.0000">
                  <c:v>0.74859150212575665</c:v>
                </c:pt>
                <c:pt idx="173" formatCode="0.0000">
                  <c:v>0.80762849747390431</c:v>
                </c:pt>
                <c:pt idx="174" formatCode="0.0000">
                  <c:v>0.87309456724866286</c:v>
                </c:pt>
                <c:pt idx="175" formatCode="0.0000">
                  <c:v>1.1983334755455746</c:v>
                </c:pt>
                <c:pt idx="176" formatCode="0.0000">
                  <c:v>1.2455560312019494</c:v>
                </c:pt>
                <c:pt idx="177" formatCode="0.0000">
                  <c:v>1.2132210959646801</c:v>
                </c:pt>
                <c:pt idx="178" formatCode="0.0000">
                  <c:v>1.1876094712585032</c:v>
                </c:pt>
                <c:pt idx="179" formatCode="0.0000">
                  <c:v>1.4023231722554108</c:v>
                </c:pt>
                <c:pt idx="180" formatCode="0.0000">
                  <c:v>1.3520437314510427</c:v>
                </c:pt>
                <c:pt idx="181" formatCode="0.0000">
                  <c:v>1.3315335158094703</c:v>
                </c:pt>
                <c:pt idx="182" formatCode="0.0000">
                  <c:v>0.98802287319618398</c:v>
                </c:pt>
                <c:pt idx="183" formatCode="0.0000">
                  <c:v>0.9150050289187186</c:v>
                </c:pt>
                <c:pt idx="184" formatCode="0.0000">
                  <c:v>0.90457708550425031</c:v>
                </c:pt>
                <c:pt idx="185" formatCode="0.0000">
                  <c:v>0.95426730104061919</c:v>
                </c:pt>
                <c:pt idx="186" formatCode="0.0000">
                  <c:v>0.78984586561900172</c:v>
                </c:pt>
                <c:pt idx="187" formatCode="0.0000">
                  <c:v>0.94259198612605744</c:v>
                </c:pt>
                <c:pt idx="188" formatCode="0.0000">
                  <c:v>1.0839982794503291</c:v>
                </c:pt>
                <c:pt idx="189" formatCode="0.0000">
                  <c:v>1.0625804555088934</c:v>
                </c:pt>
                <c:pt idx="190" formatCode="0.0000">
                  <c:v>1.032856345862373</c:v>
                </c:pt>
                <c:pt idx="191" formatCode="0.0000">
                  <c:v>1.1115195319212834</c:v>
                </c:pt>
                <c:pt idx="192" formatCode="0.0000">
                  <c:v>1.4173628124159561</c:v>
                </c:pt>
                <c:pt idx="193" formatCode="0.0000">
                  <c:v>1.3087532644897213</c:v>
                </c:pt>
                <c:pt idx="194" formatCode="0.0000">
                  <c:v>1.2964537009973722</c:v>
                </c:pt>
                <c:pt idx="195" formatCode="0.0000">
                  <c:v>1.1253617082185672</c:v>
                </c:pt>
                <c:pt idx="196" formatCode="0.0000">
                  <c:v>1.139363673353248</c:v>
                </c:pt>
                <c:pt idx="197" formatCode="0.0000">
                  <c:v>1.3840659998371059</c:v>
                </c:pt>
                <c:pt idx="198" formatCode="0.0000">
                  <c:v>1.3913973394232464</c:v>
                </c:pt>
                <c:pt idx="199" formatCode="0.0000">
                  <c:v>1.109575134599434</c:v>
                </c:pt>
                <c:pt idx="200" formatCode="0.0000">
                  <c:v>1.2783394297108921</c:v>
                </c:pt>
                <c:pt idx="201" formatCode="0.0000">
                  <c:v>1.2699757420676512</c:v>
                </c:pt>
                <c:pt idx="202" formatCode="0.0000">
                  <c:v>1.2923390202555478</c:v>
                </c:pt>
                <c:pt idx="203" formatCode="0.0000">
                  <c:v>1.3479282237306034</c:v>
                </c:pt>
                <c:pt idx="204" formatCode="0.0000">
                  <c:v>1.2210622769925545</c:v>
                </c:pt>
                <c:pt idx="205" formatCode="0.0000">
                  <c:v>1.2965295134822514</c:v>
                </c:pt>
                <c:pt idx="206" formatCode="0.0000">
                  <c:v>1.5296639976556676</c:v>
                </c:pt>
                <c:pt idx="207" formatCode="0.0000">
                  <c:v>1.7345272556441511</c:v>
                </c:pt>
                <c:pt idx="208" formatCode="0.0000">
                  <c:v>1.8395783148251368</c:v>
                </c:pt>
                <c:pt idx="209" formatCode="0.0000">
                  <c:v>1.9584268460253391</c:v>
                </c:pt>
                <c:pt idx="210" formatCode="0.0000">
                  <c:v>1.9811874768810855</c:v>
                </c:pt>
                <c:pt idx="211" formatCode="0.0000">
                  <c:v>1.9907995263831413</c:v>
                </c:pt>
                <c:pt idx="212" formatCode="0.0000">
                  <c:v>1.8942556114066771</c:v>
                </c:pt>
                <c:pt idx="213" formatCode="0.0000">
                  <c:v>1.7836318993046176</c:v>
                </c:pt>
                <c:pt idx="214" formatCode="0.0000">
                  <c:v>1.6993511605060725</c:v>
                </c:pt>
                <c:pt idx="215" formatCode="0.0000">
                  <c:v>1.5875692517877125</c:v>
                </c:pt>
                <c:pt idx="216" formatCode="0.0000">
                  <c:v>1.5593296370169174</c:v>
                </c:pt>
                <c:pt idx="217" formatCode="0.0000">
                  <c:v>1.4766697838394633</c:v>
                </c:pt>
                <c:pt idx="218" formatCode="0.0000">
                  <c:v>1.4654738299370353</c:v>
                </c:pt>
                <c:pt idx="219" formatCode="0.0000">
                  <c:v>1.4548909144859472</c:v>
                </c:pt>
                <c:pt idx="220" formatCode="0.0000">
                  <c:v>1.4257361174174732</c:v>
                </c:pt>
                <c:pt idx="221" formatCode="0.0000">
                  <c:v>1.3965496871105376</c:v>
                </c:pt>
                <c:pt idx="222" formatCode="0.0000">
                  <c:v>1.3953908716695309</c:v>
                </c:pt>
                <c:pt idx="223" formatCode="0.0000">
                  <c:v>1.3938812289466813</c:v>
                </c:pt>
                <c:pt idx="224" formatCode="0.0000">
                  <c:v>1.5368877823843772</c:v>
                </c:pt>
                <c:pt idx="225" formatCode="0.0000">
                  <c:v>1.5803011661320328</c:v>
                </c:pt>
                <c:pt idx="226" formatCode="0.0000">
                  <c:v>1.5516422112498096</c:v>
                </c:pt>
                <c:pt idx="227" formatCode="0.0000">
                  <c:v>1.5555536365112697</c:v>
                </c:pt>
                <c:pt idx="228" formatCode="0.0000">
                  <c:v>1.4040845351716702</c:v>
                </c:pt>
                <c:pt idx="229" formatCode="0.0000">
                  <c:v>1.379744343778994</c:v>
                </c:pt>
                <c:pt idx="230" formatCode="0.0000">
                  <c:v>1.4796983271033279</c:v>
                </c:pt>
                <c:pt idx="231" formatCode="0.0000">
                  <c:v>1.4076395262557335</c:v>
                </c:pt>
                <c:pt idx="232" formatCode="0.0000">
                  <c:v>1.4174117880173174</c:v>
                </c:pt>
                <c:pt idx="233" formatCode="0.0000">
                  <c:v>1.4309774848726649</c:v>
                </c:pt>
                <c:pt idx="234" formatCode="0.0000">
                  <c:v>1.3717166173138235</c:v>
                </c:pt>
                <c:pt idx="235" formatCode="0.0000">
                  <c:v>1.442817645951969</c:v>
                </c:pt>
                <c:pt idx="236" formatCode="0.0000">
                  <c:v>1.4427094638103595</c:v>
                </c:pt>
                <c:pt idx="237" formatCode="0.0000">
                  <c:v>1.2882376877484849</c:v>
                </c:pt>
                <c:pt idx="238" formatCode="0.0000">
                  <c:v>1.3908671820657454</c:v>
                </c:pt>
                <c:pt idx="239" formatCode="0.0000">
                  <c:v>1.3318773812388101</c:v>
                </c:pt>
                <c:pt idx="240" formatCode="0.0000">
                  <c:v>1.6505809632310153</c:v>
                </c:pt>
                <c:pt idx="241" formatCode="0.0000">
                  <c:v>1.6301765096428258</c:v>
                </c:pt>
                <c:pt idx="242" formatCode="0.0000">
                  <c:v>1.6598140565196975</c:v>
                </c:pt>
                <c:pt idx="243" formatCode="0.0000">
                  <c:v>1.7587024665744961</c:v>
                </c:pt>
                <c:pt idx="244" formatCode="0.0000">
                  <c:v>1.8048012666730187</c:v>
                </c:pt>
                <c:pt idx="245" formatCode="0.0000">
                  <c:v>1.617125935182947</c:v>
                </c:pt>
                <c:pt idx="246" formatCode="0.0000">
                  <c:v>1.6585894539501382</c:v>
                </c:pt>
                <c:pt idx="247" formatCode="0.0000">
                  <c:v>1.4506502993815231</c:v>
                </c:pt>
                <c:pt idx="248" formatCode="0.0000">
                  <c:v>1.4596038262123716</c:v>
                </c:pt>
                <c:pt idx="249" formatCode="0.0000">
                  <c:v>1.3691408725940708</c:v>
                </c:pt>
                <c:pt idx="250" formatCode="0.0000">
                  <c:v>1.4063297559383223</c:v>
                </c:pt>
                <c:pt idx="251" formatCode="0.0000">
                  <c:v>1.3360225643756554</c:v>
                </c:pt>
                <c:pt idx="252" formatCode="0.0000">
                  <c:v>1.4039140179113618</c:v>
                </c:pt>
                <c:pt idx="253" formatCode="0.0000">
                  <c:v>1.3445533539727503</c:v>
                </c:pt>
                <c:pt idx="254" formatCode="0.0000">
                  <c:v>1.2739803494363575</c:v>
                </c:pt>
                <c:pt idx="255" formatCode="0.0000">
                  <c:v>1.1984423095661243</c:v>
                </c:pt>
                <c:pt idx="256" formatCode="0.0000">
                  <c:v>1.1883333966313603</c:v>
                </c:pt>
                <c:pt idx="257" formatCode="0.0000">
                  <c:v>1.069700860913573</c:v>
                </c:pt>
                <c:pt idx="258" formatCode="0.0000">
                  <c:v>1.0602468096959166</c:v>
                </c:pt>
                <c:pt idx="259" formatCode="0.0000">
                  <c:v>1.0050197673420291</c:v>
                </c:pt>
                <c:pt idx="260" formatCode="0.0000">
                  <c:v>0.96247851074520763</c:v>
                </c:pt>
                <c:pt idx="261" formatCode="0.0000">
                  <c:v>0.86925271291802608</c:v>
                </c:pt>
                <c:pt idx="262" formatCode="0.0000">
                  <c:v>0.96044119985455112</c:v>
                </c:pt>
                <c:pt idx="263" formatCode="0.0000">
                  <c:v>1.0224280213938111</c:v>
                </c:pt>
                <c:pt idx="264" formatCode="0.0000">
                  <c:v>1.0505574122217076</c:v>
                </c:pt>
                <c:pt idx="265" formatCode="0.0000">
                  <c:v>1.0391679810894763</c:v>
                </c:pt>
                <c:pt idx="266" formatCode="0.0000">
                  <c:v>0.99057650180128376</c:v>
                </c:pt>
                <c:pt idx="267" formatCode="0.0000">
                  <c:v>0.98529783165721141</c:v>
                </c:pt>
                <c:pt idx="268" formatCode="0.0000">
                  <c:v>0.97523046258033708</c:v>
                </c:pt>
                <c:pt idx="269" formatCode="0.0000">
                  <c:v>0.92261845208778759</c:v>
                </c:pt>
                <c:pt idx="270" formatCode="0.0000">
                  <c:v>0.82690511543769851</c:v>
                </c:pt>
                <c:pt idx="271" formatCode="0.0000">
                  <c:v>0.71709343761944955</c:v>
                </c:pt>
                <c:pt idx="272" formatCode="0.0000">
                  <c:v>0.65450042285827426</c:v>
                </c:pt>
                <c:pt idx="273" formatCode="0.0000">
                  <c:v>0.65451537630301693</c:v>
                </c:pt>
                <c:pt idx="274" formatCode="0.0000">
                  <c:v>0.68157431311591521</c:v>
                </c:pt>
                <c:pt idx="275" formatCode="0.0000">
                  <c:v>0.68936850238733194</c:v>
                </c:pt>
                <c:pt idx="276" formatCode="0.0000">
                  <c:v>0.69548436347100284</c:v>
                </c:pt>
                <c:pt idx="277" formatCode="0.0000">
                  <c:v>0.67287371023475784</c:v>
                </c:pt>
                <c:pt idx="278" formatCode="0.0000">
                  <c:v>0.67451344880067998</c:v>
                </c:pt>
                <c:pt idx="279" formatCode="0.0000">
                  <c:v>0.70247378560241758</c:v>
                </c:pt>
                <c:pt idx="280" formatCode="0.0000">
                  <c:v>0.71713211139121236</c:v>
                </c:pt>
                <c:pt idx="281" formatCode="0.0000">
                  <c:v>0.74745289594341968</c:v>
                </c:pt>
                <c:pt idx="282" formatCode="0.0000">
                  <c:v>0.78765022357159098</c:v>
                </c:pt>
                <c:pt idx="283" formatCode="0.0000">
                  <c:v>0.79157859882974291</c:v>
                </c:pt>
                <c:pt idx="284" formatCode="0.0000">
                  <c:v>0.8468376153459457</c:v>
                </c:pt>
                <c:pt idx="285" formatCode="0.0000">
                  <c:v>0.8647758486385797</c:v>
                </c:pt>
                <c:pt idx="286" formatCode="0.0000">
                  <c:v>0.83908469726373536</c:v>
                </c:pt>
                <c:pt idx="287" formatCode="0.0000">
                  <c:v>0.84227065475241658</c:v>
                </c:pt>
                <c:pt idx="288" formatCode="0.0000">
                  <c:v>0.8776078975296997</c:v>
                </c:pt>
                <c:pt idx="289" formatCode="0.0000">
                  <c:v>0.83229790898747835</c:v>
                </c:pt>
                <c:pt idx="290" formatCode="0.0000">
                  <c:v>0.83668159744047821</c:v>
                </c:pt>
                <c:pt idx="291" formatCode="0.0000">
                  <c:v>0.85872493135973238</c:v>
                </c:pt>
                <c:pt idx="292" formatCode="0.0000">
                  <c:v>0.84841920427261852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7FF-4D6E-86FF-B98952A76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9842084"/>
        <c:axId val="1354959536"/>
      </c:lineChart>
      <c:lineChart>
        <c:grouping val="standard"/>
        <c:varyColors val="0"/>
        <c:ser>
          <c:idx val="1"/>
          <c:order val="1"/>
          <c:tx>
            <c:strRef>
              <c:f>'R(t) Województwa'!$BQ$2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Województwa'!$BQ$3:$BQ$1000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0.14285714285714285</c:v>
                </c:pt>
                <c:pt idx="15">
                  <c:v>0.14285714285714285</c:v>
                </c:pt>
                <c:pt idx="16">
                  <c:v>0.14285714285714285</c:v>
                </c:pt>
                <c:pt idx="17">
                  <c:v>0.42857142857142855</c:v>
                </c:pt>
                <c:pt idx="18">
                  <c:v>0.7142857142857143</c:v>
                </c:pt>
                <c:pt idx="19">
                  <c:v>0.8571428571428571</c:v>
                </c:pt>
                <c:pt idx="20">
                  <c:v>1</c:v>
                </c:pt>
                <c:pt idx="21">
                  <c:v>0.8571428571428571</c:v>
                </c:pt>
                <c:pt idx="22">
                  <c:v>1.2857142857142858</c:v>
                </c:pt>
                <c:pt idx="23">
                  <c:v>1.7142857142857142</c:v>
                </c:pt>
                <c:pt idx="24">
                  <c:v>2</c:v>
                </c:pt>
                <c:pt idx="25">
                  <c:v>3</c:v>
                </c:pt>
                <c:pt idx="26">
                  <c:v>3.1428571428571428</c:v>
                </c:pt>
                <c:pt idx="27">
                  <c:v>4.1428571428571432</c:v>
                </c:pt>
                <c:pt idx="28">
                  <c:v>4.1428571428571432</c:v>
                </c:pt>
                <c:pt idx="29">
                  <c:v>5.2857142857142856</c:v>
                </c:pt>
                <c:pt idx="30">
                  <c:v>6.5714285714285712</c:v>
                </c:pt>
                <c:pt idx="31">
                  <c:v>8.1428571428571423</c:v>
                </c:pt>
                <c:pt idx="32">
                  <c:v>8</c:v>
                </c:pt>
                <c:pt idx="33">
                  <c:v>9</c:v>
                </c:pt>
                <c:pt idx="34">
                  <c:v>10.428571428571429</c:v>
                </c:pt>
                <c:pt idx="35">
                  <c:v>13</c:v>
                </c:pt>
                <c:pt idx="36">
                  <c:v>14.571428571428571</c:v>
                </c:pt>
                <c:pt idx="37">
                  <c:v>15.571428571428571</c:v>
                </c:pt>
                <c:pt idx="38">
                  <c:v>16.428571428571427</c:v>
                </c:pt>
                <c:pt idx="39">
                  <c:v>16.142857142857142</c:v>
                </c:pt>
                <c:pt idx="40">
                  <c:v>18.714285714285715</c:v>
                </c:pt>
                <c:pt idx="41">
                  <c:v>18.428571428571427</c:v>
                </c:pt>
                <c:pt idx="42">
                  <c:v>18.428571428571427</c:v>
                </c:pt>
                <c:pt idx="43">
                  <c:v>15.714285714285714</c:v>
                </c:pt>
                <c:pt idx="44">
                  <c:v>15.714285714285714</c:v>
                </c:pt>
                <c:pt idx="45">
                  <c:v>14.571428571428571</c:v>
                </c:pt>
                <c:pt idx="46">
                  <c:v>17.285714285714285</c:v>
                </c:pt>
                <c:pt idx="47">
                  <c:v>14.142857142857142</c:v>
                </c:pt>
                <c:pt idx="48">
                  <c:v>12.714285714285714</c:v>
                </c:pt>
                <c:pt idx="49">
                  <c:v>10.857142857142858</c:v>
                </c:pt>
                <c:pt idx="50">
                  <c:v>10.857142857142858</c:v>
                </c:pt>
                <c:pt idx="51">
                  <c:v>9</c:v>
                </c:pt>
                <c:pt idx="52">
                  <c:v>7.5714285714285712</c:v>
                </c:pt>
                <c:pt idx="53">
                  <c:v>6</c:v>
                </c:pt>
                <c:pt idx="54">
                  <c:v>5.7142857142857144</c:v>
                </c:pt>
                <c:pt idx="55">
                  <c:v>5.4285714285714288</c:v>
                </c:pt>
                <c:pt idx="56">
                  <c:v>5</c:v>
                </c:pt>
                <c:pt idx="57">
                  <c:v>4.5714285714285712</c:v>
                </c:pt>
                <c:pt idx="58">
                  <c:v>4.8571428571428568</c:v>
                </c:pt>
                <c:pt idx="59">
                  <c:v>4.4285714285714288</c:v>
                </c:pt>
                <c:pt idx="60">
                  <c:v>2.7142857142857144</c:v>
                </c:pt>
                <c:pt idx="61">
                  <c:v>2.4285714285714284</c:v>
                </c:pt>
                <c:pt idx="62">
                  <c:v>1.8571428571428572</c:v>
                </c:pt>
                <c:pt idx="63">
                  <c:v>1.7142857142857142</c:v>
                </c:pt>
                <c:pt idx="64">
                  <c:v>1.8571428571428572</c:v>
                </c:pt>
                <c:pt idx="65">
                  <c:v>0.8571428571428571</c:v>
                </c:pt>
                <c:pt idx="66">
                  <c:v>1.1428571428571428</c:v>
                </c:pt>
                <c:pt idx="67">
                  <c:v>0.8571428571428571</c:v>
                </c:pt>
                <c:pt idx="68">
                  <c:v>0.8571428571428571</c:v>
                </c:pt>
                <c:pt idx="69">
                  <c:v>0.8571428571428571</c:v>
                </c:pt>
                <c:pt idx="70">
                  <c:v>0.8571428571428571</c:v>
                </c:pt>
                <c:pt idx="71">
                  <c:v>0.7142857142857143</c:v>
                </c:pt>
                <c:pt idx="72">
                  <c:v>0.7142857142857143</c:v>
                </c:pt>
                <c:pt idx="73">
                  <c:v>0.5714285714285714</c:v>
                </c:pt>
                <c:pt idx="74">
                  <c:v>0.5714285714285714</c:v>
                </c:pt>
                <c:pt idx="75">
                  <c:v>0.5714285714285714</c:v>
                </c:pt>
                <c:pt idx="76">
                  <c:v>0.7142857142857143</c:v>
                </c:pt>
                <c:pt idx="77">
                  <c:v>1.8571428571428572</c:v>
                </c:pt>
                <c:pt idx="78">
                  <c:v>2.8571428571428572</c:v>
                </c:pt>
                <c:pt idx="79">
                  <c:v>2.7142857142857144</c:v>
                </c:pt>
                <c:pt idx="80">
                  <c:v>3.4285714285714284</c:v>
                </c:pt>
                <c:pt idx="81">
                  <c:v>3.8571428571428572</c:v>
                </c:pt>
                <c:pt idx="82">
                  <c:v>4.2857142857142856</c:v>
                </c:pt>
                <c:pt idx="83">
                  <c:v>4.8571428571428568</c:v>
                </c:pt>
                <c:pt idx="84">
                  <c:v>4.5714285714285712</c:v>
                </c:pt>
                <c:pt idx="85">
                  <c:v>4.8571428571428568</c:v>
                </c:pt>
                <c:pt idx="86">
                  <c:v>5.2857142857142856</c:v>
                </c:pt>
                <c:pt idx="87">
                  <c:v>4.8571428571428568</c:v>
                </c:pt>
                <c:pt idx="88">
                  <c:v>5</c:v>
                </c:pt>
                <c:pt idx="89">
                  <c:v>4.5714285714285712</c:v>
                </c:pt>
                <c:pt idx="90">
                  <c:v>5</c:v>
                </c:pt>
                <c:pt idx="91">
                  <c:v>4.7142857142857144</c:v>
                </c:pt>
                <c:pt idx="92">
                  <c:v>4.8571428571428568</c:v>
                </c:pt>
                <c:pt idx="93">
                  <c:v>6.1428571428571432</c:v>
                </c:pt>
                <c:pt idx="94">
                  <c:v>6.8571428571428568</c:v>
                </c:pt>
                <c:pt idx="95">
                  <c:v>6.8571428571428568</c:v>
                </c:pt>
                <c:pt idx="96">
                  <c:v>9.7142857142857135</c:v>
                </c:pt>
                <c:pt idx="97">
                  <c:v>9.4285714285714288</c:v>
                </c:pt>
                <c:pt idx="98">
                  <c:v>10.857142857142858</c:v>
                </c:pt>
                <c:pt idx="99">
                  <c:v>11</c:v>
                </c:pt>
                <c:pt idx="100">
                  <c:v>10.571428571428571</c:v>
                </c:pt>
                <c:pt idx="101">
                  <c:v>11.857142857142858</c:v>
                </c:pt>
                <c:pt idx="102">
                  <c:v>12.571428571428571</c:v>
                </c:pt>
                <c:pt idx="103">
                  <c:v>12.857142857142858</c:v>
                </c:pt>
                <c:pt idx="104">
                  <c:v>13.857142857142858</c:v>
                </c:pt>
                <c:pt idx="105">
                  <c:v>12.714285714285714</c:v>
                </c:pt>
                <c:pt idx="106">
                  <c:v>13.714285714285714</c:v>
                </c:pt>
                <c:pt idx="107">
                  <c:v>14.285714285714286</c:v>
                </c:pt>
                <c:pt idx="108">
                  <c:v>13.857142857142858</c:v>
                </c:pt>
                <c:pt idx="109">
                  <c:v>14.714285714285714</c:v>
                </c:pt>
                <c:pt idx="110">
                  <c:v>13.571428571428571</c:v>
                </c:pt>
                <c:pt idx="111">
                  <c:v>15</c:v>
                </c:pt>
                <c:pt idx="112">
                  <c:v>15.428571428571429</c:v>
                </c:pt>
                <c:pt idx="113">
                  <c:v>14.714285714285714</c:v>
                </c:pt>
                <c:pt idx="114">
                  <c:v>14.857142857142858</c:v>
                </c:pt>
                <c:pt idx="115">
                  <c:v>15</c:v>
                </c:pt>
                <c:pt idx="116">
                  <c:v>14.142857142857142</c:v>
                </c:pt>
                <c:pt idx="117">
                  <c:v>14.714285714285714</c:v>
                </c:pt>
                <c:pt idx="118">
                  <c:v>13.857142857142858</c:v>
                </c:pt>
                <c:pt idx="119">
                  <c:v>15.285714285714286</c:v>
                </c:pt>
                <c:pt idx="120">
                  <c:v>14.142857142857142</c:v>
                </c:pt>
                <c:pt idx="121">
                  <c:v>13</c:v>
                </c:pt>
                <c:pt idx="122">
                  <c:v>11.857142857142858</c:v>
                </c:pt>
                <c:pt idx="123">
                  <c:v>12.428571428571429</c:v>
                </c:pt>
                <c:pt idx="124">
                  <c:v>10</c:v>
                </c:pt>
                <c:pt idx="125">
                  <c:v>8.1428571428571423</c:v>
                </c:pt>
                <c:pt idx="126">
                  <c:v>5.5714285714285712</c:v>
                </c:pt>
                <c:pt idx="127">
                  <c:v>5.8571428571428568</c:v>
                </c:pt>
                <c:pt idx="128">
                  <c:v>5.8571428571428568</c:v>
                </c:pt>
                <c:pt idx="129">
                  <c:v>5.1428571428571432</c:v>
                </c:pt>
                <c:pt idx="130">
                  <c:v>3.5714285714285716</c:v>
                </c:pt>
                <c:pt idx="131">
                  <c:v>3.7142857142857144</c:v>
                </c:pt>
                <c:pt idx="132">
                  <c:v>3.1428571428571428</c:v>
                </c:pt>
                <c:pt idx="133">
                  <c:v>3</c:v>
                </c:pt>
                <c:pt idx="134">
                  <c:v>2.1428571428571428</c:v>
                </c:pt>
                <c:pt idx="135">
                  <c:v>1.2857142857142858</c:v>
                </c:pt>
                <c:pt idx="136">
                  <c:v>1.5714285714285714</c:v>
                </c:pt>
                <c:pt idx="137">
                  <c:v>1.7142857142857142</c:v>
                </c:pt>
                <c:pt idx="138">
                  <c:v>1.2857142857142858</c:v>
                </c:pt>
                <c:pt idx="139">
                  <c:v>1.8571428571428572</c:v>
                </c:pt>
                <c:pt idx="140">
                  <c:v>2</c:v>
                </c:pt>
                <c:pt idx="141">
                  <c:v>2.5714285714285716</c:v>
                </c:pt>
                <c:pt idx="142">
                  <c:v>2.8571428571428572</c:v>
                </c:pt>
                <c:pt idx="143">
                  <c:v>3</c:v>
                </c:pt>
                <c:pt idx="144">
                  <c:v>3.8571428571428572</c:v>
                </c:pt>
                <c:pt idx="145">
                  <c:v>4.1428571428571432</c:v>
                </c:pt>
                <c:pt idx="146">
                  <c:v>4.5714285714285712</c:v>
                </c:pt>
                <c:pt idx="147">
                  <c:v>5.4285714285714288</c:v>
                </c:pt>
                <c:pt idx="148">
                  <c:v>5.7142857142857144</c:v>
                </c:pt>
                <c:pt idx="149">
                  <c:v>6.4285714285714288</c:v>
                </c:pt>
                <c:pt idx="150">
                  <c:v>6.5714285714285712</c:v>
                </c:pt>
                <c:pt idx="151">
                  <c:v>5.8571428571428568</c:v>
                </c:pt>
                <c:pt idx="152">
                  <c:v>6.8571428571428568</c:v>
                </c:pt>
                <c:pt idx="153">
                  <c:v>7.2857142857142856</c:v>
                </c:pt>
                <c:pt idx="154">
                  <c:v>8.2857142857142865</c:v>
                </c:pt>
                <c:pt idx="155">
                  <c:v>8.7142857142857135</c:v>
                </c:pt>
                <c:pt idx="156">
                  <c:v>10.142857142857142</c:v>
                </c:pt>
                <c:pt idx="157">
                  <c:v>9.4285714285714288</c:v>
                </c:pt>
                <c:pt idx="158">
                  <c:v>10.571428571428571</c:v>
                </c:pt>
                <c:pt idx="159">
                  <c:v>10.714285714285714</c:v>
                </c:pt>
                <c:pt idx="160">
                  <c:v>10.428571428571429</c:v>
                </c:pt>
                <c:pt idx="161">
                  <c:v>9.2857142857142865</c:v>
                </c:pt>
                <c:pt idx="162">
                  <c:v>8.8571428571428577</c:v>
                </c:pt>
                <c:pt idx="163">
                  <c:v>8.8571428571428577</c:v>
                </c:pt>
                <c:pt idx="164">
                  <c:v>13.142857142857142</c:v>
                </c:pt>
                <c:pt idx="165">
                  <c:v>12.285714285714286</c:v>
                </c:pt>
                <c:pt idx="166">
                  <c:v>11.285714285714286</c:v>
                </c:pt>
                <c:pt idx="167">
                  <c:v>10.857142857142858</c:v>
                </c:pt>
                <c:pt idx="168">
                  <c:v>11.285714285714286</c:v>
                </c:pt>
                <c:pt idx="169">
                  <c:v>11.428571428571429</c:v>
                </c:pt>
                <c:pt idx="170">
                  <c:v>10.714285714285714</c:v>
                </c:pt>
                <c:pt idx="171">
                  <c:v>7.1428571428571432</c:v>
                </c:pt>
                <c:pt idx="172">
                  <c:v>7.2857142857142856</c:v>
                </c:pt>
                <c:pt idx="173">
                  <c:v>7.7142857142857144</c:v>
                </c:pt>
                <c:pt idx="174">
                  <c:v>8.1428571428571423</c:v>
                </c:pt>
                <c:pt idx="175">
                  <c:v>10.714285714285714</c:v>
                </c:pt>
                <c:pt idx="176">
                  <c:v>11.428571428571429</c:v>
                </c:pt>
                <c:pt idx="177">
                  <c:v>11.428571428571429</c:v>
                </c:pt>
                <c:pt idx="178">
                  <c:v>11.285714285714286</c:v>
                </c:pt>
                <c:pt idx="179">
                  <c:v>13.714285714285714</c:v>
                </c:pt>
                <c:pt idx="180">
                  <c:v>13.428571428571429</c:v>
                </c:pt>
                <c:pt idx="181">
                  <c:v>13.571428571428571</c:v>
                </c:pt>
                <c:pt idx="182">
                  <c:v>11</c:v>
                </c:pt>
                <c:pt idx="183">
                  <c:v>10.142857142857142</c:v>
                </c:pt>
                <c:pt idx="184">
                  <c:v>9.8571428571428577</c:v>
                </c:pt>
                <c:pt idx="185">
                  <c:v>10.285714285714286</c:v>
                </c:pt>
                <c:pt idx="186">
                  <c:v>8.4285714285714288</c:v>
                </c:pt>
                <c:pt idx="187">
                  <c:v>9.8571428571428577</c:v>
                </c:pt>
                <c:pt idx="188">
                  <c:v>11.285714285714286</c:v>
                </c:pt>
                <c:pt idx="189">
                  <c:v>11.142857142857142</c:v>
                </c:pt>
                <c:pt idx="190">
                  <c:v>10.857142857142858</c:v>
                </c:pt>
                <c:pt idx="191">
                  <c:v>11.714285714285714</c:v>
                </c:pt>
                <c:pt idx="192">
                  <c:v>15.285714285714286</c:v>
                </c:pt>
                <c:pt idx="193">
                  <c:v>14.428571428571429</c:v>
                </c:pt>
                <c:pt idx="194">
                  <c:v>14.857142857142858</c:v>
                </c:pt>
                <c:pt idx="195">
                  <c:v>13.285714285714286</c:v>
                </c:pt>
                <c:pt idx="196">
                  <c:v>13.571428571428571</c:v>
                </c:pt>
                <c:pt idx="197">
                  <c:v>16.714285714285715</c:v>
                </c:pt>
                <c:pt idx="198">
                  <c:v>17.714285714285715</c:v>
                </c:pt>
                <c:pt idx="199">
                  <c:v>15.142857142857142</c:v>
                </c:pt>
                <c:pt idx="200">
                  <c:v>17.857142857142858</c:v>
                </c:pt>
                <c:pt idx="201">
                  <c:v>18.428571428571427</c:v>
                </c:pt>
                <c:pt idx="202">
                  <c:v>19.142857142857142</c:v>
                </c:pt>
                <c:pt idx="203">
                  <c:v>20.571428571428573</c:v>
                </c:pt>
                <c:pt idx="204">
                  <c:v>19.857142857142858</c:v>
                </c:pt>
                <c:pt idx="205">
                  <c:v>22</c:v>
                </c:pt>
                <c:pt idx="206">
                  <c:v>27.571428571428573</c:v>
                </c:pt>
                <c:pt idx="207">
                  <c:v>35</c:v>
                </c:pt>
                <c:pt idx="208">
                  <c:v>41.285714285714285</c:v>
                </c:pt>
                <c:pt idx="209">
                  <c:v>47.857142857142854</c:v>
                </c:pt>
                <c:pt idx="210">
                  <c:v>53</c:v>
                </c:pt>
                <c:pt idx="211">
                  <c:v>58</c:v>
                </c:pt>
                <c:pt idx="212">
                  <c:v>61.714285714285715</c:v>
                </c:pt>
                <c:pt idx="213">
                  <c:v>66.285714285714292</c:v>
                </c:pt>
                <c:pt idx="214">
                  <c:v>73.428571428571431</c:v>
                </c:pt>
                <c:pt idx="215">
                  <c:v>75</c:v>
                </c:pt>
                <c:pt idx="216">
                  <c:v>79.428571428571431</c:v>
                </c:pt>
                <c:pt idx="217">
                  <c:v>79.428571428571431</c:v>
                </c:pt>
                <c:pt idx="218">
                  <c:v>83.285714285714292</c:v>
                </c:pt>
                <c:pt idx="219">
                  <c:v>87.571428571428569</c:v>
                </c:pt>
                <c:pt idx="220">
                  <c:v>92</c:v>
                </c:pt>
                <c:pt idx="221">
                  <c:v>98.571428571428569</c:v>
                </c:pt>
                <c:pt idx="222">
                  <c:v>103.42857142857143</c:v>
                </c:pt>
                <c:pt idx="223">
                  <c:v>109.14285714285714</c:v>
                </c:pt>
                <c:pt idx="224">
                  <c:v>127.14285714285714</c:v>
                </c:pt>
                <c:pt idx="225">
                  <c:v>140</c:v>
                </c:pt>
                <c:pt idx="226">
                  <c:v>146.42857142857142</c:v>
                </c:pt>
                <c:pt idx="227">
                  <c:v>158.42857142857142</c:v>
                </c:pt>
                <c:pt idx="228">
                  <c:v>155.14285714285714</c:v>
                </c:pt>
                <c:pt idx="229">
                  <c:v>159.28571428571428</c:v>
                </c:pt>
                <c:pt idx="230">
                  <c:v>181.14285714285714</c:v>
                </c:pt>
                <c:pt idx="231">
                  <c:v>184.85714285714286</c:v>
                </c:pt>
                <c:pt idx="232">
                  <c:v>198.28571428571428</c:v>
                </c:pt>
                <c:pt idx="233">
                  <c:v>210.42857142857142</c:v>
                </c:pt>
                <c:pt idx="234">
                  <c:v>214</c:v>
                </c:pt>
                <c:pt idx="235">
                  <c:v>236.71428571428572</c:v>
                </c:pt>
                <c:pt idx="236">
                  <c:v>247.14285714285714</c:v>
                </c:pt>
                <c:pt idx="237">
                  <c:v>236.14285714285714</c:v>
                </c:pt>
                <c:pt idx="238">
                  <c:v>267.14285714285717</c:v>
                </c:pt>
                <c:pt idx="239">
                  <c:v>270.28571428571428</c:v>
                </c:pt>
                <c:pt idx="240">
                  <c:v>360.85714285714283</c:v>
                </c:pt>
                <c:pt idx="241">
                  <c:v>379.71428571428572</c:v>
                </c:pt>
                <c:pt idx="242">
                  <c:v>423.14285714285717</c:v>
                </c:pt>
                <c:pt idx="243">
                  <c:v>484.85714285714283</c:v>
                </c:pt>
                <c:pt idx="244">
                  <c:v>533</c:v>
                </c:pt>
                <c:pt idx="245">
                  <c:v>517.28571428571433</c:v>
                </c:pt>
                <c:pt idx="246">
                  <c:v>565.14285714285711</c:v>
                </c:pt>
                <c:pt idx="247">
                  <c:v>571.42857142857144</c:v>
                </c:pt>
                <c:pt idx="248">
                  <c:v>603.14285714285711</c:v>
                </c:pt>
                <c:pt idx="249">
                  <c:v>603.57142857142856</c:v>
                </c:pt>
                <c:pt idx="250">
                  <c:v>662</c:v>
                </c:pt>
                <c:pt idx="251">
                  <c:v>655.42857142857144</c:v>
                </c:pt>
                <c:pt idx="252">
                  <c:v>712.28571428571433</c:v>
                </c:pt>
                <c:pt idx="253">
                  <c:v>717.57142857142856</c:v>
                </c:pt>
                <c:pt idx="254">
                  <c:v>723.42857142857144</c:v>
                </c:pt>
                <c:pt idx="255">
                  <c:v>698</c:v>
                </c:pt>
                <c:pt idx="256">
                  <c:v>709.42857142857144</c:v>
                </c:pt>
                <c:pt idx="257">
                  <c:v>662.57142857142856</c:v>
                </c:pt>
                <c:pt idx="258">
                  <c:v>661.14285714285711</c:v>
                </c:pt>
                <c:pt idx="259">
                  <c:v>632.28571428571433</c:v>
                </c:pt>
                <c:pt idx="260">
                  <c:v>606.28571428571433</c:v>
                </c:pt>
                <c:pt idx="261">
                  <c:v>545.42857142857144</c:v>
                </c:pt>
                <c:pt idx="262">
                  <c:v>591.14285714285711</c:v>
                </c:pt>
                <c:pt idx="263">
                  <c:v>624.28571428571433</c:v>
                </c:pt>
                <c:pt idx="264">
                  <c:v>644.28571428571433</c:v>
                </c:pt>
                <c:pt idx="265">
                  <c:v>639.71428571428567</c:v>
                </c:pt>
                <c:pt idx="266">
                  <c:v>610.71428571428567</c:v>
                </c:pt>
                <c:pt idx="267">
                  <c:v>606.28571428571433</c:v>
                </c:pt>
                <c:pt idx="268">
                  <c:v>598.71428571428567</c:v>
                </c:pt>
                <c:pt idx="269">
                  <c:v>565.71428571428567</c:v>
                </c:pt>
                <c:pt idx="270">
                  <c:v>502</c:v>
                </c:pt>
                <c:pt idx="271">
                  <c:v>422.28571428571428</c:v>
                </c:pt>
                <c:pt idx="272">
                  <c:v>374.14285714285717</c:v>
                </c:pt>
                <c:pt idx="273">
                  <c:v>360.85714285714283</c:v>
                </c:pt>
                <c:pt idx="274">
                  <c:v>352.85714285714283</c:v>
                </c:pt>
                <c:pt idx="275">
                  <c:v>337.42857142857144</c:v>
                </c:pt>
                <c:pt idx="276">
                  <c:v>320.57142857142856</c:v>
                </c:pt>
                <c:pt idx="277">
                  <c:v>292.85714285714283</c:v>
                </c:pt>
                <c:pt idx="278">
                  <c:v>280.85714285714283</c:v>
                </c:pt>
                <c:pt idx="279">
                  <c:v>286.14285714285717</c:v>
                </c:pt>
                <c:pt idx="280">
                  <c:v>282.85714285714283</c:v>
                </c:pt>
                <c:pt idx="281">
                  <c:v>278.14285714285717</c:v>
                </c:pt>
                <c:pt idx="282">
                  <c:v>279.28571428571428</c:v>
                </c:pt>
                <c:pt idx="283">
                  <c:v>270</c:v>
                </c:pt>
                <c:pt idx="284">
                  <c:v>279.85714285714283</c:v>
                </c:pt>
                <c:pt idx="285">
                  <c:v>281</c:v>
                </c:pt>
                <c:pt idx="286">
                  <c:v>270</c:v>
                </c:pt>
                <c:pt idx="287">
                  <c:v>266.57142857142856</c:v>
                </c:pt>
                <c:pt idx="288">
                  <c:v>268</c:v>
                </c:pt>
                <c:pt idx="289">
                  <c:v>248.85714285714286</c:v>
                </c:pt>
                <c:pt idx="290">
                  <c:v>242.85714285714286</c:v>
                </c:pt>
                <c:pt idx="291">
                  <c:v>240.71428571428572</c:v>
                </c:pt>
                <c:pt idx="292">
                  <c:v>233.14285714285714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7FF-4D6E-86FF-B98952A76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2480533"/>
        <c:axId val="1377322332"/>
      </c:lineChart>
      <c:dateAx>
        <c:axId val="3098420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354959536"/>
        <c:crosses val="autoZero"/>
        <c:auto val="1"/>
        <c:lblOffset val="100"/>
        <c:baseTimeUnit val="days"/>
      </c:dateAx>
      <c:valAx>
        <c:axId val="1354959536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309842084"/>
        <c:crosses val="autoZero"/>
        <c:crossBetween val="between"/>
      </c:valAx>
      <c:dateAx>
        <c:axId val="1562480533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1377322332"/>
        <c:crosses val="autoZero"/>
        <c:auto val="1"/>
        <c:lblOffset val="100"/>
        <c:baseTimeUnit val="days"/>
      </c:dateAx>
      <c:valAx>
        <c:axId val="137732233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562480533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Pomorskiego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Województwa'!$CB$2</c:f>
              <c:strCache>
                <c:ptCount val="1"/>
                <c:pt idx="0">
                  <c:v>Pomorskie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Województwa'!$CB$3:$CB$1000</c:f>
              <c:numCache>
                <c:formatCode>General</c:formatCode>
                <c:ptCount val="998"/>
                <c:pt idx="34" formatCode="0.0000">
                  <c:v>0.60802127188123234</c:v>
                </c:pt>
                <c:pt idx="35" formatCode="0.0000">
                  <c:v>0.70656579656029339</c:v>
                </c:pt>
                <c:pt idx="36" formatCode="0.0000">
                  <c:v>0.69188857205684073</c:v>
                </c:pt>
                <c:pt idx="37" formatCode="0.0000">
                  <c:v>0.7364452802882413</c:v>
                </c:pt>
                <c:pt idx="38" formatCode="0.0000">
                  <c:v>0.66008147046980281</c:v>
                </c:pt>
                <c:pt idx="39" formatCode="0.0000">
                  <c:v>0.64772838097039875</c:v>
                </c:pt>
                <c:pt idx="40" formatCode="0.0000">
                  <c:v>0.67382440808589628</c:v>
                </c:pt>
                <c:pt idx="41" formatCode="0.0000">
                  <c:v>0.64775133266250629</c:v>
                </c:pt>
                <c:pt idx="42" formatCode="0.0000">
                  <c:v>0.53273557248545578</c:v>
                </c:pt>
                <c:pt idx="43" formatCode="0.0000">
                  <c:v>0.5153467748310836</c:v>
                </c:pt>
                <c:pt idx="44" formatCode="0.0000">
                  <c:v>0.432385962227121</c:v>
                </c:pt>
                <c:pt idx="45" formatCode="0.0000">
                  <c:v>0.47374980888685309</c:v>
                </c:pt>
                <c:pt idx="46" formatCode="0.0000">
                  <c:v>0.92328284622840251</c:v>
                </c:pt>
                <c:pt idx="47" formatCode="0.0000">
                  <c:v>0.8395197535152189</c:v>
                </c:pt>
                <c:pt idx="48" formatCode="0.0000">
                  <c:v>0.89599239359075167</c:v>
                </c:pt>
                <c:pt idx="49" formatCode="0.0000">
                  <c:v>0.9762191540209858</c:v>
                </c:pt>
                <c:pt idx="50" formatCode="0.0000">
                  <c:v>1.1557215621659134</c:v>
                </c:pt>
                <c:pt idx="51" formatCode="0.0000">
                  <c:v>1.3448859414935899</c:v>
                </c:pt>
                <c:pt idx="52" formatCode="0.0000">
                  <c:v>1.5001132944136342</c:v>
                </c:pt>
                <c:pt idx="53" formatCode="0.0000">
                  <c:v>1.5905373567988563</c:v>
                </c:pt>
                <c:pt idx="54" formatCode="0.0000">
                  <c:v>2.0956279549424588</c:v>
                </c:pt>
                <c:pt idx="55" formatCode="0.0000">
                  <c:v>2.0633946480409446</c:v>
                </c:pt>
                <c:pt idx="56" formatCode="0.0000">
                  <c:v>2.2867205767426029</c:v>
                </c:pt>
                <c:pt idx="57" formatCode="0.0000">
                  <c:v>2.2420077795801485</c:v>
                </c:pt>
                <c:pt idx="58" formatCode="0.0000">
                  <c:v>2.0379454901760292</c:v>
                </c:pt>
                <c:pt idx="59" formatCode="0.0000">
                  <c:v>1.8355845621240772</c:v>
                </c:pt>
                <c:pt idx="60" formatCode="0.0000">
                  <c:v>1.2616850669086237</c:v>
                </c:pt>
                <c:pt idx="61" formatCode="0.0000">
                  <c:v>0.75831219687043683</c:v>
                </c:pt>
                <c:pt idx="62" formatCode="0.0000">
                  <c:v>0.6732857574224892</c:v>
                </c:pt>
                <c:pt idx="63" formatCode="0.0000">
                  <c:v>0.45330551470358726</c:v>
                </c:pt>
                <c:pt idx="64" formatCode="0.0000">
                  <c:v>0.35547886835682113</c:v>
                </c:pt>
                <c:pt idx="65" formatCode="0.0000">
                  <c:v>0.43355902691584153</c:v>
                </c:pt>
                <c:pt idx="66" formatCode="0.0000">
                  <c:v>0.51094423850297199</c:v>
                </c:pt>
                <c:pt idx="67" formatCode="0.0000">
                  <c:v>0.4750493985890113</c:v>
                </c:pt>
                <c:pt idx="68" formatCode="0.0000">
                  <c:v>0.48624402887179091</c:v>
                </c:pt>
                <c:pt idx="69" formatCode="0.0000">
                  <c:v>0.5566412318415338</c:v>
                </c:pt>
                <c:pt idx="70" formatCode="0.0000">
                  <c:v>0.54896545663129059</c:v>
                </c:pt>
                <c:pt idx="71" formatCode="0.0000">
                  <c:v>0.47541529188537129</c:v>
                </c:pt>
                <c:pt idx="72" formatCode="0.0000">
                  <c:v>0.39354206357326416</c:v>
                </c:pt>
                <c:pt idx="73" formatCode="0.0000">
                  <c:v>0.29701083879962781</c:v>
                </c:pt>
                <c:pt idx="74" formatCode="0.0000">
                  <c:v>0.4872601482476297</c:v>
                </c:pt>
                <c:pt idx="75" formatCode="0.0000">
                  <c:v>0.49443585891647601</c:v>
                </c:pt>
                <c:pt idx="76" formatCode="0.0000">
                  <c:v>0.42403865594673312</c:v>
                </c:pt>
                <c:pt idx="77" formatCode="0.0000">
                  <c:v>0.38328770040185128</c:v>
                </c:pt>
                <c:pt idx="78" formatCode="0.0000">
                  <c:v>0.5395573859795979</c:v>
                </c:pt>
                <c:pt idx="79" formatCode="0.0000">
                  <c:v>0.70374348025452682</c:v>
                </c:pt>
                <c:pt idx="80" formatCode="0.0000">
                  <c:v>0.82117089607933025</c:v>
                </c:pt>
                <c:pt idx="81" formatCode="0.0000">
                  <c:v>0.97486837872456999</c:v>
                </c:pt>
                <c:pt idx="82" formatCode="0.0000">
                  <c:v>1.096620879785662</c:v>
                </c:pt>
                <c:pt idx="83" formatCode="0.0000">
                  <c:v>1.2960282928523799</c:v>
                </c:pt>
                <c:pt idx="84" formatCode="0.0000">
                  <c:v>1.3148067000658179</c:v>
                </c:pt>
                <c:pt idx="85" formatCode="0.0000">
                  <c:v>1.2362410399191801</c:v>
                </c:pt>
                <c:pt idx="86" formatCode="0.0000">
                  <c:v>1.110077782093186</c:v>
                </c:pt>
                <c:pt idx="87" formatCode="0.0000">
                  <c:v>1.0991174214941746</c:v>
                </c:pt>
                <c:pt idx="88" formatCode="0.0000">
                  <c:v>0.74129887430737817</c:v>
                </c:pt>
                <c:pt idx="89" formatCode="0.0000">
                  <c:v>0.6035695423369859</c:v>
                </c:pt>
                <c:pt idx="90" formatCode="0.0000">
                  <c:v>0.62163754207788102</c:v>
                </c:pt>
                <c:pt idx="91" formatCode="0.0000">
                  <c:v>0.60818833367413672</c:v>
                </c:pt>
                <c:pt idx="92" formatCode="0.0000">
                  <c:v>0.48981257414333695</c:v>
                </c:pt>
                <c:pt idx="93" formatCode="0.0000">
                  <c:v>0.48174605695535427</c:v>
                </c:pt>
                <c:pt idx="94" formatCode="0.0000">
                  <c:v>0.58083586610093818</c:v>
                </c:pt>
                <c:pt idx="95" formatCode="0.0000">
                  <c:v>0.79334273645620457</c:v>
                </c:pt>
                <c:pt idx="96" formatCode="0.0000">
                  <c:v>0.80403333498052554</c:v>
                </c:pt>
                <c:pt idx="97" formatCode="0.0000">
                  <c:v>0.58655792217291258</c:v>
                </c:pt>
                <c:pt idx="98" formatCode="0.0000">
                  <c:v>0.86558367587208551</c:v>
                </c:pt>
                <c:pt idx="99" formatCode="0.0000">
                  <c:v>1.1371193290195996</c:v>
                </c:pt>
                <c:pt idx="100" formatCode="0.0000">
                  <c:v>1.0845126014803621</c:v>
                </c:pt>
                <c:pt idx="101" formatCode="0.0000">
                  <c:v>0.9654805015792941</c:v>
                </c:pt>
                <c:pt idx="102" formatCode="0.0000">
                  <c:v>1.1004105015923844</c:v>
                </c:pt>
                <c:pt idx="103" formatCode="0.0000">
                  <c:v>1.0988147629695499</c:v>
                </c:pt>
                <c:pt idx="104" formatCode="0.0000">
                  <c:v>1.0988147629695499</c:v>
                </c:pt>
                <c:pt idx="105" formatCode="0.0000">
                  <c:v>0.90322638387494691</c:v>
                </c:pt>
                <c:pt idx="106" formatCode="0.0000">
                  <c:v>1.0106060940998076</c:v>
                </c:pt>
                <c:pt idx="107" formatCode="0.0000">
                  <c:v>1.1638817881906689</c:v>
                </c:pt>
                <c:pt idx="108" formatCode="0.0000">
                  <c:v>1.1527420414504828</c:v>
                </c:pt>
                <c:pt idx="109" formatCode="0.0000">
                  <c:v>0.91083894253804742</c:v>
                </c:pt>
                <c:pt idx="110" formatCode="0.0000">
                  <c:v>1.5205194410063025</c:v>
                </c:pt>
                <c:pt idx="111" formatCode="0.0000">
                  <c:v>1.5928844289791448</c:v>
                </c:pt>
                <c:pt idx="112" formatCode="0.0000">
                  <c:v>2.208575779999399</c:v>
                </c:pt>
                <c:pt idx="113" formatCode="0.0000">
                  <c:v>2.0003108937596132</c:v>
                </c:pt>
                <c:pt idx="114" formatCode="0.0000">
                  <c:v>1.9181933949324588</c:v>
                </c:pt>
                <c:pt idx="115" formatCode="0.0000">
                  <c:v>1.8937174510237764</c:v>
                </c:pt>
                <c:pt idx="116" formatCode="0.0000">
                  <c:v>1.8976353281374372</c:v>
                </c:pt>
                <c:pt idx="117" formatCode="0.0000">
                  <c:v>1.3531174675693287</c:v>
                </c:pt>
                <c:pt idx="118" formatCode="0.0000">
                  <c:v>1.5433072662394551</c:v>
                </c:pt>
                <c:pt idx="119" formatCode="0.0000">
                  <c:v>0.82975776159456893</c:v>
                </c:pt>
                <c:pt idx="120" formatCode="0.0000">
                  <c:v>0.65910728446198041</c:v>
                </c:pt>
                <c:pt idx="121" formatCode="0.0000">
                  <c:v>0.93211343317168449</c:v>
                </c:pt>
                <c:pt idx="122" formatCode="0.0000">
                  <c:v>0.97005582481111152</c:v>
                </c:pt>
                <c:pt idx="123" formatCode="0.0000">
                  <c:v>0.97853353630081608</c:v>
                </c:pt>
                <c:pt idx="124" formatCode="0.0000">
                  <c:v>0.92577135589378712</c:v>
                </c:pt>
                <c:pt idx="125" formatCode="0.0000">
                  <c:v>0.69616727165914682</c:v>
                </c:pt>
                <c:pt idx="126" formatCode="0.0000">
                  <c:v>0.74415187529643134</c:v>
                </c:pt>
                <c:pt idx="127" formatCode="0.0000">
                  <c:v>0.86341766521011554</c:v>
                </c:pt>
                <c:pt idx="128" formatCode="0.0000">
                  <c:v>0.51925332123670365</c:v>
                </c:pt>
                <c:pt idx="129" formatCode="0.0000">
                  <c:v>0.83217265149076691</c:v>
                </c:pt>
                <c:pt idx="130" formatCode="0.0000">
                  <c:v>0.86214800054220719</c:v>
                </c:pt>
                <c:pt idx="131" formatCode="0.0000">
                  <c:v>0.98562825933479614</c:v>
                </c:pt>
                <c:pt idx="132" formatCode="0.0000">
                  <c:v>1.0233540403002135</c:v>
                </c:pt>
                <c:pt idx="133" formatCode="0.0000">
                  <c:v>1.0254901342754885</c:v>
                </c:pt>
                <c:pt idx="134" formatCode="0.0000">
                  <c:v>0.90622434436180421</c:v>
                </c:pt>
                <c:pt idx="135" formatCode="0.0000">
                  <c:v>1.0490545502546331</c:v>
                </c:pt>
                <c:pt idx="136" formatCode="0.0000">
                  <c:v>1.0024294151171971</c:v>
                </c:pt>
                <c:pt idx="137" formatCode="0.0000">
                  <c:v>1.4313832248999321</c:v>
                </c:pt>
                <c:pt idx="138" formatCode="0.0000">
                  <c:v>1.3547033682740035</c:v>
                </c:pt>
                <c:pt idx="139" formatCode="0.0000">
                  <c:v>1.3118345393438424</c:v>
                </c:pt>
                <c:pt idx="140" formatCode="0.0000">
                  <c:v>1.7070022403493483</c:v>
                </c:pt>
                <c:pt idx="141" formatCode="0.0000">
                  <c:v>2.0144929102205795</c:v>
                </c:pt>
                <c:pt idx="142" formatCode="0.0000">
                  <c:v>1.952900717498385</c:v>
                </c:pt>
                <c:pt idx="143" formatCode="0.0000">
                  <c:v>1.7667981179902434</c:v>
                </c:pt>
                <c:pt idx="144" formatCode="0.0000">
                  <c:v>1.663157005540423</c:v>
                </c:pt>
                <c:pt idx="145" formatCode="0.0000">
                  <c:v>1.8497287474823507</c:v>
                </c:pt>
                <c:pt idx="146" formatCode="0.0000">
                  <c:v>1.8622312419563323</c:v>
                </c:pt>
                <c:pt idx="147" formatCode="0.0000">
                  <c:v>1.6154695419029979</c:v>
                </c:pt>
                <c:pt idx="148" formatCode="0.0000">
                  <c:v>1.6955247492743908</c:v>
                </c:pt>
                <c:pt idx="149" formatCode="0.0000">
                  <c:v>1.7477265959325194</c:v>
                </c:pt>
                <c:pt idx="150" formatCode="0.0000">
                  <c:v>1.7213239456063387</c:v>
                </c:pt>
                <c:pt idx="151" formatCode="0.0000">
                  <c:v>1.4341930133203917</c:v>
                </c:pt>
                <c:pt idx="152" formatCode="0.0000">
                  <c:v>1.392172881221692</c:v>
                </c:pt>
                <c:pt idx="153" formatCode="0.0000">
                  <c:v>1.5410959941482123</c:v>
                </c:pt>
                <c:pt idx="154" formatCode="0.0000">
                  <c:v>1.4702345251413693</c:v>
                </c:pt>
                <c:pt idx="155" formatCode="0.0000">
                  <c:v>1.2347562211420182</c:v>
                </c:pt>
                <c:pt idx="156" formatCode="0.0000">
                  <c:v>1.3583582842262383</c:v>
                </c:pt>
                <c:pt idx="157" formatCode="0.0000">
                  <c:v>1.5161341520667075</c:v>
                </c:pt>
                <c:pt idx="158" formatCode="0.0000">
                  <c:v>1.686357812008042</c:v>
                </c:pt>
                <c:pt idx="159" formatCode="0.0000">
                  <c:v>1.6561436770844176</c:v>
                </c:pt>
                <c:pt idx="160" formatCode="0.0000">
                  <c:v>1.7134284118824934</c:v>
                </c:pt>
                <c:pt idx="161" formatCode="0.0000">
                  <c:v>1.6993114866782053</c:v>
                </c:pt>
                <c:pt idx="162" formatCode="0.0000">
                  <c:v>1.8973896332821241</c:v>
                </c:pt>
                <c:pt idx="163" formatCode="0.0000">
                  <c:v>1.8762359568940343</c:v>
                </c:pt>
                <c:pt idx="164" formatCode="0.0000">
                  <c:v>1.7128173276979954</c:v>
                </c:pt>
                <c:pt idx="165" formatCode="0.0000">
                  <c:v>1.5958616699000081</c:v>
                </c:pt>
                <c:pt idx="166" formatCode="0.0000">
                  <c:v>1.643159730475054</c:v>
                </c:pt>
                <c:pt idx="167" formatCode="0.0000">
                  <c:v>1.5427350007401217</c:v>
                </c:pt>
                <c:pt idx="168" formatCode="0.0000">
                  <c:v>1.5459541535534604</c:v>
                </c:pt>
                <c:pt idx="169" formatCode="0.0000">
                  <c:v>1.3638398103382976</c:v>
                </c:pt>
                <c:pt idx="170" formatCode="0.0000">
                  <c:v>1.3137107781098329</c:v>
                </c:pt>
                <c:pt idx="171" formatCode="0.0000">
                  <c:v>1.3840924864646733</c:v>
                </c:pt>
                <c:pt idx="172" formatCode="0.0000">
                  <c:v>1.3009010547305695</c:v>
                </c:pt>
                <c:pt idx="173" formatCode="0.0000">
                  <c:v>1.2358956136568682</c:v>
                </c:pt>
                <c:pt idx="174" formatCode="0.0000">
                  <c:v>1.2238754290380702</c:v>
                </c:pt>
                <c:pt idx="175" formatCode="0.0000">
                  <c:v>1.290708735300969</c:v>
                </c:pt>
                <c:pt idx="176" formatCode="0.0000">
                  <c:v>1.2494691749423059</c:v>
                </c:pt>
                <c:pt idx="177" formatCode="0.0000">
                  <c:v>1.2161966923810452</c:v>
                </c:pt>
                <c:pt idx="178" formatCode="0.0000">
                  <c:v>1.0724152677541665</c:v>
                </c:pt>
                <c:pt idx="179" formatCode="0.0000">
                  <c:v>1.0173892040913288</c:v>
                </c:pt>
                <c:pt idx="180" formatCode="0.0000">
                  <c:v>0.93778941421272688</c:v>
                </c:pt>
                <c:pt idx="181" formatCode="0.0000">
                  <c:v>0.98294196221185992</c:v>
                </c:pt>
                <c:pt idx="182" formatCode="0.0000">
                  <c:v>0.85168480832817905</c:v>
                </c:pt>
                <c:pt idx="183" formatCode="0.0000">
                  <c:v>0.82840990303258355</c:v>
                </c:pt>
                <c:pt idx="184" formatCode="0.0000">
                  <c:v>0.7888104715568558</c:v>
                </c:pt>
                <c:pt idx="185" formatCode="0.0000">
                  <c:v>0.80790776992699731</c:v>
                </c:pt>
                <c:pt idx="186" formatCode="0.0000">
                  <c:v>0.82181552368901578</c:v>
                </c:pt>
                <c:pt idx="187" formatCode="0.0000">
                  <c:v>0.8243012106761044</c:v>
                </c:pt>
                <c:pt idx="188" formatCode="0.0000">
                  <c:v>0.70234629110536584</c:v>
                </c:pt>
                <c:pt idx="189" formatCode="0.0000">
                  <c:v>0.70536895209512218</c:v>
                </c:pt>
                <c:pt idx="190" formatCode="0.0000">
                  <c:v>0.72864056947126998</c:v>
                </c:pt>
                <c:pt idx="191" formatCode="0.0000">
                  <c:v>0.7242662088422408</c:v>
                </c:pt>
                <c:pt idx="192" formatCode="0.0000">
                  <c:v>0.75277954011132608</c:v>
                </c:pt>
                <c:pt idx="193" formatCode="0.0000">
                  <c:v>0.9168013116297502</c:v>
                </c:pt>
                <c:pt idx="194" formatCode="0.0000">
                  <c:v>0.96100840767676543</c:v>
                </c:pt>
                <c:pt idx="195" formatCode="0.0000">
                  <c:v>1.0428381310385608</c:v>
                </c:pt>
                <c:pt idx="196" formatCode="0.0000">
                  <c:v>1.0858660628971653</c:v>
                </c:pt>
                <c:pt idx="197" formatCode="0.0000">
                  <c:v>1.1229667813321129</c:v>
                </c:pt>
                <c:pt idx="198" formatCode="0.0000">
                  <c:v>1.4202799565571385</c:v>
                </c:pt>
                <c:pt idx="199" formatCode="0.0000">
                  <c:v>1.458377557638348</c:v>
                </c:pt>
                <c:pt idx="200" formatCode="0.0000">
                  <c:v>1.4023354322902948</c:v>
                </c:pt>
                <c:pt idx="201" formatCode="0.0000">
                  <c:v>1.3496311249501241</c:v>
                </c:pt>
                <c:pt idx="202" formatCode="0.0000">
                  <c:v>1.4089731770333962</c:v>
                </c:pt>
                <c:pt idx="203" formatCode="0.0000">
                  <c:v>1.45789601351877</c:v>
                </c:pt>
                <c:pt idx="204" formatCode="0.0000">
                  <c:v>1.5250800527425838</c:v>
                </c:pt>
                <c:pt idx="205" formatCode="0.0000">
                  <c:v>1.3856119483463221</c:v>
                </c:pt>
                <c:pt idx="206" formatCode="0.0000">
                  <c:v>1.4227708495258635</c:v>
                </c:pt>
                <c:pt idx="207" formatCode="0.0000">
                  <c:v>1.4338522501540489</c:v>
                </c:pt>
                <c:pt idx="208" formatCode="0.0000">
                  <c:v>1.5869203356311812</c:v>
                </c:pt>
                <c:pt idx="209" formatCode="0.0000">
                  <c:v>1.5773205968848711</c:v>
                </c:pt>
                <c:pt idx="210" formatCode="0.0000">
                  <c:v>1.5568070324344592</c:v>
                </c:pt>
                <c:pt idx="211" formatCode="0.0000">
                  <c:v>1.556920794087473</c:v>
                </c:pt>
                <c:pt idx="212" formatCode="0.0000">
                  <c:v>1.487656923318863</c:v>
                </c:pt>
                <c:pt idx="213" formatCode="0.0000">
                  <c:v>1.5122554896871758</c:v>
                </c:pt>
                <c:pt idx="214" formatCode="0.0000">
                  <c:v>1.5098116312072463</c:v>
                </c:pt>
                <c:pt idx="215" formatCode="0.0000">
                  <c:v>1.432907498394201</c:v>
                </c:pt>
                <c:pt idx="216" formatCode="0.0000">
                  <c:v>1.4115653579783145</c:v>
                </c:pt>
                <c:pt idx="217" formatCode="0.0000">
                  <c:v>1.4197520332572096</c:v>
                </c:pt>
                <c:pt idx="218" formatCode="0.0000">
                  <c:v>1.3419637784849672</c:v>
                </c:pt>
                <c:pt idx="219" formatCode="0.0000">
                  <c:v>1.391050764227393</c:v>
                </c:pt>
                <c:pt idx="220" formatCode="0.0000">
                  <c:v>1.4308336453630965</c:v>
                </c:pt>
                <c:pt idx="221" formatCode="0.0000">
                  <c:v>1.4267886504557308</c:v>
                </c:pt>
                <c:pt idx="222" formatCode="0.0000">
                  <c:v>1.4241960345599716</c:v>
                </c:pt>
                <c:pt idx="223" formatCode="0.0000">
                  <c:v>1.4136243486498332</c:v>
                </c:pt>
                <c:pt idx="224" formatCode="0.0000">
                  <c:v>1.4258579221843042</c:v>
                </c:pt>
                <c:pt idx="225" formatCode="0.0000">
                  <c:v>1.4543704863746956</c:v>
                </c:pt>
                <c:pt idx="226" formatCode="0.0000">
                  <c:v>1.4412820440817682</c:v>
                </c:pt>
                <c:pt idx="227" formatCode="0.0000">
                  <c:v>1.4200370268802451</c:v>
                </c:pt>
                <c:pt idx="228" formatCode="0.0000">
                  <c:v>1.4286611146826467</c:v>
                </c:pt>
                <c:pt idx="229" formatCode="0.0000">
                  <c:v>1.4006694849240338</c:v>
                </c:pt>
                <c:pt idx="230" formatCode="0.0000">
                  <c:v>1.4245360904150661</c:v>
                </c:pt>
                <c:pt idx="231" formatCode="0.0000">
                  <c:v>1.4265317857818292</c:v>
                </c:pt>
                <c:pt idx="232" formatCode="0.0000">
                  <c:v>1.4368395955083262</c:v>
                </c:pt>
                <c:pt idx="233" formatCode="0.0000">
                  <c:v>1.4410749987689724</c:v>
                </c:pt>
                <c:pt idx="234" formatCode="0.0000">
                  <c:v>1.4120388843182694</c:v>
                </c:pt>
                <c:pt idx="235" formatCode="0.0000">
                  <c:v>1.3945428218808189</c:v>
                </c:pt>
                <c:pt idx="236" formatCode="0.0000">
                  <c:v>1.3614122378278513</c:v>
                </c:pt>
                <c:pt idx="237" formatCode="0.0000">
                  <c:v>1.3588434961559339</c:v>
                </c:pt>
                <c:pt idx="238" formatCode="0.0000">
                  <c:v>1.3482796684753722</c:v>
                </c:pt>
                <c:pt idx="239" formatCode="0.0000">
                  <c:v>1.3819233582200934</c:v>
                </c:pt>
                <c:pt idx="240" formatCode="0.0000">
                  <c:v>1.3651834217461096</c:v>
                </c:pt>
                <c:pt idx="241" formatCode="0.0000">
                  <c:v>1.3641693627282272</c:v>
                </c:pt>
                <c:pt idx="242" formatCode="0.0000">
                  <c:v>1.3859038519312481</c:v>
                </c:pt>
                <c:pt idx="243" formatCode="0.0000">
                  <c:v>1.4395471567551839</c:v>
                </c:pt>
                <c:pt idx="244" formatCode="0.0000">
                  <c:v>1.4291538249689502</c:v>
                </c:pt>
                <c:pt idx="245" formatCode="0.0000">
                  <c:v>1.487453926791743</c:v>
                </c:pt>
                <c:pt idx="246" formatCode="0.0000">
                  <c:v>1.4735392885357261</c:v>
                </c:pt>
                <c:pt idx="247" formatCode="0.0000">
                  <c:v>1.4202619551587463</c:v>
                </c:pt>
                <c:pt idx="248" formatCode="0.0000">
                  <c:v>1.402654469187699</c:v>
                </c:pt>
                <c:pt idx="249" formatCode="0.0000">
                  <c:v>1.3867914308712284</c:v>
                </c:pt>
                <c:pt idx="250" formatCode="0.0000">
                  <c:v>1.3682959697055534</c:v>
                </c:pt>
                <c:pt idx="251" formatCode="0.0000">
                  <c:v>1.3367444888281597</c:v>
                </c:pt>
                <c:pt idx="252" formatCode="0.0000">
                  <c:v>1.2501850367768861</c:v>
                </c:pt>
                <c:pt idx="253" formatCode="0.0000">
                  <c:v>1.2007934663847226</c:v>
                </c:pt>
                <c:pt idx="254" formatCode="0.0000">
                  <c:v>1.167918438653184</c:v>
                </c:pt>
                <c:pt idx="255" formatCode="0.0000">
                  <c:v>1.1331699188758673</c:v>
                </c:pt>
                <c:pt idx="256" formatCode="0.0000">
                  <c:v>1.0654554363339643</c:v>
                </c:pt>
                <c:pt idx="257" formatCode="0.0000">
                  <c:v>1.0214393962787407</c:v>
                </c:pt>
                <c:pt idx="258" formatCode="0.0000">
                  <c:v>1.0085708557622992</c:v>
                </c:pt>
                <c:pt idx="259" formatCode="0.0000">
                  <c:v>1.0329356522481474</c:v>
                </c:pt>
                <c:pt idx="260" formatCode="0.0000">
                  <c:v>1.0269264539149314</c:v>
                </c:pt>
                <c:pt idx="261" formatCode="0.0000">
                  <c:v>1.0688009347838112</c:v>
                </c:pt>
                <c:pt idx="262" formatCode="0.0000">
                  <c:v>1.0723817189284357</c:v>
                </c:pt>
                <c:pt idx="263" formatCode="0.0000">
                  <c:v>1.1043093140459252</c:v>
                </c:pt>
                <c:pt idx="264" formatCode="0.0000">
                  <c:v>1.1023343518311022</c:v>
                </c:pt>
                <c:pt idx="265" formatCode="0.0000">
                  <c:v>1.0822426700949419</c:v>
                </c:pt>
                <c:pt idx="266" formatCode="0.0000">
                  <c:v>1.0312457356663718</c:v>
                </c:pt>
                <c:pt idx="267" formatCode="0.0000">
                  <c:v>1.0053217420179361</c:v>
                </c:pt>
                <c:pt idx="268" formatCode="0.0000">
                  <c:v>0.95878641522538821</c:v>
                </c:pt>
                <c:pt idx="269" formatCode="0.0000">
                  <c:v>0.93196738192645168</c:v>
                </c:pt>
                <c:pt idx="270" formatCode="0.0000">
                  <c:v>0.86440197908133043</c:v>
                </c:pt>
                <c:pt idx="271" formatCode="0.0000">
                  <c:v>0.86264669889577517</c:v>
                </c:pt>
                <c:pt idx="272" formatCode="0.0000">
                  <c:v>0.81394756736297225</c:v>
                </c:pt>
                <c:pt idx="273" formatCode="0.0000">
                  <c:v>0.76430965134963935</c:v>
                </c:pt>
                <c:pt idx="274" formatCode="0.0000">
                  <c:v>0.79066256468423091</c:v>
                </c:pt>
                <c:pt idx="275" formatCode="0.0000">
                  <c:v>0.83991929412431376</c:v>
                </c:pt>
                <c:pt idx="276" formatCode="0.0000">
                  <c:v>0.80479396903860534</c:v>
                </c:pt>
                <c:pt idx="277" formatCode="0.0000">
                  <c:v>0.82406638755408823</c:v>
                </c:pt>
                <c:pt idx="278" formatCode="0.0000">
                  <c:v>0.83297768749339807</c:v>
                </c:pt>
                <c:pt idx="279" formatCode="0.0000">
                  <c:v>0.82783597085823502</c:v>
                </c:pt>
                <c:pt idx="280" formatCode="0.0000">
                  <c:v>0.85155776825135965</c:v>
                </c:pt>
                <c:pt idx="281" formatCode="0.0000">
                  <c:v>0.856105363769608</c:v>
                </c:pt>
                <c:pt idx="282" formatCode="0.0000">
                  <c:v>0.82782003295512374</c:v>
                </c:pt>
                <c:pt idx="283" formatCode="0.0000">
                  <c:v>0.90665085493667241</c:v>
                </c:pt>
                <c:pt idx="284" formatCode="0.0000">
                  <c:v>0.88681542798288115</c:v>
                </c:pt>
                <c:pt idx="285" formatCode="0.0000">
                  <c:v>0.92439813658634162</c:v>
                </c:pt>
                <c:pt idx="286" formatCode="0.0000">
                  <c:v>0.94881388847177206</c:v>
                </c:pt>
                <c:pt idx="287" formatCode="0.0000">
                  <c:v>0.9503208457957405</c:v>
                </c:pt>
                <c:pt idx="288" formatCode="0.0000">
                  <c:v>0.947692991101589</c:v>
                </c:pt>
                <c:pt idx="289" formatCode="0.0000">
                  <c:v>0.96828859469973161</c:v>
                </c:pt>
                <c:pt idx="290" formatCode="0.0000">
                  <c:v>0.94147735974701752</c:v>
                </c:pt>
                <c:pt idx="291" formatCode="0.0000">
                  <c:v>0.99873906075746199</c:v>
                </c:pt>
                <c:pt idx="292" formatCode="0.0000">
                  <c:v>0.96916510163413971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A91-4CD9-A926-6F6301F0D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611236"/>
        <c:axId val="688006681"/>
      </c:lineChart>
      <c:lineChart>
        <c:grouping val="standard"/>
        <c:varyColors val="0"/>
        <c:ser>
          <c:idx val="1"/>
          <c:order val="1"/>
          <c:tx>
            <c:strRef>
              <c:f>'R(t) Województwa'!$BX$2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Województwa'!$BX$3:$BX$1000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0.2857142857142857</c:v>
                </c:pt>
                <c:pt idx="12">
                  <c:v>0.2857142857142857</c:v>
                </c:pt>
                <c:pt idx="13">
                  <c:v>0.2857142857142857</c:v>
                </c:pt>
                <c:pt idx="14">
                  <c:v>1.1428571428571428</c:v>
                </c:pt>
                <c:pt idx="15">
                  <c:v>1.2857142857142858</c:v>
                </c:pt>
                <c:pt idx="16">
                  <c:v>1.2857142857142858</c:v>
                </c:pt>
                <c:pt idx="17">
                  <c:v>1.4285714285714286</c:v>
                </c:pt>
                <c:pt idx="18">
                  <c:v>1.7142857142857142</c:v>
                </c:pt>
                <c:pt idx="19">
                  <c:v>2.1428571428571428</c:v>
                </c:pt>
                <c:pt idx="20">
                  <c:v>2.7142857142857144</c:v>
                </c:pt>
                <c:pt idx="21">
                  <c:v>2</c:v>
                </c:pt>
                <c:pt idx="22">
                  <c:v>1.8571428571428572</c:v>
                </c:pt>
                <c:pt idx="23">
                  <c:v>2.7142857142857144</c:v>
                </c:pt>
                <c:pt idx="24">
                  <c:v>3.1428571428571428</c:v>
                </c:pt>
                <c:pt idx="25">
                  <c:v>3.1428571428571428</c:v>
                </c:pt>
                <c:pt idx="26">
                  <c:v>4</c:v>
                </c:pt>
                <c:pt idx="27">
                  <c:v>3.8571428571428572</c:v>
                </c:pt>
                <c:pt idx="28">
                  <c:v>4.5714285714285712</c:v>
                </c:pt>
                <c:pt idx="29">
                  <c:v>5.4285714285714288</c:v>
                </c:pt>
                <c:pt idx="30">
                  <c:v>6</c:v>
                </c:pt>
                <c:pt idx="31">
                  <c:v>7.1428571428571432</c:v>
                </c:pt>
                <c:pt idx="32">
                  <c:v>9.7142857142857135</c:v>
                </c:pt>
                <c:pt idx="33">
                  <c:v>10.285714285714286</c:v>
                </c:pt>
                <c:pt idx="34">
                  <c:v>11</c:v>
                </c:pt>
                <c:pt idx="35">
                  <c:v>11.571428571428571</c:v>
                </c:pt>
                <c:pt idx="36">
                  <c:v>11.857142857142858</c:v>
                </c:pt>
                <c:pt idx="37">
                  <c:v>11.857142857142858</c:v>
                </c:pt>
                <c:pt idx="38">
                  <c:v>10.714285714285714</c:v>
                </c:pt>
                <c:pt idx="39">
                  <c:v>8.4285714285714288</c:v>
                </c:pt>
                <c:pt idx="40">
                  <c:v>7.7142857142857144</c:v>
                </c:pt>
                <c:pt idx="41">
                  <c:v>7.1428571428571432</c:v>
                </c:pt>
                <c:pt idx="42">
                  <c:v>5.7142857142857144</c:v>
                </c:pt>
                <c:pt idx="43">
                  <c:v>5.1428571428571432</c:v>
                </c:pt>
                <c:pt idx="44">
                  <c:v>4</c:v>
                </c:pt>
                <c:pt idx="45">
                  <c:v>4</c:v>
                </c:pt>
                <c:pt idx="46">
                  <c:v>6.2857142857142856</c:v>
                </c:pt>
                <c:pt idx="47">
                  <c:v>5.4285714285714288</c:v>
                </c:pt>
                <c:pt idx="48">
                  <c:v>5.7142857142857144</c:v>
                </c:pt>
                <c:pt idx="49">
                  <c:v>6.2857142857142856</c:v>
                </c:pt>
                <c:pt idx="50">
                  <c:v>7.4285714285714288</c:v>
                </c:pt>
                <c:pt idx="51">
                  <c:v>8.8571428571428577</c:v>
                </c:pt>
                <c:pt idx="52">
                  <c:v>10.285714285714286</c:v>
                </c:pt>
                <c:pt idx="53">
                  <c:v>12.714285714285714</c:v>
                </c:pt>
                <c:pt idx="54">
                  <c:v>19.571428571428573</c:v>
                </c:pt>
                <c:pt idx="55">
                  <c:v>20.285714285714285</c:v>
                </c:pt>
                <c:pt idx="56">
                  <c:v>25</c:v>
                </c:pt>
                <c:pt idx="57">
                  <c:v>27.571428571428573</c:v>
                </c:pt>
                <c:pt idx="58">
                  <c:v>26.428571428571427</c:v>
                </c:pt>
                <c:pt idx="59">
                  <c:v>25.285714285714285</c:v>
                </c:pt>
                <c:pt idx="60">
                  <c:v>20.571428571428573</c:v>
                </c:pt>
                <c:pt idx="61">
                  <c:v>14</c:v>
                </c:pt>
                <c:pt idx="62">
                  <c:v>12.428571428571429</c:v>
                </c:pt>
                <c:pt idx="63">
                  <c:v>8.1428571428571423</c:v>
                </c:pt>
                <c:pt idx="64">
                  <c:v>5.1428571428571432</c:v>
                </c:pt>
                <c:pt idx="65">
                  <c:v>5.7142857142857144</c:v>
                </c:pt>
                <c:pt idx="66">
                  <c:v>6.1428571428571432</c:v>
                </c:pt>
                <c:pt idx="67">
                  <c:v>5.4285714285714288</c:v>
                </c:pt>
                <c:pt idx="68">
                  <c:v>5.2857142857142856</c:v>
                </c:pt>
                <c:pt idx="69">
                  <c:v>5.8571428571428568</c:v>
                </c:pt>
                <c:pt idx="70">
                  <c:v>5.4285714285714288</c:v>
                </c:pt>
                <c:pt idx="71">
                  <c:v>4.4285714285714288</c:v>
                </c:pt>
                <c:pt idx="72">
                  <c:v>3.4285714285714284</c:v>
                </c:pt>
                <c:pt idx="73">
                  <c:v>2.2857142857142856</c:v>
                </c:pt>
                <c:pt idx="74">
                  <c:v>3.1428571428571428</c:v>
                </c:pt>
                <c:pt idx="75">
                  <c:v>3</c:v>
                </c:pt>
                <c:pt idx="76">
                  <c:v>2.4285714285714284</c:v>
                </c:pt>
                <c:pt idx="77">
                  <c:v>2</c:v>
                </c:pt>
                <c:pt idx="78">
                  <c:v>2.4285714285714284</c:v>
                </c:pt>
                <c:pt idx="79">
                  <c:v>3</c:v>
                </c:pt>
                <c:pt idx="80">
                  <c:v>3.4285714285714284</c:v>
                </c:pt>
                <c:pt idx="81">
                  <c:v>3.8571428571428572</c:v>
                </c:pt>
                <c:pt idx="82">
                  <c:v>4.4285714285714288</c:v>
                </c:pt>
                <c:pt idx="83">
                  <c:v>5.4285714285714288</c:v>
                </c:pt>
                <c:pt idx="84">
                  <c:v>5.5714285714285712</c:v>
                </c:pt>
                <c:pt idx="85">
                  <c:v>5.4285714285714288</c:v>
                </c:pt>
                <c:pt idx="86">
                  <c:v>5</c:v>
                </c:pt>
                <c:pt idx="87">
                  <c:v>5</c:v>
                </c:pt>
                <c:pt idx="88">
                  <c:v>3.5714285714285716</c:v>
                </c:pt>
                <c:pt idx="89">
                  <c:v>2.8571428571428572</c:v>
                </c:pt>
                <c:pt idx="90">
                  <c:v>2.5714285714285716</c:v>
                </c:pt>
                <c:pt idx="91">
                  <c:v>2.4285714285714284</c:v>
                </c:pt>
                <c:pt idx="92">
                  <c:v>1.8571428571428572</c:v>
                </c:pt>
                <c:pt idx="93">
                  <c:v>1.7142857142857142</c:v>
                </c:pt>
                <c:pt idx="94">
                  <c:v>1.7142857142857142</c:v>
                </c:pt>
                <c:pt idx="95">
                  <c:v>2.2857142857142856</c:v>
                </c:pt>
                <c:pt idx="96">
                  <c:v>2.2857142857142856</c:v>
                </c:pt>
                <c:pt idx="97">
                  <c:v>1.5714285714285714</c:v>
                </c:pt>
                <c:pt idx="98">
                  <c:v>2.1428571428571428</c:v>
                </c:pt>
                <c:pt idx="99">
                  <c:v>2.8571428571428572</c:v>
                </c:pt>
                <c:pt idx="100">
                  <c:v>2.7142857142857144</c:v>
                </c:pt>
                <c:pt idx="101">
                  <c:v>2.4285714285714284</c:v>
                </c:pt>
                <c:pt idx="102">
                  <c:v>2.7142857142857144</c:v>
                </c:pt>
                <c:pt idx="103">
                  <c:v>2.7142857142857144</c:v>
                </c:pt>
                <c:pt idx="104">
                  <c:v>2.7142857142857144</c:v>
                </c:pt>
                <c:pt idx="105">
                  <c:v>2.2857142857142856</c:v>
                </c:pt>
                <c:pt idx="106">
                  <c:v>2.4285714285714284</c:v>
                </c:pt>
                <c:pt idx="107">
                  <c:v>2.8571428571428572</c:v>
                </c:pt>
                <c:pt idx="108">
                  <c:v>2.8571428571428572</c:v>
                </c:pt>
                <c:pt idx="109">
                  <c:v>2.2857142857142856</c:v>
                </c:pt>
                <c:pt idx="110">
                  <c:v>3.8571428571428572</c:v>
                </c:pt>
                <c:pt idx="111">
                  <c:v>4.1428571428571432</c:v>
                </c:pt>
                <c:pt idx="112">
                  <c:v>6.5714285714285712</c:v>
                </c:pt>
                <c:pt idx="113">
                  <c:v>6.7142857142857144</c:v>
                </c:pt>
                <c:pt idx="114">
                  <c:v>6.7142857142857144</c:v>
                </c:pt>
                <c:pt idx="115">
                  <c:v>6.8571428571428568</c:v>
                </c:pt>
                <c:pt idx="116">
                  <c:v>7.1428571428571432</c:v>
                </c:pt>
                <c:pt idx="117">
                  <c:v>6</c:v>
                </c:pt>
                <c:pt idx="118">
                  <c:v>7</c:v>
                </c:pt>
                <c:pt idx="119">
                  <c:v>4.4285714285714288</c:v>
                </c:pt>
                <c:pt idx="120">
                  <c:v>3.4285714285714284</c:v>
                </c:pt>
                <c:pt idx="121">
                  <c:v>4.4285714285714288</c:v>
                </c:pt>
                <c:pt idx="122">
                  <c:v>4.5714285714285712</c:v>
                </c:pt>
                <c:pt idx="123">
                  <c:v>4.5714285714285712</c:v>
                </c:pt>
                <c:pt idx="124">
                  <c:v>4.2857142857142856</c:v>
                </c:pt>
                <c:pt idx="125">
                  <c:v>3.1428571428571428</c:v>
                </c:pt>
                <c:pt idx="126">
                  <c:v>3.2857142857142856</c:v>
                </c:pt>
                <c:pt idx="127">
                  <c:v>3.7142857142857144</c:v>
                </c:pt>
                <c:pt idx="128">
                  <c:v>2.2857142857142856</c:v>
                </c:pt>
                <c:pt idx="129">
                  <c:v>3</c:v>
                </c:pt>
                <c:pt idx="130">
                  <c:v>3</c:v>
                </c:pt>
                <c:pt idx="131">
                  <c:v>3.4285714285714284</c:v>
                </c:pt>
                <c:pt idx="132">
                  <c:v>3.5714285714285716</c:v>
                </c:pt>
                <c:pt idx="133">
                  <c:v>3.5714285714285716</c:v>
                </c:pt>
                <c:pt idx="134">
                  <c:v>3.1428571428571428</c:v>
                </c:pt>
                <c:pt idx="135">
                  <c:v>3.5714285714285716</c:v>
                </c:pt>
                <c:pt idx="136">
                  <c:v>3.4285714285714284</c:v>
                </c:pt>
                <c:pt idx="137">
                  <c:v>5</c:v>
                </c:pt>
                <c:pt idx="138">
                  <c:v>4.8571428571428568</c:v>
                </c:pt>
                <c:pt idx="139">
                  <c:v>4.7142857142857144</c:v>
                </c:pt>
                <c:pt idx="140">
                  <c:v>6.5714285714285712</c:v>
                </c:pt>
                <c:pt idx="141">
                  <c:v>8.4285714285714288</c:v>
                </c:pt>
                <c:pt idx="142">
                  <c:v>8.5714285714285712</c:v>
                </c:pt>
                <c:pt idx="143">
                  <c:v>8.7142857142857135</c:v>
                </c:pt>
                <c:pt idx="144">
                  <c:v>9.8571428571428577</c:v>
                </c:pt>
                <c:pt idx="145">
                  <c:v>12</c:v>
                </c:pt>
                <c:pt idx="146">
                  <c:v>12.285714285714286</c:v>
                </c:pt>
                <c:pt idx="147">
                  <c:v>12.285714285714286</c:v>
                </c:pt>
                <c:pt idx="148">
                  <c:v>14.428571428571429</c:v>
                </c:pt>
                <c:pt idx="149">
                  <c:v>15.571428571428571</c:v>
                </c:pt>
                <c:pt idx="150">
                  <c:v>16.428571428571427</c:v>
                </c:pt>
                <c:pt idx="151">
                  <c:v>15.571428571428571</c:v>
                </c:pt>
                <c:pt idx="152">
                  <c:v>16.285714285714285</c:v>
                </c:pt>
                <c:pt idx="153">
                  <c:v>18.714285714285715</c:v>
                </c:pt>
                <c:pt idx="154">
                  <c:v>19</c:v>
                </c:pt>
                <c:pt idx="155">
                  <c:v>17.428571428571427</c:v>
                </c:pt>
                <c:pt idx="156">
                  <c:v>19.857142857142858</c:v>
                </c:pt>
                <c:pt idx="157">
                  <c:v>23.571428571428573</c:v>
                </c:pt>
                <c:pt idx="158">
                  <c:v>28.714285714285715</c:v>
                </c:pt>
                <c:pt idx="159">
                  <c:v>31</c:v>
                </c:pt>
                <c:pt idx="160">
                  <c:v>35</c:v>
                </c:pt>
                <c:pt idx="161">
                  <c:v>36.857142857142854</c:v>
                </c:pt>
                <c:pt idx="162">
                  <c:v>45.142857142857146</c:v>
                </c:pt>
                <c:pt idx="163">
                  <c:v>49.714285714285715</c:v>
                </c:pt>
                <c:pt idx="164">
                  <c:v>50.428571428571431</c:v>
                </c:pt>
                <c:pt idx="165">
                  <c:v>52.714285714285715</c:v>
                </c:pt>
                <c:pt idx="166">
                  <c:v>59.142857142857146</c:v>
                </c:pt>
                <c:pt idx="167">
                  <c:v>59.714285714285715</c:v>
                </c:pt>
                <c:pt idx="168">
                  <c:v>62.714285714285715</c:v>
                </c:pt>
                <c:pt idx="169">
                  <c:v>60.571428571428569</c:v>
                </c:pt>
                <c:pt idx="170">
                  <c:v>61.571428571428569</c:v>
                </c:pt>
                <c:pt idx="171">
                  <c:v>67.714285714285708</c:v>
                </c:pt>
                <c:pt idx="172">
                  <c:v>67.142857142857139</c:v>
                </c:pt>
                <c:pt idx="173">
                  <c:v>67.285714285714292</c:v>
                </c:pt>
                <c:pt idx="174">
                  <c:v>68.428571428571431</c:v>
                </c:pt>
                <c:pt idx="175">
                  <c:v>74.428571428571431</c:v>
                </c:pt>
                <c:pt idx="176">
                  <c:v>74.428571428571431</c:v>
                </c:pt>
                <c:pt idx="177">
                  <c:v>74.857142857142861</c:v>
                </c:pt>
                <c:pt idx="178">
                  <c:v>68.142857142857139</c:v>
                </c:pt>
                <c:pt idx="179">
                  <c:v>65.285714285714292</c:v>
                </c:pt>
                <c:pt idx="180">
                  <c:v>60.571428571428569</c:v>
                </c:pt>
                <c:pt idx="181">
                  <c:v>62.714285714285715</c:v>
                </c:pt>
                <c:pt idx="182">
                  <c:v>54.285714285714285</c:v>
                </c:pt>
                <c:pt idx="183">
                  <c:v>51.714285714285715</c:v>
                </c:pt>
                <c:pt idx="184">
                  <c:v>47.857142857142854</c:v>
                </c:pt>
                <c:pt idx="185">
                  <c:v>47.714285714285715</c:v>
                </c:pt>
                <c:pt idx="186">
                  <c:v>47.285714285714285</c:v>
                </c:pt>
                <c:pt idx="187">
                  <c:v>46.142857142857146</c:v>
                </c:pt>
                <c:pt idx="188">
                  <c:v>38.285714285714285</c:v>
                </c:pt>
                <c:pt idx="189">
                  <c:v>37.142857142857146</c:v>
                </c:pt>
                <c:pt idx="190">
                  <c:v>36.571428571428569</c:v>
                </c:pt>
                <c:pt idx="191">
                  <c:v>34.857142857142854</c:v>
                </c:pt>
                <c:pt idx="192">
                  <c:v>34.571428571428569</c:v>
                </c:pt>
                <c:pt idx="193">
                  <c:v>39.857142857142854</c:v>
                </c:pt>
                <c:pt idx="194">
                  <c:v>41.285714285714285</c:v>
                </c:pt>
                <c:pt idx="195">
                  <c:v>45</c:v>
                </c:pt>
                <c:pt idx="196">
                  <c:v>47.142857142857146</c:v>
                </c:pt>
                <c:pt idx="197">
                  <c:v>49.285714285714285</c:v>
                </c:pt>
                <c:pt idx="198">
                  <c:v>63.857142857142854</c:v>
                </c:pt>
                <c:pt idx="199">
                  <c:v>68.714285714285708</c:v>
                </c:pt>
                <c:pt idx="200">
                  <c:v>71.142857142857139</c:v>
                </c:pt>
                <c:pt idx="201">
                  <c:v>71.142857142857139</c:v>
                </c:pt>
                <c:pt idx="202">
                  <c:v>77.428571428571431</c:v>
                </c:pt>
                <c:pt idx="203">
                  <c:v>83.428571428571431</c:v>
                </c:pt>
                <c:pt idx="204">
                  <c:v>92.142857142857139</c:v>
                </c:pt>
                <c:pt idx="205">
                  <c:v>93.428571428571431</c:v>
                </c:pt>
                <c:pt idx="206">
                  <c:v>101.28571428571429</c:v>
                </c:pt>
                <c:pt idx="207">
                  <c:v>109.14285714285714</c:v>
                </c:pt>
                <c:pt idx="208">
                  <c:v>128.57142857142858</c:v>
                </c:pt>
                <c:pt idx="209">
                  <c:v>137.14285714285714</c:v>
                </c:pt>
                <c:pt idx="210">
                  <c:v>143.42857142857142</c:v>
                </c:pt>
                <c:pt idx="211">
                  <c:v>154.85714285714286</c:v>
                </c:pt>
                <c:pt idx="212">
                  <c:v>160.14285714285714</c:v>
                </c:pt>
                <c:pt idx="213">
                  <c:v>174.42857142857142</c:v>
                </c:pt>
                <c:pt idx="214">
                  <c:v>187.71428571428572</c:v>
                </c:pt>
                <c:pt idx="215">
                  <c:v>192.28571428571428</c:v>
                </c:pt>
                <c:pt idx="216">
                  <c:v>199.71428571428572</c:v>
                </c:pt>
                <c:pt idx="217">
                  <c:v>210</c:v>
                </c:pt>
                <c:pt idx="218">
                  <c:v>209.85714285714286</c:v>
                </c:pt>
                <c:pt idx="219">
                  <c:v>228.85714285714286</c:v>
                </c:pt>
                <c:pt idx="220">
                  <c:v>251.71428571428572</c:v>
                </c:pt>
                <c:pt idx="221">
                  <c:v>268.57142857142856</c:v>
                </c:pt>
                <c:pt idx="222">
                  <c:v>284</c:v>
                </c:pt>
                <c:pt idx="223">
                  <c:v>295.71428571428572</c:v>
                </c:pt>
                <c:pt idx="224">
                  <c:v>312.71428571428572</c:v>
                </c:pt>
                <c:pt idx="225">
                  <c:v>334.28571428571428</c:v>
                </c:pt>
                <c:pt idx="226">
                  <c:v>355</c:v>
                </c:pt>
                <c:pt idx="227">
                  <c:v>377.71428571428572</c:v>
                </c:pt>
                <c:pt idx="228">
                  <c:v>406.42857142857144</c:v>
                </c:pt>
                <c:pt idx="229">
                  <c:v>420.14285714285717</c:v>
                </c:pt>
                <c:pt idx="230">
                  <c:v>448.28571428571428</c:v>
                </c:pt>
                <c:pt idx="231">
                  <c:v>472</c:v>
                </c:pt>
                <c:pt idx="232">
                  <c:v>501.14285714285717</c:v>
                </c:pt>
                <c:pt idx="233">
                  <c:v>537.14285714285711</c:v>
                </c:pt>
                <c:pt idx="234">
                  <c:v>564.85714285714289</c:v>
                </c:pt>
                <c:pt idx="235">
                  <c:v>595.28571428571433</c:v>
                </c:pt>
                <c:pt idx="236">
                  <c:v>605.57142857142856</c:v>
                </c:pt>
                <c:pt idx="237">
                  <c:v>632.85714285714289</c:v>
                </c:pt>
                <c:pt idx="238">
                  <c:v>655.57142857142856</c:v>
                </c:pt>
                <c:pt idx="239">
                  <c:v>706</c:v>
                </c:pt>
                <c:pt idx="240">
                  <c:v>740.71428571428567</c:v>
                </c:pt>
                <c:pt idx="241">
                  <c:v>784.71428571428567</c:v>
                </c:pt>
                <c:pt idx="242">
                  <c:v>847</c:v>
                </c:pt>
                <c:pt idx="243">
                  <c:v>921.42857142857144</c:v>
                </c:pt>
                <c:pt idx="244">
                  <c:v>963.57142857142856</c:v>
                </c:pt>
                <c:pt idx="245">
                  <c:v>1059.8571428571429</c:v>
                </c:pt>
                <c:pt idx="246">
                  <c:v>1124.2857142857142</c:v>
                </c:pt>
                <c:pt idx="247">
                  <c:v>1151.1428571428571</c:v>
                </c:pt>
                <c:pt idx="248">
                  <c:v>1208.5714285714287</c:v>
                </c:pt>
                <c:pt idx="249">
                  <c:v>1274.1428571428571</c:v>
                </c:pt>
                <c:pt idx="250">
                  <c:v>1319.1428571428571</c:v>
                </c:pt>
                <c:pt idx="251">
                  <c:v>1341.2857142857142</c:v>
                </c:pt>
                <c:pt idx="252">
                  <c:v>1312.5714285714287</c:v>
                </c:pt>
                <c:pt idx="253">
                  <c:v>1308.1428571428571</c:v>
                </c:pt>
                <c:pt idx="254">
                  <c:v>1304.2857142857142</c:v>
                </c:pt>
                <c:pt idx="255">
                  <c:v>1300</c:v>
                </c:pt>
                <c:pt idx="256">
                  <c:v>1251</c:v>
                </c:pt>
                <c:pt idx="257">
                  <c:v>1209.7142857142858</c:v>
                </c:pt>
                <c:pt idx="258">
                  <c:v>1197.5714285714287</c:v>
                </c:pt>
                <c:pt idx="259">
                  <c:v>1227.4285714285713</c:v>
                </c:pt>
                <c:pt idx="260">
                  <c:v>1226.2857142857142</c:v>
                </c:pt>
                <c:pt idx="261">
                  <c:v>1281.2857142857142</c:v>
                </c:pt>
                <c:pt idx="262">
                  <c:v>1299.8571428571429</c:v>
                </c:pt>
                <c:pt idx="263">
                  <c:v>1355.1428571428571</c:v>
                </c:pt>
                <c:pt idx="264">
                  <c:v>1368.4285714285713</c:v>
                </c:pt>
                <c:pt idx="265">
                  <c:v>1357.2857142857142</c:v>
                </c:pt>
                <c:pt idx="266">
                  <c:v>1307.8571428571429</c:v>
                </c:pt>
                <c:pt idx="267">
                  <c:v>1281.1428571428571</c:v>
                </c:pt>
                <c:pt idx="268">
                  <c:v>1224.8571428571429</c:v>
                </c:pt>
                <c:pt idx="269">
                  <c:v>1183</c:v>
                </c:pt>
                <c:pt idx="270">
                  <c:v>1084.5714285714287</c:v>
                </c:pt>
                <c:pt idx="271">
                  <c:v>1061.5714285714287</c:v>
                </c:pt>
                <c:pt idx="272">
                  <c:v>987.57142857142856</c:v>
                </c:pt>
                <c:pt idx="273">
                  <c:v>911</c:v>
                </c:pt>
                <c:pt idx="274">
                  <c:v>901.57142857142856</c:v>
                </c:pt>
                <c:pt idx="275">
                  <c:v>918.85714285714289</c:v>
                </c:pt>
                <c:pt idx="276">
                  <c:v>855.28571428571433</c:v>
                </c:pt>
                <c:pt idx="277">
                  <c:v>847.14285714285711</c:v>
                </c:pt>
                <c:pt idx="278">
                  <c:v>832.28571428571433</c:v>
                </c:pt>
                <c:pt idx="279">
                  <c:v>817.14285714285711</c:v>
                </c:pt>
                <c:pt idx="280">
                  <c:v>827.42857142857144</c:v>
                </c:pt>
                <c:pt idx="281">
                  <c:v>809.28571428571433</c:v>
                </c:pt>
                <c:pt idx="282">
                  <c:v>760.85714285714289</c:v>
                </c:pt>
                <c:pt idx="283">
                  <c:v>808.57142857142856</c:v>
                </c:pt>
                <c:pt idx="284">
                  <c:v>777.57142857142856</c:v>
                </c:pt>
                <c:pt idx="285">
                  <c:v>796</c:v>
                </c:pt>
                <c:pt idx="286">
                  <c:v>813.85714285714289</c:v>
                </c:pt>
                <c:pt idx="287">
                  <c:v>811</c:v>
                </c:pt>
                <c:pt idx="288">
                  <c:v>801.71428571428567</c:v>
                </c:pt>
                <c:pt idx="289">
                  <c:v>810.85714285714289</c:v>
                </c:pt>
                <c:pt idx="290">
                  <c:v>782.85714285714289</c:v>
                </c:pt>
                <c:pt idx="291">
                  <c:v>824</c:v>
                </c:pt>
                <c:pt idx="292">
                  <c:v>797.42857142857144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A91-4CD9-A926-6F6301F0D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708434"/>
        <c:axId val="889726677"/>
      </c:lineChart>
      <c:dateAx>
        <c:axId val="12976112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688006681"/>
        <c:crosses val="autoZero"/>
        <c:auto val="1"/>
        <c:lblOffset val="100"/>
        <c:baseTimeUnit val="days"/>
      </c:dateAx>
      <c:valAx>
        <c:axId val="688006681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297611236"/>
        <c:crosses val="autoZero"/>
        <c:crossBetween val="between"/>
      </c:valAx>
      <c:dateAx>
        <c:axId val="230708434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889726677"/>
        <c:crosses val="autoZero"/>
        <c:auto val="1"/>
        <c:lblOffset val="100"/>
        <c:baseTimeUnit val="days"/>
      </c:dateAx>
      <c:valAx>
        <c:axId val="889726677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230708434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Śląskiego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Województwa'!$CI$2</c:f>
              <c:strCache>
                <c:ptCount val="1"/>
                <c:pt idx="0">
                  <c:v>Śląskie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Województwa'!$CI$3:$CI$1000</c:f>
              <c:numCache>
                <c:formatCode>General</c:formatCode>
                <c:ptCount val="998"/>
                <c:pt idx="24" formatCode="0.0000">
                  <c:v>0.96970920840064689</c:v>
                </c:pt>
                <c:pt idx="25" formatCode="0.0000">
                  <c:v>1.319646282939386</c:v>
                </c:pt>
                <c:pt idx="26" formatCode="0.0000">
                  <c:v>1.5146902203291148</c:v>
                </c:pt>
                <c:pt idx="27" formatCode="0.0000">
                  <c:v>1.3328060834612041</c:v>
                </c:pt>
                <c:pt idx="28" formatCode="0.0000">
                  <c:v>1.7041183273375069</c:v>
                </c:pt>
                <c:pt idx="29" formatCode="0.0000">
                  <c:v>1.4789955844055296</c:v>
                </c:pt>
                <c:pt idx="30" formatCode="0.0000">
                  <c:v>1.4693368637114201</c:v>
                </c:pt>
                <c:pt idx="31" formatCode="0.0000">
                  <c:v>2.1844796175838419</c:v>
                </c:pt>
                <c:pt idx="32" formatCode="0.0000">
                  <c:v>2.1954606096357057</c:v>
                </c:pt>
                <c:pt idx="33" formatCode="0.0000">
                  <c:v>2.0655574414371842</c:v>
                </c:pt>
                <c:pt idx="34" formatCode="0.0000">
                  <c:v>2.0398754308789608</c:v>
                </c:pt>
                <c:pt idx="35" formatCode="0.0000">
                  <c:v>1.7276536402157954</c:v>
                </c:pt>
                <c:pt idx="36" formatCode="0.0000">
                  <c:v>1.8351944166079244</c:v>
                </c:pt>
                <c:pt idx="37" formatCode="0.0000">
                  <c:v>1.8181916091797266</c:v>
                </c:pt>
                <c:pt idx="38" formatCode="0.0000">
                  <c:v>1.0826667304681072</c:v>
                </c:pt>
                <c:pt idx="39" formatCode="0.0000">
                  <c:v>1.0184484280847699</c:v>
                </c:pt>
                <c:pt idx="40" formatCode="0.0000">
                  <c:v>1.0984098271933382</c:v>
                </c:pt>
                <c:pt idx="41" formatCode="0.0000">
                  <c:v>1.1161464639437657</c:v>
                </c:pt>
                <c:pt idx="42" formatCode="0.0000">
                  <c:v>1.1835040652092441</c:v>
                </c:pt>
                <c:pt idx="43" formatCode="0.0000">
                  <c:v>1.1642479007099362</c:v>
                </c:pt>
                <c:pt idx="44" formatCode="0.0000">
                  <c:v>1.233528314467802</c:v>
                </c:pt>
                <c:pt idx="45" formatCode="0.0000">
                  <c:v>1.5194828099671085</c:v>
                </c:pt>
                <c:pt idx="46" formatCode="0.0000">
                  <c:v>1.3894494988262791</c:v>
                </c:pt>
                <c:pt idx="47" formatCode="0.0000">
                  <c:v>1.5063381801727693</c:v>
                </c:pt>
                <c:pt idx="48" formatCode="0.0000">
                  <c:v>1.5455805168393053</c:v>
                </c:pt>
                <c:pt idx="49" formatCode="0.0000">
                  <c:v>1.4440526268984752</c:v>
                </c:pt>
                <c:pt idx="50" formatCode="0.0000">
                  <c:v>1.4015719015354533</c:v>
                </c:pt>
                <c:pt idx="51" formatCode="0.0000">
                  <c:v>1.2245082522864255</c:v>
                </c:pt>
                <c:pt idx="52" formatCode="0.0000">
                  <c:v>1.0484159451847574</c:v>
                </c:pt>
                <c:pt idx="53" formatCode="0.0000">
                  <c:v>1.1383075908625953</c:v>
                </c:pt>
                <c:pt idx="54" formatCode="0.0000">
                  <c:v>0.95918162496167192</c:v>
                </c:pt>
                <c:pt idx="55" formatCode="0.0000">
                  <c:v>0.90468249975893333</c:v>
                </c:pt>
                <c:pt idx="56" formatCode="0.0000">
                  <c:v>1.0065117395602574</c:v>
                </c:pt>
                <c:pt idx="57" formatCode="0.0000">
                  <c:v>1.244437638048272</c:v>
                </c:pt>
                <c:pt idx="58" formatCode="0.0000">
                  <c:v>1.3793192614009577</c:v>
                </c:pt>
                <c:pt idx="59" formatCode="0.0000">
                  <c:v>1.384054634007762</c:v>
                </c:pt>
                <c:pt idx="60" formatCode="0.0000">
                  <c:v>1.3388811481570684</c:v>
                </c:pt>
                <c:pt idx="61" formatCode="0.0000">
                  <c:v>1.3846635423663911</c:v>
                </c:pt>
                <c:pt idx="62" formatCode="0.0000">
                  <c:v>1.4145219784277641</c:v>
                </c:pt>
                <c:pt idx="63" formatCode="0.0000">
                  <c:v>1.4078183646564213</c:v>
                </c:pt>
                <c:pt idx="64" formatCode="0.0000">
                  <c:v>1.2991670726344198</c:v>
                </c:pt>
                <c:pt idx="65" formatCode="0.0000">
                  <c:v>1.2413717040446943</c:v>
                </c:pt>
                <c:pt idx="66" formatCode="0.0000">
                  <c:v>1.2435505322018474</c:v>
                </c:pt>
                <c:pt idx="67" formatCode="0.0000">
                  <c:v>1.3310689279934971</c:v>
                </c:pt>
                <c:pt idx="68" formatCode="0.0000">
                  <c:v>1.3220809155996387</c:v>
                </c:pt>
                <c:pt idx="69" formatCode="0.0000">
                  <c:v>1.4354937100833542</c:v>
                </c:pt>
                <c:pt idx="70" formatCode="0.0000">
                  <c:v>1.6849589127110935</c:v>
                </c:pt>
                <c:pt idx="71" formatCode="0.0000">
                  <c:v>1.5870156589999067</c:v>
                </c:pt>
                <c:pt idx="72" formatCode="0.0000">
                  <c:v>1.6674432649105184</c:v>
                </c:pt>
                <c:pt idx="73" formatCode="0.0000">
                  <c:v>1.6408294504976868</c:v>
                </c:pt>
                <c:pt idx="74" formatCode="0.0000">
                  <c:v>1.5634529899033673</c:v>
                </c:pt>
                <c:pt idx="75" formatCode="0.0000">
                  <c:v>1.4909046533256658</c:v>
                </c:pt>
                <c:pt idx="76" formatCode="0.0000">
                  <c:v>1.40250213557333</c:v>
                </c:pt>
                <c:pt idx="77" formatCode="0.0000">
                  <c:v>1.133338490262765</c:v>
                </c:pt>
                <c:pt idx="78" formatCode="0.0000">
                  <c:v>1.1910572022748884</c:v>
                </c:pt>
                <c:pt idx="79" formatCode="0.0000">
                  <c:v>1.1189720479167524</c:v>
                </c:pt>
                <c:pt idx="80" formatCode="0.0000">
                  <c:v>1.0914028757812035</c:v>
                </c:pt>
                <c:pt idx="81" formatCode="0.0000">
                  <c:v>1.0906760798357786</c:v>
                </c:pt>
                <c:pt idx="82" formatCode="0.0000">
                  <c:v>1.0834547170848283</c:v>
                </c:pt>
                <c:pt idx="83" formatCode="0.0000">
                  <c:v>1.041880967360026</c:v>
                </c:pt>
                <c:pt idx="84" formatCode="0.0000">
                  <c:v>1.0425203466679547</c:v>
                </c:pt>
                <c:pt idx="85" formatCode="0.0000">
                  <c:v>0.9713611975694485</c:v>
                </c:pt>
                <c:pt idx="86" formatCode="0.0000">
                  <c:v>0.90126138639097431</c:v>
                </c:pt>
                <c:pt idx="87" formatCode="0.0000">
                  <c:v>0.85489914772575359</c:v>
                </c:pt>
                <c:pt idx="88" formatCode="0.0000">
                  <c:v>0.90730663109425602</c:v>
                </c:pt>
                <c:pt idx="89" formatCode="0.0000">
                  <c:v>0.86347093486739313</c:v>
                </c:pt>
                <c:pt idx="90" formatCode="0.0000">
                  <c:v>0.90765231068639807</c:v>
                </c:pt>
                <c:pt idx="91" formatCode="0.0000">
                  <c:v>0.80363646219113727</c:v>
                </c:pt>
                <c:pt idx="92" formatCode="0.0000">
                  <c:v>0.77607440940621253</c:v>
                </c:pt>
                <c:pt idx="93" formatCode="0.0000">
                  <c:v>0.78494471013330447</c:v>
                </c:pt>
                <c:pt idx="94" formatCode="0.0000">
                  <c:v>0.8061032787775243</c:v>
                </c:pt>
                <c:pt idx="95" formatCode="0.0000">
                  <c:v>0.94889783148394879</c:v>
                </c:pt>
                <c:pt idx="96" formatCode="0.0000">
                  <c:v>1.118533617668924</c:v>
                </c:pt>
                <c:pt idx="97" formatCode="0.0000">
                  <c:v>1.193196205023872</c:v>
                </c:pt>
                <c:pt idx="98" formatCode="0.0000">
                  <c:v>1.1981764318949413</c:v>
                </c:pt>
                <c:pt idx="99" formatCode="0.0000">
                  <c:v>1.1622850759335663</c:v>
                </c:pt>
                <c:pt idx="100" formatCode="0.0000">
                  <c:v>1.1766656949304537</c:v>
                </c:pt>
                <c:pt idx="101" formatCode="0.0000">
                  <c:v>1.1254423617088931</c:v>
                </c:pt>
                <c:pt idx="102" formatCode="0.0000">
                  <c:v>0.98518202078917627</c:v>
                </c:pt>
                <c:pt idx="103" formatCode="0.0000">
                  <c:v>0.86557482771500671</c:v>
                </c:pt>
                <c:pt idx="104" formatCode="0.0000">
                  <c:v>0.79179743183096285</c:v>
                </c:pt>
                <c:pt idx="105" formatCode="0.0000">
                  <c:v>0.87432678783160001</c:v>
                </c:pt>
                <c:pt idx="106" formatCode="0.0000">
                  <c:v>0.94394937943944135</c:v>
                </c:pt>
                <c:pt idx="107" formatCode="0.0000">
                  <c:v>0.89710158001557072</c:v>
                </c:pt>
                <c:pt idx="108" formatCode="0.0000">
                  <c:v>0.86938768303273617</c:v>
                </c:pt>
                <c:pt idx="109" formatCode="0.0000">
                  <c:v>0.80784139162666613</c:v>
                </c:pt>
                <c:pt idx="110" formatCode="0.0000">
                  <c:v>0.80490144086494786</c:v>
                </c:pt>
                <c:pt idx="111" formatCode="0.0000">
                  <c:v>0.78220860459318764</c:v>
                </c:pt>
                <c:pt idx="112" formatCode="0.0000">
                  <c:v>0.73963705031911808</c:v>
                </c:pt>
                <c:pt idx="113" formatCode="0.0000">
                  <c:v>0.72675075145488444</c:v>
                </c:pt>
                <c:pt idx="114" formatCode="0.0000">
                  <c:v>0.78711835510021932</c:v>
                </c:pt>
                <c:pt idx="115" formatCode="0.0000">
                  <c:v>0.81094157790380716</c:v>
                </c:pt>
                <c:pt idx="116" formatCode="0.0000">
                  <c:v>0.79665873899308315</c:v>
                </c:pt>
                <c:pt idx="117" formatCode="0.0000">
                  <c:v>0.71110634554031849</c:v>
                </c:pt>
                <c:pt idx="118" formatCode="0.0000">
                  <c:v>0.68723106862031169</c:v>
                </c:pt>
                <c:pt idx="119" formatCode="0.0000">
                  <c:v>0.6745734027285929</c:v>
                </c:pt>
                <c:pt idx="120" formatCode="0.0000">
                  <c:v>0.80248539597105284</c:v>
                </c:pt>
                <c:pt idx="121" formatCode="0.0000">
                  <c:v>0.86221579184654895</c:v>
                </c:pt>
                <c:pt idx="122" formatCode="0.0000">
                  <c:v>0.8593087306072541</c:v>
                </c:pt>
                <c:pt idx="123" formatCode="0.0000">
                  <c:v>0.88956849547903649</c:v>
                </c:pt>
                <c:pt idx="124" formatCode="0.0000">
                  <c:v>0.96874145610246132</c:v>
                </c:pt>
                <c:pt idx="125" formatCode="0.0000">
                  <c:v>0.93372757572337017</c:v>
                </c:pt>
                <c:pt idx="126" formatCode="0.0000">
                  <c:v>0.95299302013100251</c:v>
                </c:pt>
                <c:pt idx="127" formatCode="0.0000">
                  <c:v>0.8591663573638828</c:v>
                </c:pt>
                <c:pt idx="128" formatCode="0.0000">
                  <c:v>0.79451148034357366</c:v>
                </c:pt>
                <c:pt idx="129" formatCode="0.0000">
                  <c:v>0.82941094869492549</c:v>
                </c:pt>
                <c:pt idx="130" formatCode="0.0000">
                  <c:v>0.82775046932148677</c:v>
                </c:pt>
                <c:pt idx="131" formatCode="0.0000">
                  <c:v>0.80288729112339652</c:v>
                </c:pt>
                <c:pt idx="132" formatCode="0.0000">
                  <c:v>0.84409188733932727</c:v>
                </c:pt>
                <c:pt idx="133" formatCode="0.0000">
                  <c:v>0.83443198758622439</c:v>
                </c:pt>
                <c:pt idx="134" formatCode="0.0000">
                  <c:v>0.84993856377440113</c:v>
                </c:pt>
                <c:pt idx="135" formatCode="0.0000">
                  <c:v>0.87905696974838221</c:v>
                </c:pt>
                <c:pt idx="136" formatCode="0.0000">
                  <c:v>0.89310792458662946</c:v>
                </c:pt>
                <c:pt idx="137" formatCode="0.0000">
                  <c:v>0.94741619654900033</c:v>
                </c:pt>
                <c:pt idx="138" formatCode="0.0000">
                  <c:v>0.94919321143060098</c:v>
                </c:pt>
                <c:pt idx="139" formatCode="0.0000">
                  <c:v>0.93769378973517614</c:v>
                </c:pt>
                <c:pt idx="140" formatCode="0.0000">
                  <c:v>1.070260831290555</c:v>
                </c:pt>
                <c:pt idx="141" formatCode="0.0000">
                  <c:v>1.0986866716187114</c:v>
                </c:pt>
                <c:pt idx="142" formatCode="0.0000">
                  <c:v>1.1187262583525359</c:v>
                </c:pt>
                <c:pt idx="143" formatCode="0.0000">
                  <c:v>1.2534079762703276</c:v>
                </c:pt>
                <c:pt idx="144" formatCode="0.0000">
                  <c:v>1.3343743826978347</c:v>
                </c:pt>
                <c:pt idx="145" formatCode="0.0000">
                  <c:v>1.4045418526500104</c:v>
                </c:pt>
                <c:pt idx="146" formatCode="0.0000">
                  <c:v>1.4870696291848555</c:v>
                </c:pt>
                <c:pt idx="147" formatCode="0.0000">
                  <c:v>1.4161251702081767</c:v>
                </c:pt>
                <c:pt idx="148" formatCode="0.0000">
                  <c:v>1.4322351936509026</c:v>
                </c:pt>
                <c:pt idx="149" formatCode="0.0000">
                  <c:v>1.4255367384160533</c:v>
                </c:pt>
                <c:pt idx="150" formatCode="0.0000">
                  <c:v>1.3751250610285684</c:v>
                </c:pt>
                <c:pt idx="151" formatCode="0.0000">
                  <c:v>1.3227151667059414</c:v>
                </c:pt>
                <c:pt idx="152" formatCode="0.0000">
                  <c:v>1.3306259393916329</c:v>
                </c:pt>
                <c:pt idx="153" formatCode="0.0000">
                  <c:v>1.2781466144448406</c:v>
                </c:pt>
                <c:pt idx="154" formatCode="0.0000">
                  <c:v>1.2879349925199792</c:v>
                </c:pt>
                <c:pt idx="155" formatCode="0.0000">
                  <c:v>1.2130200995266158</c:v>
                </c:pt>
                <c:pt idx="156" formatCode="0.0000">
                  <c:v>1.1625962070420166</c:v>
                </c:pt>
                <c:pt idx="157" formatCode="0.0000">
                  <c:v>1.1572983248356199</c:v>
                </c:pt>
                <c:pt idx="158" formatCode="0.0000">
                  <c:v>1.1245839193449139</c:v>
                </c:pt>
                <c:pt idx="159" formatCode="0.0000">
                  <c:v>1.0727098295676429</c:v>
                </c:pt>
                <c:pt idx="160" formatCode="0.0000">
                  <c:v>1.0258932026992593</c:v>
                </c:pt>
                <c:pt idx="161" formatCode="0.0000">
                  <c:v>0.94149110099528988</c:v>
                </c:pt>
                <c:pt idx="162" formatCode="0.0000">
                  <c:v>0.9438442128489738</c:v>
                </c:pt>
                <c:pt idx="163" formatCode="0.0000">
                  <c:v>0.9911129187167439</c:v>
                </c:pt>
                <c:pt idx="164" formatCode="0.0000">
                  <c:v>0.90715003413564888</c:v>
                </c:pt>
                <c:pt idx="165" formatCode="0.0000">
                  <c:v>0.85767788195689376</c:v>
                </c:pt>
                <c:pt idx="166" formatCode="0.0000">
                  <c:v>0.83881935707251976</c:v>
                </c:pt>
                <c:pt idx="167" formatCode="0.0000">
                  <c:v>0.83211552706135083</c:v>
                </c:pt>
                <c:pt idx="168" formatCode="0.0000">
                  <c:v>0.8088953578618252</c:v>
                </c:pt>
                <c:pt idx="169" formatCode="0.0000">
                  <c:v>0.85324427641135259</c:v>
                </c:pt>
                <c:pt idx="170" formatCode="0.0000">
                  <c:v>0.87498982674420589</c:v>
                </c:pt>
                <c:pt idx="171" formatCode="0.0000">
                  <c:v>0.90301274868816173</c:v>
                </c:pt>
                <c:pt idx="172" formatCode="0.0000">
                  <c:v>0.93560742886366122</c:v>
                </c:pt>
                <c:pt idx="173" formatCode="0.0000">
                  <c:v>0.93213369506858279</c:v>
                </c:pt>
                <c:pt idx="174" formatCode="0.0000">
                  <c:v>0.96030925385178623</c:v>
                </c:pt>
                <c:pt idx="175" formatCode="0.0000">
                  <c:v>0.96860568193790419</c:v>
                </c:pt>
                <c:pt idx="176" formatCode="0.0000">
                  <c:v>0.92333857081117598</c:v>
                </c:pt>
                <c:pt idx="177" formatCode="0.0000">
                  <c:v>0.87286184305379722</c:v>
                </c:pt>
                <c:pt idx="178" formatCode="0.0000">
                  <c:v>0.82297227908497061</c:v>
                </c:pt>
                <c:pt idx="179" formatCode="0.0000">
                  <c:v>0.78447205991370816</c:v>
                </c:pt>
                <c:pt idx="180" formatCode="0.0000">
                  <c:v>0.79435730647032021</c:v>
                </c:pt>
                <c:pt idx="181" formatCode="0.0000">
                  <c:v>0.79121768632129275</c:v>
                </c:pt>
                <c:pt idx="182" formatCode="0.0000">
                  <c:v>0.76613163426698228</c:v>
                </c:pt>
                <c:pt idx="183" formatCode="0.0000">
                  <c:v>0.72796773601169762</c:v>
                </c:pt>
                <c:pt idx="184" formatCode="0.0000">
                  <c:v>0.70040855260325718</c:v>
                </c:pt>
                <c:pt idx="185" formatCode="0.0000">
                  <c:v>0.6652265938177121</c:v>
                </c:pt>
                <c:pt idx="186" formatCode="0.0000">
                  <c:v>0.63307121626388707</c:v>
                </c:pt>
                <c:pt idx="187" formatCode="0.0000">
                  <c:v>0.59060497844195681</c:v>
                </c:pt>
                <c:pt idx="188" formatCode="0.0000">
                  <c:v>0.553084560728199</c:v>
                </c:pt>
                <c:pt idx="189" formatCode="0.0000">
                  <c:v>0.59227279590323045</c:v>
                </c:pt>
                <c:pt idx="190" formatCode="0.0000">
                  <c:v>0.62635384223315782</c:v>
                </c:pt>
                <c:pt idx="191" formatCode="0.0000">
                  <c:v>0.63242464157440037</c:v>
                </c:pt>
                <c:pt idx="192" formatCode="0.0000">
                  <c:v>0.65085210009805405</c:v>
                </c:pt>
                <c:pt idx="193" formatCode="0.0000">
                  <c:v>0.74257370798050182</c:v>
                </c:pt>
                <c:pt idx="194" formatCode="0.0000">
                  <c:v>0.80322193608218329</c:v>
                </c:pt>
                <c:pt idx="195" formatCode="0.0000">
                  <c:v>0.84975506330345973</c:v>
                </c:pt>
                <c:pt idx="196" formatCode="0.0000">
                  <c:v>0.89242669398722463</c:v>
                </c:pt>
                <c:pt idx="197" formatCode="0.0000">
                  <c:v>0.91904685507107853</c:v>
                </c:pt>
                <c:pt idx="198" formatCode="0.0000">
                  <c:v>0.96025023391704334</c:v>
                </c:pt>
                <c:pt idx="199" formatCode="0.0000">
                  <c:v>1.0123363428481307</c:v>
                </c:pt>
                <c:pt idx="200" formatCode="0.0000">
                  <c:v>0.99164688495598963</c:v>
                </c:pt>
                <c:pt idx="201" formatCode="0.0000">
                  <c:v>1.0418895576338187</c:v>
                </c:pt>
                <c:pt idx="202" formatCode="0.0000">
                  <c:v>1.0376678433846265</c:v>
                </c:pt>
                <c:pt idx="203" formatCode="0.0000">
                  <c:v>1.0559235683833106</c:v>
                </c:pt>
                <c:pt idx="204" formatCode="0.0000">
                  <c:v>1.0940343488085442</c:v>
                </c:pt>
                <c:pt idx="205" formatCode="0.0000">
                  <c:v>1.1818287349825649</c:v>
                </c:pt>
                <c:pt idx="206" formatCode="0.0000">
                  <c:v>1.279163808182896</c:v>
                </c:pt>
                <c:pt idx="207" formatCode="0.0000">
                  <c:v>1.3828935687656501</c:v>
                </c:pt>
                <c:pt idx="208" formatCode="0.0000">
                  <c:v>1.3609551834385936</c:v>
                </c:pt>
                <c:pt idx="209" formatCode="0.0000">
                  <c:v>1.3925327579453339</c:v>
                </c:pt>
                <c:pt idx="210" formatCode="0.0000">
                  <c:v>1.4237953299050152</c:v>
                </c:pt>
                <c:pt idx="211" formatCode="0.0000">
                  <c:v>1.4315526586573888</c:v>
                </c:pt>
                <c:pt idx="212" formatCode="0.0000">
                  <c:v>1.4051029715728056</c:v>
                </c:pt>
                <c:pt idx="213" formatCode="0.0000">
                  <c:v>1.3959476612101824</c:v>
                </c:pt>
                <c:pt idx="214" formatCode="0.0000">
                  <c:v>1.4142947549252252</c:v>
                </c:pt>
                <c:pt idx="215" formatCode="0.0000">
                  <c:v>1.3944040506684279</c:v>
                </c:pt>
                <c:pt idx="216" formatCode="0.0000">
                  <c:v>1.3989227799959318</c:v>
                </c:pt>
                <c:pt idx="217" formatCode="0.0000">
                  <c:v>1.4395019484868345</c:v>
                </c:pt>
                <c:pt idx="218" formatCode="0.0000">
                  <c:v>1.5319530403530845</c:v>
                </c:pt>
                <c:pt idx="219" formatCode="0.0000">
                  <c:v>1.6468912194290051</c:v>
                </c:pt>
                <c:pt idx="220" formatCode="0.0000">
                  <c:v>1.7674612712743714</c:v>
                </c:pt>
                <c:pt idx="221" formatCode="0.0000">
                  <c:v>1.7451308223387467</c:v>
                </c:pt>
                <c:pt idx="222" formatCode="0.0000">
                  <c:v>1.8083417928563652</c:v>
                </c:pt>
                <c:pt idx="223" formatCode="0.0000">
                  <c:v>1.8069301814292085</c:v>
                </c:pt>
                <c:pt idx="224" formatCode="0.0000">
                  <c:v>1.7964312927640156</c:v>
                </c:pt>
                <c:pt idx="225" formatCode="0.0000">
                  <c:v>1.7583174425939141</c:v>
                </c:pt>
                <c:pt idx="226" formatCode="0.0000">
                  <c:v>1.7856190859804848</c:v>
                </c:pt>
                <c:pt idx="227" formatCode="0.0000">
                  <c:v>1.6974871041478428</c:v>
                </c:pt>
                <c:pt idx="228" formatCode="0.0000">
                  <c:v>1.6890151809824505</c:v>
                </c:pt>
                <c:pt idx="229" formatCode="0.0000">
                  <c:v>1.7750397445228825</c:v>
                </c:pt>
                <c:pt idx="230" formatCode="0.0000">
                  <c:v>1.8115927375329515</c:v>
                </c:pt>
                <c:pt idx="231" formatCode="0.0000">
                  <c:v>1.7997328638267867</c:v>
                </c:pt>
                <c:pt idx="232" formatCode="0.0000">
                  <c:v>1.7787181885000014</c:v>
                </c:pt>
                <c:pt idx="233" formatCode="0.0000">
                  <c:v>1.6658379762836073</c:v>
                </c:pt>
                <c:pt idx="234" formatCode="0.0000">
                  <c:v>1.6386534373777242</c:v>
                </c:pt>
                <c:pt idx="235" formatCode="0.0000">
                  <c:v>1.6139082371411508</c:v>
                </c:pt>
                <c:pt idx="236" formatCode="0.0000">
                  <c:v>1.5152840752029273</c:v>
                </c:pt>
                <c:pt idx="237" formatCode="0.0000">
                  <c:v>1.4965108573146952</c:v>
                </c:pt>
                <c:pt idx="238" formatCode="0.0000">
                  <c:v>1.4746390304585308</c:v>
                </c:pt>
                <c:pt idx="239" formatCode="0.0000">
                  <c:v>1.5147426732886029</c:v>
                </c:pt>
                <c:pt idx="240" formatCode="0.0000">
                  <c:v>1.5253930801964819</c:v>
                </c:pt>
                <c:pt idx="241" formatCode="0.0000">
                  <c:v>1.4799161450473837</c:v>
                </c:pt>
                <c:pt idx="242" formatCode="0.0000">
                  <c:v>1.5098150218416815</c:v>
                </c:pt>
                <c:pt idx="243" formatCode="0.0000">
                  <c:v>1.4750552025183443</c:v>
                </c:pt>
                <c:pt idx="244" formatCode="0.0000">
                  <c:v>1.454011252703431</c:v>
                </c:pt>
                <c:pt idx="245" formatCode="0.0000">
                  <c:v>1.4942870351252697</c:v>
                </c:pt>
                <c:pt idx="246" formatCode="0.0000">
                  <c:v>1.4199296315538807</c:v>
                </c:pt>
                <c:pt idx="247" formatCode="0.0000">
                  <c:v>1.4946547793737832</c:v>
                </c:pt>
                <c:pt idx="248" formatCode="0.0000">
                  <c:v>1.5766170051017758</c:v>
                </c:pt>
                <c:pt idx="249" formatCode="0.0000">
                  <c:v>1.6009121590807716</c:v>
                </c:pt>
                <c:pt idx="250" formatCode="0.0000">
                  <c:v>1.6919676934898897</c:v>
                </c:pt>
                <c:pt idx="251" formatCode="0.0000">
                  <c:v>1.7823382914215082</c:v>
                </c:pt>
                <c:pt idx="252" formatCode="0.0000">
                  <c:v>1.7466739734365946</c:v>
                </c:pt>
                <c:pt idx="253" formatCode="0.0000">
                  <c:v>1.7328121366179892</c:v>
                </c:pt>
                <c:pt idx="254" formatCode="0.0000">
                  <c:v>1.5706832329399387</c:v>
                </c:pt>
                <c:pt idx="255" formatCode="0.0000">
                  <c:v>1.4469738788109081</c:v>
                </c:pt>
                <c:pt idx="256" formatCode="0.0000">
                  <c:v>1.3177837783997888</c:v>
                </c:pt>
                <c:pt idx="257" formatCode="0.0000">
                  <c:v>1.2272034365140798</c:v>
                </c:pt>
                <c:pt idx="258" formatCode="0.0000">
                  <c:v>1.1396540076350061</c:v>
                </c:pt>
                <c:pt idx="259" formatCode="0.0000">
                  <c:v>1.0380226093094487</c:v>
                </c:pt>
                <c:pt idx="260" formatCode="0.0000">
                  <c:v>0.95176553591415114</c:v>
                </c:pt>
                <c:pt idx="261" formatCode="0.0000">
                  <c:v>0.98162922114360363</c:v>
                </c:pt>
                <c:pt idx="262" formatCode="0.0000">
                  <c:v>0.93483206584858436</c:v>
                </c:pt>
                <c:pt idx="263" formatCode="0.0000">
                  <c:v>0.89247815946795106</c:v>
                </c:pt>
                <c:pt idx="264" formatCode="0.0000">
                  <c:v>0.81937432027707757</c:v>
                </c:pt>
                <c:pt idx="265" formatCode="0.0000">
                  <c:v>0.71741647070298442</c:v>
                </c:pt>
                <c:pt idx="266" formatCode="0.0000">
                  <c:v>0.6690406191934295</c:v>
                </c:pt>
                <c:pt idx="267" formatCode="0.0000">
                  <c:v>0.69211812550986329</c:v>
                </c:pt>
                <c:pt idx="268" formatCode="0.0000">
                  <c:v>0.60817199368598351</c:v>
                </c:pt>
                <c:pt idx="269" formatCode="0.0000">
                  <c:v>0.59434978458935483</c:v>
                </c:pt>
                <c:pt idx="270" formatCode="0.0000">
                  <c:v>0.58877669893950413</c:v>
                </c:pt>
                <c:pt idx="271" formatCode="0.0000">
                  <c:v>0.58355251763234983</c:v>
                </c:pt>
                <c:pt idx="272" formatCode="0.0000">
                  <c:v>0.58132579183808808</c:v>
                </c:pt>
                <c:pt idx="273" formatCode="0.0000">
                  <c:v>0.62189947418837099</c:v>
                </c:pt>
                <c:pt idx="274" formatCode="0.0000">
                  <c:v>0.63835350774026267</c:v>
                </c:pt>
                <c:pt idx="275" formatCode="0.0000">
                  <c:v>0.6636162827570492</c:v>
                </c:pt>
                <c:pt idx="276" formatCode="0.0000">
                  <c:v>0.68691491971236562</c:v>
                </c:pt>
                <c:pt idx="277" formatCode="0.0000">
                  <c:v>0.71209676923106924</c:v>
                </c:pt>
                <c:pt idx="278" formatCode="0.0000">
                  <c:v>0.72961113780219888</c:v>
                </c:pt>
                <c:pt idx="279" formatCode="0.0000">
                  <c:v>0.72424965951718256</c:v>
                </c:pt>
                <c:pt idx="280" formatCode="0.0000">
                  <c:v>0.72859728084762987</c:v>
                </c:pt>
                <c:pt idx="281" formatCode="0.0000">
                  <c:v>0.76908710201813524</c:v>
                </c:pt>
                <c:pt idx="282" formatCode="0.0000">
                  <c:v>0.77476856427055174</c:v>
                </c:pt>
                <c:pt idx="283" formatCode="0.0000">
                  <c:v>0.77593689765381202</c:v>
                </c:pt>
                <c:pt idx="284" formatCode="0.0000">
                  <c:v>0.77343143933546254</c:v>
                </c:pt>
                <c:pt idx="285" formatCode="0.0000">
                  <c:v>0.76762884702365886</c:v>
                </c:pt>
                <c:pt idx="286" formatCode="0.0000">
                  <c:v>0.77592552992023411</c:v>
                </c:pt>
                <c:pt idx="287" formatCode="0.0000">
                  <c:v>0.76639277335084033</c:v>
                </c:pt>
                <c:pt idx="288" formatCode="0.0000">
                  <c:v>0.79587281098091012</c:v>
                </c:pt>
                <c:pt idx="289" formatCode="0.0000">
                  <c:v>0.78958660767606936</c:v>
                </c:pt>
                <c:pt idx="290" formatCode="0.0000">
                  <c:v>0.79732871919153225</c:v>
                </c:pt>
                <c:pt idx="291" formatCode="0.0000">
                  <c:v>0.79760831248503095</c:v>
                </c:pt>
                <c:pt idx="292" formatCode="0.0000">
                  <c:v>0.82083593902489471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282-4EAF-A4A7-B0CC15DE9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582964"/>
        <c:axId val="45306696"/>
      </c:lineChart>
      <c:lineChart>
        <c:grouping val="standard"/>
        <c:varyColors val="0"/>
        <c:ser>
          <c:idx val="1"/>
          <c:order val="1"/>
          <c:tx>
            <c:strRef>
              <c:f>'R(t) Województwa'!$CE$2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Województwa'!$CE$3:$CE$1000</c:f>
              <c:numCache>
                <c:formatCode>General</c:formatCode>
                <c:ptCount val="998"/>
                <c:pt idx="4">
                  <c:v>0</c:v>
                </c:pt>
                <c:pt idx="5">
                  <c:v>0.33333333333333331</c:v>
                </c:pt>
                <c:pt idx="6">
                  <c:v>0.7142857142857143</c:v>
                </c:pt>
                <c:pt idx="7">
                  <c:v>1</c:v>
                </c:pt>
                <c:pt idx="8">
                  <c:v>1.1428571428571428</c:v>
                </c:pt>
                <c:pt idx="9">
                  <c:v>1.5714285714285714</c:v>
                </c:pt>
                <c:pt idx="10">
                  <c:v>1.7142857142857142</c:v>
                </c:pt>
                <c:pt idx="11">
                  <c:v>1.7142857142857142</c:v>
                </c:pt>
                <c:pt idx="12">
                  <c:v>1.7142857142857142</c:v>
                </c:pt>
                <c:pt idx="13">
                  <c:v>1.8571428571428572</c:v>
                </c:pt>
                <c:pt idx="14">
                  <c:v>2.4285714285714284</c:v>
                </c:pt>
                <c:pt idx="15">
                  <c:v>3.1428571428571428</c:v>
                </c:pt>
                <c:pt idx="16">
                  <c:v>4.4285714285714288</c:v>
                </c:pt>
                <c:pt idx="17">
                  <c:v>4.8571428571428568</c:v>
                </c:pt>
                <c:pt idx="18">
                  <c:v>6.2857142857142856</c:v>
                </c:pt>
                <c:pt idx="19">
                  <c:v>7.4285714285714288</c:v>
                </c:pt>
                <c:pt idx="20">
                  <c:v>8.4285714285714288</c:v>
                </c:pt>
                <c:pt idx="21">
                  <c:v>9</c:v>
                </c:pt>
                <c:pt idx="22">
                  <c:v>11</c:v>
                </c:pt>
                <c:pt idx="23">
                  <c:v>12.142857142857142</c:v>
                </c:pt>
                <c:pt idx="24">
                  <c:v>13.571428571428571</c:v>
                </c:pt>
                <c:pt idx="25">
                  <c:v>15.571428571428571</c:v>
                </c:pt>
                <c:pt idx="26">
                  <c:v>18.428571428571427</c:v>
                </c:pt>
                <c:pt idx="27">
                  <c:v>18.857142857142858</c:v>
                </c:pt>
                <c:pt idx="28">
                  <c:v>25.285714285714285</c:v>
                </c:pt>
                <c:pt idx="29">
                  <c:v>23.571428571428573</c:v>
                </c:pt>
                <c:pt idx="30">
                  <c:v>24.857142857142858</c:v>
                </c:pt>
                <c:pt idx="31">
                  <c:v>41.428571428571431</c:v>
                </c:pt>
                <c:pt idx="32">
                  <c:v>47.285714285714285</c:v>
                </c:pt>
                <c:pt idx="33">
                  <c:v>48.857142857142854</c:v>
                </c:pt>
                <c:pt idx="34">
                  <c:v>50.428571428571431</c:v>
                </c:pt>
                <c:pt idx="35">
                  <c:v>48.142857142857146</c:v>
                </c:pt>
                <c:pt idx="36">
                  <c:v>53.142857142857146</c:v>
                </c:pt>
                <c:pt idx="37">
                  <c:v>56.285714285714285</c:v>
                </c:pt>
                <c:pt idx="38">
                  <c:v>42.571428571428569</c:v>
                </c:pt>
                <c:pt idx="39">
                  <c:v>40.714285714285715</c:v>
                </c:pt>
                <c:pt idx="40">
                  <c:v>44.142857142857146</c:v>
                </c:pt>
                <c:pt idx="41">
                  <c:v>45.285714285714285</c:v>
                </c:pt>
                <c:pt idx="42">
                  <c:v>48.857142857142854</c:v>
                </c:pt>
                <c:pt idx="43">
                  <c:v>49.142857142857146</c:v>
                </c:pt>
                <c:pt idx="44">
                  <c:v>53.571428571428569</c:v>
                </c:pt>
                <c:pt idx="45">
                  <c:v>69.428571428571431</c:v>
                </c:pt>
                <c:pt idx="46">
                  <c:v>65.571428571428569</c:v>
                </c:pt>
                <c:pt idx="47">
                  <c:v>76.285714285714292</c:v>
                </c:pt>
                <c:pt idx="48">
                  <c:v>81.714285714285708</c:v>
                </c:pt>
                <c:pt idx="49">
                  <c:v>80.285714285714292</c:v>
                </c:pt>
                <c:pt idx="50">
                  <c:v>80.428571428571431</c:v>
                </c:pt>
                <c:pt idx="51">
                  <c:v>73.714285714285708</c:v>
                </c:pt>
                <c:pt idx="52">
                  <c:v>66.857142857142861</c:v>
                </c:pt>
                <c:pt idx="53">
                  <c:v>72.857142857142861</c:v>
                </c:pt>
                <c:pt idx="54">
                  <c:v>63.428571428571431</c:v>
                </c:pt>
                <c:pt idx="55">
                  <c:v>59.285714285714285</c:v>
                </c:pt>
                <c:pt idx="56">
                  <c:v>65</c:v>
                </c:pt>
                <c:pt idx="57">
                  <c:v>81.142857142857139</c:v>
                </c:pt>
                <c:pt idx="58">
                  <c:v>93.285714285714292</c:v>
                </c:pt>
                <c:pt idx="59">
                  <c:v>99.571428571428569</c:v>
                </c:pt>
                <c:pt idx="60">
                  <c:v>99.428571428571431</c:v>
                </c:pt>
                <c:pt idx="61">
                  <c:v>107.42857142857143</c:v>
                </c:pt>
                <c:pt idx="62">
                  <c:v>112.85714285714286</c:v>
                </c:pt>
                <c:pt idx="63">
                  <c:v>118.57142857142857</c:v>
                </c:pt>
                <c:pt idx="64">
                  <c:v>118.28571428571429</c:v>
                </c:pt>
                <c:pt idx="65">
                  <c:v>117.71428571428571</c:v>
                </c:pt>
                <c:pt idx="66">
                  <c:v>123.14285714285714</c:v>
                </c:pt>
                <c:pt idx="67">
                  <c:v>136</c:v>
                </c:pt>
                <c:pt idx="68">
                  <c:v>141.85714285714286</c:v>
                </c:pt>
                <c:pt idx="69">
                  <c:v>160.85714285714286</c:v>
                </c:pt>
                <c:pt idx="70">
                  <c:v>206.42857142857142</c:v>
                </c:pt>
                <c:pt idx="71">
                  <c:v>207.85714285714286</c:v>
                </c:pt>
                <c:pt idx="72">
                  <c:v>234.42857142857142</c:v>
                </c:pt>
                <c:pt idx="73">
                  <c:v>250.71428571428572</c:v>
                </c:pt>
                <c:pt idx="74">
                  <c:v>252</c:v>
                </c:pt>
                <c:pt idx="75">
                  <c:v>253.28571428571428</c:v>
                </c:pt>
                <c:pt idx="76">
                  <c:v>252.14285714285714</c:v>
                </c:pt>
                <c:pt idx="77">
                  <c:v>225</c:v>
                </c:pt>
                <c:pt idx="78">
                  <c:v>240.42857142857142</c:v>
                </c:pt>
                <c:pt idx="79">
                  <c:v>233.14285714285714</c:v>
                </c:pt>
                <c:pt idx="80">
                  <c:v>232</c:v>
                </c:pt>
                <c:pt idx="81">
                  <c:v>234</c:v>
                </c:pt>
                <c:pt idx="82">
                  <c:v>234.71428571428572</c:v>
                </c:pt>
                <c:pt idx="83">
                  <c:v>228</c:v>
                </c:pt>
                <c:pt idx="84">
                  <c:v>229.57142857142858</c:v>
                </c:pt>
                <c:pt idx="85">
                  <c:v>215.42857142857142</c:v>
                </c:pt>
                <c:pt idx="86">
                  <c:v>199.28571428571428</c:v>
                </c:pt>
                <c:pt idx="87">
                  <c:v>185.85714285714286</c:v>
                </c:pt>
                <c:pt idx="88">
                  <c:v>192.85714285714286</c:v>
                </c:pt>
                <c:pt idx="89">
                  <c:v>181.42857142857142</c:v>
                </c:pt>
                <c:pt idx="90">
                  <c:v>186.85714285714286</c:v>
                </c:pt>
                <c:pt idx="91">
                  <c:v>163.28571428571428</c:v>
                </c:pt>
                <c:pt idx="92">
                  <c:v>153.71428571428572</c:v>
                </c:pt>
                <c:pt idx="93">
                  <c:v>151.14285714285714</c:v>
                </c:pt>
                <c:pt idx="94">
                  <c:v>149.14285714285714</c:v>
                </c:pt>
                <c:pt idx="95">
                  <c:v>166.71428571428572</c:v>
                </c:pt>
                <c:pt idx="96">
                  <c:v>198.14285714285714</c:v>
                </c:pt>
                <c:pt idx="97">
                  <c:v>216.71428571428572</c:v>
                </c:pt>
                <c:pt idx="98">
                  <c:v>220.71428571428572</c:v>
                </c:pt>
                <c:pt idx="99">
                  <c:v>216</c:v>
                </c:pt>
                <c:pt idx="100">
                  <c:v>221.28571428571428</c:v>
                </c:pt>
                <c:pt idx="101">
                  <c:v>215.71428571428572</c:v>
                </c:pt>
                <c:pt idx="102">
                  <c:v>195.42857142857142</c:v>
                </c:pt>
                <c:pt idx="103">
                  <c:v>171.85714285714286</c:v>
                </c:pt>
                <c:pt idx="104">
                  <c:v>152.14285714285714</c:v>
                </c:pt>
                <c:pt idx="105">
                  <c:v>163.42857142857142</c:v>
                </c:pt>
                <c:pt idx="106">
                  <c:v>175.14285714285714</c:v>
                </c:pt>
                <c:pt idx="107">
                  <c:v>165.28571428571428</c:v>
                </c:pt>
                <c:pt idx="108">
                  <c:v>158.57142857142858</c:v>
                </c:pt>
                <c:pt idx="109">
                  <c:v>145</c:v>
                </c:pt>
                <c:pt idx="110">
                  <c:v>140.42857142857142</c:v>
                </c:pt>
                <c:pt idx="111">
                  <c:v>132.14285714285714</c:v>
                </c:pt>
                <c:pt idx="112">
                  <c:v>119.71428571428571</c:v>
                </c:pt>
                <c:pt idx="113">
                  <c:v>112.57142857142857</c:v>
                </c:pt>
                <c:pt idx="114">
                  <c:v>117.85714285714286</c:v>
                </c:pt>
                <c:pt idx="115">
                  <c:v>118.57142857142857</c:v>
                </c:pt>
                <c:pt idx="116">
                  <c:v>113.85714285714286</c:v>
                </c:pt>
                <c:pt idx="117">
                  <c:v>99.857142857142861</c:v>
                </c:pt>
                <c:pt idx="118">
                  <c:v>92.428571428571431</c:v>
                </c:pt>
                <c:pt idx="119">
                  <c:v>86</c:v>
                </c:pt>
                <c:pt idx="120">
                  <c:v>94.714285714285708</c:v>
                </c:pt>
                <c:pt idx="121">
                  <c:v>98</c:v>
                </c:pt>
                <c:pt idx="122">
                  <c:v>95.714285714285708</c:v>
                </c:pt>
                <c:pt idx="123">
                  <c:v>97.428571428571431</c:v>
                </c:pt>
                <c:pt idx="124">
                  <c:v>105.57142857142857</c:v>
                </c:pt>
                <c:pt idx="125">
                  <c:v>101.42857142857143</c:v>
                </c:pt>
                <c:pt idx="126">
                  <c:v>102.42857142857143</c:v>
                </c:pt>
                <c:pt idx="127">
                  <c:v>92</c:v>
                </c:pt>
                <c:pt idx="128">
                  <c:v>82.857142857142861</c:v>
                </c:pt>
                <c:pt idx="129">
                  <c:v>84</c:v>
                </c:pt>
                <c:pt idx="130">
                  <c:v>81.714285714285708</c:v>
                </c:pt>
                <c:pt idx="131">
                  <c:v>77.428571428571431</c:v>
                </c:pt>
                <c:pt idx="132">
                  <c:v>79.714285714285708</c:v>
                </c:pt>
                <c:pt idx="133">
                  <c:v>77</c:v>
                </c:pt>
                <c:pt idx="134">
                  <c:v>76.142857142857139</c:v>
                </c:pt>
                <c:pt idx="135">
                  <c:v>76.857142857142861</c:v>
                </c:pt>
                <c:pt idx="136">
                  <c:v>76.571428571428569</c:v>
                </c:pt>
                <c:pt idx="137">
                  <c:v>80</c:v>
                </c:pt>
                <c:pt idx="138">
                  <c:v>79.714285714285708</c:v>
                </c:pt>
                <c:pt idx="139">
                  <c:v>78.285714285714292</c:v>
                </c:pt>
                <c:pt idx="140">
                  <c:v>88</c:v>
                </c:pt>
                <c:pt idx="141">
                  <c:v>91.285714285714292</c:v>
                </c:pt>
                <c:pt idx="142">
                  <c:v>94.285714285714292</c:v>
                </c:pt>
                <c:pt idx="143">
                  <c:v>108.28571428571429</c:v>
                </c:pt>
                <c:pt idx="144">
                  <c:v>120.71428571428571</c:v>
                </c:pt>
                <c:pt idx="145">
                  <c:v>131.85714285714286</c:v>
                </c:pt>
                <c:pt idx="146">
                  <c:v>145.42857142857142</c:v>
                </c:pt>
                <c:pt idx="147">
                  <c:v>148.42857142857142</c:v>
                </c:pt>
                <c:pt idx="148">
                  <c:v>158.42857142857142</c:v>
                </c:pt>
                <c:pt idx="149">
                  <c:v>165.57142857142858</c:v>
                </c:pt>
                <c:pt idx="150">
                  <c:v>171.71428571428572</c:v>
                </c:pt>
                <c:pt idx="151">
                  <c:v>175.42857142857142</c:v>
                </c:pt>
                <c:pt idx="152">
                  <c:v>183.71428571428572</c:v>
                </c:pt>
                <c:pt idx="153">
                  <c:v>183.14285714285714</c:v>
                </c:pt>
                <c:pt idx="154">
                  <c:v>191.85714285714286</c:v>
                </c:pt>
                <c:pt idx="155">
                  <c:v>187.42857142857142</c:v>
                </c:pt>
                <c:pt idx="156">
                  <c:v>184.14285714285714</c:v>
                </c:pt>
                <c:pt idx="157">
                  <c:v>188.71428571428572</c:v>
                </c:pt>
                <c:pt idx="158">
                  <c:v>187.85714285714286</c:v>
                </c:pt>
                <c:pt idx="159">
                  <c:v>181.85714285714286</c:v>
                </c:pt>
                <c:pt idx="160">
                  <c:v>175</c:v>
                </c:pt>
                <c:pt idx="161">
                  <c:v>161.57142857142858</c:v>
                </c:pt>
                <c:pt idx="162">
                  <c:v>160.57142857142858</c:v>
                </c:pt>
                <c:pt idx="163">
                  <c:v>166.85714285714286</c:v>
                </c:pt>
                <c:pt idx="164">
                  <c:v>152.71428571428572</c:v>
                </c:pt>
                <c:pt idx="165">
                  <c:v>142</c:v>
                </c:pt>
                <c:pt idx="166">
                  <c:v>136.14285714285714</c:v>
                </c:pt>
                <c:pt idx="167">
                  <c:v>133</c:v>
                </c:pt>
                <c:pt idx="168">
                  <c:v>126.85714285714286</c:v>
                </c:pt>
                <c:pt idx="169">
                  <c:v>129</c:v>
                </c:pt>
                <c:pt idx="170">
                  <c:v>128.28571428571428</c:v>
                </c:pt>
                <c:pt idx="171">
                  <c:v>129.42857142857142</c:v>
                </c:pt>
                <c:pt idx="172">
                  <c:v>132.28571428571428</c:v>
                </c:pt>
                <c:pt idx="173">
                  <c:v>130.71428571428572</c:v>
                </c:pt>
                <c:pt idx="174">
                  <c:v>133.85714285714286</c:v>
                </c:pt>
                <c:pt idx="175">
                  <c:v>134.42857142857142</c:v>
                </c:pt>
                <c:pt idx="176">
                  <c:v>127.85714285714286</c:v>
                </c:pt>
                <c:pt idx="177">
                  <c:v>119.57142857142857</c:v>
                </c:pt>
                <c:pt idx="178">
                  <c:v>110.42857142857143</c:v>
                </c:pt>
                <c:pt idx="179">
                  <c:v>102.14285714285714</c:v>
                </c:pt>
                <c:pt idx="180">
                  <c:v>100.57142857142857</c:v>
                </c:pt>
                <c:pt idx="181">
                  <c:v>97.571428571428569</c:v>
                </c:pt>
                <c:pt idx="182">
                  <c:v>92.428571428571431</c:v>
                </c:pt>
                <c:pt idx="183">
                  <c:v>85.142857142857139</c:v>
                </c:pt>
                <c:pt idx="184">
                  <c:v>78.428571428571431</c:v>
                </c:pt>
                <c:pt idx="185">
                  <c:v>71.285714285714292</c:v>
                </c:pt>
                <c:pt idx="186">
                  <c:v>64.571428571428569</c:v>
                </c:pt>
                <c:pt idx="187">
                  <c:v>57.285714285714285</c:v>
                </c:pt>
                <c:pt idx="188">
                  <c:v>50.714285714285715</c:v>
                </c:pt>
                <c:pt idx="189">
                  <c:v>50.571428571428569</c:v>
                </c:pt>
                <c:pt idx="190">
                  <c:v>49.714285714285715</c:v>
                </c:pt>
                <c:pt idx="191">
                  <c:v>46.857142857142854</c:v>
                </c:pt>
                <c:pt idx="192">
                  <c:v>45.571428571428569</c:v>
                </c:pt>
                <c:pt idx="193">
                  <c:v>49</c:v>
                </c:pt>
                <c:pt idx="194">
                  <c:v>51.571428571428569</c:v>
                </c:pt>
                <c:pt idx="195">
                  <c:v>53.571428571428569</c:v>
                </c:pt>
                <c:pt idx="196">
                  <c:v>55</c:v>
                </c:pt>
                <c:pt idx="197">
                  <c:v>55.714285714285715</c:v>
                </c:pt>
                <c:pt idx="198">
                  <c:v>57.571428571428569</c:v>
                </c:pt>
                <c:pt idx="199">
                  <c:v>60.428571428571431</c:v>
                </c:pt>
                <c:pt idx="200">
                  <c:v>59.285714285714285</c:v>
                </c:pt>
                <c:pt idx="201">
                  <c:v>62.285714285714285</c:v>
                </c:pt>
                <c:pt idx="202">
                  <c:v>62.285714285714285</c:v>
                </c:pt>
                <c:pt idx="203">
                  <c:v>63.714285714285715</c:v>
                </c:pt>
                <c:pt idx="204">
                  <c:v>66.571428571428569</c:v>
                </c:pt>
                <c:pt idx="205">
                  <c:v>73.142857142857139</c:v>
                </c:pt>
                <c:pt idx="206">
                  <c:v>81.857142857142861</c:v>
                </c:pt>
                <c:pt idx="207">
                  <c:v>92.857142857142861</c:v>
                </c:pt>
                <c:pt idx="208">
                  <c:v>95.571428571428569</c:v>
                </c:pt>
                <c:pt idx="209">
                  <c:v>101</c:v>
                </c:pt>
                <c:pt idx="210">
                  <c:v>108.42857142857143</c:v>
                </c:pt>
                <c:pt idx="211">
                  <c:v>115</c:v>
                </c:pt>
                <c:pt idx="212">
                  <c:v>120.42857142857143</c:v>
                </c:pt>
                <c:pt idx="213">
                  <c:v>128</c:v>
                </c:pt>
                <c:pt idx="214">
                  <c:v>139.42857142857142</c:v>
                </c:pt>
                <c:pt idx="215">
                  <c:v>143.28571428571428</c:v>
                </c:pt>
                <c:pt idx="216">
                  <c:v>149.28571428571428</c:v>
                </c:pt>
                <c:pt idx="217">
                  <c:v>162.71428571428572</c:v>
                </c:pt>
                <c:pt idx="218">
                  <c:v>185.28571428571428</c:v>
                </c:pt>
                <c:pt idx="219">
                  <c:v>217.71428571428572</c:v>
                </c:pt>
                <c:pt idx="220">
                  <c:v>262.14285714285717</c:v>
                </c:pt>
                <c:pt idx="221">
                  <c:v>289.42857142857144</c:v>
                </c:pt>
                <c:pt idx="222">
                  <c:v>322.85714285714283</c:v>
                </c:pt>
                <c:pt idx="223">
                  <c:v>342.42857142857144</c:v>
                </c:pt>
                <c:pt idx="224">
                  <c:v>374.28571428571428</c:v>
                </c:pt>
                <c:pt idx="225">
                  <c:v>407.71428571428572</c:v>
                </c:pt>
                <c:pt idx="226">
                  <c:v>471.57142857142856</c:v>
                </c:pt>
                <c:pt idx="227">
                  <c:v>511.42857142857144</c:v>
                </c:pt>
                <c:pt idx="228">
                  <c:v>561.85714285714289</c:v>
                </c:pt>
                <c:pt idx="229">
                  <c:v>650.42857142857144</c:v>
                </c:pt>
                <c:pt idx="230">
                  <c:v>710.85714285714289</c:v>
                </c:pt>
                <c:pt idx="231">
                  <c:v>775.71428571428567</c:v>
                </c:pt>
                <c:pt idx="232">
                  <c:v>845.42857142857144</c:v>
                </c:pt>
                <c:pt idx="233">
                  <c:v>894.85714285714289</c:v>
                </c:pt>
                <c:pt idx="234">
                  <c:v>971.42857142857144</c:v>
                </c:pt>
                <c:pt idx="235">
                  <c:v>1042.4285714285713</c:v>
                </c:pt>
                <c:pt idx="236">
                  <c:v>1065.2857142857142</c:v>
                </c:pt>
                <c:pt idx="237">
                  <c:v>1110.5714285714287</c:v>
                </c:pt>
                <c:pt idx="238">
                  <c:v>1168.1428571428571</c:v>
                </c:pt>
                <c:pt idx="239">
                  <c:v>1291</c:v>
                </c:pt>
                <c:pt idx="240">
                  <c:v>1409</c:v>
                </c:pt>
                <c:pt idx="241">
                  <c:v>1474.1428571428571</c:v>
                </c:pt>
                <c:pt idx="242">
                  <c:v>1618.7142857142858</c:v>
                </c:pt>
                <c:pt idx="243">
                  <c:v>1670</c:v>
                </c:pt>
                <c:pt idx="244">
                  <c:v>1721.4285714285713</c:v>
                </c:pt>
                <c:pt idx="245">
                  <c:v>1879.8571428571429</c:v>
                </c:pt>
                <c:pt idx="246">
                  <c:v>1922.2857142857142</c:v>
                </c:pt>
                <c:pt idx="247">
                  <c:v>2187.4285714285716</c:v>
                </c:pt>
                <c:pt idx="248">
                  <c:v>2499</c:v>
                </c:pt>
                <c:pt idx="249">
                  <c:v>2787</c:v>
                </c:pt>
                <c:pt idx="250">
                  <c:v>3180.1428571428573</c:v>
                </c:pt>
                <c:pt idx="251">
                  <c:v>3610.2857142857142</c:v>
                </c:pt>
                <c:pt idx="252">
                  <c:v>3877.2857142857142</c:v>
                </c:pt>
                <c:pt idx="253">
                  <c:v>4148.8571428571431</c:v>
                </c:pt>
                <c:pt idx="254">
                  <c:v>4157.5714285714284</c:v>
                </c:pt>
                <c:pt idx="255">
                  <c:v>4143.1428571428569</c:v>
                </c:pt>
                <c:pt idx="256">
                  <c:v>4023.5714285714284</c:v>
                </c:pt>
                <c:pt idx="257">
                  <c:v>3928</c:v>
                </c:pt>
                <c:pt idx="258">
                  <c:v>3777.8571428571427</c:v>
                </c:pt>
                <c:pt idx="259">
                  <c:v>3515.8571428571427</c:v>
                </c:pt>
                <c:pt idx="260">
                  <c:v>3251.2857142857142</c:v>
                </c:pt>
                <c:pt idx="261">
                  <c:v>3317.8571428571427</c:v>
                </c:pt>
                <c:pt idx="262">
                  <c:v>3150</c:v>
                </c:pt>
                <c:pt idx="263">
                  <c:v>2980</c:v>
                </c:pt>
                <c:pt idx="264">
                  <c:v>2699.2857142857142</c:v>
                </c:pt>
                <c:pt idx="265">
                  <c:v>2323.8571428571427</c:v>
                </c:pt>
                <c:pt idx="266">
                  <c:v>2110</c:v>
                </c:pt>
                <c:pt idx="267">
                  <c:v>2071</c:v>
                </c:pt>
                <c:pt idx="268">
                  <c:v>1706.2857142857142</c:v>
                </c:pt>
                <c:pt idx="269">
                  <c:v>1548.2857142857142</c:v>
                </c:pt>
                <c:pt idx="270">
                  <c:v>1425.2857142857142</c:v>
                </c:pt>
                <c:pt idx="271">
                  <c:v>1334.7142857142858</c:v>
                </c:pt>
                <c:pt idx="272">
                  <c:v>1295.7142857142858</c:v>
                </c:pt>
                <c:pt idx="273">
                  <c:v>1315.5714285714287</c:v>
                </c:pt>
                <c:pt idx="274">
                  <c:v>1251.7142857142858</c:v>
                </c:pt>
                <c:pt idx="275">
                  <c:v>1209.8571428571429</c:v>
                </c:pt>
                <c:pt idx="276">
                  <c:v>1180.5714285714287</c:v>
                </c:pt>
                <c:pt idx="277">
                  <c:v>1163.5714285714287</c:v>
                </c:pt>
                <c:pt idx="278">
                  <c:v>1153.7142857142858</c:v>
                </c:pt>
                <c:pt idx="279">
                  <c:v>1131.4285714285713</c:v>
                </c:pt>
                <c:pt idx="280">
                  <c:v>1098.2857142857142</c:v>
                </c:pt>
                <c:pt idx="281">
                  <c:v>1094.1428571428571</c:v>
                </c:pt>
                <c:pt idx="282">
                  <c:v>1054.1428571428571</c:v>
                </c:pt>
                <c:pt idx="283">
                  <c:v>1014.8571428571429</c:v>
                </c:pt>
                <c:pt idx="284">
                  <c:v>973.42857142857144</c:v>
                </c:pt>
                <c:pt idx="285">
                  <c:v>939.14285714285711</c:v>
                </c:pt>
                <c:pt idx="286">
                  <c:v>940.14285714285711</c:v>
                </c:pt>
                <c:pt idx="287">
                  <c:v>905.28571428571433</c:v>
                </c:pt>
                <c:pt idx="288">
                  <c:v>887.42857142857144</c:v>
                </c:pt>
                <c:pt idx="289">
                  <c:v>846.42857142857144</c:v>
                </c:pt>
                <c:pt idx="290">
                  <c:v>823.28571428571433</c:v>
                </c:pt>
                <c:pt idx="291">
                  <c:v>796.14285714285711</c:v>
                </c:pt>
                <c:pt idx="292">
                  <c:v>799.85714285714289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282-4EAF-A4A7-B0CC15DE9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6280278"/>
        <c:axId val="2070710941"/>
      </c:lineChart>
      <c:dateAx>
        <c:axId val="15175829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45306696"/>
        <c:crosses val="autoZero"/>
        <c:auto val="1"/>
        <c:lblOffset val="100"/>
        <c:baseTimeUnit val="days"/>
      </c:dateAx>
      <c:valAx>
        <c:axId val="45306696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517582964"/>
        <c:crosses val="autoZero"/>
        <c:crossBetween val="between"/>
      </c:valAx>
      <c:dateAx>
        <c:axId val="946280278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2070710941"/>
        <c:crosses val="autoZero"/>
        <c:auto val="1"/>
        <c:lblOffset val="100"/>
        <c:baseTimeUnit val="days"/>
      </c:dateAx>
      <c:valAx>
        <c:axId val="207071094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94628027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Świętokrzyskiego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Województwa'!$CP$2</c:f>
              <c:strCache>
                <c:ptCount val="1"/>
                <c:pt idx="0">
                  <c:v>Świętokrzyskie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Województwa'!$CP$3:$CP$1000</c:f>
              <c:numCache>
                <c:formatCode>General</c:formatCode>
                <c:ptCount val="998"/>
                <c:pt idx="36" formatCode="0.0000">
                  <c:v>0.52184307759182869</c:v>
                </c:pt>
                <c:pt idx="37" formatCode="0.0000">
                  <c:v>0.34093620204115715</c:v>
                </c:pt>
                <c:pt idx="38" formatCode="0.0000">
                  <c:v>0.25759924163112585</c:v>
                </c:pt>
                <c:pt idx="39" formatCode="0.0000">
                  <c:v>0.34994340988519829</c:v>
                </c:pt>
                <c:pt idx="40" formatCode="0.0000">
                  <c:v>0.39033266044375658</c:v>
                </c:pt>
                <c:pt idx="41" formatCode="0.0000">
                  <c:v>0.32527721703646389</c:v>
                </c:pt>
                <c:pt idx="42" formatCode="0.0000">
                  <c:v>0.53431781946797041</c:v>
                </c:pt>
                <c:pt idx="43" formatCode="0.0000">
                  <c:v>0.74240205189257957</c:v>
                </c:pt>
                <c:pt idx="44" formatCode="0.0000">
                  <c:v>0.79703215714992537</c:v>
                </c:pt>
                <c:pt idx="45" formatCode="0.0000">
                  <c:v>1.0825223239210278</c:v>
                </c:pt>
                <c:pt idx="46" formatCode="0.0000">
                  <c:v>1.1364458000214726</c:v>
                </c:pt>
                <c:pt idx="47" formatCode="0.0000">
                  <c:v>1.1579847710040707</c:v>
                </c:pt>
                <c:pt idx="48" formatCode="0.0000">
                  <c:v>1.4125800133431652</c:v>
                </c:pt>
                <c:pt idx="49" formatCode="0.0000">
                  <c:v>1.3052519084330478</c:v>
                </c:pt>
                <c:pt idx="50" formatCode="0.0000">
                  <c:v>1.1432153959183802</c:v>
                </c:pt>
                <c:pt idx="51" formatCode="0.0000">
                  <c:v>1.0794286675547682</c:v>
                </c:pt>
                <c:pt idx="52" formatCode="0.0000">
                  <c:v>0.8753724169698831</c:v>
                </c:pt>
                <c:pt idx="53" formatCode="0.0000">
                  <c:v>0.74841917134777369</c:v>
                </c:pt>
                <c:pt idx="54" formatCode="0.0000">
                  <c:v>0.70482688172587282</c:v>
                </c:pt>
                <c:pt idx="55" formatCode="0.0000">
                  <c:v>0.51236769427862849</c:v>
                </c:pt>
                <c:pt idx="56" formatCode="0.0000">
                  <c:v>0.43177919114589136</c:v>
                </c:pt>
                <c:pt idx="57" formatCode="0.0000">
                  <c:v>0.35991149524064625</c:v>
                </c:pt>
                <c:pt idx="58" formatCode="0.0000">
                  <c:v>0.45379161229404641</c:v>
                </c:pt>
                <c:pt idx="59" formatCode="0.0000">
                  <c:v>0.35936836456339138</c:v>
                </c:pt>
                <c:pt idx="60" formatCode="0.0000">
                  <c:v>0.37535632771800886</c:v>
                </c:pt>
                <c:pt idx="61" formatCode="0.0000">
                  <c:v>0.57448733273335273</c:v>
                </c:pt>
                <c:pt idx="62" formatCode="0.0000">
                  <c:v>0.64373612137888003</c:v>
                </c:pt>
                <c:pt idx="63" formatCode="0.0000">
                  <c:v>1.1742372544196387</c:v>
                </c:pt>
                <c:pt idx="64" formatCode="0.0000">
                  <c:v>1.1255082193303956</c:v>
                </c:pt>
                <c:pt idx="65" formatCode="0.0000">
                  <c:v>1.0978388892316944</c:v>
                </c:pt>
                <c:pt idx="66" formatCode="0.0000">
                  <c:v>1.3536890054558339</c:v>
                </c:pt>
                <c:pt idx="67" formatCode="0.0000">
                  <c:v>1.5510385935370492</c:v>
                </c:pt>
                <c:pt idx="68" formatCode="0.0000">
                  <c:v>1.3891078045962135</c:v>
                </c:pt>
                <c:pt idx="69" formatCode="0.0000">
                  <c:v>1.2577229610588365</c:v>
                </c:pt>
                <c:pt idx="70" formatCode="0.0000">
                  <c:v>0.74609485901003381</c:v>
                </c:pt>
                <c:pt idx="71" formatCode="0.0000">
                  <c:v>1.0209924671572239</c:v>
                </c:pt>
                <c:pt idx="72" formatCode="0.0000">
                  <c:v>0.94107697095300746</c:v>
                </c:pt>
                <c:pt idx="73" formatCode="0.0000">
                  <c:v>0.77966219398432746</c:v>
                </c:pt>
                <c:pt idx="74" formatCode="0.0000">
                  <c:v>0.58286667634140366</c:v>
                </c:pt>
                <c:pt idx="75" formatCode="0.0000">
                  <c:v>0.48887839852362797</c:v>
                </c:pt>
                <c:pt idx="76" formatCode="0.0000">
                  <c:v>0.96575873874323626</c:v>
                </c:pt>
                <c:pt idx="77" formatCode="0.0000">
                  <c:v>0.91179129387778401</c:v>
                </c:pt>
                <c:pt idx="78" formatCode="0.0000">
                  <c:v>0.78301001161176043</c:v>
                </c:pt>
                <c:pt idx="79" formatCode="0.0000">
                  <c:v>0.92865166468962479</c:v>
                </c:pt>
                <c:pt idx="80" formatCode="0.0000">
                  <c:v>1.0157628735626951</c:v>
                </c:pt>
                <c:pt idx="81" formatCode="0.0000">
                  <c:v>1.262337420830099</c:v>
                </c:pt>
                <c:pt idx="82" formatCode="0.0000">
                  <c:v>1.4775894033607455</c:v>
                </c:pt>
                <c:pt idx="83" formatCode="0.0000">
                  <c:v>1.2874531062962298</c:v>
                </c:pt>
                <c:pt idx="84" formatCode="0.0000">
                  <c:v>1.4304279708955483</c:v>
                </c:pt>
                <c:pt idx="85" formatCode="0.0000">
                  <c:v>1.5027934111583325</c:v>
                </c:pt>
                <c:pt idx="86" formatCode="0.0000">
                  <c:v>1.8988073044830949</c:v>
                </c:pt>
                <c:pt idx="87" formatCode="0.0000">
                  <c:v>1.8302025979382646</c:v>
                </c:pt>
                <c:pt idx="88" formatCode="0.0000">
                  <c:v>2.116039306741528</c:v>
                </c:pt>
                <c:pt idx="89" formatCode="0.0000">
                  <c:v>1.9826247415273386</c:v>
                </c:pt>
                <c:pt idx="90" formatCode="0.0000">
                  <c:v>1.7705855240302846</c:v>
                </c:pt>
                <c:pt idx="91" formatCode="0.0000">
                  <c:v>1.6886428150838309</c:v>
                </c:pt>
                <c:pt idx="92" formatCode="0.0000">
                  <c:v>1.5966533032885406</c:v>
                </c:pt>
                <c:pt idx="93" formatCode="0.0000">
                  <c:v>1.1835944823086739</c:v>
                </c:pt>
                <c:pt idx="94" formatCode="0.0000">
                  <c:v>1.0851478738470772</c:v>
                </c:pt>
                <c:pt idx="95" formatCode="0.0000">
                  <c:v>0.5695459930865413</c:v>
                </c:pt>
                <c:pt idx="96" formatCode="0.0000">
                  <c:v>0.48770857577008414</c:v>
                </c:pt>
                <c:pt idx="97" formatCode="0.0000">
                  <c:v>1.2686080209377042</c:v>
                </c:pt>
                <c:pt idx="98" formatCode="0.0000">
                  <c:v>1.3499209057944979</c:v>
                </c:pt>
                <c:pt idx="99" formatCode="0.0000">
                  <c:v>1.3565472480337111</c:v>
                </c:pt>
                <c:pt idx="100" formatCode="0.0000">
                  <c:v>1.2890540349879374</c:v>
                </c:pt>
                <c:pt idx="101" formatCode="0.0000">
                  <c:v>1.4209549453100634</c:v>
                </c:pt>
                <c:pt idx="102" formatCode="0.0000">
                  <c:v>1.3975889316642394</c:v>
                </c:pt>
                <c:pt idx="103" formatCode="0.0000">
                  <c:v>1.5926891122690741</c:v>
                </c:pt>
                <c:pt idx="104" formatCode="0.0000">
                  <c:v>0.93676103721558079</c:v>
                </c:pt>
                <c:pt idx="105" formatCode="0.0000">
                  <c:v>0.91037169715829214</c:v>
                </c:pt>
                <c:pt idx="106" formatCode="0.0000">
                  <c:v>1.0725076735285211</c:v>
                </c:pt>
                <c:pt idx="107" formatCode="0.0000">
                  <c:v>1.2210296922568875</c:v>
                </c:pt>
                <c:pt idx="108" formatCode="0.0000">
                  <c:v>1.194720057414038</c:v>
                </c:pt>
                <c:pt idx="109" formatCode="0.0000">
                  <c:v>1.2910811143604308</c:v>
                </c:pt>
                <c:pt idx="110" formatCode="0.0000">
                  <c:v>1.1643749331024733</c:v>
                </c:pt>
                <c:pt idx="111" formatCode="0.0000">
                  <c:v>1.1494401629885833</c:v>
                </c:pt>
                <c:pt idx="112" formatCode="0.0000">
                  <c:v>1.024628671565186</c:v>
                </c:pt>
                <c:pt idx="113" formatCode="0.0000">
                  <c:v>1.0112143505919042</c:v>
                </c:pt>
                <c:pt idx="114" formatCode="0.0000">
                  <c:v>0.89585511209563795</c:v>
                </c:pt>
                <c:pt idx="115" formatCode="0.0000">
                  <c:v>0.8005387806135511</c:v>
                </c:pt>
                <c:pt idx="116" formatCode="0.0000">
                  <c:v>0.87426220309866909</c:v>
                </c:pt>
                <c:pt idx="117" formatCode="0.0000">
                  <c:v>0.93913911763198077</c:v>
                </c:pt>
                <c:pt idx="118" formatCode="0.0000">
                  <c:v>0.94278287490541768</c:v>
                </c:pt>
                <c:pt idx="119" formatCode="0.0000">
                  <c:v>1.0221019721638454</c:v>
                </c:pt>
                <c:pt idx="120" formatCode="0.0000">
                  <c:v>0.79388146839336393</c:v>
                </c:pt>
                <c:pt idx="121" formatCode="0.0000">
                  <c:v>0.80264373539262135</c:v>
                </c:pt>
                <c:pt idx="122" formatCode="0.0000">
                  <c:v>0.97714917741825069</c:v>
                </c:pt>
                <c:pt idx="123" formatCode="0.0000">
                  <c:v>0.80956157987202904</c:v>
                </c:pt>
                <c:pt idx="124" formatCode="0.0000">
                  <c:v>0.75816184511314944</c:v>
                </c:pt>
                <c:pt idx="125" formatCode="0.0000">
                  <c:v>0.744153563823995</c:v>
                </c:pt>
                <c:pt idx="126" formatCode="0.0000">
                  <c:v>0.70881191622699957</c:v>
                </c:pt>
                <c:pt idx="127" formatCode="0.0000">
                  <c:v>0.71003281347862901</c:v>
                </c:pt>
                <c:pt idx="128" formatCode="0.0000">
                  <c:v>0.70722654464106427</c:v>
                </c:pt>
                <c:pt idx="129" formatCode="0.0000">
                  <c:v>0.5916993602405578</c:v>
                </c:pt>
                <c:pt idx="130" formatCode="0.0000">
                  <c:v>0.56267886481294305</c:v>
                </c:pt>
                <c:pt idx="131" formatCode="0.0000">
                  <c:v>0.55869115749460541</c:v>
                </c:pt>
                <c:pt idx="132" formatCode="0.0000">
                  <c:v>0.46760974111477666</c:v>
                </c:pt>
                <c:pt idx="133" formatCode="0.0000">
                  <c:v>0.45903760526276771</c:v>
                </c:pt>
                <c:pt idx="134" formatCode="0.0000">
                  <c:v>0.50087003288751064</c:v>
                </c:pt>
                <c:pt idx="135" formatCode="0.0000">
                  <c:v>0.50200175605843522</c:v>
                </c:pt>
                <c:pt idx="136" formatCode="0.0000">
                  <c:v>0.77072887270181922</c:v>
                </c:pt>
                <c:pt idx="137" formatCode="0.0000">
                  <c:v>0.77072887270181922</c:v>
                </c:pt>
                <c:pt idx="138" formatCode="0.0000">
                  <c:v>0.8968212037069172</c:v>
                </c:pt>
                <c:pt idx="139" formatCode="0.0000">
                  <c:v>0.9737149998966993</c:v>
                </c:pt>
                <c:pt idx="140" formatCode="0.0000">
                  <c:v>1.8279366514569726</c:v>
                </c:pt>
                <c:pt idx="141" formatCode="0.0000">
                  <c:v>1.8557793695175935</c:v>
                </c:pt>
                <c:pt idx="142" formatCode="0.0000">
                  <c:v>1.8269066409815078</c:v>
                </c:pt>
                <c:pt idx="143" formatCode="0.0000">
                  <c:v>1.6303678431442725</c:v>
                </c:pt>
                <c:pt idx="144" formatCode="0.0000">
                  <c:v>1.7650509005432382</c:v>
                </c:pt>
                <c:pt idx="145" formatCode="0.0000">
                  <c:v>1.6192721154451839</c:v>
                </c:pt>
                <c:pt idx="146" formatCode="0.0000">
                  <c:v>1.5014692883279135</c:v>
                </c:pt>
                <c:pt idx="147" formatCode="0.0000">
                  <c:v>0.72956247125077389</c:v>
                </c:pt>
                <c:pt idx="148" formatCode="0.0000">
                  <c:v>0.72302482084502784</c:v>
                </c:pt>
                <c:pt idx="149" formatCode="0.0000">
                  <c:v>0.77153174203229413</c:v>
                </c:pt>
                <c:pt idx="150" formatCode="0.0000">
                  <c:v>0.6650722870068575</c:v>
                </c:pt>
                <c:pt idx="151" formatCode="0.0000">
                  <c:v>0.72139595249544619</c:v>
                </c:pt>
                <c:pt idx="152" formatCode="0.0000">
                  <c:v>0.71526531007784</c:v>
                </c:pt>
                <c:pt idx="153" formatCode="0.0000">
                  <c:v>0.90194109327818528</c:v>
                </c:pt>
                <c:pt idx="154" formatCode="0.0000">
                  <c:v>1.4459488768575746</c:v>
                </c:pt>
                <c:pt idx="155" formatCode="0.0000">
                  <c:v>1.3792384754799518</c:v>
                </c:pt>
                <c:pt idx="156" formatCode="0.0000">
                  <c:v>1.8226177428562391</c:v>
                </c:pt>
                <c:pt idx="157" formatCode="0.0000">
                  <c:v>1.9187143004799307</c:v>
                </c:pt>
                <c:pt idx="158" formatCode="0.0000">
                  <c:v>1.8992832855800166</c:v>
                </c:pt>
                <c:pt idx="159" formatCode="0.0000">
                  <c:v>1.9883434050757078</c:v>
                </c:pt>
                <c:pt idx="160" formatCode="0.0000">
                  <c:v>1.8620965555478268</c:v>
                </c:pt>
                <c:pt idx="161" formatCode="0.0000">
                  <c:v>1.3239946890870731</c:v>
                </c:pt>
                <c:pt idx="162" formatCode="0.0000">
                  <c:v>1.2993853677170095</c:v>
                </c:pt>
                <c:pt idx="163" formatCode="0.0000">
                  <c:v>0.91599806710403109</c:v>
                </c:pt>
                <c:pt idx="164" formatCode="0.0000">
                  <c:v>0.81400771889193291</c:v>
                </c:pt>
                <c:pt idx="165" formatCode="0.0000">
                  <c:v>1.3037219411513827</c:v>
                </c:pt>
                <c:pt idx="166" formatCode="0.0000">
                  <c:v>1.3325498659242856</c:v>
                </c:pt>
                <c:pt idx="167" formatCode="0.0000">
                  <c:v>1.3331536132165112</c:v>
                </c:pt>
                <c:pt idx="168" formatCode="0.0000">
                  <c:v>1.2720177746071377</c:v>
                </c:pt>
                <c:pt idx="169" formatCode="0.0000">
                  <c:v>1.2910152819144654</c:v>
                </c:pt>
                <c:pt idx="170" formatCode="0.0000">
                  <c:v>1.2996783859122139</c:v>
                </c:pt>
                <c:pt idx="171" formatCode="0.0000">
                  <c:v>1.5218067213848008</c:v>
                </c:pt>
                <c:pt idx="172" formatCode="0.0000">
                  <c:v>0.9788365716394285</c:v>
                </c:pt>
                <c:pt idx="173" formatCode="0.0000">
                  <c:v>0.89709747282467045</c:v>
                </c:pt>
                <c:pt idx="174" formatCode="0.0000">
                  <c:v>1.4118847629970885</c:v>
                </c:pt>
                <c:pt idx="175" formatCode="0.0000">
                  <c:v>1.4838747519387669</c:v>
                </c:pt>
                <c:pt idx="176" formatCode="0.0000">
                  <c:v>1.5939635568247301</c:v>
                </c:pt>
                <c:pt idx="177" formatCode="0.0000">
                  <c:v>1.5427070648602743</c:v>
                </c:pt>
                <c:pt idx="178" formatCode="0.0000">
                  <c:v>1.4237261010677433</c:v>
                </c:pt>
                <c:pt idx="179" formatCode="0.0000">
                  <c:v>1.5131140182356193</c:v>
                </c:pt>
                <c:pt idx="180" formatCode="0.0000">
                  <c:v>1.4682449360204026</c:v>
                </c:pt>
                <c:pt idx="181" formatCode="0.0000">
                  <c:v>0.9623566093734226</c:v>
                </c:pt>
                <c:pt idx="182" formatCode="0.0000">
                  <c:v>0.93664155887001144</c:v>
                </c:pt>
                <c:pt idx="183" formatCode="0.0000">
                  <c:v>0.90633938831579353</c:v>
                </c:pt>
                <c:pt idx="184" formatCode="0.0000">
                  <c:v>0.94668473195312475</c:v>
                </c:pt>
                <c:pt idx="185" formatCode="0.0000">
                  <c:v>0.92319826710862873</c:v>
                </c:pt>
                <c:pt idx="186" formatCode="0.0000">
                  <c:v>0.9333877804612174</c:v>
                </c:pt>
                <c:pt idx="187" formatCode="0.0000">
                  <c:v>1.0069766526841961</c:v>
                </c:pt>
                <c:pt idx="188" formatCode="0.0000">
                  <c:v>0.96668673719192277</c:v>
                </c:pt>
                <c:pt idx="189" formatCode="0.0000">
                  <c:v>0.92902475498353199</c:v>
                </c:pt>
                <c:pt idx="190" formatCode="0.0000">
                  <c:v>0.95740734775081415</c:v>
                </c:pt>
                <c:pt idx="191" formatCode="0.0000">
                  <c:v>0.93978188999635337</c:v>
                </c:pt>
                <c:pt idx="192" formatCode="0.0000">
                  <c:v>0.94838684578315668</c:v>
                </c:pt>
                <c:pt idx="193" formatCode="0.0000">
                  <c:v>0.88158211299090794</c:v>
                </c:pt>
                <c:pt idx="194" formatCode="0.0000">
                  <c:v>0.87924455979918636</c:v>
                </c:pt>
                <c:pt idx="195" formatCode="0.0000">
                  <c:v>0.84350259695115859</c:v>
                </c:pt>
                <c:pt idx="196" formatCode="0.0000">
                  <c:v>1.0838274930021075</c:v>
                </c:pt>
                <c:pt idx="197" formatCode="0.0000">
                  <c:v>0.99813539068861989</c:v>
                </c:pt>
                <c:pt idx="198" formatCode="0.0000">
                  <c:v>1.1315702699229451</c:v>
                </c:pt>
                <c:pt idx="199" formatCode="0.0000">
                  <c:v>1.2155086894818268</c:v>
                </c:pt>
                <c:pt idx="200" formatCode="0.0000">
                  <c:v>1.220842862217647</c:v>
                </c:pt>
                <c:pt idx="201" formatCode="0.0000">
                  <c:v>1.2385302495648396</c:v>
                </c:pt>
                <c:pt idx="202" formatCode="0.0000">
                  <c:v>1.2616655540527966</c:v>
                </c:pt>
                <c:pt idx="203" formatCode="0.0000">
                  <c:v>1.0967761405491736</c:v>
                </c:pt>
                <c:pt idx="204" formatCode="0.0000">
                  <c:v>1.3126220173078906</c:v>
                </c:pt>
                <c:pt idx="205" formatCode="0.0000">
                  <c:v>1.2669399056736768</c:v>
                </c:pt>
                <c:pt idx="206" formatCode="0.0000">
                  <c:v>1.3761637680829828</c:v>
                </c:pt>
                <c:pt idx="207" formatCode="0.0000">
                  <c:v>1.4365101239224793</c:v>
                </c:pt>
                <c:pt idx="208" formatCode="0.0000">
                  <c:v>1.4962315742182064</c:v>
                </c:pt>
                <c:pt idx="209" formatCode="0.0000">
                  <c:v>1.5212769027936386</c:v>
                </c:pt>
                <c:pt idx="210" formatCode="0.0000">
                  <c:v>1.5454565421270483</c:v>
                </c:pt>
                <c:pt idx="211" formatCode="0.0000">
                  <c:v>1.4984524992739037</c:v>
                </c:pt>
                <c:pt idx="212" formatCode="0.0000">
                  <c:v>1.4358603994399712</c:v>
                </c:pt>
                <c:pt idx="213" formatCode="0.0000">
                  <c:v>1.2478508135388231</c:v>
                </c:pt>
                <c:pt idx="214" formatCode="0.0000">
                  <c:v>1.6825382906701962</c:v>
                </c:pt>
                <c:pt idx="215" formatCode="0.0000">
                  <c:v>1.6843018574310518</c:v>
                </c:pt>
                <c:pt idx="216" formatCode="0.0000">
                  <c:v>1.728902773263554</c:v>
                </c:pt>
                <c:pt idx="217" formatCode="0.0000">
                  <c:v>1.9057928336445948</c:v>
                </c:pt>
                <c:pt idx="218" formatCode="0.0000">
                  <c:v>1.9927850556428337</c:v>
                </c:pt>
                <c:pt idx="219" formatCode="0.0000">
                  <c:v>2.0992168518040688</c:v>
                </c:pt>
                <c:pt idx="220" formatCode="0.0000">
                  <c:v>2.2696031173753175</c:v>
                </c:pt>
                <c:pt idx="221" formatCode="0.0000">
                  <c:v>1.9178459292460843</c:v>
                </c:pt>
                <c:pt idx="222" formatCode="0.0000">
                  <c:v>1.9047114260883558</c:v>
                </c:pt>
                <c:pt idx="223" formatCode="0.0000">
                  <c:v>1.9897829835419698</c:v>
                </c:pt>
                <c:pt idx="224" formatCode="0.0000">
                  <c:v>1.747873684652216</c:v>
                </c:pt>
                <c:pt idx="225" formatCode="0.0000">
                  <c:v>1.7002194580914034</c:v>
                </c:pt>
                <c:pt idx="226" formatCode="0.0000">
                  <c:v>1.6780673828956665</c:v>
                </c:pt>
                <c:pt idx="227" formatCode="0.0000">
                  <c:v>1.6368718688408515</c:v>
                </c:pt>
                <c:pt idx="228" formatCode="0.0000">
                  <c:v>1.6360179263156662</c:v>
                </c:pt>
                <c:pt idx="229" formatCode="0.0000">
                  <c:v>1.593130270907452</c:v>
                </c:pt>
                <c:pt idx="230" formatCode="0.0000">
                  <c:v>1.4905425416014852</c:v>
                </c:pt>
                <c:pt idx="231" formatCode="0.0000">
                  <c:v>1.572547813786809</c:v>
                </c:pt>
                <c:pt idx="232" formatCode="0.0000">
                  <c:v>1.4604336300866556</c:v>
                </c:pt>
                <c:pt idx="233" formatCode="0.0000">
                  <c:v>1.4915587120385589</c:v>
                </c:pt>
                <c:pt idx="234" formatCode="0.0000">
                  <c:v>1.5676491761878701</c:v>
                </c:pt>
                <c:pt idx="235" formatCode="0.0000">
                  <c:v>1.4527958884916525</c:v>
                </c:pt>
                <c:pt idx="236" formatCode="0.0000">
                  <c:v>1.4887712212571962</c:v>
                </c:pt>
                <c:pt idx="237" formatCode="0.0000">
                  <c:v>1.5087080438439029</c:v>
                </c:pt>
                <c:pt idx="238" formatCode="0.0000">
                  <c:v>1.4800269381809721</c:v>
                </c:pt>
                <c:pt idx="239" formatCode="0.0000">
                  <c:v>1.5327872529033872</c:v>
                </c:pt>
                <c:pt idx="240" formatCode="0.0000">
                  <c:v>1.456847694591574</c:v>
                </c:pt>
                <c:pt idx="241" formatCode="0.0000">
                  <c:v>1.3258051214932418</c:v>
                </c:pt>
                <c:pt idx="242" formatCode="0.0000">
                  <c:v>1.4124931586303247</c:v>
                </c:pt>
                <c:pt idx="243" formatCode="0.0000">
                  <c:v>1.3144394670195061</c:v>
                </c:pt>
                <c:pt idx="244" formatCode="0.0000">
                  <c:v>1.2739784850761142</c:v>
                </c:pt>
                <c:pt idx="245" formatCode="0.0000">
                  <c:v>1.2712377634198313</c:v>
                </c:pt>
                <c:pt idx="246" formatCode="0.0000">
                  <c:v>1.2957842689495913</c:v>
                </c:pt>
                <c:pt idx="247" formatCode="0.0000">
                  <c:v>1.342319671333007</c:v>
                </c:pt>
                <c:pt idx="248" formatCode="0.0000">
                  <c:v>1.3881365725077148</c:v>
                </c:pt>
                <c:pt idx="249" formatCode="0.0000">
                  <c:v>1.3978122670106046</c:v>
                </c:pt>
                <c:pt idx="250" formatCode="0.0000">
                  <c:v>1.4080367690186806</c:v>
                </c:pt>
                <c:pt idx="251" formatCode="0.0000">
                  <c:v>1.3900450089575269</c:v>
                </c:pt>
                <c:pt idx="252" formatCode="0.0000">
                  <c:v>1.3819925957372423</c:v>
                </c:pt>
                <c:pt idx="253" formatCode="0.0000">
                  <c:v>1.2513939993131165</c:v>
                </c:pt>
                <c:pt idx="254" formatCode="0.0000">
                  <c:v>1.1681621782436504</c:v>
                </c:pt>
                <c:pt idx="255" formatCode="0.0000">
                  <c:v>1.112603509565226</c:v>
                </c:pt>
                <c:pt idx="256" formatCode="0.0000">
                  <c:v>1.0757512266788134</c:v>
                </c:pt>
                <c:pt idx="257" formatCode="0.0000">
                  <c:v>1.1186161308658551</c:v>
                </c:pt>
                <c:pt idx="258" formatCode="0.0000">
                  <c:v>1.1956275622531998</c:v>
                </c:pt>
                <c:pt idx="259" formatCode="0.0000">
                  <c:v>1.1418762247713585</c:v>
                </c:pt>
                <c:pt idx="260" formatCode="0.0000">
                  <c:v>1.1998339598910399</c:v>
                </c:pt>
                <c:pt idx="261" formatCode="0.0000">
                  <c:v>1.1895703189007321</c:v>
                </c:pt>
                <c:pt idx="262" formatCode="0.0000">
                  <c:v>1.1451232548458832</c:v>
                </c:pt>
                <c:pt idx="263" formatCode="0.0000">
                  <c:v>1.0384632576932094</c:v>
                </c:pt>
                <c:pt idx="264" formatCode="0.0000">
                  <c:v>0.98053451572540762</c:v>
                </c:pt>
                <c:pt idx="265" formatCode="0.0000">
                  <c:v>0.90154446233002561</c:v>
                </c:pt>
                <c:pt idx="266" formatCode="0.0000">
                  <c:v>0.85892578984250167</c:v>
                </c:pt>
                <c:pt idx="267" formatCode="0.0000">
                  <c:v>0.7583878607065373</c:v>
                </c:pt>
                <c:pt idx="268" formatCode="0.0000">
                  <c:v>0.6948669388272668</c:v>
                </c:pt>
                <c:pt idx="269" formatCode="0.0000">
                  <c:v>0.63954982670943039</c:v>
                </c:pt>
                <c:pt idx="270" formatCode="0.0000">
                  <c:v>0.5837129125684466</c:v>
                </c:pt>
                <c:pt idx="271" formatCode="0.0000">
                  <c:v>0.58809184473947518</c:v>
                </c:pt>
                <c:pt idx="272" formatCode="0.0000">
                  <c:v>0.57439723385409158</c:v>
                </c:pt>
                <c:pt idx="273" formatCode="0.0000">
                  <c:v>0.58514220791260008</c:v>
                </c:pt>
                <c:pt idx="274" formatCode="0.0000">
                  <c:v>0.61239351064881808</c:v>
                </c:pt>
                <c:pt idx="275" formatCode="0.0000">
                  <c:v>0.62545116980726712</c:v>
                </c:pt>
                <c:pt idx="276" formatCode="0.0000">
                  <c:v>0.61666617279057945</c:v>
                </c:pt>
                <c:pt idx="277" formatCode="0.0000">
                  <c:v>0.61679428195934471</c:v>
                </c:pt>
                <c:pt idx="278" formatCode="0.0000">
                  <c:v>0.61895838517772961</c:v>
                </c:pt>
                <c:pt idx="279" formatCode="0.0000">
                  <c:v>0.59214592399358046</c:v>
                </c:pt>
                <c:pt idx="280" formatCode="0.0000">
                  <c:v>0.59667479926360634</c:v>
                </c:pt>
                <c:pt idx="281" formatCode="0.0000">
                  <c:v>0.59475545779104289</c:v>
                </c:pt>
                <c:pt idx="282" formatCode="0.0000">
                  <c:v>0.58542693048103123</c:v>
                </c:pt>
                <c:pt idx="283" formatCode="0.0000">
                  <c:v>0.61606902199389757</c:v>
                </c:pt>
                <c:pt idx="284" formatCode="0.0000">
                  <c:v>0.64071745933126578</c:v>
                </c:pt>
                <c:pt idx="285" formatCode="0.0000">
                  <c:v>0.64258733842436266</c:v>
                </c:pt>
                <c:pt idx="286" formatCode="0.0000">
                  <c:v>0.68127718618433075</c:v>
                </c:pt>
                <c:pt idx="287" formatCode="0.0000">
                  <c:v>0.71091919004906567</c:v>
                </c:pt>
                <c:pt idx="288" formatCode="0.0000">
                  <c:v>0.74539811681455259</c:v>
                </c:pt>
                <c:pt idx="289" formatCode="0.0000">
                  <c:v>0.79239524324984656</c:v>
                </c:pt>
                <c:pt idx="290" formatCode="0.0000">
                  <c:v>0.79521407503326025</c:v>
                </c:pt>
                <c:pt idx="291" formatCode="0.0000">
                  <c:v>0.80652699185120102</c:v>
                </c:pt>
                <c:pt idx="292" formatCode="0.0000">
                  <c:v>0.82182835410281363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1FB-4154-A776-E3CEAB9D6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188682"/>
        <c:axId val="1424691394"/>
      </c:lineChart>
      <c:lineChart>
        <c:grouping val="standard"/>
        <c:varyColors val="0"/>
        <c:ser>
          <c:idx val="1"/>
          <c:order val="1"/>
          <c:tx>
            <c:strRef>
              <c:f>'R(t) Województwa'!$CL$2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Województwa'!$CL$3:$CL$1000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0.2857142857142857</c:v>
                </c:pt>
                <c:pt idx="12">
                  <c:v>0.42857142857142855</c:v>
                </c:pt>
                <c:pt idx="13">
                  <c:v>0.42857142857142855</c:v>
                </c:pt>
                <c:pt idx="14">
                  <c:v>0.42857142857142855</c:v>
                </c:pt>
                <c:pt idx="15">
                  <c:v>0.5714285714285714</c:v>
                </c:pt>
                <c:pt idx="16">
                  <c:v>0.7142857142857143</c:v>
                </c:pt>
                <c:pt idx="17">
                  <c:v>0.8571428571428571</c:v>
                </c:pt>
                <c:pt idx="18">
                  <c:v>0.7142857142857143</c:v>
                </c:pt>
                <c:pt idx="19">
                  <c:v>0.5714285714285714</c:v>
                </c:pt>
                <c:pt idx="20">
                  <c:v>0.7142857142857143</c:v>
                </c:pt>
                <c:pt idx="21">
                  <c:v>0.7142857142857143</c:v>
                </c:pt>
                <c:pt idx="22">
                  <c:v>1.4285714285714286</c:v>
                </c:pt>
                <c:pt idx="23">
                  <c:v>1.4285714285714286</c:v>
                </c:pt>
                <c:pt idx="24">
                  <c:v>2.2857142857142856</c:v>
                </c:pt>
                <c:pt idx="25">
                  <c:v>2.8571428571428572</c:v>
                </c:pt>
                <c:pt idx="26">
                  <c:v>3.8571428571428572</c:v>
                </c:pt>
                <c:pt idx="27">
                  <c:v>4.1428571428571432</c:v>
                </c:pt>
                <c:pt idx="28">
                  <c:v>5.8571428571428568</c:v>
                </c:pt>
                <c:pt idx="29">
                  <c:v>5.8571428571428568</c:v>
                </c:pt>
                <c:pt idx="30">
                  <c:v>6.7142857142857144</c:v>
                </c:pt>
                <c:pt idx="31">
                  <c:v>8.1428571428571423</c:v>
                </c:pt>
                <c:pt idx="32">
                  <c:v>7.7142857142857144</c:v>
                </c:pt>
                <c:pt idx="33">
                  <c:v>8.4285714285714288</c:v>
                </c:pt>
                <c:pt idx="34">
                  <c:v>9.4285714285714288</c:v>
                </c:pt>
                <c:pt idx="35">
                  <c:v>10.142857142857142</c:v>
                </c:pt>
                <c:pt idx="36">
                  <c:v>10.285714285714286</c:v>
                </c:pt>
                <c:pt idx="37">
                  <c:v>9.5714285714285712</c:v>
                </c:pt>
                <c:pt idx="38">
                  <c:v>7.2857142857142856</c:v>
                </c:pt>
                <c:pt idx="39">
                  <c:v>7.8571428571428568</c:v>
                </c:pt>
                <c:pt idx="40">
                  <c:v>6.8571428571428568</c:v>
                </c:pt>
                <c:pt idx="41">
                  <c:v>5.4285714285714288</c:v>
                </c:pt>
                <c:pt idx="42">
                  <c:v>4.8571428571428568</c:v>
                </c:pt>
                <c:pt idx="43">
                  <c:v>6.1428571428571432</c:v>
                </c:pt>
                <c:pt idx="44">
                  <c:v>6.5714285714285712</c:v>
                </c:pt>
                <c:pt idx="45">
                  <c:v>9</c:v>
                </c:pt>
                <c:pt idx="46">
                  <c:v>9.5714285714285712</c:v>
                </c:pt>
                <c:pt idx="47">
                  <c:v>9.8571428571428577</c:v>
                </c:pt>
                <c:pt idx="48">
                  <c:v>12.285714285714286</c:v>
                </c:pt>
                <c:pt idx="49">
                  <c:v>12</c:v>
                </c:pt>
                <c:pt idx="50">
                  <c:v>11</c:v>
                </c:pt>
                <c:pt idx="51">
                  <c:v>10.428571428571429</c:v>
                </c:pt>
                <c:pt idx="52">
                  <c:v>8.7142857142857135</c:v>
                </c:pt>
                <c:pt idx="53">
                  <c:v>7.4285714285714288</c:v>
                </c:pt>
                <c:pt idx="54">
                  <c:v>6.8571428571428568</c:v>
                </c:pt>
                <c:pt idx="55">
                  <c:v>4.8571428571428568</c:v>
                </c:pt>
                <c:pt idx="56">
                  <c:v>3.7142857142857144</c:v>
                </c:pt>
                <c:pt idx="57">
                  <c:v>2.7142857142857144</c:v>
                </c:pt>
                <c:pt idx="58">
                  <c:v>3.1428571428571428</c:v>
                </c:pt>
                <c:pt idx="59">
                  <c:v>2.2857142857142856</c:v>
                </c:pt>
                <c:pt idx="60">
                  <c:v>2.2857142857142856</c:v>
                </c:pt>
                <c:pt idx="61">
                  <c:v>2.8571428571428572</c:v>
                </c:pt>
                <c:pt idx="62">
                  <c:v>3</c:v>
                </c:pt>
                <c:pt idx="63">
                  <c:v>5.1428571428571432</c:v>
                </c:pt>
                <c:pt idx="64">
                  <c:v>4.8571428571428568</c:v>
                </c:pt>
                <c:pt idx="65">
                  <c:v>4.7142857142857144</c:v>
                </c:pt>
                <c:pt idx="66">
                  <c:v>6</c:v>
                </c:pt>
                <c:pt idx="67">
                  <c:v>7.1428571428571432</c:v>
                </c:pt>
                <c:pt idx="68">
                  <c:v>6.7142857142857144</c:v>
                </c:pt>
                <c:pt idx="69">
                  <c:v>6.1428571428571432</c:v>
                </c:pt>
                <c:pt idx="70">
                  <c:v>4</c:v>
                </c:pt>
                <c:pt idx="71">
                  <c:v>5.2857142857142856</c:v>
                </c:pt>
                <c:pt idx="72">
                  <c:v>4.8571428571428568</c:v>
                </c:pt>
                <c:pt idx="73">
                  <c:v>4</c:v>
                </c:pt>
                <c:pt idx="74">
                  <c:v>2.8571428571428572</c:v>
                </c:pt>
                <c:pt idx="75">
                  <c:v>2.2857142857142856</c:v>
                </c:pt>
                <c:pt idx="76">
                  <c:v>3.8571428571428572</c:v>
                </c:pt>
                <c:pt idx="77">
                  <c:v>3.5714285714285716</c:v>
                </c:pt>
                <c:pt idx="78">
                  <c:v>2.8571428571428572</c:v>
                </c:pt>
                <c:pt idx="79">
                  <c:v>3.4285714285714284</c:v>
                </c:pt>
                <c:pt idx="80">
                  <c:v>3.7142857142857144</c:v>
                </c:pt>
                <c:pt idx="81">
                  <c:v>4.7142857142857144</c:v>
                </c:pt>
                <c:pt idx="82">
                  <c:v>5.7142857142857144</c:v>
                </c:pt>
                <c:pt idx="83">
                  <c:v>5.5714285714285712</c:v>
                </c:pt>
                <c:pt idx="84">
                  <c:v>6.4285714285714288</c:v>
                </c:pt>
                <c:pt idx="85">
                  <c:v>7.1428571428571432</c:v>
                </c:pt>
                <c:pt idx="86">
                  <c:v>10</c:v>
                </c:pt>
                <c:pt idx="87">
                  <c:v>10.285714285714286</c:v>
                </c:pt>
                <c:pt idx="88">
                  <c:v>14</c:v>
                </c:pt>
                <c:pt idx="89">
                  <c:v>14</c:v>
                </c:pt>
                <c:pt idx="90">
                  <c:v>13.428571428571429</c:v>
                </c:pt>
                <c:pt idx="91">
                  <c:v>13.428571428571429</c:v>
                </c:pt>
                <c:pt idx="92">
                  <c:v>13.428571428571429</c:v>
                </c:pt>
                <c:pt idx="93">
                  <c:v>11.285714285714286</c:v>
                </c:pt>
                <c:pt idx="94">
                  <c:v>10.428571428571429</c:v>
                </c:pt>
                <c:pt idx="95">
                  <c:v>6</c:v>
                </c:pt>
                <c:pt idx="96">
                  <c:v>5</c:v>
                </c:pt>
                <c:pt idx="97">
                  <c:v>9.8571428571428577</c:v>
                </c:pt>
                <c:pt idx="98">
                  <c:v>10.857142857142858</c:v>
                </c:pt>
                <c:pt idx="99">
                  <c:v>11.142857142857142</c:v>
                </c:pt>
                <c:pt idx="100">
                  <c:v>10.571428571428571</c:v>
                </c:pt>
                <c:pt idx="101">
                  <c:v>12</c:v>
                </c:pt>
                <c:pt idx="102">
                  <c:v>11.857142857142858</c:v>
                </c:pt>
                <c:pt idx="103">
                  <c:v>13.714285714285714</c:v>
                </c:pt>
                <c:pt idx="104">
                  <c:v>10</c:v>
                </c:pt>
                <c:pt idx="105">
                  <c:v>9.5714285714285712</c:v>
                </c:pt>
                <c:pt idx="106">
                  <c:v>11.142857142857142</c:v>
                </c:pt>
                <c:pt idx="107">
                  <c:v>13</c:v>
                </c:pt>
                <c:pt idx="108">
                  <c:v>13</c:v>
                </c:pt>
                <c:pt idx="109">
                  <c:v>14.285714285714286</c:v>
                </c:pt>
                <c:pt idx="110">
                  <c:v>13.285714285714286</c:v>
                </c:pt>
                <c:pt idx="111">
                  <c:v>13.428571428571429</c:v>
                </c:pt>
                <c:pt idx="112">
                  <c:v>12.142857142857142</c:v>
                </c:pt>
                <c:pt idx="113">
                  <c:v>12</c:v>
                </c:pt>
                <c:pt idx="114">
                  <c:v>10.571428571428571</c:v>
                </c:pt>
                <c:pt idx="115">
                  <c:v>9.2857142857142865</c:v>
                </c:pt>
                <c:pt idx="116">
                  <c:v>9.7142857142857135</c:v>
                </c:pt>
                <c:pt idx="117">
                  <c:v>10.285714285714286</c:v>
                </c:pt>
                <c:pt idx="118">
                  <c:v>10.142857142857142</c:v>
                </c:pt>
                <c:pt idx="119">
                  <c:v>11</c:v>
                </c:pt>
                <c:pt idx="120">
                  <c:v>8.5714285714285712</c:v>
                </c:pt>
                <c:pt idx="121">
                  <c:v>8.4285714285714288</c:v>
                </c:pt>
                <c:pt idx="122">
                  <c:v>10</c:v>
                </c:pt>
                <c:pt idx="123">
                  <c:v>8.2857142857142865</c:v>
                </c:pt>
                <c:pt idx="124">
                  <c:v>7.5714285714285712</c:v>
                </c:pt>
                <c:pt idx="125">
                  <c:v>7</c:v>
                </c:pt>
                <c:pt idx="126">
                  <c:v>6.4285714285714288</c:v>
                </c:pt>
                <c:pt idx="127">
                  <c:v>6.2857142857142856</c:v>
                </c:pt>
                <c:pt idx="128">
                  <c:v>6</c:v>
                </c:pt>
                <c:pt idx="129">
                  <c:v>4.7142857142857144</c:v>
                </c:pt>
                <c:pt idx="130">
                  <c:v>4.4285714285714288</c:v>
                </c:pt>
                <c:pt idx="131">
                  <c:v>4.1428571428571432</c:v>
                </c:pt>
                <c:pt idx="132">
                  <c:v>3.1428571428571428</c:v>
                </c:pt>
                <c:pt idx="133">
                  <c:v>2.8571428571428572</c:v>
                </c:pt>
                <c:pt idx="134">
                  <c:v>2.8571428571428572</c:v>
                </c:pt>
                <c:pt idx="135">
                  <c:v>2.5714285714285716</c:v>
                </c:pt>
                <c:pt idx="136">
                  <c:v>3.4285714285714284</c:v>
                </c:pt>
                <c:pt idx="137">
                  <c:v>3.4285714285714284</c:v>
                </c:pt>
                <c:pt idx="138">
                  <c:v>3.8571428571428572</c:v>
                </c:pt>
                <c:pt idx="139">
                  <c:v>4.1428571428571432</c:v>
                </c:pt>
                <c:pt idx="140">
                  <c:v>8</c:v>
                </c:pt>
                <c:pt idx="141">
                  <c:v>8.5714285714285712</c:v>
                </c:pt>
                <c:pt idx="142">
                  <c:v>8.7142857142857135</c:v>
                </c:pt>
                <c:pt idx="143">
                  <c:v>8.4285714285714288</c:v>
                </c:pt>
                <c:pt idx="144">
                  <c:v>9.4285714285714288</c:v>
                </c:pt>
                <c:pt idx="145">
                  <c:v>9</c:v>
                </c:pt>
                <c:pt idx="146">
                  <c:v>8.5714285714285712</c:v>
                </c:pt>
                <c:pt idx="147">
                  <c:v>5.2857142857142856</c:v>
                </c:pt>
                <c:pt idx="148">
                  <c:v>5</c:v>
                </c:pt>
                <c:pt idx="149">
                  <c:v>5.1428571428571432</c:v>
                </c:pt>
                <c:pt idx="150">
                  <c:v>4.2857142857142856</c:v>
                </c:pt>
                <c:pt idx="151">
                  <c:v>4.2857142857142856</c:v>
                </c:pt>
                <c:pt idx="152">
                  <c:v>4.1428571428571432</c:v>
                </c:pt>
                <c:pt idx="153">
                  <c:v>5</c:v>
                </c:pt>
                <c:pt idx="154">
                  <c:v>7.8571428571428568</c:v>
                </c:pt>
                <c:pt idx="155">
                  <c:v>7.5714285714285712</c:v>
                </c:pt>
                <c:pt idx="156">
                  <c:v>11.142857142857142</c:v>
                </c:pt>
                <c:pt idx="157">
                  <c:v>12.428571428571429</c:v>
                </c:pt>
                <c:pt idx="158">
                  <c:v>13.285714285714286</c:v>
                </c:pt>
                <c:pt idx="159">
                  <c:v>14.571428571428571</c:v>
                </c:pt>
                <c:pt idx="160">
                  <c:v>14.571428571428571</c:v>
                </c:pt>
                <c:pt idx="161">
                  <c:v>12.428571428571429</c:v>
                </c:pt>
                <c:pt idx="162">
                  <c:v>12.285714285714286</c:v>
                </c:pt>
                <c:pt idx="163">
                  <c:v>9.7142857142857135</c:v>
                </c:pt>
                <c:pt idx="164">
                  <c:v>8.5714285714285712</c:v>
                </c:pt>
                <c:pt idx="165">
                  <c:v>12.571428571428571</c:v>
                </c:pt>
                <c:pt idx="166">
                  <c:v>13.285714285714286</c:v>
                </c:pt>
                <c:pt idx="167">
                  <c:v>13.571428571428571</c:v>
                </c:pt>
                <c:pt idx="168">
                  <c:v>13.142857142857142</c:v>
                </c:pt>
                <c:pt idx="169">
                  <c:v>13.428571428571429</c:v>
                </c:pt>
                <c:pt idx="170">
                  <c:v>13.857142857142858</c:v>
                </c:pt>
                <c:pt idx="171">
                  <c:v>16.571428571428573</c:v>
                </c:pt>
                <c:pt idx="172">
                  <c:v>12.285714285714286</c:v>
                </c:pt>
                <c:pt idx="173">
                  <c:v>11.142857142857142</c:v>
                </c:pt>
                <c:pt idx="174">
                  <c:v>17.285714285714285</c:v>
                </c:pt>
                <c:pt idx="175">
                  <c:v>19</c:v>
                </c:pt>
                <c:pt idx="176">
                  <c:v>21.285714285714285</c:v>
                </c:pt>
                <c:pt idx="177">
                  <c:v>21.714285714285715</c:v>
                </c:pt>
                <c:pt idx="178">
                  <c:v>21.285714285714285</c:v>
                </c:pt>
                <c:pt idx="179">
                  <c:v>23.571428571428573</c:v>
                </c:pt>
                <c:pt idx="180">
                  <c:v>23.285714285714285</c:v>
                </c:pt>
                <c:pt idx="181">
                  <c:v>17.714285714285715</c:v>
                </c:pt>
                <c:pt idx="182">
                  <c:v>17.142857142857142</c:v>
                </c:pt>
                <c:pt idx="183">
                  <c:v>16.428571428571427</c:v>
                </c:pt>
                <c:pt idx="184">
                  <c:v>16.857142857142858</c:v>
                </c:pt>
                <c:pt idx="185">
                  <c:v>16.285714285714285</c:v>
                </c:pt>
                <c:pt idx="186">
                  <c:v>16.142857142857142</c:v>
                </c:pt>
                <c:pt idx="187">
                  <c:v>17.428571428571427</c:v>
                </c:pt>
                <c:pt idx="188">
                  <c:v>16.714285714285715</c:v>
                </c:pt>
                <c:pt idx="189">
                  <c:v>16</c:v>
                </c:pt>
                <c:pt idx="190">
                  <c:v>16.285714285714285</c:v>
                </c:pt>
                <c:pt idx="191">
                  <c:v>15.857142857142858</c:v>
                </c:pt>
                <c:pt idx="192">
                  <c:v>15.857142857142858</c:v>
                </c:pt>
                <c:pt idx="193">
                  <c:v>14.571428571428571</c:v>
                </c:pt>
                <c:pt idx="194">
                  <c:v>14.285714285714286</c:v>
                </c:pt>
                <c:pt idx="195">
                  <c:v>13.571428571428571</c:v>
                </c:pt>
                <c:pt idx="196">
                  <c:v>16.714285714285715</c:v>
                </c:pt>
                <c:pt idx="197">
                  <c:v>15.428571428571429</c:v>
                </c:pt>
                <c:pt idx="198">
                  <c:v>17.428571428571427</c:v>
                </c:pt>
                <c:pt idx="199">
                  <c:v>19.142857142857142</c:v>
                </c:pt>
                <c:pt idx="200">
                  <c:v>19.714285714285715</c:v>
                </c:pt>
                <c:pt idx="201">
                  <c:v>20.428571428571427</c:v>
                </c:pt>
                <c:pt idx="202">
                  <c:v>21</c:v>
                </c:pt>
                <c:pt idx="203">
                  <c:v>19.285714285714285</c:v>
                </c:pt>
                <c:pt idx="204">
                  <c:v>23.285714285714285</c:v>
                </c:pt>
                <c:pt idx="205">
                  <c:v>23.857142857142858</c:v>
                </c:pt>
                <c:pt idx="206">
                  <c:v>27.428571428571427</c:v>
                </c:pt>
                <c:pt idx="207">
                  <c:v>30.285714285714285</c:v>
                </c:pt>
                <c:pt idx="208">
                  <c:v>33.285714285714285</c:v>
                </c:pt>
                <c:pt idx="209">
                  <c:v>34.714285714285715</c:v>
                </c:pt>
                <c:pt idx="210">
                  <c:v>37.285714285714285</c:v>
                </c:pt>
                <c:pt idx="211">
                  <c:v>39.285714285714285</c:v>
                </c:pt>
                <c:pt idx="212">
                  <c:v>40.285714285714285</c:v>
                </c:pt>
                <c:pt idx="213">
                  <c:v>37.571428571428569</c:v>
                </c:pt>
                <c:pt idx="214">
                  <c:v>54</c:v>
                </c:pt>
                <c:pt idx="215">
                  <c:v>58.428571428571431</c:v>
                </c:pt>
                <c:pt idx="216">
                  <c:v>62.857142857142854</c:v>
                </c:pt>
                <c:pt idx="217">
                  <c:v>77.142857142857139</c:v>
                </c:pt>
                <c:pt idx="218">
                  <c:v>91.285714285714292</c:v>
                </c:pt>
                <c:pt idx="219">
                  <c:v>107.85714285714286</c:v>
                </c:pt>
                <c:pt idx="220">
                  <c:v>130.57142857142858</c:v>
                </c:pt>
                <c:pt idx="221">
                  <c:v>139.42857142857142</c:v>
                </c:pt>
                <c:pt idx="222">
                  <c:v>151.14285714285714</c:v>
                </c:pt>
                <c:pt idx="223">
                  <c:v>170.85714285714286</c:v>
                </c:pt>
                <c:pt idx="224">
                  <c:v>168.28571428571428</c:v>
                </c:pt>
                <c:pt idx="225">
                  <c:v>183.42857142857142</c:v>
                </c:pt>
                <c:pt idx="226">
                  <c:v>201.14285714285714</c:v>
                </c:pt>
                <c:pt idx="227">
                  <c:v>218.57142857142858</c:v>
                </c:pt>
                <c:pt idx="228">
                  <c:v>244</c:v>
                </c:pt>
                <c:pt idx="229">
                  <c:v>252.42857142857142</c:v>
                </c:pt>
                <c:pt idx="230">
                  <c:v>250</c:v>
                </c:pt>
                <c:pt idx="231">
                  <c:v>277.28571428571428</c:v>
                </c:pt>
                <c:pt idx="232">
                  <c:v>277.85714285714283</c:v>
                </c:pt>
                <c:pt idx="233">
                  <c:v>306.85714285714283</c:v>
                </c:pt>
                <c:pt idx="234">
                  <c:v>353.28571428571428</c:v>
                </c:pt>
                <c:pt idx="235">
                  <c:v>355.57142857142856</c:v>
                </c:pt>
                <c:pt idx="236">
                  <c:v>383.28571428571428</c:v>
                </c:pt>
                <c:pt idx="237">
                  <c:v>404.14285714285717</c:v>
                </c:pt>
                <c:pt idx="238">
                  <c:v>421.57142857142856</c:v>
                </c:pt>
                <c:pt idx="239">
                  <c:v>461.14285714285717</c:v>
                </c:pt>
                <c:pt idx="240">
                  <c:v>477.28571428571428</c:v>
                </c:pt>
                <c:pt idx="241">
                  <c:v>472.71428571428572</c:v>
                </c:pt>
                <c:pt idx="242">
                  <c:v>532.57142857142856</c:v>
                </c:pt>
                <c:pt idx="243">
                  <c:v>512.14285714285711</c:v>
                </c:pt>
                <c:pt idx="244">
                  <c:v>509</c:v>
                </c:pt>
                <c:pt idx="245">
                  <c:v>525.71428571428567</c:v>
                </c:pt>
                <c:pt idx="246">
                  <c:v>558.71428571428567</c:v>
                </c:pt>
                <c:pt idx="247">
                  <c:v>608.85714285714289</c:v>
                </c:pt>
                <c:pt idx="248">
                  <c:v>666.85714285714289</c:v>
                </c:pt>
                <c:pt idx="249">
                  <c:v>724</c:v>
                </c:pt>
                <c:pt idx="250">
                  <c:v>747.85714285714289</c:v>
                </c:pt>
                <c:pt idx="251">
                  <c:v>755</c:v>
                </c:pt>
                <c:pt idx="252">
                  <c:v>783.85714285714289</c:v>
                </c:pt>
                <c:pt idx="253">
                  <c:v>745.71428571428567</c:v>
                </c:pt>
                <c:pt idx="254">
                  <c:v>727.85714285714289</c:v>
                </c:pt>
                <c:pt idx="255">
                  <c:v>714.57142857142856</c:v>
                </c:pt>
                <c:pt idx="256">
                  <c:v>706.85714285714289</c:v>
                </c:pt>
                <c:pt idx="257">
                  <c:v>743.42857142857144</c:v>
                </c:pt>
                <c:pt idx="258">
                  <c:v>806.71428571428567</c:v>
                </c:pt>
                <c:pt idx="259">
                  <c:v>788.28571428571433</c:v>
                </c:pt>
                <c:pt idx="260">
                  <c:v>841.14285714285711</c:v>
                </c:pt>
                <c:pt idx="261">
                  <c:v>858.28571428571433</c:v>
                </c:pt>
                <c:pt idx="262">
                  <c:v>849.71428571428567</c:v>
                </c:pt>
                <c:pt idx="263">
                  <c:v>790.14285714285711</c:v>
                </c:pt>
                <c:pt idx="264">
                  <c:v>748.14285714285711</c:v>
                </c:pt>
                <c:pt idx="265">
                  <c:v>687.71428571428567</c:v>
                </c:pt>
                <c:pt idx="266">
                  <c:v>649.85714285714289</c:v>
                </c:pt>
                <c:pt idx="267">
                  <c:v>568.85714285714289</c:v>
                </c:pt>
                <c:pt idx="268">
                  <c:v>501.42857142857144</c:v>
                </c:pt>
                <c:pt idx="269">
                  <c:v>436.57142857142856</c:v>
                </c:pt>
                <c:pt idx="270">
                  <c:v>372.28571428571428</c:v>
                </c:pt>
                <c:pt idx="271">
                  <c:v>355</c:v>
                </c:pt>
                <c:pt idx="272">
                  <c:v>330.42857142857144</c:v>
                </c:pt>
                <c:pt idx="273">
                  <c:v>316.85714285714283</c:v>
                </c:pt>
                <c:pt idx="274">
                  <c:v>313</c:v>
                </c:pt>
                <c:pt idx="275">
                  <c:v>295.85714285714283</c:v>
                </c:pt>
                <c:pt idx="276">
                  <c:v>273.85714285714283</c:v>
                </c:pt>
                <c:pt idx="277">
                  <c:v>259.42857142857144</c:v>
                </c:pt>
                <c:pt idx="278">
                  <c:v>247.57142857142858</c:v>
                </c:pt>
                <c:pt idx="279">
                  <c:v>230</c:v>
                </c:pt>
                <c:pt idx="280">
                  <c:v>218.28571428571428</c:v>
                </c:pt>
                <c:pt idx="281">
                  <c:v>204.28571428571428</c:v>
                </c:pt>
                <c:pt idx="282">
                  <c:v>184.57142857142858</c:v>
                </c:pt>
                <c:pt idx="283">
                  <c:v>179.71428571428572</c:v>
                </c:pt>
                <c:pt idx="284">
                  <c:v>176</c:v>
                </c:pt>
                <c:pt idx="285">
                  <c:v>168.14285714285714</c:v>
                </c:pt>
                <c:pt idx="286">
                  <c:v>173.71428571428572</c:v>
                </c:pt>
                <c:pt idx="287">
                  <c:v>172.57142857142858</c:v>
                </c:pt>
                <c:pt idx="288">
                  <c:v>173</c:v>
                </c:pt>
                <c:pt idx="289">
                  <c:v>175.28571428571428</c:v>
                </c:pt>
                <c:pt idx="290">
                  <c:v>169.85714285714286</c:v>
                </c:pt>
                <c:pt idx="291">
                  <c:v>167.14285714285714</c:v>
                </c:pt>
                <c:pt idx="292">
                  <c:v>166.71428571428572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1FB-4154-A776-E3CEAB9D6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185410"/>
        <c:axId val="1291643297"/>
      </c:lineChart>
      <c:dateAx>
        <c:axId val="4191886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424691394"/>
        <c:crosses val="autoZero"/>
        <c:auto val="1"/>
        <c:lblOffset val="100"/>
        <c:baseTimeUnit val="days"/>
      </c:dateAx>
      <c:valAx>
        <c:axId val="1424691394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419188682"/>
        <c:crosses val="autoZero"/>
        <c:crossBetween val="between"/>
      </c:valAx>
      <c:dateAx>
        <c:axId val="779185410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1291643297"/>
        <c:crosses val="autoZero"/>
        <c:auto val="1"/>
        <c:lblOffset val="100"/>
        <c:baseTimeUnit val="days"/>
      </c:dateAx>
      <c:valAx>
        <c:axId val="1291643297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77918541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Warmińsko-Mazurskiego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Województwa'!$CW$2</c:f>
              <c:strCache>
                <c:ptCount val="1"/>
                <c:pt idx="0">
                  <c:v>Warmińsko-Mazurskie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Województwa'!$CW$3:$CW$1000</c:f>
              <c:numCache>
                <c:formatCode>General</c:formatCode>
                <c:ptCount val="998"/>
                <c:pt idx="40" formatCode="0.0000">
                  <c:v>0.92046840692851972</c:v>
                </c:pt>
                <c:pt idx="41" formatCode="0.0000">
                  <c:v>0.46023420346426025</c:v>
                </c:pt>
                <c:pt idx="42" formatCode="0.0000">
                  <c:v>0.30682280230950693</c:v>
                </c:pt>
                <c:pt idx="43" formatCode="0.0000">
                  <c:v>0.31652105115693141</c:v>
                </c:pt>
                <c:pt idx="44" formatCode="0.0000">
                  <c:v>0.35488538021410931</c:v>
                </c:pt>
                <c:pt idx="45" formatCode="0.0000">
                  <c:v>0.52354791645287424</c:v>
                </c:pt>
                <c:pt idx="46" formatCode="0.0000">
                  <c:v>0.44875535695960661</c:v>
                </c:pt>
                <c:pt idx="47" formatCode="0.0000">
                  <c:v>0.38219950130124092</c:v>
                </c:pt>
                <c:pt idx="48" formatCode="0.0000">
                  <c:v>0.40567521411347257</c:v>
                </c:pt>
                <c:pt idx="49" formatCode="0.0000">
                  <c:v>0.45899162967220652</c:v>
                </c:pt>
                <c:pt idx="50" formatCode="0.0000">
                  <c:v>0.40961794428660586</c:v>
                </c:pt>
                <c:pt idx="51" formatCode="0.0000">
                  <c:v>0.33699755908048862</c:v>
                </c:pt>
                <c:pt idx="52" formatCode="0.0000">
                  <c:v>0.18158503336174375</c:v>
                </c:pt>
                <c:pt idx="53" formatCode="0.0000">
                  <c:v>0.1815850333617437</c:v>
                </c:pt>
                <c:pt idx="54" formatCode="0.0000">
                  <c:v>0.11664540231603511</c:v>
                </c:pt>
                <c:pt idx="55" formatCode="0.0000">
                  <c:v>9.3169689503803402E-2</c:v>
                </c:pt>
                <c:pt idx="56" formatCode="0.0000">
                  <c:v>3.9853273945069531E-2</c:v>
                </c:pt>
                <c:pt idx="57" formatCode="0.0000">
                  <c:v>3.9853273945069469E-2</c:v>
                </c:pt>
                <c:pt idx="58" formatCode="0.0000">
                  <c:v>0.23191347467926277</c:v>
                </c:pt>
                <c:pt idx="59" formatCode="0.0000">
                  <c:v>0.19206020073419358</c:v>
                </c:pt>
                <c:pt idx="60" formatCode="0.0000">
                  <c:v>0.19206020073419364</c:v>
                </c:pt>
                <c:pt idx="61" formatCode="0.0000">
                  <c:v>0.19206020073419369</c:v>
                </c:pt>
                <c:pt idx="62" formatCode="0.0000">
                  <c:v>0.48274224091260681</c:v>
                </c:pt>
                <c:pt idx="63" formatCode="0.0000">
                  <c:v>0.73598822020508492</c:v>
                </c:pt>
                <c:pt idx="64" formatCode="0.0000">
                  <c:v>0.73598822020508492</c:v>
                </c:pt>
                <c:pt idx="65" formatCode="0.0000">
                  <c:v>1.0760905067242423</c:v>
                </c:pt>
                <c:pt idx="66" formatCode="0.0000">
                  <c:v>1.1718510408285412</c:v>
                </c:pt>
                <c:pt idx="67" formatCode="0.0000">
                  <c:v>1.4733313429784827</c:v>
                </c:pt>
                <c:pt idx="68" formatCode="0.0000">
                  <c:v>1.6468017819973606</c:v>
                </c:pt>
                <c:pt idx="69" formatCode="0.0000">
                  <c:v>1.3561197418189475</c:v>
                </c:pt>
                <c:pt idx="70" formatCode="0.0000">
                  <c:v>1.2992443892291132</c:v>
                </c:pt>
                <c:pt idx="71" formatCode="0.0000">
                  <c:v>1.6720362513434133</c:v>
                </c:pt>
                <c:pt idx="72" formatCode="0.0000">
                  <c:v>1.2156484894225286</c:v>
                </c:pt>
                <c:pt idx="73" formatCode="0.0000">
                  <c:v>1.2011113417736676</c:v>
                </c:pt>
                <c:pt idx="74" formatCode="0.0000">
                  <c:v>0.89963103962372615</c:v>
                </c:pt>
                <c:pt idx="75" formatCode="0.0000">
                  <c:v>0.72616060060484833</c:v>
                </c:pt>
                <c:pt idx="76" formatCode="0.0000">
                  <c:v>0.72616060060484844</c:v>
                </c:pt>
                <c:pt idx="77" formatCode="0.0000">
                  <c:v>1.0795954695605841</c:v>
                </c:pt>
                <c:pt idx="78" formatCode="0.0000">
                  <c:v>0.70680360744628445</c:v>
                </c:pt>
                <c:pt idx="79" formatCode="0.0000">
                  <c:v>0.63102888211381813</c:v>
                </c:pt>
                <c:pt idx="80" formatCode="0.0000">
                  <c:v>0.54980549565838011</c:v>
                </c:pt>
                <c:pt idx="81" formatCode="0.0000">
                  <c:v>0.70494103460704072</c:v>
                </c:pt>
                <c:pt idx="82" formatCode="0.0000">
                  <c:v>0.70494103460704061</c:v>
                </c:pt>
                <c:pt idx="83" formatCode="0.0000">
                  <c:v>0.70494103460704061</c:v>
                </c:pt>
                <c:pt idx="84" formatCode="0.0000">
                  <c:v>0.98951749002664202</c:v>
                </c:pt>
                <c:pt idx="85" formatCode="0.0000">
                  <c:v>0.98951749002664202</c:v>
                </c:pt>
                <c:pt idx="86" formatCode="0.0000">
                  <c:v>0.98951749002664191</c:v>
                </c:pt>
                <c:pt idx="87" formatCode="0.0000">
                  <c:v>0.98951749002664202</c:v>
                </c:pt>
                <c:pt idx="88" formatCode="0.0000">
                  <c:v>0.83438195107798152</c:v>
                </c:pt>
                <c:pt idx="89" formatCode="0.0000">
                  <c:v>0.83438195107798152</c:v>
                </c:pt>
                <c:pt idx="90" formatCode="0.0000">
                  <c:v>0.83438195107798163</c:v>
                </c:pt>
                <c:pt idx="91" formatCode="0.0000">
                  <c:v>3.9650822308041307E-16</c:v>
                </c:pt>
                <c:pt idx="92" formatCode="0.0000">
                  <c:v>4.282288809268461E-16</c:v>
                </c:pt>
                <c:pt idx="93" formatCode="0.0000">
                  <c:v>3.6478756523397999E-16</c:v>
                </c:pt>
                <c:pt idx="94" formatCode="0.0000">
                  <c:v>0.49379608779318679</c:v>
                </c:pt>
                <c:pt idx="95" formatCode="0.0000">
                  <c:v>0.49379608779318679</c:v>
                </c:pt>
                <c:pt idx="96" formatCode="0.0000">
                  <c:v>0.49379608779318673</c:v>
                </c:pt>
                <c:pt idx="97" formatCode="0.0000">
                  <c:v>0.99131031242775969</c:v>
                </c:pt>
                <c:pt idx="98" formatCode="0.0000">
                  <c:v>0.99131031242775958</c:v>
                </c:pt>
                <c:pt idx="99" formatCode="0.0000">
                  <c:v>0.99131031242775947</c:v>
                </c:pt>
                <c:pt idx="100" formatCode="0.0000">
                  <c:v>2.990848492813416</c:v>
                </c:pt>
                <c:pt idx="101" formatCode="0.0000">
                  <c:v>2.4970524050202298</c:v>
                </c:pt>
                <c:pt idx="102" formatCode="0.0000">
                  <c:v>2.4970524050202298</c:v>
                </c:pt>
                <c:pt idx="103" formatCode="0.0000">
                  <c:v>2.7352303463671945</c:v>
                </c:pt>
                <c:pt idx="104" formatCode="0.0000">
                  <c:v>2.2377161217326216</c:v>
                </c:pt>
                <c:pt idx="105" formatCode="0.0000">
                  <c:v>3.7598688935301388</c:v>
                </c:pt>
                <c:pt idx="106" formatCode="0.0000">
                  <c:v>4.1863684433080737</c:v>
                </c:pt>
                <c:pt idx="107" formatCode="0.0000">
                  <c:v>2.6852162006397102</c:v>
                </c:pt>
                <c:pt idx="108" formatCode="0.0000">
                  <c:v>2.9916070470305902</c:v>
                </c:pt>
                <c:pt idx="109" formatCode="0.0000">
                  <c:v>3.0969381931625324</c:v>
                </c:pt>
                <c:pt idx="110" formatCode="0.0000">
                  <c:v>2.8587602518155677</c:v>
                </c:pt>
                <c:pt idx="111" formatCode="0.0000">
                  <c:v>2.9864378168571313</c:v>
                </c:pt>
                <c:pt idx="112" formatCode="0.0000">
                  <c:v>1.593930574503819</c:v>
                </c:pt>
                <c:pt idx="113" formatCode="0.0000">
                  <c:v>1.8243374658961149</c:v>
                </c:pt>
                <c:pt idx="114" formatCode="0.0000">
                  <c:v>1.4995010795447217</c:v>
                </c:pt>
                <c:pt idx="115" formatCode="0.0000">
                  <c:v>1.5719686465365938</c:v>
                </c:pt>
                <c:pt idx="116" formatCode="0.0000">
                  <c:v>1.4666375004046517</c:v>
                </c:pt>
                <c:pt idx="117" formatCode="0.0000">
                  <c:v>1.6255735046952968</c:v>
                </c:pt>
                <c:pt idx="118" formatCode="0.0000">
                  <c:v>1.5761064065393522</c:v>
                </c:pt>
                <c:pt idx="119" formatCode="0.0000">
                  <c:v>1.5300768379053091</c:v>
                </c:pt>
                <c:pt idx="120" formatCode="0.0000">
                  <c:v>1.1398145967610742</c:v>
                </c:pt>
                <c:pt idx="121" formatCode="0.0000">
                  <c:v>1.4408108204599805</c:v>
                </c:pt>
                <c:pt idx="122" formatCode="0.0000">
                  <c:v>1.2104311141074233</c:v>
                </c:pt>
                <c:pt idx="123" formatCode="0.0000">
                  <c:v>1.3285500664608707</c:v>
                </c:pt>
                <c:pt idx="124" formatCode="0.0000">
                  <c:v>1.1998928424944679</c:v>
                </c:pt>
                <c:pt idx="125" formatCode="0.0000">
                  <c:v>1.18992227205912</c:v>
                </c:pt>
                <c:pt idx="126" formatCode="0.0000">
                  <c:v>1.1431774849256378</c:v>
                </c:pt>
                <c:pt idx="127" formatCode="0.0000">
                  <c:v>0.87653328489964188</c:v>
                </c:pt>
                <c:pt idx="128" formatCode="0.0000">
                  <c:v>0.54633547689087558</c:v>
                </c:pt>
                <c:pt idx="129" formatCode="0.0000">
                  <c:v>0.49394549649912683</c:v>
                </c:pt>
                <c:pt idx="130" formatCode="0.0000">
                  <c:v>0.47662967349361729</c:v>
                </c:pt>
                <c:pt idx="131" formatCode="0.0000">
                  <c:v>0.44635089316937482</c:v>
                </c:pt>
                <c:pt idx="132" formatCode="0.0000">
                  <c:v>0.50087747057504639</c:v>
                </c:pt>
                <c:pt idx="133" formatCode="0.0000">
                  <c:v>0.46400629689836742</c:v>
                </c:pt>
                <c:pt idx="134" formatCode="0.0000">
                  <c:v>0.61017038402461654</c:v>
                </c:pt>
                <c:pt idx="135" formatCode="0.0000">
                  <c:v>0.46582241696857629</c:v>
                </c:pt>
                <c:pt idx="136" formatCode="0.0000">
                  <c:v>0.79464046808143429</c:v>
                </c:pt>
                <c:pt idx="137" formatCode="0.0000">
                  <c:v>0.76012288122520866</c:v>
                </c:pt>
                <c:pt idx="138" formatCode="0.0000">
                  <c:v>0.9036868922908059</c:v>
                </c:pt>
                <c:pt idx="139" formatCode="0.0000">
                  <c:v>1.0678456222612687</c:v>
                </c:pt>
                <c:pt idx="140" formatCode="0.0000">
                  <c:v>1.6321317260639308</c:v>
                </c:pt>
                <c:pt idx="141" formatCode="0.0000">
                  <c:v>2.2358283642448704</c:v>
                </c:pt>
                <c:pt idx="142" formatCode="0.0000">
                  <c:v>2.2907248870797297</c:v>
                </c:pt>
                <c:pt idx="143" formatCode="0.0000">
                  <c:v>2.0463909794479163</c:v>
                </c:pt>
                <c:pt idx="144" formatCode="0.0000">
                  <c:v>2.0381087562903821</c:v>
                </c:pt>
                <c:pt idx="145" formatCode="0.0000">
                  <c:v>2.0213077057770961</c:v>
                </c:pt>
                <c:pt idx="146" formatCode="0.0000">
                  <c:v>1.7343825019506907</c:v>
                </c:pt>
                <c:pt idx="147" formatCode="0.0000">
                  <c:v>1.3579829290341858</c:v>
                </c:pt>
                <c:pt idx="148" formatCode="0.0000">
                  <c:v>0.78791287089715389</c:v>
                </c:pt>
                <c:pt idx="149" formatCode="0.0000">
                  <c:v>0.90640322673349161</c:v>
                </c:pt>
                <c:pt idx="150" formatCode="0.0000">
                  <c:v>1.0286807943664038</c:v>
                </c:pt>
                <c:pt idx="151" formatCode="0.0000">
                  <c:v>1.4638275901087976</c:v>
                </c:pt>
                <c:pt idx="152" formatCode="0.0000">
                  <c:v>1.4444814305598315</c:v>
                </c:pt>
                <c:pt idx="153" formatCode="0.0000">
                  <c:v>1.4667541433145388</c:v>
                </c:pt>
                <c:pt idx="154" formatCode="0.0000">
                  <c:v>1.3801744963049156</c:v>
                </c:pt>
                <c:pt idx="155" formatCode="0.0000">
                  <c:v>1.5439045778059983</c:v>
                </c:pt>
                <c:pt idx="156" formatCode="0.0000">
                  <c:v>1.6346183799258427</c:v>
                </c:pt>
                <c:pt idx="157" formatCode="0.0000">
                  <c:v>1.6654533713087269</c:v>
                </c:pt>
                <c:pt idx="158" formatCode="0.0000">
                  <c:v>1.6503134711008121</c:v>
                </c:pt>
                <c:pt idx="159" formatCode="0.0000">
                  <c:v>1.9132611894114986</c:v>
                </c:pt>
                <c:pt idx="160" formatCode="0.0000">
                  <c:v>1.9513326385604146</c:v>
                </c:pt>
                <c:pt idx="161" formatCode="0.0000">
                  <c:v>2.200805137358016</c:v>
                </c:pt>
                <c:pt idx="162" formatCode="0.0000">
                  <c:v>2.1567583336631584</c:v>
                </c:pt>
                <c:pt idx="163" formatCode="0.0000">
                  <c:v>1.9789651041753971</c:v>
                </c:pt>
                <c:pt idx="164" formatCode="0.0000">
                  <c:v>1.778342444602768</c:v>
                </c:pt>
                <c:pt idx="165" formatCode="0.0000">
                  <c:v>1.4179137908030957</c:v>
                </c:pt>
                <c:pt idx="166" formatCode="0.0000">
                  <c:v>1.1337139635453737</c:v>
                </c:pt>
                <c:pt idx="167" formatCode="0.0000">
                  <c:v>1.1738472772459754</c:v>
                </c:pt>
                <c:pt idx="168" formatCode="0.0000">
                  <c:v>0.89937634919971721</c:v>
                </c:pt>
                <c:pt idx="169" formatCode="0.0000">
                  <c:v>0.81449280746375252</c:v>
                </c:pt>
                <c:pt idx="170" formatCode="0.0000">
                  <c:v>0.85213567393725109</c:v>
                </c:pt>
                <c:pt idx="171" formatCode="0.0000">
                  <c:v>1.0106244126122446</c:v>
                </c:pt>
                <c:pt idx="172" formatCode="0.0000">
                  <c:v>1.0453295782955456</c:v>
                </c:pt>
                <c:pt idx="173" formatCode="0.0000">
                  <c:v>1.1686984149627992</c:v>
                </c:pt>
                <c:pt idx="174" formatCode="0.0000">
                  <c:v>1.0760783750907197</c:v>
                </c:pt>
                <c:pt idx="175" formatCode="0.0000">
                  <c:v>1.1905284112219867</c:v>
                </c:pt>
                <c:pt idx="176" formatCode="0.0000">
                  <c:v>1.1839821183944559</c:v>
                </c:pt>
                <c:pt idx="177" formatCode="0.0000">
                  <c:v>1.4750704258478058</c:v>
                </c:pt>
                <c:pt idx="178" formatCode="0.0000">
                  <c:v>1.3242506231001272</c:v>
                </c:pt>
                <c:pt idx="179" formatCode="0.0000">
                  <c:v>1.2617111884533414</c:v>
                </c:pt>
                <c:pt idx="180" formatCode="0.0000">
                  <c:v>1.1672689982404201</c:v>
                </c:pt>
                <c:pt idx="181" formatCode="0.0000">
                  <c:v>1.1733384101056676</c:v>
                </c:pt>
                <c:pt idx="182" formatCode="0.0000">
                  <c:v>1.0785091947301453</c:v>
                </c:pt>
                <c:pt idx="183" formatCode="0.0000">
                  <c:v>1.029831845943963</c:v>
                </c:pt>
                <c:pt idx="184" formatCode="0.0000">
                  <c:v>0.74681714479703776</c:v>
                </c:pt>
                <c:pt idx="185" formatCode="0.0000">
                  <c:v>0.73121340678145408</c:v>
                </c:pt>
                <c:pt idx="186" formatCode="0.0000">
                  <c:v>0.77734496664602204</c:v>
                </c:pt>
                <c:pt idx="187" formatCode="0.0000">
                  <c:v>0.73922259420304037</c:v>
                </c:pt>
                <c:pt idx="188" formatCode="0.0000">
                  <c:v>0.86262578239501031</c:v>
                </c:pt>
                <c:pt idx="189" formatCode="0.0000">
                  <c:v>0.80352138493157421</c:v>
                </c:pt>
                <c:pt idx="190" formatCode="0.0000">
                  <c:v>0.82952143705139991</c:v>
                </c:pt>
                <c:pt idx="191" formatCode="0.0000">
                  <c:v>0.82591457794953194</c:v>
                </c:pt>
                <c:pt idx="192" formatCode="0.0000">
                  <c:v>0.87117707003296496</c:v>
                </c:pt>
                <c:pt idx="193" formatCode="0.0000">
                  <c:v>0.91087736944885822</c:v>
                </c:pt>
                <c:pt idx="194" formatCode="0.0000">
                  <c:v>0.9566976572584398</c:v>
                </c:pt>
                <c:pt idx="195" formatCode="0.0000">
                  <c:v>0.83864513491129655</c:v>
                </c:pt>
                <c:pt idx="196" formatCode="0.0000">
                  <c:v>1.0327755130951872</c:v>
                </c:pt>
                <c:pt idx="197" formatCode="0.0000">
                  <c:v>0.97880521557928124</c:v>
                </c:pt>
                <c:pt idx="198" formatCode="0.0000">
                  <c:v>1.14690168696551</c:v>
                </c:pt>
                <c:pt idx="199" formatCode="0.0000">
                  <c:v>1.2069435500264336</c:v>
                </c:pt>
                <c:pt idx="200" formatCode="0.0000">
                  <c:v>1.2106450586724136</c:v>
                </c:pt>
                <c:pt idx="201" formatCode="0.0000">
                  <c:v>1.2686986531448508</c:v>
                </c:pt>
                <c:pt idx="202" formatCode="0.0000">
                  <c:v>1.3327460423951281</c:v>
                </c:pt>
                <c:pt idx="203" formatCode="0.0000">
                  <c:v>1.2709351429875311</c:v>
                </c:pt>
                <c:pt idx="204" formatCode="0.0000">
                  <c:v>1.4063769584557839</c:v>
                </c:pt>
                <c:pt idx="205" formatCode="0.0000">
                  <c:v>1.2704606678429105</c:v>
                </c:pt>
                <c:pt idx="206" formatCode="0.0000">
                  <c:v>1.6369160344878237</c:v>
                </c:pt>
                <c:pt idx="207" formatCode="0.0000">
                  <c:v>1.6605289493826052</c:v>
                </c:pt>
                <c:pt idx="208" formatCode="0.0000">
                  <c:v>1.8446861304891136</c:v>
                </c:pt>
                <c:pt idx="209" formatCode="0.0000">
                  <c:v>1.8123512379526725</c:v>
                </c:pt>
                <c:pt idx="210" formatCode="0.0000">
                  <c:v>1.8437361052126149</c:v>
                </c:pt>
                <c:pt idx="211" formatCode="0.0000">
                  <c:v>1.8309549287544493</c:v>
                </c:pt>
                <c:pt idx="212" formatCode="0.0000">
                  <c:v>2.0184260553088476</c:v>
                </c:pt>
                <c:pt idx="213" formatCode="0.0000">
                  <c:v>1.6253991629128623</c:v>
                </c:pt>
                <c:pt idx="214" formatCode="0.0000">
                  <c:v>1.625319589502785</c:v>
                </c:pt>
                <c:pt idx="215" formatCode="0.0000">
                  <c:v>1.434037728885768</c:v>
                </c:pt>
                <c:pt idx="216" formatCode="0.0000">
                  <c:v>1.4514316498390059</c:v>
                </c:pt>
                <c:pt idx="217" formatCode="0.0000">
                  <c:v>1.3432605455735822</c:v>
                </c:pt>
                <c:pt idx="218" formatCode="0.0000">
                  <c:v>1.4199219620993777</c:v>
                </c:pt>
                <c:pt idx="219" formatCode="0.0000">
                  <c:v>1.3175139819858546</c:v>
                </c:pt>
                <c:pt idx="220" formatCode="0.0000">
                  <c:v>1.3300485611657946</c:v>
                </c:pt>
                <c:pt idx="221" formatCode="0.0000">
                  <c:v>1.3446162561638062</c:v>
                </c:pt>
                <c:pt idx="222" formatCode="0.0000">
                  <c:v>1.3658465478669839</c:v>
                </c:pt>
                <c:pt idx="223" formatCode="0.0000">
                  <c:v>1.4250722228998463</c:v>
                </c:pt>
                <c:pt idx="224" formatCode="0.0000">
                  <c:v>1.4729504286507615</c:v>
                </c:pt>
                <c:pt idx="225" formatCode="0.0000">
                  <c:v>1.491074207556816</c:v>
                </c:pt>
                <c:pt idx="226" formatCode="0.0000">
                  <c:v>1.527293981810703</c:v>
                </c:pt>
                <c:pt idx="227" formatCode="0.0000">
                  <c:v>1.5454171686180433</c:v>
                </c:pt>
                <c:pt idx="228" formatCode="0.0000">
                  <c:v>1.5938989644368764</c:v>
                </c:pt>
                <c:pt idx="229" formatCode="0.0000">
                  <c:v>1.6208967325858157</c:v>
                </c:pt>
                <c:pt idx="230" formatCode="0.0000">
                  <c:v>1.6793778721120074</c:v>
                </c:pt>
                <c:pt idx="231" formatCode="0.0000">
                  <c:v>1.6940494415105432</c:v>
                </c:pt>
                <c:pt idx="232" formatCode="0.0000">
                  <c:v>1.6680316449565804</c:v>
                </c:pt>
                <c:pt idx="233" formatCode="0.0000">
                  <c:v>1.6306508189727731</c:v>
                </c:pt>
                <c:pt idx="234" formatCode="0.0000">
                  <c:v>1.6566093899614036</c:v>
                </c:pt>
                <c:pt idx="235" formatCode="0.0000">
                  <c:v>1.6104008610123066</c:v>
                </c:pt>
                <c:pt idx="236" formatCode="0.0000">
                  <c:v>1.590071715643935</c:v>
                </c:pt>
                <c:pt idx="237" formatCode="0.0000">
                  <c:v>1.6112109732873243</c:v>
                </c:pt>
                <c:pt idx="238" formatCode="0.0000">
                  <c:v>1.6146915665069195</c:v>
                </c:pt>
                <c:pt idx="239" formatCode="0.0000">
                  <c:v>1.520893680028085</c:v>
                </c:pt>
                <c:pt idx="240" formatCode="0.0000">
                  <c:v>1.5268468993153534</c:v>
                </c:pt>
                <c:pt idx="241" formatCode="0.0000">
                  <c:v>1.5222115444907323</c:v>
                </c:pt>
                <c:pt idx="242" formatCode="0.0000">
                  <c:v>1.5877656559657238</c:v>
                </c:pt>
                <c:pt idx="243" formatCode="0.0000">
                  <c:v>1.5687418133698352</c:v>
                </c:pt>
                <c:pt idx="244" formatCode="0.0000">
                  <c:v>1.5511368974555033</c:v>
                </c:pt>
                <c:pt idx="245" formatCode="0.0000">
                  <c:v>1.5686099374774665</c:v>
                </c:pt>
                <c:pt idx="246" formatCode="0.0000">
                  <c:v>1.5270009742832973</c:v>
                </c:pt>
                <c:pt idx="247" formatCode="0.0000">
                  <c:v>1.5058746455980565</c:v>
                </c:pt>
                <c:pt idx="248" formatCode="0.0000">
                  <c:v>1.4693382424627355</c:v>
                </c:pt>
                <c:pt idx="249" formatCode="0.0000">
                  <c:v>1.3516025746152585</c:v>
                </c:pt>
                <c:pt idx="250" formatCode="0.0000">
                  <c:v>1.3033319169600632</c:v>
                </c:pt>
                <c:pt idx="251" formatCode="0.0000">
                  <c:v>1.2822055960360312</c:v>
                </c:pt>
                <c:pt idx="252" formatCode="0.0000">
                  <c:v>1.259977705982781</c:v>
                </c:pt>
                <c:pt idx="253" formatCode="0.0000">
                  <c:v>1.2172954658999617</c:v>
                </c:pt>
                <c:pt idx="254" formatCode="0.0000">
                  <c:v>1.2018602778641974</c:v>
                </c:pt>
                <c:pt idx="255" formatCode="0.0000">
                  <c:v>1.1453746635546822</c:v>
                </c:pt>
                <c:pt idx="256" formatCode="0.0000">
                  <c:v>1.1897467482822162</c:v>
                </c:pt>
                <c:pt idx="257" formatCode="0.0000">
                  <c:v>1.2195681273409096</c:v>
                </c:pt>
                <c:pt idx="258" formatCode="0.0000">
                  <c:v>1.2549127691912447</c:v>
                </c:pt>
                <c:pt idx="259" formatCode="0.0000">
                  <c:v>1.1868122999821513</c:v>
                </c:pt>
                <c:pt idx="260" formatCode="0.0000">
                  <c:v>1.1965017346974267</c:v>
                </c:pt>
                <c:pt idx="261" formatCode="0.0000">
                  <c:v>1.1811835998831133</c:v>
                </c:pt>
                <c:pt idx="262" formatCode="0.0000">
                  <c:v>1.211962157970738</c:v>
                </c:pt>
                <c:pt idx="263" formatCode="0.0000">
                  <c:v>1.2081175276220348</c:v>
                </c:pt>
                <c:pt idx="264" formatCode="0.0000">
                  <c:v>1.1899004021499382</c:v>
                </c:pt>
                <c:pt idx="265" formatCode="0.0000">
                  <c:v>1.1272872656115269</c:v>
                </c:pt>
                <c:pt idx="266" formatCode="0.0000">
                  <c:v>1.1191971219731873</c:v>
                </c:pt>
                <c:pt idx="267" formatCode="0.0000">
                  <c:v>1.1150826955168751</c:v>
                </c:pt>
                <c:pt idx="268" formatCode="0.0000">
                  <c:v>1.1269178541354974</c:v>
                </c:pt>
                <c:pt idx="269" formatCode="0.0000">
                  <c:v>1.1067949845426395</c:v>
                </c:pt>
                <c:pt idx="270" formatCode="0.0000">
                  <c:v>1.0489402617694388</c:v>
                </c:pt>
                <c:pt idx="271" formatCode="0.0000">
                  <c:v>0.99998064583513491</c:v>
                </c:pt>
                <c:pt idx="272" formatCode="0.0000">
                  <c:v>0.91252603320546055</c:v>
                </c:pt>
                <c:pt idx="273" formatCode="0.0000">
                  <c:v>0.9314880430452589</c:v>
                </c:pt>
                <c:pt idx="274" formatCode="0.0000">
                  <c:v>0.92980042756696524</c:v>
                </c:pt>
                <c:pt idx="275" formatCode="0.0000">
                  <c:v>0.91855358631003414</c:v>
                </c:pt>
                <c:pt idx="276" formatCode="0.0000">
                  <c:v>0.91687182222333075</c:v>
                </c:pt>
                <c:pt idx="277" formatCode="0.0000">
                  <c:v>0.89870216445790041</c:v>
                </c:pt>
                <c:pt idx="278" formatCode="0.0000">
                  <c:v>0.92290602243771858</c:v>
                </c:pt>
                <c:pt idx="279" formatCode="0.0000">
                  <c:v>0.90796992974320445</c:v>
                </c:pt>
                <c:pt idx="280" formatCode="0.0000">
                  <c:v>0.91703978250242457</c:v>
                </c:pt>
                <c:pt idx="281" formatCode="0.0000">
                  <c:v>0.90351285830426131</c:v>
                </c:pt>
                <c:pt idx="282" formatCode="0.0000">
                  <c:v>0.89195366043101421</c:v>
                </c:pt>
                <c:pt idx="283" formatCode="0.0000">
                  <c:v>0.95998342633852851</c:v>
                </c:pt>
                <c:pt idx="284" formatCode="0.0000">
                  <c:v>0.96232034971586722</c:v>
                </c:pt>
                <c:pt idx="285" formatCode="0.0000">
                  <c:v>0.96005437592729326</c:v>
                </c:pt>
                <c:pt idx="286" formatCode="0.0000">
                  <c:v>0.97307445180973173</c:v>
                </c:pt>
                <c:pt idx="287" formatCode="0.0000">
                  <c:v>0.98626596608606432</c:v>
                </c:pt>
                <c:pt idx="288" formatCode="0.0000">
                  <c:v>1.0244404499381958</c:v>
                </c:pt>
                <c:pt idx="289" formatCode="0.0000">
                  <c:v>1.0297538576530183</c:v>
                </c:pt>
                <c:pt idx="290" formatCode="0.0000">
                  <c:v>0.95242819887452546</c:v>
                </c:pt>
                <c:pt idx="291" formatCode="0.0000">
                  <c:v>0.95435780473652443</c:v>
                </c:pt>
                <c:pt idx="292" formatCode="0.0000">
                  <c:v>0.95417389538680042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1B8-4DC2-847F-74C5A0E1D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763176"/>
        <c:axId val="1647083029"/>
      </c:lineChart>
      <c:lineChart>
        <c:grouping val="standard"/>
        <c:varyColors val="0"/>
        <c:ser>
          <c:idx val="1"/>
          <c:order val="1"/>
          <c:tx>
            <c:strRef>
              <c:f>'R(t) Województwa'!$CS$2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Województwa'!$CS$3:$CS$1000</c:f>
              <c:numCache>
                <c:formatCode>General</c:formatCode>
                <c:ptCount val="998"/>
                <c:pt idx="4">
                  <c:v>0.4</c:v>
                </c:pt>
                <c:pt idx="5">
                  <c:v>0.33333333333333331</c:v>
                </c:pt>
                <c:pt idx="6">
                  <c:v>0.2857142857142857</c:v>
                </c:pt>
                <c:pt idx="7">
                  <c:v>0.2857142857142857</c:v>
                </c:pt>
                <c:pt idx="8">
                  <c:v>0.5714285714285714</c:v>
                </c:pt>
                <c:pt idx="9">
                  <c:v>0.5714285714285714</c:v>
                </c:pt>
                <c:pt idx="10">
                  <c:v>0.42857142857142855</c:v>
                </c:pt>
                <c:pt idx="11">
                  <c:v>0.2857142857142857</c:v>
                </c:pt>
                <c:pt idx="12">
                  <c:v>0.42857142857142855</c:v>
                </c:pt>
                <c:pt idx="13">
                  <c:v>0.42857142857142855</c:v>
                </c:pt>
                <c:pt idx="14">
                  <c:v>0.7142857142857143</c:v>
                </c:pt>
                <c:pt idx="15">
                  <c:v>1</c:v>
                </c:pt>
                <c:pt idx="16">
                  <c:v>1.1428571428571428</c:v>
                </c:pt>
                <c:pt idx="17">
                  <c:v>1.8571428571428572</c:v>
                </c:pt>
                <c:pt idx="18">
                  <c:v>2.2857142857142856</c:v>
                </c:pt>
                <c:pt idx="19">
                  <c:v>2.4285714285714284</c:v>
                </c:pt>
                <c:pt idx="20">
                  <c:v>2.8571428571428572</c:v>
                </c:pt>
                <c:pt idx="21">
                  <c:v>3.1428571428571428</c:v>
                </c:pt>
                <c:pt idx="22">
                  <c:v>3.1428571428571428</c:v>
                </c:pt>
                <c:pt idx="23">
                  <c:v>3.8571428571428572</c:v>
                </c:pt>
                <c:pt idx="24">
                  <c:v>3.8571428571428572</c:v>
                </c:pt>
                <c:pt idx="25">
                  <c:v>3.7142857142857144</c:v>
                </c:pt>
                <c:pt idx="26">
                  <c:v>4.8571428571428568</c:v>
                </c:pt>
                <c:pt idx="27">
                  <c:v>4.5714285714285712</c:v>
                </c:pt>
                <c:pt idx="28">
                  <c:v>4.1428571428571432</c:v>
                </c:pt>
                <c:pt idx="29">
                  <c:v>4</c:v>
                </c:pt>
                <c:pt idx="30">
                  <c:v>4</c:v>
                </c:pt>
                <c:pt idx="31">
                  <c:v>4.4285714285714288</c:v>
                </c:pt>
                <c:pt idx="32">
                  <c:v>4.5714285714285712</c:v>
                </c:pt>
                <c:pt idx="33">
                  <c:v>3.4285714285714284</c:v>
                </c:pt>
                <c:pt idx="34">
                  <c:v>3.7142857142857144</c:v>
                </c:pt>
                <c:pt idx="35">
                  <c:v>4.1428571428571432</c:v>
                </c:pt>
                <c:pt idx="36">
                  <c:v>4.4285714285714288</c:v>
                </c:pt>
                <c:pt idx="37">
                  <c:v>4</c:v>
                </c:pt>
                <c:pt idx="38">
                  <c:v>5</c:v>
                </c:pt>
                <c:pt idx="39">
                  <c:v>4.7142857142857144</c:v>
                </c:pt>
                <c:pt idx="40">
                  <c:v>6</c:v>
                </c:pt>
                <c:pt idx="41">
                  <c:v>5.5714285714285712</c:v>
                </c:pt>
                <c:pt idx="42">
                  <c:v>5</c:v>
                </c:pt>
                <c:pt idx="43">
                  <c:v>4.7142857142857144</c:v>
                </c:pt>
                <c:pt idx="44">
                  <c:v>4.8571428571428568</c:v>
                </c:pt>
                <c:pt idx="45">
                  <c:v>4.1428571428571432</c:v>
                </c:pt>
                <c:pt idx="46">
                  <c:v>4</c:v>
                </c:pt>
                <c:pt idx="47">
                  <c:v>2.8571428571428572</c:v>
                </c:pt>
                <c:pt idx="48">
                  <c:v>3</c:v>
                </c:pt>
                <c:pt idx="49">
                  <c:v>3.2857142857142856</c:v>
                </c:pt>
                <c:pt idx="50">
                  <c:v>2.8571428571428572</c:v>
                </c:pt>
                <c:pt idx="51">
                  <c:v>2.2857142857142856</c:v>
                </c:pt>
                <c:pt idx="52">
                  <c:v>1</c:v>
                </c:pt>
                <c:pt idx="53">
                  <c:v>1</c:v>
                </c:pt>
                <c:pt idx="54">
                  <c:v>0.5714285714285714</c:v>
                </c:pt>
                <c:pt idx="55">
                  <c:v>0.42857142857142855</c:v>
                </c:pt>
                <c:pt idx="56">
                  <c:v>0.14285714285714285</c:v>
                </c:pt>
                <c:pt idx="57">
                  <c:v>0.14285714285714285</c:v>
                </c:pt>
                <c:pt idx="58">
                  <c:v>0.42857142857142855</c:v>
                </c:pt>
                <c:pt idx="59">
                  <c:v>0.2857142857142857</c:v>
                </c:pt>
                <c:pt idx="60">
                  <c:v>0.2857142857142857</c:v>
                </c:pt>
                <c:pt idx="61">
                  <c:v>0.2857142857142857</c:v>
                </c:pt>
                <c:pt idx="62">
                  <c:v>0.5714285714285714</c:v>
                </c:pt>
                <c:pt idx="63">
                  <c:v>0.8571428571428571</c:v>
                </c:pt>
                <c:pt idx="64">
                  <c:v>0.8571428571428571</c:v>
                </c:pt>
                <c:pt idx="65">
                  <c:v>1.1428571428571428</c:v>
                </c:pt>
                <c:pt idx="66">
                  <c:v>1.2857142857142858</c:v>
                </c:pt>
                <c:pt idx="67">
                  <c:v>1.7142857142857142</c:v>
                </c:pt>
                <c:pt idx="68">
                  <c:v>2</c:v>
                </c:pt>
                <c:pt idx="69">
                  <c:v>1.7142857142857142</c:v>
                </c:pt>
                <c:pt idx="70">
                  <c:v>1.7142857142857142</c:v>
                </c:pt>
                <c:pt idx="71">
                  <c:v>2.2857142857142856</c:v>
                </c:pt>
                <c:pt idx="72">
                  <c:v>1.8571428571428572</c:v>
                </c:pt>
                <c:pt idx="73">
                  <c:v>1.8571428571428572</c:v>
                </c:pt>
                <c:pt idx="74">
                  <c:v>1.4285714285714286</c:v>
                </c:pt>
                <c:pt idx="75">
                  <c:v>1.1428571428571428</c:v>
                </c:pt>
                <c:pt idx="76">
                  <c:v>1.1428571428571428</c:v>
                </c:pt>
                <c:pt idx="77">
                  <c:v>1.4285714285714286</c:v>
                </c:pt>
                <c:pt idx="78">
                  <c:v>0.8571428571428571</c:v>
                </c:pt>
                <c:pt idx="79">
                  <c:v>0.7142857142857143</c:v>
                </c:pt>
                <c:pt idx="80">
                  <c:v>0.5714285714285714</c:v>
                </c:pt>
                <c:pt idx="81">
                  <c:v>0.7142857142857143</c:v>
                </c:pt>
                <c:pt idx="82">
                  <c:v>0.7142857142857143</c:v>
                </c:pt>
                <c:pt idx="83">
                  <c:v>0.7142857142857143</c:v>
                </c:pt>
                <c:pt idx="84">
                  <c:v>0.7142857142857143</c:v>
                </c:pt>
                <c:pt idx="85">
                  <c:v>0.7142857142857143</c:v>
                </c:pt>
                <c:pt idx="86">
                  <c:v>0.7142857142857143</c:v>
                </c:pt>
                <c:pt idx="87">
                  <c:v>0.7142857142857143</c:v>
                </c:pt>
                <c:pt idx="88">
                  <c:v>0.5714285714285714</c:v>
                </c:pt>
                <c:pt idx="89">
                  <c:v>0.5714285714285714</c:v>
                </c:pt>
                <c:pt idx="90">
                  <c:v>0.5714285714285714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0.14285714285714285</c:v>
                </c:pt>
                <c:pt idx="95">
                  <c:v>0.14285714285714285</c:v>
                </c:pt>
                <c:pt idx="96">
                  <c:v>0.14285714285714285</c:v>
                </c:pt>
                <c:pt idx="97">
                  <c:v>0.2857142857142857</c:v>
                </c:pt>
                <c:pt idx="98">
                  <c:v>0.2857142857142857</c:v>
                </c:pt>
                <c:pt idx="99">
                  <c:v>0.2857142857142857</c:v>
                </c:pt>
                <c:pt idx="100">
                  <c:v>0.8571428571428571</c:v>
                </c:pt>
                <c:pt idx="101">
                  <c:v>0.7142857142857143</c:v>
                </c:pt>
                <c:pt idx="102">
                  <c:v>0.7142857142857143</c:v>
                </c:pt>
                <c:pt idx="103">
                  <c:v>0.8571428571428571</c:v>
                </c:pt>
                <c:pt idx="104">
                  <c:v>0.7142857142857143</c:v>
                </c:pt>
                <c:pt idx="105">
                  <c:v>1.5714285714285714</c:v>
                </c:pt>
                <c:pt idx="106">
                  <c:v>2.1428571428571428</c:v>
                </c:pt>
                <c:pt idx="107">
                  <c:v>2.4285714285714284</c:v>
                </c:pt>
                <c:pt idx="108">
                  <c:v>3.1428571428571428</c:v>
                </c:pt>
                <c:pt idx="109">
                  <c:v>3.4285714285714284</c:v>
                </c:pt>
                <c:pt idx="110">
                  <c:v>3.2857142857142856</c:v>
                </c:pt>
                <c:pt idx="111">
                  <c:v>3.5714285714285716</c:v>
                </c:pt>
                <c:pt idx="112">
                  <c:v>3</c:v>
                </c:pt>
                <c:pt idx="113">
                  <c:v>3.8571428571428572</c:v>
                </c:pt>
                <c:pt idx="114">
                  <c:v>3.5714285714285716</c:v>
                </c:pt>
                <c:pt idx="115">
                  <c:v>4.1428571428571432</c:v>
                </c:pt>
                <c:pt idx="116">
                  <c:v>3.8571428571428572</c:v>
                </c:pt>
                <c:pt idx="117">
                  <c:v>4.4285714285714288</c:v>
                </c:pt>
                <c:pt idx="118">
                  <c:v>4.4285714285714288</c:v>
                </c:pt>
                <c:pt idx="119">
                  <c:v>4.4285714285714288</c:v>
                </c:pt>
                <c:pt idx="120">
                  <c:v>3.8571428571428572</c:v>
                </c:pt>
                <c:pt idx="121">
                  <c:v>5</c:v>
                </c:pt>
                <c:pt idx="122">
                  <c:v>4.4285714285714288</c:v>
                </c:pt>
                <c:pt idx="123">
                  <c:v>5</c:v>
                </c:pt>
                <c:pt idx="124">
                  <c:v>4.5714285714285712</c:v>
                </c:pt>
                <c:pt idx="125">
                  <c:v>4.5714285714285712</c:v>
                </c:pt>
                <c:pt idx="126">
                  <c:v>4.4285714285714288</c:v>
                </c:pt>
                <c:pt idx="127">
                  <c:v>3.5714285714285716</c:v>
                </c:pt>
                <c:pt idx="128">
                  <c:v>2.2857142857142856</c:v>
                </c:pt>
                <c:pt idx="129">
                  <c:v>1.8571428571428572</c:v>
                </c:pt>
                <c:pt idx="130">
                  <c:v>1.5714285714285714</c:v>
                </c:pt>
                <c:pt idx="131">
                  <c:v>1.4285714285714286</c:v>
                </c:pt>
                <c:pt idx="132">
                  <c:v>1.4285714285714286</c:v>
                </c:pt>
                <c:pt idx="133">
                  <c:v>1.2857142857142858</c:v>
                </c:pt>
                <c:pt idx="134">
                  <c:v>1.5714285714285714</c:v>
                </c:pt>
                <c:pt idx="135">
                  <c:v>1.1428571428571428</c:v>
                </c:pt>
                <c:pt idx="136">
                  <c:v>1.5714285714285714</c:v>
                </c:pt>
                <c:pt idx="137">
                  <c:v>1.4285714285714286</c:v>
                </c:pt>
                <c:pt idx="138">
                  <c:v>1.7142857142857142</c:v>
                </c:pt>
                <c:pt idx="139">
                  <c:v>2</c:v>
                </c:pt>
                <c:pt idx="140">
                  <c:v>3.2857142857142856</c:v>
                </c:pt>
                <c:pt idx="141">
                  <c:v>5.4285714285714288</c:v>
                </c:pt>
                <c:pt idx="142">
                  <c:v>5.7142857142857144</c:v>
                </c:pt>
                <c:pt idx="143">
                  <c:v>5.8571428571428568</c:v>
                </c:pt>
                <c:pt idx="144">
                  <c:v>6</c:v>
                </c:pt>
                <c:pt idx="145">
                  <c:v>6.2857142857142856</c:v>
                </c:pt>
                <c:pt idx="146">
                  <c:v>5.7142857142857144</c:v>
                </c:pt>
                <c:pt idx="147">
                  <c:v>5.1428571428571432</c:v>
                </c:pt>
                <c:pt idx="148">
                  <c:v>3.4285714285714284</c:v>
                </c:pt>
                <c:pt idx="149">
                  <c:v>3.8571428571428572</c:v>
                </c:pt>
                <c:pt idx="150">
                  <c:v>4.2857142857142856</c:v>
                </c:pt>
                <c:pt idx="151">
                  <c:v>6.4285714285714288</c:v>
                </c:pt>
                <c:pt idx="152">
                  <c:v>6.5714285714285712</c:v>
                </c:pt>
                <c:pt idx="153">
                  <c:v>6.7142857142857144</c:v>
                </c:pt>
                <c:pt idx="154">
                  <c:v>6.5714285714285712</c:v>
                </c:pt>
                <c:pt idx="155">
                  <c:v>7.7142857142857144</c:v>
                </c:pt>
                <c:pt idx="156">
                  <c:v>8.7142857142857135</c:v>
                </c:pt>
                <c:pt idx="157">
                  <c:v>9.8571428571428577</c:v>
                </c:pt>
                <c:pt idx="158">
                  <c:v>11.571428571428571</c:v>
                </c:pt>
                <c:pt idx="159">
                  <c:v>15.142857142857142</c:v>
                </c:pt>
                <c:pt idx="160">
                  <c:v>15.857142857142858</c:v>
                </c:pt>
                <c:pt idx="161">
                  <c:v>19.857142857142858</c:v>
                </c:pt>
                <c:pt idx="162">
                  <c:v>22.714285714285715</c:v>
                </c:pt>
                <c:pt idx="163">
                  <c:v>22.571428571428573</c:v>
                </c:pt>
                <c:pt idx="164">
                  <c:v>22.428571428571427</c:v>
                </c:pt>
                <c:pt idx="165">
                  <c:v>20.285714285714285</c:v>
                </c:pt>
                <c:pt idx="166">
                  <c:v>17.428571428571427</c:v>
                </c:pt>
                <c:pt idx="167">
                  <c:v>18.142857142857142</c:v>
                </c:pt>
                <c:pt idx="168">
                  <c:v>14.714285714285714</c:v>
                </c:pt>
                <c:pt idx="169">
                  <c:v>13</c:v>
                </c:pt>
                <c:pt idx="170">
                  <c:v>13.285714285714286</c:v>
                </c:pt>
                <c:pt idx="171">
                  <c:v>15.285714285714286</c:v>
                </c:pt>
                <c:pt idx="172">
                  <c:v>15.857142857142858</c:v>
                </c:pt>
                <c:pt idx="173">
                  <c:v>18</c:v>
                </c:pt>
                <c:pt idx="174">
                  <c:v>16.571428571428573</c:v>
                </c:pt>
                <c:pt idx="175">
                  <c:v>18.428571428571427</c:v>
                </c:pt>
                <c:pt idx="176">
                  <c:v>18.857142857142858</c:v>
                </c:pt>
                <c:pt idx="177">
                  <c:v>24.285714285714285</c:v>
                </c:pt>
                <c:pt idx="178">
                  <c:v>23.142857142857142</c:v>
                </c:pt>
                <c:pt idx="179">
                  <c:v>22.571428571428573</c:v>
                </c:pt>
                <c:pt idx="180">
                  <c:v>21.428571428571427</c:v>
                </c:pt>
                <c:pt idx="181">
                  <c:v>21.571428571428573</c:v>
                </c:pt>
                <c:pt idx="182">
                  <c:v>20.285714285714285</c:v>
                </c:pt>
                <c:pt idx="183">
                  <c:v>19.571428571428573</c:v>
                </c:pt>
                <c:pt idx="184">
                  <c:v>14.571428571428571</c:v>
                </c:pt>
                <c:pt idx="185">
                  <c:v>13.571428571428571</c:v>
                </c:pt>
                <c:pt idx="186">
                  <c:v>13.857142857142858</c:v>
                </c:pt>
                <c:pt idx="187">
                  <c:v>12.714285714285714</c:v>
                </c:pt>
                <c:pt idx="188">
                  <c:v>14.571428571428571</c:v>
                </c:pt>
                <c:pt idx="189">
                  <c:v>13.428571428571429</c:v>
                </c:pt>
                <c:pt idx="190">
                  <c:v>13.285714285714286</c:v>
                </c:pt>
                <c:pt idx="191">
                  <c:v>12.857142857142858</c:v>
                </c:pt>
                <c:pt idx="192">
                  <c:v>13.142857142857142</c:v>
                </c:pt>
                <c:pt idx="193">
                  <c:v>13.428571428571429</c:v>
                </c:pt>
                <c:pt idx="194">
                  <c:v>14</c:v>
                </c:pt>
                <c:pt idx="195">
                  <c:v>12.142857142857142</c:v>
                </c:pt>
                <c:pt idx="196">
                  <c:v>14.571428571428571</c:v>
                </c:pt>
                <c:pt idx="197">
                  <c:v>13.857142857142858</c:v>
                </c:pt>
                <c:pt idx="198">
                  <c:v>16.142857142857142</c:v>
                </c:pt>
                <c:pt idx="199">
                  <c:v>17.428571428571427</c:v>
                </c:pt>
                <c:pt idx="200">
                  <c:v>18</c:v>
                </c:pt>
                <c:pt idx="201">
                  <c:v>19.428571428571427</c:v>
                </c:pt>
                <c:pt idx="202">
                  <c:v>20.714285714285715</c:v>
                </c:pt>
                <c:pt idx="203">
                  <c:v>20.714285714285715</c:v>
                </c:pt>
                <c:pt idx="204">
                  <c:v>23.714285714285715</c:v>
                </c:pt>
                <c:pt idx="205">
                  <c:v>22.857142857142858</c:v>
                </c:pt>
                <c:pt idx="206">
                  <c:v>31.571428571428573</c:v>
                </c:pt>
                <c:pt idx="207">
                  <c:v>34.571428571428569</c:v>
                </c:pt>
                <c:pt idx="208">
                  <c:v>43</c:v>
                </c:pt>
                <c:pt idx="209">
                  <c:v>43.428571428571431</c:v>
                </c:pt>
                <c:pt idx="210">
                  <c:v>47.571428571428569</c:v>
                </c:pt>
                <c:pt idx="211">
                  <c:v>52.285714285714285</c:v>
                </c:pt>
                <c:pt idx="212">
                  <c:v>63.571428571428569</c:v>
                </c:pt>
                <c:pt idx="213">
                  <c:v>61.428571428571431</c:v>
                </c:pt>
                <c:pt idx="214">
                  <c:v>66.142857142857139</c:v>
                </c:pt>
                <c:pt idx="215">
                  <c:v>64.285714285714292</c:v>
                </c:pt>
                <c:pt idx="216">
                  <c:v>66.285714285714292</c:v>
                </c:pt>
                <c:pt idx="217">
                  <c:v>64.142857142857139</c:v>
                </c:pt>
                <c:pt idx="218">
                  <c:v>71.571428571428569</c:v>
                </c:pt>
                <c:pt idx="219">
                  <c:v>72</c:v>
                </c:pt>
                <c:pt idx="220">
                  <c:v>76.285714285714292</c:v>
                </c:pt>
                <c:pt idx="221">
                  <c:v>81.142857142857139</c:v>
                </c:pt>
                <c:pt idx="222">
                  <c:v>86.428571428571431</c:v>
                </c:pt>
                <c:pt idx="223">
                  <c:v>92.857142857142861</c:v>
                </c:pt>
                <c:pt idx="224">
                  <c:v>99.142857142857139</c:v>
                </c:pt>
                <c:pt idx="225">
                  <c:v>110.14285714285714</c:v>
                </c:pt>
                <c:pt idx="226">
                  <c:v>122.42857142857143</c:v>
                </c:pt>
                <c:pt idx="227">
                  <c:v>133.71428571428572</c:v>
                </c:pt>
                <c:pt idx="228">
                  <c:v>150</c:v>
                </c:pt>
                <c:pt idx="229">
                  <c:v>164.85714285714286</c:v>
                </c:pt>
                <c:pt idx="230">
                  <c:v>181.57142857142858</c:v>
                </c:pt>
                <c:pt idx="231">
                  <c:v>193.85714285714286</c:v>
                </c:pt>
                <c:pt idx="232">
                  <c:v>215.57142857142858</c:v>
                </c:pt>
                <c:pt idx="233">
                  <c:v>232.71428571428572</c:v>
                </c:pt>
                <c:pt idx="234">
                  <c:v>259</c:v>
                </c:pt>
                <c:pt idx="235">
                  <c:v>276.14285714285717</c:v>
                </c:pt>
                <c:pt idx="236">
                  <c:v>294.71428571428572</c:v>
                </c:pt>
                <c:pt idx="237">
                  <c:v>320.42857142857144</c:v>
                </c:pt>
                <c:pt idx="238">
                  <c:v>339.85714285714283</c:v>
                </c:pt>
                <c:pt idx="239">
                  <c:v>353.28571428571428</c:v>
                </c:pt>
                <c:pt idx="240">
                  <c:v>383.85714285714283</c:v>
                </c:pt>
                <c:pt idx="241">
                  <c:v>416.57142857142856</c:v>
                </c:pt>
                <c:pt idx="242">
                  <c:v>472.71428571428572</c:v>
                </c:pt>
                <c:pt idx="243">
                  <c:v>501.14285714285717</c:v>
                </c:pt>
                <c:pt idx="244">
                  <c:v>531.42857142857144</c:v>
                </c:pt>
                <c:pt idx="245">
                  <c:v>569.14285714285711</c:v>
                </c:pt>
                <c:pt idx="246">
                  <c:v>594.85714285714289</c:v>
                </c:pt>
                <c:pt idx="247">
                  <c:v>633.42857142857144</c:v>
                </c:pt>
                <c:pt idx="248">
                  <c:v>666.57142857142856</c:v>
                </c:pt>
                <c:pt idx="249">
                  <c:v>658.28571428571433</c:v>
                </c:pt>
                <c:pt idx="250">
                  <c:v>661</c:v>
                </c:pt>
                <c:pt idx="251">
                  <c:v>677</c:v>
                </c:pt>
                <c:pt idx="252">
                  <c:v>689</c:v>
                </c:pt>
                <c:pt idx="253">
                  <c:v>688.42857142857144</c:v>
                </c:pt>
                <c:pt idx="254">
                  <c:v>705.57142857142856</c:v>
                </c:pt>
                <c:pt idx="255">
                  <c:v>694.14285714285711</c:v>
                </c:pt>
                <c:pt idx="256">
                  <c:v>738.57142857142856</c:v>
                </c:pt>
                <c:pt idx="257">
                  <c:v>776</c:v>
                </c:pt>
                <c:pt idx="258">
                  <c:v>825.42857142857144</c:v>
                </c:pt>
                <c:pt idx="259">
                  <c:v>798.85714285714289</c:v>
                </c:pt>
                <c:pt idx="260">
                  <c:v>823.14285714285711</c:v>
                </c:pt>
                <c:pt idx="261">
                  <c:v>838.85714285714289</c:v>
                </c:pt>
                <c:pt idx="262">
                  <c:v>883</c:v>
                </c:pt>
                <c:pt idx="263">
                  <c:v>911.71428571428567</c:v>
                </c:pt>
                <c:pt idx="264">
                  <c:v>921.71428571428567</c:v>
                </c:pt>
                <c:pt idx="265">
                  <c:v>896.57142857142856</c:v>
                </c:pt>
                <c:pt idx="266">
                  <c:v>898</c:v>
                </c:pt>
                <c:pt idx="267">
                  <c:v>908</c:v>
                </c:pt>
                <c:pt idx="268">
                  <c:v>934.42857142857144</c:v>
                </c:pt>
                <c:pt idx="269">
                  <c:v>935.85714285714289</c:v>
                </c:pt>
                <c:pt idx="270">
                  <c:v>901.42857142857144</c:v>
                </c:pt>
                <c:pt idx="271">
                  <c:v>862.57142857142856</c:v>
                </c:pt>
                <c:pt idx="272">
                  <c:v>785.85714285714289</c:v>
                </c:pt>
                <c:pt idx="273">
                  <c:v>794.57142857142856</c:v>
                </c:pt>
                <c:pt idx="274">
                  <c:v>784.14285714285711</c:v>
                </c:pt>
                <c:pt idx="275">
                  <c:v>762.42857142857144</c:v>
                </c:pt>
                <c:pt idx="276">
                  <c:v>748</c:v>
                </c:pt>
                <c:pt idx="277">
                  <c:v>721.14285714285711</c:v>
                </c:pt>
                <c:pt idx="278">
                  <c:v>731.71428571428567</c:v>
                </c:pt>
                <c:pt idx="279">
                  <c:v>716</c:v>
                </c:pt>
                <c:pt idx="280">
                  <c:v>715.14285714285711</c:v>
                </c:pt>
                <c:pt idx="281">
                  <c:v>696</c:v>
                </c:pt>
                <c:pt idx="282">
                  <c:v>673</c:v>
                </c:pt>
                <c:pt idx="283">
                  <c:v>706.42857142857144</c:v>
                </c:pt>
                <c:pt idx="284">
                  <c:v>702.71428571428567</c:v>
                </c:pt>
                <c:pt idx="285">
                  <c:v>696.14285714285711</c:v>
                </c:pt>
                <c:pt idx="286">
                  <c:v>704.42857142857144</c:v>
                </c:pt>
                <c:pt idx="287">
                  <c:v>710.71428571428567</c:v>
                </c:pt>
                <c:pt idx="288">
                  <c:v>734.14285714285711</c:v>
                </c:pt>
                <c:pt idx="289">
                  <c:v>739.57142857142856</c:v>
                </c:pt>
                <c:pt idx="290">
                  <c:v>686.57142857142856</c:v>
                </c:pt>
                <c:pt idx="291">
                  <c:v>682.42857142857144</c:v>
                </c:pt>
                <c:pt idx="292">
                  <c:v>677.57142857142856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1B8-4DC2-847F-74C5A0E1D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6910719"/>
        <c:axId val="324135688"/>
      </c:lineChart>
      <c:dateAx>
        <c:axId val="1382763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647083029"/>
        <c:crosses val="autoZero"/>
        <c:auto val="1"/>
        <c:lblOffset val="100"/>
        <c:baseTimeUnit val="days"/>
      </c:dateAx>
      <c:valAx>
        <c:axId val="1647083029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382763176"/>
        <c:crosses val="autoZero"/>
        <c:crossBetween val="between"/>
      </c:valAx>
      <c:dateAx>
        <c:axId val="1336910719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324135688"/>
        <c:crosses val="autoZero"/>
        <c:auto val="1"/>
        <c:lblOffset val="100"/>
        <c:baseTimeUnit val="days"/>
      </c:dateAx>
      <c:valAx>
        <c:axId val="324135688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336910719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Wielkopolskiego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Województwa'!$DD$2</c:f>
              <c:strCache>
                <c:ptCount val="1"/>
                <c:pt idx="0">
                  <c:v>Wielkopolskie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Województwa'!$DD$3:$DD$1000</c:f>
              <c:numCache>
                <c:formatCode>General</c:formatCode>
                <c:ptCount val="998"/>
                <c:pt idx="28" formatCode="0.0000">
                  <c:v>1.0722938647909341</c:v>
                </c:pt>
                <c:pt idx="29" formatCode="0.0000">
                  <c:v>1.2326465456123974</c:v>
                </c:pt>
                <c:pt idx="30" formatCode="0.0000">
                  <c:v>1.3660928377778045</c:v>
                </c:pt>
                <c:pt idx="31" formatCode="0.0000">
                  <c:v>1.2837637098896719</c:v>
                </c:pt>
                <c:pt idx="32" formatCode="0.0000">
                  <c:v>1.2562015943236666</c:v>
                </c:pt>
                <c:pt idx="33" formatCode="0.0000">
                  <c:v>1.4210171666433322</c:v>
                </c:pt>
                <c:pt idx="34" formatCode="0.0000">
                  <c:v>1.5856124530115583</c:v>
                </c:pt>
                <c:pt idx="35" formatCode="0.0000">
                  <c:v>1.5547082370678074</c:v>
                </c:pt>
                <c:pt idx="36" formatCode="0.0000">
                  <c:v>1.6110825133071838</c:v>
                </c:pt>
                <c:pt idx="37" formatCode="0.0000">
                  <c:v>1.5665369500542154</c:v>
                </c:pt>
                <c:pt idx="38" formatCode="0.0000">
                  <c:v>1.6427798160617706</c:v>
                </c:pt>
                <c:pt idx="39" formatCode="0.0000">
                  <c:v>1.7406364628528632</c:v>
                </c:pt>
                <c:pt idx="40" formatCode="0.0000">
                  <c:v>1.5368133028411555</c:v>
                </c:pt>
                <c:pt idx="41" formatCode="0.0000">
                  <c:v>1.5209968579247468</c:v>
                </c:pt>
                <c:pt idx="42" formatCode="0.0000">
                  <c:v>1.5151110631431572</c:v>
                </c:pt>
                <c:pt idx="43" formatCode="0.0000">
                  <c:v>1.6184127729923878</c:v>
                </c:pt>
                <c:pt idx="44" formatCode="0.0000">
                  <c:v>1.5569329236532228</c:v>
                </c:pt>
                <c:pt idx="45" formatCode="0.0000">
                  <c:v>1.482420360358361</c:v>
                </c:pt>
                <c:pt idx="46" formatCode="0.0000">
                  <c:v>1.2733744635358342</c:v>
                </c:pt>
                <c:pt idx="47" formatCode="0.0000">
                  <c:v>1.5477776917115142</c:v>
                </c:pt>
                <c:pt idx="48" formatCode="0.0000">
                  <c:v>1.2730705303630414</c:v>
                </c:pt>
                <c:pt idx="49" formatCode="0.0000">
                  <c:v>1.241927064684536</c:v>
                </c:pt>
                <c:pt idx="50" formatCode="0.0000">
                  <c:v>0.93577781705862983</c:v>
                </c:pt>
                <c:pt idx="51" formatCode="0.0000">
                  <c:v>1.0234501688912923</c:v>
                </c:pt>
                <c:pt idx="52" formatCode="0.0000">
                  <c:v>1.0830669361034477</c:v>
                </c:pt>
                <c:pt idx="53" formatCode="0.0000">
                  <c:v>1.1147110120029053</c:v>
                </c:pt>
                <c:pt idx="54" formatCode="0.0000">
                  <c:v>0.84559720184588572</c:v>
                </c:pt>
                <c:pt idx="55" formatCode="0.0000">
                  <c:v>0.87807922820103967</c:v>
                </c:pt>
                <c:pt idx="56" formatCode="0.0000">
                  <c:v>0.89671385121859515</c:v>
                </c:pt>
                <c:pt idx="57" formatCode="0.0000">
                  <c:v>0.97194025203615175</c:v>
                </c:pt>
                <c:pt idx="58" formatCode="0.0000">
                  <c:v>0.84348449232792311</c:v>
                </c:pt>
                <c:pt idx="59" formatCode="0.0000">
                  <c:v>0.64107588704101481</c:v>
                </c:pt>
                <c:pt idx="60" formatCode="0.0000">
                  <c:v>0.76492146781803017</c:v>
                </c:pt>
                <c:pt idx="61" formatCode="0.0000">
                  <c:v>0.73462617764141402</c:v>
                </c:pt>
                <c:pt idx="62" formatCode="0.0000">
                  <c:v>0.66945194348068282</c:v>
                </c:pt>
                <c:pt idx="63" formatCode="0.0000">
                  <c:v>0.8743713462481798</c:v>
                </c:pt>
                <c:pt idx="64" formatCode="0.0000">
                  <c:v>0.81571051559863705</c:v>
                </c:pt>
                <c:pt idx="65" formatCode="0.0000">
                  <c:v>0.82869526409384153</c:v>
                </c:pt>
                <c:pt idx="66" formatCode="0.0000">
                  <c:v>0.88662819530444281</c:v>
                </c:pt>
                <c:pt idx="67" formatCode="0.0000">
                  <c:v>0.74909034997115376</c:v>
                </c:pt>
                <c:pt idx="68" formatCode="0.0000">
                  <c:v>0.66732076680789187</c:v>
                </c:pt>
                <c:pt idx="69" formatCode="0.0000">
                  <c:v>0.78061117867961793</c:v>
                </c:pt>
                <c:pt idx="70" formatCode="0.0000">
                  <c:v>0.53510488105113641</c:v>
                </c:pt>
                <c:pt idx="71" formatCode="0.0000">
                  <c:v>0.54103485300257326</c:v>
                </c:pt>
                <c:pt idx="72" formatCode="0.0000">
                  <c:v>0.52876373649928132</c:v>
                </c:pt>
                <c:pt idx="73" formatCode="0.0000">
                  <c:v>0.58451836102722055</c:v>
                </c:pt>
                <c:pt idx="74" formatCode="0.0000">
                  <c:v>0.55036234610396262</c:v>
                </c:pt>
                <c:pt idx="75" formatCode="0.0000">
                  <c:v>0.86538931423451104</c:v>
                </c:pt>
                <c:pt idx="76" formatCode="0.0000">
                  <c:v>0.79709856659616729</c:v>
                </c:pt>
                <c:pt idx="77" formatCode="0.0000">
                  <c:v>0.77011923012881345</c:v>
                </c:pt>
                <c:pt idx="78" formatCode="0.0000">
                  <c:v>1.3780264241824778</c:v>
                </c:pt>
                <c:pt idx="79" formatCode="0.0000">
                  <c:v>1.4280931664325931</c:v>
                </c:pt>
                <c:pt idx="80" formatCode="0.0000">
                  <c:v>1.3922968052618465</c:v>
                </c:pt>
                <c:pt idx="81" formatCode="0.0000">
                  <c:v>1.4236045169794704</c:v>
                </c:pt>
                <c:pt idx="82" formatCode="0.0000">
                  <c:v>1.5128136782958685</c:v>
                </c:pt>
                <c:pt idx="83" formatCode="0.0000">
                  <c:v>1.5144881736418836</c:v>
                </c:pt>
                <c:pt idx="84" formatCode="0.0000">
                  <c:v>1.5741989899375588</c:v>
                </c:pt>
                <c:pt idx="85" formatCode="0.0000">
                  <c:v>1.2041195027682956</c:v>
                </c:pt>
                <c:pt idx="86" formatCode="0.0000">
                  <c:v>1.1348460251782011</c:v>
                </c:pt>
                <c:pt idx="87" formatCode="0.0000">
                  <c:v>1.1135914591366325</c:v>
                </c:pt>
                <c:pt idx="88" formatCode="0.0000">
                  <c:v>1.0512897338163898</c:v>
                </c:pt>
                <c:pt idx="89" formatCode="0.0000">
                  <c:v>0.65542992874227346</c:v>
                </c:pt>
                <c:pt idx="90" formatCode="0.0000">
                  <c:v>0.59959644760663156</c:v>
                </c:pt>
                <c:pt idx="91" formatCode="0.0000">
                  <c:v>0.76407481869235894</c:v>
                </c:pt>
                <c:pt idx="92" formatCode="0.0000">
                  <c:v>0.578362737267339</c:v>
                </c:pt>
                <c:pt idx="93" formatCode="0.0000">
                  <c:v>0.58214116040635311</c:v>
                </c:pt>
                <c:pt idx="94" formatCode="0.0000">
                  <c:v>0.54163093059894107</c:v>
                </c:pt>
                <c:pt idx="95" formatCode="0.0000">
                  <c:v>0.88733169874171047</c:v>
                </c:pt>
                <c:pt idx="96" formatCode="0.0000">
                  <c:v>0.97051541699562416</c:v>
                </c:pt>
                <c:pt idx="97" formatCode="0.0000">
                  <c:v>1.0337727911050723</c:v>
                </c:pt>
                <c:pt idx="98" formatCode="0.0000">
                  <c:v>0.88424420423775929</c:v>
                </c:pt>
                <c:pt idx="99" formatCode="0.0000">
                  <c:v>0.80623549492948732</c:v>
                </c:pt>
                <c:pt idx="100" formatCode="0.0000">
                  <c:v>0.9784207818332924</c:v>
                </c:pt>
                <c:pt idx="101" formatCode="0.0000">
                  <c:v>1.0537114031300234</c:v>
                </c:pt>
                <c:pt idx="102" formatCode="0.0000">
                  <c:v>0.90877137363849381</c:v>
                </c:pt>
                <c:pt idx="103" formatCode="0.0000">
                  <c:v>0.92014750486771535</c:v>
                </c:pt>
                <c:pt idx="104" formatCode="0.0000">
                  <c:v>0.96317706450748131</c:v>
                </c:pt>
                <c:pt idx="105" formatCode="0.0000">
                  <c:v>0.91887929596391782</c:v>
                </c:pt>
                <c:pt idx="106" formatCode="0.0000">
                  <c:v>0.97802161367951768</c:v>
                </c:pt>
                <c:pt idx="107" formatCode="0.0000">
                  <c:v>0.81818884686946269</c:v>
                </c:pt>
                <c:pt idx="108" formatCode="0.0000">
                  <c:v>0.82894290976699991</c:v>
                </c:pt>
                <c:pt idx="109" formatCode="0.0000">
                  <c:v>0.70505996966130202</c:v>
                </c:pt>
                <c:pt idx="110" formatCode="0.0000">
                  <c:v>0.66856226962992149</c:v>
                </c:pt>
                <c:pt idx="111" formatCode="0.0000">
                  <c:v>0.74963419733350867</c:v>
                </c:pt>
                <c:pt idx="112" formatCode="0.0000">
                  <c:v>0.9758967368616932</c:v>
                </c:pt>
                <c:pt idx="113" formatCode="0.0000">
                  <c:v>1.0280016982413247</c:v>
                </c:pt>
                <c:pt idx="114" formatCode="0.0000">
                  <c:v>1.0273323204070823</c:v>
                </c:pt>
                <c:pt idx="115" formatCode="0.0000">
                  <c:v>1.2631112348567866</c:v>
                </c:pt>
                <c:pt idx="116" formatCode="0.0000">
                  <c:v>1.5744956850181988</c:v>
                </c:pt>
                <c:pt idx="117" formatCode="0.0000">
                  <c:v>1.51103977049373</c:v>
                </c:pt>
                <c:pt idx="118" formatCode="0.0000">
                  <c:v>1.5219910734529087</c:v>
                </c:pt>
                <c:pt idx="119" formatCode="0.0000">
                  <c:v>1.4086283908544301</c:v>
                </c:pt>
                <c:pt idx="120" formatCode="0.0000">
                  <c:v>1.9611224644596186</c:v>
                </c:pt>
                <c:pt idx="121" formatCode="0.0000">
                  <c:v>1.996496997268018</c:v>
                </c:pt>
                <c:pt idx="122" formatCode="0.0000">
                  <c:v>1.8515063909227027</c:v>
                </c:pt>
                <c:pt idx="123" formatCode="0.0000">
                  <c:v>1.6923624261902754</c:v>
                </c:pt>
                <c:pt idx="124" formatCode="0.0000">
                  <c:v>1.8111266549811145</c:v>
                </c:pt>
                <c:pt idx="125" formatCode="0.0000">
                  <c:v>1.6080716606683456</c:v>
                </c:pt>
                <c:pt idx="126" formatCode="0.0000">
                  <c:v>1.7503937735392194</c:v>
                </c:pt>
                <c:pt idx="127" formatCode="0.0000">
                  <c:v>1.1212497359658353</c:v>
                </c:pt>
                <c:pt idx="128" formatCode="0.0000">
                  <c:v>1.1107655713457594</c:v>
                </c:pt>
                <c:pt idx="129" formatCode="0.0000">
                  <c:v>0.97888275464464236</c:v>
                </c:pt>
                <c:pt idx="130" formatCode="0.0000">
                  <c:v>0.93068056454459325</c:v>
                </c:pt>
                <c:pt idx="131" formatCode="0.0000">
                  <c:v>1.1889992762384496</c:v>
                </c:pt>
                <c:pt idx="132" formatCode="0.0000">
                  <c:v>1.2250793927686439</c:v>
                </c:pt>
                <c:pt idx="133" formatCode="0.0000">
                  <c:v>1.0905196180299783</c:v>
                </c:pt>
                <c:pt idx="134" formatCode="0.0000">
                  <c:v>1.0757798490707631</c:v>
                </c:pt>
                <c:pt idx="135" formatCode="0.0000">
                  <c:v>1.0419353942022036</c:v>
                </c:pt>
                <c:pt idx="136" formatCode="0.0000">
                  <c:v>1.157707300871343</c:v>
                </c:pt>
                <c:pt idx="137" formatCode="0.0000">
                  <c:v>1.0098728419759584</c:v>
                </c:pt>
                <c:pt idx="138" formatCode="0.0000">
                  <c:v>0.70972798392948777</c:v>
                </c:pt>
                <c:pt idx="139" formatCode="0.0000">
                  <c:v>0.79709341855000326</c:v>
                </c:pt>
                <c:pt idx="140" formatCode="0.0000">
                  <c:v>0.71273359001645764</c:v>
                </c:pt>
                <c:pt idx="141" formatCode="0.0000">
                  <c:v>0.74634511603826936</c:v>
                </c:pt>
                <c:pt idx="142" formatCode="0.0000">
                  <c:v>0.74474360294858521</c:v>
                </c:pt>
                <c:pt idx="143" formatCode="0.0000">
                  <c:v>0.62876752064554187</c:v>
                </c:pt>
                <c:pt idx="144" formatCode="0.0000">
                  <c:v>0.78239725961624551</c:v>
                </c:pt>
                <c:pt idx="145" formatCode="0.0000">
                  <c:v>0.82154576925234146</c:v>
                </c:pt>
                <c:pt idx="146" formatCode="0.0000">
                  <c:v>0.73311620611832562</c:v>
                </c:pt>
                <c:pt idx="147" formatCode="0.0000">
                  <c:v>0.89632663385691314</c:v>
                </c:pt>
                <c:pt idx="148" formatCode="0.0000">
                  <c:v>0.86745189867600525</c:v>
                </c:pt>
                <c:pt idx="149" formatCode="0.0000">
                  <c:v>0.94730462475919663</c:v>
                </c:pt>
                <c:pt idx="150" formatCode="0.0000">
                  <c:v>1.2098825032747162</c:v>
                </c:pt>
                <c:pt idx="151" formatCode="0.0000">
                  <c:v>1.2018001886945426</c:v>
                </c:pt>
                <c:pt idx="152" formatCode="0.0000">
                  <c:v>1.3987962851049782</c:v>
                </c:pt>
                <c:pt idx="153" formatCode="0.0000">
                  <c:v>1.7085014892135126</c:v>
                </c:pt>
                <c:pt idx="154" formatCode="0.0000">
                  <c:v>1.7343393065734058</c:v>
                </c:pt>
                <c:pt idx="155" formatCode="0.0000">
                  <c:v>1.9228502068853823</c:v>
                </c:pt>
                <c:pt idx="156" formatCode="0.0000">
                  <c:v>1.9850567926187934</c:v>
                </c:pt>
                <c:pt idx="157" formatCode="0.0000">
                  <c:v>1.7581829722944697</c:v>
                </c:pt>
                <c:pt idx="158" formatCode="0.0000">
                  <c:v>1.7008487702660795</c:v>
                </c:pt>
                <c:pt idx="159" formatCode="0.0000">
                  <c:v>1.5248106174736218</c:v>
                </c:pt>
                <c:pt idx="160" formatCode="0.0000">
                  <c:v>1.301046077099647</c:v>
                </c:pt>
                <c:pt idx="161" formatCode="0.0000">
                  <c:v>1.0981624095534965</c:v>
                </c:pt>
                <c:pt idx="162" formatCode="0.0000">
                  <c:v>0.9326165627726235</c:v>
                </c:pt>
                <c:pt idx="163" formatCode="0.0000">
                  <c:v>0.85802599859914963</c:v>
                </c:pt>
                <c:pt idx="164" formatCode="0.0000">
                  <c:v>0.86644566628510999</c:v>
                </c:pt>
                <c:pt idx="165" formatCode="0.0000">
                  <c:v>0.90652064510229979</c:v>
                </c:pt>
                <c:pt idx="166" formatCode="0.0000">
                  <c:v>0.88766248530811609</c:v>
                </c:pt>
                <c:pt idx="167" formatCode="0.0000">
                  <c:v>0.81592822006702814</c:v>
                </c:pt>
                <c:pt idx="168" formatCode="0.0000">
                  <c:v>0.84588106089525283</c:v>
                </c:pt>
                <c:pt idx="169" formatCode="0.0000">
                  <c:v>0.87409782035392403</c:v>
                </c:pt>
                <c:pt idx="170" formatCode="0.0000">
                  <c:v>0.97037118991079419</c:v>
                </c:pt>
                <c:pt idx="171" formatCode="0.0000">
                  <c:v>1.0665556010790207</c:v>
                </c:pt>
                <c:pt idx="172" formatCode="0.0000">
                  <c:v>1.1054716512621556</c:v>
                </c:pt>
                <c:pt idx="173" formatCode="0.0000">
                  <c:v>1.0840431772205215</c:v>
                </c:pt>
                <c:pt idx="174" formatCode="0.0000">
                  <c:v>1.1352503241125838</c:v>
                </c:pt>
                <c:pt idx="175" formatCode="0.0000">
                  <c:v>1.0961422466244217</c:v>
                </c:pt>
                <c:pt idx="176" formatCode="0.0000">
                  <c:v>1.2219828423423706</c:v>
                </c:pt>
                <c:pt idx="177" formatCode="0.0000">
                  <c:v>1.2068652095065933</c:v>
                </c:pt>
                <c:pt idx="178" formatCode="0.0000">
                  <c:v>1.2039949012023314</c:v>
                </c:pt>
                <c:pt idx="179" formatCode="0.0000">
                  <c:v>1.2000715074691801</c:v>
                </c:pt>
                <c:pt idx="180" formatCode="0.0000">
                  <c:v>1.2251234878582302</c:v>
                </c:pt>
                <c:pt idx="181" formatCode="0.0000">
                  <c:v>1.1542165856232292</c:v>
                </c:pt>
                <c:pt idx="182" formatCode="0.0000">
                  <c:v>1.1396432659404747</c:v>
                </c:pt>
                <c:pt idx="183" formatCode="0.0000">
                  <c:v>1.0141755429291011</c:v>
                </c:pt>
                <c:pt idx="184" formatCode="0.0000">
                  <c:v>0.90815300029477186</c:v>
                </c:pt>
                <c:pt idx="185" formatCode="0.0000">
                  <c:v>0.9328506315859969</c:v>
                </c:pt>
                <c:pt idx="186" formatCode="0.0000">
                  <c:v>0.86541219594681007</c:v>
                </c:pt>
                <c:pt idx="187" formatCode="0.0000">
                  <c:v>0.81081875071419163</c:v>
                </c:pt>
                <c:pt idx="188" formatCode="0.0000">
                  <c:v>0.80223000619787066</c:v>
                </c:pt>
                <c:pt idx="189" formatCode="0.0000">
                  <c:v>0.82034106281805941</c:v>
                </c:pt>
                <c:pt idx="190" formatCode="0.0000">
                  <c:v>0.77526950105308023</c:v>
                </c:pt>
                <c:pt idx="191" formatCode="0.0000">
                  <c:v>0.89203424489030247</c:v>
                </c:pt>
                <c:pt idx="192" formatCode="0.0000">
                  <c:v>0.82187348781468506</c:v>
                </c:pt>
                <c:pt idx="193" formatCode="0.0000">
                  <c:v>0.82553947276849027</c:v>
                </c:pt>
                <c:pt idx="194" formatCode="0.0000">
                  <c:v>0.94756109179763259</c:v>
                </c:pt>
                <c:pt idx="195" formatCode="0.0000">
                  <c:v>0.95632357446881677</c:v>
                </c:pt>
                <c:pt idx="196" formatCode="0.0000">
                  <c:v>0.95264995591551993</c:v>
                </c:pt>
                <c:pt idx="197" formatCode="0.0000">
                  <c:v>0.93332029761941526</c:v>
                </c:pt>
                <c:pt idx="198" formatCode="0.0000">
                  <c:v>0.94642502777728432</c:v>
                </c:pt>
                <c:pt idx="199" formatCode="0.0000">
                  <c:v>1.0120834907365706</c:v>
                </c:pt>
                <c:pt idx="200" formatCode="0.0000">
                  <c:v>1.135276210197969</c:v>
                </c:pt>
                <c:pt idx="201" formatCode="0.0000">
                  <c:v>1.2384548114054823</c:v>
                </c:pt>
                <c:pt idx="202" formatCode="0.0000">
                  <c:v>1.2893752682211381</c:v>
                </c:pt>
                <c:pt idx="203" formatCode="0.0000">
                  <c:v>1.2889515509527214</c:v>
                </c:pt>
                <c:pt idx="204" formatCode="0.0000">
                  <c:v>1.4071260008359201</c:v>
                </c:pt>
                <c:pt idx="205" formatCode="0.0000">
                  <c:v>1.352753165764113</c:v>
                </c:pt>
                <c:pt idx="206" formatCode="0.0000">
                  <c:v>1.3094145762924756</c:v>
                </c:pt>
                <c:pt idx="207" formatCode="0.0000">
                  <c:v>1.3968566843674191</c:v>
                </c:pt>
                <c:pt idx="208" formatCode="0.0000">
                  <c:v>1.2678944600376774</c:v>
                </c:pt>
                <c:pt idx="209" formatCode="0.0000">
                  <c:v>1.4917183706718349</c:v>
                </c:pt>
                <c:pt idx="210" formatCode="0.0000">
                  <c:v>1.5260714402377864</c:v>
                </c:pt>
                <c:pt idx="211" formatCode="0.0000">
                  <c:v>1.5495785581441628</c:v>
                </c:pt>
                <c:pt idx="212" formatCode="0.0000">
                  <c:v>1.5947950672403308</c:v>
                </c:pt>
                <c:pt idx="213" formatCode="0.0000">
                  <c:v>1.6573370488215373</c:v>
                </c:pt>
                <c:pt idx="214" formatCode="0.0000">
                  <c:v>1.5626476693037368</c:v>
                </c:pt>
                <c:pt idx="215" formatCode="0.0000">
                  <c:v>1.557451342971135</c:v>
                </c:pt>
                <c:pt idx="216" formatCode="0.0000">
                  <c:v>1.4010533387724935</c:v>
                </c:pt>
                <c:pt idx="217" formatCode="0.0000">
                  <c:v>1.3887741796970408</c:v>
                </c:pt>
                <c:pt idx="218" formatCode="0.0000">
                  <c:v>1.4279574485853161</c:v>
                </c:pt>
                <c:pt idx="219" formatCode="0.0000">
                  <c:v>1.6508211302980154</c:v>
                </c:pt>
                <c:pt idx="220" formatCode="0.0000">
                  <c:v>1.7071870369280313</c:v>
                </c:pt>
                <c:pt idx="221" formatCode="0.0000">
                  <c:v>1.667992350676613</c:v>
                </c:pt>
                <c:pt idx="222" formatCode="0.0000">
                  <c:v>1.7080291695553307</c:v>
                </c:pt>
                <c:pt idx="223" formatCode="0.0000">
                  <c:v>1.8054497705039663</c:v>
                </c:pt>
                <c:pt idx="224" formatCode="0.0000">
                  <c:v>1.8574116656233461</c:v>
                </c:pt>
                <c:pt idx="225" formatCode="0.0000">
                  <c:v>1.8466407608778626</c:v>
                </c:pt>
                <c:pt idx="226" formatCode="0.0000">
                  <c:v>1.736478045062315</c:v>
                </c:pt>
                <c:pt idx="227" formatCode="0.0000">
                  <c:v>1.6404590547681845</c:v>
                </c:pt>
                <c:pt idx="228" formatCode="0.0000">
                  <c:v>1.7708741297670945</c:v>
                </c:pt>
                <c:pt idx="229" formatCode="0.0000">
                  <c:v>1.7558866813391398</c:v>
                </c:pt>
                <c:pt idx="230" formatCode="0.0000">
                  <c:v>1.5888701223058626</c:v>
                </c:pt>
                <c:pt idx="231" formatCode="0.0000">
                  <c:v>1.7515274002809249</c:v>
                </c:pt>
                <c:pt idx="232" formatCode="0.0000">
                  <c:v>1.6920812996095644</c:v>
                </c:pt>
                <c:pt idx="233" formatCode="0.0000">
                  <c:v>1.6779918080089644</c:v>
                </c:pt>
                <c:pt idx="234" formatCode="0.0000">
                  <c:v>1.6674375329595907</c:v>
                </c:pt>
                <c:pt idx="235" formatCode="0.0000">
                  <c:v>1.5816973950129369</c:v>
                </c:pt>
                <c:pt idx="236" formatCode="0.0000">
                  <c:v>1.5195650844107715</c:v>
                </c:pt>
                <c:pt idx="237" formatCode="0.0000">
                  <c:v>1.4835372279861454</c:v>
                </c:pt>
                <c:pt idx="238" formatCode="0.0000">
                  <c:v>1.437290640024264</c:v>
                </c:pt>
                <c:pt idx="239" formatCode="0.0000">
                  <c:v>1.7038460516377565</c:v>
                </c:pt>
                <c:pt idx="240" formatCode="0.0000">
                  <c:v>1.6777157680412109</c:v>
                </c:pt>
                <c:pt idx="241" formatCode="0.0000">
                  <c:v>1.7930934991208571</c:v>
                </c:pt>
                <c:pt idx="242" formatCode="0.0000">
                  <c:v>1.7344362808717979</c:v>
                </c:pt>
                <c:pt idx="243" formatCode="0.0000">
                  <c:v>1.6688161168065652</c:v>
                </c:pt>
                <c:pt idx="244" formatCode="0.0000">
                  <c:v>1.7064257695741483</c:v>
                </c:pt>
                <c:pt idx="245" formatCode="0.0000">
                  <c:v>1.6287584014000387</c:v>
                </c:pt>
                <c:pt idx="246" formatCode="0.0000">
                  <c:v>1.5331095537660038</c:v>
                </c:pt>
                <c:pt idx="247" formatCode="0.0000">
                  <c:v>1.5052634626679369</c:v>
                </c:pt>
                <c:pt idx="248" formatCode="0.0000">
                  <c:v>1.3262812145973604</c:v>
                </c:pt>
                <c:pt idx="249" formatCode="0.0000">
                  <c:v>1.283052186945574</c:v>
                </c:pt>
                <c:pt idx="250" formatCode="0.0000">
                  <c:v>1.3312015683269138</c:v>
                </c:pt>
                <c:pt idx="251" formatCode="0.0000">
                  <c:v>1.3496058396118689</c:v>
                </c:pt>
                <c:pt idx="252" formatCode="0.0000">
                  <c:v>1.4109485372271207</c:v>
                </c:pt>
                <c:pt idx="253" formatCode="0.0000">
                  <c:v>1.251394919355133</c:v>
                </c:pt>
                <c:pt idx="254" formatCode="0.0000">
                  <c:v>1.0979429252190027</c:v>
                </c:pt>
                <c:pt idx="255" formatCode="0.0000">
                  <c:v>1.1331367247686781</c:v>
                </c:pt>
                <c:pt idx="256" formatCode="0.0000">
                  <c:v>1.1310224628396353</c:v>
                </c:pt>
                <c:pt idx="257" formatCode="0.0000">
                  <c:v>1.1341118420157408</c:v>
                </c:pt>
                <c:pt idx="258" formatCode="0.0000">
                  <c:v>1.1426409690963291</c:v>
                </c:pt>
                <c:pt idx="259" formatCode="0.0000">
                  <c:v>0.97401271586140148</c:v>
                </c:pt>
                <c:pt idx="260" formatCode="0.0000">
                  <c:v>0.86288880560786985</c:v>
                </c:pt>
                <c:pt idx="261" formatCode="0.0000">
                  <c:v>0.87716487942153465</c:v>
                </c:pt>
                <c:pt idx="262" formatCode="0.0000">
                  <c:v>0.8597730911037168</c:v>
                </c:pt>
                <c:pt idx="263" formatCode="0.0000">
                  <c:v>0.86980093410006487</c:v>
                </c:pt>
                <c:pt idx="264" formatCode="0.0000">
                  <c:v>0.88247656412411024</c:v>
                </c:pt>
                <c:pt idx="265" formatCode="0.0000">
                  <c:v>0.86792848793619837</c:v>
                </c:pt>
                <c:pt idx="266" formatCode="0.0000">
                  <c:v>0.82460053973885061</c:v>
                </c:pt>
                <c:pt idx="267" formatCode="0.0000">
                  <c:v>0.85717669369200145</c:v>
                </c:pt>
                <c:pt idx="268" formatCode="0.0000">
                  <c:v>0.8429764042084914</c:v>
                </c:pt>
                <c:pt idx="269" formatCode="0.0000">
                  <c:v>0.8550373432466164</c:v>
                </c:pt>
                <c:pt idx="270" formatCode="0.0000">
                  <c:v>0.82294515709400784</c:v>
                </c:pt>
                <c:pt idx="271" formatCode="0.0000">
                  <c:v>0.81153038122627641</c:v>
                </c:pt>
                <c:pt idx="272" formatCode="0.0000">
                  <c:v>0.73050004435298299</c:v>
                </c:pt>
                <c:pt idx="273" formatCode="0.0000">
                  <c:v>0.75857083826366123</c:v>
                </c:pt>
                <c:pt idx="274" formatCode="0.0000">
                  <c:v>0.80316976326270606</c:v>
                </c:pt>
                <c:pt idx="275" formatCode="0.0000">
                  <c:v>0.84044667953895025</c:v>
                </c:pt>
                <c:pt idx="276" formatCode="0.0000">
                  <c:v>0.80640151787823133</c:v>
                </c:pt>
                <c:pt idx="277" formatCode="0.0000">
                  <c:v>0.78469640592455037</c:v>
                </c:pt>
                <c:pt idx="278" formatCode="0.0000">
                  <c:v>0.76915843184395249</c:v>
                </c:pt>
                <c:pt idx="279" formatCode="0.0000">
                  <c:v>0.76974078564474269</c:v>
                </c:pt>
                <c:pt idx="280" formatCode="0.0000">
                  <c:v>0.76461016353876787</c:v>
                </c:pt>
                <c:pt idx="281" formatCode="0.0000">
                  <c:v>0.76212928608128294</c:v>
                </c:pt>
                <c:pt idx="282" formatCode="0.0000">
                  <c:v>0.79853241533748687</c:v>
                </c:pt>
                <c:pt idx="283" formatCode="0.0000">
                  <c:v>0.8321630185020652</c:v>
                </c:pt>
                <c:pt idx="284" formatCode="0.0000">
                  <c:v>0.83588736502591376</c:v>
                </c:pt>
                <c:pt idx="285" formatCode="0.0000">
                  <c:v>0.86030568556153231</c:v>
                </c:pt>
                <c:pt idx="286" formatCode="0.0000">
                  <c:v>0.86348025262136829</c:v>
                </c:pt>
                <c:pt idx="287" formatCode="0.0000">
                  <c:v>0.88131194615879083</c:v>
                </c:pt>
                <c:pt idx="288" formatCode="0.0000">
                  <c:v>0.92324907388999233</c:v>
                </c:pt>
                <c:pt idx="289" formatCode="0.0000">
                  <c:v>0.92617341108911133</c:v>
                </c:pt>
                <c:pt idx="290" formatCode="0.0000">
                  <c:v>0.907743587961509</c:v>
                </c:pt>
                <c:pt idx="291" formatCode="0.0000">
                  <c:v>0.94061001531354194</c:v>
                </c:pt>
                <c:pt idx="292" formatCode="0.0000">
                  <c:v>0.95227534049400719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B54-43B7-B035-3D5A8B02A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136703"/>
        <c:axId val="810633045"/>
      </c:lineChart>
      <c:lineChart>
        <c:grouping val="standard"/>
        <c:varyColors val="0"/>
        <c:ser>
          <c:idx val="1"/>
          <c:order val="1"/>
          <c:tx>
            <c:strRef>
              <c:f>'R(t) Województwa'!$CZ$2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Województwa'!$CZ$3:$CZ$1000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0.14285714285714285</c:v>
                </c:pt>
                <c:pt idx="7">
                  <c:v>0.14285714285714285</c:v>
                </c:pt>
                <c:pt idx="8">
                  <c:v>0.2857142857142857</c:v>
                </c:pt>
                <c:pt idx="9">
                  <c:v>0.7142857142857143</c:v>
                </c:pt>
                <c:pt idx="10">
                  <c:v>0.8571428571428571</c:v>
                </c:pt>
                <c:pt idx="11">
                  <c:v>1</c:v>
                </c:pt>
                <c:pt idx="12">
                  <c:v>1</c:v>
                </c:pt>
                <c:pt idx="13">
                  <c:v>1.4285714285714286</c:v>
                </c:pt>
                <c:pt idx="14">
                  <c:v>1.7142857142857142</c:v>
                </c:pt>
                <c:pt idx="15">
                  <c:v>1.5714285714285714</c:v>
                </c:pt>
                <c:pt idx="16">
                  <c:v>1.4285714285714286</c:v>
                </c:pt>
                <c:pt idx="17">
                  <c:v>1.7142857142857142</c:v>
                </c:pt>
                <c:pt idx="18">
                  <c:v>3.4285714285714284</c:v>
                </c:pt>
                <c:pt idx="19">
                  <c:v>4.2857142857142856</c:v>
                </c:pt>
                <c:pt idx="20">
                  <c:v>4.2857142857142856</c:v>
                </c:pt>
                <c:pt idx="21">
                  <c:v>4.1428571428571432</c:v>
                </c:pt>
                <c:pt idx="22">
                  <c:v>6.2857142857142856</c:v>
                </c:pt>
                <c:pt idx="23">
                  <c:v>7.7142857142857144</c:v>
                </c:pt>
                <c:pt idx="24">
                  <c:v>10.285714285714286</c:v>
                </c:pt>
                <c:pt idx="25">
                  <c:v>9.7142857142857135</c:v>
                </c:pt>
                <c:pt idx="26">
                  <c:v>10.142857142857142</c:v>
                </c:pt>
                <c:pt idx="27">
                  <c:v>13</c:v>
                </c:pt>
                <c:pt idx="28">
                  <c:v>15.142857142857142</c:v>
                </c:pt>
                <c:pt idx="29">
                  <c:v>16</c:v>
                </c:pt>
                <c:pt idx="30">
                  <c:v>18</c:v>
                </c:pt>
                <c:pt idx="31">
                  <c:v>17.571428571428573</c:v>
                </c:pt>
                <c:pt idx="32">
                  <c:v>19.142857142857142</c:v>
                </c:pt>
                <c:pt idx="33">
                  <c:v>23.571428571428573</c:v>
                </c:pt>
                <c:pt idx="34">
                  <c:v>27.857142857142858</c:v>
                </c:pt>
                <c:pt idx="35">
                  <c:v>28.714285714285715</c:v>
                </c:pt>
                <c:pt idx="36">
                  <c:v>32.142857142857146</c:v>
                </c:pt>
                <c:pt idx="37">
                  <c:v>33.714285714285715</c:v>
                </c:pt>
                <c:pt idx="38">
                  <c:v>37.714285714285715</c:v>
                </c:pt>
                <c:pt idx="39">
                  <c:v>43.142857142857146</c:v>
                </c:pt>
                <c:pt idx="40">
                  <c:v>41.571428571428569</c:v>
                </c:pt>
                <c:pt idx="41">
                  <c:v>46</c:v>
                </c:pt>
                <c:pt idx="42">
                  <c:v>47.714285714285715</c:v>
                </c:pt>
                <c:pt idx="43">
                  <c:v>55.857142857142854</c:v>
                </c:pt>
                <c:pt idx="44">
                  <c:v>56.857142857142854</c:v>
                </c:pt>
                <c:pt idx="45">
                  <c:v>57.571428571428569</c:v>
                </c:pt>
                <c:pt idx="46">
                  <c:v>51.857142857142854</c:v>
                </c:pt>
                <c:pt idx="47">
                  <c:v>65.142857142857139</c:v>
                </c:pt>
                <c:pt idx="48">
                  <c:v>57.285714285714285</c:v>
                </c:pt>
                <c:pt idx="49">
                  <c:v>56.857142857142854</c:v>
                </c:pt>
                <c:pt idx="50">
                  <c:v>44.857142857142854</c:v>
                </c:pt>
                <c:pt idx="51">
                  <c:v>48.142857142857146</c:v>
                </c:pt>
                <c:pt idx="52">
                  <c:v>50.857142857142854</c:v>
                </c:pt>
                <c:pt idx="53">
                  <c:v>52.571428571428569</c:v>
                </c:pt>
                <c:pt idx="54">
                  <c:v>41</c:v>
                </c:pt>
                <c:pt idx="55">
                  <c:v>41.857142857142854</c:v>
                </c:pt>
                <c:pt idx="56">
                  <c:v>42.142857142857146</c:v>
                </c:pt>
                <c:pt idx="57">
                  <c:v>45.142857142857146</c:v>
                </c:pt>
                <c:pt idx="58">
                  <c:v>39.285714285714285</c:v>
                </c:pt>
                <c:pt idx="59">
                  <c:v>29.571428571428573</c:v>
                </c:pt>
                <c:pt idx="60">
                  <c:v>32.571428571428569</c:v>
                </c:pt>
                <c:pt idx="61">
                  <c:v>30.142857142857142</c:v>
                </c:pt>
                <c:pt idx="62">
                  <c:v>26.571428571428573</c:v>
                </c:pt>
                <c:pt idx="63">
                  <c:v>31.714285714285715</c:v>
                </c:pt>
                <c:pt idx="64">
                  <c:v>28.714285714285715</c:v>
                </c:pt>
                <c:pt idx="65">
                  <c:v>28.428571428571427</c:v>
                </c:pt>
                <c:pt idx="66">
                  <c:v>30.285714285714285</c:v>
                </c:pt>
                <c:pt idx="67">
                  <c:v>25.142857142857142</c:v>
                </c:pt>
                <c:pt idx="68">
                  <c:v>22</c:v>
                </c:pt>
                <c:pt idx="69">
                  <c:v>24.285714285714285</c:v>
                </c:pt>
                <c:pt idx="70">
                  <c:v>16</c:v>
                </c:pt>
                <c:pt idx="71">
                  <c:v>15.142857142857142</c:v>
                </c:pt>
                <c:pt idx="72">
                  <c:v>13.571428571428571</c:v>
                </c:pt>
                <c:pt idx="73">
                  <c:v>13.857142857142858</c:v>
                </c:pt>
                <c:pt idx="74">
                  <c:v>12.428571428571429</c:v>
                </c:pt>
                <c:pt idx="75">
                  <c:v>17.857142857142858</c:v>
                </c:pt>
                <c:pt idx="76">
                  <c:v>15.857142857142858</c:v>
                </c:pt>
                <c:pt idx="77">
                  <c:v>15</c:v>
                </c:pt>
                <c:pt idx="78">
                  <c:v>25.285714285714285</c:v>
                </c:pt>
                <c:pt idx="79">
                  <c:v>27.142857142857142</c:v>
                </c:pt>
                <c:pt idx="80">
                  <c:v>27</c:v>
                </c:pt>
                <c:pt idx="81">
                  <c:v>28</c:v>
                </c:pt>
                <c:pt idx="82">
                  <c:v>32</c:v>
                </c:pt>
                <c:pt idx="83">
                  <c:v>32.857142857142854</c:v>
                </c:pt>
                <c:pt idx="84">
                  <c:v>34.857142857142854</c:v>
                </c:pt>
                <c:pt idx="85">
                  <c:v>31.285714285714285</c:v>
                </c:pt>
                <c:pt idx="86">
                  <c:v>29.714285714285715</c:v>
                </c:pt>
                <c:pt idx="87">
                  <c:v>29.285714285714285</c:v>
                </c:pt>
                <c:pt idx="88">
                  <c:v>27.714285714285715</c:v>
                </c:pt>
                <c:pt idx="89">
                  <c:v>18.428571428571427</c:v>
                </c:pt>
                <c:pt idx="90">
                  <c:v>16.428571428571427</c:v>
                </c:pt>
                <c:pt idx="91">
                  <c:v>18.428571428571427</c:v>
                </c:pt>
                <c:pt idx="92">
                  <c:v>12.571428571428571</c:v>
                </c:pt>
                <c:pt idx="93">
                  <c:v>11.857142857142858</c:v>
                </c:pt>
                <c:pt idx="94">
                  <c:v>10.428571428571429</c:v>
                </c:pt>
                <c:pt idx="95">
                  <c:v>16</c:v>
                </c:pt>
                <c:pt idx="96">
                  <c:v>17.571428571428573</c:v>
                </c:pt>
                <c:pt idx="97">
                  <c:v>18.714285714285715</c:v>
                </c:pt>
                <c:pt idx="98">
                  <c:v>16</c:v>
                </c:pt>
                <c:pt idx="99">
                  <c:v>14.285714285714286</c:v>
                </c:pt>
                <c:pt idx="100">
                  <c:v>16.714285714285715</c:v>
                </c:pt>
                <c:pt idx="101">
                  <c:v>18</c:v>
                </c:pt>
                <c:pt idx="102">
                  <c:v>15.714285714285714</c:v>
                </c:pt>
                <c:pt idx="103">
                  <c:v>15.714285714285714</c:v>
                </c:pt>
                <c:pt idx="104">
                  <c:v>16.285714285714285</c:v>
                </c:pt>
                <c:pt idx="105">
                  <c:v>15.428571428571429</c:v>
                </c:pt>
                <c:pt idx="106">
                  <c:v>16.285714285714285</c:v>
                </c:pt>
                <c:pt idx="107">
                  <c:v>13.714285714285714</c:v>
                </c:pt>
                <c:pt idx="108">
                  <c:v>13.571428571428571</c:v>
                </c:pt>
                <c:pt idx="109">
                  <c:v>11.285714285714286</c:v>
                </c:pt>
                <c:pt idx="110">
                  <c:v>10.285714285714286</c:v>
                </c:pt>
                <c:pt idx="111">
                  <c:v>10.571428571428571</c:v>
                </c:pt>
                <c:pt idx="112">
                  <c:v>13.285714285714286</c:v>
                </c:pt>
                <c:pt idx="113">
                  <c:v>14</c:v>
                </c:pt>
                <c:pt idx="114">
                  <c:v>14</c:v>
                </c:pt>
                <c:pt idx="115">
                  <c:v>17.428571428571427</c:v>
                </c:pt>
                <c:pt idx="116">
                  <c:v>23.142857142857142</c:v>
                </c:pt>
                <c:pt idx="117">
                  <c:v>22.428571428571427</c:v>
                </c:pt>
                <c:pt idx="118">
                  <c:v>24.142857142857142</c:v>
                </c:pt>
                <c:pt idx="119">
                  <c:v>24</c:v>
                </c:pt>
                <c:pt idx="120">
                  <c:v>36.857142857142854</c:v>
                </c:pt>
                <c:pt idx="121">
                  <c:v>39.571428571428569</c:v>
                </c:pt>
                <c:pt idx="122">
                  <c:v>41.142857142857146</c:v>
                </c:pt>
                <c:pt idx="123">
                  <c:v>42.428571428571431</c:v>
                </c:pt>
                <c:pt idx="124">
                  <c:v>47.142857142857146</c:v>
                </c:pt>
                <c:pt idx="125">
                  <c:v>43.857142857142854</c:v>
                </c:pt>
                <c:pt idx="126">
                  <c:v>50.857142857142854</c:v>
                </c:pt>
                <c:pt idx="127">
                  <c:v>38.857142857142854</c:v>
                </c:pt>
                <c:pt idx="128">
                  <c:v>38.857142857142854</c:v>
                </c:pt>
                <c:pt idx="129">
                  <c:v>34.714285714285715</c:v>
                </c:pt>
                <c:pt idx="130">
                  <c:v>32.714285714285715</c:v>
                </c:pt>
                <c:pt idx="131">
                  <c:v>41.142857142857146</c:v>
                </c:pt>
                <c:pt idx="132">
                  <c:v>42.857142857142854</c:v>
                </c:pt>
                <c:pt idx="133">
                  <c:v>39.571428571428569</c:v>
                </c:pt>
                <c:pt idx="134">
                  <c:v>39.142857142857146</c:v>
                </c:pt>
                <c:pt idx="135">
                  <c:v>38</c:v>
                </c:pt>
                <c:pt idx="136">
                  <c:v>42.142857142857146</c:v>
                </c:pt>
                <c:pt idx="137">
                  <c:v>37.428571428571431</c:v>
                </c:pt>
                <c:pt idx="138">
                  <c:v>27</c:v>
                </c:pt>
                <c:pt idx="139">
                  <c:v>29</c:v>
                </c:pt>
                <c:pt idx="140">
                  <c:v>24.857142857142858</c:v>
                </c:pt>
                <c:pt idx="141">
                  <c:v>25.142857142857142</c:v>
                </c:pt>
                <c:pt idx="142">
                  <c:v>24.428571428571427</c:v>
                </c:pt>
                <c:pt idx="143">
                  <c:v>19.714285714285715</c:v>
                </c:pt>
                <c:pt idx="144">
                  <c:v>23.142857142857142</c:v>
                </c:pt>
                <c:pt idx="145">
                  <c:v>23.571428571428573</c:v>
                </c:pt>
                <c:pt idx="146">
                  <c:v>20.428571428571427</c:v>
                </c:pt>
                <c:pt idx="147">
                  <c:v>23.571428571428573</c:v>
                </c:pt>
                <c:pt idx="148">
                  <c:v>22.428571428571427</c:v>
                </c:pt>
                <c:pt idx="149">
                  <c:v>24.142857142857142</c:v>
                </c:pt>
                <c:pt idx="150">
                  <c:v>30.714285714285715</c:v>
                </c:pt>
                <c:pt idx="151">
                  <c:v>31.428571428571427</c:v>
                </c:pt>
                <c:pt idx="152">
                  <c:v>38.285714285714285</c:v>
                </c:pt>
                <c:pt idx="153">
                  <c:v>50.571428571428569</c:v>
                </c:pt>
                <c:pt idx="154">
                  <c:v>57.571428571428569</c:v>
                </c:pt>
                <c:pt idx="155">
                  <c:v>69.428571428571431</c:v>
                </c:pt>
                <c:pt idx="156">
                  <c:v>78.285714285714292</c:v>
                </c:pt>
                <c:pt idx="157">
                  <c:v>76.428571428571431</c:v>
                </c:pt>
                <c:pt idx="158">
                  <c:v>78.571428571428569</c:v>
                </c:pt>
                <c:pt idx="159">
                  <c:v>77.285714285714292</c:v>
                </c:pt>
                <c:pt idx="160">
                  <c:v>72.428571428571431</c:v>
                </c:pt>
                <c:pt idx="161">
                  <c:v>64.428571428571431</c:v>
                </c:pt>
                <c:pt idx="162">
                  <c:v>56.142857142857146</c:v>
                </c:pt>
                <c:pt idx="163">
                  <c:v>51.142857142857146</c:v>
                </c:pt>
                <c:pt idx="164">
                  <c:v>50.714285714285715</c:v>
                </c:pt>
                <c:pt idx="165">
                  <c:v>51.857142857142854</c:v>
                </c:pt>
                <c:pt idx="166">
                  <c:v>50</c:v>
                </c:pt>
                <c:pt idx="167">
                  <c:v>45.142857142857146</c:v>
                </c:pt>
                <c:pt idx="168">
                  <c:v>45.714285714285715</c:v>
                </c:pt>
                <c:pt idx="169">
                  <c:v>46.285714285714285</c:v>
                </c:pt>
                <c:pt idx="170">
                  <c:v>50</c:v>
                </c:pt>
                <c:pt idx="171">
                  <c:v>54.857142857142854</c:v>
                </c:pt>
                <c:pt idx="172">
                  <c:v>57.571428571428569</c:v>
                </c:pt>
                <c:pt idx="173">
                  <c:v>57</c:v>
                </c:pt>
                <c:pt idx="174">
                  <c:v>60.285714285714285</c:v>
                </c:pt>
                <c:pt idx="175">
                  <c:v>58.857142857142854</c:v>
                </c:pt>
                <c:pt idx="176">
                  <c:v>66.142857142857139</c:v>
                </c:pt>
                <c:pt idx="177">
                  <c:v>67.857142857142861</c:v>
                </c:pt>
                <c:pt idx="178">
                  <c:v>70</c:v>
                </c:pt>
                <c:pt idx="179">
                  <c:v>72.142857142857139</c:v>
                </c:pt>
                <c:pt idx="180">
                  <c:v>75.285714285714292</c:v>
                </c:pt>
                <c:pt idx="181">
                  <c:v>72</c:v>
                </c:pt>
                <c:pt idx="182">
                  <c:v>71.714285714285708</c:v>
                </c:pt>
                <c:pt idx="183">
                  <c:v>65.857142857142861</c:v>
                </c:pt>
                <c:pt idx="184">
                  <c:v>59.571428571428569</c:v>
                </c:pt>
                <c:pt idx="185">
                  <c:v>59.714285714285715</c:v>
                </c:pt>
                <c:pt idx="186">
                  <c:v>54.428571428571431</c:v>
                </c:pt>
                <c:pt idx="187">
                  <c:v>49.714285714285715</c:v>
                </c:pt>
                <c:pt idx="188">
                  <c:v>48.428571428571431</c:v>
                </c:pt>
                <c:pt idx="189">
                  <c:v>48.571428571428569</c:v>
                </c:pt>
                <c:pt idx="190">
                  <c:v>45</c:v>
                </c:pt>
                <c:pt idx="191">
                  <c:v>49</c:v>
                </c:pt>
                <c:pt idx="192">
                  <c:v>43.857142857142854</c:v>
                </c:pt>
                <c:pt idx="193">
                  <c:v>42.571428571428569</c:v>
                </c:pt>
                <c:pt idx="194">
                  <c:v>48</c:v>
                </c:pt>
                <c:pt idx="195">
                  <c:v>48.285714285714285</c:v>
                </c:pt>
                <c:pt idx="196">
                  <c:v>47.857142857142854</c:v>
                </c:pt>
                <c:pt idx="197">
                  <c:v>46.714285714285715</c:v>
                </c:pt>
                <c:pt idx="198">
                  <c:v>46.428571428571431</c:v>
                </c:pt>
                <c:pt idx="199">
                  <c:v>49</c:v>
                </c:pt>
                <c:pt idx="200">
                  <c:v>55.285714285714285</c:v>
                </c:pt>
                <c:pt idx="201">
                  <c:v>62.428571428571431</c:v>
                </c:pt>
                <c:pt idx="202">
                  <c:v>66.571428571428569</c:v>
                </c:pt>
                <c:pt idx="203">
                  <c:v>67.714285714285708</c:v>
                </c:pt>
                <c:pt idx="204">
                  <c:v>75.714285714285708</c:v>
                </c:pt>
                <c:pt idx="205">
                  <c:v>77.142857142857139</c:v>
                </c:pt>
                <c:pt idx="206">
                  <c:v>78.428571428571431</c:v>
                </c:pt>
                <c:pt idx="207">
                  <c:v>88.857142857142861</c:v>
                </c:pt>
                <c:pt idx="208">
                  <c:v>85.857142857142861</c:v>
                </c:pt>
                <c:pt idx="209">
                  <c:v>107</c:v>
                </c:pt>
                <c:pt idx="210">
                  <c:v>113.42857142857143</c:v>
                </c:pt>
                <c:pt idx="211">
                  <c:v>122.57142857142857</c:v>
                </c:pt>
                <c:pt idx="212">
                  <c:v>135.28571428571428</c:v>
                </c:pt>
                <c:pt idx="213">
                  <c:v>151.28571428571428</c:v>
                </c:pt>
                <c:pt idx="214">
                  <c:v>159.42857142857142</c:v>
                </c:pt>
                <c:pt idx="215">
                  <c:v>168.85714285714286</c:v>
                </c:pt>
                <c:pt idx="216">
                  <c:v>166</c:v>
                </c:pt>
                <c:pt idx="217">
                  <c:v>169.57142857142858</c:v>
                </c:pt>
                <c:pt idx="218">
                  <c:v>184.14285714285714</c:v>
                </c:pt>
                <c:pt idx="219">
                  <c:v>231.57142857142858</c:v>
                </c:pt>
                <c:pt idx="220">
                  <c:v>265.85714285714283</c:v>
                </c:pt>
                <c:pt idx="221">
                  <c:v>285.28571428571428</c:v>
                </c:pt>
                <c:pt idx="222">
                  <c:v>315.57142857142856</c:v>
                </c:pt>
                <c:pt idx="223">
                  <c:v>365.57142857142856</c:v>
                </c:pt>
                <c:pt idx="224">
                  <c:v>398.14285714285717</c:v>
                </c:pt>
                <c:pt idx="225">
                  <c:v>436.14285714285717</c:v>
                </c:pt>
                <c:pt idx="226">
                  <c:v>483.28571428571428</c:v>
                </c:pt>
                <c:pt idx="227">
                  <c:v>505.57142857142856</c:v>
                </c:pt>
                <c:pt idx="228">
                  <c:v>605.28571428571433</c:v>
                </c:pt>
                <c:pt idx="229">
                  <c:v>654.42857142857144</c:v>
                </c:pt>
                <c:pt idx="230">
                  <c:v>639.14285714285711</c:v>
                </c:pt>
                <c:pt idx="231">
                  <c:v>760.85714285714289</c:v>
                </c:pt>
                <c:pt idx="232">
                  <c:v>796.14285714285711</c:v>
                </c:pt>
                <c:pt idx="233">
                  <c:v>893.42857142857144</c:v>
                </c:pt>
                <c:pt idx="234">
                  <c:v>958.85714285714289</c:v>
                </c:pt>
                <c:pt idx="235">
                  <c:v>1018</c:v>
                </c:pt>
                <c:pt idx="236">
                  <c:v>1036.1428571428571</c:v>
                </c:pt>
                <c:pt idx="237">
                  <c:v>1041.1428571428571</c:v>
                </c:pt>
                <c:pt idx="238">
                  <c:v>1097</c:v>
                </c:pt>
                <c:pt idx="239">
                  <c:v>1401.2857142857142</c:v>
                </c:pt>
                <c:pt idx="240">
                  <c:v>1560.8571428571429</c:v>
                </c:pt>
                <c:pt idx="241">
                  <c:v>1851.1428571428571</c:v>
                </c:pt>
                <c:pt idx="242">
                  <c:v>1973.5714285714287</c:v>
                </c:pt>
                <c:pt idx="243">
                  <c:v>1972.4285714285713</c:v>
                </c:pt>
                <c:pt idx="244">
                  <c:v>2086.4285714285716</c:v>
                </c:pt>
                <c:pt idx="245">
                  <c:v>2163.1428571428573</c:v>
                </c:pt>
                <c:pt idx="246">
                  <c:v>2315.5714285714284</c:v>
                </c:pt>
                <c:pt idx="247">
                  <c:v>2494.8571428571427</c:v>
                </c:pt>
                <c:pt idx="248">
                  <c:v>2349.2857142857142</c:v>
                </c:pt>
                <c:pt idx="249">
                  <c:v>2366.7142857142858</c:v>
                </c:pt>
                <c:pt idx="250">
                  <c:v>2509.8571428571427</c:v>
                </c:pt>
                <c:pt idx="251">
                  <c:v>2613.7142857142858</c:v>
                </c:pt>
                <c:pt idx="252">
                  <c:v>2861.1428571428573</c:v>
                </c:pt>
                <c:pt idx="253">
                  <c:v>2736.7142857142858</c:v>
                </c:pt>
                <c:pt idx="254">
                  <c:v>2500.1428571428573</c:v>
                </c:pt>
                <c:pt idx="255">
                  <c:v>2614.8571428571427</c:v>
                </c:pt>
                <c:pt idx="256">
                  <c:v>2656.4285714285716</c:v>
                </c:pt>
                <c:pt idx="257">
                  <c:v>2699</c:v>
                </c:pt>
                <c:pt idx="258">
                  <c:v>2758.5714285714284</c:v>
                </c:pt>
                <c:pt idx="259">
                  <c:v>2419.8571428571427</c:v>
                </c:pt>
                <c:pt idx="260">
                  <c:v>2147.4285714285716</c:v>
                </c:pt>
                <c:pt idx="261">
                  <c:v>2136.1428571428573</c:v>
                </c:pt>
                <c:pt idx="262">
                  <c:v>2049.2857142857142</c:v>
                </c:pt>
                <c:pt idx="263">
                  <c:v>2018.2857142857142</c:v>
                </c:pt>
                <c:pt idx="264">
                  <c:v>2007.8571428571429</c:v>
                </c:pt>
                <c:pt idx="265">
                  <c:v>1936.2857142857142</c:v>
                </c:pt>
                <c:pt idx="266">
                  <c:v>1815.5714285714287</c:v>
                </c:pt>
                <c:pt idx="267">
                  <c:v>1850.7142857142858</c:v>
                </c:pt>
                <c:pt idx="268">
                  <c:v>1781.4285714285713</c:v>
                </c:pt>
                <c:pt idx="269">
                  <c:v>1754.8571428571429</c:v>
                </c:pt>
                <c:pt idx="270">
                  <c:v>1643.8571428571429</c:v>
                </c:pt>
                <c:pt idx="271">
                  <c:v>1573</c:v>
                </c:pt>
                <c:pt idx="272">
                  <c:v>1377.7142857142858</c:v>
                </c:pt>
                <c:pt idx="273">
                  <c:v>1401.4285714285713</c:v>
                </c:pt>
                <c:pt idx="274">
                  <c:v>1423.8571428571429</c:v>
                </c:pt>
                <c:pt idx="275">
                  <c:v>1436.2857142857142</c:v>
                </c:pt>
                <c:pt idx="276">
                  <c:v>1337.4285714285713</c:v>
                </c:pt>
                <c:pt idx="277">
                  <c:v>1258.4285714285713</c:v>
                </c:pt>
                <c:pt idx="278">
                  <c:v>1190.1428571428571</c:v>
                </c:pt>
                <c:pt idx="279">
                  <c:v>1174.7142857142858</c:v>
                </c:pt>
                <c:pt idx="280">
                  <c:v>1143.8571428571429</c:v>
                </c:pt>
                <c:pt idx="281">
                  <c:v>1091.8571428571429</c:v>
                </c:pt>
                <c:pt idx="282">
                  <c:v>1080</c:v>
                </c:pt>
                <c:pt idx="283">
                  <c:v>1084.4285714285713</c:v>
                </c:pt>
                <c:pt idx="284">
                  <c:v>1061.1428571428571</c:v>
                </c:pt>
                <c:pt idx="285">
                  <c:v>1066.2857142857142</c:v>
                </c:pt>
                <c:pt idx="286">
                  <c:v>1061.7142857142858</c:v>
                </c:pt>
                <c:pt idx="287">
                  <c:v>1070.1428571428571</c:v>
                </c:pt>
                <c:pt idx="288">
                  <c:v>1093</c:v>
                </c:pt>
                <c:pt idx="289">
                  <c:v>1076.2857142857142</c:v>
                </c:pt>
                <c:pt idx="290">
                  <c:v>1038.7142857142858</c:v>
                </c:pt>
                <c:pt idx="291">
                  <c:v>1062.2857142857142</c:v>
                </c:pt>
                <c:pt idx="292">
                  <c:v>1065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B54-43B7-B035-3D5A8B02A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007206"/>
        <c:axId val="385576943"/>
      </c:lineChart>
      <c:dateAx>
        <c:axId val="353136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810633045"/>
        <c:crosses val="autoZero"/>
        <c:auto val="1"/>
        <c:lblOffset val="100"/>
        <c:baseTimeUnit val="days"/>
      </c:dateAx>
      <c:valAx>
        <c:axId val="810633045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353136703"/>
        <c:crosses val="autoZero"/>
        <c:crossBetween val="between"/>
      </c:valAx>
      <c:dateAx>
        <c:axId val="1688007206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385576943"/>
        <c:crosses val="autoZero"/>
        <c:auto val="1"/>
        <c:lblOffset val="100"/>
        <c:baseTimeUnit val="days"/>
      </c:dateAx>
      <c:valAx>
        <c:axId val="385576943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688007206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Zachodniopomorskiego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Województwa'!$DK$2</c:f>
              <c:strCache>
                <c:ptCount val="1"/>
                <c:pt idx="0">
                  <c:v>Zachodniopomorskie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Województwa'!$DK$3:$DK$1000</c:f>
              <c:numCache>
                <c:formatCode>General</c:formatCode>
                <c:ptCount val="998"/>
                <c:pt idx="34" formatCode="0.0000">
                  <c:v>0.9527777777777785</c:v>
                </c:pt>
                <c:pt idx="35" formatCode="0.0000">
                  <c:v>1.1740244534841027</c:v>
                </c:pt>
                <c:pt idx="36" formatCode="0.0000">
                  <c:v>1.663146329400113</c:v>
                </c:pt>
                <c:pt idx="37" formatCode="0.0000">
                  <c:v>1.3978053545721876</c:v>
                </c:pt>
                <c:pt idx="38" formatCode="0.0000">
                  <c:v>1.2600402322932784</c:v>
                </c:pt>
                <c:pt idx="39" formatCode="0.0000">
                  <c:v>1.1363357883218053</c:v>
                </c:pt>
                <c:pt idx="40" formatCode="0.0000">
                  <c:v>0.9967009330000548</c:v>
                </c:pt>
                <c:pt idx="41" formatCode="0.0000">
                  <c:v>0.98958364594180215</c:v>
                </c:pt>
                <c:pt idx="42" formatCode="0.0000">
                  <c:v>0.89490499620626818</c:v>
                </c:pt>
                <c:pt idx="43" formatCode="0.0000">
                  <c:v>0.59916604490021441</c:v>
                </c:pt>
                <c:pt idx="44" formatCode="0.0000">
                  <c:v>0.60012430972809927</c:v>
                </c:pt>
                <c:pt idx="45" formatCode="0.0000">
                  <c:v>0.60626471314251495</c:v>
                </c:pt>
                <c:pt idx="46" formatCode="0.0000">
                  <c:v>0.83457993760587557</c:v>
                </c:pt>
                <c:pt idx="47" formatCode="0.0000">
                  <c:v>1.0451581516985493</c:v>
                </c:pt>
                <c:pt idx="48" formatCode="0.0000">
                  <c:v>1.0545917067563362</c:v>
                </c:pt>
                <c:pt idx="49" formatCode="0.0000">
                  <c:v>0.97522651094032653</c:v>
                </c:pt>
                <c:pt idx="50" formatCode="0.0000">
                  <c:v>1.0225447862787069</c:v>
                </c:pt>
                <c:pt idx="51" formatCode="0.0000">
                  <c:v>1.1680493291175134</c:v>
                </c:pt>
                <c:pt idx="52" formatCode="0.0000">
                  <c:v>1.487272853059316</c:v>
                </c:pt>
                <c:pt idx="53" formatCode="0.0000">
                  <c:v>1.257682292349297</c:v>
                </c:pt>
                <c:pt idx="54" formatCode="0.0000">
                  <c:v>1.1584337667534743</c:v>
                </c:pt>
                <c:pt idx="55" formatCode="0.0000">
                  <c:v>1.189034318492683</c:v>
                </c:pt>
                <c:pt idx="56" formatCode="0.0000">
                  <c:v>1.2296405782793625</c:v>
                </c:pt>
                <c:pt idx="57" formatCode="0.0000">
                  <c:v>1.148307202969812</c:v>
                </c:pt>
                <c:pt idx="58" formatCode="0.0000">
                  <c:v>1.1262691895721366</c:v>
                </c:pt>
                <c:pt idx="59" formatCode="0.0000">
                  <c:v>0.76121099724052954</c:v>
                </c:pt>
                <c:pt idx="60" formatCode="0.0000">
                  <c:v>0.75554948521589915</c:v>
                </c:pt>
                <c:pt idx="61" formatCode="0.0000">
                  <c:v>0.73757898947063638</c:v>
                </c:pt>
                <c:pt idx="62" formatCode="0.0000">
                  <c:v>0.77724542177317069</c:v>
                </c:pt>
                <c:pt idx="63" formatCode="0.0000">
                  <c:v>0.89317583920704391</c:v>
                </c:pt>
                <c:pt idx="64" formatCode="0.0000">
                  <c:v>0.99366476657786229</c:v>
                </c:pt>
                <c:pt idx="65" formatCode="0.0000">
                  <c:v>0.89040377584777797</c:v>
                </c:pt>
                <c:pt idx="66" formatCode="0.0000">
                  <c:v>0.88436610459079934</c:v>
                </c:pt>
                <c:pt idx="67" formatCode="0.0000">
                  <c:v>0.89341053415806082</c:v>
                </c:pt>
                <c:pt idx="68" formatCode="0.0000">
                  <c:v>0.84257240765904096</c:v>
                </c:pt>
                <c:pt idx="69" formatCode="0.0000">
                  <c:v>0.6515554428043695</c:v>
                </c:pt>
                <c:pt idx="70" formatCode="0.0000">
                  <c:v>0.59097951526192838</c:v>
                </c:pt>
                <c:pt idx="71" formatCode="0.0000">
                  <c:v>0.56682317861346343</c:v>
                </c:pt>
                <c:pt idx="72" formatCode="0.0000">
                  <c:v>0.50179444649580662</c:v>
                </c:pt>
                <c:pt idx="73" formatCode="0.0000">
                  <c:v>0.51647565172584731</c:v>
                </c:pt>
                <c:pt idx="74" formatCode="0.0000">
                  <c:v>0.46563875023186702</c:v>
                </c:pt>
                <c:pt idx="75" formatCode="0.0000">
                  <c:v>0.45763649213253949</c:v>
                </c:pt>
                <c:pt idx="76" formatCode="0.0000">
                  <c:v>0.5338241020864658</c:v>
                </c:pt>
                <c:pt idx="77" formatCode="0.0000">
                  <c:v>0.57708368316684555</c:v>
                </c:pt>
                <c:pt idx="78" formatCode="0.0000">
                  <c:v>0.48536689098629487</c:v>
                </c:pt>
                <c:pt idx="79" formatCode="0.0000">
                  <c:v>0.80536253179093154</c:v>
                </c:pt>
                <c:pt idx="80" formatCode="0.0000">
                  <c:v>0.79452791813068491</c:v>
                </c:pt>
                <c:pt idx="81" formatCode="0.0000">
                  <c:v>0.89889622703655425</c:v>
                </c:pt>
                <c:pt idx="82" formatCode="0.0000">
                  <c:v>0.87451661167482153</c:v>
                </c:pt>
                <c:pt idx="83" formatCode="0.0000">
                  <c:v>0.81754904954047536</c:v>
                </c:pt>
                <c:pt idx="84" formatCode="0.0000">
                  <c:v>0.81812991947004787</c:v>
                </c:pt>
                <c:pt idx="85" formatCode="0.0000">
                  <c:v>0.86667307318879294</c:v>
                </c:pt>
                <c:pt idx="86" formatCode="0.0000">
                  <c:v>0.50457344237882229</c:v>
                </c:pt>
                <c:pt idx="87" formatCode="0.0000">
                  <c:v>0.64606124142893417</c:v>
                </c:pt>
                <c:pt idx="88" formatCode="0.0000">
                  <c:v>0.70631649779077499</c:v>
                </c:pt>
                <c:pt idx="89" formatCode="0.0000">
                  <c:v>0.71881412897149422</c:v>
                </c:pt>
                <c:pt idx="90" formatCode="0.0000">
                  <c:v>0.68191668285419704</c:v>
                </c:pt>
                <c:pt idx="91" formatCode="0.0000">
                  <c:v>0.80987008449794062</c:v>
                </c:pt>
                <c:pt idx="92" formatCode="0.0000">
                  <c:v>1.0858070250484662</c:v>
                </c:pt>
                <c:pt idx="93" formatCode="0.0000">
                  <c:v>1.1697642787259035</c:v>
                </c:pt>
                <c:pt idx="94" formatCode="0.0000">
                  <c:v>1.102696733866815</c:v>
                </c:pt>
                <c:pt idx="95" formatCode="0.0000">
                  <c:v>0.91282912187362142</c:v>
                </c:pt>
                <c:pt idx="96" formatCode="0.0000">
                  <c:v>0.92000840166046649</c:v>
                </c:pt>
                <c:pt idx="97" formatCode="0.0000">
                  <c:v>0.92000840166046616</c:v>
                </c:pt>
                <c:pt idx="98" formatCode="0.0000">
                  <c:v>1.0310861858087623</c:v>
                </c:pt>
                <c:pt idx="99" formatCode="0.0000">
                  <c:v>0.94140727486566556</c:v>
                </c:pt>
                <c:pt idx="100" formatCode="0.0000">
                  <c:v>0.95245692567111206</c:v>
                </c:pt>
                <c:pt idx="101" formatCode="0.0000">
                  <c:v>0.91842066737722661</c:v>
                </c:pt>
                <c:pt idx="102" formatCode="0.0000">
                  <c:v>1.2833765373322681</c:v>
                </c:pt>
                <c:pt idx="103" formatCode="0.0000">
                  <c:v>1.4441690557720599</c:v>
                </c:pt>
                <c:pt idx="104" formatCode="0.0000">
                  <c:v>1.5238766141017812</c:v>
                </c:pt>
                <c:pt idx="105" formatCode="0.0000">
                  <c:v>1.3324644933637431</c:v>
                </c:pt>
                <c:pt idx="106" formatCode="0.0000">
                  <c:v>1.1847490593123884</c:v>
                </c:pt>
                <c:pt idx="107" formatCode="0.0000">
                  <c:v>1.0897421548295045</c:v>
                </c:pt>
                <c:pt idx="108" formatCode="0.0000">
                  <c:v>1.180000140470373</c:v>
                </c:pt>
                <c:pt idx="109" formatCode="0.0000">
                  <c:v>0.8604135091624624</c:v>
                </c:pt>
                <c:pt idx="110" formatCode="0.0000">
                  <c:v>0.69737600903423835</c:v>
                </c:pt>
                <c:pt idx="111" formatCode="0.0000">
                  <c:v>0.61766845070451704</c:v>
                </c:pt>
                <c:pt idx="112" formatCode="0.0000">
                  <c:v>0.53423240191189025</c:v>
                </c:pt>
                <c:pt idx="113" formatCode="0.0000">
                  <c:v>0.67703554259372256</c:v>
                </c:pt>
                <c:pt idx="114" formatCode="0.0000">
                  <c:v>0.73557822860828637</c:v>
                </c:pt>
                <c:pt idx="115" formatCode="0.0000">
                  <c:v>0.80127147974866908</c:v>
                </c:pt>
                <c:pt idx="116" formatCode="0.0000">
                  <c:v>0.81335087156207619</c:v>
                </c:pt>
                <c:pt idx="117" formatCode="0.0000">
                  <c:v>0.7630809207672139</c:v>
                </c:pt>
                <c:pt idx="118" formatCode="0.0000">
                  <c:v>0.7630809207672139</c:v>
                </c:pt>
                <c:pt idx="119" formatCode="0.0000">
                  <c:v>0.80480822351930725</c:v>
                </c:pt>
                <c:pt idx="120" formatCode="0.0000">
                  <c:v>0.54271614612205832</c:v>
                </c:pt>
                <c:pt idx="121" formatCode="0.0000">
                  <c:v>0.48417346010749462</c:v>
                </c:pt>
                <c:pt idx="122" formatCode="0.0000">
                  <c:v>0.45481110276324471</c:v>
                </c:pt>
                <c:pt idx="123" formatCode="0.0000">
                  <c:v>1.128591425390892</c:v>
                </c:pt>
                <c:pt idx="124" formatCode="0.0000">
                  <c:v>1.1943576888940217</c:v>
                </c:pt>
                <c:pt idx="125" formatCode="0.0000">
                  <c:v>1.1943576888940215</c:v>
                </c:pt>
                <c:pt idx="126" formatCode="0.0000">
                  <c:v>1.1065019304462533</c:v>
                </c:pt>
                <c:pt idx="127" formatCode="0.0000">
                  <c:v>1.1065019304462533</c:v>
                </c:pt>
                <c:pt idx="128" formatCode="0.0000">
                  <c:v>1.2096547186122002</c:v>
                </c:pt>
                <c:pt idx="129" formatCode="0.0000">
                  <c:v>1.8426262892780814</c:v>
                </c:pt>
                <c:pt idx="130" formatCode="0.0000">
                  <c:v>1.361717622258775</c:v>
                </c:pt>
                <c:pt idx="131" formatCode="0.0000">
                  <c:v>1.2959513587556455</c:v>
                </c:pt>
                <c:pt idx="132" formatCode="0.0000">
                  <c:v>1.4278023984661332</c:v>
                </c:pt>
                <c:pt idx="133" formatCode="0.0000">
                  <c:v>1.4113252133767313</c:v>
                </c:pt>
                <c:pt idx="134" formatCode="0.0000">
                  <c:v>1.6999549203060442</c:v>
                </c:pt>
                <c:pt idx="135" formatCode="0.0000">
                  <c:v>1.7857334148264488</c:v>
                </c:pt>
                <c:pt idx="136" formatCode="0.0000">
                  <c:v>0.92639149303505242</c:v>
                </c:pt>
                <c:pt idx="137" formatCode="0.0000">
                  <c:v>1.2379684859658713</c:v>
                </c:pt>
                <c:pt idx="138" formatCode="0.0000">
                  <c:v>1.3864572244152811</c:v>
                </c:pt>
                <c:pt idx="139" formatCode="0.0000">
                  <c:v>1.4514824418420902</c:v>
                </c:pt>
                <c:pt idx="140" formatCode="0.0000">
                  <c:v>1.7116991674209296</c:v>
                </c:pt>
                <c:pt idx="141" formatCode="0.0000">
                  <c:v>1.6597036718706419</c:v>
                </c:pt>
                <c:pt idx="142" formatCode="0.0000">
                  <c:v>1.8313489304637218</c:v>
                </c:pt>
                <c:pt idx="143" formatCode="0.0000">
                  <c:v>1.9497921585987434</c:v>
                </c:pt>
                <c:pt idx="144" formatCode="0.0000">
                  <c:v>1.4182466932222602</c:v>
                </c:pt>
                <c:pt idx="145" formatCode="0.0000">
                  <c:v>1.5091539786150054</c:v>
                </c:pt>
                <c:pt idx="146" formatCode="0.0000">
                  <c:v>1.3746547745316409</c:v>
                </c:pt>
                <c:pt idx="147" formatCode="0.0000">
                  <c:v>1.251288503988105</c:v>
                </c:pt>
                <c:pt idx="148" formatCode="0.0000">
                  <c:v>1.3983985153944531</c:v>
                </c:pt>
                <c:pt idx="149" formatCode="0.0000">
                  <c:v>1.218217757297605</c:v>
                </c:pt>
                <c:pt idx="150" formatCode="0.0000">
                  <c:v>1.1991282309615134</c:v>
                </c:pt>
                <c:pt idx="151" formatCode="0.0000">
                  <c:v>1.5582983432281174</c:v>
                </c:pt>
                <c:pt idx="152" formatCode="0.0000">
                  <c:v>1.4230527243147182</c:v>
                </c:pt>
                <c:pt idx="153" formatCode="0.0000">
                  <c:v>1.685707820256533</c:v>
                </c:pt>
                <c:pt idx="154" formatCode="0.0000">
                  <c:v>1.7571423771537948</c:v>
                </c:pt>
                <c:pt idx="155" formatCode="0.0000">
                  <c:v>1.6486450231962166</c:v>
                </c:pt>
                <c:pt idx="156" formatCode="0.0000">
                  <c:v>1.7399126491213777</c:v>
                </c:pt>
                <c:pt idx="157" formatCode="0.0000">
                  <c:v>1.8178905623876287</c:v>
                </c:pt>
                <c:pt idx="158" formatCode="0.0000">
                  <c:v>1.6855015380280076</c:v>
                </c:pt>
                <c:pt idx="159" formatCode="0.0000">
                  <c:v>1.7461813888113349</c:v>
                </c:pt>
                <c:pt idx="160" formatCode="0.0000">
                  <c:v>1.539425855252031</c:v>
                </c:pt>
                <c:pt idx="161" formatCode="0.0000">
                  <c:v>1.5510895477982634</c:v>
                </c:pt>
                <c:pt idx="162" formatCode="0.0000">
                  <c:v>1.4107735829194579</c:v>
                </c:pt>
                <c:pt idx="163" formatCode="0.0000">
                  <c:v>1.1973997209520491</c:v>
                </c:pt>
                <c:pt idx="164" formatCode="0.0000">
                  <c:v>1.1049672156665455</c:v>
                </c:pt>
                <c:pt idx="165" formatCode="0.0000">
                  <c:v>1.0844056888699971</c:v>
                </c:pt>
                <c:pt idx="166" formatCode="0.0000">
                  <c:v>1.1049762061820589</c:v>
                </c:pt>
                <c:pt idx="167" formatCode="0.0000">
                  <c:v>1.1250157216665859</c:v>
                </c:pt>
                <c:pt idx="168" formatCode="0.0000">
                  <c:v>0.99720451534337218</c:v>
                </c:pt>
                <c:pt idx="169" formatCode="0.0000">
                  <c:v>0.98927162151290904</c:v>
                </c:pt>
                <c:pt idx="170" formatCode="0.0000">
                  <c:v>1.0501001156173402</c:v>
                </c:pt>
                <c:pt idx="171" formatCode="0.0000">
                  <c:v>1.0262082844460234</c:v>
                </c:pt>
                <c:pt idx="172" formatCode="0.0000">
                  <c:v>0.91145432616044963</c:v>
                </c:pt>
                <c:pt idx="173" formatCode="0.0000">
                  <c:v>0.75999050916486799</c:v>
                </c:pt>
                <c:pt idx="174" formatCode="0.0000">
                  <c:v>0.67245464959097989</c:v>
                </c:pt>
                <c:pt idx="175" formatCode="0.0000">
                  <c:v>0.68144840589353795</c:v>
                </c:pt>
                <c:pt idx="176" formatCode="0.0000">
                  <c:v>0.80001335171492782</c:v>
                </c:pt>
                <c:pt idx="177" formatCode="0.0000">
                  <c:v>0.81698441879964356</c:v>
                </c:pt>
                <c:pt idx="178" formatCode="0.0000">
                  <c:v>0.88053754048990274</c:v>
                </c:pt>
                <c:pt idx="179" formatCode="0.0000">
                  <c:v>0.8982902429039934</c:v>
                </c:pt>
                <c:pt idx="180" formatCode="0.0000">
                  <c:v>0.96619357935111927</c:v>
                </c:pt>
                <c:pt idx="181" formatCode="0.0000">
                  <c:v>1.0481584617069442</c:v>
                </c:pt>
                <c:pt idx="182" formatCode="0.0000">
                  <c:v>0.97423885799939991</c:v>
                </c:pt>
                <c:pt idx="183" formatCode="0.0000">
                  <c:v>0.78507937362044056</c:v>
                </c:pt>
                <c:pt idx="184" formatCode="0.0000">
                  <c:v>0.91139048146191837</c:v>
                </c:pt>
                <c:pt idx="185" formatCode="0.0000">
                  <c:v>0.81440437857357573</c:v>
                </c:pt>
                <c:pt idx="186" formatCode="0.0000">
                  <c:v>0.89300577461714103</c:v>
                </c:pt>
                <c:pt idx="187" formatCode="0.0000">
                  <c:v>0.84913431447998045</c:v>
                </c:pt>
                <c:pt idx="188" formatCode="0.0000">
                  <c:v>0.7638987978559485</c:v>
                </c:pt>
                <c:pt idx="189" formatCode="0.0000">
                  <c:v>0.95011864815772107</c:v>
                </c:pt>
                <c:pt idx="190" formatCode="0.0000">
                  <c:v>1.0630404167811303</c:v>
                </c:pt>
                <c:pt idx="191" formatCode="0.0000">
                  <c:v>0.98059556826209382</c:v>
                </c:pt>
                <c:pt idx="192" formatCode="0.0000">
                  <c:v>1.1120795770666443</c:v>
                </c:pt>
                <c:pt idx="193" formatCode="0.0000">
                  <c:v>1.0931184661369646</c:v>
                </c:pt>
                <c:pt idx="194" formatCode="0.0000">
                  <c:v>1.0620900808883538</c:v>
                </c:pt>
                <c:pt idx="195" formatCode="0.0000">
                  <c:v>1.0602895647049877</c:v>
                </c:pt>
                <c:pt idx="196" formatCode="0.0000">
                  <c:v>1.0670879420724666</c:v>
                </c:pt>
                <c:pt idx="197" formatCode="0.0000">
                  <c:v>1.2517911508982096</c:v>
                </c:pt>
                <c:pt idx="198" formatCode="0.0000">
                  <c:v>1.5711859555297487</c:v>
                </c:pt>
                <c:pt idx="199" formatCode="0.0000">
                  <c:v>1.5916976468086692</c:v>
                </c:pt>
                <c:pt idx="200" formatCode="0.0000">
                  <c:v>1.660964184032381</c:v>
                </c:pt>
                <c:pt idx="201" formatCode="0.0000">
                  <c:v>1.7340460575696139</c:v>
                </c:pt>
                <c:pt idx="202" formatCode="0.0000">
                  <c:v>1.7847970859856683</c:v>
                </c:pt>
                <c:pt idx="203" formatCode="0.0000">
                  <c:v>1.826656453683587</c:v>
                </c:pt>
                <c:pt idx="204" formatCode="0.0000">
                  <c:v>1.5863577793842703</c:v>
                </c:pt>
                <c:pt idx="205" formatCode="0.0000">
                  <c:v>1.2920057697989284</c:v>
                </c:pt>
                <c:pt idx="206" formatCode="0.0000">
                  <c:v>1.5329102025560961</c:v>
                </c:pt>
                <c:pt idx="207" formatCode="0.0000">
                  <c:v>1.5395893658112694</c:v>
                </c:pt>
                <c:pt idx="208" formatCode="0.0000">
                  <c:v>1.711162640774391</c:v>
                </c:pt>
                <c:pt idx="209" formatCode="0.0000">
                  <c:v>1.7202370154001063</c:v>
                </c:pt>
                <c:pt idx="210" formatCode="0.0000">
                  <c:v>1.6458210402345677</c:v>
                </c:pt>
                <c:pt idx="211" formatCode="0.0000">
                  <c:v>1.8200941389993621</c:v>
                </c:pt>
                <c:pt idx="212" formatCode="0.0000">
                  <c:v>1.814917007568623</c:v>
                </c:pt>
                <c:pt idx="213" formatCode="0.0000">
                  <c:v>1.7660273461568428</c:v>
                </c:pt>
                <c:pt idx="214" formatCode="0.0000">
                  <c:v>1.6553421608274714</c:v>
                </c:pt>
                <c:pt idx="215" formatCode="0.0000">
                  <c:v>1.5343513198512173</c:v>
                </c:pt>
                <c:pt idx="216" formatCode="0.0000">
                  <c:v>1.5344602928251416</c:v>
                </c:pt>
                <c:pt idx="217" formatCode="0.0000">
                  <c:v>1.5771931709825253</c:v>
                </c:pt>
                <c:pt idx="218" formatCode="0.0000">
                  <c:v>1.6277207111496623</c:v>
                </c:pt>
                <c:pt idx="219" formatCode="0.0000">
                  <c:v>1.652851910826455</c:v>
                </c:pt>
                <c:pt idx="220" formatCode="0.0000">
                  <c:v>1.5142426363801142</c:v>
                </c:pt>
                <c:pt idx="221" formatCode="0.0000">
                  <c:v>1.5996547837464337</c:v>
                </c:pt>
                <c:pt idx="222" formatCode="0.0000">
                  <c:v>1.6792297960915938</c:v>
                </c:pt>
                <c:pt idx="223" formatCode="0.0000">
                  <c:v>1.7320154201351801</c:v>
                </c:pt>
                <c:pt idx="224" formatCode="0.0000">
                  <c:v>1.6380189209484652</c:v>
                </c:pt>
                <c:pt idx="225" formatCode="0.0000">
                  <c:v>1.5214674489646249</c:v>
                </c:pt>
                <c:pt idx="226" formatCode="0.0000">
                  <c:v>1.5045694377559562</c:v>
                </c:pt>
                <c:pt idx="227" formatCode="0.0000">
                  <c:v>1.614783200950926</c:v>
                </c:pt>
                <c:pt idx="228" formatCode="0.0000">
                  <c:v>1.6774726497042884</c:v>
                </c:pt>
                <c:pt idx="229" formatCode="0.0000">
                  <c:v>1.6964371710046131</c:v>
                </c:pt>
                <c:pt idx="230" formatCode="0.0000">
                  <c:v>1.6921722525971785</c:v>
                </c:pt>
                <c:pt idx="231" formatCode="0.0000">
                  <c:v>1.6387340091826805</c:v>
                </c:pt>
                <c:pt idx="232" formatCode="0.0000">
                  <c:v>1.6156180175434485</c:v>
                </c:pt>
                <c:pt idx="233" formatCode="0.0000">
                  <c:v>1.7478543881360082</c:v>
                </c:pt>
                <c:pt idx="234" formatCode="0.0000">
                  <c:v>1.7125763581017408</c:v>
                </c:pt>
                <c:pt idx="235" formatCode="0.0000">
                  <c:v>1.6747130610329264</c:v>
                </c:pt>
                <c:pt idx="236" formatCode="0.0000">
                  <c:v>1.6239195513488336</c:v>
                </c:pt>
                <c:pt idx="237" formatCode="0.0000">
                  <c:v>1.6917732413291535</c:v>
                </c:pt>
                <c:pt idx="238" formatCode="0.0000">
                  <c:v>1.7335468870123611</c:v>
                </c:pt>
                <c:pt idx="239" formatCode="0.0000">
                  <c:v>1.6608168339245122</c:v>
                </c:pt>
                <c:pt idx="240" formatCode="0.0000">
                  <c:v>1.5161505809442317</c:v>
                </c:pt>
                <c:pt idx="241" formatCode="0.0000">
                  <c:v>1.4343362797668779</c:v>
                </c:pt>
                <c:pt idx="242" formatCode="0.0000">
                  <c:v>1.3892847204848822</c:v>
                </c:pt>
                <c:pt idx="243" formatCode="0.0000">
                  <c:v>1.3953492232970099</c:v>
                </c:pt>
                <c:pt idx="244" formatCode="0.0000">
                  <c:v>1.3282472337795037</c:v>
                </c:pt>
                <c:pt idx="245" formatCode="0.0000">
                  <c:v>1.2583356801199308</c:v>
                </c:pt>
                <c:pt idx="246" formatCode="0.0000">
                  <c:v>1.3364677402127556</c:v>
                </c:pt>
                <c:pt idx="247" formatCode="0.0000">
                  <c:v>1.3639481836234162</c:v>
                </c:pt>
                <c:pt idx="248" formatCode="0.0000">
                  <c:v>1.3532064804369561</c:v>
                </c:pt>
                <c:pt idx="249" formatCode="0.0000">
                  <c:v>1.3619266839671884</c:v>
                </c:pt>
                <c:pt idx="250" formatCode="0.0000">
                  <c:v>1.3042650274264107</c:v>
                </c:pt>
                <c:pt idx="251" formatCode="0.0000">
                  <c:v>1.3149434723545548</c:v>
                </c:pt>
                <c:pt idx="252" formatCode="0.0000">
                  <c:v>1.3393503334380727</c:v>
                </c:pt>
                <c:pt idx="253" formatCode="0.0000">
                  <c:v>1.3030113435404194</c:v>
                </c:pt>
                <c:pt idx="254" formatCode="0.0000">
                  <c:v>1.2275745849450297</c:v>
                </c:pt>
                <c:pt idx="255" formatCode="0.0000">
                  <c:v>1.2669135088224068</c:v>
                </c:pt>
                <c:pt idx="256" formatCode="0.0000">
                  <c:v>1.2083879793791681</c:v>
                </c:pt>
                <c:pt idx="257" formatCode="0.0000">
                  <c:v>1.2330787785051081</c:v>
                </c:pt>
                <c:pt idx="258" formatCode="0.0000">
                  <c:v>1.2465882602485834</c:v>
                </c:pt>
                <c:pt idx="259" formatCode="0.0000">
                  <c:v>1.2861402868415621</c:v>
                </c:pt>
                <c:pt idx="260" formatCode="0.0000">
                  <c:v>1.2893686767839958</c:v>
                </c:pt>
                <c:pt idx="261" formatCode="0.0000">
                  <c:v>1.3138094373156457</c:v>
                </c:pt>
                <c:pt idx="262" formatCode="0.0000">
                  <c:v>1.2391738571886122</c:v>
                </c:pt>
                <c:pt idx="263" formatCode="0.0000">
                  <c:v>1.2091130793059992</c:v>
                </c:pt>
                <c:pt idx="264" formatCode="0.0000">
                  <c:v>1.1673776401741029</c:v>
                </c:pt>
                <c:pt idx="265" formatCode="0.0000">
                  <c:v>1.1203955200775124</c:v>
                </c:pt>
                <c:pt idx="266" formatCode="0.0000">
                  <c:v>0.99819251261662656</c:v>
                </c:pt>
                <c:pt idx="267" formatCode="0.0000">
                  <c:v>0.97906245630743516</c:v>
                </c:pt>
                <c:pt idx="268" formatCode="0.0000">
                  <c:v>0.95461691753444644</c:v>
                </c:pt>
                <c:pt idx="269" formatCode="0.0000">
                  <c:v>0.91024514460374173</c:v>
                </c:pt>
                <c:pt idx="270" formatCode="0.0000">
                  <c:v>0.89517861845436797</c:v>
                </c:pt>
                <c:pt idx="271" formatCode="0.0000">
                  <c:v>0.88292761192507485</c:v>
                </c:pt>
                <c:pt idx="272" formatCode="0.0000">
                  <c:v>0.84335836133209618</c:v>
                </c:pt>
                <c:pt idx="273" formatCode="0.0000">
                  <c:v>0.85511265537631409</c:v>
                </c:pt>
                <c:pt idx="274" formatCode="0.0000">
                  <c:v>0.83416731141038214</c:v>
                </c:pt>
                <c:pt idx="275" formatCode="0.0000">
                  <c:v>0.85234975970806182</c:v>
                </c:pt>
                <c:pt idx="276" formatCode="0.0000">
                  <c:v>0.88914081128293654</c:v>
                </c:pt>
                <c:pt idx="277" formatCode="0.0000">
                  <c:v>0.91773959928550064</c:v>
                </c:pt>
                <c:pt idx="278" formatCode="0.0000">
                  <c:v>0.91103363545041882</c:v>
                </c:pt>
                <c:pt idx="279" formatCode="0.0000">
                  <c:v>0.9082900442063131</c:v>
                </c:pt>
                <c:pt idx="280" formatCode="0.0000">
                  <c:v>0.92041804941178196</c:v>
                </c:pt>
                <c:pt idx="281" formatCode="0.0000">
                  <c:v>0.96629037821908603</c:v>
                </c:pt>
                <c:pt idx="282" formatCode="0.0000">
                  <c:v>0.97596832893031216</c:v>
                </c:pt>
                <c:pt idx="283" formatCode="0.0000">
                  <c:v>1.0008420697561067</c:v>
                </c:pt>
                <c:pt idx="284" formatCode="0.0000">
                  <c:v>1.0015720124563254</c:v>
                </c:pt>
                <c:pt idx="285" formatCode="0.0000">
                  <c:v>0.98872810940253486</c:v>
                </c:pt>
                <c:pt idx="286" formatCode="0.0000">
                  <c:v>0.99590328627179037</c:v>
                </c:pt>
                <c:pt idx="287" formatCode="0.0000">
                  <c:v>0.96820234895646196</c:v>
                </c:pt>
                <c:pt idx="288" formatCode="0.0000">
                  <c:v>1.0015833600980979</c:v>
                </c:pt>
                <c:pt idx="289" formatCode="0.0000">
                  <c:v>1.0342080190138025</c:v>
                </c:pt>
                <c:pt idx="290" formatCode="0.0000">
                  <c:v>1.0030430814543623</c:v>
                </c:pt>
                <c:pt idx="291" formatCode="0.0000">
                  <c:v>1.0044450085387759</c:v>
                </c:pt>
                <c:pt idx="292" formatCode="0.0000">
                  <c:v>1.0349463706986148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49B-4F09-A72C-B30E0F421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8505717"/>
        <c:axId val="370744835"/>
      </c:lineChart>
      <c:lineChart>
        <c:grouping val="standard"/>
        <c:varyColors val="0"/>
        <c:ser>
          <c:idx val="1"/>
          <c:order val="1"/>
          <c:tx>
            <c:strRef>
              <c:f>'R(t) Województwa'!$DG$2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Województwa'!$DG$3:$DG$1000</c:f>
              <c:numCache>
                <c:formatCode>General</c:formatCode>
                <c:ptCount val="998"/>
                <c:pt idx="4">
                  <c:v>0.4</c:v>
                </c:pt>
                <c:pt idx="5">
                  <c:v>0.33333333333333331</c:v>
                </c:pt>
                <c:pt idx="6">
                  <c:v>0.2857142857142857</c:v>
                </c:pt>
                <c:pt idx="7">
                  <c:v>0.2857142857142857</c:v>
                </c:pt>
                <c:pt idx="8">
                  <c:v>0.2857142857142857</c:v>
                </c:pt>
                <c:pt idx="9">
                  <c:v>0.42857142857142855</c:v>
                </c:pt>
                <c:pt idx="10">
                  <c:v>0.42857142857142855</c:v>
                </c:pt>
                <c:pt idx="11">
                  <c:v>0.42857142857142855</c:v>
                </c:pt>
                <c:pt idx="12">
                  <c:v>0.5714285714285714</c:v>
                </c:pt>
                <c:pt idx="13">
                  <c:v>0.5714285714285714</c:v>
                </c:pt>
                <c:pt idx="14">
                  <c:v>0.8571428571428571</c:v>
                </c:pt>
                <c:pt idx="15">
                  <c:v>0.8571428571428571</c:v>
                </c:pt>
                <c:pt idx="16">
                  <c:v>0.8571428571428571</c:v>
                </c:pt>
                <c:pt idx="17">
                  <c:v>0.5714285714285714</c:v>
                </c:pt>
                <c:pt idx="18">
                  <c:v>0.7142857142857143</c:v>
                </c:pt>
                <c:pt idx="19">
                  <c:v>0.8571428571428571</c:v>
                </c:pt>
                <c:pt idx="20">
                  <c:v>1.4285714285714286</c:v>
                </c:pt>
                <c:pt idx="21">
                  <c:v>2.7142857142857144</c:v>
                </c:pt>
                <c:pt idx="22">
                  <c:v>3.2857142857142856</c:v>
                </c:pt>
                <c:pt idx="23">
                  <c:v>3.4285714285714284</c:v>
                </c:pt>
                <c:pt idx="24">
                  <c:v>4.4285714285714288</c:v>
                </c:pt>
                <c:pt idx="25">
                  <c:v>5.8571428571428568</c:v>
                </c:pt>
                <c:pt idx="26">
                  <c:v>6.4285714285714288</c:v>
                </c:pt>
                <c:pt idx="27">
                  <c:v>6.1428571428571432</c:v>
                </c:pt>
                <c:pt idx="28">
                  <c:v>6</c:v>
                </c:pt>
                <c:pt idx="29">
                  <c:v>6.8571428571428568</c:v>
                </c:pt>
                <c:pt idx="30">
                  <c:v>8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8.2857142857142865</c:v>
                </c:pt>
                <c:pt idx="35">
                  <c:v>9.1428571428571423</c:v>
                </c:pt>
                <c:pt idx="36">
                  <c:v>12.285714285714286</c:v>
                </c:pt>
                <c:pt idx="37">
                  <c:v>12.142857142857142</c:v>
                </c:pt>
                <c:pt idx="38">
                  <c:v>13.571428571428571</c:v>
                </c:pt>
                <c:pt idx="39">
                  <c:v>13</c:v>
                </c:pt>
                <c:pt idx="40">
                  <c:v>12.428571428571429</c:v>
                </c:pt>
                <c:pt idx="41">
                  <c:v>12.285714285714286</c:v>
                </c:pt>
                <c:pt idx="42">
                  <c:v>11.142857142857142</c:v>
                </c:pt>
                <c:pt idx="43">
                  <c:v>7.4285714285714288</c:v>
                </c:pt>
                <c:pt idx="44">
                  <c:v>7</c:v>
                </c:pt>
                <c:pt idx="45">
                  <c:v>6.5714285714285712</c:v>
                </c:pt>
                <c:pt idx="46">
                  <c:v>8.2857142857142865</c:v>
                </c:pt>
                <c:pt idx="47">
                  <c:v>10.428571428571429</c:v>
                </c:pt>
                <c:pt idx="48">
                  <c:v>10.571428571428571</c:v>
                </c:pt>
                <c:pt idx="49">
                  <c:v>9.7142857142857135</c:v>
                </c:pt>
                <c:pt idx="50">
                  <c:v>10.142857142857142</c:v>
                </c:pt>
                <c:pt idx="51">
                  <c:v>11.571428571428571</c:v>
                </c:pt>
                <c:pt idx="52">
                  <c:v>15.142857142857142</c:v>
                </c:pt>
                <c:pt idx="53">
                  <c:v>13.428571428571429</c:v>
                </c:pt>
                <c:pt idx="54">
                  <c:v>12.714285714285714</c:v>
                </c:pt>
                <c:pt idx="55">
                  <c:v>13.285714285714286</c:v>
                </c:pt>
                <c:pt idx="56">
                  <c:v>13.857142857142858</c:v>
                </c:pt>
                <c:pt idx="57">
                  <c:v>13.142857142857142</c:v>
                </c:pt>
                <c:pt idx="58">
                  <c:v>13.142857142857142</c:v>
                </c:pt>
                <c:pt idx="59">
                  <c:v>9.2857142857142865</c:v>
                </c:pt>
                <c:pt idx="60">
                  <c:v>9</c:v>
                </c:pt>
                <c:pt idx="61">
                  <c:v>8.4285714285714288</c:v>
                </c:pt>
                <c:pt idx="62">
                  <c:v>8.2857142857142865</c:v>
                </c:pt>
                <c:pt idx="63">
                  <c:v>9.2857142857142865</c:v>
                </c:pt>
                <c:pt idx="64">
                  <c:v>10.285714285714286</c:v>
                </c:pt>
                <c:pt idx="65">
                  <c:v>9.1428571428571423</c:v>
                </c:pt>
                <c:pt idx="66">
                  <c:v>9</c:v>
                </c:pt>
                <c:pt idx="67">
                  <c:v>9</c:v>
                </c:pt>
                <c:pt idx="68">
                  <c:v>8.4285714285714288</c:v>
                </c:pt>
                <c:pt idx="69">
                  <c:v>6.5714285714285712</c:v>
                </c:pt>
                <c:pt idx="70">
                  <c:v>5.5714285714285712</c:v>
                </c:pt>
                <c:pt idx="71">
                  <c:v>4.8571428571428568</c:v>
                </c:pt>
                <c:pt idx="72">
                  <c:v>4</c:v>
                </c:pt>
                <c:pt idx="73">
                  <c:v>3.8571428571428572</c:v>
                </c:pt>
                <c:pt idx="74">
                  <c:v>3.2857142857142856</c:v>
                </c:pt>
                <c:pt idx="75">
                  <c:v>3</c:v>
                </c:pt>
                <c:pt idx="76">
                  <c:v>3.2857142857142856</c:v>
                </c:pt>
                <c:pt idx="77">
                  <c:v>3.1428571428571428</c:v>
                </c:pt>
                <c:pt idx="78">
                  <c:v>2.4285714285714284</c:v>
                </c:pt>
                <c:pt idx="79">
                  <c:v>3.5714285714285716</c:v>
                </c:pt>
                <c:pt idx="80">
                  <c:v>3.4285714285714284</c:v>
                </c:pt>
                <c:pt idx="81">
                  <c:v>3.8571428571428572</c:v>
                </c:pt>
                <c:pt idx="82">
                  <c:v>3.7142857142857144</c:v>
                </c:pt>
                <c:pt idx="83">
                  <c:v>3.4285714285714284</c:v>
                </c:pt>
                <c:pt idx="84">
                  <c:v>3.2857142857142856</c:v>
                </c:pt>
                <c:pt idx="85">
                  <c:v>3.4285714285714284</c:v>
                </c:pt>
                <c:pt idx="86">
                  <c:v>2</c:v>
                </c:pt>
                <c:pt idx="87">
                  <c:v>2.2857142857142856</c:v>
                </c:pt>
                <c:pt idx="88">
                  <c:v>2.2857142857142856</c:v>
                </c:pt>
                <c:pt idx="89">
                  <c:v>2.2857142857142856</c:v>
                </c:pt>
                <c:pt idx="90">
                  <c:v>2.1428571428571428</c:v>
                </c:pt>
                <c:pt idx="91">
                  <c:v>2.2857142857142856</c:v>
                </c:pt>
                <c:pt idx="92">
                  <c:v>3</c:v>
                </c:pt>
                <c:pt idx="93">
                  <c:v>3.2857142857142856</c:v>
                </c:pt>
                <c:pt idx="94">
                  <c:v>3.1428571428571428</c:v>
                </c:pt>
                <c:pt idx="95">
                  <c:v>2.5714285714285716</c:v>
                </c:pt>
                <c:pt idx="96">
                  <c:v>2.5714285714285716</c:v>
                </c:pt>
                <c:pt idx="97">
                  <c:v>2.5714285714285716</c:v>
                </c:pt>
                <c:pt idx="98">
                  <c:v>2.7142857142857144</c:v>
                </c:pt>
                <c:pt idx="99">
                  <c:v>2.4285714285714284</c:v>
                </c:pt>
                <c:pt idx="100">
                  <c:v>2.4285714285714284</c:v>
                </c:pt>
                <c:pt idx="101">
                  <c:v>2.2857142857142856</c:v>
                </c:pt>
                <c:pt idx="102">
                  <c:v>3.2857142857142856</c:v>
                </c:pt>
                <c:pt idx="103">
                  <c:v>3.8571428571428572</c:v>
                </c:pt>
                <c:pt idx="104">
                  <c:v>4.1428571428571432</c:v>
                </c:pt>
                <c:pt idx="105">
                  <c:v>4</c:v>
                </c:pt>
                <c:pt idx="106">
                  <c:v>3.7142857142857144</c:v>
                </c:pt>
                <c:pt idx="107">
                  <c:v>3.4285714285714284</c:v>
                </c:pt>
                <c:pt idx="108">
                  <c:v>3.7142857142857144</c:v>
                </c:pt>
                <c:pt idx="109">
                  <c:v>2.8571428571428572</c:v>
                </c:pt>
                <c:pt idx="110">
                  <c:v>2.2857142857142856</c:v>
                </c:pt>
                <c:pt idx="111">
                  <c:v>2</c:v>
                </c:pt>
                <c:pt idx="112">
                  <c:v>1.5714285714285714</c:v>
                </c:pt>
                <c:pt idx="113">
                  <c:v>1.7142857142857142</c:v>
                </c:pt>
                <c:pt idx="114">
                  <c:v>1.8571428571428572</c:v>
                </c:pt>
                <c:pt idx="115">
                  <c:v>1.8571428571428572</c:v>
                </c:pt>
                <c:pt idx="116">
                  <c:v>1.8571428571428572</c:v>
                </c:pt>
                <c:pt idx="117">
                  <c:v>1.7142857142857142</c:v>
                </c:pt>
                <c:pt idx="118">
                  <c:v>1.7142857142857142</c:v>
                </c:pt>
                <c:pt idx="119">
                  <c:v>1.7142857142857142</c:v>
                </c:pt>
                <c:pt idx="120">
                  <c:v>1.1428571428571428</c:v>
                </c:pt>
                <c:pt idx="121">
                  <c:v>1</c:v>
                </c:pt>
                <c:pt idx="122">
                  <c:v>0.7142857142857143</c:v>
                </c:pt>
                <c:pt idx="123">
                  <c:v>1.5714285714285714</c:v>
                </c:pt>
                <c:pt idx="124">
                  <c:v>1.7142857142857142</c:v>
                </c:pt>
                <c:pt idx="125">
                  <c:v>1.7142857142857142</c:v>
                </c:pt>
                <c:pt idx="126">
                  <c:v>1.5714285714285714</c:v>
                </c:pt>
                <c:pt idx="127">
                  <c:v>1.5714285714285714</c:v>
                </c:pt>
                <c:pt idx="128">
                  <c:v>1.7142857142857142</c:v>
                </c:pt>
                <c:pt idx="129">
                  <c:v>2.5714285714285716</c:v>
                </c:pt>
                <c:pt idx="130">
                  <c:v>2.1428571428571428</c:v>
                </c:pt>
                <c:pt idx="131">
                  <c:v>2</c:v>
                </c:pt>
                <c:pt idx="132">
                  <c:v>2.2857142857142856</c:v>
                </c:pt>
                <c:pt idx="133">
                  <c:v>2.2857142857142856</c:v>
                </c:pt>
                <c:pt idx="134">
                  <c:v>2.8571428571428572</c:v>
                </c:pt>
                <c:pt idx="135">
                  <c:v>3.1428571428571428</c:v>
                </c:pt>
                <c:pt idx="136">
                  <c:v>2</c:v>
                </c:pt>
                <c:pt idx="137">
                  <c:v>2.5714285714285716</c:v>
                </c:pt>
                <c:pt idx="138">
                  <c:v>3</c:v>
                </c:pt>
                <c:pt idx="139">
                  <c:v>3.2857142857142856</c:v>
                </c:pt>
                <c:pt idx="140">
                  <c:v>4.1428571428571432</c:v>
                </c:pt>
                <c:pt idx="141">
                  <c:v>4.4285714285714288</c:v>
                </c:pt>
                <c:pt idx="142">
                  <c:v>5.4285714285714288</c:v>
                </c:pt>
                <c:pt idx="143">
                  <c:v>6</c:v>
                </c:pt>
                <c:pt idx="144">
                  <c:v>5</c:v>
                </c:pt>
                <c:pt idx="145">
                  <c:v>5.5714285714285712</c:v>
                </c:pt>
                <c:pt idx="146">
                  <c:v>5.2857142857142856</c:v>
                </c:pt>
                <c:pt idx="147">
                  <c:v>5.1428571428571432</c:v>
                </c:pt>
                <c:pt idx="148">
                  <c:v>6</c:v>
                </c:pt>
                <c:pt idx="149">
                  <c:v>5.5714285714285712</c:v>
                </c:pt>
                <c:pt idx="150">
                  <c:v>5.5714285714285712</c:v>
                </c:pt>
                <c:pt idx="151">
                  <c:v>7.5714285714285712</c:v>
                </c:pt>
                <c:pt idx="152">
                  <c:v>7.2857142857142856</c:v>
                </c:pt>
                <c:pt idx="153">
                  <c:v>9.1428571428571423</c:v>
                </c:pt>
                <c:pt idx="154">
                  <c:v>10.428571428571429</c:v>
                </c:pt>
                <c:pt idx="155">
                  <c:v>11.142857142857142</c:v>
                </c:pt>
                <c:pt idx="156">
                  <c:v>12.857142857142858</c:v>
                </c:pt>
                <c:pt idx="157">
                  <c:v>14.285714285714286</c:v>
                </c:pt>
                <c:pt idx="158">
                  <c:v>15.142857142857142</c:v>
                </c:pt>
                <c:pt idx="159">
                  <c:v>16.571428571428573</c:v>
                </c:pt>
                <c:pt idx="160">
                  <c:v>16</c:v>
                </c:pt>
                <c:pt idx="161">
                  <c:v>17.571428571428573</c:v>
                </c:pt>
                <c:pt idx="162">
                  <c:v>17.142857142857142</c:v>
                </c:pt>
                <c:pt idx="163">
                  <c:v>15.285714285714286</c:v>
                </c:pt>
                <c:pt idx="164">
                  <c:v>14.428571428571429</c:v>
                </c:pt>
                <c:pt idx="165">
                  <c:v>14.428571428571429</c:v>
                </c:pt>
                <c:pt idx="166">
                  <c:v>14.857142857142858</c:v>
                </c:pt>
                <c:pt idx="167">
                  <c:v>15.285714285714286</c:v>
                </c:pt>
                <c:pt idx="168">
                  <c:v>13.857142857142858</c:v>
                </c:pt>
                <c:pt idx="169">
                  <c:v>13.714285714285714</c:v>
                </c:pt>
                <c:pt idx="170">
                  <c:v>14.571428571428571</c:v>
                </c:pt>
                <c:pt idx="171">
                  <c:v>14.285714285714286</c:v>
                </c:pt>
                <c:pt idx="172">
                  <c:v>12.857142857142858</c:v>
                </c:pt>
                <c:pt idx="173">
                  <c:v>10.714285714285714</c:v>
                </c:pt>
                <c:pt idx="174">
                  <c:v>9.2857142857142865</c:v>
                </c:pt>
                <c:pt idx="175">
                  <c:v>8.7142857142857135</c:v>
                </c:pt>
                <c:pt idx="176">
                  <c:v>9.4285714285714288</c:v>
                </c:pt>
                <c:pt idx="177">
                  <c:v>9.2857142857142865</c:v>
                </c:pt>
                <c:pt idx="178">
                  <c:v>9.8571428571428577</c:v>
                </c:pt>
                <c:pt idx="179">
                  <c:v>9.8571428571428577</c:v>
                </c:pt>
                <c:pt idx="180">
                  <c:v>10.571428571428571</c:v>
                </c:pt>
                <c:pt idx="181">
                  <c:v>11.428571428571429</c:v>
                </c:pt>
                <c:pt idx="182">
                  <c:v>10.714285714285714</c:v>
                </c:pt>
                <c:pt idx="183">
                  <c:v>8.7142857142857135</c:v>
                </c:pt>
                <c:pt idx="184">
                  <c:v>9.5714285714285712</c:v>
                </c:pt>
                <c:pt idx="185">
                  <c:v>8.4285714285714288</c:v>
                </c:pt>
                <c:pt idx="186">
                  <c:v>8.8571428571428577</c:v>
                </c:pt>
                <c:pt idx="187">
                  <c:v>8.2857142857142865</c:v>
                </c:pt>
                <c:pt idx="188">
                  <c:v>7.2857142857142856</c:v>
                </c:pt>
                <c:pt idx="189">
                  <c:v>8.5714285714285712</c:v>
                </c:pt>
                <c:pt idx="190">
                  <c:v>9.5714285714285712</c:v>
                </c:pt>
                <c:pt idx="191">
                  <c:v>8.8571428571428577</c:v>
                </c:pt>
                <c:pt idx="192">
                  <c:v>10.142857142857142</c:v>
                </c:pt>
                <c:pt idx="193">
                  <c:v>10.142857142857142</c:v>
                </c:pt>
                <c:pt idx="194">
                  <c:v>9.8571428571428577</c:v>
                </c:pt>
                <c:pt idx="195">
                  <c:v>9.8571428571428577</c:v>
                </c:pt>
                <c:pt idx="196">
                  <c:v>10</c:v>
                </c:pt>
                <c:pt idx="197">
                  <c:v>11.857142857142858</c:v>
                </c:pt>
                <c:pt idx="198">
                  <c:v>16</c:v>
                </c:pt>
                <c:pt idx="199">
                  <c:v>17.285714285714285</c:v>
                </c:pt>
                <c:pt idx="200">
                  <c:v>19.714285714285715</c:v>
                </c:pt>
                <c:pt idx="201">
                  <c:v>21.285714285714285</c:v>
                </c:pt>
                <c:pt idx="202">
                  <c:v>22.571428571428573</c:v>
                </c:pt>
                <c:pt idx="203">
                  <c:v>25.714285714285715</c:v>
                </c:pt>
                <c:pt idx="204">
                  <c:v>24.571428571428573</c:v>
                </c:pt>
                <c:pt idx="205">
                  <c:v>22.714285714285715</c:v>
                </c:pt>
                <c:pt idx="206">
                  <c:v>28.571428571428573</c:v>
                </c:pt>
                <c:pt idx="207">
                  <c:v>31.428571428571427</c:v>
                </c:pt>
                <c:pt idx="208">
                  <c:v>37.714285714285715</c:v>
                </c:pt>
                <c:pt idx="209">
                  <c:v>39.571428571428569</c:v>
                </c:pt>
                <c:pt idx="210">
                  <c:v>42.285714285714285</c:v>
                </c:pt>
                <c:pt idx="211">
                  <c:v>50.428571428571431</c:v>
                </c:pt>
                <c:pt idx="212">
                  <c:v>54.714285714285715</c:v>
                </c:pt>
                <c:pt idx="213">
                  <c:v>62.285714285714285</c:v>
                </c:pt>
                <c:pt idx="214">
                  <c:v>63.857142857142854</c:v>
                </c:pt>
                <c:pt idx="215">
                  <c:v>64</c:v>
                </c:pt>
                <c:pt idx="216">
                  <c:v>66.285714285714292</c:v>
                </c:pt>
                <c:pt idx="217">
                  <c:v>73.857142857142861</c:v>
                </c:pt>
                <c:pt idx="218">
                  <c:v>84.285714285714292</c:v>
                </c:pt>
                <c:pt idx="219">
                  <c:v>92.571428571428569</c:v>
                </c:pt>
                <c:pt idx="220">
                  <c:v>94.857142857142861</c:v>
                </c:pt>
                <c:pt idx="221">
                  <c:v>107.71428571428571</c:v>
                </c:pt>
                <c:pt idx="222">
                  <c:v>121.57142857142857</c:v>
                </c:pt>
                <c:pt idx="223">
                  <c:v>132.28571428571428</c:v>
                </c:pt>
                <c:pt idx="224">
                  <c:v>138</c:v>
                </c:pt>
                <c:pt idx="225">
                  <c:v>142.14285714285714</c:v>
                </c:pt>
                <c:pt idx="226">
                  <c:v>150.85714285714286</c:v>
                </c:pt>
                <c:pt idx="227">
                  <c:v>176.71428571428572</c:v>
                </c:pt>
                <c:pt idx="228">
                  <c:v>203.57142857142858</c:v>
                </c:pt>
                <c:pt idx="229">
                  <c:v>226.71428571428572</c:v>
                </c:pt>
                <c:pt idx="230">
                  <c:v>241.14285714285714</c:v>
                </c:pt>
                <c:pt idx="231">
                  <c:v>250</c:v>
                </c:pt>
                <c:pt idx="232">
                  <c:v>265.71428571428572</c:v>
                </c:pt>
                <c:pt idx="233">
                  <c:v>314</c:v>
                </c:pt>
                <c:pt idx="234">
                  <c:v>349.28571428571428</c:v>
                </c:pt>
                <c:pt idx="235">
                  <c:v>383.57142857142856</c:v>
                </c:pt>
                <c:pt idx="236">
                  <c:v>406</c:v>
                </c:pt>
                <c:pt idx="237">
                  <c:v>455</c:v>
                </c:pt>
                <c:pt idx="238">
                  <c:v>499</c:v>
                </c:pt>
                <c:pt idx="239">
                  <c:v>509.71428571428572</c:v>
                </c:pt>
                <c:pt idx="240">
                  <c:v>514.57142857142856</c:v>
                </c:pt>
                <c:pt idx="241">
                  <c:v>530.28571428571433</c:v>
                </c:pt>
                <c:pt idx="242">
                  <c:v>552.42857142857144</c:v>
                </c:pt>
                <c:pt idx="243">
                  <c:v>586.28571428571433</c:v>
                </c:pt>
                <c:pt idx="244">
                  <c:v>588</c:v>
                </c:pt>
                <c:pt idx="245">
                  <c:v>578.42857142857144</c:v>
                </c:pt>
                <c:pt idx="246">
                  <c:v>633.71428571428567</c:v>
                </c:pt>
                <c:pt idx="247">
                  <c:v>679</c:v>
                </c:pt>
                <c:pt idx="248">
                  <c:v>712.57142857142856</c:v>
                </c:pt>
                <c:pt idx="249">
                  <c:v>760.71428571428567</c:v>
                </c:pt>
                <c:pt idx="250">
                  <c:v>762.42857142857144</c:v>
                </c:pt>
                <c:pt idx="251">
                  <c:v>797.71428571428567</c:v>
                </c:pt>
                <c:pt idx="252">
                  <c:v>838.28571428571433</c:v>
                </c:pt>
                <c:pt idx="253">
                  <c:v>853.28571428571433</c:v>
                </c:pt>
                <c:pt idx="254">
                  <c:v>839.28571428571433</c:v>
                </c:pt>
                <c:pt idx="255">
                  <c:v>900.42857142857144</c:v>
                </c:pt>
                <c:pt idx="256">
                  <c:v>896.57142857142856</c:v>
                </c:pt>
                <c:pt idx="257">
                  <c:v>940.85714285714289</c:v>
                </c:pt>
                <c:pt idx="258">
                  <c:v>982.42857142857144</c:v>
                </c:pt>
                <c:pt idx="259">
                  <c:v>1047.1428571428571</c:v>
                </c:pt>
                <c:pt idx="260">
                  <c:v>1089.1428571428571</c:v>
                </c:pt>
                <c:pt idx="261">
                  <c:v>1148.7142857142858</c:v>
                </c:pt>
                <c:pt idx="262">
                  <c:v>1140.8571428571429</c:v>
                </c:pt>
                <c:pt idx="263">
                  <c:v>1148.8571428571429</c:v>
                </c:pt>
                <c:pt idx="264">
                  <c:v>1138.4285714285713</c:v>
                </c:pt>
                <c:pt idx="265">
                  <c:v>1117.7142857142858</c:v>
                </c:pt>
                <c:pt idx="266">
                  <c:v>1012.8571428571429</c:v>
                </c:pt>
                <c:pt idx="267">
                  <c:v>993.57142857142856</c:v>
                </c:pt>
                <c:pt idx="268">
                  <c:v>965.85714285714289</c:v>
                </c:pt>
                <c:pt idx="269">
                  <c:v>914.28571428571433</c:v>
                </c:pt>
                <c:pt idx="270">
                  <c:v>885.85714285714289</c:v>
                </c:pt>
                <c:pt idx="271">
                  <c:v>860.14285714285711</c:v>
                </c:pt>
                <c:pt idx="272">
                  <c:v>807.85714285714289</c:v>
                </c:pt>
                <c:pt idx="273">
                  <c:v>808.42857142857144</c:v>
                </c:pt>
                <c:pt idx="274">
                  <c:v>771.28571428571433</c:v>
                </c:pt>
                <c:pt idx="275">
                  <c:v>763.85714285714289</c:v>
                </c:pt>
                <c:pt idx="276">
                  <c:v>775.85714285714289</c:v>
                </c:pt>
                <c:pt idx="277">
                  <c:v>786.14285714285711</c:v>
                </c:pt>
                <c:pt idx="278">
                  <c:v>771</c:v>
                </c:pt>
                <c:pt idx="279">
                  <c:v>761</c:v>
                </c:pt>
                <c:pt idx="280">
                  <c:v>764.57142857142856</c:v>
                </c:pt>
                <c:pt idx="281">
                  <c:v>790.42857142857144</c:v>
                </c:pt>
                <c:pt idx="282">
                  <c:v>792.85714285714289</c:v>
                </c:pt>
                <c:pt idx="283">
                  <c:v>808.71428571428567</c:v>
                </c:pt>
                <c:pt idx="284">
                  <c:v>808.57142857142856</c:v>
                </c:pt>
                <c:pt idx="285">
                  <c:v>797</c:v>
                </c:pt>
                <c:pt idx="286">
                  <c:v>801.57142857142856</c:v>
                </c:pt>
                <c:pt idx="287">
                  <c:v>779</c:v>
                </c:pt>
                <c:pt idx="288">
                  <c:v>797.85714285714289</c:v>
                </c:pt>
                <c:pt idx="289">
                  <c:v>821.85714285714289</c:v>
                </c:pt>
                <c:pt idx="290">
                  <c:v>799.85714285714289</c:v>
                </c:pt>
                <c:pt idx="291">
                  <c:v>800</c:v>
                </c:pt>
                <c:pt idx="292">
                  <c:v>825.71428571428567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49B-4F09-A72C-B30E0F421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4039686"/>
        <c:axId val="1912514328"/>
      </c:lineChart>
      <c:dateAx>
        <c:axId val="12185057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370744835"/>
        <c:crosses val="autoZero"/>
        <c:auto val="1"/>
        <c:lblOffset val="100"/>
        <c:baseTimeUnit val="days"/>
      </c:dateAx>
      <c:valAx>
        <c:axId val="370744835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218505717"/>
        <c:crosses val="autoZero"/>
        <c:crossBetween val="between"/>
      </c:valAx>
      <c:dateAx>
        <c:axId val="1414039686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1912514328"/>
        <c:crosses val="autoZero"/>
        <c:auto val="1"/>
        <c:lblOffset val="100"/>
        <c:baseTimeUnit val="days"/>
      </c:dateAx>
      <c:valAx>
        <c:axId val="1912514328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414039686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Dolnośląskiego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Województwa'!$J$2</c:f>
              <c:strCache>
                <c:ptCount val="1"/>
                <c:pt idx="0">
                  <c:v>Dolnośląskie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Województwa'!$J$3:$J$1000</c:f>
              <c:numCache>
                <c:formatCode>General</c:formatCode>
                <c:ptCount val="998"/>
                <c:pt idx="22" formatCode="0.0000">
                  <c:v>1.019127205199629</c:v>
                </c:pt>
                <c:pt idx="23" formatCode="0.0000">
                  <c:v>0.98597769858372897</c:v>
                </c:pt>
                <c:pt idx="24" formatCode="0.0000">
                  <c:v>1.254211702608417</c:v>
                </c:pt>
                <c:pt idx="25" formatCode="0.0000">
                  <c:v>1.2423355506816074</c:v>
                </c:pt>
                <c:pt idx="26" formatCode="0.0000">
                  <c:v>1.2171247449870073</c:v>
                </c:pt>
                <c:pt idx="27" formatCode="0.0000">
                  <c:v>1.2338788707511881</c:v>
                </c:pt>
                <c:pt idx="28" formatCode="0.0000">
                  <c:v>1.1776535154206991</c:v>
                </c:pt>
                <c:pt idx="29" formatCode="0.0000">
                  <c:v>1.4313123312440397</c:v>
                </c:pt>
                <c:pt idx="30" formatCode="0.0000">
                  <c:v>1.3685264678806102</c:v>
                </c:pt>
                <c:pt idx="31" formatCode="0.0000">
                  <c:v>1.519909469382299</c:v>
                </c:pt>
                <c:pt idx="32" formatCode="0.0000">
                  <c:v>1.3838845272642657</c:v>
                </c:pt>
                <c:pt idx="33" formatCode="0.0000">
                  <c:v>1.5790495865822709</c:v>
                </c:pt>
                <c:pt idx="34" formatCode="0.0000">
                  <c:v>1.4867667644180993</c:v>
                </c:pt>
                <c:pt idx="35" formatCode="0.0000">
                  <c:v>1.5630397821986008</c:v>
                </c:pt>
                <c:pt idx="36" formatCode="0.0000">
                  <c:v>1.2211309957777392</c:v>
                </c:pt>
                <c:pt idx="37" formatCode="0.0000">
                  <c:v>1.2993277166292643</c:v>
                </c:pt>
                <c:pt idx="38" formatCode="0.0000">
                  <c:v>1.2495685628221627</c:v>
                </c:pt>
                <c:pt idx="39" formatCode="0.0000">
                  <c:v>1.3113026336649392</c:v>
                </c:pt>
                <c:pt idx="40" formatCode="0.0000">
                  <c:v>1.1218697720739494</c:v>
                </c:pt>
                <c:pt idx="41" formatCode="0.0000">
                  <c:v>1.078324660148406</c:v>
                </c:pt>
                <c:pt idx="42" formatCode="0.0000">
                  <c:v>0.9492311578578938</c:v>
                </c:pt>
                <c:pt idx="43" formatCode="0.0000">
                  <c:v>1.1048658480419606</c:v>
                </c:pt>
                <c:pt idx="44" formatCode="0.0000">
                  <c:v>1.2203142243542104</c:v>
                </c:pt>
                <c:pt idx="45" formatCode="0.0000">
                  <c:v>1.1824231883881779</c:v>
                </c:pt>
                <c:pt idx="46" formatCode="0.0000">
                  <c:v>1.2898341659392969</c:v>
                </c:pt>
                <c:pt idx="47" formatCode="0.0000">
                  <c:v>1.4527071136518679</c:v>
                </c:pt>
                <c:pt idx="48" formatCode="0.0000">
                  <c:v>1.4964527208416811</c:v>
                </c:pt>
                <c:pt idx="49" formatCode="0.0000">
                  <c:v>1.5545460954380201</c:v>
                </c:pt>
                <c:pt idx="50" formatCode="0.0000">
                  <c:v>1.4224592869307824</c:v>
                </c:pt>
                <c:pt idx="51" formatCode="0.0000">
                  <c:v>1.3810095704287533</c:v>
                </c:pt>
                <c:pt idx="52" formatCode="0.0000">
                  <c:v>1.1319221344796264</c:v>
                </c:pt>
                <c:pt idx="53" formatCode="0.0000">
                  <c:v>1.0684200086448781</c:v>
                </c:pt>
                <c:pt idx="54" formatCode="0.0000">
                  <c:v>0.94857698735943874</c:v>
                </c:pt>
                <c:pt idx="55" formatCode="0.0000">
                  <c:v>1.072696537486866</c:v>
                </c:pt>
                <c:pt idx="56" formatCode="0.0000">
                  <c:v>1.0884768274705592</c:v>
                </c:pt>
                <c:pt idx="57" formatCode="0.0000">
                  <c:v>1.177780391292419</c:v>
                </c:pt>
                <c:pt idx="58" formatCode="0.0000">
                  <c:v>1.0729898981970247</c:v>
                </c:pt>
                <c:pt idx="59" formatCode="0.0000">
                  <c:v>1.0513462374348441</c:v>
                </c:pt>
                <c:pt idx="60" formatCode="0.0000">
                  <c:v>1.0361185066114387</c:v>
                </c:pt>
                <c:pt idx="61" formatCode="0.0000">
                  <c:v>0.9084181491362715</c:v>
                </c:pt>
                <c:pt idx="62" formatCode="0.0000">
                  <c:v>0.95610140723898573</c:v>
                </c:pt>
                <c:pt idx="63" formatCode="0.0000">
                  <c:v>0.9554598427516704</c:v>
                </c:pt>
                <c:pt idx="64" formatCode="0.0000">
                  <c:v>0.84648308079519752</c:v>
                </c:pt>
                <c:pt idx="65" formatCode="0.0000">
                  <c:v>0.84572712775340375</c:v>
                </c:pt>
                <c:pt idx="66" formatCode="0.0000">
                  <c:v>0.95040190760618359</c:v>
                </c:pt>
                <c:pt idx="67" formatCode="0.0000">
                  <c:v>0.934998724589161</c:v>
                </c:pt>
                <c:pt idx="68" formatCode="0.0000">
                  <c:v>1.1994507594451942</c:v>
                </c:pt>
                <c:pt idx="69" formatCode="0.0000">
                  <c:v>0.99526734558544816</c:v>
                </c:pt>
                <c:pt idx="70" formatCode="0.0000">
                  <c:v>0.95553885374317082</c:v>
                </c:pt>
                <c:pt idx="71" formatCode="0.0000">
                  <c:v>1.0389147609576102</c:v>
                </c:pt>
                <c:pt idx="72" formatCode="0.0000">
                  <c:v>1.0009447791005985</c:v>
                </c:pt>
                <c:pt idx="73" formatCode="0.0000">
                  <c:v>0.90334473120992675</c:v>
                </c:pt>
                <c:pt idx="74" formatCode="0.0000">
                  <c:v>0.86465940579558709</c:v>
                </c:pt>
                <c:pt idx="75" formatCode="0.0000">
                  <c:v>0.54436328563075809</c:v>
                </c:pt>
                <c:pt idx="76" formatCode="0.0000">
                  <c:v>0.76053669974541882</c:v>
                </c:pt>
                <c:pt idx="77" formatCode="0.0000">
                  <c:v>0.78701149958644123</c:v>
                </c:pt>
                <c:pt idx="78" formatCode="0.0000">
                  <c:v>0.72162316642917801</c:v>
                </c:pt>
                <c:pt idx="79" formatCode="0.0000">
                  <c:v>0.72419801085486768</c:v>
                </c:pt>
                <c:pt idx="80" formatCode="0.0000">
                  <c:v>1.0039538850857712</c:v>
                </c:pt>
                <c:pt idx="81" formatCode="0.0000">
                  <c:v>1.06205445936534</c:v>
                </c:pt>
                <c:pt idx="82" formatCode="0.0000">
                  <c:v>1.1135906340868502</c:v>
                </c:pt>
                <c:pt idx="83" formatCode="0.0000">
                  <c:v>0.992674998258262</c:v>
                </c:pt>
                <c:pt idx="84" formatCode="0.0000">
                  <c:v>0.93314942320299987</c:v>
                </c:pt>
                <c:pt idx="85" formatCode="0.0000">
                  <c:v>1.0414635354996322</c:v>
                </c:pt>
                <c:pt idx="86" formatCode="0.0000">
                  <c:v>1.035682055386725</c:v>
                </c:pt>
                <c:pt idx="87" formatCode="0.0000">
                  <c:v>0.82165744680033137</c:v>
                </c:pt>
                <c:pt idx="88" formatCode="0.0000">
                  <c:v>0.81034734455256152</c:v>
                </c:pt>
                <c:pt idx="89" formatCode="0.0000">
                  <c:v>0.79774098324285458</c:v>
                </c:pt>
                <c:pt idx="90" formatCode="0.0000">
                  <c:v>0.83003976024043591</c:v>
                </c:pt>
                <c:pt idx="91" formatCode="0.0000">
                  <c:v>0.80798532801740053</c:v>
                </c:pt>
                <c:pt idx="92" formatCode="0.0000">
                  <c:v>0.67661908307475371</c:v>
                </c:pt>
                <c:pt idx="93" formatCode="0.0000">
                  <c:v>0.66544294900603906</c:v>
                </c:pt>
                <c:pt idx="94" formatCode="0.0000">
                  <c:v>0.67678766960405046</c:v>
                </c:pt>
                <c:pt idx="95" formatCode="0.0000">
                  <c:v>0.69160114719497556</c:v>
                </c:pt>
                <c:pt idx="96" formatCode="0.0000">
                  <c:v>0.68216587641946524</c:v>
                </c:pt>
                <c:pt idx="97" formatCode="0.0000">
                  <c:v>0.60974277513177211</c:v>
                </c:pt>
                <c:pt idx="98" formatCode="0.0000">
                  <c:v>0.65548977967708588</c:v>
                </c:pt>
                <c:pt idx="99" formatCode="0.0000">
                  <c:v>0.62342197822323597</c:v>
                </c:pt>
                <c:pt idx="100" formatCode="0.0000">
                  <c:v>0.64688608127613301</c:v>
                </c:pt>
                <c:pt idx="101" formatCode="0.0000">
                  <c:v>0.52352881180782762</c:v>
                </c:pt>
                <c:pt idx="102" formatCode="0.0000">
                  <c:v>0.57765459719986822</c:v>
                </c:pt>
                <c:pt idx="103" formatCode="0.0000">
                  <c:v>0.52347358430644753</c:v>
                </c:pt>
                <c:pt idx="104" formatCode="0.0000">
                  <c:v>0.40456742004397989</c:v>
                </c:pt>
                <c:pt idx="105" formatCode="0.0000">
                  <c:v>0.4719118236256164</c:v>
                </c:pt>
                <c:pt idx="106" formatCode="0.0000">
                  <c:v>0.95914517689043521</c:v>
                </c:pt>
                <c:pt idx="107" formatCode="0.0000">
                  <c:v>0.98222124570129032</c:v>
                </c:pt>
                <c:pt idx="108" formatCode="0.0000">
                  <c:v>1.1115266159151365</c:v>
                </c:pt>
                <c:pt idx="109" formatCode="0.0000">
                  <c:v>1.0625705420911491</c:v>
                </c:pt>
                <c:pt idx="110" formatCode="0.0000">
                  <c:v>1.0840993449906136</c:v>
                </c:pt>
                <c:pt idx="111" formatCode="0.0000">
                  <c:v>1.1331024115022328</c:v>
                </c:pt>
                <c:pt idx="112" formatCode="0.0000">
                  <c:v>1.1095864317725292</c:v>
                </c:pt>
                <c:pt idx="113" formatCode="0.0000">
                  <c:v>0.74813523477574839</c:v>
                </c:pt>
                <c:pt idx="114" formatCode="0.0000">
                  <c:v>0.71514169775271219</c:v>
                </c:pt>
                <c:pt idx="115" formatCode="0.0000">
                  <c:v>0.8357641457338929</c:v>
                </c:pt>
                <c:pt idx="116" formatCode="0.0000">
                  <c:v>0.77377422892996794</c:v>
                </c:pt>
                <c:pt idx="117" formatCode="0.0000">
                  <c:v>0.77987612871465106</c:v>
                </c:pt>
                <c:pt idx="118" formatCode="0.0000">
                  <c:v>0.77771674730854612</c:v>
                </c:pt>
                <c:pt idx="119" formatCode="0.0000">
                  <c:v>0.74615836215176956</c:v>
                </c:pt>
                <c:pt idx="120" formatCode="0.0000">
                  <c:v>0.68618468875663552</c:v>
                </c:pt>
                <c:pt idx="121" formatCode="0.0000">
                  <c:v>0.71891093297497133</c:v>
                </c:pt>
                <c:pt idx="122" formatCode="0.0000">
                  <c:v>0.51802553771639648</c:v>
                </c:pt>
                <c:pt idx="123" formatCode="0.0000">
                  <c:v>0.50459514247007797</c:v>
                </c:pt>
                <c:pt idx="124" formatCode="0.0000">
                  <c:v>0.47696443978593062</c:v>
                </c:pt>
                <c:pt idx="125" formatCode="0.0000">
                  <c:v>0.56530076894879855</c:v>
                </c:pt>
                <c:pt idx="126" formatCode="0.0000">
                  <c:v>0.70686926220087443</c:v>
                </c:pt>
                <c:pt idx="127" formatCode="0.0000">
                  <c:v>0.66640991963601581</c:v>
                </c:pt>
                <c:pt idx="128" formatCode="0.0000">
                  <c:v>0.6888213195209244</c:v>
                </c:pt>
                <c:pt idx="129" formatCode="0.0000">
                  <c:v>0.98692055862895489</c:v>
                </c:pt>
                <c:pt idx="130" formatCode="0.0000">
                  <c:v>0.9680923035334269</c:v>
                </c:pt>
                <c:pt idx="131" formatCode="0.0000">
                  <c:v>1.0181984058022981</c:v>
                </c:pt>
                <c:pt idx="132" formatCode="0.0000">
                  <c:v>0.91063269836175798</c:v>
                </c:pt>
                <c:pt idx="133" formatCode="0.0000">
                  <c:v>0.91511555598328853</c:v>
                </c:pt>
                <c:pt idx="134" formatCode="0.0000">
                  <c:v>1.0912736345853049</c:v>
                </c:pt>
                <c:pt idx="135" formatCode="0.0000">
                  <c:v>1.6321040887127345</c:v>
                </c:pt>
                <c:pt idx="136" formatCode="0.0000">
                  <c:v>1.4111530963911163</c:v>
                </c:pt>
                <c:pt idx="137" formatCode="0.0000">
                  <c:v>1.6565603879394479</c:v>
                </c:pt>
                <c:pt idx="138" formatCode="0.0000">
                  <c:v>1.7405046114727969</c:v>
                </c:pt>
                <c:pt idx="139" formatCode="0.0000">
                  <c:v>2.0434803246545683</c:v>
                </c:pt>
                <c:pt idx="140" formatCode="0.0000">
                  <c:v>1.8317460065432523</c:v>
                </c:pt>
                <c:pt idx="141" formatCode="0.0000">
                  <c:v>1.8605762460117536</c:v>
                </c:pt>
                <c:pt idx="142" formatCode="0.0000">
                  <c:v>1.2724435323766716</c:v>
                </c:pt>
                <c:pt idx="143" formatCode="0.0000">
                  <c:v>1.5263911176868479</c:v>
                </c:pt>
                <c:pt idx="144" formatCode="0.0000">
                  <c:v>1.4621170349526089</c:v>
                </c:pt>
                <c:pt idx="145" formatCode="0.0000">
                  <c:v>1.4275454436040906</c:v>
                </c:pt>
                <c:pt idx="146" formatCode="0.0000">
                  <c:v>1.1905460991498023</c:v>
                </c:pt>
                <c:pt idx="147" formatCode="0.0000">
                  <c:v>1.4916638536263618</c:v>
                </c:pt>
                <c:pt idx="148" formatCode="0.0000">
                  <c:v>1.39268727324418</c:v>
                </c:pt>
                <c:pt idx="149" formatCode="0.0000">
                  <c:v>1.3488268542334194</c:v>
                </c:pt>
                <c:pt idx="150" formatCode="0.0000">
                  <c:v>1.3093580673853946</c:v>
                </c:pt>
                <c:pt idx="151" formatCode="0.0000">
                  <c:v>1.2073412168495454</c:v>
                </c:pt>
                <c:pt idx="152" formatCode="0.0000">
                  <c:v>1.2429845007358964</c:v>
                </c:pt>
                <c:pt idx="153" formatCode="0.0000">
                  <c:v>1.2940801362992997</c:v>
                </c:pt>
                <c:pt idx="154" formatCode="0.0000">
                  <c:v>1.3542920712185953</c:v>
                </c:pt>
                <c:pt idx="155" formatCode="0.0000">
                  <c:v>1.3476037235608185</c:v>
                </c:pt>
                <c:pt idx="156" formatCode="0.0000">
                  <c:v>1.5646086030198691</c:v>
                </c:pt>
                <c:pt idx="157" formatCode="0.0000">
                  <c:v>1.346453230173976</c:v>
                </c:pt>
                <c:pt idx="158" formatCode="0.0000">
                  <c:v>1.434596463450666</c:v>
                </c:pt>
                <c:pt idx="159" formatCode="0.0000">
                  <c:v>1.3675810720947708</c:v>
                </c:pt>
                <c:pt idx="160" formatCode="0.0000">
                  <c:v>1.3333081599876897</c:v>
                </c:pt>
                <c:pt idx="161" formatCode="0.0000">
                  <c:v>1.1051970348252151</c:v>
                </c:pt>
                <c:pt idx="162" formatCode="0.0000">
                  <c:v>1.147563349615893</c:v>
                </c:pt>
                <c:pt idx="163" formatCode="0.0000">
                  <c:v>1.0206788834283929</c:v>
                </c:pt>
                <c:pt idx="164" formatCode="0.0000">
                  <c:v>1.013010374279349</c:v>
                </c:pt>
                <c:pt idx="165" formatCode="0.0000">
                  <c:v>1.1446696368025517</c:v>
                </c:pt>
                <c:pt idx="166" formatCode="0.0000">
                  <c:v>1.1318471903227854</c:v>
                </c:pt>
                <c:pt idx="167" formatCode="0.0000">
                  <c:v>1.1150732655123328</c:v>
                </c:pt>
                <c:pt idx="168" formatCode="0.0000">
                  <c:v>1.1350798413381606</c:v>
                </c:pt>
                <c:pt idx="169" formatCode="0.0000">
                  <c:v>1.1152740872084108</c:v>
                </c:pt>
                <c:pt idx="170" formatCode="0.0000">
                  <c:v>1.0928443522666156</c:v>
                </c:pt>
                <c:pt idx="171" formatCode="0.0000">
                  <c:v>1.1345819053475155</c:v>
                </c:pt>
                <c:pt idx="172" formatCode="0.0000">
                  <c:v>0.95826331082678384</c:v>
                </c:pt>
                <c:pt idx="173" formatCode="0.0000">
                  <c:v>1.029736076616228</c:v>
                </c:pt>
                <c:pt idx="174" formatCode="0.0000">
                  <c:v>1.0434558967346743</c:v>
                </c:pt>
                <c:pt idx="175" formatCode="0.0000">
                  <c:v>1.0971589865714964</c:v>
                </c:pt>
                <c:pt idx="176" formatCode="0.0000">
                  <c:v>1.0015979850925745</c:v>
                </c:pt>
                <c:pt idx="177" formatCode="0.0000">
                  <c:v>1.0403360393386643</c:v>
                </c:pt>
                <c:pt idx="178" formatCode="0.0000">
                  <c:v>1.0351481545203303</c:v>
                </c:pt>
                <c:pt idx="179" formatCode="0.0000">
                  <c:v>1.0992620627836081</c:v>
                </c:pt>
                <c:pt idx="180" formatCode="0.0000">
                  <c:v>1.0209049617428334</c:v>
                </c:pt>
                <c:pt idx="181" formatCode="0.0000">
                  <c:v>0.96699410792743734</c:v>
                </c:pt>
                <c:pt idx="182" formatCode="0.0000">
                  <c:v>0.92754826731362061</c:v>
                </c:pt>
                <c:pt idx="183" formatCode="0.0000">
                  <c:v>0.92360558181518815</c:v>
                </c:pt>
                <c:pt idx="184" formatCode="0.0000">
                  <c:v>0.91474066170771018</c:v>
                </c:pt>
                <c:pt idx="185" formatCode="0.0000">
                  <c:v>0.91431513557085531</c:v>
                </c:pt>
                <c:pt idx="186" formatCode="0.0000">
                  <c:v>0.81679305353460097</c:v>
                </c:pt>
                <c:pt idx="187" formatCode="0.0000">
                  <c:v>0.81554147246069264</c:v>
                </c:pt>
                <c:pt idx="188" formatCode="0.0000">
                  <c:v>0.80119680871660159</c:v>
                </c:pt>
                <c:pt idx="189" formatCode="0.0000">
                  <c:v>0.95207592421105347</c:v>
                </c:pt>
                <c:pt idx="190" formatCode="0.0000">
                  <c:v>1.084012672626598</c:v>
                </c:pt>
                <c:pt idx="191" formatCode="0.0000">
                  <c:v>1.0542714312852248</c:v>
                </c:pt>
                <c:pt idx="192" formatCode="0.0000">
                  <c:v>1.1673595206002549</c:v>
                </c:pt>
                <c:pt idx="193" formatCode="0.0000">
                  <c:v>1.0895940364754244</c:v>
                </c:pt>
                <c:pt idx="194" formatCode="0.0000">
                  <c:v>1.1326046964457885</c:v>
                </c:pt>
                <c:pt idx="195" formatCode="0.0000">
                  <c:v>1.1470365467008354</c:v>
                </c:pt>
                <c:pt idx="196" formatCode="0.0000">
                  <c:v>1.1826301874175742</c:v>
                </c:pt>
                <c:pt idx="197" formatCode="0.0000">
                  <c:v>1.2246653309632654</c:v>
                </c:pt>
                <c:pt idx="198" formatCode="0.0000">
                  <c:v>1.2302279120744208</c:v>
                </c:pt>
                <c:pt idx="199" formatCode="0.0000">
                  <c:v>1.1363691009389929</c:v>
                </c:pt>
                <c:pt idx="200" formatCode="0.0000">
                  <c:v>1.4687045074459764</c:v>
                </c:pt>
                <c:pt idx="201" formatCode="0.0000">
                  <c:v>1.5477834062403328</c:v>
                </c:pt>
                <c:pt idx="202" formatCode="0.0000">
                  <c:v>1.5272253724763174</c:v>
                </c:pt>
                <c:pt idx="203" formatCode="0.0000">
                  <c:v>1.3287904789290927</c:v>
                </c:pt>
                <c:pt idx="204" formatCode="0.0000">
                  <c:v>1.2632428383968333</c:v>
                </c:pt>
                <c:pt idx="205" formatCode="0.0000">
                  <c:v>1.3637727233153749</c:v>
                </c:pt>
                <c:pt idx="206" formatCode="0.0000">
                  <c:v>1.3664628567239772</c:v>
                </c:pt>
                <c:pt idx="207" formatCode="0.0000">
                  <c:v>1.1901578804710655</c:v>
                </c:pt>
                <c:pt idx="208" formatCode="0.0000">
                  <c:v>1.1755362314395776</c:v>
                </c:pt>
                <c:pt idx="209" formatCode="0.0000">
                  <c:v>1.2298838773674852</c:v>
                </c:pt>
                <c:pt idx="210" formatCode="0.0000">
                  <c:v>1.2477450411289721</c:v>
                </c:pt>
                <c:pt idx="211" formatCode="0.0000">
                  <c:v>1.2807537313799873</c:v>
                </c:pt>
                <c:pt idx="212" formatCode="0.0000">
                  <c:v>1.3388664139966127</c:v>
                </c:pt>
                <c:pt idx="213" formatCode="0.0000">
                  <c:v>1.4134534654975077</c:v>
                </c:pt>
                <c:pt idx="214" formatCode="0.0000">
                  <c:v>1.3447021471376759</c:v>
                </c:pt>
                <c:pt idx="215" formatCode="0.0000">
                  <c:v>1.331570541353259</c:v>
                </c:pt>
                <c:pt idx="216" formatCode="0.0000">
                  <c:v>1.4430529777774925</c:v>
                </c:pt>
                <c:pt idx="217" formatCode="0.0000">
                  <c:v>1.534685629165746</c:v>
                </c:pt>
                <c:pt idx="218" formatCode="0.0000">
                  <c:v>1.6646736974506786</c:v>
                </c:pt>
                <c:pt idx="219" formatCode="0.0000">
                  <c:v>1.7884299375348367</c:v>
                </c:pt>
                <c:pt idx="220" formatCode="0.0000">
                  <c:v>1.8401534999169289</c:v>
                </c:pt>
                <c:pt idx="221" formatCode="0.0000">
                  <c:v>1.952612899810249</c:v>
                </c:pt>
                <c:pt idx="222" formatCode="0.0000">
                  <c:v>1.9880906745898042</c:v>
                </c:pt>
                <c:pt idx="223" formatCode="0.0000">
                  <c:v>1.9723694767383655</c:v>
                </c:pt>
                <c:pt idx="224" formatCode="0.0000">
                  <c:v>1.9718828268238593</c:v>
                </c:pt>
                <c:pt idx="225" formatCode="0.0000">
                  <c:v>1.8689024307330189</c:v>
                </c:pt>
                <c:pt idx="226" formatCode="0.0000">
                  <c:v>1.7334635516834571</c:v>
                </c:pt>
                <c:pt idx="227" formatCode="0.0000">
                  <c:v>1.6976758761996742</c:v>
                </c:pt>
                <c:pt idx="228" formatCode="0.0000">
                  <c:v>1.7283385577153993</c:v>
                </c:pt>
                <c:pt idx="229" formatCode="0.0000">
                  <c:v>1.7280384020824466</c:v>
                </c:pt>
                <c:pt idx="230" formatCode="0.0000">
                  <c:v>1.73297217339316</c:v>
                </c:pt>
                <c:pt idx="231" formatCode="0.0000">
                  <c:v>1.681723226119993</c:v>
                </c:pt>
                <c:pt idx="232" formatCode="0.0000">
                  <c:v>1.6261637438809036</c:v>
                </c:pt>
                <c:pt idx="233" formatCode="0.0000">
                  <c:v>1.5947342537762632</c:v>
                </c:pt>
                <c:pt idx="234" formatCode="0.0000">
                  <c:v>1.5562606320526069</c:v>
                </c:pt>
                <c:pt idx="235" formatCode="0.0000">
                  <c:v>1.4769791087721402</c:v>
                </c:pt>
                <c:pt idx="236" formatCode="0.0000">
                  <c:v>1.4772658013658386</c:v>
                </c:pt>
                <c:pt idx="237" formatCode="0.0000">
                  <c:v>1.424382734611823</c:v>
                </c:pt>
                <c:pt idx="238" formatCode="0.0000">
                  <c:v>1.4434628598262902</c:v>
                </c:pt>
                <c:pt idx="239" formatCode="0.0000">
                  <c:v>1.5568303625027657</c:v>
                </c:pt>
                <c:pt idx="240" formatCode="0.0000">
                  <c:v>1.5167286605912034</c:v>
                </c:pt>
                <c:pt idx="241" formatCode="0.0000">
                  <c:v>1.4972929353277831</c:v>
                </c:pt>
                <c:pt idx="242" formatCode="0.0000">
                  <c:v>1.5363350720107523</c:v>
                </c:pt>
                <c:pt idx="243" formatCode="0.0000">
                  <c:v>1.4547054515121158</c:v>
                </c:pt>
                <c:pt idx="244" formatCode="0.0000">
                  <c:v>1.4603249927910036</c:v>
                </c:pt>
                <c:pt idx="245" formatCode="0.0000">
                  <c:v>1.5658974838878312</c:v>
                </c:pt>
                <c:pt idx="246" formatCode="0.0000">
                  <c:v>1.6285636673015307</c:v>
                </c:pt>
                <c:pt idx="247" formatCode="0.0000">
                  <c:v>1.746980291008827</c:v>
                </c:pt>
                <c:pt idx="248" formatCode="0.0000">
                  <c:v>1.8056194090408233</c:v>
                </c:pt>
                <c:pt idx="249" formatCode="0.0000">
                  <c:v>1.7558801338566248</c:v>
                </c:pt>
                <c:pt idx="250" formatCode="0.0000">
                  <c:v>1.8250044730243509</c:v>
                </c:pt>
                <c:pt idx="251" formatCode="0.0000">
                  <c:v>1.8380584530650255</c:v>
                </c:pt>
                <c:pt idx="252" formatCode="0.0000">
                  <c:v>1.6870695676907541</c:v>
                </c:pt>
                <c:pt idx="253" formatCode="0.0000">
                  <c:v>1.5440045789815919</c:v>
                </c:pt>
                <c:pt idx="254" formatCode="0.0000">
                  <c:v>1.3721877085856622</c:v>
                </c:pt>
                <c:pt idx="255" formatCode="0.0000">
                  <c:v>1.3137743960104213</c:v>
                </c:pt>
                <c:pt idx="256" formatCode="0.0000">
                  <c:v>1.3154318722416216</c:v>
                </c:pt>
                <c:pt idx="257" formatCode="0.0000">
                  <c:v>1.286787875933358</c:v>
                </c:pt>
                <c:pt idx="258" formatCode="0.0000">
                  <c:v>1.2540031885585106</c:v>
                </c:pt>
                <c:pt idx="259" formatCode="0.0000">
                  <c:v>1.196803346955073</c:v>
                </c:pt>
                <c:pt idx="260" formatCode="0.0000">
                  <c:v>1.1206458950428495</c:v>
                </c:pt>
                <c:pt idx="261" formatCode="0.0000">
                  <c:v>1.1026001814539532</c:v>
                </c:pt>
                <c:pt idx="262" formatCode="0.0000">
                  <c:v>0.99973770001944084</c:v>
                </c:pt>
                <c:pt idx="263" formatCode="0.0000">
                  <c:v>0.92885691768585033</c:v>
                </c:pt>
                <c:pt idx="264" formatCode="0.0000">
                  <c:v>0.86584607923578194</c:v>
                </c:pt>
                <c:pt idx="265" formatCode="0.0000">
                  <c:v>0.82542982074455507</c:v>
                </c:pt>
                <c:pt idx="266" formatCode="0.0000">
                  <c:v>0.74369299344779605</c:v>
                </c:pt>
                <c:pt idx="267" formatCode="0.0000">
                  <c:v>0.67484226734575692</c:v>
                </c:pt>
                <c:pt idx="268" formatCode="0.0000">
                  <c:v>0.65764555622386056</c:v>
                </c:pt>
                <c:pt idx="269" formatCode="0.0000">
                  <c:v>0.67487379972965589</c:v>
                </c:pt>
                <c:pt idx="270" formatCode="0.0000">
                  <c:v>0.69471862970239451</c:v>
                </c:pt>
                <c:pt idx="271" formatCode="0.0000">
                  <c:v>0.69943647551539889</c:v>
                </c:pt>
                <c:pt idx="272" formatCode="0.0000">
                  <c:v>0.66607640675686131</c:v>
                </c:pt>
                <c:pt idx="273" formatCode="0.0000">
                  <c:v>0.66429431649712789</c:v>
                </c:pt>
                <c:pt idx="274" formatCode="0.0000">
                  <c:v>0.69690691712507147</c:v>
                </c:pt>
                <c:pt idx="275" formatCode="0.0000">
                  <c:v>0.70096273517923602</c:v>
                </c:pt>
                <c:pt idx="276" formatCode="0.0000">
                  <c:v>0.68228261112531807</c:v>
                </c:pt>
                <c:pt idx="277" formatCode="0.0000">
                  <c:v>0.66201111768552923</c:v>
                </c:pt>
                <c:pt idx="278" formatCode="0.0000">
                  <c:v>0.65146084649977809</c:v>
                </c:pt>
                <c:pt idx="279" formatCode="0.0000">
                  <c:v>0.64789773751415569</c:v>
                </c:pt>
                <c:pt idx="280" formatCode="0.0000">
                  <c:v>0.65935934673912844</c:v>
                </c:pt>
                <c:pt idx="281" formatCode="0.0000">
                  <c:v>0.69827875930461702</c:v>
                </c:pt>
                <c:pt idx="282" formatCode="0.0000">
                  <c:v>0.76335894248694458</c:v>
                </c:pt>
                <c:pt idx="283" formatCode="0.0000">
                  <c:v>0.78917414788512374</c:v>
                </c:pt>
                <c:pt idx="284" formatCode="0.0000">
                  <c:v>0.78232611197127266</c:v>
                </c:pt>
                <c:pt idx="285" formatCode="0.0000">
                  <c:v>0.80335000271165968</c:v>
                </c:pt>
                <c:pt idx="286" formatCode="0.0000">
                  <c:v>0.80789007102743959</c:v>
                </c:pt>
                <c:pt idx="287" formatCode="0.0000">
                  <c:v>0.81940409194514652</c:v>
                </c:pt>
                <c:pt idx="288" formatCode="0.0000">
                  <c:v>0.80989232364530328</c:v>
                </c:pt>
                <c:pt idx="289" formatCode="0.0000">
                  <c:v>0.78244479834300862</c:v>
                </c:pt>
                <c:pt idx="290" formatCode="0.0000">
                  <c:v>0.79416062636711637</c:v>
                </c:pt>
                <c:pt idx="291" formatCode="0.0000">
                  <c:v>0.80035771296379143</c:v>
                </c:pt>
                <c:pt idx="292" formatCode="0.0000">
                  <c:v>0.81796604929277739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001-4E23-850C-892469BE6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718045"/>
        <c:axId val="833567322"/>
      </c:lineChart>
      <c:lineChart>
        <c:grouping val="standard"/>
        <c:varyColors val="0"/>
        <c:ser>
          <c:idx val="1"/>
          <c:order val="1"/>
          <c:tx>
            <c:strRef>
              <c:f>'R(t) Województwa'!$F$2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Województwa'!$F$3:$F$1000</c:f>
              <c:numCache>
                <c:formatCode>0.00</c:formatCode>
                <c:ptCount val="998"/>
                <c:pt idx="4">
                  <c:v>0.25</c:v>
                </c:pt>
                <c:pt idx="5">
                  <c:v>0.4</c:v>
                </c:pt>
                <c:pt idx="6">
                  <c:v>0.5</c:v>
                </c:pt>
                <c:pt idx="7">
                  <c:v>0.5714285714285714</c:v>
                </c:pt>
                <c:pt idx="8">
                  <c:v>0.5714285714285714</c:v>
                </c:pt>
                <c:pt idx="9">
                  <c:v>1</c:v>
                </c:pt>
                <c:pt idx="10">
                  <c:v>1</c:v>
                </c:pt>
                <c:pt idx="11">
                  <c:v>1.7142857142857142</c:v>
                </c:pt>
                <c:pt idx="12">
                  <c:v>1.8571428571428572</c:v>
                </c:pt>
                <c:pt idx="13">
                  <c:v>3.4285714285714284</c:v>
                </c:pt>
                <c:pt idx="14">
                  <c:v>4.8571428571428568</c:v>
                </c:pt>
                <c:pt idx="15">
                  <c:v>5.1428571428571432</c:v>
                </c:pt>
                <c:pt idx="16">
                  <c:v>6.5714285714285712</c:v>
                </c:pt>
                <c:pt idx="17">
                  <c:v>7.1428571428571432</c:v>
                </c:pt>
                <c:pt idx="18">
                  <c:v>7.5714285714285712</c:v>
                </c:pt>
                <c:pt idx="19">
                  <c:v>9.1428571428571423</c:v>
                </c:pt>
                <c:pt idx="20">
                  <c:v>10.571428571428571</c:v>
                </c:pt>
                <c:pt idx="21">
                  <c:v>13.714285714285714</c:v>
                </c:pt>
                <c:pt idx="22">
                  <c:v>15.714285714285714</c:v>
                </c:pt>
                <c:pt idx="23">
                  <c:v>16</c:v>
                </c:pt>
                <c:pt idx="24">
                  <c:v>19.285714285714285</c:v>
                </c:pt>
                <c:pt idx="25">
                  <c:v>21.142857142857142</c:v>
                </c:pt>
                <c:pt idx="26">
                  <c:v>22.142857142857142</c:v>
                </c:pt>
                <c:pt idx="27">
                  <c:v>22.428571428571427</c:v>
                </c:pt>
                <c:pt idx="28">
                  <c:v>20</c:v>
                </c:pt>
                <c:pt idx="29">
                  <c:v>25.142857142857142</c:v>
                </c:pt>
                <c:pt idx="30">
                  <c:v>24.714285714285715</c:v>
                </c:pt>
                <c:pt idx="31">
                  <c:v>29.571428571428573</c:v>
                </c:pt>
                <c:pt idx="32">
                  <c:v>27.571428571428573</c:v>
                </c:pt>
                <c:pt idx="33">
                  <c:v>33.428571428571431</c:v>
                </c:pt>
                <c:pt idx="34">
                  <c:v>32.857142857142854</c:v>
                </c:pt>
                <c:pt idx="35">
                  <c:v>36.142857142857146</c:v>
                </c:pt>
                <c:pt idx="36">
                  <c:v>30.428571428571427</c:v>
                </c:pt>
                <c:pt idx="37">
                  <c:v>32.857142857142854</c:v>
                </c:pt>
                <c:pt idx="38">
                  <c:v>33.857142857142854</c:v>
                </c:pt>
                <c:pt idx="39">
                  <c:v>36.142857142857146</c:v>
                </c:pt>
                <c:pt idx="40">
                  <c:v>32.714285714285715</c:v>
                </c:pt>
                <c:pt idx="41">
                  <c:v>31.571428571428573</c:v>
                </c:pt>
                <c:pt idx="42">
                  <c:v>28</c:v>
                </c:pt>
                <c:pt idx="43">
                  <c:v>32.142857142857146</c:v>
                </c:pt>
                <c:pt idx="44">
                  <c:v>35.857142857142854</c:v>
                </c:pt>
                <c:pt idx="45">
                  <c:v>36.571428571428569</c:v>
                </c:pt>
                <c:pt idx="46">
                  <c:v>41.285714285714285</c:v>
                </c:pt>
                <c:pt idx="47">
                  <c:v>49.571428571428569</c:v>
                </c:pt>
                <c:pt idx="48">
                  <c:v>52.571428571428569</c:v>
                </c:pt>
                <c:pt idx="49">
                  <c:v>56.428571428571431</c:v>
                </c:pt>
                <c:pt idx="50">
                  <c:v>54.285714285714285</c:v>
                </c:pt>
                <c:pt idx="51">
                  <c:v>56.142857142857146</c:v>
                </c:pt>
                <c:pt idx="52">
                  <c:v>48.857142857142854</c:v>
                </c:pt>
                <c:pt idx="53">
                  <c:v>47</c:v>
                </c:pt>
                <c:pt idx="54">
                  <c:v>42.428571428571431</c:v>
                </c:pt>
                <c:pt idx="55">
                  <c:v>47.857142857142854</c:v>
                </c:pt>
                <c:pt idx="56">
                  <c:v>49</c:v>
                </c:pt>
                <c:pt idx="57">
                  <c:v>53.714285714285715</c:v>
                </c:pt>
                <c:pt idx="58">
                  <c:v>50.142857142857146</c:v>
                </c:pt>
                <c:pt idx="59">
                  <c:v>49.285714285714285</c:v>
                </c:pt>
                <c:pt idx="60">
                  <c:v>48.857142857142854</c:v>
                </c:pt>
                <c:pt idx="61">
                  <c:v>43.428571428571431</c:v>
                </c:pt>
                <c:pt idx="62">
                  <c:v>44.428571428571431</c:v>
                </c:pt>
                <c:pt idx="63">
                  <c:v>44</c:v>
                </c:pt>
                <c:pt idx="64">
                  <c:v>38.428571428571431</c:v>
                </c:pt>
                <c:pt idx="65">
                  <c:v>37.428571428571431</c:v>
                </c:pt>
                <c:pt idx="66">
                  <c:v>41.428571428571431</c:v>
                </c:pt>
                <c:pt idx="67">
                  <c:v>40.428571428571431</c:v>
                </c:pt>
                <c:pt idx="68">
                  <c:v>51</c:v>
                </c:pt>
                <c:pt idx="69">
                  <c:v>43</c:v>
                </c:pt>
                <c:pt idx="70">
                  <c:v>41</c:v>
                </c:pt>
                <c:pt idx="71">
                  <c:v>44.428571428571431</c:v>
                </c:pt>
                <c:pt idx="72">
                  <c:v>42.857142857142854</c:v>
                </c:pt>
                <c:pt idx="73">
                  <c:v>38.714285714285715</c:v>
                </c:pt>
                <c:pt idx="74">
                  <c:v>36.714285714285715</c:v>
                </c:pt>
                <c:pt idx="75">
                  <c:v>23.428571428571427</c:v>
                </c:pt>
                <c:pt idx="76">
                  <c:v>28.857142857142858</c:v>
                </c:pt>
                <c:pt idx="77">
                  <c:v>28.714285714285715</c:v>
                </c:pt>
                <c:pt idx="78">
                  <c:v>25.142857142857142</c:v>
                </c:pt>
                <c:pt idx="79">
                  <c:v>24.285714285714285</c:v>
                </c:pt>
                <c:pt idx="80">
                  <c:v>32.142857142857146</c:v>
                </c:pt>
                <c:pt idx="81">
                  <c:v>34.142857142857146</c:v>
                </c:pt>
                <c:pt idx="82">
                  <c:v>36</c:v>
                </c:pt>
                <c:pt idx="83">
                  <c:v>32.714285714285715</c:v>
                </c:pt>
                <c:pt idx="84">
                  <c:v>30.571428571428573</c:v>
                </c:pt>
                <c:pt idx="85">
                  <c:v>33.714285714285715</c:v>
                </c:pt>
                <c:pt idx="86">
                  <c:v>33.571428571428569</c:v>
                </c:pt>
                <c:pt idx="87">
                  <c:v>27.142857142857142</c:v>
                </c:pt>
                <c:pt idx="88">
                  <c:v>26</c:v>
                </c:pt>
                <c:pt idx="89">
                  <c:v>25.142857142857142</c:v>
                </c:pt>
                <c:pt idx="90">
                  <c:v>25</c:v>
                </c:pt>
                <c:pt idx="91">
                  <c:v>24</c:v>
                </c:pt>
                <c:pt idx="92">
                  <c:v>19.571428571428573</c:v>
                </c:pt>
                <c:pt idx="93">
                  <c:v>18.571428571428573</c:v>
                </c:pt>
                <c:pt idx="94">
                  <c:v>17.714285714285715</c:v>
                </c:pt>
                <c:pt idx="95">
                  <c:v>17</c:v>
                </c:pt>
                <c:pt idx="96">
                  <c:v>16.285714285714285</c:v>
                </c:pt>
                <c:pt idx="97">
                  <c:v>13.428571428571429</c:v>
                </c:pt>
                <c:pt idx="98">
                  <c:v>13.857142857142858</c:v>
                </c:pt>
                <c:pt idx="99">
                  <c:v>12.857142857142858</c:v>
                </c:pt>
                <c:pt idx="100">
                  <c:v>12.714285714285714</c:v>
                </c:pt>
                <c:pt idx="101">
                  <c:v>10</c:v>
                </c:pt>
                <c:pt idx="102">
                  <c:v>9.5714285714285712</c:v>
                </c:pt>
                <c:pt idx="103">
                  <c:v>8.4285714285714288</c:v>
                </c:pt>
                <c:pt idx="104">
                  <c:v>6.1428571428571432</c:v>
                </c:pt>
                <c:pt idx="105">
                  <c:v>6</c:v>
                </c:pt>
                <c:pt idx="106">
                  <c:v>10.714285714285714</c:v>
                </c:pt>
                <c:pt idx="107">
                  <c:v>10.857142857142858</c:v>
                </c:pt>
                <c:pt idx="108">
                  <c:v>12.571428571428571</c:v>
                </c:pt>
                <c:pt idx="109">
                  <c:v>12</c:v>
                </c:pt>
                <c:pt idx="110">
                  <c:v>12.285714285714286</c:v>
                </c:pt>
                <c:pt idx="111">
                  <c:v>12.857142857142858</c:v>
                </c:pt>
                <c:pt idx="112">
                  <c:v>12.714285714285714</c:v>
                </c:pt>
                <c:pt idx="113">
                  <c:v>9.1428571428571423</c:v>
                </c:pt>
                <c:pt idx="114">
                  <c:v>8.4285714285714288</c:v>
                </c:pt>
                <c:pt idx="115">
                  <c:v>9.1428571428571423</c:v>
                </c:pt>
                <c:pt idx="116">
                  <c:v>8.1428571428571423</c:v>
                </c:pt>
                <c:pt idx="117">
                  <c:v>8.1428571428571423</c:v>
                </c:pt>
                <c:pt idx="118">
                  <c:v>8</c:v>
                </c:pt>
                <c:pt idx="119">
                  <c:v>7.4285714285714288</c:v>
                </c:pt>
                <c:pt idx="120">
                  <c:v>6.5714285714285712</c:v>
                </c:pt>
                <c:pt idx="121">
                  <c:v>6.5714285714285712</c:v>
                </c:pt>
                <c:pt idx="122">
                  <c:v>4.4285714285714288</c:v>
                </c:pt>
                <c:pt idx="123">
                  <c:v>4</c:v>
                </c:pt>
                <c:pt idx="124">
                  <c:v>3.7142857142857144</c:v>
                </c:pt>
                <c:pt idx="125">
                  <c:v>4</c:v>
                </c:pt>
                <c:pt idx="126">
                  <c:v>4.4285714285714288</c:v>
                </c:pt>
                <c:pt idx="127">
                  <c:v>4</c:v>
                </c:pt>
                <c:pt idx="128">
                  <c:v>3.8571428571428572</c:v>
                </c:pt>
                <c:pt idx="129">
                  <c:v>5.2857142857142856</c:v>
                </c:pt>
                <c:pt idx="130">
                  <c:v>5.1428571428571432</c:v>
                </c:pt>
                <c:pt idx="131">
                  <c:v>5.4285714285714288</c:v>
                </c:pt>
                <c:pt idx="132">
                  <c:v>4.8571428571428568</c:v>
                </c:pt>
                <c:pt idx="133">
                  <c:v>4.7142857142857144</c:v>
                </c:pt>
                <c:pt idx="134">
                  <c:v>5.5714285714285712</c:v>
                </c:pt>
                <c:pt idx="135">
                  <c:v>8.5714285714285712</c:v>
                </c:pt>
                <c:pt idx="136">
                  <c:v>7.8571428571428568</c:v>
                </c:pt>
                <c:pt idx="137">
                  <c:v>10</c:v>
                </c:pt>
                <c:pt idx="138">
                  <c:v>11</c:v>
                </c:pt>
                <c:pt idx="139">
                  <c:v>14</c:v>
                </c:pt>
                <c:pt idx="140">
                  <c:v>13.285714285714286</c:v>
                </c:pt>
                <c:pt idx="141">
                  <c:v>14.714285714285714</c:v>
                </c:pt>
                <c:pt idx="142">
                  <c:v>12</c:v>
                </c:pt>
                <c:pt idx="143">
                  <c:v>15</c:v>
                </c:pt>
                <c:pt idx="144">
                  <c:v>15.571428571428571</c:v>
                </c:pt>
                <c:pt idx="145">
                  <c:v>15.714285714285714</c:v>
                </c:pt>
                <c:pt idx="146">
                  <c:v>13.857142857142858</c:v>
                </c:pt>
                <c:pt idx="147">
                  <c:v>17.857142857142858</c:v>
                </c:pt>
                <c:pt idx="148">
                  <c:v>17.714285714285715</c:v>
                </c:pt>
                <c:pt idx="149">
                  <c:v>17.428571428571427</c:v>
                </c:pt>
                <c:pt idx="150">
                  <c:v>18.285714285714285</c:v>
                </c:pt>
                <c:pt idx="151">
                  <c:v>17.428571428571427</c:v>
                </c:pt>
                <c:pt idx="152">
                  <c:v>18.285714285714285</c:v>
                </c:pt>
                <c:pt idx="153">
                  <c:v>19.428571428571427</c:v>
                </c:pt>
                <c:pt idx="154">
                  <c:v>21.714285714285715</c:v>
                </c:pt>
                <c:pt idx="155">
                  <c:v>22.428571428571427</c:v>
                </c:pt>
                <c:pt idx="156">
                  <c:v>27.285714285714285</c:v>
                </c:pt>
                <c:pt idx="157">
                  <c:v>25.428571428571427</c:v>
                </c:pt>
                <c:pt idx="158">
                  <c:v>28.285714285714285</c:v>
                </c:pt>
                <c:pt idx="159">
                  <c:v>27.714285714285715</c:v>
                </c:pt>
                <c:pt idx="160">
                  <c:v>27.857142857142858</c:v>
                </c:pt>
                <c:pt idx="161">
                  <c:v>25</c:v>
                </c:pt>
                <c:pt idx="162">
                  <c:v>26.285714285714285</c:v>
                </c:pt>
                <c:pt idx="163">
                  <c:v>24</c:v>
                </c:pt>
                <c:pt idx="164">
                  <c:v>23.857142857142858</c:v>
                </c:pt>
                <c:pt idx="165">
                  <c:v>27</c:v>
                </c:pt>
                <c:pt idx="166">
                  <c:v>26.857142857142858</c:v>
                </c:pt>
                <c:pt idx="167">
                  <c:v>26.714285714285715</c:v>
                </c:pt>
                <c:pt idx="168">
                  <c:v>27.571428571428573</c:v>
                </c:pt>
                <c:pt idx="169">
                  <c:v>27.571428571428573</c:v>
                </c:pt>
                <c:pt idx="170">
                  <c:v>27.285714285714285</c:v>
                </c:pt>
                <c:pt idx="171">
                  <c:v>28.571428571428573</c:v>
                </c:pt>
                <c:pt idx="172">
                  <c:v>24.857142857142858</c:v>
                </c:pt>
                <c:pt idx="173">
                  <c:v>26.714285714285715</c:v>
                </c:pt>
                <c:pt idx="174">
                  <c:v>27.142857142857142</c:v>
                </c:pt>
                <c:pt idx="175">
                  <c:v>28.714285714285715</c:v>
                </c:pt>
                <c:pt idx="176">
                  <c:v>26.428571428571427</c:v>
                </c:pt>
                <c:pt idx="177">
                  <c:v>27.428571428571427</c:v>
                </c:pt>
                <c:pt idx="178">
                  <c:v>27.428571428571427</c:v>
                </c:pt>
                <c:pt idx="179">
                  <c:v>29.285714285714285</c:v>
                </c:pt>
                <c:pt idx="180">
                  <c:v>27.285714285714285</c:v>
                </c:pt>
                <c:pt idx="181">
                  <c:v>25.857142857142858</c:v>
                </c:pt>
                <c:pt idx="182">
                  <c:v>24.571428571428573</c:v>
                </c:pt>
                <c:pt idx="183">
                  <c:v>24.285714285714285</c:v>
                </c:pt>
                <c:pt idx="184">
                  <c:v>23.714285714285715</c:v>
                </c:pt>
                <c:pt idx="185">
                  <c:v>23.285714285714285</c:v>
                </c:pt>
                <c:pt idx="186">
                  <c:v>20.285714285714285</c:v>
                </c:pt>
                <c:pt idx="187">
                  <c:v>20</c:v>
                </c:pt>
                <c:pt idx="188">
                  <c:v>19.428571428571427</c:v>
                </c:pt>
                <c:pt idx="189">
                  <c:v>21.428571428571427</c:v>
                </c:pt>
                <c:pt idx="190">
                  <c:v>24.428571428571427</c:v>
                </c:pt>
                <c:pt idx="191">
                  <c:v>23.857142857142858</c:v>
                </c:pt>
                <c:pt idx="192">
                  <c:v>26.714285714285715</c:v>
                </c:pt>
                <c:pt idx="193">
                  <c:v>25</c:v>
                </c:pt>
                <c:pt idx="194">
                  <c:v>26.142857142857142</c:v>
                </c:pt>
                <c:pt idx="195">
                  <c:v>26.571428571428573</c:v>
                </c:pt>
                <c:pt idx="196">
                  <c:v>28.142857142857142</c:v>
                </c:pt>
                <c:pt idx="197">
                  <c:v>30</c:v>
                </c:pt>
                <c:pt idx="198">
                  <c:v>30.714285714285715</c:v>
                </c:pt>
                <c:pt idx="199">
                  <c:v>29.285714285714285</c:v>
                </c:pt>
                <c:pt idx="200">
                  <c:v>39.571428571428569</c:v>
                </c:pt>
                <c:pt idx="201">
                  <c:v>43.714285714285715</c:v>
                </c:pt>
                <c:pt idx="202">
                  <c:v>43.714285714285715</c:v>
                </c:pt>
                <c:pt idx="203">
                  <c:v>41.857142857142854</c:v>
                </c:pt>
                <c:pt idx="204">
                  <c:v>41.714285714285715</c:v>
                </c:pt>
                <c:pt idx="205">
                  <c:v>46.428571428571431</c:v>
                </c:pt>
                <c:pt idx="206">
                  <c:v>48.571428571428569</c:v>
                </c:pt>
                <c:pt idx="207">
                  <c:v>45.714285714285715</c:v>
                </c:pt>
                <c:pt idx="208">
                  <c:v>46.285714285714285</c:v>
                </c:pt>
                <c:pt idx="209">
                  <c:v>49</c:v>
                </c:pt>
                <c:pt idx="210">
                  <c:v>51.428571428571431</c:v>
                </c:pt>
                <c:pt idx="211">
                  <c:v>54.714285714285715</c:v>
                </c:pt>
                <c:pt idx="212">
                  <c:v>60.142857142857146</c:v>
                </c:pt>
                <c:pt idx="213">
                  <c:v>67.142857142857139</c:v>
                </c:pt>
                <c:pt idx="214">
                  <c:v>67.142857142857139</c:v>
                </c:pt>
                <c:pt idx="215">
                  <c:v>69</c:v>
                </c:pt>
                <c:pt idx="216">
                  <c:v>77.428571428571431</c:v>
                </c:pt>
                <c:pt idx="217">
                  <c:v>88.285714285714292</c:v>
                </c:pt>
                <c:pt idx="218">
                  <c:v>104.71428571428571</c:v>
                </c:pt>
                <c:pt idx="219">
                  <c:v>127.85714285714286</c:v>
                </c:pt>
                <c:pt idx="220">
                  <c:v>149.14285714285714</c:v>
                </c:pt>
                <c:pt idx="221">
                  <c:v>174.71428571428572</c:v>
                </c:pt>
                <c:pt idx="222">
                  <c:v>192.42857142857142</c:v>
                </c:pt>
                <c:pt idx="223">
                  <c:v>208.42857142857142</c:v>
                </c:pt>
                <c:pt idx="224">
                  <c:v>237.28571428571428</c:v>
                </c:pt>
                <c:pt idx="225">
                  <c:v>256</c:v>
                </c:pt>
                <c:pt idx="226">
                  <c:v>273.71428571428572</c:v>
                </c:pt>
                <c:pt idx="227">
                  <c:v>301</c:v>
                </c:pt>
                <c:pt idx="228">
                  <c:v>341.28571428571428</c:v>
                </c:pt>
                <c:pt idx="229">
                  <c:v>367.42857142857144</c:v>
                </c:pt>
                <c:pt idx="230">
                  <c:v>397</c:v>
                </c:pt>
                <c:pt idx="231">
                  <c:v>429.14285714285717</c:v>
                </c:pt>
                <c:pt idx="232">
                  <c:v>450.14285714285717</c:v>
                </c:pt>
                <c:pt idx="233">
                  <c:v>482.71428571428572</c:v>
                </c:pt>
                <c:pt idx="234">
                  <c:v>515</c:v>
                </c:pt>
                <c:pt idx="235">
                  <c:v>532.28571428571433</c:v>
                </c:pt>
                <c:pt idx="236">
                  <c:v>563.14285714285711</c:v>
                </c:pt>
                <c:pt idx="237">
                  <c:v>571.14285714285711</c:v>
                </c:pt>
                <c:pt idx="238">
                  <c:v>621.14285714285711</c:v>
                </c:pt>
                <c:pt idx="239">
                  <c:v>718</c:v>
                </c:pt>
                <c:pt idx="240">
                  <c:v>753.28571428571433</c:v>
                </c:pt>
                <c:pt idx="241">
                  <c:v>800.71428571428567</c:v>
                </c:pt>
                <c:pt idx="242">
                  <c:v>884.14285714285711</c:v>
                </c:pt>
                <c:pt idx="243">
                  <c:v>875.42857142857144</c:v>
                </c:pt>
                <c:pt idx="244">
                  <c:v>914.71428571428567</c:v>
                </c:pt>
                <c:pt idx="245">
                  <c:v>1064.2857142857142</c:v>
                </c:pt>
                <c:pt idx="246">
                  <c:v>1233.4285714285713</c:v>
                </c:pt>
                <c:pt idx="247">
                  <c:v>1461.1428571428571</c:v>
                </c:pt>
                <c:pt idx="248">
                  <c:v>1677.2857142857142</c:v>
                </c:pt>
                <c:pt idx="249">
                  <c:v>1793.8571428571429</c:v>
                </c:pt>
                <c:pt idx="250">
                  <c:v>1976</c:v>
                </c:pt>
                <c:pt idx="251">
                  <c:v>2116.2857142857142</c:v>
                </c:pt>
                <c:pt idx="252">
                  <c:v>2198.7142857142858</c:v>
                </c:pt>
                <c:pt idx="253">
                  <c:v>2246.8571428571427</c:v>
                </c:pt>
                <c:pt idx="254">
                  <c:v>2160.5714285714284</c:v>
                </c:pt>
                <c:pt idx="255">
                  <c:v>2205</c:v>
                </c:pt>
                <c:pt idx="256">
                  <c:v>2312</c:v>
                </c:pt>
                <c:pt idx="257">
                  <c:v>2343</c:v>
                </c:pt>
                <c:pt idx="258">
                  <c:v>2352.2857142857142</c:v>
                </c:pt>
                <c:pt idx="259">
                  <c:v>2334.7142857142858</c:v>
                </c:pt>
                <c:pt idx="260">
                  <c:v>2253.2857142857142</c:v>
                </c:pt>
                <c:pt idx="261">
                  <c:v>2247.7142857142858</c:v>
                </c:pt>
                <c:pt idx="262">
                  <c:v>2076.7142857142858</c:v>
                </c:pt>
                <c:pt idx="263">
                  <c:v>1933.5714285714287</c:v>
                </c:pt>
                <c:pt idx="264">
                  <c:v>1789.1428571428571</c:v>
                </c:pt>
                <c:pt idx="265">
                  <c:v>1682.1428571428571</c:v>
                </c:pt>
                <c:pt idx="266">
                  <c:v>1484.5714285714287</c:v>
                </c:pt>
                <c:pt idx="267">
                  <c:v>1303.7142857142858</c:v>
                </c:pt>
                <c:pt idx="268">
                  <c:v>1204.2857142857142</c:v>
                </c:pt>
                <c:pt idx="269">
                  <c:v>1160.2857142857142</c:v>
                </c:pt>
                <c:pt idx="270">
                  <c:v>1115.8571428571429</c:v>
                </c:pt>
                <c:pt idx="271">
                  <c:v>1083.8571428571429</c:v>
                </c:pt>
                <c:pt idx="272">
                  <c:v>999.57142857142856</c:v>
                </c:pt>
                <c:pt idx="273">
                  <c:v>954.14285714285711</c:v>
                </c:pt>
                <c:pt idx="274">
                  <c:v>956.85714285714289</c:v>
                </c:pt>
                <c:pt idx="275">
                  <c:v>918.57142857142856</c:v>
                </c:pt>
                <c:pt idx="276">
                  <c:v>848.57142857142856</c:v>
                </c:pt>
                <c:pt idx="277">
                  <c:v>768.42857142857144</c:v>
                </c:pt>
                <c:pt idx="278">
                  <c:v>724.85714285714289</c:v>
                </c:pt>
                <c:pt idx="279">
                  <c:v>702.28571428571433</c:v>
                </c:pt>
                <c:pt idx="280">
                  <c:v>680.71428571428567</c:v>
                </c:pt>
                <c:pt idx="281">
                  <c:v>676.28571428571433</c:v>
                </c:pt>
                <c:pt idx="282">
                  <c:v>696.42857142857144</c:v>
                </c:pt>
                <c:pt idx="283">
                  <c:v>692</c:v>
                </c:pt>
                <c:pt idx="284">
                  <c:v>660.28571428571433</c:v>
                </c:pt>
                <c:pt idx="285">
                  <c:v>663.42857142857144</c:v>
                </c:pt>
                <c:pt idx="286">
                  <c:v>659.28571428571433</c:v>
                </c:pt>
                <c:pt idx="287">
                  <c:v>652.57142857142856</c:v>
                </c:pt>
                <c:pt idx="288">
                  <c:v>626.28571428571433</c:v>
                </c:pt>
                <c:pt idx="289">
                  <c:v>582.85714285714289</c:v>
                </c:pt>
                <c:pt idx="290">
                  <c:v>567.71428571428567</c:v>
                </c:pt>
                <c:pt idx="291">
                  <c:v>552.71428571428567</c:v>
                </c:pt>
                <c:pt idx="292">
                  <c:v>551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001-4E23-850C-892469BE6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0939811"/>
        <c:axId val="865510223"/>
      </c:lineChart>
      <c:catAx>
        <c:axId val="21127180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833567322"/>
        <c:crosses val="autoZero"/>
        <c:auto val="1"/>
        <c:lblAlgn val="ctr"/>
        <c:lblOffset val="100"/>
        <c:noMultiLvlLbl val="1"/>
      </c:catAx>
      <c:valAx>
        <c:axId val="833567322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2112718045"/>
        <c:crosses val="autoZero"/>
        <c:crossBetween val="between"/>
      </c:valAx>
      <c:catAx>
        <c:axId val="9109398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65510223"/>
        <c:crosses val="autoZero"/>
        <c:auto val="1"/>
        <c:lblAlgn val="ctr"/>
        <c:lblOffset val="100"/>
        <c:noMultiLvlLbl val="1"/>
      </c:catAx>
      <c:valAx>
        <c:axId val="865510223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910939811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województw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'R(t) Województwa'!$J$2</c:f>
              <c:strCache>
                <c:ptCount val="1"/>
                <c:pt idx="0">
                  <c:v>Dolnośląskie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Województwa'!$J$3:$J$1000</c:f>
              <c:numCache>
                <c:formatCode>General</c:formatCode>
                <c:ptCount val="998"/>
                <c:pt idx="22" formatCode="0.0000">
                  <c:v>1.019127205199629</c:v>
                </c:pt>
                <c:pt idx="23" formatCode="0.0000">
                  <c:v>0.98597769858372897</c:v>
                </c:pt>
                <c:pt idx="24" formatCode="0.0000">
                  <c:v>1.254211702608417</c:v>
                </c:pt>
                <c:pt idx="25" formatCode="0.0000">
                  <c:v>1.2423355506816074</c:v>
                </c:pt>
                <c:pt idx="26" formatCode="0.0000">
                  <c:v>1.2171247449870073</c:v>
                </c:pt>
                <c:pt idx="27" formatCode="0.0000">
                  <c:v>1.2338788707511881</c:v>
                </c:pt>
                <c:pt idx="28" formatCode="0.0000">
                  <c:v>1.1776535154206991</c:v>
                </c:pt>
                <c:pt idx="29" formatCode="0.0000">
                  <c:v>1.4313123312440397</c:v>
                </c:pt>
                <c:pt idx="30" formatCode="0.0000">
                  <c:v>1.3685264678806102</c:v>
                </c:pt>
                <c:pt idx="31" formatCode="0.0000">
                  <c:v>1.519909469382299</c:v>
                </c:pt>
                <c:pt idx="32" formatCode="0.0000">
                  <c:v>1.3838845272642657</c:v>
                </c:pt>
                <c:pt idx="33" formatCode="0.0000">
                  <c:v>1.5790495865822709</c:v>
                </c:pt>
                <c:pt idx="34" formatCode="0.0000">
                  <c:v>1.4867667644180993</c:v>
                </c:pt>
                <c:pt idx="35" formatCode="0.0000">
                  <c:v>1.5630397821986008</c:v>
                </c:pt>
                <c:pt idx="36" formatCode="0.0000">
                  <c:v>1.2211309957777392</c:v>
                </c:pt>
                <c:pt idx="37" formatCode="0.0000">
                  <c:v>1.2993277166292643</c:v>
                </c:pt>
                <c:pt idx="38" formatCode="0.0000">
                  <c:v>1.2495685628221627</c:v>
                </c:pt>
                <c:pt idx="39" formatCode="0.0000">
                  <c:v>1.3113026336649392</c:v>
                </c:pt>
                <c:pt idx="40" formatCode="0.0000">
                  <c:v>1.1218697720739494</c:v>
                </c:pt>
                <c:pt idx="41" formatCode="0.0000">
                  <c:v>1.078324660148406</c:v>
                </c:pt>
                <c:pt idx="42" formatCode="0.0000">
                  <c:v>0.9492311578578938</c:v>
                </c:pt>
                <c:pt idx="43" formatCode="0.0000">
                  <c:v>1.1048658480419606</c:v>
                </c:pt>
                <c:pt idx="44" formatCode="0.0000">
                  <c:v>1.2203142243542104</c:v>
                </c:pt>
                <c:pt idx="45" formatCode="0.0000">
                  <c:v>1.1824231883881779</c:v>
                </c:pt>
                <c:pt idx="46" formatCode="0.0000">
                  <c:v>1.2898341659392969</c:v>
                </c:pt>
                <c:pt idx="47" formatCode="0.0000">
                  <c:v>1.4527071136518679</c:v>
                </c:pt>
                <c:pt idx="48" formatCode="0.0000">
                  <c:v>1.4964527208416811</c:v>
                </c:pt>
                <c:pt idx="49" formatCode="0.0000">
                  <c:v>1.5545460954380201</c:v>
                </c:pt>
                <c:pt idx="50" formatCode="0.0000">
                  <c:v>1.4224592869307824</c:v>
                </c:pt>
                <c:pt idx="51" formatCode="0.0000">
                  <c:v>1.3810095704287533</c:v>
                </c:pt>
                <c:pt idx="52" formatCode="0.0000">
                  <c:v>1.1319221344796264</c:v>
                </c:pt>
                <c:pt idx="53" formatCode="0.0000">
                  <c:v>1.0684200086448781</c:v>
                </c:pt>
                <c:pt idx="54" formatCode="0.0000">
                  <c:v>0.94857698735943874</c:v>
                </c:pt>
                <c:pt idx="55" formatCode="0.0000">
                  <c:v>1.072696537486866</c:v>
                </c:pt>
                <c:pt idx="56" formatCode="0.0000">
                  <c:v>1.0884768274705592</c:v>
                </c:pt>
                <c:pt idx="57" formatCode="0.0000">
                  <c:v>1.177780391292419</c:v>
                </c:pt>
                <c:pt idx="58" formatCode="0.0000">
                  <c:v>1.0729898981970247</c:v>
                </c:pt>
                <c:pt idx="59" formatCode="0.0000">
                  <c:v>1.0513462374348441</c:v>
                </c:pt>
                <c:pt idx="60" formatCode="0.0000">
                  <c:v>1.0361185066114387</c:v>
                </c:pt>
                <c:pt idx="61" formatCode="0.0000">
                  <c:v>0.9084181491362715</c:v>
                </c:pt>
                <c:pt idx="62" formatCode="0.0000">
                  <c:v>0.95610140723898573</c:v>
                </c:pt>
                <c:pt idx="63" formatCode="0.0000">
                  <c:v>0.9554598427516704</c:v>
                </c:pt>
                <c:pt idx="64" formatCode="0.0000">
                  <c:v>0.84648308079519752</c:v>
                </c:pt>
                <c:pt idx="65" formatCode="0.0000">
                  <c:v>0.84572712775340375</c:v>
                </c:pt>
                <c:pt idx="66" formatCode="0.0000">
                  <c:v>0.95040190760618359</c:v>
                </c:pt>
                <c:pt idx="67" formatCode="0.0000">
                  <c:v>0.934998724589161</c:v>
                </c:pt>
                <c:pt idx="68" formatCode="0.0000">
                  <c:v>1.1994507594451942</c:v>
                </c:pt>
                <c:pt idx="69" formatCode="0.0000">
                  <c:v>0.99526734558544816</c:v>
                </c:pt>
                <c:pt idx="70" formatCode="0.0000">
                  <c:v>0.95553885374317082</c:v>
                </c:pt>
                <c:pt idx="71" formatCode="0.0000">
                  <c:v>1.0389147609576102</c:v>
                </c:pt>
                <c:pt idx="72" formatCode="0.0000">
                  <c:v>1.0009447791005985</c:v>
                </c:pt>
                <c:pt idx="73" formatCode="0.0000">
                  <c:v>0.90334473120992675</c:v>
                </c:pt>
                <c:pt idx="74" formatCode="0.0000">
                  <c:v>0.86465940579558709</c:v>
                </c:pt>
                <c:pt idx="75" formatCode="0.0000">
                  <c:v>0.54436328563075809</c:v>
                </c:pt>
                <c:pt idx="76" formatCode="0.0000">
                  <c:v>0.76053669974541882</c:v>
                </c:pt>
                <c:pt idx="77" formatCode="0.0000">
                  <c:v>0.78701149958644123</c:v>
                </c:pt>
                <c:pt idx="78" formatCode="0.0000">
                  <c:v>0.72162316642917801</c:v>
                </c:pt>
                <c:pt idx="79" formatCode="0.0000">
                  <c:v>0.72419801085486768</c:v>
                </c:pt>
                <c:pt idx="80" formatCode="0.0000">
                  <c:v>1.0039538850857712</c:v>
                </c:pt>
                <c:pt idx="81" formatCode="0.0000">
                  <c:v>1.06205445936534</c:v>
                </c:pt>
                <c:pt idx="82" formatCode="0.0000">
                  <c:v>1.1135906340868502</c:v>
                </c:pt>
                <c:pt idx="83" formatCode="0.0000">
                  <c:v>0.992674998258262</c:v>
                </c:pt>
                <c:pt idx="84" formatCode="0.0000">
                  <c:v>0.93314942320299987</c:v>
                </c:pt>
                <c:pt idx="85" formatCode="0.0000">
                  <c:v>1.0414635354996322</c:v>
                </c:pt>
                <c:pt idx="86" formatCode="0.0000">
                  <c:v>1.035682055386725</c:v>
                </c:pt>
                <c:pt idx="87" formatCode="0.0000">
                  <c:v>0.82165744680033137</c:v>
                </c:pt>
                <c:pt idx="88" formatCode="0.0000">
                  <c:v>0.81034734455256152</c:v>
                </c:pt>
                <c:pt idx="89" formatCode="0.0000">
                  <c:v>0.79774098324285458</c:v>
                </c:pt>
                <c:pt idx="90" formatCode="0.0000">
                  <c:v>0.83003976024043591</c:v>
                </c:pt>
                <c:pt idx="91" formatCode="0.0000">
                  <c:v>0.80798532801740053</c:v>
                </c:pt>
                <c:pt idx="92" formatCode="0.0000">
                  <c:v>0.67661908307475371</c:v>
                </c:pt>
                <c:pt idx="93" formatCode="0.0000">
                  <c:v>0.66544294900603906</c:v>
                </c:pt>
                <c:pt idx="94" formatCode="0.0000">
                  <c:v>0.67678766960405046</c:v>
                </c:pt>
                <c:pt idx="95" formatCode="0.0000">
                  <c:v>0.69160114719497556</c:v>
                </c:pt>
                <c:pt idx="96" formatCode="0.0000">
                  <c:v>0.68216587641946524</c:v>
                </c:pt>
                <c:pt idx="97" formatCode="0.0000">
                  <c:v>0.60974277513177211</c:v>
                </c:pt>
                <c:pt idx="98" formatCode="0.0000">
                  <c:v>0.65548977967708588</c:v>
                </c:pt>
                <c:pt idx="99" formatCode="0.0000">
                  <c:v>0.62342197822323597</c:v>
                </c:pt>
                <c:pt idx="100" formatCode="0.0000">
                  <c:v>0.64688608127613301</c:v>
                </c:pt>
                <c:pt idx="101" formatCode="0.0000">
                  <c:v>0.52352881180782762</c:v>
                </c:pt>
                <c:pt idx="102" formatCode="0.0000">
                  <c:v>0.57765459719986822</c:v>
                </c:pt>
                <c:pt idx="103" formatCode="0.0000">
                  <c:v>0.52347358430644753</c:v>
                </c:pt>
                <c:pt idx="104" formatCode="0.0000">
                  <c:v>0.40456742004397989</c:v>
                </c:pt>
                <c:pt idx="105" formatCode="0.0000">
                  <c:v>0.4719118236256164</c:v>
                </c:pt>
                <c:pt idx="106" formatCode="0.0000">
                  <c:v>0.95914517689043521</c:v>
                </c:pt>
                <c:pt idx="107" formatCode="0.0000">
                  <c:v>0.98222124570129032</c:v>
                </c:pt>
                <c:pt idx="108" formatCode="0.0000">
                  <c:v>1.1115266159151365</c:v>
                </c:pt>
                <c:pt idx="109" formatCode="0.0000">
                  <c:v>1.0625705420911491</c:v>
                </c:pt>
                <c:pt idx="110" formatCode="0.0000">
                  <c:v>1.0840993449906136</c:v>
                </c:pt>
                <c:pt idx="111" formatCode="0.0000">
                  <c:v>1.1331024115022328</c:v>
                </c:pt>
                <c:pt idx="112" formatCode="0.0000">
                  <c:v>1.1095864317725292</c:v>
                </c:pt>
                <c:pt idx="113" formatCode="0.0000">
                  <c:v>0.74813523477574839</c:v>
                </c:pt>
                <c:pt idx="114" formatCode="0.0000">
                  <c:v>0.71514169775271219</c:v>
                </c:pt>
                <c:pt idx="115" formatCode="0.0000">
                  <c:v>0.8357641457338929</c:v>
                </c:pt>
                <c:pt idx="116" formatCode="0.0000">
                  <c:v>0.77377422892996794</c:v>
                </c:pt>
                <c:pt idx="117" formatCode="0.0000">
                  <c:v>0.77987612871465106</c:v>
                </c:pt>
                <c:pt idx="118" formatCode="0.0000">
                  <c:v>0.77771674730854612</c:v>
                </c:pt>
                <c:pt idx="119" formatCode="0.0000">
                  <c:v>0.74615836215176956</c:v>
                </c:pt>
                <c:pt idx="120" formatCode="0.0000">
                  <c:v>0.68618468875663552</c:v>
                </c:pt>
                <c:pt idx="121" formatCode="0.0000">
                  <c:v>0.71891093297497133</c:v>
                </c:pt>
                <c:pt idx="122" formatCode="0.0000">
                  <c:v>0.51802553771639648</c:v>
                </c:pt>
                <c:pt idx="123" formatCode="0.0000">
                  <c:v>0.50459514247007797</c:v>
                </c:pt>
                <c:pt idx="124" formatCode="0.0000">
                  <c:v>0.47696443978593062</c:v>
                </c:pt>
                <c:pt idx="125" formatCode="0.0000">
                  <c:v>0.56530076894879855</c:v>
                </c:pt>
                <c:pt idx="126" formatCode="0.0000">
                  <c:v>0.70686926220087443</c:v>
                </c:pt>
                <c:pt idx="127" formatCode="0.0000">
                  <c:v>0.66640991963601581</c:v>
                </c:pt>
                <c:pt idx="128" formatCode="0.0000">
                  <c:v>0.6888213195209244</c:v>
                </c:pt>
                <c:pt idx="129" formatCode="0.0000">
                  <c:v>0.98692055862895489</c:v>
                </c:pt>
                <c:pt idx="130" formatCode="0.0000">
                  <c:v>0.9680923035334269</c:v>
                </c:pt>
                <c:pt idx="131" formatCode="0.0000">
                  <c:v>1.0181984058022981</c:v>
                </c:pt>
                <c:pt idx="132" formatCode="0.0000">
                  <c:v>0.91063269836175798</c:v>
                </c:pt>
                <c:pt idx="133" formatCode="0.0000">
                  <c:v>0.91511555598328853</c:v>
                </c:pt>
                <c:pt idx="134" formatCode="0.0000">
                  <c:v>1.0912736345853049</c:v>
                </c:pt>
                <c:pt idx="135" formatCode="0.0000">
                  <c:v>1.6321040887127345</c:v>
                </c:pt>
                <c:pt idx="136" formatCode="0.0000">
                  <c:v>1.4111530963911163</c:v>
                </c:pt>
                <c:pt idx="137" formatCode="0.0000">
                  <c:v>1.6565603879394479</c:v>
                </c:pt>
                <c:pt idx="138" formatCode="0.0000">
                  <c:v>1.7405046114727969</c:v>
                </c:pt>
                <c:pt idx="139" formatCode="0.0000">
                  <c:v>2.0434803246545683</c:v>
                </c:pt>
                <c:pt idx="140" formatCode="0.0000">
                  <c:v>1.8317460065432523</c:v>
                </c:pt>
                <c:pt idx="141" formatCode="0.0000">
                  <c:v>1.8605762460117536</c:v>
                </c:pt>
                <c:pt idx="142" formatCode="0.0000">
                  <c:v>1.2724435323766716</c:v>
                </c:pt>
                <c:pt idx="143" formatCode="0.0000">
                  <c:v>1.5263911176868479</c:v>
                </c:pt>
                <c:pt idx="144" formatCode="0.0000">
                  <c:v>1.4621170349526089</c:v>
                </c:pt>
                <c:pt idx="145" formatCode="0.0000">
                  <c:v>1.4275454436040906</c:v>
                </c:pt>
                <c:pt idx="146" formatCode="0.0000">
                  <c:v>1.1905460991498023</c:v>
                </c:pt>
                <c:pt idx="147" formatCode="0.0000">
                  <c:v>1.4916638536263618</c:v>
                </c:pt>
                <c:pt idx="148" formatCode="0.0000">
                  <c:v>1.39268727324418</c:v>
                </c:pt>
                <c:pt idx="149" formatCode="0.0000">
                  <c:v>1.3488268542334194</c:v>
                </c:pt>
                <c:pt idx="150" formatCode="0.0000">
                  <c:v>1.3093580673853946</c:v>
                </c:pt>
                <c:pt idx="151" formatCode="0.0000">
                  <c:v>1.2073412168495454</c:v>
                </c:pt>
                <c:pt idx="152" formatCode="0.0000">
                  <c:v>1.2429845007358964</c:v>
                </c:pt>
                <c:pt idx="153" formatCode="0.0000">
                  <c:v>1.2940801362992997</c:v>
                </c:pt>
                <c:pt idx="154" formatCode="0.0000">
                  <c:v>1.3542920712185953</c:v>
                </c:pt>
                <c:pt idx="155" formatCode="0.0000">
                  <c:v>1.3476037235608185</c:v>
                </c:pt>
                <c:pt idx="156" formatCode="0.0000">
                  <c:v>1.5646086030198691</c:v>
                </c:pt>
                <c:pt idx="157" formatCode="0.0000">
                  <c:v>1.346453230173976</c:v>
                </c:pt>
                <c:pt idx="158" formatCode="0.0000">
                  <c:v>1.434596463450666</c:v>
                </c:pt>
                <c:pt idx="159" formatCode="0.0000">
                  <c:v>1.3675810720947708</c:v>
                </c:pt>
                <c:pt idx="160" formatCode="0.0000">
                  <c:v>1.3333081599876897</c:v>
                </c:pt>
                <c:pt idx="161" formatCode="0.0000">
                  <c:v>1.1051970348252151</c:v>
                </c:pt>
                <c:pt idx="162" formatCode="0.0000">
                  <c:v>1.147563349615893</c:v>
                </c:pt>
                <c:pt idx="163" formatCode="0.0000">
                  <c:v>1.0206788834283929</c:v>
                </c:pt>
                <c:pt idx="164" formatCode="0.0000">
                  <c:v>1.013010374279349</c:v>
                </c:pt>
                <c:pt idx="165" formatCode="0.0000">
                  <c:v>1.1446696368025517</c:v>
                </c:pt>
                <c:pt idx="166" formatCode="0.0000">
                  <c:v>1.1318471903227854</c:v>
                </c:pt>
                <c:pt idx="167" formatCode="0.0000">
                  <c:v>1.1150732655123328</c:v>
                </c:pt>
                <c:pt idx="168" formatCode="0.0000">
                  <c:v>1.1350798413381606</c:v>
                </c:pt>
                <c:pt idx="169" formatCode="0.0000">
                  <c:v>1.1152740872084108</c:v>
                </c:pt>
                <c:pt idx="170" formatCode="0.0000">
                  <c:v>1.0928443522666156</c:v>
                </c:pt>
                <c:pt idx="171" formatCode="0.0000">
                  <c:v>1.1345819053475155</c:v>
                </c:pt>
                <c:pt idx="172" formatCode="0.0000">
                  <c:v>0.95826331082678384</c:v>
                </c:pt>
                <c:pt idx="173" formatCode="0.0000">
                  <c:v>1.029736076616228</c:v>
                </c:pt>
                <c:pt idx="174" formatCode="0.0000">
                  <c:v>1.0434558967346743</c:v>
                </c:pt>
                <c:pt idx="175" formatCode="0.0000">
                  <c:v>1.0971589865714964</c:v>
                </c:pt>
                <c:pt idx="176" formatCode="0.0000">
                  <c:v>1.0015979850925745</c:v>
                </c:pt>
                <c:pt idx="177" formatCode="0.0000">
                  <c:v>1.0403360393386643</c:v>
                </c:pt>
                <c:pt idx="178" formatCode="0.0000">
                  <c:v>1.0351481545203303</c:v>
                </c:pt>
                <c:pt idx="179" formatCode="0.0000">
                  <c:v>1.0992620627836081</c:v>
                </c:pt>
                <c:pt idx="180" formatCode="0.0000">
                  <c:v>1.0209049617428334</c:v>
                </c:pt>
                <c:pt idx="181" formatCode="0.0000">
                  <c:v>0.96699410792743734</c:v>
                </c:pt>
                <c:pt idx="182" formatCode="0.0000">
                  <c:v>0.92754826731362061</c:v>
                </c:pt>
                <c:pt idx="183" formatCode="0.0000">
                  <c:v>0.92360558181518815</c:v>
                </c:pt>
                <c:pt idx="184" formatCode="0.0000">
                  <c:v>0.91474066170771018</c:v>
                </c:pt>
                <c:pt idx="185" formatCode="0.0000">
                  <c:v>0.91431513557085531</c:v>
                </c:pt>
                <c:pt idx="186" formatCode="0.0000">
                  <c:v>0.81679305353460097</c:v>
                </c:pt>
                <c:pt idx="187" formatCode="0.0000">
                  <c:v>0.81554147246069264</c:v>
                </c:pt>
                <c:pt idx="188" formatCode="0.0000">
                  <c:v>0.80119680871660159</c:v>
                </c:pt>
                <c:pt idx="189" formatCode="0.0000">
                  <c:v>0.95207592421105347</c:v>
                </c:pt>
                <c:pt idx="190" formatCode="0.0000">
                  <c:v>1.084012672626598</c:v>
                </c:pt>
                <c:pt idx="191" formatCode="0.0000">
                  <c:v>1.0542714312852248</c:v>
                </c:pt>
                <c:pt idx="192" formatCode="0.0000">
                  <c:v>1.1673595206002549</c:v>
                </c:pt>
                <c:pt idx="193" formatCode="0.0000">
                  <c:v>1.0895940364754244</c:v>
                </c:pt>
                <c:pt idx="194" formatCode="0.0000">
                  <c:v>1.1326046964457885</c:v>
                </c:pt>
                <c:pt idx="195" formatCode="0.0000">
                  <c:v>1.1470365467008354</c:v>
                </c:pt>
                <c:pt idx="196" formatCode="0.0000">
                  <c:v>1.1826301874175742</c:v>
                </c:pt>
                <c:pt idx="197" formatCode="0.0000">
                  <c:v>1.2246653309632654</c:v>
                </c:pt>
                <c:pt idx="198" formatCode="0.0000">
                  <c:v>1.2302279120744208</c:v>
                </c:pt>
                <c:pt idx="199" formatCode="0.0000">
                  <c:v>1.1363691009389929</c:v>
                </c:pt>
                <c:pt idx="200" formatCode="0.0000">
                  <c:v>1.4687045074459764</c:v>
                </c:pt>
                <c:pt idx="201" formatCode="0.0000">
                  <c:v>1.5477834062403328</c:v>
                </c:pt>
                <c:pt idx="202" formatCode="0.0000">
                  <c:v>1.5272253724763174</c:v>
                </c:pt>
                <c:pt idx="203" formatCode="0.0000">
                  <c:v>1.3287904789290927</c:v>
                </c:pt>
                <c:pt idx="204" formatCode="0.0000">
                  <c:v>1.2632428383968333</c:v>
                </c:pt>
                <c:pt idx="205" formatCode="0.0000">
                  <c:v>1.3637727233153749</c:v>
                </c:pt>
                <c:pt idx="206" formatCode="0.0000">
                  <c:v>1.3664628567239772</c:v>
                </c:pt>
                <c:pt idx="207" formatCode="0.0000">
                  <c:v>1.1901578804710655</c:v>
                </c:pt>
                <c:pt idx="208" formatCode="0.0000">
                  <c:v>1.1755362314395776</c:v>
                </c:pt>
                <c:pt idx="209" formatCode="0.0000">
                  <c:v>1.2298838773674852</c:v>
                </c:pt>
                <c:pt idx="210" formatCode="0.0000">
                  <c:v>1.2477450411289721</c:v>
                </c:pt>
                <c:pt idx="211" formatCode="0.0000">
                  <c:v>1.2807537313799873</c:v>
                </c:pt>
                <c:pt idx="212" formatCode="0.0000">
                  <c:v>1.3388664139966127</c:v>
                </c:pt>
                <c:pt idx="213" formatCode="0.0000">
                  <c:v>1.4134534654975077</c:v>
                </c:pt>
                <c:pt idx="214" formatCode="0.0000">
                  <c:v>1.3447021471376759</c:v>
                </c:pt>
                <c:pt idx="215" formatCode="0.0000">
                  <c:v>1.331570541353259</c:v>
                </c:pt>
                <c:pt idx="216" formatCode="0.0000">
                  <c:v>1.4430529777774925</c:v>
                </c:pt>
                <c:pt idx="217" formatCode="0.0000">
                  <c:v>1.534685629165746</c:v>
                </c:pt>
                <c:pt idx="218" formatCode="0.0000">
                  <c:v>1.6646736974506786</c:v>
                </c:pt>
                <c:pt idx="219" formatCode="0.0000">
                  <c:v>1.7884299375348367</c:v>
                </c:pt>
                <c:pt idx="220" formatCode="0.0000">
                  <c:v>1.8401534999169289</c:v>
                </c:pt>
                <c:pt idx="221" formatCode="0.0000">
                  <c:v>1.952612899810249</c:v>
                </c:pt>
                <c:pt idx="222" formatCode="0.0000">
                  <c:v>1.9880906745898042</c:v>
                </c:pt>
                <c:pt idx="223" formatCode="0.0000">
                  <c:v>1.9723694767383655</c:v>
                </c:pt>
                <c:pt idx="224" formatCode="0.0000">
                  <c:v>1.9718828268238593</c:v>
                </c:pt>
                <c:pt idx="225" formatCode="0.0000">
                  <c:v>1.8689024307330189</c:v>
                </c:pt>
                <c:pt idx="226" formatCode="0.0000">
                  <c:v>1.7334635516834571</c:v>
                </c:pt>
                <c:pt idx="227" formatCode="0.0000">
                  <c:v>1.6976758761996742</c:v>
                </c:pt>
                <c:pt idx="228" formatCode="0.0000">
                  <c:v>1.7283385577153993</c:v>
                </c:pt>
                <c:pt idx="229" formatCode="0.0000">
                  <c:v>1.7280384020824466</c:v>
                </c:pt>
                <c:pt idx="230" formatCode="0.0000">
                  <c:v>1.73297217339316</c:v>
                </c:pt>
                <c:pt idx="231" formatCode="0.0000">
                  <c:v>1.681723226119993</c:v>
                </c:pt>
                <c:pt idx="232" formatCode="0.0000">
                  <c:v>1.6261637438809036</c:v>
                </c:pt>
                <c:pt idx="233" formatCode="0.0000">
                  <c:v>1.5947342537762632</c:v>
                </c:pt>
                <c:pt idx="234" formatCode="0.0000">
                  <c:v>1.5562606320526069</c:v>
                </c:pt>
                <c:pt idx="235" formatCode="0.0000">
                  <c:v>1.4769791087721402</c:v>
                </c:pt>
                <c:pt idx="236" formatCode="0.0000">
                  <c:v>1.4772658013658386</c:v>
                </c:pt>
                <c:pt idx="237" formatCode="0.0000">
                  <c:v>1.424382734611823</c:v>
                </c:pt>
                <c:pt idx="238" formatCode="0.0000">
                  <c:v>1.4434628598262902</c:v>
                </c:pt>
                <c:pt idx="239" formatCode="0.0000">
                  <c:v>1.5568303625027657</c:v>
                </c:pt>
                <c:pt idx="240" formatCode="0.0000">
                  <c:v>1.5167286605912034</c:v>
                </c:pt>
                <c:pt idx="241" formatCode="0.0000">
                  <c:v>1.4972929353277831</c:v>
                </c:pt>
                <c:pt idx="242" formatCode="0.0000">
                  <c:v>1.5363350720107523</c:v>
                </c:pt>
                <c:pt idx="243" formatCode="0.0000">
                  <c:v>1.4547054515121158</c:v>
                </c:pt>
                <c:pt idx="244" formatCode="0.0000">
                  <c:v>1.4603249927910036</c:v>
                </c:pt>
                <c:pt idx="245" formatCode="0.0000">
                  <c:v>1.5658974838878312</c:v>
                </c:pt>
                <c:pt idx="246" formatCode="0.0000">
                  <c:v>1.6285636673015307</c:v>
                </c:pt>
                <c:pt idx="247" formatCode="0.0000">
                  <c:v>1.746980291008827</c:v>
                </c:pt>
                <c:pt idx="248" formatCode="0.0000">
                  <c:v>1.8056194090408233</c:v>
                </c:pt>
                <c:pt idx="249" formatCode="0.0000">
                  <c:v>1.7558801338566248</c:v>
                </c:pt>
                <c:pt idx="250" formatCode="0.0000">
                  <c:v>1.8250044730243509</c:v>
                </c:pt>
                <c:pt idx="251" formatCode="0.0000">
                  <c:v>1.8380584530650255</c:v>
                </c:pt>
                <c:pt idx="252" formatCode="0.0000">
                  <c:v>1.6870695676907541</c:v>
                </c:pt>
                <c:pt idx="253" formatCode="0.0000">
                  <c:v>1.5440045789815919</c:v>
                </c:pt>
                <c:pt idx="254" formatCode="0.0000">
                  <c:v>1.3721877085856622</c:v>
                </c:pt>
                <c:pt idx="255" formatCode="0.0000">
                  <c:v>1.3137743960104213</c:v>
                </c:pt>
                <c:pt idx="256" formatCode="0.0000">
                  <c:v>1.3154318722416216</c:v>
                </c:pt>
                <c:pt idx="257" formatCode="0.0000">
                  <c:v>1.286787875933358</c:v>
                </c:pt>
                <c:pt idx="258" formatCode="0.0000">
                  <c:v>1.2540031885585106</c:v>
                </c:pt>
                <c:pt idx="259" formatCode="0.0000">
                  <c:v>1.196803346955073</c:v>
                </c:pt>
                <c:pt idx="260" formatCode="0.0000">
                  <c:v>1.1206458950428495</c:v>
                </c:pt>
                <c:pt idx="261" formatCode="0.0000">
                  <c:v>1.1026001814539532</c:v>
                </c:pt>
                <c:pt idx="262" formatCode="0.0000">
                  <c:v>0.99973770001944084</c:v>
                </c:pt>
                <c:pt idx="263" formatCode="0.0000">
                  <c:v>0.92885691768585033</c:v>
                </c:pt>
                <c:pt idx="264" formatCode="0.0000">
                  <c:v>0.86584607923578194</c:v>
                </c:pt>
                <c:pt idx="265" formatCode="0.0000">
                  <c:v>0.82542982074455507</c:v>
                </c:pt>
                <c:pt idx="266" formatCode="0.0000">
                  <c:v>0.74369299344779605</c:v>
                </c:pt>
                <c:pt idx="267" formatCode="0.0000">
                  <c:v>0.67484226734575692</c:v>
                </c:pt>
                <c:pt idx="268" formatCode="0.0000">
                  <c:v>0.65764555622386056</c:v>
                </c:pt>
                <c:pt idx="269" formatCode="0.0000">
                  <c:v>0.67487379972965589</c:v>
                </c:pt>
                <c:pt idx="270" formatCode="0.0000">
                  <c:v>0.69471862970239451</c:v>
                </c:pt>
                <c:pt idx="271" formatCode="0.0000">
                  <c:v>0.69943647551539889</c:v>
                </c:pt>
                <c:pt idx="272" formatCode="0.0000">
                  <c:v>0.66607640675686131</c:v>
                </c:pt>
                <c:pt idx="273" formatCode="0.0000">
                  <c:v>0.66429431649712789</c:v>
                </c:pt>
                <c:pt idx="274" formatCode="0.0000">
                  <c:v>0.69690691712507147</c:v>
                </c:pt>
                <c:pt idx="275" formatCode="0.0000">
                  <c:v>0.70096273517923602</c:v>
                </c:pt>
                <c:pt idx="276" formatCode="0.0000">
                  <c:v>0.68228261112531807</c:v>
                </c:pt>
                <c:pt idx="277" formatCode="0.0000">
                  <c:v>0.66201111768552923</c:v>
                </c:pt>
                <c:pt idx="278" formatCode="0.0000">
                  <c:v>0.65146084649977809</c:v>
                </c:pt>
                <c:pt idx="279" formatCode="0.0000">
                  <c:v>0.64789773751415569</c:v>
                </c:pt>
                <c:pt idx="280" formatCode="0.0000">
                  <c:v>0.65935934673912844</c:v>
                </c:pt>
                <c:pt idx="281" formatCode="0.0000">
                  <c:v>0.69827875930461702</c:v>
                </c:pt>
                <c:pt idx="282" formatCode="0.0000">
                  <c:v>0.76335894248694458</c:v>
                </c:pt>
                <c:pt idx="283" formatCode="0.0000">
                  <c:v>0.78917414788512374</c:v>
                </c:pt>
                <c:pt idx="284" formatCode="0.0000">
                  <c:v>0.78232611197127266</c:v>
                </c:pt>
                <c:pt idx="285" formatCode="0.0000">
                  <c:v>0.80335000271165968</c:v>
                </c:pt>
                <c:pt idx="286" formatCode="0.0000">
                  <c:v>0.80789007102743959</c:v>
                </c:pt>
                <c:pt idx="287" formatCode="0.0000">
                  <c:v>0.81940409194514652</c:v>
                </c:pt>
                <c:pt idx="288" formatCode="0.0000">
                  <c:v>0.80989232364530328</c:v>
                </c:pt>
                <c:pt idx="289" formatCode="0.0000">
                  <c:v>0.78244479834300862</c:v>
                </c:pt>
                <c:pt idx="290" formatCode="0.0000">
                  <c:v>0.79416062636711637</c:v>
                </c:pt>
                <c:pt idx="291" formatCode="0.0000">
                  <c:v>0.80035771296379143</c:v>
                </c:pt>
                <c:pt idx="292" formatCode="0.0000">
                  <c:v>0.81796604929277739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356-4839-896B-C589C93EEDD7}"/>
            </c:ext>
          </c:extLst>
        </c:ser>
        <c:ser>
          <c:idx val="1"/>
          <c:order val="1"/>
          <c:tx>
            <c:strRef>
              <c:f>'R(t) Województwa'!$Q$2</c:f>
              <c:strCache>
                <c:ptCount val="1"/>
                <c:pt idx="0">
                  <c:v>Kujawsko-Pomorskie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Województwa'!$Q$3:$Q$1000</c:f>
              <c:numCache>
                <c:formatCode>General</c:formatCode>
                <c:ptCount val="998"/>
                <c:pt idx="32" formatCode="0.0000">
                  <c:v>1.052405498281787</c:v>
                </c:pt>
                <c:pt idx="33" formatCode="0.0000">
                  <c:v>0.88136172100104748</c:v>
                </c:pt>
                <c:pt idx="34" formatCode="0.0000">
                  <c:v>0.64569072525905669</c:v>
                </c:pt>
                <c:pt idx="35" formatCode="0.0000">
                  <c:v>0.71899301851164343</c:v>
                </c:pt>
                <c:pt idx="36" formatCode="0.0000">
                  <c:v>0.7048067862456221</c:v>
                </c:pt>
                <c:pt idx="37" formatCode="0.0000">
                  <c:v>0.61358395978924518</c:v>
                </c:pt>
                <c:pt idx="38" formatCode="0.0000">
                  <c:v>0.61117506813217459</c:v>
                </c:pt>
                <c:pt idx="39" formatCode="0.0000">
                  <c:v>0.66888324435832569</c:v>
                </c:pt>
                <c:pt idx="40" formatCode="0.0000">
                  <c:v>0.76272736985534473</c:v>
                </c:pt>
                <c:pt idx="41" formatCode="0.0000">
                  <c:v>0.81043956471579393</c:v>
                </c:pt>
                <c:pt idx="42" formatCode="0.0000">
                  <c:v>0.7370594203959614</c:v>
                </c:pt>
                <c:pt idx="43" formatCode="0.0000">
                  <c:v>0.71066173528732235</c:v>
                </c:pt>
                <c:pt idx="44" formatCode="0.0000">
                  <c:v>0.77008432868687315</c:v>
                </c:pt>
                <c:pt idx="45" formatCode="0.0000">
                  <c:v>0.90292396406233877</c:v>
                </c:pt>
                <c:pt idx="46" formatCode="0.0000">
                  <c:v>0.80642711483323171</c:v>
                </c:pt>
                <c:pt idx="47" formatCode="0.0000">
                  <c:v>0.69486152034840321</c:v>
                </c:pt>
                <c:pt idx="48" formatCode="0.0000">
                  <c:v>0.78914293917572464</c:v>
                </c:pt>
                <c:pt idx="49" formatCode="0.0000">
                  <c:v>0.91310738123553548</c:v>
                </c:pt>
                <c:pt idx="50" formatCode="0.0000">
                  <c:v>0.99293011328807501</c:v>
                </c:pt>
                <c:pt idx="51" formatCode="0.0000">
                  <c:v>0.99418160470894534</c:v>
                </c:pt>
                <c:pt idx="52" formatCode="0.0000">
                  <c:v>0.89771347600109508</c:v>
                </c:pt>
                <c:pt idx="53" formatCode="0.0000">
                  <c:v>0.82004668016852034</c:v>
                </c:pt>
                <c:pt idx="54" formatCode="0.0000">
                  <c:v>0.78700421120521824</c:v>
                </c:pt>
                <c:pt idx="55" formatCode="0.0000">
                  <c:v>0.68992504244548936</c:v>
                </c:pt>
                <c:pt idx="56" formatCode="0.0000">
                  <c:v>1.032470753465794</c:v>
                </c:pt>
                <c:pt idx="57" formatCode="0.0000">
                  <c:v>1.093216224462314</c:v>
                </c:pt>
                <c:pt idx="58" formatCode="0.0000">
                  <c:v>1.0816432133453573</c:v>
                </c:pt>
                <c:pt idx="59" formatCode="0.0000">
                  <c:v>1.0261030983745862</c:v>
                </c:pt>
                <c:pt idx="60" formatCode="0.0000">
                  <c:v>1.0399300495665</c:v>
                </c:pt>
                <c:pt idx="61" formatCode="0.0000">
                  <c:v>1.0287691230820497</c:v>
                </c:pt>
                <c:pt idx="62" formatCode="0.0000">
                  <c:v>0.95894771618613983</c:v>
                </c:pt>
                <c:pt idx="63" formatCode="0.0000">
                  <c:v>0.50029784347054218</c:v>
                </c:pt>
                <c:pt idx="64" formatCode="0.0000">
                  <c:v>0.29354706021847354</c:v>
                </c:pt>
                <c:pt idx="65" formatCode="0.0000">
                  <c:v>0.33002934233670395</c:v>
                </c:pt>
                <c:pt idx="66" formatCode="0.0000">
                  <c:v>0.37592525339232996</c:v>
                </c:pt>
                <c:pt idx="67" formatCode="0.0000">
                  <c:v>0.35131845573922654</c:v>
                </c:pt>
                <c:pt idx="68" formatCode="0.0000">
                  <c:v>0.36427326736978671</c:v>
                </c:pt>
                <c:pt idx="69" formatCode="0.0000">
                  <c:v>0.4508518262709838</c:v>
                </c:pt>
                <c:pt idx="70" formatCode="0.0000">
                  <c:v>0.38224313333066934</c:v>
                </c:pt>
                <c:pt idx="71" formatCode="0.0000">
                  <c:v>0.38224313333066939</c:v>
                </c:pt>
                <c:pt idx="72" formatCode="0.0000">
                  <c:v>0.31578761379866516</c:v>
                </c:pt>
                <c:pt idx="73" formatCode="0.0000">
                  <c:v>0.34274987465333601</c:v>
                </c:pt>
                <c:pt idx="74" formatCode="0.0000">
                  <c:v>0.36613572091267638</c:v>
                </c:pt>
                <c:pt idx="75" formatCode="0.0000">
                  <c:v>0.31363178175763445</c:v>
                </c:pt>
                <c:pt idx="76" formatCode="0.0000">
                  <c:v>0.22705322285643739</c:v>
                </c:pt>
                <c:pt idx="77" formatCode="0.0000">
                  <c:v>0.29708547485886921</c:v>
                </c:pt>
                <c:pt idx="78" formatCode="0.0000">
                  <c:v>0.3726184041962311</c:v>
                </c:pt>
                <c:pt idx="79" formatCode="0.0000">
                  <c:v>0.57395045971632841</c:v>
                </c:pt>
                <c:pt idx="80" formatCode="0.0000">
                  <c:v>0.58224756751526741</c:v>
                </c:pt>
                <c:pt idx="81" formatCode="0.0000">
                  <c:v>0.60904900542491958</c:v>
                </c:pt>
                <c:pt idx="82" formatCode="0.0000">
                  <c:v>0.6878243505502446</c:v>
                </c:pt>
                <c:pt idx="83" formatCode="0.0000">
                  <c:v>0.77199339965561964</c:v>
                </c:pt>
                <c:pt idx="84" formatCode="0.0000">
                  <c:v>0.70196114765318784</c:v>
                </c:pt>
                <c:pt idx="85" formatCode="0.0000">
                  <c:v>0.73074775714717177</c:v>
                </c:pt>
                <c:pt idx="86" formatCode="0.0000">
                  <c:v>0.48779217569347544</c:v>
                </c:pt>
                <c:pt idx="87" formatCode="0.0000">
                  <c:v>0.34055954454600218</c:v>
                </c:pt>
                <c:pt idx="88" formatCode="0.0000">
                  <c:v>0.26726393306204616</c:v>
                </c:pt>
                <c:pt idx="89" formatCode="0.0000">
                  <c:v>0.18848858793672127</c:v>
                </c:pt>
                <c:pt idx="90" formatCode="0.0000">
                  <c:v>0.1043195388313463</c:v>
                </c:pt>
                <c:pt idx="91" formatCode="0.0000">
                  <c:v>0.33883274464296065</c:v>
                </c:pt>
                <c:pt idx="92" formatCode="0.0000">
                  <c:v>0.44933654969240172</c:v>
                </c:pt>
                <c:pt idx="93" formatCode="0.0000">
                  <c:v>1.2509414647565049</c:v>
                </c:pt>
                <c:pt idx="94" formatCode="0.0000">
                  <c:v>1.4925710025606673</c:v>
                </c:pt>
                <c:pt idx="95" formatCode="0.0000">
                  <c:v>1.4925710025606673</c:v>
                </c:pt>
                <c:pt idx="96" formatCode="0.0000">
                  <c:v>1.4925710025606673</c:v>
                </c:pt>
                <c:pt idx="97" formatCode="0.0000">
                  <c:v>1.6422310459829201</c:v>
                </c:pt>
                <c:pt idx="98" formatCode="0.0000">
                  <c:v>1.5563666405852199</c:v>
                </c:pt>
                <c:pt idx="99" formatCode="0.0000">
                  <c:v>1.7849218014784911</c:v>
                </c:pt>
                <c:pt idx="100" formatCode="0.0000">
                  <c:v>1.2105993275222295</c:v>
                </c:pt>
                <c:pt idx="101" formatCode="0.0000">
                  <c:v>1.178557708290674</c:v>
                </c:pt>
                <c:pt idx="102" formatCode="0.0000">
                  <c:v>1.5715114382175794</c:v>
                </c:pt>
                <c:pt idx="103" formatCode="0.0000">
                  <c:v>2.5145275235138191</c:v>
                </c:pt>
                <c:pt idx="104" formatCode="0.0000">
                  <c:v>2.3648674800915659</c:v>
                </c:pt>
                <c:pt idx="105" formatCode="0.0000">
                  <c:v>2.2671486932683287</c:v>
                </c:pt>
                <c:pt idx="106" formatCode="0.0000">
                  <c:v>1.9920276551539753</c:v>
                </c:pt>
                <c:pt idx="107" formatCode="0.0000">
                  <c:v>2.3664068578917883</c:v>
                </c:pt>
                <c:pt idx="108" formatCode="0.0000">
                  <c:v>2.2693011390378164</c:v>
                </c:pt>
                <c:pt idx="109" formatCode="0.0000">
                  <c:v>2.0696905282246019</c:v>
                </c:pt>
                <c:pt idx="110" formatCode="0.0000">
                  <c:v>1.2371051141512253</c:v>
                </c:pt>
                <c:pt idx="111" formatCode="0.0000">
                  <c:v>1.237105114151225</c:v>
                </c:pt>
                <c:pt idx="112" formatCode="0.0000">
                  <c:v>1.1861751005605485</c:v>
                </c:pt>
                <c:pt idx="113" formatCode="0.0000">
                  <c:v>1.0696995430451808</c:v>
                </c:pt>
                <c:pt idx="114" formatCode="0.0000">
                  <c:v>0.92380199378664529</c:v>
                </c:pt>
                <c:pt idx="115" formatCode="0.0000">
                  <c:v>0.81131979406801058</c:v>
                </c:pt>
                <c:pt idx="116" formatCode="0.0000">
                  <c:v>0.87110046655169227</c:v>
                </c:pt>
                <c:pt idx="117" formatCode="0.0000">
                  <c:v>0.89746060601448696</c:v>
                </c:pt>
                <c:pt idx="118" formatCode="0.0000">
                  <c:v>0.89746060601448685</c:v>
                </c:pt>
                <c:pt idx="119" formatCode="0.0000">
                  <c:v>1.0580239155177533</c:v>
                </c:pt>
                <c:pt idx="120" formatCode="0.0000">
                  <c:v>1.2166017542921532</c:v>
                </c:pt>
                <c:pt idx="121" formatCode="0.0000">
                  <c:v>0.85936657519493964</c:v>
                </c:pt>
                <c:pt idx="122" formatCode="0.0000">
                  <c:v>0.91091613348024425</c:v>
                </c:pt>
                <c:pt idx="123" formatCode="0.0000">
                  <c:v>0.65779234188287095</c:v>
                </c:pt>
                <c:pt idx="124" formatCode="0.0000">
                  <c:v>0.65337008696317711</c:v>
                </c:pt>
                <c:pt idx="125" formatCode="0.0000">
                  <c:v>0.85402753371790296</c:v>
                </c:pt>
                <c:pt idx="126" formatCode="0.0000">
                  <c:v>0.75669526634844986</c:v>
                </c:pt>
                <c:pt idx="127" formatCode="0.0000">
                  <c:v>0.8898428809456822</c:v>
                </c:pt>
                <c:pt idx="128" formatCode="0.0000">
                  <c:v>0.96297463243016534</c:v>
                </c:pt>
                <c:pt idx="129" formatCode="0.0000">
                  <c:v>0.9670432956841909</c:v>
                </c:pt>
                <c:pt idx="130" formatCode="0.0000">
                  <c:v>1.0889113788842979</c:v>
                </c:pt>
                <c:pt idx="131" formatCode="0.0000">
                  <c:v>0.95654282311833438</c:v>
                </c:pt>
                <c:pt idx="132" formatCode="0.0000">
                  <c:v>0.75588537636360853</c:v>
                </c:pt>
                <c:pt idx="133" formatCode="0.0000">
                  <c:v>1.2009510098789031</c:v>
                </c:pt>
                <c:pt idx="134" formatCode="0.0000">
                  <c:v>1.1676591881235072</c:v>
                </c:pt>
                <c:pt idx="135" formatCode="0.0000">
                  <c:v>1.3148882893482094</c:v>
                </c:pt>
                <c:pt idx="136" formatCode="0.0000">
                  <c:v>1.2592700678088793</c:v>
                </c:pt>
                <c:pt idx="137" formatCode="0.0000">
                  <c:v>1.3483020650328537</c:v>
                </c:pt>
                <c:pt idx="138" formatCode="0.0000">
                  <c:v>1.4964001000036125</c:v>
                </c:pt>
                <c:pt idx="139" formatCode="0.0000">
                  <c:v>1.6928346543247081</c:v>
                </c:pt>
                <c:pt idx="140" formatCode="0.0000">
                  <c:v>1.1845379786755996</c:v>
                </c:pt>
                <c:pt idx="141" formatCode="0.0000">
                  <c:v>0.98308219501228045</c:v>
                </c:pt>
                <c:pt idx="142" formatCode="0.0000">
                  <c:v>0.72049197269588472</c:v>
                </c:pt>
                <c:pt idx="143" formatCode="0.0000">
                  <c:v>1.2752022765595488</c:v>
                </c:pt>
                <c:pt idx="144" formatCode="0.0000">
                  <c:v>1.1952672566162634</c:v>
                </c:pt>
                <c:pt idx="145" formatCode="0.0000">
                  <c:v>1.4889733948703598</c:v>
                </c:pt>
                <c:pt idx="146" formatCode="0.0000">
                  <c:v>1.3265513262700861</c:v>
                </c:pt>
                <c:pt idx="147" formatCode="0.0000">
                  <c:v>1.4792182478935347</c:v>
                </c:pt>
                <c:pt idx="148" formatCode="0.0000">
                  <c:v>1.7484180947574435</c:v>
                </c:pt>
                <c:pt idx="149" formatCode="0.0000">
                  <c:v>1.967531847995684</c:v>
                </c:pt>
                <c:pt idx="150" formatCode="0.0000">
                  <c:v>1.8721586972476298</c:v>
                </c:pt>
                <c:pt idx="151" formatCode="0.0000">
                  <c:v>1.9669609523221858</c:v>
                </c:pt>
                <c:pt idx="152" formatCode="0.0000">
                  <c:v>1.6957329888182673</c:v>
                </c:pt>
                <c:pt idx="153" formatCode="0.0000">
                  <c:v>1.8276960261958641</c:v>
                </c:pt>
                <c:pt idx="154" formatCode="0.0000">
                  <c:v>1.7291041514434262</c:v>
                </c:pt>
                <c:pt idx="155" formatCode="0.0000">
                  <c:v>1.4500507231855233</c:v>
                </c:pt>
                <c:pt idx="156" formatCode="0.0000">
                  <c:v>1.4022341048534415</c:v>
                </c:pt>
                <c:pt idx="157" formatCode="0.0000">
                  <c:v>1.0954910565596572</c:v>
                </c:pt>
                <c:pt idx="158" formatCode="0.0000">
                  <c:v>1.3230916295826864</c:v>
                </c:pt>
                <c:pt idx="159" formatCode="0.0000">
                  <c:v>1.2245878113031856</c:v>
                </c:pt>
                <c:pt idx="160" formatCode="0.0000">
                  <c:v>1.2447626335881219</c:v>
                </c:pt>
                <c:pt idx="161" formatCode="0.0000">
                  <c:v>1.6962271390779173</c:v>
                </c:pt>
                <c:pt idx="162" formatCode="0.0000">
                  <c:v>1.6737009561146994</c:v>
                </c:pt>
                <c:pt idx="163" formatCode="0.0000">
                  <c:v>1.6097424610427189</c:v>
                </c:pt>
                <c:pt idx="164" formatCode="0.0000">
                  <c:v>1.7090591084933224</c:v>
                </c:pt>
                <c:pt idx="165" formatCode="0.0000">
                  <c:v>1.3692613621217018</c:v>
                </c:pt>
                <c:pt idx="166" formatCode="0.0000">
                  <c:v>1.4354577061989549</c:v>
                </c:pt>
                <c:pt idx="167" formatCode="0.0000">
                  <c:v>1.5484897155215678</c:v>
                </c:pt>
                <c:pt idx="168" formatCode="0.0000">
                  <c:v>1.2000395596225739</c:v>
                </c:pt>
                <c:pt idx="169" formatCode="0.0000">
                  <c:v>1.2785446002696124</c:v>
                </c:pt>
                <c:pt idx="170" formatCode="0.0000">
                  <c:v>1.3039610566678301</c:v>
                </c:pt>
                <c:pt idx="171" formatCode="0.0000">
                  <c:v>1.3188074533733365</c:v>
                </c:pt>
                <c:pt idx="172" formatCode="0.0000">
                  <c:v>1.3430531728536461</c:v>
                </c:pt>
                <c:pt idx="173" formatCode="0.0000">
                  <c:v>1.250955820823491</c:v>
                </c:pt>
                <c:pt idx="174" formatCode="0.0000">
                  <c:v>1.181783374466997</c:v>
                </c:pt>
                <c:pt idx="175" formatCode="0.0000">
                  <c:v>1.2597727755254324</c:v>
                </c:pt>
                <c:pt idx="176" formatCode="0.0000">
                  <c:v>1.2698973602221908</c:v>
                </c:pt>
                <c:pt idx="177" formatCode="0.0000">
                  <c:v>1.2492950317080498</c:v>
                </c:pt>
                <c:pt idx="178" formatCode="0.0000">
                  <c:v>1.2425977687454408</c:v>
                </c:pt>
                <c:pt idx="179" formatCode="0.0000">
                  <c:v>1.2456736734054705</c:v>
                </c:pt>
                <c:pt idx="180" formatCode="0.0000">
                  <c:v>1.3345337148831702</c:v>
                </c:pt>
                <c:pt idx="181" formatCode="0.0000">
                  <c:v>1.2282478770845358</c:v>
                </c:pt>
                <c:pt idx="182" formatCode="0.0000">
                  <c:v>1.2139096482906331</c:v>
                </c:pt>
                <c:pt idx="183" formatCode="0.0000">
                  <c:v>1.1425186645164627</c:v>
                </c:pt>
                <c:pt idx="184" formatCode="0.0000">
                  <c:v>1.1771545439056375</c:v>
                </c:pt>
                <c:pt idx="185" formatCode="0.0000">
                  <c:v>0.98094495195739262</c:v>
                </c:pt>
                <c:pt idx="186" formatCode="0.0000">
                  <c:v>0.921985867024678</c:v>
                </c:pt>
                <c:pt idx="187" formatCode="0.0000">
                  <c:v>0.91447109032305307</c:v>
                </c:pt>
                <c:pt idx="188" formatCode="0.0000">
                  <c:v>0.89298646147849048</c:v>
                </c:pt>
                <c:pt idx="189" formatCode="0.0000">
                  <c:v>0.72908215323845871</c:v>
                </c:pt>
                <c:pt idx="190" formatCode="0.0000">
                  <c:v>0.74428816703350209</c:v>
                </c:pt>
                <c:pt idx="191" formatCode="0.0000">
                  <c:v>0.70214098102568367</c:v>
                </c:pt>
                <c:pt idx="192" formatCode="0.0000">
                  <c:v>0.75685238849431191</c:v>
                </c:pt>
                <c:pt idx="193" formatCode="0.0000">
                  <c:v>1.1123698775563429</c:v>
                </c:pt>
                <c:pt idx="194" formatCode="0.0000">
                  <c:v>1.1162609436169648</c:v>
                </c:pt>
                <c:pt idx="195" formatCode="0.0000">
                  <c:v>1.1659411398914632</c:v>
                </c:pt>
                <c:pt idx="196" formatCode="0.0000">
                  <c:v>1.2471138420036272</c:v>
                </c:pt>
                <c:pt idx="197" formatCode="0.0000">
                  <c:v>1.3589185580515337</c:v>
                </c:pt>
                <c:pt idx="198" formatCode="0.0000">
                  <c:v>1.2857098565706979</c:v>
                </c:pt>
                <c:pt idx="199" formatCode="0.0000">
                  <c:v>1.4271300712879673</c:v>
                </c:pt>
                <c:pt idx="200" formatCode="0.0000">
                  <c:v>1.1836166946567945</c:v>
                </c:pt>
                <c:pt idx="201" formatCode="0.0000">
                  <c:v>1.1892750270724723</c:v>
                </c:pt>
                <c:pt idx="202" formatCode="0.0000">
                  <c:v>1.1487074310679459</c:v>
                </c:pt>
                <c:pt idx="203" formatCode="0.0000">
                  <c:v>1.0818730472144724</c:v>
                </c:pt>
                <c:pt idx="204" formatCode="0.0000">
                  <c:v>1.1797212196695688</c:v>
                </c:pt>
                <c:pt idx="205" formatCode="0.0000">
                  <c:v>1.2976735210538735</c:v>
                </c:pt>
                <c:pt idx="206" formatCode="0.0000">
                  <c:v>1.8023547882349307</c:v>
                </c:pt>
                <c:pt idx="207" formatCode="0.0000">
                  <c:v>2.0915483664937344</c:v>
                </c:pt>
                <c:pt idx="208" formatCode="0.0000">
                  <c:v>2.1108314269852788</c:v>
                </c:pt>
                <c:pt idx="209" formatCode="0.0000">
                  <c:v>2.3251557091367494</c:v>
                </c:pt>
                <c:pt idx="210" formatCode="0.0000">
                  <c:v>2.4713540742368596</c:v>
                </c:pt>
                <c:pt idx="211" formatCode="0.0000">
                  <c:v>2.2843705681212163</c:v>
                </c:pt>
                <c:pt idx="212" formatCode="0.0000">
                  <c:v>2.383916269293394</c:v>
                </c:pt>
                <c:pt idx="213" formatCode="0.0000">
                  <c:v>1.9390583016059106</c:v>
                </c:pt>
                <c:pt idx="214" formatCode="0.0000">
                  <c:v>1.593036446005587</c:v>
                </c:pt>
                <c:pt idx="215" formatCode="0.0000">
                  <c:v>1.7237726877153143</c:v>
                </c:pt>
                <c:pt idx="216" formatCode="0.0000">
                  <c:v>1.517519753763203</c:v>
                </c:pt>
                <c:pt idx="217" formatCode="0.0000">
                  <c:v>1.4718002923922868</c:v>
                </c:pt>
                <c:pt idx="218" formatCode="0.0000">
                  <c:v>1.5409610837479681</c:v>
                </c:pt>
                <c:pt idx="219" formatCode="0.0000">
                  <c:v>1.5563499983184634</c:v>
                </c:pt>
                <c:pt idx="220" formatCode="0.0000">
                  <c:v>1.5201515636504557</c:v>
                </c:pt>
                <c:pt idx="221" formatCode="0.0000">
                  <c:v>1.8081429693501214</c:v>
                </c:pt>
                <c:pt idx="222" formatCode="0.0000">
                  <c:v>1.602443658436935</c:v>
                </c:pt>
                <c:pt idx="223" formatCode="0.0000">
                  <c:v>1.6475267659826698</c:v>
                </c:pt>
                <c:pt idx="224" formatCode="0.0000">
                  <c:v>1.6886949621734755</c:v>
                </c:pt>
                <c:pt idx="225" formatCode="0.0000">
                  <c:v>1.695695000509037</c:v>
                </c:pt>
                <c:pt idx="226" formatCode="0.0000">
                  <c:v>1.5492773663522819</c:v>
                </c:pt>
                <c:pt idx="227" formatCode="0.0000">
                  <c:v>1.515313425394716</c:v>
                </c:pt>
                <c:pt idx="228" formatCode="0.0000">
                  <c:v>1.3157701224520735</c:v>
                </c:pt>
                <c:pt idx="229" formatCode="0.0000">
                  <c:v>1.4662043936226998</c:v>
                </c:pt>
                <c:pt idx="230" formatCode="0.0000">
                  <c:v>1.4942275995854906</c:v>
                </c:pt>
                <c:pt idx="231" formatCode="0.0000">
                  <c:v>1.4543547459225876</c:v>
                </c:pt>
                <c:pt idx="232" formatCode="0.0000">
                  <c:v>1.5369425519095767</c:v>
                </c:pt>
                <c:pt idx="233" formatCode="0.0000">
                  <c:v>1.6596655018065294</c:v>
                </c:pt>
                <c:pt idx="234" formatCode="0.0000">
                  <c:v>1.7531644491605043</c:v>
                </c:pt>
                <c:pt idx="235" formatCode="0.0000">
                  <c:v>1.7116439665324819</c:v>
                </c:pt>
                <c:pt idx="236" formatCode="0.0000">
                  <c:v>1.7414337724375568</c:v>
                </c:pt>
                <c:pt idx="237" formatCode="0.0000">
                  <c:v>1.6556574876800116</c:v>
                </c:pt>
                <c:pt idx="238" formatCode="0.0000">
                  <c:v>1.7989319286905558</c:v>
                </c:pt>
                <c:pt idx="239" formatCode="0.0000">
                  <c:v>1.7271306465794056</c:v>
                </c:pt>
                <c:pt idx="240" formatCode="0.0000">
                  <c:v>1.6647217863909591</c:v>
                </c:pt>
                <c:pt idx="241" formatCode="0.0000">
                  <c:v>1.6207733621742142</c:v>
                </c:pt>
                <c:pt idx="242" formatCode="0.0000">
                  <c:v>1.6301982498306222</c:v>
                </c:pt>
                <c:pt idx="243" formatCode="0.0000">
                  <c:v>1.5871394170887665</c:v>
                </c:pt>
                <c:pt idx="244" formatCode="0.0000">
                  <c:v>1.6419630685691835</c:v>
                </c:pt>
                <c:pt idx="245" formatCode="0.0000">
                  <c:v>1.3891139690701313</c:v>
                </c:pt>
                <c:pt idx="246" formatCode="0.0000">
                  <c:v>1.3492230830695304</c:v>
                </c:pt>
                <c:pt idx="247" formatCode="0.0000">
                  <c:v>1.315334643885242</c:v>
                </c:pt>
                <c:pt idx="248" formatCode="0.0000">
                  <c:v>1.2387725566722014</c:v>
                </c:pt>
                <c:pt idx="249" formatCode="0.0000">
                  <c:v>1.2363901143631466</c:v>
                </c:pt>
                <c:pt idx="250" formatCode="0.0000">
                  <c:v>1.1628432380421942</c:v>
                </c:pt>
                <c:pt idx="251" formatCode="0.0000">
                  <c:v>1.1036276668389995</c:v>
                </c:pt>
                <c:pt idx="252" formatCode="0.0000">
                  <c:v>1.1563667205003014</c:v>
                </c:pt>
                <c:pt idx="253" formatCode="0.0000">
                  <c:v>1.0630948036783281</c:v>
                </c:pt>
                <c:pt idx="254" formatCode="0.0000">
                  <c:v>0.98620413793245398</c:v>
                </c:pt>
                <c:pt idx="255" formatCode="0.0000">
                  <c:v>0.91255168706110312</c:v>
                </c:pt>
                <c:pt idx="256" formatCode="0.0000">
                  <c:v>0.83203535398954442</c:v>
                </c:pt>
                <c:pt idx="257" formatCode="0.0000">
                  <c:v>0.89316309992401277</c:v>
                </c:pt>
                <c:pt idx="258" formatCode="0.0000">
                  <c:v>0.89161606878600119</c:v>
                </c:pt>
                <c:pt idx="259" formatCode="0.0000">
                  <c:v>0.86218407604399183</c:v>
                </c:pt>
                <c:pt idx="260" formatCode="0.0000">
                  <c:v>0.88318156960454164</c:v>
                </c:pt>
                <c:pt idx="261" formatCode="0.0000">
                  <c:v>0.88086501980449139</c:v>
                </c:pt>
                <c:pt idx="262" formatCode="0.0000">
                  <c:v>0.9207781031965937</c:v>
                </c:pt>
                <c:pt idx="263" formatCode="0.0000">
                  <c:v>0.96883765647192821</c:v>
                </c:pt>
                <c:pt idx="264" formatCode="0.0000">
                  <c:v>0.88693779812508111</c:v>
                </c:pt>
                <c:pt idx="265" formatCode="0.0000">
                  <c:v>0.90397863267015954</c:v>
                </c:pt>
                <c:pt idx="266" formatCode="0.0000">
                  <c:v>0.88494204271420351</c:v>
                </c:pt>
                <c:pt idx="267" formatCode="0.0000">
                  <c:v>0.96412864294597433</c:v>
                </c:pt>
                <c:pt idx="268" formatCode="0.0000">
                  <c:v>1.0052413932584245</c:v>
                </c:pt>
                <c:pt idx="269" formatCode="0.0000">
                  <c:v>0.99700770767259539</c:v>
                </c:pt>
                <c:pt idx="270" formatCode="0.0000">
                  <c:v>0.96614482526166534</c:v>
                </c:pt>
                <c:pt idx="271" formatCode="0.0000">
                  <c:v>0.92240451781367838</c:v>
                </c:pt>
                <c:pt idx="272" formatCode="0.0000">
                  <c:v>0.84547408523700085</c:v>
                </c:pt>
                <c:pt idx="273" formatCode="0.0000">
                  <c:v>0.96409839344171488</c:v>
                </c:pt>
                <c:pt idx="274" formatCode="0.0000">
                  <c:v>0.96097813648684594</c:v>
                </c:pt>
                <c:pt idx="275" formatCode="0.0000">
                  <c:v>0.98998839008314188</c:v>
                </c:pt>
                <c:pt idx="276" formatCode="0.0000">
                  <c:v>0.95515381371993047</c:v>
                </c:pt>
                <c:pt idx="277" formatCode="0.0000">
                  <c:v>0.97413221365722191</c:v>
                </c:pt>
                <c:pt idx="278" formatCode="0.0000">
                  <c:v>0.98983653391959869</c:v>
                </c:pt>
                <c:pt idx="279" formatCode="0.0000">
                  <c:v>0.99823967838087557</c:v>
                </c:pt>
                <c:pt idx="280" formatCode="0.0000">
                  <c:v>0.91894559993318192</c:v>
                </c:pt>
                <c:pt idx="281" formatCode="0.0000">
                  <c:v>0.91365073024464283</c:v>
                </c:pt>
                <c:pt idx="282" formatCode="0.0000">
                  <c:v>0.94041547712527362</c:v>
                </c:pt>
                <c:pt idx="283" formatCode="0.0000">
                  <c:v>0.93946212290572573</c:v>
                </c:pt>
                <c:pt idx="284" formatCode="0.0000">
                  <c:v>0.94899157874659712</c:v>
                </c:pt>
                <c:pt idx="285" formatCode="0.0000">
                  <c:v>0.96043558772744864</c:v>
                </c:pt>
                <c:pt idx="286" formatCode="0.0000">
                  <c:v>0.98947182067361583</c:v>
                </c:pt>
                <c:pt idx="287" formatCode="0.0000">
                  <c:v>1.000811357222003</c:v>
                </c:pt>
                <c:pt idx="288" formatCode="0.0000">
                  <c:v>1.014757054041209</c:v>
                </c:pt>
                <c:pt idx="289" formatCode="0.0000">
                  <c:v>0.97203641461776868</c:v>
                </c:pt>
                <c:pt idx="290" formatCode="0.0000">
                  <c:v>0.98404083347661475</c:v>
                </c:pt>
                <c:pt idx="291" formatCode="0.0000">
                  <c:v>0.9919098713525436</c:v>
                </c:pt>
                <c:pt idx="292" formatCode="0.0000">
                  <c:v>0.99795375768100614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356-4839-896B-C589C93EEDD7}"/>
            </c:ext>
          </c:extLst>
        </c:ser>
        <c:ser>
          <c:idx val="2"/>
          <c:order val="2"/>
          <c:tx>
            <c:strRef>
              <c:f>'R(t) Województwa'!$X$2</c:f>
              <c:strCache>
                <c:ptCount val="1"/>
                <c:pt idx="0">
                  <c:v>Lubelskie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Województwa'!$X$3:$X$1000</c:f>
              <c:numCache>
                <c:formatCode>General</c:formatCode>
                <c:ptCount val="998"/>
                <c:pt idx="28" formatCode="0.0000">
                  <c:v>1.4261954261954268</c:v>
                </c:pt>
                <c:pt idx="29" formatCode="0.0000">
                  <c:v>0.75044062712035864</c:v>
                </c:pt>
                <c:pt idx="30" formatCode="0.0000">
                  <c:v>1.016666921433389</c:v>
                </c:pt>
                <c:pt idx="31" formatCode="0.0000">
                  <c:v>0.90215381390954874</c:v>
                </c:pt>
                <c:pt idx="32" formatCode="0.0000">
                  <c:v>0.84096474293710699</c:v>
                </c:pt>
                <c:pt idx="33" formatCode="0.0000">
                  <c:v>0.83638376229189015</c:v>
                </c:pt>
                <c:pt idx="34" formatCode="0.0000">
                  <c:v>0.80976126772126411</c:v>
                </c:pt>
                <c:pt idx="35" formatCode="0.0000">
                  <c:v>0.75962295279703607</c:v>
                </c:pt>
                <c:pt idx="36" formatCode="0.0000">
                  <c:v>0.85947769303022981</c:v>
                </c:pt>
                <c:pt idx="37" formatCode="0.0000">
                  <c:v>0.70956060989802872</c:v>
                </c:pt>
                <c:pt idx="38" formatCode="0.0000">
                  <c:v>0.89115210778556886</c:v>
                </c:pt>
                <c:pt idx="39" formatCode="0.0000">
                  <c:v>0.84721932285660684</c:v>
                </c:pt>
                <c:pt idx="40" formatCode="0.0000">
                  <c:v>0.86872170087509315</c:v>
                </c:pt>
                <c:pt idx="41" formatCode="0.0000">
                  <c:v>0.86814455800197965</c:v>
                </c:pt>
                <c:pt idx="42" formatCode="0.0000">
                  <c:v>0.79554022177206529</c:v>
                </c:pt>
                <c:pt idx="43" formatCode="0.0000">
                  <c:v>1.116717873271994</c:v>
                </c:pt>
                <c:pt idx="44" formatCode="0.0000">
                  <c:v>1.1659150852145781</c:v>
                </c:pt>
                <c:pt idx="45" formatCode="0.0000">
                  <c:v>1.0552581792582461</c:v>
                </c:pt>
                <c:pt idx="46" formatCode="0.0000">
                  <c:v>1.0548069313487425</c:v>
                </c:pt>
                <c:pt idx="47" formatCode="0.0000">
                  <c:v>1.1442186638262248</c:v>
                </c:pt>
                <c:pt idx="48" formatCode="0.0000">
                  <c:v>1.0938295908536373</c:v>
                </c:pt>
                <c:pt idx="49" formatCode="0.0000">
                  <c:v>1.2302942900479938</c:v>
                </c:pt>
                <c:pt idx="50" formatCode="0.0000">
                  <c:v>0.89977563835064855</c:v>
                </c:pt>
                <c:pt idx="51" formatCode="0.0000">
                  <c:v>0.83952599038040432</c:v>
                </c:pt>
                <c:pt idx="52" formatCode="0.0000">
                  <c:v>0.78742939038934601</c:v>
                </c:pt>
                <c:pt idx="53" formatCode="0.0000">
                  <c:v>0.81544306349003837</c:v>
                </c:pt>
                <c:pt idx="54" formatCode="0.0000">
                  <c:v>0.68119883489166477</c:v>
                </c:pt>
                <c:pt idx="55" formatCode="0.0000">
                  <c:v>0.67841101411162708</c:v>
                </c:pt>
                <c:pt idx="56" formatCode="0.0000">
                  <c:v>0.52639760016993509</c:v>
                </c:pt>
                <c:pt idx="57" formatCode="0.0000">
                  <c:v>0.49615666849766321</c:v>
                </c:pt>
                <c:pt idx="58" formatCode="0.0000">
                  <c:v>0.46130318129365971</c:v>
                </c:pt>
                <c:pt idx="59" formatCode="0.0000">
                  <c:v>0.50700442479232533</c:v>
                </c:pt>
                <c:pt idx="60" formatCode="0.0000">
                  <c:v>0.49585310636838581</c:v>
                </c:pt>
                <c:pt idx="61" formatCode="0.0000">
                  <c:v>0.62354445558941562</c:v>
                </c:pt>
                <c:pt idx="62" formatCode="0.0000">
                  <c:v>0.58443759217265334</c:v>
                </c:pt>
                <c:pt idx="63" formatCode="0.0000">
                  <c:v>0.58720900365254247</c:v>
                </c:pt>
                <c:pt idx="64" formatCode="0.0000">
                  <c:v>0.66371615768745396</c:v>
                </c:pt>
                <c:pt idx="65" formatCode="0.0000">
                  <c:v>0.67493021220663796</c:v>
                </c:pt>
                <c:pt idx="66" formatCode="0.0000">
                  <c:v>0.65374507911903801</c:v>
                </c:pt>
                <c:pt idx="67" formatCode="0.0000">
                  <c:v>0.67984827338643761</c:v>
                </c:pt>
                <c:pt idx="68" formatCode="0.0000">
                  <c:v>0.54829099535552073</c:v>
                </c:pt>
                <c:pt idx="69" formatCode="0.0000">
                  <c:v>0.73645240504850684</c:v>
                </c:pt>
                <c:pt idx="70" formatCode="0.0000">
                  <c:v>0.84823650953581675</c:v>
                </c:pt>
                <c:pt idx="71" formatCode="0.0000">
                  <c:v>0.78756653413239808</c:v>
                </c:pt>
                <c:pt idx="72" formatCode="0.0000">
                  <c:v>0.8428075919507394</c:v>
                </c:pt>
                <c:pt idx="73" formatCode="0.0000">
                  <c:v>0.76808522427792714</c:v>
                </c:pt>
                <c:pt idx="74" formatCode="0.0000">
                  <c:v>0.68433107116547764</c:v>
                </c:pt>
                <c:pt idx="75" formatCode="0.0000">
                  <c:v>0.65771377864884806</c:v>
                </c:pt>
                <c:pt idx="76" formatCode="0.0000">
                  <c:v>0.94455629591419654</c:v>
                </c:pt>
                <c:pt idx="77" formatCode="0.0000">
                  <c:v>0.76454994210627192</c:v>
                </c:pt>
                <c:pt idx="78" formatCode="0.0000">
                  <c:v>0.79662730488683831</c:v>
                </c:pt>
                <c:pt idx="79" formatCode="0.0000">
                  <c:v>1.0700309399280488</c:v>
                </c:pt>
                <c:pt idx="80" formatCode="0.0000">
                  <c:v>1.1710221212204976</c:v>
                </c:pt>
                <c:pt idx="81" formatCode="0.0000">
                  <c:v>1.220505451183763</c:v>
                </c:pt>
                <c:pt idx="82" formatCode="0.0000">
                  <c:v>1.8676428315022702</c:v>
                </c:pt>
                <c:pt idx="83" formatCode="0.0000">
                  <c:v>1.8106926457160284</c:v>
                </c:pt>
                <c:pt idx="84" formatCode="0.0000">
                  <c:v>1.8926513299150984</c:v>
                </c:pt>
                <c:pt idx="85" formatCode="0.0000">
                  <c:v>2.3556179508589055</c:v>
                </c:pt>
                <c:pt idx="86" formatCode="0.0000">
                  <c:v>2.313746846369618</c:v>
                </c:pt>
                <c:pt idx="87" formatCode="0.0000">
                  <c:v>2.1814458123773144</c:v>
                </c:pt>
                <c:pt idx="88" formatCode="0.0000">
                  <c:v>2.1319624824140488</c:v>
                </c:pt>
                <c:pt idx="89" formatCode="0.0000">
                  <c:v>1.5823847631426784</c:v>
                </c:pt>
                <c:pt idx="90" formatCode="0.0000">
                  <c:v>1.2092648021349688</c:v>
                </c:pt>
                <c:pt idx="91" formatCode="0.0000">
                  <c:v>1.1273061179358987</c:v>
                </c:pt>
                <c:pt idx="92" formatCode="0.0000">
                  <c:v>0.7779363568258546</c:v>
                </c:pt>
                <c:pt idx="93" formatCode="0.0000">
                  <c:v>0.48113633019155566</c:v>
                </c:pt>
                <c:pt idx="94" formatCode="0.0000">
                  <c:v>0.49418559327518569</c:v>
                </c:pt>
                <c:pt idx="95" formatCode="0.0000">
                  <c:v>0.59620070218167542</c:v>
                </c:pt>
                <c:pt idx="96" formatCode="0.0000">
                  <c:v>0.64896117085548688</c:v>
                </c:pt>
                <c:pt idx="97" formatCode="0.0000">
                  <c:v>0.63716535178569877</c:v>
                </c:pt>
                <c:pt idx="98" formatCode="0.0000">
                  <c:v>0.78605303044062202</c:v>
                </c:pt>
                <c:pt idx="99" formatCode="0.0000">
                  <c:v>0.59059821391820899</c:v>
                </c:pt>
                <c:pt idx="100" formatCode="0.0000">
                  <c:v>0.64668906198828613</c:v>
                </c:pt>
                <c:pt idx="101" formatCode="0.0000">
                  <c:v>0.70456579679258891</c:v>
                </c:pt>
                <c:pt idx="102" formatCode="0.0000">
                  <c:v>0.88201731962576946</c:v>
                </c:pt>
                <c:pt idx="103" formatCode="0.0000">
                  <c:v>1.2020337177220326</c:v>
                </c:pt>
                <c:pt idx="104" formatCode="0.0000">
                  <c:v>1.1983800665407018</c:v>
                </c:pt>
                <c:pt idx="105" formatCode="0.0000">
                  <c:v>1.3487825507401967</c:v>
                </c:pt>
                <c:pt idx="106" formatCode="0.0000">
                  <c:v>1.6281004633980092</c:v>
                </c:pt>
                <c:pt idx="107" formatCode="0.0000">
                  <c:v>1.6923744569790347</c:v>
                </c:pt>
                <c:pt idx="108" formatCode="0.0000">
                  <c:v>1.9703768002498994</c:v>
                </c:pt>
                <c:pt idx="109" formatCode="0.0000">
                  <c:v>1.7906632055153862</c:v>
                </c:pt>
                <c:pt idx="110" formatCode="0.0000">
                  <c:v>1.4872710266604707</c:v>
                </c:pt>
                <c:pt idx="111" formatCode="0.0000">
                  <c:v>1.5537350970731416</c:v>
                </c:pt>
                <c:pt idx="112" formatCode="0.0000">
                  <c:v>1.3349815095675877</c:v>
                </c:pt>
                <c:pt idx="113" formatCode="0.0000">
                  <c:v>1.1045540414464996</c:v>
                </c:pt>
                <c:pt idx="114" formatCode="0.0000">
                  <c:v>1.0713689901150272</c:v>
                </c:pt>
                <c:pt idx="115" formatCode="0.0000">
                  <c:v>0.77566583455979943</c:v>
                </c:pt>
                <c:pt idx="116" formatCode="0.0000">
                  <c:v>0.92874206960899408</c:v>
                </c:pt>
                <c:pt idx="117" formatCode="0.0000">
                  <c:v>0.92717963274821691</c:v>
                </c:pt>
                <c:pt idx="118" formatCode="0.0000">
                  <c:v>1.0201865165143507</c:v>
                </c:pt>
                <c:pt idx="119" formatCode="0.0000">
                  <c:v>0.93964994116548595</c:v>
                </c:pt>
                <c:pt idx="120" formatCode="0.0000">
                  <c:v>1.017664450842527</c:v>
                </c:pt>
                <c:pt idx="121" formatCode="0.0000">
                  <c:v>1.0414103258627041</c:v>
                </c:pt>
                <c:pt idx="122" formatCode="0.0000">
                  <c:v>1.0632753189501563</c:v>
                </c:pt>
                <c:pt idx="123" formatCode="0.0000">
                  <c:v>1.0532791750708974</c:v>
                </c:pt>
                <c:pt idx="124" formatCode="0.0000">
                  <c:v>1.134566429174821</c:v>
                </c:pt>
                <c:pt idx="125" formatCode="0.0000">
                  <c:v>1.437788189635965</c:v>
                </c:pt>
                <c:pt idx="126" formatCode="0.0000">
                  <c:v>1.6482262682916851</c:v>
                </c:pt>
                <c:pt idx="127" formatCode="0.0000">
                  <c:v>1.6157336800475066</c:v>
                </c:pt>
                <c:pt idx="128" formatCode="0.0000">
                  <c:v>1.5313137009268616</c:v>
                </c:pt>
                <c:pt idx="129" formatCode="0.0000">
                  <c:v>1.6289375295376896</c:v>
                </c:pt>
                <c:pt idx="130" formatCode="0.0000">
                  <c:v>1.5813714742512772</c:v>
                </c:pt>
                <c:pt idx="131" formatCode="0.0000">
                  <c:v>1.8024266342774333</c:v>
                </c:pt>
                <c:pt idx="132" formatCode="0.0000">
                  <c:v>1.3866765664382836</c:v>
                </c:pt>
                <c:pt idx="133" formatCode="0.0000">
                  <c:v>1.2990364118044133</c:v>
                </c:pt>
                <c:pt idx="134" formatCode="0.0000">
                  <c:v>1.2824941937331042</c:v>
                </c:pt>
                <c:pt idx="135" formatCode="0.0000">
                  <c:v>1.2722943803017623</c:v>
                </c:pt>
                <c:pt idx="136" formatCode="0.0000">
                  <c:v>1.2137466938210213</c:v>
                </c:pt>
                <c:pt idx="137" formatCode="0.0000">
                  <c:v>1.1996068868889125</c:v>
                </c:pt>
                <c:pt idx="138" formatCode="0.0000">
                  <c:v>0.75089510328984355</c:v>
                </c:pt>
                <c:pt idx="139" formatCode="0.0000">
                  <c:v>0.67446814657578058</c:v>
                </c:pt>
                <c:pt idx="140" formatCode="0.0000">
                  <c:v>0.58058368136175553</c:v>
                </c:pt>
                <c:pt idx="141" formatCode="0.0000">
                  <c:v>0.57992542930873392</c:v>
                </c:pt>
                <c:pt idx="142" formatCode="0.0000">
                  <c:v>0.55374914681165477</c:v>
                </c:pt>
                <c:pt idx="143" formatCode="0.0000">
                  <c:v>0.556997780676732</c:v>
                </c:pt>
                <c:pt idx="144" formatCode="0.0000">
                  <c:v>0.6084432355380337</c:v>
                </c:pt>
                <c:pt idx="145" formatCode="0.0000">
                  <c:v>0.75824335599517612</c:v>
                </c:pt>
                <c:pt idx="146" formatCode="0.0000">
                  <c:v>0.80726813742278314</c:v>
                </c:pt>
                <c:pt idx="147" formatCode="0.0000">
                  <c:v>0.77835467861495844</c:v>
                </c:pt>
                <c:pt idx="148" formatCode="0.0000">
                  <c:v>1.0428525770961428</c:v>
                </c:pt>
                <c:pt idx="149" formatCode="0.0000">
                  <c:v>1.2133216469891863</c:v>
                </c:pt>
                <c:pt idx="150" formatCode="0.0000">
                  <c:v>1.4047889008690084</c:v>
                </c:pt>
                <c:pt idx="151" formatCode="0.0000">
                  <c:v>1.420203153989738</c:v>
                </c:pt>
                <c:pt idx="152" formatCode="0.0000">
                  <c:v>1.2762577674796121</c:v>
                </c:pt>
                <c:pt idx="153" formatCode="0.0000">
                  <c:v>1.3988367183956396</c:v>
                </c:pt>
                <c:pt idx="154" formatCode="0.0000">
                  <c:v>1.5014881370307815</c:v>
                </c:pt>
                <c:pt idx="155" formatCode="0.0000">
                  <c:v>1.457002921734754</c:v>
                </c:pt>
                <c:pt idx="156" formatCode="0.0000">
                  <c:v>1.4156165702876697</c:v>
                </c:pt>
                <c:pt idx="157" formatCode="0.0000">
                  <c:v>1.2462382137668764</c:v>
                </c:pt>
                <c:pt idx="158" formatCode="0.0000">
                  <c:v>1.2410373215380999</c:v>
                </c:pt>
                <c:pt idx="159" formatCode="0.0000">
                  <c:v>1.324335343528658</c:v>
                </c:pt>
                <c:pt idx="160" formatCode="0.0000">
                  <c:v>1.3186965964388899</c:v>
                </c:pt>
                <c:pt idx="161" formatCode="0.0000">
                  <c:v>1.292382359765204</c:v>
                </c:pt>
                <c:pt idx="162" formatCode="0.0000">
                  <c:v>1.3568217792799453</c:v>
                </c:pt>
                <c:pt idx="163" formatCode="0.0000">
                  <c:v>1.5853771266895502</c:v>
                </c:pt>
                <c:pt idx="164" formatCode="0.0000">
                  <c:v>1.5807636814720596</c:v>
                </c:pt>
                <c:pt idx="165" formatCode="0.0000">
                  <c:v>1.4427671386083332</c:v>
                </c:pt>
                <c:pt idx="166" formatCode="0.0000">
                  <c:v>1.272203913886321</c:v>
                </c:pt>
                <c:pt idx="167" formatCode="0.0000">
                  <c:v>1.1538986430118991</c:v>
                </c:pt>
                <c:pt idx="168" formatCode="0.0000">
                  <c:v>1.2443629640726095</c:v>
                </c:pt>
                <c:pt idx="169" formatCode="0.0000">
                  <c:v>1.0857647176994312</c:v>
                </c:pt>
                <c:pt idx="170" formatCode="0.0000">
                  <c:v>0.83635592812861226</c:v>
                </c:pt>
                <c:pt idx="171" formatCode="0.0000">
                  <c:v>0.8514176536161564</c:v>
                </c:pt>
                <c:pt idx="172" formatCode="0.0000">
                  <c:v>0.92528922431790683</c:v>
                </c:pt>
                <c:pt idx="173" formatCode="0.0000">
                  <c:v>1.0152816311203445</c:v>
                </c:pt>
                <c:pt idx="174" formatCode="0.0000">
                  <c:v>1.0230475487842943</c:v>
                </c:pt>
                <c:pt idx="175" formatCode="0.0000">
                  <c:v>1.1078660373893909</c:v>
                </c:pt>
                <c:pt idx="176" formatCode="0.0000">
                  <c:v>1.0243101850928584</c:v>
                </c:pt>
                <c:pt idx="177" formatCode="0.0000">
                  <c:v>1.0073645409280261</c:v>
                </c:pt>
                <c:pt idx="178" formatCode="0.0000">
                  <c:v>1.0562396840230006</c:v>
                </c:pt>
                <c:pt idx="179" formatCode="0.0000">
                  <c:v>0.99683288744455489</c:v>
                </c:pt>
                <c:pt idx="180" formatCode="0.0000">
                  <c:v>1.4335566986145907</c:v>
                </c:pt>
                <c:pt idx="181" formatCode="0.0000">
                  <c:v>1.4774216903393544</c:v>
                </c:pt>
                <c:pt idx="182" formatCode="0.0000">
                  <c:v>1.3007780523999244</c:v>
                </c:pt>
                <c:pt idx="183" formatCode="0.0000">
                  <c:v>1.2618303104542454</c:v>
                </c:pt>
                <c:pt idx="184" formatCode="0.0000">
                  <c:v>1.4076696452762589</c:v>
                </c:pt>
                <c:pt idx="185" formatCode="0.0000">
                  <c:v>1.3459814956919371</c:v>
                </c:pt>
                <c:pt idx="186" formatCode="0.0000">
                  <c:v>1.3114624082339703</c:v>
                </c:pt>
                <c:pt idx="187" formatCode="0.0000">
                  <c:v>0.86271508750591896</c:v>
                </c:pt>
                <c:pt idx="188" formatCode="0.0000">
                  <c:v>0.84680369288188595</c:v>
                </c:pt>
                <c:pt idx="189" formatCode="0.0000">
                  <c:v>0.81274367885744692</c:v>
                </c:pt>
                <c:pt idx="190" formatCode="0.0000">
                  <c:v>0.83945874638922946</c:v>
                </c:pt>
                <c:pt idx="191" formatCode="0.0000">
                  <c:v>0.74477582621665839</c:v>
                </c:pt>
                <c:pt idx="192" formatCode="0.0000">
                  <c:v>0.78448609947397663</c:v>
                </c:pt>
                <c:pt idx="193" formatCode="0.0000">
                  <c:v>0.90558433942904437</c:v>
                </c:pt>
                <c:pt idx="194" formatCode="0.0000">
                  <c:v>1.00122264718452</c:v>
                </c:pt>
                <c:pt idx="195" formatCode="0.0000">
                  <c:v>0.94375542304546056</c:v>
                </c:pt>
                <c:pt idx="196" formatCode="0.0000">
                  <c:v>1.064228860661826</c:v>
                </c:pt>
                <c:pt idx="197" formatCode="0.0000">
                  <c:v>1.2224544430747666</c:v>
                </c:pt>
                <c:pt idx="198" formatCode="0.0000">
                  <c:v>1.0818500659662116</c:v>
                </c:pt>
                <c:pt idx="199" formatCode="0.0000">
                  <c:v>1.164459625532577</c:v>
                </c:pt>
                <c:pt idx="200" formatCode="0.0000">
                  <c:v>1.7217807997934773</c:v>
                </c:pt>
                <c:pt idx="201" formatCode="0.0000">
                  <c:v>1.683295575110201</c:v>
                </c:pt>
                <c:pt idx="202" formatCode="0.0000">
                  <c:v>1.8441382926736356</c:v>
                </c:pt>
                <c:pt idx="203" formatCode="0.0000">
                  <c:v>1.7610178712307873</c:v>
                </c:pt>
                <c:pt idx="204" formatCode="0.0000">
                  <c:v>1.6418014083913428</c:v>
                </c:pt>
                <c:pt idx="205" formatCode="0.0000">
                  <c:v>1.84528758867196</c:v>
                </c:pt>
                <c:pt idx="206" formatCode="0.0000">
                  <c:v>1.778059344629876</c:v>
                </c:pt>
                <c:pt idx="207" formatCode="0.0000">
                  <c:v>1.2145329704959273</c:v>
                </c:pt>
                <c:pt idx="208" formatCode="0.0000">
                  <c:v>1.3218377579057443</c:v>
                </c:pt>
                <c:pt idx="209" formatCode="0.0000">
                  <c:v>1.3841902836096083</c:v>
                </c:pt>
                <c:pt idx="210" formatCode="0.0000">
                  <c:v>1.3809814850713149</c:v>
                </c:pt>
                <c:pt idx="211" formatCode="0.0000">
                  <c:v>1.4253721840861036</c:v>
                </c:pt>
                <c:pt idx="212" formatCode="0.0000">
                  <c:v>1.4540790340367613</c:v>
                </c:pt>
                <c:pt idx="213" formatCode="0.0000">
                  <c:v>1.4687977335110947</c:v>
                </c:pt>
                <c:pt idx="214" formatCode="0.0000">
                  <c:v>1.5170052105031075</c:v>
                </c:pt>
                <c:pt idx="215" formatCode="0.0000">
                  <c:v>1.4717990335890254</c:v>
                </c:pt>
                <c:pt idx="216" formatCode="0.0000">
                  <c:v>1.5381124836918871</c:v>
                </c:pt>
                <c:pt idx="217" formatCode="0.0000">
                  <c:v>1.6788782617906832</c:v>
                </c:pt>
                <c:pt idx="218" formatCode="0.0000">
                  <c:v>1.6057079274980073</c:v>
                </c:pt>
                <c:pt idx="219" formatCode="0.0000">
                  <c:v>1.6488086986295509</c:v>
                </c:pt>
                <c:pt idx="220" formatCode="0.0000">
                  <c:v>1.6563034502083498</c:v>
                </c:pt>
                <c:pt idx="221" formatCode="0.0000">
                  <c:v>1.6970489892835177</c:v>
                </c:pt>
                <c:pt idx="222" formatCode="0.0000">
                  <c:v>1.8048902886559048</c:v>
                </c:pt>
                <c:pt idx="223" formatCode="0.0000">
                  <c:v>1.8167130218237317</c:v>
                </c:pt>
                <c:pt idx="224" formatCode="0.0000">
                  <c:v>1.7197166493209968</c:v>
                </c:pt>
                <c:pt idx="225" formatCode="0.0000">
                  <c:v>1.7564343502780504</c:v>
                </c:pt>
                <c:pt idx="226" formatCode="0.0000">
                  <c:v>1.6869468444477385</c:v>
                </c:pt>
                <c:pt idx="227" formatCode="0.0000">
                  <c:v>1.642467033549472</c:v>
                </c:pt>
                <c:pt idx="228" formatCode="0.0000">
                  <c:v>1.6245238587115334</c:v>
                </c:pt>
                <c:pt idx="229" formatCode="0.0000">
                  <c:v>1.6439023388210712</c:v>
                </c:pt>
                <c:pt idx="230" formatCode="0.0000">
                  <c:v>1.5656755200968895</c:v>
                </c:pt>
                <c:pt idx="231" formatCode="0.0000">
                  <c:v>1.5405734709623871</c:v>
                </c:pt>
                <c:pt idx="232" formatCode="0.0000">
                  <c:v>1.6455121930818823</c:v>
                </c:pt>
                <c:pt idx="233" formatCode="0.0000">
                  <c:v>1.5814720221685143</c:v>
                </c:pt>
                <c:pt idx="234" formatCode="0.0000">
                  <c:v>1.6793515660065323</c:v>
                </c:pt>
                <c:pt idx="235" formatCode="0.0000">
                  <c:v>1.6488204979802616</c:v>
                </c:pt>
                <c:pt idx="236" formatCode="0.0000">
                  <c:v>1.5386155803957569</c:v>
                </c:pt>
                <c:pt idx="237" formatCode="0.0000">
                  <c:v>1.5038444707155121</c:v>
                </c:pt>
                <c:pt idx="238" formatCode="0.0000">
                  <c:v>1.5167672100486549</c:v>
                </c:pt>
                <c:pt idx="239" formatCode="0.0000">
                  <c:v>1.4142553108917195</c:v>
                </c:pt>
                <c:pt idx="240" formatCode="0.0000">
                  <c:v>1.7014165929979299</c:v>
                </c:pt>
                <c:pt idx="241" formatCode="0.0000">
                  <c:v>1.7100471961698005</c:v>
                </c:pt>
                <c:pt idx="242" formatCode="0.0000">
                  <c:v>1.7433154002080886</c:v>
                </c:pt>
                <c:pt idx="243" formatCode="0.0000">
                  <c:v>1.8033117431304599</c:v>
                </c:pt>
                <c:pt idx="244" formatCode="0.0000">
                  <c:v>1.7320587898146171</c:v>
                </c:pt>
                <c:pt idx="245" formatCode="0.0000">
                  <c:v>1.8022397910179708</c:v>
                </c:pt>
                <c:pt idx="246" formatCode="0.0000">
                  <c:v>1.8131524344791505</c:v>
                </c:pt>
                <c:pt idx="247" formatCode="0.0000">
                  <c:v>1.4661123214467242</c:v>
                </c:pt>
                <c:pt idx="248" formatCode="0.0000">
                  <c:v>1.3735750066976686</c:v>
                </c:pt>
                <c:pt idx="249" formatCode="0.0000">
                  <c:v>1.3212529640485664</c:v>
                </c:pt>
                <c:pt idx="250" formatCode="0.0000">
                  <c:v>1.2444999170710112</c:v>
                </c:pt>
                <c:pt idx="251" formatCode="0.0000">
                  <c:v>1.2316510138678025</c:v>
                </c:pt>
                <c:pt idx="252" formatCode="0.0000">
                  <c:v>1.162931133725714</c:v>
                </c:pt>
                <c:pt idx="253" formatCode="0.0000">
                  <c:v>1.1231328117224919</c:v>
                </c:pt>
                <c:pt idx="254" formatCode="0.0000">
                  <c:v>1.1150793634465799</c:v>
                </c:pt>
                <c:pt idx="255" formatCode="0.0000">
                  <c:v>0.97565276502148612</c:v>
                </c:pt>
                <c:pt idx="256" formatCode="0.0000">
                  <c:v>0.95393618731337704</c:v>
                </c:pt>
                <c:pt idx="257" formatCode="0.0000">
                  <c:v>0.90711177501529072</c:v>
                </c:pt>
                <c:pt idx="258" formatCode="0.0000">
                  <c:v>0.91627534708030678</c:v>
                </c:pt>
                <c:pt idx="259" formatCode="0.0000">
                  <c:v>0.963714512432717</c:v>
                </c:pt>
                <c:pt idx="260" formatCode="0.0000">
                  <c:v>0.87337668713230909</c:v>
                </c:pt>
                <c:pt idx="261" formatCode="0.0000">
                  <c:v>0.92209395188474319</c:v>
                </c:pt>
                <c:pt idx="262" formatCode="0.0000">
                  <c:v>0.94661354580979495</c:v>
                </c:pt>
                <c:pt idx="263" formatCode="0.0000">
                  <c:v>0.96376993659152055</c:v>
                </c:pt>
                <c:pt idx="264" formatCode="0.0000">
                  <c:v>0.92654075984030082</c:v>
                </c:pt>
                <c:pt idx="265" formatCode="0.0000">
                  <c:v>0.89046404390161105</c:v>
                </c:pt>
                <c:pt idx="266" formatCode="0.0000">
                  <c:v>0.82550213492791735</c:v>
                </c:pt>
                <c:pt idx="267" formatCode="0.0000">
                  <c:v>0.88403873748407624</c:v>
                </c:pt>
                <c:pt idx="268" formatCode="0.0000">
                  <c:v>0.89083532813554656</c:v>
                </c:pt>
                <c:pt idx="269" formatCode="0.0000">
                  <c:v>0.91965229540307913</c:v>
                </c:pt>
                <c:pt idx="270" formatCode="0.0000">
                  <c:v>0.84133659323059296</c:v>
                </c:pt>
                <c:pt idx="271" formatCode="0.0000">
                  <c:v>0.81917870237568535</c:v>
                </c:pt>
                <c:pt idx="272" formatCode="0.0000">
                  <c:v>0.76047105610217558</c:v>
                </c:pt>
                <c:pt idx="273" formatCode="0.0000">
                  <c:v>0.76465400040039133</c:v>
                </c:pt>
                <c:pt idx="274" formatCode="0.0000">
                  <c:v>0.76983622575947863</c:v>
                </c:pt>
                <c:pt idx="275" formatCode="0.0000">
                  <c:v>0.76687284149110357</c:v>
                </c:pt>
                <c:pt idx="276" formatCode="0.0000">
                  <c:v>0.78200799829334333</c:v>
                </c:pt>
                <c:pt idx="277" formatCode="0.0000">
                  <c:v>0.77838985261014693</c:v>
                </c:pt>
                <c:pt idx="278" formatCode="0.0000">
                  <c:v>0.75291493581213609</c:v>
                </c:pt>
                <c:pt idx="279" formatCode="0.0000">
                  <c:v>0.74413604701082314</c:v>
                </c:pt>
                <c:pt idx="280" formatCode="0.0000">
                  <c:v>0.74345037613003273</c:v>
                </c:pt>
                <c:pt idx="281" formatCode="0.0000">
                  <c:v>0.77839794005807661</c:v>
                </c:pt>
                <c:pt idx="282" formatCode="0.0000">
                  <c:v>0.77600731709247384</c:v>
                </c:pt>
                <c:pt idx="283" formatCode="0.0000">
                  <c:v>0.79340797884491476</c:v>
                </c:pt>
                <c:pt idx="284" formatCode="0.0000">
                  <c:v>0.83002885146707073</c:v>
                </c:pt>
                <c:pt idx="285" formatCode="0.0000">
                  <c:v>0.84869806763507916</c:v>
                </c:pt>
                <c:pt idx="286" formatCode="0.0000">
                  <c:v>0.85543090866203664</c:v>
                </c:pt>
                <c:pt idx="287" formatCode="0.0000">
                  <c:v>0.87661594581968572</c:v>
                </c:pt>
                <c:pt idx="288" formatCode="0.0000">
                  <c:v>0.87740183217501111</c:v>
                </c:pt>
                <c:pt idx="289" formatCode="0.0000">
                  <c:v>0.91868237286539078</c:v>
                </c:pt>
                <c:pt idx="290" formatCode="0.0000">
                  <c:v>0.90613095620193351</c:v>
                </c:pt>
                <c:pt idx="291" formatCode="0.0000">
                  <c:v>0.90053095255266746</c:v>
                </c:pt>
                <c:pt idx="292" formatCode="0.0000">
                  <c:v>0.89054392337608379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356-4839-896B-C589C93EEDD7}"/>
            </c:ext>
          </c:extLst>
        </c:ser>
        <c:ser>
          <c:idx val="3"/>
          <c:order val="3"/>
          <c:tx>
            <c:strRef>
              <c:f>'R(t) Województwa'!$AE$2</c:f>
              <c:strCache>
                <c:ptCount val="1"/>
                <c:pt idx="0">
                  <c:v>Lubuskie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Województwa'!$AE$3:$AE$1000</c:f>
              <c:numCache>
                <c:formatCode>General</c:formatCode>
                <c:ptCount val="998"/>
                <c:pt idx="84" formatCode="0.0000">
                  <c:v>0.2587377420165955</c:v>
                </c:pt>
                <c:pt idx="85" formatCode="0.0000">
                  <c:v>0.12936887100829814</c:v>
                </c:pt>
                <c:pt idx="86" formatCode="0.0000">
                  <c:v>0.16127080028749941</c:v>
                </c:pt>
                <c:pt idx="87" formatCode="0.0000">
                  <c:v>0.15258972102471152</c:v>
                </c:pt>
                <c:pt idx="88" formatCode="0.0000">
                  <c:v>0.17990699508364816</c:v>
                </c:pt>
                <c:pt idx="89" formatCode="0.0000">
                  <c:v>0.14992249590304016</c:v>
                </c:pt>
                <c:pt idx="90" formatCode="0.0000">
                  <c:v>0.18214828801659347</c:v>
                </c:pt>
                <c:pt idx="91" formatCode="0.0000">
                  <c:v>0.20408354367219195</c:v>
                </c:pt>
                <c:pt idx="92" formatCode="0.0000">
                  <c:v>0.26837958817453073</c:v>
                </c:pt>
                <c:pt idx="93" formatCode="0.0000">
                  <c:v>0.23622606548225905</c:v>
                </c:pt>
                <c:pt idx="94" formatCode="0.0000">
                  <c:v>0.29955551222134125</c:v>
                </c:pt>
                <c:pt idx="95" formatCode="0.0000">
                  <c:v>0.2582446420328563</c:v>
                </c:pt>
                <c:pt idx="96" formatCode="0.0000">
                  <c:v>0.35943839551597462</c:v>
                </c:pt>
                <c:pt idx="97" formatCode="0.0000">
                  <c:v>0.30579510398770143</c:v>
                </c:pt>
                <c:pt idx="98" formatCode="0.0000">
                  <c:v>0.43168527514045751</c:v>
                </c:pt>
                <c:pt idx="99" formatCode="0.0000">
                  <c:v>0.36738923063811868</c:v>
                </c:pt>
                <c:pt idx="100" formatCode="0.0000">
                  <c:v>0.36738923063811862</c:v>
                </c:pt>
                <c:pt idx="101" formatCode="0.0000">
                  <c:v>0.36644673326028004</c:v>
                </c:pt>
                <c:pt idx="102" formatCode="0.0000">
                  <c:v>0.45226621120445604</c:v>
                </c:pt>
                <c:pt idx="103" formatCode="0.0000">
                  <c:v>0.4420829623309997</c:v>
                </c:pt>
                <c:pt idx="104" formatCode="0.0000">
                  <c:v>0.53807007610491764</c:v>
                </c:pt>
                <c:pt idx="105" formatCode="0.0000">
                  <c:v>0.35328211472276372</c:v>
                </c:pt>
                <c:pt idx="106" formatCode="0.0000">
                  <c:v>1.175724789285816</c:v>
                </c:pt>
                <c:pt idx="107" formatCode="0.0000">
                  <c:v>1.175724789285816</c:v>
                </c:pt>
                <c:pt idx="108" formatCode="0.0000">
                  <c:v>1.0952597708908087</c:v>
                </c:pt>
                <c:pt idx="109" formatCode="0.0000">
                  <c:v>1.2950811357450163</c:v>
                </c:pt>
                <c:pt idx="110" formatCode="0.0000">
                  <c:v>1.2873878977983488</c:v>
                </c:pt>
                <c:pt idx="111" formatCode="0.0000">
                  <c:v>1.2799928088790586</c:v>
                </c:pt>
                <c:pt idx="112" formatCode="0.0000">
                  <c:v>1.2799928088790586</c:v>
                </c:pt>
                <c:pt idx="113" formatCode="0.0000">
                  <c:v>0.45755013431600638</c:v>
                </c:pt>
                <c:pt idx="114" formatCode="0.0000">
                  <c:v>0.5850526634928741</c:v>
                </c:pt>
                <c:pt idx="115" formatCode="0.0000">
                  <c:v>0.71454347404085161</c:v>
                </c:pt>
                <c:pt idx="116" formatCode="0.0000">
                  <c:v>0.69139278293381301</c:v>
                </c:pt>
                <c:pt idx="117" formatCode="0.0000">
                  <c:v>0.60807551627081846</c:v>
                </c:pt>
                <c:pt idx="118" formatCode="0.0000">
                  <c:v>0.51948349141619043</c:v>
                </c:pt>
                <c:pt idx="119" formatCode="0.0000">
                  <c:v>0.83858650035332416</c:v>
                </c:pt>
                <c:pt idx="120" formatCode="0.0000">
                  <c:v>0.83858650035332405</c:v>
                </c:pt>
                <c:pt idx="121" formatCode="0.0000">
                  <c:v>0.71108397117645639</c:v>
                </c:pt>
                <c:pt idx="122" formatCode="0.0000">
                  <c:v>0.58159316062847866</c:v>
                </c:pt>
                <c:pt idx="123" formatCode="0.0000">
                  <c:v>0.31910300893713411</c:v>
                </c:pt>
                <c:pt idx="124" formatCode="0.0000">
                  <c:v>0.31910300893713411</c:v>
                </c:pt>
                <c:pt idx="125" formatCode="0.0000">
                  <c:v>0.61228462992878308</c:v>
                </c:pt>
                <c:pt idx="126" formatCode="0.0000">
                  <c:v>0.29318162099164952</c:v>
                </c:pt>
                <c:pt idx="127" formatCode="0.0000">
                  <c:v>0.29318162099164968</c:v>
                </c:pt>
                <c:pt idx="128" formatCode="0.0000">
                  <c:v>1.3338951835312773</c:v>
                </c:pt>
                <c:pt idx="129" formatCode="0.0000">
                  <c:v>5.903583876111357</c:v>
                </c:pt>
                <c:pt idx="130" formatCode="0.0000">
                  <c:v>6.1056769899606733</c:v>
                </c:pt>
                <c:pt idx="131" formatCode="0.0000">
                  <c:v>7.632008190061577</c:v>
                </c:pt>
                <c:pt idx="132" formatCode="0.0000">
                  <c:v>7.405532910118886</c:v>
                </c:pt>
                <c:pt idx="133" formatCode="0.0000">
                  <c:v>7.4921786629272669</c:v>
                </c:pt>
                <c:pt idx="134" formatCode="0.0000">
                  <c:v>7.6757912895150282</c:v>
                </c:pt>
                <c:pt idx="135" formatCode="0.0000">
                  <c:v>6.6938852084822011</c:v>
                </c:pt>
                <c:pt idx="136" formatCode="0.0000">
                  <c:v>2.3970626155777417</c:v>
                </c:pt>
                <c:pt idx="137" formatCode="0.0000">
                  <c:v>2.2801950936649718</c:v>
                </c:pt>
                <c:pt idx="138" formatCode="0.0000">
                  <c:v>1.130687452773681</c:v>
                </c:pt>
                <c:pt idx="139" formatCode="0.0000">
                  <c:v>1.1861314568932673</c:v>
                </c:pt>
                <c:pt idx="140" formatCode="0.0000">
                  <c:v>1.2117455567952002</c:v>
                </c:pt>
                <c:pt idx="141" formatCode="0.0000">
                  <c:v>1.0796009809608818</c:v>
                </c:pt>
                <c:pt idx="142" formatCode="0.0000">
                  <c:v>1.1482442192163738</c:v>
                </c:pt>
                <c:pt idx="143" formatCode="0.0000">
                  <c:v>1.0048231238062737</c:v>
                </c:pt>
                <c:pt idx="144" formatCode="0.0000">
                  <c:v>1.0216456633137416</c:v>
                </c:pt>
                <c:pt idx="145" formatCode="0.0000">
                  <c:v>0.72081481392659896</c:v>
                </c:pt>
                <c:pt idx="146" formatCode="0.0000">
                  <c:v>0.66381488206368722</c:v>
                </c:pt>
                <c:pt idx="147" formatCode="0.0000">
                  <c:v>0.62219461373844731</c:v>
                </c:pt>
                <c:pt idx="148" formatCode="0.0000">
                  <c:v>0.76107179162702099</c:v>
                </c:pt>
                <c:pt idx="149" formatCode="0.0000">
                  <c:v>0.81533696078521811</c:v>
                </c:pt>
                <c:pt idx="150" formatCode="0.0000">
                  <c:v>0.8783025980722583</c:v>
                </c:pt>
                <c:pt idx="151" formatCode="0.0000">
                  <c:v>0.9262486200836737</c:v>
                </c:pt>
                <c:pt idx="152" formatCode="0.0000">
                  <c:v>0.9991871399519151</c:v>
                </c:pt>
                <c:pt idx="153" formatCode="0.0000">
                  <c:v>1.147860827819674</c:v>
                </c:pt>
                <c:pt idx="154" formatCode="0.0000">
                  <c:v>1.1540116974016754</c:v>
                </c:pt>
                <c:pt idx="155" formatCode="0.0000">
                  <c:v>1.1774453092178858</c:v>
                </c:pt>
                <c:pt idx="156" formatCode="0.0000">
                  <c:v>1.1185733311150126</c:v>
                </c:pt>
                <c:pt idx="157" formatCode="0.0000">
                  <c:v>1.2552133221208348</c:v>
                </c:pt>
                <c:pt idx="158" formatCode="0.0000">
                  <c:v>1.4354578244352543</c:v>
                </c:pt>
                <c:pt idx="159" formatCode="0.0000">
                  <c:v>1.5090253634577309</c:v>
                </c:pt>
                <c:pt idx="160" formatCode="0.0000">
                  <c:v>1.5631127547648198</c:v>
                </c:pt>
                <c:pt idx="161" formatCode="0.0000">
                  <c:v>1.5046401503767908</c:v>
                </c:pt>
                <c:pt idx="162" formatCode="0.0000">
                  <c:v>1.3013231441496125</c:v>
                </c:pt>
                <c:pt idx="163" formatCode="0.0000">
                  <c:v>1.2025958254506592</c:v>
                </c:pt>
                <c:pt idx="164" formatCode="0.0000">
                  <c:v>0.98300940182130858</c:v>
                </c:pt>
                <c:pt idx="165" formatCode="0.0000">
                  <c:v>0.79432801990560387</c:v>
                </c:pt>
                <c:pt idx="166" formatCode="0.0000">
                  <c:v>0.68522246660159247</c:v>
                </c:pt>
                <c:pt idx="167" formatCode="0.0000">
                  <c:v>0.53414662672185342</c:v>
                </c:pt>
                <c:pt idx="168" formatCode="0.0000">
                  <c:v>0.72575372929100301</c:v>
                </c:pt>
                <c:pt idx="169" formatCode="0.0000">
                  <c:v>0.82770941386126684</c:v>
                </c:pt>
                <c:pt idx="170" formatCode="0.0000">
                  <c:v>0.91953972055418376</c:v>
                </c:pt>
                <c:pt idx="171" formatCode="0.0000">
                  <c:v>0.82496967967363966</c:v>
                </c:pt>
                <c:pt idx="172" formatCode="0.0000">
                  <c:v>0.7688111195106917</c:v>
                </c:pt>
                <c:pt idx="173" formatCode="0.0000">
                  <c:v>0.72790167889407109</c:v>
                </c:pt>
                <c:pt idx="174" formatCode="0.0000">
                  <c:v>0.61106602629333062</c:v>
                </c:pt>
                <c:pt idx="175" formatCode="0.0000">
                  <c:v>0.53759005433720142</c:v>
                </c:pt>
                <c:pt idx="176" formatCode="0.0000">
                  <c:v>0.51672520674009681</c:v>
                </c:pt>
                <c:pt idx="177" formatCode="0.0000">
                  <c:v>0.69028954246671914</c:v>
                </c:pt>
                <c:pt idx="178" formatCode="0.0000">
                  <c:v>0.86475799692047273</c:v>
                </c:pt>
                <c:pt idx="179" formatCode="0.0000">
                  <c:v>1.0206227085820794</c:v>
                </c:pt>
                <c:pt idx="180" formatCode="0.0000">
                  <c:v>1.2593078136748115</c:v>
                </c:pt>
                <c:pt idx="181" formatCode="0.0000">
                  <c:v>1.3846445790454547</c:v>
                </c:pt>
                <c:pt idx="182" formatCode="0.0000">
                  <c:v>1.3917139556832629</c:v>
                </c:pt>
                <c:pt idx="183" formatCode="0.0000">
                  <c:v>1.4435848076713744</c:v>
                </c:pt>
                <c:pt idx="184" formatCode="0.0000">
                  <c:v>1.2655620573976709</c:v>
                </c:pt>
                <c:pt idx="185" formatCode="0.0000">
                  <c:v>1.2899546928087915</c:v>
                </c:pt>
                <c:pt idx="186" formatCode="0.0000">
                  <c:v>1.2636491302293844</c:v>
                </c:pt>
                <c:pt idx="187" formatCode="0.0000">
                  <c:v>0.98112332980484307</c:v>
                </c:pt>
                <c:pt idx="188" formatCode="0.0000">
                  <c:v>0.87195473683179625</c:v>
                </c:pt>
                <c:pt idx="189" formatCode="0.0000">
                  <c:v>0.80249096926368413</c:v>
                </c:pt>
                <c:pt idx="190" formatCode="0.0000">
                  <c:v>0.77835673785532777</c:v>
                </c:pt>
                <c:pt idx="191" formatCode="0.0000">
                  <c:v>0.78903679537335381</c:v>
                </c:pt>
                <c:pt idx="192" formatCode="0.0000">
                  <c:v>0.67923939832408242</c:v>
                </c:pt>
                <c:pt idx="193" formatCode="0.0000">
                  <c:v>0.61571312069353945</c:v>
                </c:pt>
                <c:pt idx="194" formatCode="0.0000">
                  <c:v>0.71576505481737041</c:v>
                </c:pt>
                <c:pt idx="195" formatCode="0.0000">
                  <c:v>0.80838337545100625</c:v>
                </c:pt>
                <c:pt idx="196" formatCode="0.0000">
                  <c:v>0.84695244030186101</c:v>
                </c:pt>
                <c:pt idx="197" formatCode="0.0000">
                  <c:v>0.82057100029909447</c:v>
                </c:pt>
                <c:pt idx="198" formatCode="0.0000">
                  <c:v>0.79619497728266775</c:v>
                </c:pt>
                <c:pt idx="199" formatCode="0.0000">
                  <c:v>1.0762651403294075</c:v>
                </c:pt>
                <c:pt idx="200" formatCode="0.0000">
                  <c:v>1.0898510795357386</c:v>
                </c:pt>
                <c:pt idx="201" formatCode="0.0000">
                  <c:v>1.1629560076935586</c:v>
                </c:pt>
                <c:pt idx="202" formatCode="0.0000">
                  <c:v>1.340020566232107</c:v>
                </c:pt>
                <c:pt idx="203" formatCode="0.0000">
                  <c:v>1.3607781077745558</c:v>
                </c:pt>
                <c:pt idx="204" formatCode="0.0000">
                  <c:v>1.5540168063637394</c:v>
                </c:pt>
                <c:pt idx="205" formatCode="0.0000">
                  <c:v>1.7506755422173927</c:v>
                </c:pt>
                <c:pt idx="206" formatCode="0.0000">
                  <c:v>1.5584151200241518</c:v>
                </c:pt>
                <c:pt idx="207" formatCode="0.0000">
                  <c:v>1.5396580129280686</c:v>
                </c:pt>
                <c:pt idx="208" formatCode="0.0000">
                  <c:v>1.4107402417870918</c:v>
                </c:pt>
                <c:pt idx="209" formatCode="0.0000">
                  <c:v>1.634266997025642</c:v>
                </c:pt>
                <c:pt idx="210" formatCode="0.0000">
                  <c:v>1.6538110486780204</c:v>
                </c:pt>
                <c:pt idx="211" formatCode="0.0000">
                  <c:v>1.6799289101645551</c:v>
                </c:pt>
                <c:pt idx="212" formatCode="0.0000">
                  <c:v>1.6120468151569622</c:v>
                </c:pt>
                <c:pt idx="213" formatCode="0.0000">
                  <c:v>1.6144134898509719</c:v>
                </c:pt>
                <c:pt idx="214" formatCode="0.0000">
                  <c:v>1.8658934506893037</c:v>
                </c:pt>
                <c:pt idx="215" formatCode="0.0000">
                  <c:v>2.3363611544125971</c:v>
                </c:pt>
                <c:pt idx="216" formatCode="0.0000">
                  <c:v>2.045216757489499</c:v>
                </c:pt>
                <c:pt idx="217" formatCode="0.0000">
                  <c:v>1.9261143088582706</c:v>
                </c:pt>
                <c:pt idx="218" formatCode="0.0000">
                  <c:v>1.6644658378146542</c:v>
                </c:pt>
                <c:pt idx="219" formatCode="0.0000">
                  <c:v>1.7585123090636532</c:v>
                </c:pt>
                <c:pt idx="220" formatCode="0.0000">
                  <c:v>1.6945727304391398</c:v>
                </c:pt>
                <c:pt idx="221" formatCode="0.0000">
                  <c:v>1.7803352396520591</c:v>
                </c:pt>
                <c:pt idx="222" formatCode="0.0000">
                  <c:v>1.5171591657764996</c:v>
                </c:pt>
                <c:pt idx="223" formatCode="0.0000">
                  <c:v>1.3356156368969678</c:v>
                </c:pt>
                <c:pt idx="224" formatCode="0.0000">
                  <c:v>1.7826386727716181</c:v>
                </c:pt>
                <c:pt idx="225" formatCode="0.0000">
                  <c:v>2.049766886348666</c:v>
                </c:pt>
                <c:pt idx="226" formatCode="0.0000">
                  <c:v>2.0592825774344989</c:v>
                </c:pt>
                <c:pt idx="227" formatCode="0.0000">
                  <c:v>2.1600175717343948</c:v>
                </c:pt>
                <c:pt idx="228" formatCode="0.0000">
                  <c:v>1.9031900059650062</c:v>
                </c:pt>
                <c:pt idx="229" formatCode="0.0000">
                  <c:v>1.8481469780182593</c:v>
                </c:pt>
                <c:pt idx="230" formatCode="0.0000">
                  <c:v>1.9259277153665855</c:v>
                </c:pt>
                <c:pt idx="231" formatCode="0.0000">
                  <c:v>1.7339185963145975</c:v>
                </c:pt>
                <c:pt idx="232" formatCode="0.0000">
                  <c:v>1.7290179231985585</c:v>
                </c:pt>
                <c:pt idx="233" formatCode="0.0000">
                  <c:v>1.6795051234153253</c:v>
                </c:pt>
                <c:pt idx="234" formatCode="0.0000">
                  <c:v>1.8214433658908324</c:v>
                </c:pt>
                <c:pt idx="235" formatCode="0.0000">
                  <c:v>1.8506496010786992</c:v>
                </c:pt>
                <c:pt idx="236" formatCode="0.0000">
                  <c:v>1.8147748376489568</c:v>
                </c:pt>
                <c:pt idx="237" formatCode="0.0000">
                  <c:v>1.9107326654524983</c:v>
                </c:pt>
                <c:pt idx="238" formatCode="0.0000">
                  <c:v>1.7972853951486496</c:v>
                </c:pt>
                <c:pt idx="239" formatCode="0.0000">
                  <c:v>1.6842812053828549</c:v>
                </c:pt>
                <c:pt idx="240" formatCode="0.0000">
                  <c:v>1.563373622758472</c:v>
                </c:pt>
                <c:pt idx="241" formatCode="0.0000">
                  <c:v>1.3832880690287299</c:v>
                </c:pt>
                <c:pt idx="242" formatCode="0.0000">
                  <c:v>1.3594888471550861</c:v>
                </c:pt>
                <c:pt idx="243" formatCode="0.0000">
                  <c:v>1.3418020820678207</c:v>
                </c:pt>
                <c:pt idx="244" formatCode="0.0000">
                  <c:v>1.2540676096294789</c:v>
                </c:pt>
                <c:pt idx="245" formatCode="0.0000">
                  <c:v>1.2000767116157149</c:v>
                </c:pt>
                <c:pt idx="246" formatCode="0.0000">
                  <c:v>1.1884973876275198</c:v>
                </c:pt>
                <c:pt idx="247" formatCode="0.0000">
                  <c:v>1.2686213694160773</c:v>
                </c:pt>
                <c:pt idx="248" formatCode="0.0000">
                  <c:v>1.2638326209472257</c:v>
                </c:pt>
                <c:pt idx="249" formatCode="0.0000">
                  <c:v>1.216329977624486</c:v>
                </c:pt>
                <c:pt idx="250" formatCode="0.0000">
                  <c:v>1.2080507125232351</c:v>
                </c:pt>
                <c:pt idx="251" formatCode="0.0000">
                  <c:v>1.2702312673116813</c:v>
                </c:pt>
                <c:pt idx="252" formatCode="0.0000">
                  <c:v>1.3612137103757256</c:v>
                </c:pt>
                <c:pt idx="253" formatCode="0.0000">
                  <c:v>1.4146045753828376</c:v>
                </c:pt>
                <c:pt idx="254" formatCode="0.0000">
                  <c:v>1.3660560540436701</c:v>
                </c:pt>
                <c:pt idx="255" formatCode="0.0000">
                  <c:v>1.3350546777517291</c:v>
                </c:pt>
                <c:pt idx="256" formatCode="0.0000">
                  <c:v>1.3492099574323333</c:v>
                </c:pt>
                <c:pt idx="257" formatCode="0.0000">
                  <c:v>1.2896874075113161</c:v>
                </c:pt>
                <c:pt idx="258" formatCode="0.0000">
                  <c:v>1.2535228210055074</c:v>
                </c:pt>
                <c:pt idx="259" formatCode="0.0000">
                  <c:v>1.1167296434565859</c:v>
                </c:pt>
                <c:pt idx="260" formatCode="0.0000">
                  <c:v>1.0360585135955915</c:v>
                </c:pt>
                <c:pt idx="261" formatCode="0.0000">
                  <c:v>1.0177264572973246</c:v>
                </c:pt>
                <c:pt idx="262" formatCode="0.0000">
                  <c:v>1.0079422487975465</c:v>
                </c:pt>
                <c:pt idx="263" formatCode="0.0000">
                  <c:v>0.97742412000964662</c:v>
                </c:pt>
                <c:pt idx="264" formatCode="0.0000">
                  <c:v>1.019145485992631</c:v>
                </c:pt>
                <c:pt idx="265" formatCode="0.0000">
                  <c:v>0.97343101802330234</c:v>
                </c:pt>
                <c:pt idx="266" formatCode="0.0000">
                  <c:v>0.96838874503296923</c:v>
                </c:pt>
                <c:pt idx="267" formatCode="0.0000">
                  <c:v>0.95095359324042483</c:v>
                </c:pt>
                <c:pt idx="268" formatCode="0.0000">
                  <c:v>0.92258365441207546</c:v>
                </c:pt>
                <c:pt idx="269" formatCode="0.0000">
                  <c:v>0.91573296818186278</c:v>
                </c:pt>
                <c:pt idx="270" formatCode="0.0000">
                  <c:v>0.86088094992527453</c:v>
                </c:pt>
                <c:pt idx="271" formatCode="0.0000">
                  <c:v>0.82486467144527587</c:v>
                </c:pt>
                <c:pt idx="272" formatCode="0.0000">
                  <c:v>0.80050898568741702</c:v>
                </c:pt>
                <c:pt idx="273" formatCode="0.0000">
                  <c:v>0.79063836303545576</c:v>
                </c:pt>
                <c:pt idx="274" formatCode="0.0000">
                  <c:v>0.7839051487911064</c:v>
                </c:pt>
                <c:pt idx="275" formatCode="0.0000">
                  <c:v>0.76664987550959529</c:v>
                </c:pt>
                <c:pt idx="276" formatCode="0.0000">
                  <c:v>0.80042845835152077</c:v>
                </c:pt>
                <c:pt idx="277" formatCode="0.0000">
                  <c:v>0.80582221373035368</c:v>
                </c:pt>
                <c:pt idx="278" formatCode="0.0000">
                  <c:v>0.81301526527218537</c:v>
                </c:pt>
                <c:pt idx="279" formatCode="0.0000">
                  <c:v>0.79446149389981202</c:v>
                </c:pt>
                <c:pt idx="280" formatCode="0.0000">
                  <c:v>0.8037155807110884</c:v>
                </c:pt>
                <c:pt idx="281" formatCode="0.0000">
                  <c:v>0.81819769225611838</c:v>
                </c:pt>
                <c:pt idx="282" formatCode="0.0000">
                  <c:v>0.89162204981724447</c:v>
                </c:pt>
                <c:pt idx="283" formatCode="0.0000">
                  <c:v>0.89912574356372321</c:v>
                </c:pt>
                <c:pt idx="284" formatCode="0.0000">
                  <c:v>0.92627792203916226</c:v>
                </c:pt>
                <c:pt idx="285" formatCode="0.0000">
                  <c:v>0.92660958657276093</c:v>
                </c:pt>
                <c:pt idx="286" formatCode="0.0000">
                  <c:v>0.94939470012544269</c:v>
                </c:pt>
                <c:pt idx="287" formatCode="0.0000">
                  <c:v>0.94334936671631664</c:v>
                </c:pt>
                <c:pt idx="288" formatCode="0.0000">
                  <c:v>0.94141408893853651</c:v>
                </c:pt>
                <c:pt idx="289" formatCode="0.0000">
                  <c:v>0.88767579278637065</c:v>
                </c:pt>
                <c:pt idx="290" formatCode="0.0000">
                  <c:v>0.90139723184942666</c:v>
                </c:pt>
                <c:pt idx="291" formatCode="0.0000">
                  <c:v>0.93240806929771469</c:v>
                </c:pt>
                <c:pt idx="292" formatCode="0.0000">
                  <c:v>0.94993144035166399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1356-4839-896B-C589C93EEDD7}"/>
            </c:ext>
          </c:extLst>
        </c:ser>
        <c:ser>
          <c:idx val="4"/>
          <c:order val="4"/>
          <c:tx>
            <c:strRef>
              <c:f>'R(t) Województwa'!$AL$2</c:f>
              <c:strCache>
                <c:ptCount val="1"/>
                <c:pt idx="0">
                  <c:v>Łódzkie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Województwa'!$AL$3:$AL$1000</c:f>
              <c:numCache>
                <c:formatCode>General</c:formatCode>
                <c:ptCount val="998"/>
                <c:pt idx="21" formatCode="0.0000">
                  <c:v>1.48735244519393</c:v>
                </c:pt>
                <c:pt idx="22" formatCode="0.0000">
                  <c:v>1.323068114488857</c:v>
                </c:pt>
                <c:pt idx="23" formatCode="0.0000">
                  <c:v>1.2345596983698457</c:v>
                </c:pt>
                <c:pt idx="24" formatCode="0.0000">
                  <c:v>1.113226972293816</c:v>
                </c:pt>
                <c:pt idx="25" formatCode="0.0000">
                  <c:v>1.1081602792209053</c:v>
                </c:pt>
                <c:pt idx="26" formatCode="0.0000">
                  <c:v>1.025791001320375</c:v>
                </c:pt>
                <c:pt idx="27" formatCode="0.0000">
                  <c:v>1.0184881097612339</c:v>
                </c:pt>
                <c:pt idx="28" formatCode="0.0000">
                  <c:v>0.87588135889566077</c:v>
                </c:pt>
                <c:pt idx="29" formatCode="0.0000">
                  <c:v>0.87364960730289154</c:v>
                </c:pt>
                <c:pt idx="30" formatCode="0.0000">
                  <c:v>0.90722873984818719</c:v>
                </c:pt>
                <c:pt idx="31" formatCode="0.0000">
                  <c:v>0.94199430111767435</c:v>
                </c:pt>
                <c:pt idx="32" formatCode="0.0000">
                  <c:v>0.91670045173077253</c:v>
                </c:pt>
                <c:pt idx="33" formatCode="0.0000">
                  <c:v>1.6317655870885974</c:v>
                </c:pt>
                <c:pt idx="34" formatCode="0.0000">
                  <c:v>1.5935823010634034</c:v>
                </c:pt>
                <c:pt idx="35" formatCode="0.0000">
                  <c:v>1.6593066672870189</c:v>
                </c:pt>
                <c:pt idx="36" formatCode="0.0000">
                  <c:v>1.8147037942324544</c:v>
                </c:pt>
                <c:pt idx="37" formatCode="0.0000">
                  <c:v>1.8365562800638713</c:v>
                </c:pt>
                <c:pt idx="38" formatCode="0.0000">
                  <c:v>1.8828418751317442</c:v>
                </c:pt>
                <c:pt idx="39" formatCode="0.0000">
                  <c:v>1.9210584796082233</c:v>
                </c:pt>
                <c:pt idx="40" formatCode="0.0000">
                  <c:v>1.3277243832152448</c:v>
                </c:pt>
                <c:pt idx="41" formatCode="0.0000">
                  <c:v>1.3434256522511467</c:v>
                </c:pt>
                <c:pt idx="42" formatCode="0.0000">
                  <c:v>1.295018744049105</c:v>
                </c:pt>
                <c:pt idx="43" formatCode="0.0000">
                  <c:v>1.0051657577646289</c:v>
                </c:pt>
                <c:pt idx="44" formatCode="0.0000">
                  <c:v>0.9158925244824222</c:v>
                </c:pt>
                <c:pt idx="45" formatCode="0.0000">
                  <c:v>0.84144296020039755</c:v>
                </c:pt>
                <c:pt idx="46" formatCode="0.0000">
                  <c:v>0.90033117774638094</c:v>
                </c:pt>
                <c:pt idx="47" formatCode="0.0000">
                  <c:v>0.81789107538822048</c:v>
                </c:pt>
                <c:pt idx="48" formatCode="0.0000">
                  <c:v>0.84308272964164155</c:v>
                </c:pt>
                <c:pt idx="49" formatCode="0.0000">
                  <c:v>0.83984795320136685</c:v>
                </c:pt>
                <c:pt idx="50" formatCode="0.0000">
                  <c:v>1.291353843554637</c:v>
                </c:pt>
                <c:pt idx="51" formatCode="0.0000">
                  <c:v>1.2562084960853597</c:v>
                </c:pt>
                <c:pt idx="52" formatCode="0.0000">
                  <c:v>1.3173775977817281</c:v>
                </c:pt>
                <c:pt idx="53" formatCode="0.0000">
                  <c:v>1.2119037265121064</c:v>
                </c:pt>
                <c:pt idx="54" formatCode="0.0000">
                  <c:v>1.1876514910807241</c:v>
                </c:pt>
                <c:pt idx="55" formatCode="0.0000">
                  <c:v>1.242879568959302</c:v>
                </c:pt>
                <c:pt idx="56" formatCode="0.0000">
                  <c:v>1.2337318102346326</c:v>
                </c:pt>
                <c:pt idx="57" formatCode="0.0000">
                  <c:v>0.93684597673016035</c:v>
                </c:pt>
                <c:pt idx="58" formatCode="0.0000">
                  <c:v>0.95393084671390249</c:v>
                </c:pt>
                <c:pt idx="59" formatCode="0.0000">
                  <c:v>0.88283295835416775</c:v>
                </c:pt>
                <c:pt idx="60" formatCode="0.0000">
                  <c:v>0.96495249436084818</c:v>
                </c:pt>
                <c:pt idx="61" formatCode="0.0000">
                  <c:v>1.1052163354719362</c:v>
                </c:pt>
                <c:pt idx="62" formatCode="0.0000">
                  <c:v>1.0056410486518528</c:v>
                </c:pt>
                <c:pt idx="63" formatCode="0.0000">
                  <c:v>0.94697514337822652</c:v>
                </c:pt>
                <c:pt idx="64" formatCode="0.0000">
                  <c:v>0.92985202673990131</c:v>
                </c:pt>
                <c:pt idx="65" formatCode="0.0000">
                  <c:v>1.0594246886618262</c:v>
                </c:pt>
                <c:pt idx="66" formatCode="0.0000">
                  <c:v>1.0166982127480666</c:v>
                </c:pt>
                <c:pt idx="67" formatCode="0.0000">
                  <c:v>0.90943494331283492</c:v>
                </c:pt>
                <c:pt idx="68" formatCode="0.0000">
                  <c:v>0.74239465303711238</c:v>
                </c:pt>
                <c:pt idx="69" formatCode="0.0000">
                  <c:v>0.71263880088691844</c:v>
                </c:pt>
                <c:pt idx="70" formatCode="0.0000">
                  <c:v>0.79184892856816291</c:v>
                </c:pt>
                <c:pt idx="71" formatCode="0.0000">
                  <c:v>0.71020496497899166</c:v>
                </c:pt>
                <c:pt idx="72" formatCode="0.0000">
                  <c:v>0.53868870520703493</c:v>
                </c:pt>
                <c:pt idx="73" formatCode="0.0000">
                  <c:v>0.54924255477944162</c:v>
                </c:pt>
                <c:pt idx="74" formatCode="0.0000">
                  <c:v>0.52003422678097999</c:v>
                </c:pt>
                <c:pt idx="75" formatCode="0.0000">
                  <c:v>0.50655070457797524</c:v>
                </c:pt>
                <c:pt idx="76" formatCode="0.0000">
                  <c:v>0.56327323771725712</c:v>
                </c:pt>
                <c:pt idx="77" formatCode="0.0000">
                  <c:v>0.53713383055613007</c:v>
                </c:pt>
                <c:pt idx="78" formatCode="0.0000">
                  <c:v>0.65166594294960689</c:v>
                </c:pt>
                <c:pt idx="79" formatCode="0.0000">
                  <c:v>0.66516070865625643</c:v>
                </c:pt>
                <c:pt idx="80" formatCode="0.0000">
                  <c:v>1.0128640186415343</c:v>
                </c:pt>
                <c:pt idx="81" formatCode="0.0000">
                  <c:v>1.0649046853575725</c:v>
                </c:pt>
                <c:pt idx="82" formatCode="0.0000">
                  <c:v>1.2368339915426743</c:v>
                </c:pt>
                <c:pt idx="83" formatCode="0.0000">
                  <c:v>1.2523220354207951</c:v>
                </c:pt>
                <c:pt idx="84" formatCode="0.0000">
                  <c:v>1.3891023976641672</c:v>
                </c:pt>
                <c:pt idx="85" formatCode="0.0000">
                  <c:v>1.4364670671987585</c:v>
                </c:pt>
                <c:pt idx="86" formatCode="0.0000">
                  <c:v>1.7327933253162324</c:v>
                </c:pt>
                <c:pt idx="87" formatCode="0.0000">
                  <c:v>1.5090996684059321</c:v>
                </c:pt>
                <c:pt idx="88" formatCode="0.0000">
                  <c:v>1.6063758179606542</c:v>
                </c:pt>
                <c:pt idx="89" formatCode="0.0000">
                  <c:v>1.5449413425502034</c:v>
                </c:pt>
                <c:pt idx="90" formatCode="0.0000">
                  <c:v>1.6959497278052607</c:v>
                </c:pt>
                <c:pt idx="91" formatCode="0.0000">
                  <c:v>1.5289566167834292</c:v>
                </c:pt>
                <c:pt idx="92" formatCode="0.0000">
                  <c:v>1.5761068381041796</c:v>
                </c:pt>
                <c:pt idx="93" formatCode="0.0000">
                  <c:v>1.7384375084028327</c:v>
                </c:pt>
                <c:pt idx="94" formatCode="0.0000">
                  <c:v>1.7031169863953184</c:v>
                </c:pt>
                <c:pt idx="95" formatCode="0.0000">
                  <c:v>1.6941509131727435</c:v>
                </c:pt>
                <c:pt idx="96" formatCode="0.0000">
                  <c:v>1.8956167635500312</c:v>
                </c:pt>
                <c:pt idx="97" formatCode="0.0000">
                  <c:v>1.8012809334156004</c:v>
                </c:pt>
                <c:pt idx="98" formatCode="0.0000">
                  <c:v>1.8713758751772389</c:v>
                </c:pt>
                <c:pt idx="99" formatCode="0.0000">
                  <c:v>1.6729659420840639</c:v>
                </c:pt>
                <c:pt idx="100" formatCode="0.0000">
                  <c:v>1.335878028773404</c:v>
                </c:pt>
                <c:pt idx="101" formatCode="0.0000">
                  <c:v>1.4015642885168673</c:v>
                </c:pt>
                <c:pt idx="102" formatCode="0.0000">
                  <c:v>1.2795667731443745</c:v>
                </c:pt>
                <c:pt idx="103" formatCode="0.0000">
                  <c:v>1.0009820322715191</c:v>
                </c:pt>
                <c:pt idx="104" formatCode="0.0000">
                  <c:v>0.99253430991928682</c:v>
                </c:pt>
                <c:pt idx="105" formatCode="0.0000">
                  <c:v>1.0364017630168116</c:v>
                </c:pt>
                <c:pt idx="106" formatCode="0.0000">
                  <c:v>1.0973751000620808</c:v>
                </c:pt>
                <c:pt idx="107" formatCode="0.0000">
                  <c:v>1.0858298861338771</c:v>
                </c:pt>
                <c:pt idx="108" formatCode="0.0000">
                  <c:v>1.0062086941998587</c:v>
                </c:pt>
                <c:pt idx="109" formatCode="0.0000">
                  <c:v>1.0222765779557397</c:v>
                </c:pt>
                <c:pt idx="110" formatCode="0.0000">
                  <c:v>1.0301791788770502</c:v>
                </c:pt>
                <c:pt idx="111" formatCode="0.0000">
                  <c:v>0.96244008895228306</c:v>
                </c:pt>
                <c:pt idx="112" formatCode="0.0000">
                  <c:v>0.91222264126722774</c:v>
                </c:pt>
                <c:pt idx="113" formatCode="0.0000">
                  <c:v>0.86026809908969859</c:v>
                </c:pt>
                <c:pt idx="114" formatCode="0.0000">
                  <c:v>0.77414233891993278</c:v>
                </c:pt>
                <c:pt idx="115" formatCode="0.0000">
                  <c:v>0.68633759281908724</c:v>
                </c:pt>
                <c:pt idx="116" formatCode="0.0000">
                  <c:v>0.74100316038954384</c:v>
                </c:pt>
                <c:pt idx="117" formatCode="0.0000">
                  <c:v>0.71915606102059759</c:v>
                </c:pt>
                <c:pt idx="118" formatCode="0.0000">
                  <c:v>0.66907154327737639</c:v>
                </c:pt>
                <c:pt idx="119" formatCode="0.0000">
                  <c:v>0.62781587100985414</c:v>
                </c:pt>
                <c:pt idx="120" formatCode="0.0000">
                  <c:v>0.56282753223871018</c:v>
                </c:pt>
                <c:pt idx="121" formatCode="0.0000">
                  <c:v>0.69657779794601316</c:v>
                </c:pt>
                <c:pt idx="122" formatCode="0.0000">
                  <c:v>0.73519551658070392</c:v>
                </c:pt>
                <c:pt idx="123" formatCode="0.0000">
                  <c:v>0.66774702713294565</c:v>
                </c:pt>
                <c:pt idx="124" formatCode="0.0000">
                  <c:v>0.65752660774839189</c:v>
                </c:pt>
                <c:pt idx="125" formatCode="0.0000">
                  <c:v>0.73662318089285395</c:v>
                </c:pt>
                <c:pt idx="126" formatCode="0.0000">
                  <c:v>0.71826472362525884</c:v>
                </c:pt>
                <c:pt idx="127" formatCode="0.0000">
                  <c:v>0.84922968521208531</c:v>
                </c:pt>
                <c:pt idx="128" formatCode="0.0000">
                  <c:v>0.73483020846360236</c:v>
                </c:pt>
                <c:pt idx="129" formatCode="0.0000">
                  <c:v>0.72308665413302298</c:v>
                </c:pt>
                <c:pt idx="130" formatCode="0.0000">
                  <c:v>0.82649850098261113</c:v>
                </c:pt>
                <c:pt idx="131" formatCode="0.0000">
                  <c:v>0.91119391146171502</c:v>
                </c:pt>
                <c:pt idx="132" formatCode="0.0000">
                  <c:v>0.85741464059251327</c:v>
                </c:pt>
                <c:pt idx="133" formatCode="0.0000">
                  <c:v>0.92037484299480832</c:v>
                </c:pt>
                <c:pt idx="134" formatCode="0.0000">
                  <c:v>0.92973803352248041</c:v>
                </c:pt>
                <c:pt idx="135" formatCode="0.0000">
                  <c:v>1.0282142733562021</c:v>
                </c:pt>
                <c:pt idx="136" formatCode="0.0000">
                  <c:v>1.0996695708579824</c:v>
                </c:pt>
                <c:pt idx="137" formatCode="0.0000">
                  <c:v>1.020633808104062</c:v>
                </c:pt>
                <c:pt idx="138" formatCode="0.0000">
                  <c:v>1.0554568564672568</c:v>
                </c:pt>
                <c:pt idx="139" formatCode="0.0000">
                  <c:v>1.0407466980880788</c:v>
                </c:pt>
                <c:pt idx="140" formatCode="0.0000">
                  <c:v>1.0804621167877391</c:v>
                </c:pt>
                <c:pt idx="141" formatCode="0.0000">
                  <c:v>1.0784434839175943</c:v>
                </c:pt>
                <c:pt idx="142" formatCode="0.0000">
                  <c:v>1.0376950336028583</c:v>
                </c:pt>
                <c:pt idx="143" formatCode="0.0000">
                  <c:v>1.0275434133057868</c:v>
                </c:pt>
                <c:pt idx="144" formatCode="0.0000">
                  <c:v>1.0753495227910432</c:v>
                </c:pt>
                <c:pt idx="145" formatCode="0.0000">
                  <c:v>0.99297438019198192</c:v>
                </c:pt>
                <c:pt idx="146" formatCode="0.0000">
                  <c:v>1.0040966003537746</c:v>
                </c:pt>
                <c:pt idx="147" formatCode="0.0000">
                  <c:v>1.0147410062531097</c:v>
                </c:pt>
                <c:pt idx="148" formatCode="0.0000">
                  <c:v>0.99673245416942624</c:v>
                </c:pt>
                <c:pt idx="149" formatCode="0.0000">
                  <c:v>1.1757374161056939</c:v>
                </c:pt>
                <c:pt idx="150" formatCode="0.0000">
                  <c:v>1.159087927994219</c:v>
                </c:pt>
                <c:pt idx="151" formatCode="0.0000">
                  <c:v>1.1822527640316556</c:v>
                </c:pt>
                <c:pt idx="152" formatCode="0.0000">
                  <c:v>1.128208971905281</c:v>
                </c:pt>
                <c:pt idx="153" formatCode="0.0000">
                  <c:v>1.1284640887034398</c:v>
                </c:pt>
                <c:pt idx="154" formatCode="0.0000">
                  <c:v>1.1618455544416741</c:v>
                </c:pt>
                <c:pt idx="155" formatCode="0.0000">
                  <c:v>1.1741873330611516</c:v>
                </c:pt>
                <c:pt idx="156" formatCode="0.0000">
                  <c:v>0.99965631692006818</c:v>
                </c:pt>
                <c:pt idx="157" formatCode="0.0000">
                  <c:v>1.0707437872191614</c:v>
                </c:pt>
                <c:pt idx="158" formatCode="0.0000">
                  <c:v>1.0144242500320424</c:v>
                </c:pt>
                <c:pt idx="159" formatCode="0.0000">
                  <c:v>1.0518774291049722</c:v>
                </c:pt>
                <c:pt idx="160" formatCode="0.0000">
                  <c:v>1.0963519674871418</c:v>
                </c:pt>
                <c:pt idx="161" formatCode="0.0000">
                  <c:v>1.1331157459342001</c:v>
                </c:pt>
                <c:pt idx="162" formatCode="0.0000">
                  <c:v>1.1373883725810969</c:v>
                </c:pt>
                <c:pt idx="163" formatCode="0.0000">
                  <c:v>1.1159285664504708</c:v>
                </c:pt>
                <c:pt idx="164" formatCode="0.0000">
                  <c:v>1.1265435311599596</c:v>
                </c:pt>
                <c:pt idx="165" formatCode="0.0000">
                  <c:v>1.1525373917677029</c:v>
                </c:pt>
                <c:pt idx="166" formatCode="0.0000">
                  <c:v>1.314207700729175</c:v>
                </c:pt>
                <c:pt idx="167" formatCode="0.0000">
                  <c:v>1.3209436567650534</c:v>
                </c:pt>
                <c:pt idx="168" formatCode="0.0000">
                  <c:v>1.2509352487115772</c:v>
                </c:pt>
                <c:pt idx="169" formatCode="0.0000">
                  <c:v>1.1744057791593205</c:v>
                </c:pt>
                <c:pt idx="170" formatCode="0.0000">
                  <c:v>1.1676595187089889</c:v>
                </c:pt>
                <c:pt idx="171" formatCode="0.0000">
                  <c:v>1.1198940154655028</c:v>
                </c:pt>
                <c:pt idx="172" formatCode="0.0000">
                  <c:v>1.205039630095976</c:v>
                </c:pt>
                <c:pt idx="173" formatCode="0.0000">
                  <c:v>1.1513701459821373</c:v>
                </c:pt>
                <c:pt idx="174" formatCode="0.0000">
                  <c:v>1.2084050422176975</c:v>
                </c:pt>
                <c:pt idx="175" formatCode="0.0000">
                  <c:v>1.1854208154251531</c:v>
                </c:pt>
                <c:pt idx="176" formatCode="0.0000">
                  <c:v>1.1773598826186149</c:v>
                </c:pt>
                <c:pt idx="177" formatCode="0.0000">
                  <c:v>1.1629828164534739</c:v>
                </c:pt>
                <c:pt idx="178" formatCode="0.0000">
                  <c:v>1.1109263168999555</c:v>
                </c:pt>
                <c:pt idx="179" formatCode="0.0000">
                  <c:v>0.97238599248073121</c:v>
                </c:pt>
                <c:pt idx="180" formatCode="0.0000">
                  <c:v>0.87414294441434492</c:v>
                </c:pt>
                <c:pt idx="181" formatCode="0.0000">
                  <c:v>0.77658435894740063</c:v>
                </c:pt>
                <c:pt idx="182" formatCode="0.0000">
                  <c:v>0.74702067088416568</c:v>
                </c:pt>
                <c:pt idx="183" formatCode="0.0000">
                  <c:v>0.77403780196032812</c:v>
                </c:pt>
                <c:pt idx="184" formatCode="0.0000">
                  <c:v>0.81218833287869452</c:v>
                </c:pt>
                <c:pt idx="185" formatCode="0.0000">
                  <c:v>0.84983207997291699</c:v>
                </c:pt>
                <c:pt idx="186" formatCode="0.0000">
                  <c:v>0.85625793336926759</c:v>
                </c:pt>
                <c:pt idx="187" formatCode="0.0000">
                  <c:v>0.82590393443949239</c:v>
                </c:pt>
                <c:pt idx="188" formatCode="0.0000">
                  <c:v>0.75363388306313339</c:v>
                </c:pt>
                <c:pt idx="189" formatCode="0.0000">
                  <c:v>0.70172038538886383</c:v>
                </c:pt>
                <c:pt idx="190" formatCode="0.0000">
                  <c:v>0.64033163674606464</c:v>
                </c:pt>
                <c:pt idx="191" formatCode="0.0000">
                  <c:v>0.53649965213682094</c:v>
                </c:pt>
                <c:pt idx="192" formatCode="0.0000">
                  <c:v>0.54508862588775686</c:v>
                </c:pt>
                <c:pt idx="193" formatCode="0.0000">
                  <c:v>0.64380688444127998</c:v>
                </c:pt>
                <c:pt idx="194" formatCode="0.0000">
                  <c:v>0.66634729959023076</c:v>
                </c:pt>
                <c:pt idx="195" formatCode="0.0000">
                  <c:v>0.76750410053640616</c:v>
                </c:pt>
                <c:pt idx="196" formatCode="0.0000">
                  <c:v>0.80991432480717973</c:v>
                </c:pt>
                <c:pt idx="197" formatCode="0.0000">
                  <c:v>0.93372911206257003</c:v>
                </c:pt>
                <c:pt idx="198" formatCode="0.0000">
                  <c:v>1.0965570720009215</c:v>
                </c:pt>
                <c:pt idx="199" formatCode="0.0000">
                  <c:v>1.336768245217721</c:v>
                </c:pt>
                <c:pt idx="200" formatCode="0.0000">
                  <c:v>1.3823106869754558</c:v>
                </c:pt>
                <c:pt idx="201" formatCode="0.0000">
                  <c:v>1.4888464373560468</c:v>
                </c:pt>
                <c:pt idx="202" formatCode="0.0000">
                  <c:v>1.6836191522120811</c:v>
                </c:pt>
                <c:pt idx="203" formatCode="0.0000">
                  <c:v>1.7404489671515873</c:v>
                </c:pt>
                <c:pt idx="204" formatCode="0.0000">
                  <c:v>1.8065119261458136</c:v>
                </c:pt>
                <c:pt idx="205" formatCode="0.0000">
                  <c:v>1.7996180710864274</c:v>
                </c:pt>
                <c:pt idx="206" formatCode="0.0000">
                  <c:v>1.5935676875462035</c:v>
                </c:pt>
                <c:pt idx="207" formatCode="0.0000">
                  <c:v>1.5865220507976916</c:v>
                </c:pt>
                <c:pt idx="208" formatCode="0.0000">
                  <c:v>1.5692072213511188</c:v>
                </c:pt>
                <c:pt idx="209" formatCode="0.0000">
                  <c:v>1.3592463411095534</c:v>
                </c:pt>
                <c:pt idx="210" formatCode="0.0000">
                  <c:v>1.4014831449536238</c:v>
                </c:pt>
                <c:pt idx="211" formatCode="0.0000">
                  <c:v>1.328517259376834</c:v>
                </c:pt>
                <c:pt idx="212" formatCode="0.0000">
                  <c:v>1.3318618797303299</c:v>
                </c:pt>
                <c:pt idx="213" formatCode="0.0000">
                  <c:v>1.390286760781932</c:v>
                </c:pt>
                <c:pt idx="214" formatCode="0.0000">
                  <c:v>1.3916822125499662</c:v>
                </c:pt>
                <c:pt idx="215" formatCode="0.0000">
                  <c:v>1.394413154114398</c:v>
                </c:pt>
                <c:pt idx="216" formatCode="0.0000">
                  <c:v>1.4546027560876402</c:v>
                </c:pt>
                <c:pt idx="217" formatCode="0.0000">
                  <c:v>1.4715661227912007</c:v>
                </c:pt>
                <c:pt idx="218" formatCode="0.0000">
                  <c:v>1.58105924622495</c:v>
                </c:pt>
                <c:pt idx="219" formatCode="0.0000">
                  <c:v>1.6650176131656449</c:v>
                </c:pt>
                <c:pt idx="220" formatCode="0.0000">
                  <c:v>1.7608216496013314</c:v>
                </c:pt>
                <c:pt idx="221" formatCode="0.0000">
                  <c:v>1.8410734638323742</c:v>
                </c:pt>
                <c:pt idx="222" formatCode="0.0000">
                  <c:v>1.8654136729739308</c:v>
                </c:pt>
                <c:pt idx="223" formatCode="0.0000">
                  <c:v>1.9043854311161925</c:v>
                </c:pt>
                <c:pt idx="224" formatCode="0.0000">
                  <c:v>1.8980144575429254</c:v>
                </c:pt>
                <c:pt idx="225" formatCode="0.0000">
                  <c:v>1.8375475959585423</c:v>
                </c:pt>
                <c:pt idx="226" formatCode="0.0000">
                  <c:v>1.878976371397632</c:v>
                </c:pt>
                <c:pt idx="227" formatCode="0.0000">
                  <c:v>1.805780324814283</c:v>
                </c:pt>
                <c:pt idx="228" formatCode="0.0000">
                  <c:v>1.7861523535489776</c:v>
                </c:pt>
                <c:pt idx="229" formatCode="0.0000">
                  <c:v>1.7629492936593769</c:v>
                </c:pt>
                <c:pt idx="230" formatCode="0.0000">
                  <c:v>1.7554464925862734</c:v>
                </c:pt>
                <c:pt idx="231" formatCode="0.0000">
                  <c:v>1.7313379770631629</c:v>
                </c:pt>
                <c:pt idx="232" formatCode="0.0000">
                  <c:v>1.6955852187247802</c:v>
                </c:pt>
                <c:pt idx="233" formatCode="0.0000">
                  <c:v>1.5724966274840815</c:v>
                </c:pt>
                <c:pt idx="234" formatCode="0.0000">
                  <c:v>1.4949553685561408</c:v>
                </c:pt>
                <c:pt idx="235" formatCode="0.0000">
                  <c:v>1.4212851331346423</c:v>
                </c:pt>
                <c:pt idx="236" formatCode="0.0000">
                  <c:v>1.4084579446079821</c:v>
                </c:pt>
                <c:pt idx="237" formatCode="0.0000">
                  <c:v>1.3436550541849972</c:v>
                </c:pt>
                <c:pt idx="238" formatCode="0.0000">
                  <c:v>1.4571006674516198</c:v>
                </c:pt>
                <c:pt idx="239" formatCode="0.0000">
                  <c:v>1.6034923734543267</c:v>
                </c:pt>
                <c:pt idx="240" formatCode="0.0000">
                  <c:v>1.6443996550206446</c:v>
                </c:pt>
                <c:pt idx="241" formatCode="0.0000">
                  <c:v>1.6563532015155247</c:v>
                </c:pt>
                <c:pt idx="242" formatCode="0.0000">
                  <c:v>1.637102240313119</c:v>
                </c:pt>
                <c:pt idx="243" formatCode="0.0000">
                  <c:v>1.6584694336214423</c:v>
                </c:pt>
                <c:pt idx="244" formatCode="0.0000">
                  <c:v>1.6461922356488987</c:v>
                </c:pt>
                <c:pt idx="245" formatCode="0.0000">
                  <c:v>1.4777025881847297</c:v>
                </c:pt>
                <c:pt idx="246" formatCode="0.0000">
                  <c:v>1.3463480313486473</c:v>
                </c:pt>
                <c:pt idx="247" formatCode="0.0000">
                  <c:v>1.2613542638990829</c:v>
                </c:pt>
                <c:pt idx="248" formatCode="0.0000">
                  <c:v>1.2190036473600332</c:v>
                </c:pt>
                <c:pt idx="249" formatCode="0.0000">
                  <c:v>1.1628706254671823</c:v>
                </c:pt>
                <c:pt idx="250" formatCode="0.0000">
                  <c:v>1.1247857870936406</c:v>
                </c:pt>
                <c:pt idx="251" formatCode="0.0000">
                  <c:v>1.1185286482729246</c:v>
                </c:pt>
                <c:pt idx="252" formatCode="0.0000">
                  <c:v>1.13414345764001</c:v>
                </c:pt>
                <c:pt idx="253" formatCode="0.0000">
                  <c:v>1.076787235001015</c:v>
                </c:pt>
                <c:pt idx="254" formatCode="0.0000">
                  <c:v>1.0447712176535024</c:v>
                </c:pt>
                <c:pt idx="255" formatCode="0.0000">
                  <c:v>1.0340618807436488</c:v>
                </c:pt>
                <c:pt idx="256" formatCode="0.0000">
                  <c:v>1.022784238618774</c:v>
                </c:pt>
                <c:pt idx="257" formatCode="0.0000">
                  <c:v>1.0009910096870163</c:v>
                </c:pt>
                <c:pt idx="258" formatCode="0.0000">
                  <c:v>0.98257580430702374</c:v>
                </c:pt>
                <c:pt idx="259" formatCode="0.0000">
                  <c:v>0.95398127882813555</c:v>
                </c:pt>
                <c:pt idx="260" formatCode="0.0000">
                  <c:v>0.93052991528976448</c:v>
                </c:pt>
                <c:pt idx="261" formatCode="0.0000">
                  <c:v>0.91595164787140093</c:v>
                </c:pt>
                <c:pt idx="262" formatCode="0.0000">
                  <c:v>0.92056560111939423</c:v>
                </c:pt>
                <c:pt idx="263" formatCode="0.0000">
                  <c:v>0.94097146786663555</c:v>
                </c:pt>
                <c:pt idx="264" formatCode="0.0000">
                  <c:v>0.92318493547990932</c:v>
                </c:pt>
                <c:pt idx="265" formatCode="0.0000">
                  <c:v>0.91307311396878921</c:v>
                </c:pt>
                <c:pt idx="266" formatCode="0.0000">
                  <c:v>0.86396304598414464</c:v>
                </c:pt>
                <c:pt idx="267" formatCode="0.0000">
                  <c:v>0.86496300374649437</c:v>
                </c:pt>
                <c:pt idx="268" formatCode="0.0000">
                  <c:v>0.86245313520125211</c:v>
                </c:pt>
                <c:pt idx="269" formatCode="0.0000">
                  <c:v>0.82813404094104903</c:v>
                </c:pt>
                <c:pt idx="270" formatCode="0.0000">
                  <c:v>0.74537775161192854</c:v>
                </c:pt>
                <c:pt idx="271" formatCode="0.0000">
                  <c:v>0.74044685382526065</c:v>
                </c:pt>
                <c:pt idx="272" formatCode="0.0000">
                  <c:v>0.6960409946520304</c:v>
                </c:pt>
                <c:pt idx="273" formatCode="0.0000">
                  <c:v>0.72725750936093425</c:v>
                </c:pt>
                <c:pt idx="274" formatCode="0.0000">
                  <c:v>0.76756506196201968</c:v>
                </c:pt>
                <c:pt idx="275" formatCode="0.0000">
                  <c:v>0.77152428921462946</c:v>
                </c:pt>
                <c:pt idx="276" formatCode="0.0000">
                  <c:v>0.79129625397744008</c:v>
                </c:pt>
                <c:pt idx="277" formatCode="0.0000">
                  <c:v>0.84927827743945772</c:v>
                </c:pt>
                <c:pt idx="278" formatCode="0.0000">
                  <c:v>0.82473486453210343</c:v>
                </c:pt>
                <c:pt idx="279" formatCode="0.0000">
                  <c:v>0.8122975737861805</c:v>
                </c:pt>
                <c:pt idx="280" formatCode="0.0000">
                  <c:v>0.82303975424585851</c:v>
                </c:pt>
                <c:pt idx="281" formatCode="0.0000">
                  <c:v>0.81901226982031805</c:v>
                </c:pt>
                <c:pt idx="282" formatCode="0.0000">
                  <c:v>0.84325159163869223</c:v>
                </c:pt>
                <c:pt idx="283" formatCode="0.0000">
                  <c:v>0.85486395923714198</c:v>
                </c:pt>
                <c:pt idx="284" formatCode="0.0000">
                  <c:v>0.84118351773852418</c:v>
                </c:pt>
                <c:pt idx="285" formatCode="0.0000">
                  <c:v>0.8593942859693785</c:v>
                </c:pt>
                <c:pt idx="286" formatCode="0.0000">
                  <c:v>0.85644748870870335</c:v>
                </c:pt>
                <c:pt idx="287" formatCode="0.0000">
                  <c:v>0.8482468653335028</c:v>
                </c:pt>
                <c:pt idx="288" formatCode="0.0000">
                  <c:v>0.90359732136020932</c:v>
                </c:pt>
                <c:pt idx="289" formatCode="0.0000">
                  <c:v>0.9018243667044159</c:v>
                </c:pt>
                <c:pt idx="290" formatCode="0.0000">
                  <c:v>0.88193948042798032</c:v>
                </c:pt>
                <c:pt idx="291" formatCode="0.0000">
                  <c:v>0.91353137537567231</c:v>
                </c:pt>
                <c:pt idx="292" formatCode="0.0000">
                  <c:v>0.89868759302440304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1356-4839-896B-C589C93EEDD7}"/>
            </c:ext>
          </c:extLst>
        </c:ser>
        <c:ser>
          <c:idx val="5"/>
          <c:order val="5"/>
          <c:tx>
            <c:strRef>
              <c:f>'R(t) Województwa'!$AS$2</c:f>
              <c:strCache>
                <c:ptCount val="1"/>
                <c:pt idx="0">
                  <c:v>Małopolskie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Województwa'!$AS$3:$AS$1000</c:f>
              <c:numCache>
                <c:formatCode>General</c:formatCode>
                <c:ptCount val="998"/>
                <c:pt idx="27" formatCode="0.0000">
                  <c:v>1.3701731025299604</c:v>
                </c:pt>
                <c:pt idx="28" formatCode="0.0000">
                  <c:v>1.1730946813462806</c:v>
                </c:pt>
                <c:pt idx="29" formatCode="0.0000">
                  <c:v>1.090383882659224</c:v>
                </c:pt>
                <c:pt idx="30" formatCode="0.0000">
                  <c:v>1.1065332856480037</c:v>
                </c:pt>
                <c:pt idx="31" formatCode="0.0000">
                  <c:v>1.2295965648625553</c:v>
                </c:pt>
                <c:pt idx="32" formatCode="0.0000">
                  <c:v>1.3986267174399607</c:v>
                </c:pt>
                <c:pt idx="33" formatCode="0.0000">
                  <c:v>1.3112443794241482</c:v>
                </c:pt>
                <c:pt idx="34" formatCode="0.0000">
                  <c:v>1.2497638494853525</c:v>
                </c:pt>
                <c:pt idx="35" formatCode="0.0000">
                  <c:v>1.2457558954537007</c:v>
                </c:pt>
                <c:pt idx="36" formatCode="0.0000">
                  <c:v>1.2872658255155986</c:v>
                </c:pt>
                <c:pt idx="37" formatCode="0.0000">
                  <c:v>1.3268275975041848</c:v>
                </c:pt>
                <c:pt idx="38" formatCode="0.0000">
                  <c:v>1.1941849234868247</c:v>
                </c:pt>
                <c:pt idx="39" formatCode="0.0000">
                  <c:v>1.0663379761852547</c:v>
                </c:pt>
                <c:pt idx="40" formatCode="0.0000">
                  <c:v>1.0595942653876635</c:v>
                </c:pt>
                <c:pt idx="41" formatCode="0.0000">
                  <c:v>1.0004337162167327</c:v>
                </c:pt>
                <c:pt idx="42" formatCode="0.0000">
                  <c:v>0.98274701107510565</c:v>
                </c:pt>
                <c:pt idx="43" formatCode="0.0000">
                  <c:v>0.96165130356951189</c:v>
                </c:pt>
                <c:pt idx="44" formatCode="0.0000">
                  <c:v>0.84522624210667152</c:v>
                </c:pt>
                <c:pt idx="45" formatCode="0.0000">
                  <c:v>0.87174475134258311</c:v>
                </c:pt>
                <c:pt idx="46" formatCode="0.0000">
                  <c:v>0.90616489935434963</c:v>
                </c:pt>
                <c:pt idx="47" formatCode="0.0000">
                  <c:v>0.89905855799363132</c:v>
                </c:pt>
                <c:pt idx="48" formatCode="0.0000">
                  <c:v>1.0366848338930124</c:v>
                </c:pt>
                <c:pt idx="49" formatCode="0.0000">
                  <c:v>1.0876548573298526</c:v>
                </c:pt>
                <c:pt idx="50" formatCode="0.0000">
                  <c:v>1.0936850002997018</c:v>
                </c:pt>
                <c:pt idx="51" formatCode="0.0000">
                  <c:v>1.1905900909477329</c:v>
                </c:pt>
                <c:pt idx="52" formatCode="0.0000">
                  <c:v>1.1728011838074093</c:v>
                </c:pt>
                <c:pt idx="53" formatCode="0.0000">
                  <c:v>1.0816781135373714</c:v>
                </c:pt>
                <c:pt idx="54" formatCode="0.0000">
                  <c:v>1.0344554821645437</c:v>
                </c:pt>
                <c:pt idx="55" formatCode="0.0000">
                  <c:v>0.94733334263100122</c:v>
                </c:pt>
                <c:pt idx="56" formatCode="0.0000">
                  <c:v>0.84892115274816249</c:v>
                </c:pt>
                <c:pt idx="57" formatCode="0.0000">
                  <c:v>0.85570784363483654</c:v>
                </c:pt>
                <c:pt idx="58" formatCode="0.0000">
                  <c:v>0.81218051905516098</c:v>
                </c:pt>
                <c:pt idx="59" formatCode="0.0000">
                  <c:v>0.79807884916722549</c:v>
                </c:pt>
                <c:pt idx="60" formatCode="0.0000">
                  <c:v>0.8089147875030791</c:v>
                </c:pt>
                <c:pt idx="61" formatCode="0.0000">
                  <c:v>0.82720662303711678</c:v>
                </c:pt>
                <c:pt idx="62" formatCode="0.0000">
                  <c:v>0.94205986928889174</c:v>
                </c:pt>
                <c:pt idx="63" formatCode="0.0000">
                  <c:v>1.0155331701982226</c:v>
                </c:pt>
                <c:pt idx="64" formatCode="0.0000">
                  <c:v>0.93224271743000997</c:v>
                </c:pt>
                <c:pt idx="65" formatCode="0.0000">
                  <c:v>0.86355549041989665</c:v>
                </c:pt>
                <c:pt idx="66" formatCode="0.0000">
                  <c:v>0.86522398093054165</c:v>
                </c:pt>
                <c:pt idx="67" formatCode="0.0000">
                  <c:v>0.79939825342603377</c:v>
                </c:pt>
                <c:pt idx="68" formatCode="0.0000">
                  <c:v>0.76429393333752171</c:v>
                </c:pt>
                <c:pt idx="69" formatCode="0.0000">
                  <c:v>0.75622922329911646</c:v>
                </c:pt>
                <c:pt idx="70" formatCode="0.0000">
                  <c:v>0.63912356436878659</c:v>
                </c:pt>
                <c:pt idx="71" formatCode="0.0000">
                  <c:v>0.65760207611375654</c:v>
                </c:pt>
                <c:pt idx="72" formatCode="0.0000">
                  <c:v>0.83677281730825503</c:v>
                </c:pt>
                <c:pt idx="73" formatCode="0.0000">
                  <c:v>0.81234025429366419</c:v>
                </c:pt>
                <c:pt idx="74" formatCode="0.0000">
                  <c:v>0.80166124178918141</c:v>
                </c:pt>
                <c:pt idx="75" formatCode="0.0000">
                  <c:v>0.81045105298055042</c:v>
                </c:pt>
                <c:pt idx="76" formatCode="0.0000">
                  <c:v>0.6382042739088799</c:v>
                </c:pt>
                <c:pt idx="77" formatCode="0.0000">
                  <c:v>0.80824386704383389</c:v>
                </c:pt>
                <c:pt idx="78" formatCode="0.0000">
                  <c:v>0.73257411235359704</c:v>
                </c:pt>
                <c:pt idx="79" formatCode="0.0000">
                  <c:v>0.69219434675037361</c:v>
                </c:pt>
                <c:pt idx="80" formatCode="0.0000">
                  <c:v>0.63339481109476892</c:v>
                </c:pt>
                <c:pt idx="81" formatCode="0.0000">
                  <c:v>0.62283363891983801</c:v>
                </c:pt>
                <c:pt idx="82" formatCode="0.0000">
                  <c:v>0.660977175244292</c:v>
                </c:pt>
                <c:pt idx="83" formatCode="0.0000">
                  <c:v>0.60083334619934436</c:v>
                </c:pt>
                <c:pt idx="84" formatCode="0.0000">
                  <c:v>0.46489061934028786</c:v>
                </c:pt>
                <c:pt idx="85" formatCode="0.0000">
                  <c:v>0.48413240319264322</c:v>
                </c:pt>
                <c:pt idx="86" formatCode="0.0000">
                  <c:v>0.49284861826308202</c:v>
                </c:pt>
                <c:pt idx="87" formatCode="0.0000">
                  <c:v>0.64821651004059699</c:v>
                </c:pt>
                <c:pt idx="88" formatCode="0.0000">
                  <c:v>0.93837712218736535</c:v>
                </c:pt>
                <c:pt idx="89" formatCode="0.0000">
                  <c:v>1.0380912193665688</c:v>
                </c:pt>
                <c:pt idx="90" formatCode="0.0000">
                  <c:v>1.160238361923658</c:v>
                </c:pt>
                <c:pt idx="91" formatCode="0.0000">
                  <c:v>1.2776659382045576</c:v>
                </c:pt>
                <c:pt idx="92" formatCode="0.0000">
                  <c:v>1.5089066439394252</c:v>
                </c:pt>
                <c:pt idx="93" formatCode="0.0000">
                  <c:v>1.6077080446580376</c:v>
                </c:pt>
                <c:pt idx="94" formatCode="0.0000">
                  <c:v>1.7747646505705761</c:v>
                </c:pt>
                <c:pt idx="95" formatCode="0.0000">
                  <c:v>1.6605284576726385</c:v>
                </c:pt>
                <c:pt idx="96" formatCode="0.0000">
                  <c:v>1.7930388021166301</c:v>
                </c:pt>
                <c:pt idx="97" formatCode="0.0000">
                  <c:v>1.9220694318605598</c:v>
                </c:pt>
                <c:pt idx="98" formatCode="0.0000">
                  <c:v>2.0687184067262412</c:v>
                </c:pt>
                <c:pt idx="99" formatCode="0.0000">
                  <c:v>1.9211738926310653</c:v>
                </c:pt>
                <c:pt idx="100" formatCode="0.0000">
                  <c:v>1.6604397317932607</c:v>
                </c:pt>
                <c:pt idx="101" formatCode="0.0000">
                  <c:v>1.403750835206812</c:v>
                </c:pt>
                <c:pt idx="102" formatCode="0.0000">
                  <c:v>1.3024556278118991</c:v>
                </c:pt>
                <c:pt idx="103" formatCode="0.0000">
                  <c:v>1.109238640814316</c:v>
                </c:pt>
                <c:pt idx="104" formatCode="0.0000">
                  <c:v>0.92738062265295351</c:v>
                </c:pt>
                <c:pt idx="105" formatCode="0.0000">
                  <c:v>0.70230811609375365</c:v>
                </c:pt>
                <c:pt idx="106" formatCode="0.0000">
                  <c:v>0.77430627693029874</c:v>
                </c:pt>
                <c:pt idx="107" formatCode="0.0000">
                  <c:v>0.81454378892502166</c:v>
                </c:pt>
                <c:pt idx="108" formatCode="0.0000">
                  <c:v>0.8342081408550952</c:v>
                </c:pt>
                <c:pt idx="109" formatCode="0.0000">
                  <c:v>0.90395934607769035</c:v>
                </c:pt>
                <c:pt idx="110" formatCode="0.0000">
                  <c:v>0.9172925119256875</c:v>
                </c:pt>
                <c:pt idx="111" formatCode="0.0000">
                  <c:v>0.898609717987499</c:v>
                </c:pt>
                <c:pt idx="112" formatCode="0.0000">
                  <c:v>0.81744079771584555</c:v>
                </c:pt>
                <c:pt idx="113" formatCode="0.0000">
                  <c:v>0.67069801021740594</c:v>
                </c:pt>
                <c:pt idx="114" formatCode="0.0000">
                  <c:v>0.70035572462820517</c:v>
                </c:pt>
                <c:pt idx="115" formatCode="0.0000">
                  <c:v>0.7897586431947049</c:v>
                </c:pt>
                <c:pt idx="116" formatCode="0.0000">
                  <c:v>0.69744834571725123</c:v>
                </c:pt>
                <c:pt idx="117" formatCode="0.0000">
                  <c:v>0.77137749457579674</c:v>
                </c:pt>
                <c:pt idx="118" formatCode="0.0000">
                  <c:v>0.89414680807130387</c:v>
                </c:pt>
                <c:pt idx="119" formatCode="0.0000">
                  <c:v>1.3382843230103449</c:v>
                </c:pt>
                <c:pt idx="120" formatCode="0.0000">
                  <c:v>1.4286262612510578</c:v>
                </c:pt>
                <c:pt idx="121" formatCode="0.0000">
                  <c:v>1.5312704904800862</c:v>
                </c:pt>
                <c:pt idx="122" formatCode="0.0000">
                  <c:v>1.4252112037073705</c:v>
                </c:pt>
                <c:pt idx="123" formatCode="0.0000">
                  <c:v>1.5362593266333584</c:v>
                </c:pt>
                <c:pt idx="124" formatCode="0.0000">
                  <c:v>1.4494922285289975</c:v>
                </c:pt>
                <c:pt idx="125" formatCode="0.0000">
                  <c:v>1.3633887937046327</c:v>
                </c:pt>
                <c:pt idx="126" formatCode="0.0000">
                  <c:v>1.0624243881029158</c:v>
                </c:pt>
                <c:pt idx="127" formatCode="0.0000">
                  <c:v>1.1306884367437284</c:v>
                </c:pt>
                <c:pt idx="128" formatCode="0.0000">
                  <c:v>1.1473177983139522</c:v>
                </c:pt>
                <c:pt idx="129" formatCode="0.0000">
                  <c:v>1.1738293961391009</c:v>
                </c:pt>
                <c:pt idx="130" formatCode="0.0000">
                  <c:v>1.2976565470807617</c:v>
                </c:pt>
                <c:pt idx="131" formatCode="0.0000">
                  <c:v>1.3342677381793007</c:v>
                </c:pt>
                <c:pt idx="132" formatCode="0.0000">
                  <c:v>1.4504569495473056</c:v>
                </c:pt>
                <c:pt idx="133" formatCode="0.0000">
                  <c:v>1.5108423350753903</c:v>
                </c:pt>
                <c:pt idx="134" formatCode="0.0000">
                  <c:v>1.5003090254729585</c:v>
                </c:pt>
                <c:pt idx="135" formatCode="0.0000">
                  <c:v>1.5179585400215403</c:v>
                </c:pt>
                <c:pt idx="136" formatCode="0.0000">
                  <c:v>1.6719903056727803</c:v>
                </c:pt>
                <c:pt idx="137" formatCode="0.0000">
                  <c:v>1.5895060967725989</c:v>
                </c:pt>
                <c:pt idx="138" formatCode="0.0000">
                  <c:v>1.7884599016021332</c:v>
                </c:pt>
                <c:pt idx="139" formatCode="0.0000">
                  <c:v>1.6871471441592949</c:v>
                </c:pt>
                <c:pt idx="140" formatCode="0.0000">
                  <c:v>1.6300885027340197</c:v>
                </c:pt>
                <c:pt idx="141" formatCode="0.0000">
                  <c:v>1.5591794551011735</c:v>
                </c:pt>
                <c:pt idx="142" formatCode="0.0000">
                  <c:v>1.4918234916559054</c:v>
                </c:pt>
                <c:pt idx="143" formatCode="0.0000">
                  <c:v>1.4636965562306623</c:v>
                </c:pt>
                <c:pt idx="144" formatCode="0.0000">
                  <c:v>1.5209070518294345</c:v>
                </c:pt>
                <c:pt idx="145" formatCode="0.0000">
                  <c:v>1.3737180937166202</c:v>
                </c:pt>
                <c:pt idx="146" formatCode="0.0000">
                  <c:v>1.3813927386583369</c:v>
                </c:pt>
                <c:pt idx="147" formatCode="0.0000">
                  <c:v>1.3857728216823879</c:v>
                </c:pt>
                <c:pt idx="148" formatCode="0.0000">
                  <c:v>1.4405635056265158</c:v>
                </c:pt>
                <c:pt idx="149" formatCode="0.0000">
                  <c:v>1.4742082506459151</c:v>
                </c:pt>
                <c:pt idx="150" formatCode="0.0000">
                  <c:v>1.3497638459803152</c:v>
                </c:pt>
                <c:pt idx="151" formatCode="0.0000">
                  <c:v>1.2844160971685847</c:v>
                </c:pt>
                <c:pt idx="152" formatCode="0.0000">
                  <c:v>1.1864234047644011</c:v>
                </c:pt>
                <c:pt idx="153" formatCode="0.0000">
                  <c:v>1.1945728336310399</c:v>
                </c:pt>
                <c:pt idx="154" formatCode="0.0000">
                  <c:v>1.1616243652690379</c:v>
                </c:pt>
                <c:pt idx="155" formatCode="0.0000">
                  <c:v>1.1171076417316914</c:v>
                </c:pt>
                <c:pt idx="156" formatCode="0.0000">
                  <c:v>1.0702679038224614</c:v>
                </c:pt>
                <c:pt idx="157" formatCode="0.0000">
                  <c:v>1.1634639033744254</c:v>
                </c:pt>
                <c:pt idx="158" formatCode="0.0000">
                  <c:v>1.0809026265034738</c:v>
                </c:pt>
                <c:pt idx="159" formatCode="0.0000">
                  <c:v>1.1161827763355419</c:v>
                </c:pt>
                <c:pt idx="160" formatCode="0.0000">
                  <c:v>1.2348893038771478</c:v>
                </c:pt>
                <c:pt idx="161" formatCode="0.0000">
                  <c:v>1.1861607648310881</c:v>
                </c:pt>
                <c:pt idx="162" formatCode="0.0000">
                  <c:v>1.2720352712680612</c:v>
                </c:pt>
                <c:pt idx="163" formatCode="0.0000">
                  <c:v>1.2516211413983405</c:v>
                </c:pt>
                <c:pt idx="164" formatCode="0.0000">
                  <c:v>1.2528781194134382</c:v>
                </c:pt>
                <c:pt idx="165" formatCode="0.0000">
                  <c:v>1.2443914186075047</c:v>
                </c:pt>
                <c:pt idx="166" formatCode="0.0000">
                  <c:v>1.1806357786901123</c:v>
                </c:pt>
                <c:pt idx="167" formatCode="0.0000">
                  <c:v>1.0401094278872742</c:v>
                </c:pt>
                <c:pt idx="168" formatCode="0.0000">
                  <c:v>1.1084560488978967</c:v>
                </c:pt>
                <c:pt idx="169" formatCode="0.0000">
                  <c:v>1.0480132218413438</c:v>
                </c:pt>
                <c:pt idx="170" formatCode="0.0000">
                  <c:v>1.0587093120577376</c:v>
                </c:pt>
                <c:pt idx="171" formatCode="0.0000">
                  <c:v>1.0162620507647639</c:v>
                </c:pt>
                <c:pt idx="172" formatCode="0.0000">
                  <c:v>1.0611112262978906</c:v>
                </c:pt>
                <c:pt idx="173" formatCode="0.0000">
                  <c:v>1.0781100649641442</c:v>
                </c:pt>
                <c:pt idx="174" formatCode="0.0000">
                  <c:v>1.0468880417978765</c:v>
                </c:pt>
                <c:pt idx="175" formatCode="0.0000">
                  <c:v>1.0535863951432423</c:v>
                </c:pt>
                <c:pt idx="176" formatCode="0.0000">
                  <c:v>1.0212456387777489</c:v>
                </c:pt>
                <c:pt idx="177" formatCode="0.0000">
                  <c:v>1.1125805268778572</c:v>
                </c:pt>
                <c:pt idx="178" formatCode="0.0000">
                  <c:v>1.078861897896791</c:v>
                </c:pt>
                <c:pt idx="179" formatCode="0.0000">
                  <c:v>0.99937932865927415</c:v>
                </c:pt>
                <c:pt idx="180" formatCode="0.0000">
                  <c:v>1.0573377031876128</c:v>
                </c:pt>
                <c:pt idx="181" formatCode="0.0000">
                  <c:v>1.0726710862957485</c:v>
                </c:pt>
                <c:pt idx="182" formatCode="0.0000">
                  <c:v>1.0572837515810567</c:v>
                </c:pt>
                <c:pt idx="183" formatCode="0.0000">
                  <c:v>1.0467108219668086</c:v>
                </c:pt>
                <c:pt idx="184" formatCode="0.0000">
                  <c:v>0.89053617359074277</c:v>
                </c:pt>
                <c:pt idx="185" formatCode="0.0000">
                  <c:v>0.88573721390321425</c:v>
                </c:pt>
                <c:pt idx="186" formatCode="0.0000">
                  <c:v>0.89279836014545044</c:v>
                </c:pt>
                <c:pt idx="187" formatCode="0.0000">
                  <c:v>0.83861767634582685</c:v>
                </c:pt>
                <c:pt idx="188" formatCode="0.0000">
                  <c:v>0.86381119606935619</c:v>
                </c:pt>
                <c:pt idx="189" formatCode="0.0000">
                  <c:v>0.83714773576491053</c:v>
                </c:pt>
                <c:pt idx="190" formatCode="0.0000">
                  <c:v>0.79942739935691109</c:v>
                </c:pt>
                <c:pt idx="191" formatCode="0.0000">
                  <c:v>0.82307865162072635</c:v>
                </c:pt>
                <c:pt idx="192" formatCode="0.0000">
                  <c:v>0.84464236459172348</c:v>
                </c:pt>
                <c:pt idx="193" formatCode="0.0000">
                  <c:v>0.83207346775627289</c:v>
                </c:pt>
                <c:pt idx="194" formatCode="0.0000">
                  <c:v>0.81867286401432826</c:v>
                </c:pt>
                <c:pt idx="195" formatCode="0.0000">
                  <c:v>0.78824349985405895</c:v>
                </c:pt>
                <c:pt idx="196" formatCode="0.0000">
                  <c:v>0.85326352126558924</c:v>
                </c:pt>
                <c:pt idx="197" formatCode="0.0000">
                  <c:v>0.93274450068688863</c:v>
                </c:pt>
                <c:pt idx="198" formatCode="0.0000">
                  <c:v>0.97912928102036834</c:v>
                </c:pt>
                <c:pt idx="199" formatCode="0.0000">
                  <c:v>0.94981282221383645</c:v>
                </c:pt>
                <c:pt idx="200" formatCode="0.0000">
                  <c:v>1.0365654085104412</c:v>
                </c:pt>
                <c:pt idx="201" formatCode="0.0000">
                  <c:v>1.0831990908763647</c:v>
                </c:pt>
                <c:pt idx="202" formatCode="0.0000">
                  <c:v>1.1191114880344306</c:v>
                </c:pt>
                <c:pt idx="203" formatCode="0.0000">
                  <c:v>1.0879772414411977</c:v>
                </c:pt>
                <c:pt idx="204" formatCode="0.0000">
                  <c:v>1.1074434804770728</c:v>
                </c:pt>
                <c:pt idx="205" formatCode="0.0000">
                  <c:v>1.1671460912412006</c:v>
                </c:pt>
                <c:pt idx="206" formatCode="0.0000">
                  <c:v>1.3262322682306835</c:v>
                </c:pt>
                <c:pt idx="207" formatCode="0.0000">
                  <c:v>1.3848220746870437</c:v>
                </c:pt>
                <c:pt idx="208" formatCode="0.0000">
                  <c:v>1.3886077478765877</c:v>
                </c:pt>
                <c:pt idx="209" formatCode="0.0000">
                  <c:v>1.4019239766356613</c:v>
                </c:pt>
                <c:pt idx="210" formatCode="0.0000">
                  <c:v>1.4050739925465539</c:v>
                </c:pt>
                <c:pt idx="211" formatCode="0.0000">
                  <c:v>1.4116931905466217</c:v>
                </c:pt>
                <c:pt idx="212" formatCode="0.0000">
                  <c:v>1.425057827580021</c:v>
                </c:pt>
                <c:pt idx="213" formatCode="0.0000">
                  <c:v>1.3627659408546564</c:v>
                </c:pt>
                <c:pt idx="214" formatCode="0.0000">
                  <c:v>1.3068337539376429</c:v>
                </c:pt>
                <c:pt idx="215" formatCode="0.0000">
                  <c:v>1.2937535913072533</c:v>
                </c:pt>
                <c:pt idx="216" formatCode="0.0000">
                  <c:v>1.321451325898213</c:v>
                </c:pt>
                <c:pt idx="217" formatCode="0.0000">
                  <c:v>1.3496322918940551</c:v>
                </c:pt>
                <c:pt idx="218" formatCode="0.0000">
                  <c:v>1.3962796976885754</c:v>
                </c:pt>
                <c:pt idx="219" formatCode="0.0000">
                  <c:v>1.4761453733652161</c:v>
                </c:pt>
                <c:pt idx="220" formatCode="0.0000">
                  <c:v>1.6202225132291936</c:v>
                </c:pt>
                <c:pt idx="221" formatCode="0.0000">
                  <c:v>1.6685631319023551</c:v>
                </c:pt>
                <c:pt idx="222" formatCode="0.0000">
                  <c:v>1.795589368828288</c:v>
                </c:pt>
                <c:pt idx="223" formatCode="0.0000">
                  <c:v>1.8743003922052019</c:v>
                </c:pt>
                <c:pt idx="224" formatCode="0.0000">
                  <c:v>1.9642892145029553</c:v>
                </c:pt>
                <c:pt idx="225" formatCode="0.0000">
                  <c:v>2.0351527777170402</c:v>
                </c:pt>
                <c:pt idx="226" formatCode="0.0000">
                  <c:v>2.0052985505701444</c:v>
                </c:pt>
                <c:pt idx="227" formatCode="0.0000">
                  <c:v>1.8571839480313057</c:v>
                </c:pt>
                <c:pt idx="228" formatCode="0.0000">
                  <c:v>1.8276692503708867</c:v>
                </c:pt>
                <c:pt idx="229" formatCode="0.0000">
                  <c:v>1.7323101542930284</c:v>
                </c:pt>
                <c:pt idx="230" formatCode="0.0000">
                  <c:v>1.7030986495930982</c:v>
                </c:pt>
                <c:pt idx="231" formatCode="0.0000">
                  <c:v>1.6625936847489453</c:v>
                </c:pt>
                <c:pt idx="232" formatCode="0.0000">
                  <c:v>1.544925694714083</c:v>
                </c:pt>
                <c:pt idx="233" formatCode="0.0000">
                  <c:v>1.4259292666915182</c:v>
                </c:pt>
                <c:pt idx="234" formatCode="0.0000">
                  <c:v>1.4108693079408781</c:v>
                </c:pt>
                <c:pt idx="235" formatCode="0.0000">
                  <c:v>1.362922300142797</c:v>
                </c:pt>
                <c:pt idx="236" formatCode="0.0000">
                  <c:v>1.3378068313900069</c:v>
                </c:pt>
                <c:pt idx="237" formatCode="0.0000">
                  <c:v>1.2746709401840024</c:v>
                </c:pt>
                <c:pt idx="238" formatCode="0.0000">
                  <c:v>1.268051857980975</c:v>
                </c:pt>
                <c:pt idx="239" formatCode="0.0000">
                  <c:v>1.3195048825525804</c:v>
                </c:pt>
                <c:pt idx="240" formatCode="0.0000">
                  <c:v>1.3313582047766661</c:v>
                </c:pt>
                <c:pt idx="241" formatCode="0.0000">
                  <c:v>1.309725818583404</c:v>
                </c:pt>
                <c:pt idx="242" formatCode="0.0000">
                  <c:v>1.2828028181845639</c:v>
                </c:pt>
                <c:pt idx="243" formatCode="0.0000">
                  <c:v>1.2837892270112141</c:v>
                </c:pt>
                <c:pt idx="244" formatCode="0.0000">
                  <c:v>1.3061019638906064</c:v>
                </c:pt>
                <c:pt idx="245" formatCode="0.0000">
                  <c:v>1.2676275796902117</c:v>
                </c:pt>
                <c:pt idx="246" formatCode="0.0000">
                  <c:v>1.2192031240358372</c:v>
                </c:pt>
                <c:pt idx="247" formatCode="0.0000">
                  <c:v>1.2154586386017157</c:v>
                </c:pt>
                <c:pt idx="248" formatCode="0.0000">
                  <c:v>1.2508244432196041</c:v>
                </c:pt>
                <c:pt idx="249" formatCode="0.0000">
                  <c:v>1.2705058742715984</c:v>
                </c:pt>
                <c:pt idx="250" formatCode="0.0000">
                  <c:v>1.3322628302950368</c:v>
                </c:pt>
                <c:pt idx="251" formatCode="0.0000">
                  <c:v>1.3480131293235031</c:v>
                </c:pt>
                <c:pt idx="252" formatCode="0.0000">
                  <c:v>1.3313271768214647</c:v>
                </c:pt>
                <c:pt idx="253" formatCode="0.0000">
                  <c:v>1.3217067312723485</c:v>
                </c:pt>
                <c:pt idx="254" formatCode="0.0000">
                  <c:v>1.2573010956546413</c:v>
                </c:pt>
                <c:pt idx="255" formatCode="0.0000">
                  <c:v>1.1753553570834026</c:v>
                </c:pt>
                <c:pt idx="256" formatCode="0.0000">
                  <c:v>1.1321550751061831</c:v>
                </c:pt>
                <c:pt idx="257" formatCode="0.0000">
                  <c:v>1.0499488987584293</c:v>
                </c:pt>
                <c:pt idx="258" formatCode="0.0000">
                  <c:v>0.95574307052649388</c:v>
                </c:pt>
                <c:pt idx="259" formatCode="0.0000">
                  <c:v>0.8985362697828706</c:v>
                </c:pt>
                <c:pt idx="260" formatCode="0.0000">
                  <c:v>0.82601049735919274</c:v>
                </c:pt>
                <c:pt idx="261" formatCode="0.0000">
                  <c:v>0.81772985981173629</c:v>
                </c:pt>
                <c:pt idx="262" formatCode="0.0000">
                  <c:v>0.82601808446048219</c:v>
                </c:pt>
                <c:pt idx="263" formatCode="0.0000">
                  <c:v>0.85298762585650834</c:v>
                </c:pt>
                <c:pt idx="264" formatCode="0.0000">
                  <c:v>0.84186879020097882</c:v>
                </c:pt>
                <c:pt idx="265" formatCode="0.0000">
                  <c:v>0.86425342053357057</c:v>
                </c:pt>
                <c:pt idx="266" formatCode="0.0000">
                  <c:v>0.78547389992690742</c:v>
                </c:pt>
                <c:pt idx="267" formatCode="0.0000">
                  <c:v>0.75479928275387154</c:v>
                </c:pt>
                <c:pt idx="268" formatCode="0.0000">
                  <c:v>0.71966796955416767</c:v>
                </c:pt>
                <c:pt idx="269" formatCode="0.0000">
                  <c:v>0.65828119331095258</c:v>
                </c:pt>
                <c:pt idx="270" formatCode="0.0000">
                  <c:v>0.56544843208658835</c:v>
                </c:pt>
                <c:pt idx="271" formatCode="0.0000">
                  <c:v>0.51139559669707713</c:v>
                </c:pt>
                <c:pt idx="272" formatCode="0.0000">
                  <c:v>0.44155656107228181</c:v>
                </c:pt>
                <c:pt idx="273" formatCode="0.0000">
                  <c:v>0.4714613732304942</c:v>
                </c:pt>
                <c:pt idx="274" formatCode="0.0000">
                  <c:v>0.51437163725232937</c:v>
                </c:pt>
                <c:pt idx="275" formatCode="0.0000">
                  <c:v>0.52894598783715807</c:v>
                </c:pt>
                <c:pt idx="276" formatCode="0.0000">
                  <c:v>0.53979708861590614</c:v>
                </c:pt>
                <c:pt idx="277" formatCode="0.0000">
                  <c:v>0.56313859438348424</c:v>
                </c:pt>
                <c:pt idx="278" formatCode="0.0000">
                  <c:v>0.58098525156793523</c:v>
                </c:pt>
                <c:pt idx="279" formatCode="0.0000">
                  <c:v>0.5872650462494643</c:v>
                </c:pt>
                <c:pt idx="280" formatCode="0.0000">
                  <c:v>0.74847838046333171</c:v>
                </c:pt>
                <c:pt idx="281" formatCode="0.0000">
                  <c:v>0.73550172629172761</c:v>
                </c:pt>
                <c:pt idx="282" formatCode="0.0000">
                  <c:v>0.73550617374730565</c:v>
                </c:pt>
                <c:pt idx="283" formatCode="0.0000">
                  <c:v>0.73965205493277797</c:v>
                </c:pt>
                <c:pt idx="284" formatCode="0.0000">
                  <c:v>0.73704511179805132</c:v>
                </c:pt>
                <c:pt idx="285" formatCode="0.0000">
                  <c:v>0.74231566918794112</c:v>
                </c:pt>
                <c:pt idx="286" formatCode="0.0000">
                  <c:v>0.73731797860050396</c:v>
                </c:pt>
                <c:pt idx="287" formatCode="0.0000">
                  <c:v>0.57392667586410673</c:v>
                </c:pt>
                <c:pt idx="288" formatCode="0.0000">
                  <c:v>0.62757700014711026</c:v>
                </c:pt>
                <c:pt idx="289" formatCode="0.0000">
                  <c:v>0.63353780480113175</c:v>
                </c:pt>
                <c:pt idx="290" formatCode="0.0000">
                  <c:v>0.65741981300961239</c:v>
                </c:pt>
                <c:pt idx="291" formatCode="0.0000">
                  <c:v>0.69175716153130218</c:v>
                </c:pt>
                <c:pt idx="292" formatCode="0.0000">
                  <c:v>0.71929408888023005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1356-4839-896B-C589C93EEDD7}"/>
            </c:ext>
          </c:extLst>
        </c:ser>
        <c:ser>
          <c:idx val="6"/>
          <c:order val="6"/>
          <c:tx>
            <c:strRef>
              <c:f>'R(t) Województwa'!$AZ$2</c:f>
              <c:strCache>
                <c:ptCount val="1"/>
                <c:pt idx="0">
                  <c:v>Mazowieckie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Województwa'!$AZ$3:$AZ$1000</c:f>
              <c:numCache>
                <c:formatCode>General</c:formatCode>
                <c:ptCount val="998"/>
                <c:pt idx="19" formatCode="0.0000">
                  <c:v>1.3769570453633082</c:v>
                </c:pt>
                <c:pt idx="20" formatCode="0.0000">
                  <c:v>1.6030954142793905</c:v>
                </c:pt>
                <c:pt idx="21" formatCode="0.0000">
                  <c:v>1.7891248453575026</c:v>
                </c:pt>
                <c:pt idx="22" formatCode="0.0000">
                  <c:v>1.8303153959189753</c:v>
                </c:pt>
                <c:pt idx="23" formatCode="0.0000">
                  <c:v>1.8169831746032561</c:v>
                </c:pt>
                <c:pt idx="24" formatCode="0.0000">
                  <c:v>1.6930474933532291</c:v>
                </c:pt>
                <c:pt idx="25" formatCode="0.0000">
                  <c:v>2.0300738010381645</c:v>
                </c:pt>
                <c:pt idx="26" formatCode="0.0000">
                  <c:v>1.9899161818023514</c:v>
                </c:pt>
                <c:pt idx="27" formatCode="0.0000">
                  <c:v>1.8289803276622725</c:v>
                </c:pt>
                <c:pt idx="28" formatCode="0.0000">
                  <c:v>1.7500726816448855</c:v>
                </c:pt>
                <c:pt idx="29" formatCode="0.0000">
                  <c:v>1.7231931706181949</c:v>
                </c:pt>
                <c:pt idx="30" formatCode="0.0000">
                  <c:v>1.9460543868608589</c:v>
                </c:pt>
                <c:pt idx="31" formatCode="0.0000">
                  <c:v>1.9282777984458106</c:v>
                </c:pt>
                <c:pt idx="32" formatCode="0.0000">
                  <c:v>1.3493875631389856</c:v>
                </c:pt>
                <c:pt idx="33" formatCode="0.0000">
                  <c:v>1.6619393382407652</c:v>
                </c:pt>
                <c:pt idx="34" formatCode="0.0000">
                  <c:v>1.7795642185355198</c:v>
                </c:pt>
                <c:pt idx="35" formatCode="0.0000">
                  <c:v>1.9263037960541267</c:v>
                </c:pt>
                <c:pt idx="36" formatCode="0.0000">
                  <c:v>1.7864231275732523</c:v>
                </c:pt>
                <c:pt idx="37" formatCode="0.0000">
                  <c:v>1.5018955618657372</c:v>
                </c:pt>
                <c:pt idx="38" formatCode="0.0000">
                  <c:v>1.4935014918346163</c:v>
                </c:pt>
                <c:pt idx="39" formatCode="0.0000">
                  <c:v>1.7082668167950981</c:v>
                </c:pt>
                <c:pt idx="40" formatCode="0.0000">
                  <c:v>1.2939498882910851</c:v>
                </c:pt>
                <c:pt idx="41" formatCode="0.0000">
                  <c:v>1.1171370045016056</c:v>
                </c:pt>
                <c:pt idx="42" formatCode="0.0000">
                  <c:v>0.79215387307873519</c:v>
                </c:pt>
                <c:pt idx="43" formatCode="0.0000">
                  <c:v>0.84168885499978718</c:v>
                </c:pt>
                <c:pt idx="44" formatCode="0.0000">
                  <c:v>0.76282400613097801</c:v>
                </c:pt>
                <c:pt idx="45" formatCode="0.0000">
                  <c:v>0.71447710514086082</c:v>
                </c:pt>
                <c:pt idx="46" formatCode="0.0000">
                  <c:v>0.62034208075177244</c:v>
                </c:pt>
                <c:pt idx="47" formatCode="0.0000">
                  <c:v>0.69591253330239089</c:v>
                </c:pt>
                <c:pt idx="48" formatCode="0.0000">
                  <c:v>0.74429283241312227</c:v>
                </c:pt>
                <c:pt idx="49" formatCode="0.0000">
                  <c:v>0.76491113060170413</c:v>
                </c:pt>
                <c:pt idx="50" formatCode="0.0000">
                  <c:v>0.70749850715846763</c:v>
                </c:pt>
                <c:pt idx="51" formatCode="0.0000">
                  <c:v>0.78553391583947241</c:v>
                </c:pt>
                <c:pt idx="52" formatCode="0.0000">
                  <c:v>0.81319522478845141</c:v>
                </c:pt>
                <c:pt idx="53" formatCode="0.0000">
                  <c:v>0.95776896585509996</c:v>
                </c:pt>
                <c:pt idx="54" formatCode="0.0000">
                  <c:v>0.94063743183507742</c:v>
                </c:pt>
                <c:pt idx="55" formatCode="0.0000">
                  <c:v>0.92208565134037879</c:v>
                </c:pt>
                <c:pt idx="56" formatCode="0.0000">
                  <c:v>0.89087114742127582</c:v>
                </c:pt>
                <c:pt idx="57" formatCode="0.0000">
                  <c:v>0.89592412036491065</c:v>
                </c:pt>
                <c:pt idx="58" formatCode="0.0000">
                  <c:v>0.78516170106214922</c:v>
                </c:pt>
                <c:pt idx="59" formatCode="0.0000">
                  <c:v>0.67867951053472919</c:v>
                </c:pt>
                <c:pt idx="60" formatCode="0.0000">
                  <c:v>0.51157799641723067</c:v>
                </c:pt>
                <c:pt idx="61" formatCode="0.0000">
                  <c:v>0.52570017789193757</c:v>
                </c:pt>
                <c:pt idx="62" formatCode="0.0000">
                  <c:v>0.64244663514346989</c:v>
                </c:pt>
                <c:pt idx="63" formatCode="0.0000">
                  <c:v>0.91293243015273073</c:v>
                </c:pt>
                <c:pt idx="64" formatCode="0.0000">
                  <c:v>0.94690954793972859</c:v>
                </c:pt>
                <c:pt idx="65" formatCode="0.0000">
                  <c:v>0.99115205773164994</c:v>
                </c:pt>
                <c:pt idx="66" formatCode="0.0000">
                  <c:v>1.0678060681447106</c:v>
                </c:pt>
                <c:pt idx="67" formatCode="0.0000">
                  <c:v>1.096567629524198</c:v>
                </c:pt>
                <c:pt idx="68" formatCode="0.0000">
                  <c:v>1.0678116306928147</c:v>
                </c:pt>
                <c:pt idx="69" formatCode="0.0000">
                  <c:v>0.94749013590902342</c:v>
                </c:pt>
                <c:pt idx="70" formatCode="0.0000">
                  <c:v>0.72612562707351869</c:v>
                </c:pt>
                <c:pt idx="71" formatCode="0.0000">
                  <c:v>0.81364131861127753</c:v>
                </c:pt>
                <c:pt idx="72" formatCode="0.0000">
                  <c:v>0.7822925811749476</c:v>
                </c:pt>
                <c:pt idx="73" formatCode="0.0000">
                  <c:v>0.82850212833784109</c:v>
                </c:pt>
                <c:pt idx="74" formatCode="0.0000">
                  <c:v>0.78671064562845883</c:v>
                </c:pt>
                <c:pt idx="75" formatCode="0.0000">
                  <c:v>0.78791434544331707</c:v>
                </c:pt>
                <c:pt idx="76" formatCode="0.0000">
                  <c:v>0.88434203705658554</c:v>
                </c:pt>
                <c:pt idx="77" formatCode="0.0000">
                  <c:v>0.97418528208568189</c:v>
                </c:pt>
                <c:pt idx="78" formatCode="0.0000">
                  <c:v>0.94011922027416184</c:v>
                </c:pt>
                <c:pt idx="79" formatCode="0.0000">
                  <c:v>1.0531864809869897</c:v>
                </c:pt>
                <c:pt idx="80" formatCode="0.0000">
                  <c:v>1.0518345972733181</c:v>
                </c:pt>
                <c:pt idx="81" formatCode="0.0000">
                  <c:v>1.1380198798122336</c:v>
                </c:pt>
                <c:pt idx="82" formatCode="0.0000">
                  <c:v>1.1214898816846872</c:v>
                </c:pt>
                <c:pt idx="83" formatCode="0.0000">
                  <c:v>1.2497973515250727</c:v>
                </c:pt>
                <c:pt idx="84" formatCode="0.0000">
                  <c:v>1.3625799314534295</c:v>
                </c:pt>
                <c:pt idx="85" formatCode="0.0000">
                  <c:v>1.2895528431892604</c:v>
                </c:pt>
                <c:pt idx="86" formatCode="0.0000">
                  <c:v>1.3068325311043922</c:v>
                </c:pt>
                <c:pt idx="87" formatCode="0.0000">
                  <c:v>1.2897377307199147</c:v>
                </c:pt>
                <c:pt idx="88" formatCode="0.0000">
                  <c:v>1.2895931635864708</c:v>
                </c:pt>
                <c:pt idx="89" formatCode="0.0000">
                  <c:v>1.318336507421866</c:v>
                </c:pt>
                <c:pt idx="90" formatCode="0.0000">
                  <c:v>1.1813505096048789</c:v>
                </c:pt>
                <c:pt idx="91" formatCode="0.0000">
                  <c:v>0.99298881893873403</c:v>
                </c:pt>
                <c:pt idx="92" formatCode="0.0000">
                  <c:v>0.96403344742242159</c:v>
                </c:pt>
                <c:pt idx="93" formatCode="0.0000">
                  <c:v>0.92024649923275903</c:v>
                </c:pt>
                <c:pt idx="94" formatCode="0.0000">
                  <c:v>1.0154352992645366</c:v>
                </c:pt>
                <c:pt idx="95" formatCode="0.0000">
                  <c:v>0.99738528496772905</c:v>
                </c:pt>
                <c:pt idx="96" formatCode="0.0000">
                  <c:v>1.0014332601278975</c:v>
                </c:pt>
                <c:pt idx="97" formatCode="0.0000">
                  <c:v>1.0913637292984488</c:v>
                </c:pt>
                <c:pt idx="98" formatCode="0.0000">
                  <c:v>1.227401186959894</c:v>
                </c:pt>
                <c:pt idx="99" formatCode="0.0000">
                  <c:v>1.3651515214919729</c:v>
                </c:pt>
                <c:pt idx="100" formatCode="0.0000">
                  <c:v>1.3226681832377427</c:v>
                </c:pt>
                <c:pt idx="101" formatCode="0.0000">
                  <c:v>1.2951351379393898</c:v>
                </c:pt>
                <c:pt idx="102" formatCode="0.0000">
                  <c:v>1.3043426776439975</c:v>
                </c:pt>
                <c:pt idx="103" formatCode="0.0000">
                  <c:v>1.3137021678458234</c:v>
                </c:pt>
                <c:pt idx="104" formatCode="0.0000">
                  <c:v>1.2060336919126289</c:v>
                </c:pt>
                <c:pt idx="105" formatCode="0.0000">
                  <c:v>1.0544642907303736</c:v>
                </c:pt>
                <c:pt idx="106" formatCode="0.0000">
                  <c:v>0.97043324203809411</c:v>
                </c:pt>
                <c:pt idx="107" formatCode="0.0000">
                  <c:v>0.94889314850257933</c:v>
                </c:pt>
                <c:pt idx="108" formatCode="0.0000">
                  <c:v>1.0011368084436063</c:v>
                </c:pt>
                <c:pt idx="109" formatCode="0.0000">
                  <c:v>0.96726883703454791</c:v>
                </c:pt>
                <c:pt idx="110" formatCode="0.0000">
                  <c:v>0.93956839717773821</c:v>
                </c:pt>
                <c:pt idx="111" formatCode="0.0000">
                  <c:v>0.88869896429346429</c:v>
                </c:pt>
                <c:pt idx="112" formatCode="0.0000">
                  <c:v>0.91106824466787228</c:v>
                </c:pt>
                <c:pt idx="113" formatCode="0.0000">
                  <c:v>0.85711394603065549</c:v>
                </c:pt>
                <c:pt idx="114" formatCode="0.0000">
                  <c:v>0.81839998864220065</c:v>
                </c:pt>
                <c:pt idx="115" formatCode="0.0000">
                  <c:v>0.73963683757640919</c:v>
                </c:pt>
                <c:pt idx="116" formatCode="0.0000">
                  <c:v>0.74349247425224385</c:v>
                </c:pt>
                <c:pt idx="117" formatCode="0.0000">
                  <c:v>0.75010985686999798</c:v>
                </c:pt>
                <c:pt idx="118" formatCode="0.0000">
                  <c:v>0.7550767303617425</c:v>
                </c:pt>
                <c:pt idx="119" formatCode="0.0000">
                  <c:v>0.71892277020346806</c:v>
                </c:pt>
                <c:pt idx="120" formatCode="0.0000">
                  <c:v>0.70085814610881891</c:v>
                </c:pt>
                <c:pt idx="121" formatCode="0.0000">
                  <c:v>0.81022045515723451</c:v>
                </c:pt>
                <c:pt idx="122" formatCode="0.0000">
                  <c:v>0.80653784074156598</c:v>
                </c:pt>
                <c:pt idx="123" formatCode="0.0000">
                  <c:v>0.78473204320392576</c:v>
                </c:pt>
                <c:pt idx="124" formatCode="0.0000">
                  <c:v>0.74970652311472386</c:v>
                </c:pt>
                <c:pt idx="125" formatCode="0.0000">
                  <c:v>0.82976901548472493</c:v>
                </c:pt>
                <c:pt idx="126" formatCode="0.0000">
                  <c:v>0.78037195415026983</c:v>
                </c:pt>
                <c:pt idx="127" formatCode="0.0000">
                  <c:v>0.88296188259589869</c:v>
                </c:pt>
                <c:pt idx="128" formatCode="0.0000">
                  <c:v>0.93194316207734695</c:v>
                </c:pt>
                <c:pt idx="129" formatCode="0.0000">
                  <c:v>0.8886394766941681</c:v>
                </c:pt>
                <c:pt idx="130" formatCode="0.0000">
                  <c:v>0.97997205412085897</c:v>
                </c:pt>
                <c:pt idx="131" formatCode="0.0000">
                  <c:v>0.94454229508894338</c:v>
                </c:pt>
                <c:pt idx="132" formatCode="0.0000">
                  <c:v>1.1151033854921772</c:v>
                </c:pt>
                <c:pt idx="133" formatCode="0.0000">
                  <c:v>1.2003930144345543</c:v>
                </c:pt>
                <c:pt idx="134" formatCode="0.0000">
                  <c:v>1.1111679678796891</c:v>
                </c:pt>
                <c:pt idx="135" formatCode="0.0000">
                  <c:v>1.0373089711348187</c:v>
                </c:pt>
                <c:pt idx="136" formatCode="0.0000">
                  <c:v>1.091708105920175</c:v>
                </c:pt>
                <c:pt idx="137" formatCode="0.0000">
                  <c:v>1.0203252955169797</c:v>
                </c:pt>
                <c:pt idx="138" formatCode="0.0000">
                  <c:v>1.1866490599321797</c:v>
                </c:pt>
                <c:pt idx="139" formatCode="0.0000">
                  <c:v>1.0620110235899616</c:v>
                </c:pt>
                <c:pt idx="140" formatCode="0.0000">
                  <c:v>1.1722242030950707</c:v>
                </c:pt>
                <c:pt idx="141" formatCode="0.0000">
                  <c:v>1.2420857399652958</c:v>
                </c:pt>
                <c:pt idx="142" formatCode="0.0000">
                  <c:v>1.4376716816591413</c:v>
                </c:pt>
                <c:pt idx="143" formatCode="0.0000">
                  <c:v>1.3749054886810779</c:v>
                </c:pt>
                <c:pt idx="144" formatCode="0.0000">
                  <c:v>1.4289791038628326</c:v>
                </c:pt>
                <c:pt idx="145" formatCode="0.0000">
                  <c:v>1.3830315728692304</c:v>
                </c:pt>
                <c:pt idx="146" formatCode="0.0000">
                  <c:v>1.3293009566886373</c:v>
                </c:pt>
                <c:pt idx="147" formatCode="0.0000">
                  <c:v>1.2796488203520917</c:v>
                </c:pt>
                <c:pt idx="148" formatCode="0.0000">
                  <c:v>1.2353761348030461</c:v>
                </c:pt>
                <c:pt idx="149" formatCode="0.0000">
                  <c:v>1.142529136675938</c:v>
                </c:pt>
                <c:pt idx="150" formatCode="0.0000">
                  <c:v>1.3090891829689169</c:v>
                </c:pt>
                <c:pt idx="151" formatCode="0.0000">
                  <c:v>1.2575965780502771</c:v>
                </c:pt>
                <c:pt idx="152" formatCode="0.0000">
                  <c:v>1.262276740546205</c:v>
                </c:pt>
                <c:pt idx="153" formatCode="0.0000">
                  <c:v>1.2791168060613987</c:v>
                </c:pt>
                <c:pt idx="154" formatCode="0.0000">
                  <c:v>1.2116206251542254</c:v>
                </c:pt>
                <c:pt idx="155" formatCode="0.0000">
                  <c:v>1.2859218511444317</c:v>
                </c:pt>
                <c:pt idx="156" formatCode="0.0000">
                  <c:v>1.2489853331733602</c:v>
                </c:pt>
                <c:pt idx="157" formatCode="0.0000">
                  <c:v>1.1948114448710687</c:v>
                </c:pt>
                <c:pt idx="158" formatCode="0.0000">
                  <c:v>1.3026257536184644</c:v>
                </c:pt>
                <c:pt idx="159" formatCode="0.0000">
                  <c:v>1.2793013487662355</c:v>
                </c:pt>
                <c:pt idx="160" formatCode="0.0000">
                  <c:v>1.1880284685880331</c:v>
                </c:pt>
                <c:pt idx="161" formatCode="0.0000">
                  <c:v>1.1730933724726869</c:v>
                </c:pt>
                <c:pt idx="162" formatCode="0.0000">
                  <c:v>1.1262550258060811</c:v>
                </c:pt>
                <c:pt idx="163" formatCode="0.0000">
                  <c:v>1.1791652144662714</c:v>
                </c:pt>
                <c:pt idx="164" formatCode="0.0000">
                  <c:v>1.213597900535021</c:v>
                </c:pt>
                <c:pt idx="165" formatCode="0.0000">
                  <c:v>1.1182241530065518</c:v>
                </c:pt>
                <c:pt idx="166" formatCode="0.0000">
                  <c:v>1.0929152538014777</c:v>
                </c:pt>
                <c:pt idx="167" formatCode="0.0000">
                  <c:v>1.2378063551876697</c:v>
                </c:pt>
                <c:pt idx="168" formatCode="0.0000">
                  <c:v>1.23744359355825</c:v>
                </c:pt>
                <c:pt idx="169" formatCode="0.0000">
                  <c:v>1.2849650114630293</c:v>
                </c:pt>
                <c:pt idx="170" formatCode="0.0000">
                  <c:v>1.1449754266209797</c:v>
                </c:pt>
                <c:pt idx="171" formatCode="0.0000">
                  <c:v>1.1196670652007692</c:v>
                </c:pt>
                <c:pt idx="172" formatCode="0.0000">
                  <c:v>1.1777420138700041</c:v>
                </c:pt>
                <c:pt idx="173" formatCode="0.0000">
                  <c:v>1.1301178467219524</c:v>
                </c:pt>
                <c:pt idx="174" formatCode="0.0000">
                  <c:v>0.9709393385685493</c:v>
                </c:pt>
                <c:pt idx="175" formatCode="0.0000">
                  <c:v>1.0298938689833057</c:v>
                </c:pt>
                <c:pt idx="176" formatCode="0.0000">
                  <c:v>0.99662878092746876</c:v>
                </c:pt>
                <c:pt idx="177" formatCode="0.0000">
                  <c:v>1.0145856849857158</c:v>
                </c:pt>
                <c:pt idx="178" formatCode="0.0000">
                  <c:v>0.99053076905684478</c:v>
                </c:pt>
                <c:pt idx="179" formatCode="0.0000">
                  <c:v>0.98045703514376359</c:v>
                </c:pt>
                <c:pt idx="180" formatCode="0.0000">
                  <c:v>0.97959146742772707</c:v>
                </c:pt>
                <c:pt idx="181" formatCode="0.0000">
                  <c:v>1.0118313655526883</c:v>
                </c:pt>
                <c:pt idx="182" formatCode="0.0000">
                  <c:v>0.99621398724082977</c:v>
                </c:pt>
                <c:pt idx="183" formatCode="0.0000">
                  <c:v>1.0383548908241198</c:v>
                </c:pt>
                <c:pt idx="184" formatCode="0.0000">
                  <c:v>1.0138036789152307</c:v>
                </c:pt>
                <c:pt idx="185" formatCode="0.0000">
                  <c:v>0.99980055246586319</c:v>
                </c:pt>
                <c:pt idx="186" formatCode="0.0000">
                  <c:v>0.90104946289741872</c:v>
                </c:pt>
                <c:pt idx="187" formatCode="0.0000">
                  <c:v>0.92554151512690297</c:v>
                </c:pt>
                <c:pt idx="188" formatCode="0.0000">
                  <c:v>0.85697036516124503</c:v>
                </c:pt>
                <c:pt idx="189" formatCode="0.0000">
                  <c:v>0.81490180191654404</c:v>
                </c:pt>
                <c:pt idx="190" formatCode="0.0000">
                  <c:v>0.72685916341620704</c:v>
                </c:pt>
                <c:pt idx="191" formatCode="0.0000">
                  <c:v>0.72311280834568337</c:v>
                </c:pt>
                <c:pt idx="192" formatCode="0.0000">
                  <c:v>0.69877766655086238</c:v>
                </c:pt>
                <c:pt idx="193" formatCode="0.0000">
                  <c:v>0.72583369539447085</c:v>
                </c:pt>
                <c:pt idx="194" formatCode="0.0000">
                  <c:v>0.80469393867840722</c:v>
                </c:pt>
                <c:pt idx="195" formatCode="0.0000">
                  <c:v>0.88187528313582764</c:v>
                </c:pt>
                <c:pt idx="196" formatCode="0.0000">
                  <c:v>0.9833049564594637</c:v>
                </c:pt>
                <c:pt idx="197" formatCode="0.0000">
                  <c:v>1.0022432502559389</c:v>
                </c:pt>
                <c:pt idx="198" formatCode="0.0000">
                  <c:v>1.1908668853055853</c:v>
                </c:pt>
                <c:pt idx="199" formatCode="0.0000">
                  <c:v>1.1829373220679205</c:v>
                </c:pt>
                <c:pt idx="200" formatCode="0.0000">
                  <c:v>1.2028027220661139</c:v>
                </c:pt>
                <c:pt idx="201" formatCode="0.0000">
                  <c:v>1.301856457732935</c:v>
                </c:pt>
                <c:pt idx="202" formatCode="0.0000">
                  <c:v>1.3583201523100712</c:v>
                </c:pt>
                <c:pt idx="203" formatCode="0.0000">
                  <c:v>1.3176123039811856</c:v>
                </c:pt>
                <c:pt idx="204" formatCode="0.0000">
                  <c:v>1.4142914786489023</c:v>
                </c:pt>
                <c:pt idx="205" formatCode="0.0000">
                  <c:v>1.2876731260612204</c:v>
                </c:pt>
                <c:pt idx="206" formatCode="0.0000">
                  <c:v>1.5059593789392995</c:v>
                </c:pt>
                <c:pt idx="207" formatCode="0.0000">
                  <c:v>1.5106537141125422</c:v>
                </c:pt>
                <c:pt idx="208" formatCode="0.0000">
                  <c:v>1.4391593786256338</c:v>
                </c:pt>
                <c:pt idx="209" formatCode="0.0000">
                  <c:v>1.4113253642876777</c:v>
                </c:pt>
                <c:pt idx="210" formatCode="0.0000">
                  <c:v>1.40398830051329</c:v>
                </c:pt>
                <c:pt idx="211" formatCode="0.0000">
                  <c:v>1.32780584503906</c:v>
                </c:pt>
                <c:pt idx="212" formatCode="0.0000">
                  <c:v>1.389832314460022</c:v>
                </c:pt>
                <c:pt idx="213" formatCode="0.0000">
                  <c:v>1.2389066783433793</c:v>
                </c:pt>
                <c:pt idx="214" formatCode="0.0000">
                  <c:v>1.3131400281299981</c:v>
                </c:pt>
                <c:pt idx="215" formatCode="0.0000">
                  <c:v>1.2415713599850549</c:v>
                </c:pt>
                <c:pt idx="216" formatCode="0.0000">
                  <c:v>1.3507223502469163</c:v>
                </c:pt>
                <c:pt idx="217" formatCode="0.0000">
                  <c:v>1.4235127191917678</c:v>
                </c:pt>
                <c:pt idx="218" formatCode="0.0000">
                  <c:v>1.6063881348264073</c:v>
                </c:pt>
                <c:pt idx="219" formatCode="0.0000">
                  <c:v>1.6721019019292132</c:v>
                </c:pt>
                <c:pt idx="220" formatCode="0.0000">
                  <c:v>1.6991268285393351</c:v>
                </c:pt>
                <c:pt idx="221" formatCode="0.0000">
                  <c:v>1.8164814945652275</c:v>
                </c:pt>
                <c:pt idx="222" formatCode="0.0000">
                  <c:v>1.8453598461556022</c:v>
                </c:pt>
                <c:pt idx="223" formatCode="0.0000">
                  <c:v>1.7433519325465829</c:v>
                </c:pt>
                <c:pt idx="224" formatCode="0.0000">
                  <c:v>1.7154210206465552</c:v>
                </c:pt>
                <c:pt idx="225" formatCode="0.0000">
                  <c:v>1.7691808910896669</c:v>
                </c:pt>
                <c:pt idx="226" formatCode="0.0000">
                  <c:v>1.7934347418966285</c:v>
                </c:pt>
                <c:pt idx="227" formatCode="0.0000">
                  <c:v>1.7567198387697616</c:v>
                </c:pt>
                <c:pt idx="228" formatCode="0.0000">
                  <c:v>1.7260562116005023</c:v>
                </c:pt>
                <c:pt idx="229" formatCode="0.0000">
                  <c:v>1.8144660261958596</c:v>
                </c:pt>
                <c:pt idx="230" formatCode="0.0000">
                  <c:v>1.8004374491465602</c:v>
                </c:pt>
                <c:pt idx="231" formatCode="0.0000">
                  <c:v>1.8211917490415834</c:v>
                </c:pt>
                <c:pt idx="232" formatCode="0.0000">
                  <c:v>1.611340198898892</c:v>
                </c:pt>
                <c:pt idx="233" formatCode="0.0000">
                  <c:v>1.5023794106587101</c:v>
                </c:pt>
                <c:pt idx="234" formatCode="0.0000">
                  <c:v>1.5844911140147426</c:v>
                </c:pt>
                <c:pt idx="235" formatCode="0.0000">
                  <c:v>1.5184496878243756</c:v>
                </c:pt>
                <c:pt idx="236" formatCode="0.0000">
                  <c:v>1.4805173528961448</c:v>
                </c:pt>
                <c:pt idx="237" formatCode="0.0000">
                  <c:v>1.5123251758524743</c:v>
                </c:pt>
                <c:pt idx="238" formatCode="0.0000">
                  <c:v>1.6555889454064869</c:v>
                </c:pt>
                <c:pt idx="239" formatCode="0.0000">
                  <c:v>1.6961329245961179</c:v>
                </c:pt>
                <c:pt idx="240" formatCode="0.0000">
                  <c:v>1.6358900120562205</c:v>
                </c:pt>
                <c:pt idx="241" formatCode="0.0000">
                  <c:v>1.6092092023615403</c:v>
                </c:pt>
                <c:pt idx="242" formatCode="0.0000">
                  <c:v>1.578338185457254</c:v>
                </c:pt>
                <c:pt idx="243" formatCode="0.0000">
                  <c:v>1.5272538084887348</c:v>
                </c:pt>
                <c:pt idx="244" formatCode="0.0000">
                  <c:v>1.4961046919753191</c:v>
                </c:pt>
                <c:pt idx="245" formatCode="0.0000">
                  <c:v>1.329252855677193</c:v>
                </c:pt>
                <c:pt idx="246" formatCode="0.0000">
                  <c:v>1.2791310910910574</c:v>
                </c:pt>
                <c:pt idx="247" formatCode="0.0000">
                  <c:v>1.277933461615145</c:v>
                </c:pt>
                <c:pt idx="248" formatCode="0.0000">
                  <c:v>1.1915540024419768</c:v>
                </c:pt>
                <c:pt idx="249" formatCode="0.0000">
                  <c:v>1.1478325876265958</c:v>
                </c:pt>
                <c:pt idx="250" formatCode="0.0000">
                  <c:v>1.1123339524491886</c:v>
                </c:pt>
                <c:pt idx="251" formatCode="0.0000">
                  <c:v>1.0650950420861611</c:v>
                </c:pt>
                <c:pt idx="252" formatCode="0.0000">
                  <c:v>0.99652095636126858</c:v>
                </c:pt>
                <c:pt idx="253" formatCode="0.0000">
                  <c:v>0.94800794551728751</c:v>
                </c:pt>
                <c:pt idx="254" formatCode="0.0000">
                  <c:v>0.88431805503438665</c:v>
                </c:pt>
                <c:pt idx="255" formatCode="0.0000">
                  <c:v>0.80671150108714429</c:v>
                </c:pt>
                <c:pt idx="256" formatCode="0.0000">
                  <c:v>0.80397626277168244</c:v>
                </c:pt>
                <c:pt idx="257" formatCode="0.0000">
                  <c:v>0.79898113890958178</c:v>
                </c:pt>
                <c:pt idx="258" formatCode="0.0000">
                  <c:v>0.8751551538062774</c:v>
                </c:pt>
                <c:pt idx="259" formatCode="0.0000">
                  <c:v>0.91062736331030847</c:v>
                </c:pt>
                <c:pt idx="260" formatCode="0.0000">
                  <c:v>1.012837343874547</c:v>
                </c:pt>
                <c:pt idx="261" formatCode="0.0000">
                  <c:v>1.0918191681164595</c:v>
                </c:pt>
                <c:pt idx="262" formatCode="0.0000">
                  <c:v>1.159205817115043</c:v>
                </c:pt>
                <c:pt idx="263" formatCode="0.0000">
                  <c:v>1.1745436626023538</c:v>
                </c:pt>
                <c:pt idx="264" formatCode="0.0000">
                  <c:v>1.2116777880608638</c:v>
                </c:pt>
                <c:pt idx="265" formatCode="0.0000">
                  <c:v>1.172570658782266</c:v>
                </c:pt>
                <c:pt idx="266" formatCode="0.0000">
                  <c:v>1.0863621800481733</c:v>
                </c:pt>
                <c:pt idx="267" formatCode="0.0000">
                  <c:v>0.96138510069703409</c:v>
                </c:pt>
                <c:pt idx="268" formatCode="0.0000">
                  <c:v>0.88909673936550426</c:v>
                </c:pt>
                <c:pt idx="269" formatCode="0.0000">
                  <c:v>0.8674001887094972</c:v>
                </c:pt>
                <c:pt idx="270" formatCode="0.0000">
                  <c:v>0.82059150491290656</c:v>
                </c:pt>
                <c:pt idx="271" formatCode="0.0000">
                  <c:v>0.76970617374008321</c:v>
                </c:pt>
                <c:pt idx="272" formatCode="0.0000">
                  <c:v>0.68814572130745066</c:v>
                </c:pt>
                <c:pt idx="273" formatCode="0.0000">
                  <c:v>0.68192811478047777</c:v>
                </c:pt>
                <c:pt idx="274" formatCode="0.0000">
                  <c:v>0.72388425559849856</c:v>
                </c:pt>
                <c:pt idx="275" formatCode="0.0000">
                  <c:v>0.76154784542575082</c:v>
                </c:pt>
                <c:pt idx="276" formatCode="0.0000">
                  <c:v>0.76480474149691013</c:v>
                </c:pt>
                <c:pt idx="277" formatCode="0.0000">
                  <c:v>0.7664807072582952</c:v>
                </c:pt>
                <c:pt idx="278" formatCode="0.0000">
                  <c:v>0.77183005136425564</c:v>
                </c:pt>
                <c:pt idx="279" formatCode="0.0000">
                  <c:v>0.779856863490065</c:v>
                </c:pt>
                <c:pt idx="280" formatCode="0.0000">
                  <c:v>0.81444873976020105</c:v>
                </c:pt>
                <c:pt idx="281" formatCode="0.0000">
                  <c:v>0.83036712907405585</c:v>
                </c:pt>
                <c:pt idx="282" formatCode="0.0000">
                  <c:v>0.85165972806389612</c:v>
                </c:pt>
                <c:pt idx="283" formatCode="0.0000">
                  <c:v>0.88290190743143315</c:v>
                </c:pt>
                <c:pt idx="284" formatCode="0.0000">
                  <c:v>0.89563319793076523</c:v>
                </c:pt>
                <c:pt idx="285" formatCode="0.0000">
                  <c:v>0.91806494431563357</c:v>
                </c:pt>
                <c:pt idx="286" formatCode="0.0000">
                  <c:v>0.93350495692564162</c:v>
                </c:pt>
                <c:pt idx="287" formatCode="0.0000">
                  <c:v>0.92022284057211701</c:v>
                </c:pt>
                <c:pt idx="288" formatCode="0.0000">
                  <c:v>0.93011733692191334</c:v>
                </c:pt>
                <c:pt idx="289" formatCode="0.0000">
                  <c:v>0.90160399248728462</c:v>
                </c:pt>
                <c:pt idx="290" formatCode="0.0000">
                  <c:v>0.88731360317645291</c:v>
                </c:pt>
                <c:pt idx="291" formatCode="0.0000">
                  <c:v>0.89061148972131987</c:v>
                </c:pt>
                <c:pt idx="292" formatCode="0.0000">
                  <c:v>0.88670274011233496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1356-4839-896B-C589C93EEDD7}"/>
            </c:ext>
          </c:extLst>
        </c:ser>
        <c:ser>
          <c:idx val="7"/>
          <c:order val="7"/>
          <c:tx>
            <c:strRef>
              <c:f>'R(t) Województwa'!$BG$2</c:f>
              <c:strCache>
                <c:ptCount val="1"/>
                <c:pt idx="0">
                  <c:v>Opolskie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Województwa'!$BG$3:$BG$1000</c:f>
              <c:numCache>
                <c:formatCode>General</c:formatCode>
                <c:ptCount val="998"/>
                <c:pt idx="36" formatCode="0.0000">
                  <c:v>0.77719033232628398</c:v>
                </c:pt>
                <c:pt idx="37" formatCode="0.0000">
                  <c:v>0.78996594516681973</c:v>
                </c:pt>
                <c:pt idx="38" formatCode="0.0000">
                  <c:v>0.67961036671812025</c:v>
                </c:pt>
                <c:pt idx="39" formatCode="0.0000">
                  <c:v>0.83298134486137099</c:v>
                </c:pt>
                <c:pt idx="40" formatCode="0.0000">
                  <c:v>0.8191392311682939</c:v>
                </c:pt>
                <c:pt idx="41" formatCode="0.0000">
                  <c:v>1.0119685185598635</c:v>
                </c:pt>
                <c:pt idx="42" formatCode="0.0000">
                  <c:v>1.3009712125796613</c:v>
                </c:pt>
                <c:pt idx="43" formatCode="0.0000">
                  <c:v>1.3147124340481253</c:v>
                </c:pt>
                <c:pt idx="44" formatCode="0.0000">
                  <c:v>1.3075532068279998</c:v>
                </c:pt>
                <c:pt idx="45" formatCode="0.0000">
                  <c:v>1.4851748996908865</c:v>
                </c:pt>
                <c:pt idx="46" formatCode="0.0000">
                  <c:v>1.4569937392269598</c:v>
                </c:pt>
                <c:pt idx="47" formatCode="0.0000">
                  <c:v>1.3933049511463274</c:v>
                </c:pt>
                <c:pt idx="48" formatCode="0.0000">
                  <c:v>1.2720420363307585</c:v>
                </c:pt>
                <c:pt idx="49" formatCode="0.0000">
                  <c:v>0.89778371639219579</c:v>
                </c:pt>
                <c:pt idx="50" formatCode="0.0000">
                  <c:v>1.0534610342844393</c:v>
                </c:pt>
                <c:pt idx="51" formatCode="0.0000">
                  <c:v>1.0028336262235154</c:v>
                </c:pt>
                <c:pt idx="52" formatCode="0.0000">
                  <c:v>0.91525840346427911</c:v>
                </c:pt>
                <c:pt idx="53" formatCode="0.0000">
                  <c:v>0.83041284938249915</c:v>
                </c:pt>
                <c:pt idx="54" formatCode="0.0000">
                  <c:v>0.90629615338699165</c:v>
                </c:pt>
                <c:pt idx="55" formatCode="0.0000">
                  <c:v>0.85796296374999148</c:v>
                </c:pt>
                <c:pt idx="56" formatCode="0.0000">
                  <c:v>0.85675660309547363</c:v>
                </c:pt>
                <c:pt idx="57" formatCode="0.0000">
                  <c:v>0.72867602181998292</c:v>
                </c:pt>
                <c:pt idx="58" formatCode="0.0000">
                  <c:v>0.72209532638743379</c:v>
                </c:pt>
                <c:pt idx="59" formatCode="0.0000">
                  <c:v>0.6219327590204754</c:v>
                </c:pt>
                <c:pt idx="60" formatCode="0.0000">
                  <c:v>0.68692283748706251</c:v>
                </c:pt>
                <c:pt idx="61" formatCode="0.0000">
                  <c:v>0.79485019088910025</c:v>
                </c:pt>
                <c:pt idx="62" formatCode="0.0000">
                  <c:v>0.86501632171648957</c:v>
                </c:pt>
                <c:pt idx="63" formatCode="0.0000">
                  <c:v>0.874540638093524</c:v>
                </c:pt>
                <c:pt idx="64" formatCode="0.0000">
                  <c:v>0.86843695171153301</c:v>
                </c:pt>
                <c:pt idx="65" formatCode="0.0000">
                  <c:v>0.94931562459423702</c:v>
                </c:pt>
                <c:pt idx="66" formatCode="0.0000">
                  <c:v>1.1298525533464649</c:v>
                </c:pt>
                <c:pt idx="67" formatCode="0.0000">
                  <c:v>1.0336380708690751</c:v>
                </c:pt>
                <c:pt idx="68" formatCode="0.0000">
                  <c:v>0.98477933766309467</c:v>
                </c:pt>
                <c:pt idx="69" formatCode="0.0000">
                  <c:v>0.87434510543068511</c:v>
                </c:pt>
                <c:pt idx="70" formatCode="0.0000">
                  <c:v>0.85347106886435709</c:v>
                </c:pt>
                <c:pt idx="71" formatCode="0.0000">
                  <c:v>0.77617789047620878</c:v>
                </c:pt>
                <c:pt idx="72" formatCode="0.0000">
                  <c:v>0.79393088244185983</c:v>
                </c:pt>
                <c:pt idx="73" formatCode="0.0000">
                  <c:v>0.87254001017771521</c:v>
                </c:pt>
                <c:pt idx="74" formatCode="0.0000">
                  <c:v>0.95840728953657106</c:v>
                </c:pt>
                <c:pt idx="75" formatCode="0.0000">
                  <c:v>0.92255749557629374</c:v>
                </c:pt>
                <c:pt idx="76" formatCode="0.0000">
                  <c:v>0.96233970153942094</c:v>
                </c:pt>
                <c:pt idx="77" formatCode="0.0000">
                  <c:v>0.98173698420070232</c:v>
                </c:pt>
                <c:pt idx="78" formatCode="0.0000">
                  <c:v>1.1456255483901789</c:v>
                </c:pt>
                <c:pt idx="79" formatCode="0.0000">
                  <c:v>1.128148583257482</c:v>
                </c:pt>
                <c:pt idx="80" formatCode="0.0000">
                  <c:v>0.97978621082246276</c:v>
                </c:pt>
                <c:pt idx="81" formatCode="0.0000">
                  <c:v>0.91841391981333431</c:v>
                </c:pt>
                <c:pt idx="82" formatCode="0.0000">
                  <c:v>0.82673500934388411</c:v>
                </c:pt>
                <c:pt idx="83" formatCode="0.0000">
                  <c:v>0.81130108944351964</c:v>
                </c:pt>
                <c:pt idx="84" formatCode="0.0000">
                  <c:v>0.80602494264739877</c:v>
                </c:pt>
                <c:pt idx="85" formatCode="0.0000">
                  <c:v>0.77210628423091043</c:v>
                </c:pt>
                <c:pt idx="86" formatCode="0.0000">
                  <c:v>0.89180685580522312</c:v>
                </c:pt>
                <c:pt idx="87" formatCode="0.0000">
                  <c:v>0.89554758421123382</c:v>
                </c:pt>
                <c:pt idx="88" formatCode="0.0000">
                  <c:v>1.0328286746085706</c:v>
                </c:pt>
                <c:pt idx="89" formatCode="0.0000">
                  <c:v>0.99733988739203916</c:v>
                </c:pt>
                <c:pt idx="90" formatCode="0.0000">
                  <c:v>1.0791723628677194</c:v>
                </c:pt>
                <c:pt idx="91" formatCode="0.0000">
                  <c:v>1.2865539805804593</c:v>
                </c:pt>
                <c:pt idx="92" formatCode="0.0000">
                  <c:v>1.4111133285575028</c:v>
                </c:pt>
                <c:pt idx="93" formatCode="0.0000">
                  <c:v>1.2753171815777289</c:v>
                </c:pt>
                <c:pt idx="94" formatCode="0.0000">
                  <c:v>1.2239818966105138</c:v>
                </c:pt>
                <c:pt idx="95" formatCode="0.0000">
                  <c:v>1.3104709457888224</c:v>
                </c:pt>
                <c:pt idx="96" formatCode="0.0000">
                  <c:v>1.3992126780499081</c:v>
                </c:pt>
                <c:pt idx="97" formatCode="0.0000">
                  <c:v>1.3445087224636214</c:v>
                </c:pt>
                <c:pt idx="98" formatCode="0.0000">
                  <c:v>1.2165921897615808</c:v>
                </c:pt>
                <c:pt idx="99" formatCode="0.0000">
                  <c:v>1.0759986624659006</c:v>
                </c:pt>
                <c:pt idx="100" formatCode="0.0000">
                  <c:v>1.0012128839056127</c:v>
                </c:pt>
                <c:pt idx="101" formatCode="0.0000">
                  <c:v>1.0182033907500332</c:v>
                </c:pt>
                <c:pt idx="102" formatCode="0.0000">
                  <c:v>1.0026799262249835</c:v>
                </c:pt>
                <c:pt idx="103" formatCode="0.0000">
                  <c:v>0.96372378675357451</c:v>
                </c:pt>
                <c:pt idx="104" formatCode="0.0000">
                  <c:v>0.95603537585258036</c:v>
                </c:pt>
                <c:pt idx="105" formatCode="0.0000">
                  <c:v>0.9351001411765445</c:v>
                </c:pt>
                <c:pt idx="106" formatCode="0.0000">
                  <c:v>0.85918556741989438</c:v>
                </c:pt>
                <c:pt idx="107" formatCode="0.0000">
                  <c:v>0.91371904153123418</c:v>
                </c:pt>
                <c:pt idx="108" formatCode="0.0000">
                  <c:v>0.94457416279768514</c:v>
                </c:pt>
                <c:pt idx="109" formatCode="0.0000">
                  <c:v>0.73640966298113919</c:v>
                </c:pt>
                <c:pt idx="110" formatCode="0.0000">
                  <c:v>0.91616608402941879</c:v>
                </c:pt>
                <c:pt idx="111" formatCode="0.0000">
                  <c:v>0.79993975833331532</c:v>
                </c:pt>
                <c:pt idx="112" formatCode="0.0000">
                  <c:v>0.7737131536166858</c:v>
                </c:pt>
                <c:pt idx="113" formatCode="0.0000">
                  <c:v>0.84321464241872879</c:v>
                </c:pt>
                <c:pt idx="114" formatCode="0.0000">
                  <c:v>1.184453847398329</c:v>
                </c:pt>
                <c:pt idx="115" formatCode="0.0000">
                  <c:v>1.0619797481337792</c:v>
                </c:pt>
                <c:pt idx="116" formatCode="0.0000">
                  <c:v>1.3387258952529457</c:v>
                </c:pt>
                <c:pt idx="117" formatCode="0.0000">
                  <c:v>1.3497616734777982</c:v>
                </c:pt>
                <c:pt idx="118" formatCode="0.0000">
                  <c:v>1.4471573303844008</c:v>
                </c:pt>
                <c:pt idx="119" formatCode="0.0000">
                  <c:v>1.3667320103436453</c:v>
                </c:pt>
                <c:pt idx="120" formatCode="0.0000">
                  <c:v>1.2928739102754796</c:v>
                </c:pt>
                <c:pt idx="121" formatCode="0.0000">
                  <c:v>0.96345203021499837</c:v>
                </c:pt>
                <c:pt idx="122" formatCode="0.0000">
                  <c:v>1.0620602088342221</c:v>
                </c:pt>
                <c:pt idx="123" formatCode="0.0000">
                  <c:v>0.76780861400859446</c:v>
                </c:pt>
                <c:pt idx="124" formatCode="0.0000">
                  <c:v>0.59747097967353746</c:v>
                </c:pt>
                <c:pt idx="125" formatCode="0.0000">
                  <c:v>0.51861926652637269</c:v>
                </c:pt>
                <c:pt idx="126" formatCode="0.0000">
                  <c:v>0.56939435119428217</c:v>
                </c:pt>
                <c:pt idx="127" formatCode="0.0000">
                  <c:v>0.55876585173490811</c:v>
                </c:pt>
                <c:pt idx="128" formatCode="0.0000">
                  <c:v>0.5972321864430129</c:v>
                </c:pt>
                <c:pt idx="129" formatCode="0.0000">
                  <c:v>0.67216988608622097</c:v>
                </c:pt>
                <c:pt idx="130" formatCode="0.0000">
                  <c:v>0.80455757950389029</c:v>
                </c:pt>
                <c:pt idx="131" formatCode="0.0000">
                  <c:v>0.84708873138196961</c:v>
                </c:pt>
                <c:pt idx="132" formatCode="0.0000">
                  <c:v>0.85051227967233489</c:v>
                </c:pt>
                <c:pt idx="133" formatCode="0.0000">
                  <c:v>0.83695955212492978</c:v>
                </c:pt>
                <c:pt idx="134" formatCode="0.0000">
                  <c:v>0.82759589790648069</c:v>
                </c:pt>
                <c:pt idx="135" formatCode="0.0000">
                  <c:v>0.79944319505586314</c:v>
                </c:pt>
                <c:pt idx="136" formatCode="0.0000">
                  <c:v>0.70222509372092368</c:v>
                </c:pt>
                <c:pt idx="137" formatCode="0.0000">
                  <c:v>0.67616729097546546</c:v>
                </c:pt>
                <c:pt idx="138" formatCode="0.0000">
                  <c:v>0.78956154086823283</c:v>
                </c:pt>
                <c:pt idx="139" formatCode="0.0000">
                  <c:v>0.87821876118509667</c:v>
                </c:pt>
                <c:pt idx="140" formatCode="0.0000">
                  <c:v>0.94255129306298235</c:v>
                </c:pt>
                <c:pt idx="141" formatCode="0.0000">
                  <c:v>1.448252460118747</c:v>
                </c:pt>
                <c:pt idx="142" formatCode="0.0000">
                  <c:v>1.7583761264846238</c:v>
                </c:pt>
                <c:pt idx="143" formatCode="0.0000">
                  <c:v>1.764793638740171</c:v>
                </c:pt>
                <c:pt idx="144" formatCode="0.0000">
                  <c:v>1.9329709930264041</c:v>
                </c:pt>
                <c:pt idx="145" formatCode="0.0000">
                  <c:v>1.9079408713598269</c:v>
                </c:pt>
                <c:pt idx="146" formatCode="0.0000">
                  <c:v>1.8100116473626595</c:v>
                </c:pt>
                <c:pt idx="147" formatCode="0.0000">
                  <c:v>1.9292261093073915</c:v>
                </c:pt>
                <c:pt idx="148" formatCode="0.0000">
                  <c:v>1.4077939420620944</c:v>
                </c:pt>
                <c:pt idx="149" formatCode="0.0000">
                  <c:v>1.2266128865736792</c:v>
                </c:pt>
                <c:pt idx="150" formatCode="0.0000">
                  <c:v>1.2704973738396077</c:v>
                </c:pt>
                <c:pt idx="151" formatCode="0.0000">
                  <c:v>1.0378373134303851</c:v>
                </c:pt>
                <c:pt idx="152" formatCode="0.0000">
                  <c:v>1.0352197237619054</c:v>
                </c:pt>
                <c:pt idx="153" formatCode="0.0000">
                  <c:v>1.0602462109151538</c:v>
                </c:pt>
                <c:pt idx="154" formatCode="0.0000">
                  <c:v>0.92508149898565251</c:v>
                </c:pt>
                <c:pt idx="155" formatCode="0.0000">
                  <c:v>1.1669904823170343</c:v>
                </c:pt>
                <c:pt idx="156" formatCode="0.0000">
                  <c:v>1.2361117163656417</c:v>
                </c:pt>
                <c:pt idx="157" formatCode="0.0000">
                  <c:v>1.3451706235192862</c:v>
                </c:pt>
                <c:pt idx="158" formatCode="0.0000">
                  <c:v>1.4166381061865052</c:v>
                </c:pt>
                <c:pt idx="159" formatCode="0.0000">
                  <c:v>1.3216016211493342</c:v>
                </c:pt>
                <c:pt idx="160" formatCode="0.0000">
                  <c:v>1.3504108040937974</c:v>
                </c:pt>
                <c:pt idx="161" formatCode="0.0000">
                  <c:v>1.4578485357679318</c:v>
                </c:pt>
                <c:pt idx="162" formatCode="0.0000">
                  <c:v>1.2264742339586545</c:v>
                </c:pt>
                <c:pt idx="163" formatCode="0.0000">
                  <c:v>1.0665340185043501</c:v>
                </c:pt>
                <c:pt idx="164" formatCode="0.0000">
                  <c:v>1.103976035589602</c:v>
                </c:pt>
                <c:pt idx="165" formatCode="0.0000">
                  <c:v>1.0040957577763605</c:v>
                </c:pt>
                <c:pt idx="166" formatCode="0.0000">
                  <c:v>1.0161004662150215</c:v>
                </c:pt>
                <c:pt idx="167" formatCode="0.0000">
                  <c:v>1.1700173083937948</c:v>
                </c:pt>
                <c:pt idx="168" formatCode="0.0000">
                  <c:v>1.0976390398350568</c:v>
                </c:pt>
                <c:pt idx="169" formatCode="0.0000">
                  <c:v>1.1279464399034098</c:v>
                </c:pt>
                <c:pt idx="170" formatCode="0.0000">
                  <c:v>1.0470230280414206</c:v>
                </c:pt>
                <c:pt idx="171" formatCode="0.0000">
                  <c:v>0.97962492310697857</c:v>
                </c:pt>
                <c:pt idx="172" formatCode="0.0000">
                  <c:v>1.180361996950424</c:v>
                </c:pt>
                <c:pt idx="173" formatCode="0.0000">
                  <c:v>1.0878505046540972</c:v>
                </c:pt>
                <c:pt idx="174" formatCode="0.0000">
                  <c:v>0.95727780061777679</c:v>
                </c:pt>
                <c:pt idx="175" formatCode="0.0000">
                  <c:v>0.9187628695615534</c:v>
                </c:pt>
                <c:pt idx="176" formatCode="0.0000">
                  <c:v>0.98047333142887561</c:v>
                </c:pt>
                <c:pt idx="177" formatCode="0.0000">
                  <c:v>1.0613857750362972</c:v>
                </c:pt>
                <c:pt idx="178" formatCode="0.0000">
                  <c:v>0.9555034065792779</c:v>
                </c:pt>
                <c:pt idx="179" formatCode="0.0000">
                  <c:v>0.770428324061881</c:v>
                </c:pt>
                <c:pt idx="180" formatCode="0.0000">
                  <c:v>0.81217739708523928</c:v>
                </c:pt>
                <c:pt idx="181" formatCode="0.0000">
                  <c:v>0.8424644835304268</c:v>
                </c:pt>
                <c:pt idx="182" formatCode="0.0000">
                  <c:v>0.90404636581175768</c:v>
                </c:pt>
                <c:pt idx="183" formatCode="0.0000">
                  <c:v>0.82280209355817657</c:v>
                </c:pt>
                <c:pt idx="184" formatCode="0.0000">
                  <c:v>0.76075831283322581</c:v>
                </c:pt>
                <c:pt idx="185" formatCode="0.0000">
                  <c:v>0.72735967509843424</c:v>
                </c:pt>
                <c:pt idx="186" formatCode="0.0000">
                  <c:v>0.76486710402366265</c:v>
                </c:pt>
                <c:pt idx="187" formatCode="0.0000">
                  <c:v>1.1528906372991539</c:v>
                </c:pt>
                <c:pt idx="188" formatCode="0.0000">
                  <c:v>1.0819219116860554</c:v>
                </c:pt>
                <c:pt idx="189" formatCode="0.0000">
                  <c:v>1.0014250373207934</c:v>
                </c:pt>
                <c:pt idx="190" formatCode="0.0000">
                  <c:v>1.0528079600116098</c:v>
                </c:pt>
                <c:pt idx="191" formatCode="0.0000">
                  <c:v>1.2396051269045849</c:v>
                </c:pt>
                <c:pt idx="192" formatCode="0.0000">
                  <c:v>1.2933563622003035</c:v>
                </c:pt>
                <c:pt idx="193" formatCode="0.0000">
                  <c:v>1.3198800184054531</c:v>
                </c:pt>
                <c:pt idx="194" formatCode="0.0000">
                  <c:v>0.90012827314185484</c:v>
                </c:pt>
                <c:pt idx="195" formatCode="0.0000">
                  <c:v>1.139450244840803</c:v>
                </c:pt>
                <c:pt idx="196" formatCode="0.0000">
                  <c:v>1.3346675038142295</c:v>
                </c:pt>
                <c:pt idx="197" formatCode="0.0000">
                  <c:v>1.3581655769057797</c:v>
                </c:pt>
                <c:pt idx="198" formatCode="0.0000">
                  <c:v>1.2379147417587184</c:v>
                </c:pt>
                <c:pt idx="199" formatCode="0.0000">
                  <c:v>1.2309001992386317</c:v>
                </c:pt>
                <c:pt idx="200" formatCode="0.0000">
                  <c:v>1.3756931252672724</c:v>
                </c:pt>
                <c:pt idx="201" formatCode="0.0000">
                  <c:v>1.9249551173143045</c:v>
                </c:pt>
                <c:pt idx="202" formatCode="0.0000">
                  <c:v>1.9794465813683846</c:v>
                </c:pt>
                <c:pt idx="203" formatCode="0.0000">
                  <c:v>1.8225622697896786</c:v>
                </c:pt>
                <c:pt idx="204" formatCode="0.0000">
                  <c:v>1.7603314592656578</c:v>
                </c:pt>
                <c:pt idx="205" formatCode="0.0000">
                  <c:v>1.6838223174915488</c:v>
                </c:pt>
                <c:pt idx="206" formatCode="0.0000">
                  <c:v>1.7038874611730004</c:v>
                </c:pt>
                <c:pt idx="207" formatCode="0.0000">
                  <c:v>1.5627223606232465</c:v>
                </c:pt>
                <c:pt idx="208" formatCode="0.0000">
                  <c:v>1.0351567774477342</c:v>
                </c:pt>
                <c:pt idx="209" formatCode="0.0000">
                  <c:v>0.86176414057433415</c:v>
                </c:pt>
                <c:pt idx="210" formatCode="0.0000">
                  <c:v>0.91735686608583766</c:v>
                </c:pt>
                <c:pt idx="211" formatCode="0.0000">
                  <c:v>0.98192662417146259</c:v>
                </c:pt>
                <c:pt idx="212" formatCode="0.0000">
                  <c:v>0.99294713188676753</c:v>
                </c:pt>
                <c:pt idx="213" formatCode="0.0000">
                  <c:v>1.080180269434464</c:v>
                </c:pt>
                <c:pt idx="214" formatCode="0.0000">
                  <c:v>1.1590508632710044</c:v>
                </c:pt>
                <c:pt idx="215" formatCode="0.0000">
                  <c:v>1.2585054277014456</c:v>
                </c:pt>
                <c:pt idx="216" formatCode="0.0000">
                  <c:v>1.2707741968968151</c:v>
                </c:pt>
                <c:pt idx="217" formatCode="0.0000">
                  <c:v>1.2941462510369111</c:v>
                </c:pt>
                <c:pt idx="218" formatCode="0.0000">
                  <c:v>1.3022997794253814</c:v>
                </c:pt>
                <c:pt idx="219" formatCode="0.0000">
                  <c:v>1.5110729170190715</c:v>
                </c:pt>
                <c:pt idx="220" formatCode="0.0000">
                  <c:v>1.5833310519751573</c:v>
                </c:pt>
                <c:pt idx="221" formatCode="0.0000">
                  <c:v>1.7030034860481693</c:v>
                </c:pt>
                <c:pt idx="222" formatCode="0.0000">
                  <c:v>1.7807360009454116</c:v>
                </c:pt>
                <c:pt idx="223" formatCode="0.0000">
                  <c:v>1.8790678192837025</c:v>
                </c:pt>
                <c:pt idx="224" formatCode="0.0000">
                  <c:v>2.0738604198317181</c:v>
                </c:pt>
                <c:pt idx="225" formatCode="0.0000">
                  <c:v>2.2015780208533724</c:v>
                </c:pt>
                <c:pt idx="226" formatCode="0.0000">
                  <c:v>2.2132251253318826</c:v>
                </c:pt>
                <c:pt idx="227" formatCode="0.0000">
                  <c:v>2.0869855923963518</c:v>
                </c:pt>
                <c:pt idx="228" formatCode="0.0000">
                  <c:v>1.9966215201196766</c:v>
                </c:pt>
                <c:pt idx="229" formatCode="0.0000">
                  <c:v>1.9982420884909577</c:v>
                </c:pt>
                <c:pt idx="230" formatCode="0.0000">
                  <c:v>1.9705546317196061</c:v>
                </c:pt>
                <c:pt idx="231" formatCode="0.0000">
                  <c:v>1.7832343390405456</c:v>
                </c:pt>
                <c:pt idx="232" formatCode="0.0000">
                  <c:v>1.7056938300094724</c:v>
                </c:pt>
                <c:pt idx="233" formatCode="0.0000">
                  <c:v>1.6219362718353996</c:v>
                </c:pt>
                <c:pt idx="234" formatCode="0.0000">
                  <c:v>1.6221680588280007</c:v>
                </c:pt>
                <c:pt idx="235" formatCode="0.0000">
                  <c:v>1.6442919363516342</c:v>
                </c:pt>
                <c:pt idx="236" formatCode="0.0000">
                  <c:v>1.5591095192477058</c:v>
                </c:pt>
                <c:pt idx="237" formatCode="0.0000">
                  <c:v>1.4490028411517455</c:v>
                </c:pt>
                <c:pt idx="238" formatCode="0.0000">
                  <c:v>1.4119935353648772</c:v>
                </c:pt>
                <c:pt idx="239" formatCode="0.0000">
                  <c:v>1.3527893625924352</c:v>
                </c:pt>
                <c:pt idx="240" formatCode="0.0000">
                  <c:v>1.3182960253987215</c:v>
                </c:pt>
                <c:pt idx="241" formatCode="0.0000">
                  <c:v>1.320402460260466</c:v>
                </c:pt>
                <c:pt idx="242" formatCode="0.0000">
                  <c:v>1.2161462371506662</c:v>
                </c:pt>
                <c:pt idx="243" formatCode="0.0000">
                  <c:v>1.2127455117221262</c:v>
                </c:pt>
                <c:pt idx="244" formatCode="0.0000">
                  <c:v>1.1929047968256619</c:v>
                </c:pt>
                <c:pt idx="245" formatCode="0.0000">
                  <c:v>1.1859926424387333</c:v>
                </c:pt>
                <c:pt idx="246" formatCode="0.0000">
                  <c:v>1.2452721492781269</c:v>
                </c:pt>
                <c:pt idx="247" formatCode="0.0000">
                  <c:v>1.2783100471260593</c:v>
                </c:pt>
                <c:pt idx="248" formatCode="0.0000">
                  <c:v>1.2841223371511585</c:v>
                </c:pt>
                <c:pt idx="249" formatCode="0.0000">
                  <c:v>1.3241738215550909</c:v>
                </c:pt>
                <c:pt idx="250" formatCode="0.0000">
                  <c:v>1.3829510140658889</c:v>
                </c:pt>
                <c:pt idx="251" formatCode="0.0000">
                  <c:v>1.4015898330576422</c:v>
                </c:pt>
                <c:pt idx="252" formatCode="0.0000">
                  <c:v>1.4271308890786536</c:v>
                </c:pt>
                <c:pt idx="253" formatCode="0.0000">
                  <c:v>1.4128072248098447</c:v>
                </c:pt>
                <c:pt idx="254" formatCode="0.0000">
                  <c:v>1.3654051555036697</c:v>
                </c:pt>
                <c:pt idx="255" formatCode="0.0000">
                  <c:v>1.313311943993426</c:v>
                </c:pt>
                <c:pt idx="256" formatCode="0.0000">
                  <c:v>1.2650083575211275</c:v>
                </c:pt>
                <c:pt idx="257" formatCode="0.0000">
                  <c:v>1.1641830989639275</c:v>
                </c:pt>
                <c:pt idx="258" formatCode="0.0000">
                  <c:v>1.1364003618404783</c:v>
                </c:pt>
                <c:pt idx="259" formatCode="0.0000">
                  <c:v>1.1076172018462382</c:v>
                </c:pt>
                <c:pt idx="260" formatCode="0.0000">
                  <c:v>1.0768406099714321</c:v>
                </c:pt>
                <c:pt idx="261" formatCode="0.0000">
                  <c:v>1.0313393351510265</c:v>
                </c:pt>
                <c:pt idx="262" formatCode="0.0000">
                  <c:v>1.0244852801784394</c:v>
                </c:pt>
                <c:pt idx="263" formatCode="0.0000">
                  <c:v>1.0018004077208347</c:v>
                </c:pt>
                <c:pt idx="264" formatCode="0.0000">
                  <c:v>0.99361180877033828</c:v>
                </c:pt>
                <c:pt idx="265" formatCode="0.0000">
                  <c:v>0.98140111526049589</c:v>
                </c:pt>
                <c:pt idx="266" formatCode="0.0000">
                  <c:v>0.93749966165062426</c:v>
                </c:pt>
                <c:pt idx="267" formatCode="0.0000">
                  <c:v>0.86046770003244022</c:v>
                </c:pt>
                <c:pt idx="268" formatCode="0.0000">
                  <c:v>0.85944674978889957</c:v>
                </c:pt>
                <c:pt idx="269" formatCode="0.0000">
                  <c:v>0.82450616221685524</c:v>
                </c:pt>
                <c:pt idx="270" formatCode="0.0000">
                  <c:v>0.78679452137221972</c:v>
                </c:pt>
                <c:pt idx="271" formatCode="0.0000">
                  <c:v>0.78156767631606638</c:v>
                </c:pt>
                <c:pt idx="272" formatCode="0.0000">
                  <c:v>0.73112674818891144</c:v>
                </c:pt>
                <c:pt idx="273" formatCode="0.0000">
                  <c:v>0.72341522187423102</c:v>
                </c:pt>
                <c:pt idx="274" formatCode="0.0000">
                  <c:v>0.69739980867946283</c:v>
                </c:pt>
                <c:pt idx="275" formatCode="0.0000">
                  <c:v>0.70982612391816213</c:v>
                </c:pt>
                <c:pt idx="276" formatCode="0.0000">
                  <c:v>0.72608839459843977</c:v>
                </c:pt>
                <c:pt idx="277" formatCode="0.0000">
                  <c:v>0.73735550313768539</c:v>
                </c:pt>
                <c:pt idx="278" formatCode="0.0000">
                  <c:v>0.73012883274787332</c:v>
                </c:pt>
                <c:pt idx="279" formatCode="0.0000">
                  <c:v>0.74545761711206016</c:v>
                </c:pt>
                <c:pt idx="280" formatCode="0.0000">
                  <c:v>0.69488723447816392</c:v>
                </c:pt>
                <c:pt idx="281" formatCode="0.0000">
                  <c:v>0.70972882266179904</c:v>
                </c:pt>
                <c:pt idx="282" formatCode="0.0000">
                  <c:v>0.77191008206389078</c:v>
                </c:pt>
                <c:pt idx="283" formatCode="0.0000">
                  <c:v>0.76553245249004076</c:v>
                </c:pt>
                <c:pt idx="284" formatCode="0.0000">
                  <c:v>0.77946829734903744</c:v>
                </c:pt>
                <c:pt idx="285" formatCode="0.0000">
                  <c:v>0.73433693189789884</c:v>
                </c:pt>
                <c:pt idx="286" formatCode="0.0000">
                  <c:v>0.74726627676808532</c:v>
                </c:pt>
                <c:pt idx="287" formatCode="0.0000">
                  <c:v>0.75773854910803295</c:v>
                </c:pt>
                <c:pt idx="288" formatCode="0.0000">
                  <c:v>0.79613147098540227</c:v>
                </c:pt>
                <c:pt idx="289" formatCode="0.0000">
                  <c:v>0.71873561357410032</c:v>
                </c:pt>
                <c:pt idx="290" formatCode="0.0000">
                  <c:v>0.71775641408607549</c:v>
                </c:pt>
                <c:pt idx="291" formatCode="0.0000">
                  <c:v>0.71065516244811167</c:v>
                </c:pt>
                <c:pt idx="292" formatCode="0.0000">
                  <c:v>0.75176795740501046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1356-4839-896B-C589C93EEDD7}"/>
            </c:ext>
          </c:extLst>
        </c:ser>
        <c:ser>
          <c:idx val="8"/>
          <c:order val="8"/>
          <c:tx>
            <c:strRef>
              <c:f>'R(t) Województwa'!$BN$2</c:f>
              <c:strCache>
                <c:ptCount val="1"/>
                <c:pt idx="0">
                  <c:v>Podkarpackie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Województwa'!$BN$3:$BN$1000</c:f>
              <c:numCache>
                <c:formatCode>General</c:formatCode>
                <c:ptCount val="998"/>
                <c:pt idx="31" formatCode="0.0000">
                  <c:v>1.1596232794011114</c:v>
                </c:pt>
                <c:pt idx="32" formatCode="0.0000">
                  <c:v>1.0252211108284568</c:v>
                </c:pt>
                <c:pt idx="33" formatCode="0.0000">
                  <c:v>1.0399696775188749</c:v>
                </c:pt>
                <c:pt idx="34" formatCode="0.0000">
                  <c:v>0.92252928215103769</c:v>
                </c:pt>
                <c:pt idx="35" formatCode="0.0000">
                  <c:v>0.94631202335859987</c:v>
                </c:pt>
                <c:pt idx="36" formatCode="0.0000">
                  <c:v>0.96114560119333114</c:v>
                </c:pt>
                <c:pt idx="37" formatCode="0.0000">
                  <c:v>0.99552521563748619</c:v>
                </c:pt>
                <c:pt idx="38" formatCode="0.0000">
                  <c:v>1.008659693947634</c:v>
                </c:pt>
                <c:pt idx="39" formatCode="0.0000">
                  <c:v>1.0079675731729019</c:v>
                </c:pt>
                <c:pt idx="40" formatCode="0.0000">
                  <c:v>0.86688328951243399</c:v>
                </c:pt>
                <c:pt idx="41" formatCode="0.0000">
                  <c:v>0.83927469971680357</c:v>
                </c:pt>
                <c:pt idx="42" formatCode="0.0000">
                  <c:v>0.82349694919174787</c:v>
                </c:pt>
                <c:pt idx="43" formatCode="0.0000">
                  <c:v>0.80991891530169224</c:v>
                </c:pt>
                <c:pt idx="44" formatCode="0.0000">
                  <c:v>0.68339277898960826</c:v>
                </c:pt>
                <c:pt idx="45" formatCode="0.0000">
                  <c:v>0.58801400929664904</c:v>
                </c:pt>
                <c:pt idx="46" formatCode="0.0000">
                  <c:v>0.60334687274652055</c:v>
                </c:pt>
                <c:pt idx="47" formatCode="0.0000">
                  <c:v>0.66266841178356206</c:v>
                </c:pt>
                <c:pt idx="48" formatCode="0.0000">
                  <c:v>0.66620493833008454</c:v>
                </c:pt>
                <c:pt idx="49" formatCode="0.0000">
                  <c:v>0.6168711086814006</c:v>
                </c:pt>
                <c:pt idx="50" formatCode="0.0000">
                  <c:v>0.61594199029788399</c:v>
                </c:pt>
                <c:pt idx="51" formatCode="0.0000">
                  <c:v>0.6381165292829859</c:v>
                </c:pt>
                <c:pt idx="52" formatCode="0.0000">
                  <c:v>0.77320606923223834</c:v>
                </c:pt>
                <c:pt idx="53" formatCode="0.0000">
                  <c:v>1.1504373879636745</c:v>
                </c:pt>
                <c:pt idx="54" formatCode="0.0000">
                  <c:v>1.1122192270816789</c:v>
                </c:pt>
                <c:pt idx="55" formatCode="0.0000">
                  <c:v>1.1101175488812234</c:v>
                </c:pt>
                <c:pt idx="56" formatCode="0.0000">
                  <c:v>1.2082234692842106</c:v>
                </c:pt>
                <c:pt idx="57" formatCode="0.0000">
                  <c:v>1.1331497795706618</c:v>
                </c:pt>
                <c:pt idx="58" formatCode="0.0000">
                  <c:v>1.0870507776961849</c:v>
                </c:pt>
                <c:pt idx="59" formatCode="0.0000">
                  <c:v>1.0619517292686702</c:v>
                </c:pt>
                <c:pt idx="60" formatCode="0.0000">
                  <c:v>0.63487005738219171</c:v>
                </c:pt>
                <c:pt idx="61" formatCode="0.0000">
                  <c:v>0.82026904486825813</c:v>
                </c:pt>
                <c:pt idx="62" formatCode="0.0000">
                  <c:v>1.0580786266904576</c:v>
                </c:pt>
                <c:pt idx="63" formatCode="0.0000">
                  <c:v>0.93510947594761706</c:v>
                </c:pt>
                <c:pt idx="64" formatCode="0.0000">
                  <c:v>0.87678839073945436</c:v>
                </c:pt>
                <c:pt idx="65" formatCode="0.0000">
                  <c:v>0.9054853882363737</c:v>
                </c:pt>
                <c:pt idx="66" formatCode="0.0000">
                  <c:v>0.76712654480662201</c:v>
                </c:pt>
                <c:pt idx="67" formatCode="0.0000">
                  <c:v>0.67507630639283867</c:v>
                </c:pt>
                <c:pt idx="68" formatCode="0.0000">
                  <c:v>0.492079574784482</c:v>
                </c:pt>
                <c:pt idx="69" formatCode="0.0000">
                  <c:v>0.19898543497648502</c:v>
                </c:pt>
                <c:pt idx="70" formatCode="0.0000">
                  <c:v>0.14018267574881374</c:v>
                </c:pt>
                <c:pt idx="71" formatCode="0.0000">
                  <c:v>0.14018267574881385</c:v>
                </c:pt>
                <c:pt idx="72" formatCode="0.0000">
                  <c:v>0.21553795628524572</c:v>
                </c:pt>
                <c:pt idx="73" formatCode="0.0000">
                  <c:v>0.16049013109019819</c:v>
                </c:pt>
                <c:pt idx="74" formatCode="0.0000">
                  <c:v>0.23488169593387451</c:v>
                </c:pt>
                <c:pt idx="75" formatCode="0.0000">
                  <c:v>0.19967937257591398</c:v>
                </c:pt>
                <c:pt idx="76" formatCode="0.0000">
                  <c:v>0.19967937257591403</c:v>
                </c:pt>
                <c:pt idx="77" formatCode="0.0000">
                  <c:v>0.19967937257591398</c:v>
                </c:pt>
                <c:pt idx="78" formatCode="0.0000">
                  <c:v>0.19967937257591387</c:v>
                </c:pt>
                <c:pt idx="79" formatCode="0.0000">
                  <c:v>0.22234053459061615</c:v>
                </c:pt>
                <c:pt idx="80" formatCode="0.0000">
                  <c:v>0.36953999019136419</c:v>
                </c:pt>
                <c:pt idx="81" formatCode="0.0000">
                  <c:v>0.44171145842217513</c:v>
                </c:pt>
                <c:pt idx="82" formatCode="0.0000">
                  <c:v>0.7337552423691841</c:v>
                </c:pt>
                <c:pt idx="83" formatCode="0.0000">
                  <c:v>0.73375524236918399</c:v>
                </c:pt>
                <c:pt idx="84" formatCode="0.0000">
                  <c:v>0.73375524236918399</c:v>
                </c:pt>
                <c:pt idx="85" formatCode="0.0000">
                  <c:v>0.7337552423691841</c:v>
                </c:pt>
                <c:pt idx="86" formatCode="0.0000">
                  <c:v>0.98935665851220933</c:v>
                </c:pt>
                <c:pt idx="87" formatCode="0.0000">
                  <c:v>1.162259169127408</c:v>
                </c:pt>
                <c:pt idx="88" formatCode="0.0000">
                  <c:v>1.0156961360529206</c:v>
                </c:pt>
                <c:pt idx="89" formatCode="0.0000">
                  <c:v>1.5167165612419213</c:v>
                </c:pt>
                <c:pt idx="90" formatCode="0.0000">
                  <c:v>1.5167165612419211</c:v>
                </c:pt>
                <c:pt idx="91" formatCode="0.0000">
                  <c:v>1.5167165612419211</c:v>
                </c:pt>
                <c:pt idx="92" formatCode="0.0000">
                  <c:v>1.647542386550459</c:v>
                </c:pt>
                <c:pt idx="93" formatCode="0.0000">
                  <c:v>1.2439920006604945</c:v>
                </c:pt>
                <c:pt idx="94" formatCode="0.0000">
                  <c:v>0.92389003444454809</c:v>
                </c:pt>
                <c:pt idx="95" formatCode="0.0000">
                  <c:v>1.1041270071448366</c:v>
                </c:pt>
                <c:pt idx="96" formatCode="0.0000">
                  <c:v>0.65854781268766549</c:v>
                </c:pt>
                <c:pt idx="97" formatCode="0.0000">
                  <c:v>1.3796937840019339</c:v>
                </c:pt>
                <c:pt idx="98" formatCode="0.0000">
                  <c:v>2.3849097547962734</c:v>
                </c:pt>
                <c:pt idx="99" formatCode="0.0000">
                  <c:v>2.4994267407155575</c:v>
                </c:pt>
                <c:pt idx="100" formatCode="0.0000">
                  <c:v>2.5884411626773067</c:v>
                </c:pt>
                <c:pt idx="101" formatCode="0.0000">
                  <c:v>2.9647609307648612</c:v>
                </c:pt>
                <c:pt idx="102" formatCode="0.0000">
                  <c:v>3.3947082642445148</c:v>
                </c:pt>
                <c:pt idx="103" formatCode="0.0000">
                  <c:v>3.567032602101416</c:v>
                </c:pt>
                <c:pt idx="104" formatCode="0.0000">
                  <c:v>3.110141660277205</c:v>
                </c:pt>
                <c:pt idx="105" formatCode="0.0000">
                  <c:v>2.3237415738051905</c:v>
                </c:pt>
                <c:pt idx="106" formatCode="0.0000">
                  <c:v>2.3756293334235443</c:v>
                </c:pt>
                <c:pt idx="107" formatCode="0.0000">
                  <c:v>2.4492352269586339</c:v>
                </c:pt>
                <c:pt idx="108" formatCode="0.0000">
                  <c:v>2.2456732257542265</c:v>
                </c:pt>
                <c:pt idx="109" formatCode="0.0000">
                  <c:v>1.7258116271899375</c:v>
                </c:pt>
                <c:pt idx="110" formatCode="0.0000">
                  <c:v>1.3830453013619461</c:v>
                </c:pt>
                <c:pt idx="111" formatCode="0.0000">
                  <c:v>1.2241384076358595</c:v>
                </c:pt>
                <c:pt idx="112" formatCode="0.0000">
                  <c:v>1.1147761561686409</c:v>
                </c:pt>
                <c:pt idx="113" formatCode="0.0000">
                  <c:v>0.98739976023572795</c:v>
                </c:pt>
                <c:pt idx="114" formatCode="0.0000">
                  <c:v>0.99016860323840683</c:v>
                </c:pt>
                <c:pt idx="115" formatCode="0.0000">
                  <c:v>1.0061130141821495</c:v>
                </c:pt>
                <c:pt idx="116" formatCode="0.0000">
                  <c:v>1.1477721754525008</c:v>
                </c:pt>
                <c:pt idx="117" formatCode="0.0000">
                  <c:v>1.1363946029896237</c:v>
                </c:pt>
                <c:pt idx="118" formatCode="0.0000">
                  <c:v>1.1698788947688514</c:v>
                </c:pt>
                <c:pt idx="119" formatCode="0.0000">
                  <c:v>1.0836575029940645</c:v>
                </c:pt>
                <c:pt idx="120" formatCode="0.0000">
                  <c:v>1.1776935849407271</c:v>
                </c:pt>
                <c:pt idx="121" formatCode="0.0000">
                  <c:v>1.1653138824656524</c:v>
                </c:pt>
                <c:pt idx="122" formatCode="0.0000">
                  <c:v>1.1164317060659366</c:v>
                </c:pt>
                <c:pt idx="123" formatCode="0.0000">
                  <c:v>1.351936331202795</c:v>
                </c:pt>
                <c:pt idx="124" formatCode="0.0000">
                  <c:v>1.4244910124152379</c:v>
                </c:pt>
                <c:pt idx="125" formatCode="0.0000">
                  <c:v>1.3903714376099572</c:v>
                </c:pt>
                <c:pt idx="126" formatCode="0.0000">
                  <c:v>1.5095017054124575</c:v>
                </c:pt>
                <c:pt idx="127" formatCode="0.0000">
                  <c:v>1.4718285043607371</c:v>
                </c:pt>
                <c:pt idx="128" formatCode="0.0000">
                  <c:v>1.3729551351708977</c:v>
                </c:pt>
                <c:pt idx="129" formatCode="0.0000">
                  <c:v>1.3689219066833378</c:v>
                </c:pt>
                <c:pt idx="130" formatCode="0.0000">
                  <c:v>0.97835935315381051</c:v>
                </c:pt>
                <c:pt idx="131" formatCode="0.0000">
                  <c:v>1.1610585865905707</c:v>
                </c:pt>
                <c:pt idx="132" formatCode="0.0000">
                  <c:v>1.5002412612714531</c:v>
                </c:pt>
                <c:pt idx="133" formatCode="0.0000">
                  <c:v>1.4239146698456933</c:v>
                </c:pt>
                <c:pt idx="134" formatCode="0.0000">
                  <c:v>1.2513458774675681</c:v>
                </c:pt>
                <c:pt idx="135" formatCode="0.0000">
                  <c:v>1.432821501016496</c:v>
                </c:pt>
                <c:pt idx="136" formatCode="0.0000">
                  <c:v>1.4048410541199154</c:v>
                </c:pt>
                <c:pt idx="137" formatCode="0.0000">
                  <c:v>1.4830869515850407</c:v>
                </c:pt>
                <c:pt idx="138" formatCode="0.0000">
                  <c:v>1.1663996942927994</c:v>
                </c:pt>
                <c:pt idx="139" formatCode="0.0000">
                  <c:v>0.86281218341229859</c:v>
                </c:pt>
                <c:pt idx="140" formatCode="0.0000">
                  <c:v>0.84792775448391289</c:v>
                </c:pt>
                <c:pt idx="141" formatCode="0.0000">
                  <c:v>0.91395095399029924</c:v>
                </c:pt>
                <c:pt idx="142" formatCode="0.0000">
                  <c:v>0.82247099260120515</c:v>
                </c:pt>
                <c:pt idx="143" formatCode="0.0000">
                  <c:v>0.76504656163355167</c:v>
                </c:pt>
                <c:pt idx="144" formatCode="0.0000">
                  <c:v>0.77642390032972397</c:v>
                </c:pt>
                <c:pt idx="145" formatCode="0.0000">
                  <c:v>0.76515920277819249</c:v>
                </c:pt>
                <c:pt idx="146" formatCode="0.0000">
                  <c:v>0.67377572524816653</c:v>
                </c:pt>
                <c:pt idx="147" formatCode="0.0000">
                  <c:v>0.79361340101085431</c:v>
                </c:pt>
                <c:pt idx="148" formatCode="0.0000">
                  <c:v>0.87526519109475542</c:v>
                </c:pt>
                <c:pt idx="149" formatCode="0.0000">
                  <c:v>1.1032694201393944</c:v>
                </c:pt>
                <c:pt idx="150" formatCode="0.0000">
                  <c:v>1.2412510342999339</c:v>
                </c:pt>
                <c:pt idx="151" formatCode="0.0000">
                  <c:v>1.2419998000581067</c:v>
                </c:pt>
                <c:pt idx="152" formatCode="0.0000">
                  <c:v>1.2934944705230413</c:v>
                </c:pt>
                <c:pt idx="153" formatCode="0.0000">
                  <c:v>1.507947554041779</c:v>
                </c:pt>
                <c:pt idx="154" formatCode="0.0000">
                  <c:v>1.566411337213107</c:v>
                </c:pt>
                <c:pt idx="155" formatCode="0.0000">
                  <c:v>1.5299011881352524</c:v>
                </c:pt>
                <c:pt idx="156" formatCode="0.0000">
                  <c:v>1.3240771843031747</c:v>
                </c:pt>
                <c:pt idx="157" formatCode="0.0000">
                  <c:v>1.3080627445055739</c:v>
                </c:pt>
                <c:pt idx="158" formatCode="0.0000">
                  <c:v>1.3512273176007716</c:v>
                </c:pt>
                <c:pt idx="159" formatCode="0.0000">
                  <c:v>1.3322138991262691</c:v>
                </c:pt>
                <c:pt idx="160" formatCode="0.0000">
                  <c:v>1.2375446845618341</c:v>
                </c:pt>
                <c:pt idx="161" formatCode="0.0000">
                  <c:v>1.0792082719308884</c:v>
                </c:pt>
                <c:pt idx="162" formatCode="0.0000">
                  <c:v>1.0197377438233894</c:v>
                </c:pt>
                <c:pt idx="163" formatCode="0.0000">
                  <c:v>1.0822726091906139</c:v>
                </c:pt>
                <c:pt idx="164" formatCode="0.0000">
                  <c:v>1.0885829884515812</c:v>
                </c:pt>
                <c:pt idx="165" formatCode="0.0000">
                  <c:v>1.0373385832513016</c:v>
                </c:pt>
                <c:pt idx="166" formatCode="0.0000">
                  <c:v>1.0772463071785991</c:v>
                </c:pt>
                <c:pt idx="167" formatCode="0.0000">
                  <c:v>1.0660000259378077</c:v>
                </c:pt>
                <c:pt idx="168" formatCode="0.0000">
                  <c:v>1.158467935959542</c:v>
                </c:pt>
                <c:pt idx="169" formatCode="0.0000">
                  <c:v>1.1887322033166277</c:v>
                </c:pt>
                <c:pt idx="170" formatCode="0.0000">
                  <c:v>1.0675074110784184</c:v>
                </c:pt>
                <c:pt idx="171" formatCode="0.0000">
                  <c:v>1.0862102800904447</c:v>
                </c:pt>
                <c:pt idx="172" formatCode="0.0000">
                  <c:v>1.0571931755707946</c:v>
                </c:pt>
                <c:pt idx="173" formatCode="0.0000">
                  <c:v>1.0772764582871244</c:v>
                </c:pt>
                <c:pt idx="174" formatCode="0.0000">
                  <c:v>1.0028183254397718</c:v>
                </c:pt>
                <c:pt idx="175" formatCode="0.0000">
                  <c:v>1.0872820411725341</c:v>
                </c:pt>
                <c:pt idx="176" formatCode="0.0000">
                  <c:v>1.1380738351076354</c:v>
                </c:pt>
                <c:pt idx="177" formatCode="0.0000">
                  <c:v>1.1507477000220994</c:v>
                </c:pt>
                <c:pt idx="178" formatCode="0.0000">
                  <c:v>1.2144484332028216</c:v>
                </c:pt>
                <c:pt idx="179" formatCode="0.0000">
                  <c:v>1.2243290222458039</c:v>
                </c:pt>
                <c:pt idx="180" formatCode="0.0000">
                  <c:v>1.139224889793917</c:v>
                </c:pt>
                <c:pt idx="181" formatCode="0.0000">
                  <c:v>1.1679984321452115</c:v>
                </c:pt>
                <c:pt idx="182" formatCode="0.0000">
                  <c:v>1.0136826863218151</c:v>
                </c:pt>
                <c:pt idx="183" formatCode="0.0000">
                  <c:v>1.00168575799115</c:v>
                </c:pt>
                <c:pt idx="184" formatCode="0.0000">
                  <c:v>0.9990027263319986</c:v>
                </c:pt>
                <c:pt idx="185" formatCode="0.0000">
                  <c:v>1.0848337932279315</c:v>
                </c:pt>
                <c:pt idx="186" formatCode="0.0000">
                  <c:v>1.1263882530723619</c:v>
                </c:pt>
                <c:pt idx="187" formatCode="0.0000">
                  <c:v>1.1255384760401774</c:v>
                </c:pt>
                <c:pt idx="188" formatCode="0.0000">
                  <c:v>1.086243155750696</c:v>
                </c:pt>
                <c:pt idx="189" formatCode="0.0000">
                  <c:v>1.0467502538261557</c:v>
                </c:pt>
                <c:pt idx="190" formatCode="0.0000">
                  <c:v>0.95417954440939678</c:v>
                </c:pt>
                <c:pt idx="191" formatCode="0.0000">
                  <c:v>0.90390937473172595</c:v>
                </c:pt>
                <c:pt idx="192" formatCode="0.0000">
                  <c:v>0.75412104134615621</c:v>
                </c:pt>
                <c:pt idx="193" formatCode="0.0000">
                  <c:v>0.73099933311433152</c:v>
                </c:pt>
                <c:pt idx="194" formatCode="0.0000">
                  <c:v>0.76357199991326397</c:v>
                </c:pt>
                <c:pt idx="195" formatCode="0.0000">
                  <c:v>0.85695349339610249</c:v>
                </c:pt>
                <c:pt idx="196" formatCode="0.0000">
                  <c:v>0.88180352816237417</c:v>
                </c:pt>
                <c:pt idx="197" formatCode="0.0000">
                  <c:v>0.94358241693216427</c:v>
                </c:pt>
                <c:pt idx="198" formatCode="0.0000">
                  <c:v>1.0492860760055507</c:v>
                </c:pt>
                <c:pt idx="199" formatCode="0.0000">
                  <c:v>1.04473737120123</c:v>
                </c:pt>
                <c:pt idx="200" formatCode="0.0000">
                  <c:v>1.1555307289802674</c:v>
                </c:pt>
                <c:pt idx="201" formatCode="0.0000">
                  <c:v>1.2382933249718084</c:v>
                </c:pt>
                <c:pt idx="202" formatCode="0.0000">
                  <c:v>1.2599001153718408</c:v>
                </c:pt>
                <c:pt idx="203" formatCode="0.0000">
                  <c:v>1.2736367787860938</c:v>
                </c:pt>
                <c:pt idx="204" formatCode="0.0000">
                  <c:v>1.208198876761051</c:v>
                </c:pt>
                <c:pt idx="205" formatCode="0.0000">
                  <c:v>1.2510630089348591</c:v>
                </c:pt>
                <c:pt idx="206" formatCode="0.0000">
                  <c:v>1.2369998581994446</c:v>
                </c:pt>
                <c:pt idx="207" formatCode="0.0000">
                  <c:v>1.1933184102406469</c:v>
                </c:pt>
                <c:pt idx="208" formatCode="0.0000">
                  <c:v>1.1810865773423431</c:v>
                </c:pt>
                <c:pt idx="209" formatCode="0.0000">
                  <c:v>1.1929792911159667</c:v>
                </c:pt>
                <c:pt idx="210" formatCode="0.0000">
                  <c:v>1.397420975834873</c:v>
                </c:pt>
                <c:pt idx="211" formatCode="0.0000">
                  <c:v>1.529732296827407</c:v>
                </c:pt>
                <c:pt idx="212" formatCode="0.0000">
                  <c:v>1.5382380825725512</c:v>
                </c:pt>
                <c:pt idx="213" formatCode="0.0000">
                  <c:v>1.782487534731132</c:v>
                </c:pt>
                <c:pt idx="214" formatCode="0.0000">
                  <c:v>1.7704961441359626</c:v>
                </c:pt>
                <c:pt idx="215" formatCode="0.0000">
                  <c:v>1.7674191935397991</c:v>
                </c:pt>
                <c:pt idx="216" formatCode="0.0000">
                  <c:v>1.7582100075083211</c:v>
                </c:pt>
                <c:pt idx="217" formatCode="0.0000">
                  <c:v>1.6361154230731818</c:v>
                </c:pt>
                <c:pt idx="218" formatCode="0.0000">
                  <c:v>1.6002761504569101</c:v>
                </c:pt>
                <c:pt idx="219" formatCode="0.0000">
                  <c:v>1.6831754594554105</c:v>
                </c:pt>
                <c:pt idx="220" formatCode="0.0000">
                  <c:v>1.6398068590583665</c:v>
                </c:pt>
                <c:pt idx="221" formatCode="0.0000">
                  <c:v>1.7154749021426183</c:v>
                </c:pt>
                <c:pt idx="222" formatCode="0.0000">
                  <c:v>1.745037883591072</c:v>
                </c:pt>
                <c:pt idx="223" formatCode="0.0000">
                  <c:v>1.7784968338505678</c:v>
                </c:pt>
                <c:pt idx="224" formatCode="0.0000">
                  <c:v>1.8455377818348448</c:v>
                </c:pt>
                <c:pt idx="225" formatCode="0.0000">
                  <c:v>1.85064620637717</c:v>
                </c:pt>
                <c:pt idx="226" formatCode="0.0000">
                  <c:v>1.7715741707305459</c:v>
                </c:pt>
                <c:pt idx="227" formatCode="0.0000">
                  <c:v>1.6740852275452192</c:v>
                </c:pt>
                <c:pt idx="228" formatCode="0.0000">
                  <c:v>1.694243132083187</c:v>
                </c:pt>
                <c:pt idx="229" formatCode="0.0000">
                  <c:v>1.7368386491880288</c:v>
                </c:pt>
                <c:pt idx="230" formatCode="0.0000">
                  <c:v>1.6661057326737969</c:v>
                </c:pt>
                <c:pt idx="231" formatCode="0.0000">
                  <c:v>1.6443261810386143</c:v>
                </c:pt>
                <c:pt idx="232" formatCode="0.0000">
                  <c:v>1.7347713358200461</c:v>
                </c:pt>
                <c:pt idx="233" formatCode="0.0000">
                  <c:v>1.7179114872672019</c:v>
                </c:pt>
                <c:pt idx="234" formatCode="0.0000">
                  <c:v>1.6529482351138864</c:v>
                </c:pt>
                <c:pt idx="235" formatCode="0.0000">
                  <c:v>1.5546982842297816</c:v>
                </c:pt>
                <c:pt idx="236" formatCode="0.0000">
                  <c:v>1.4853830456864447</c:v>
                </c:pt>
                <c:pt idx="237" formatCode="0.0000">
                  <c:v>1.4851707746712626</c:v>
                </c:pt>
                <c:pt idx="238" formatCode="0.0000">
                  <c:v>1.4186166599498213</c:v>
                </c:pt>
                <c:pt idx="239" formatCode="0.0000">
                  <c:v>1.3615439813931351</c:v>
                </c:pt>
                <c:pt idx="240" formatCode="0.0000">
                  <c:v>1.4004652182110224</c:v>
                </c:pt>
                <c:pt idx="241" formatCode="0.0000">
                  <c:v>1.4040242681021629</c:v>
                </c:pt>
                <c:pt idx="242" formatCode="0.0000">
                  <c:v>1.4182926131519971</c:v>
                </c:pt>
                <c:pt idx="243" formatCode="0.0000">
                  <c:v>1.4000275564185258</c:v>
                </c:pt>
                <c:pt idx="244" formatCode="0.0000">
                  <c:v>1.3968066644226449</c:v>
                </c:pt>
                <c:pt idx="245" formatCode="0.0000">
                  <c:v>1.3744105916013571</c:v>
                </c:pt>
                <c:pt idx="246" formatCode="0.0000">
                  <c:v>1.3445323926361348</c:v>
                </c:pt>
                <c:pt idx="247" formatCode="0.0000">
                  <c:v>1.3079260716658054</c:v>
                </c:pt>
                <c:pt idx="248" formatCode="0.0000">
                  <c:v>1.3067949282906803</c:v>
                </c:pt>
                <c:pt idx="249" formatCode="0.0000">
                  <c:v>1.3136109634356516</c:v>
                </c:pt>
                <c:pt idx="250" formatCode="0.0000">
                  <c:v>1.3291572032737389</c:v>
                </c:pt>
                <c:pt idx="251" formatCode="0.0000">
                  <c:v>1.3103508928317471</c:v>
                </c:pt>
                <c:pt idx="252" formatCode="0.0000">
                  <c:v>1.3086035092915775</c:v>
                </c:pt>
                <c:pt idx="253" formatCode="0.0000">
                  <c:v>1.2478843856551347</c:v>
                </c:pt>
                <c:pt idx="254" formatCode="0.0000">
                  <c:v>1.1727184095956307</c:v>
                </c:pt>
                <c:pt idx="255" formatCode="0.0000">
                  <c:v>1.0911937819950659</c:v>
                </c:pt>
                <c:pt idx="256" formatCode="0.0000">
                  <c:v>0.98624508564026492</c:v>
                </c:pt>
                <c:pt idx="257" formatCode="0.0000">
                  <c:v>0.88968855083125808</c:v>
                </c:pt>
                <c:pt idx="258" formatCode="0.0000">
                  <c:v>0.85666014973052473</c:v>
                </c:pt>
                <c:pt idx="259" formatCode="0.0000">
                  <c:v>0.79382693680201932</c:v>
                </c:pt>
                <c:pt idx="260" formatCode="0.0000">
                  <c:v>0.77339963154499169</c:v>
                </c:pt>
                <c:pt idx="261" formatCode="0.0000">
                  <c:v>0.78500402683771231</c:v>
                </c:pt>
                <c:pt idx="262" formatCode="0.0000">
                  <c:v>0.76141506909215351</c:v>
                </c:pt>
                <c:pt idx="263" formatCode="0.0000">
                  <c:v>0.75615335084950253</c:v>
                </c:pt>
                <c:pt idx="264" formatCode="0.0000">
                  <c:v>0.75358351284795155</c:v>
                </c:pt>
                <c:pt idx="265" formatCode="0.0000">
                  <c:v>0.73659095760892945</c:v>
                </c:pt>
                <c:pt idx="266" formatCode="0.0000">
                  <c:v>0.755657236966643</c:v>
                </c:pt>
                <c:pt idx="267" formatCode="0.0000">
                  <c:v>0.75315305535523558</c:v>
                </c:pt>
                <c:pt idx="268" formatCode="0.0000">
                  <c:v>0.71752554499917875</c:v>
                </c:pt>
                <c:pt idx="269" formatCode="0.0000">
                  <c:v>0.74674279283262279</c:v>
                </c:pt>
                <c:pt idx="270" formatCode="0.0000">
                  <c:v>0.75405462866905515</c:v>
                </c:pt>
                <c:pt idx="271" formatCode="0.0000">
                  <c:v>0.71590529530756264</c:v>
                </c:pt>
                <c:pt idx="272" formatCode="0.0000">
                  <c:v>0.67549767002212491</c:v>
                </c:pt>
                <c:pt idx="273" formatCode="0.0000">
                  <c:v>0.66666603311790718</c:v>
                </c:pt>
                <c:pt idx="274" formatCode="0.0000">
                  <c:v>0.69067817184922309</c:v>
                </c:pt>
                <c:pt idx="275" formatCode="0.0000">
                  <c:v>0.67665542770974096</c:v>
                </c:pt>
                <c:pt idx="276" formatCode="0.0000">
                  <c:v>0.61552146292698551</c:v>
                </c:pt>
                <c:pt idx="277" formatCode="0.0000">
                  <c:v>0.55509070167766417</c:v>
                </c:pt>
                <c:pt idx="278" formatCode="0.0000">
                  <c:v>0.54646239184030576</c:v>
                </c:pt>
                <c:pt idx="279" formatCode="0.0000">
                  <c:v>0.55594316174078096</c:v>
                </c:pt>
                <c:pt idx="280" formatCode="0.0000">
                  <c:v>0.55092583014304419</c:v>
                </c:pt>
                <c:pt idx="281" formatCode="0.0000">
                  <c:v>0.52357058238111687</c:v>
                </c:pt>
                <c:pt idx="282" formatCode="0.0000">
                  <c:v>0.58509556940397378</c:v>
                </c:pt>
                <c:pt idx="283" formatCode="0.0000">
                  <c:v>0.60457679706687451</c:v>
                </c:pt>
                <c:pt idx="284" formatCode="0.0000">
                  <c:v>0.74997420764626077</c:v>
                </c:pt>
                <c:pt idx="285" formatCode="0.0000">
                  <c:v>0.77397775596806828</c:v>
                </c:pt>
                <c:pt idx="286" formatCode="0.0000">
                  <c:v>0.79765359226192112</c:v>
                </c:pt>
                <c:pt idx="287" formatCode="0.0000">
                  <c:v>0.85957330749933247</c:v>
                </c:pt>
                <c:pt idx="288" formatCode="0.0000">
                  <c:v>0.90562449895792152</c:v>
                </c:pt>
                <c:pt idx="289" formatCode="0.0000">
                  <c:v>0.87096143219920152</c:v>
                </c:pt>
                <c:pt idx="290" formatCode="0.0000">
                  <c:v>0.84461698366706706</c:v>
                </c:pt>
                <c:pt idx="291" formatCode="0.0000">
                  <c:v>0.80652462467671349</c:v>
                </c:pt>
                <c:pt idx="292" formatCode="0.0000">
                  <c:v>0.79496580147577922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1356-4839-896B-C589C93EEDD7}"/>
            </c:ext>
          </c:extLst>
        </c:ser>
        <c:ser>
          <c:idx val="9"/>
          <c:order val="9"/>
          <c:tx>
            <c:strRef>
              <c:f>'R(t) Województwa'!$BU$2</c:f>
              <c:strCache>
                <c:ptCount val="1"/>
                <c:pt idx="0">
                  <c:v>Podlaskie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Województwa'!$BU$3:$BU$1000</c:f>
              <c:numCache>
                <c:formatCode>General</c:formatCode>
                <c:ptCount val="998"/>
                <c:pt idx="36" formatCode="0.0000">
                  <c:v>1.5356125356125359</c:v>
                </c:pt>
                <c:pt idx="37" formatCode="0.0000">
                  <c:v>1.3837798027779127</c:v>
                </c:pt>
                <c:pt idx="38" formatCode="0.0000">
                  <c:v>1.3618381632097762</c:v>
                </c:pt>
                <c:pt idx="39" formatCode="0.0000">
                  <c:v>1.111428021792251</c:v>
                </c:pt>
                <c:pt idx="40" formatCode="0.0000">
                  <c:v>1.2459308394441118</c:v>
                </c:pt>
                <c:pt idx="41" formatCode="0.0000">
                  <c:v>1.1967227532187672</c:v>
                </c:pt>
                <c:pt idx="42" formatCode="0.0000">
                  <c:v>1.1796346795953931</c:v>
                </c:pt>
                <c:pt idx="43" formatCode="0.0000">
                  <c:v>0.98562743612754566</c:v>
                </c:pt>
                <c:pt idx="44" formatCode="0.0000">
                  <c:v>0.99167417351118947</c:v>
                </c:pt>
                <c:pt idx="45" formatCode="0.0000">
                  <c:v>0.92325178834805288</c:v>
                </c:pt>
                <c:pt idx="46" formatCode="0.0000">
                  <c:v>1.1077152228299749</c:v>
                </c:pt>
                <c:pt idx="47" formatCode="0.0000">
                  <c:v>0.8960331600085405</c:v>
                </c:pt>
                <c:pt idx="48" formatCode="0.0000">
                  <c:v>0.81775734977183545</c:v>
                </c:pt>
                <c:pt idx="49" formatCode="0.0000">
                  <c:v>0.71630411388571524</c:v>
                </c:pt>
                <c:pt idx="50" formatCode="0.0000">
                  <c:v>0.72551681686792124</c:v>
                </c:pt>
                <c:pt idx="51" formatCode="0.0000">
                  <c:v>0.62103252210394266</c:v>
                </c:pt>
                <c:pt idx="52" formatCode="0.0000">
                  <c:v>0.54266224817116226</c:v>
                </c:pt>
                <c:pt idx="53" formatCode="0.0000">
                  <c:v>0.52218585083279634</c:v>
                </c:pt>
                <c:pt idx="54" formatCode="0.0000">
                  <c:v>0.5220612831711543</c:v>
                </c:pt>
                <c:pt idx="55" formatCode="0.0000">
                  <c:v>0.52827850624961292</c:v>
                </c:pt>
                <c:pt idx="56" formatCode="0.0000">
                  <c:v>0.51047417320884325</c:v>
                </c:pt>
                <c:pt idx="57" formatCode="0.0000">
                  <c:v>0.47589549432126538</c:v>
                </c:pt>
                <c:pt idx="58" formatCode="0.0000">
                  <c:v>0.57948345077171326</c:v>
                </c:pt>
                <c:pt idx="59" formatCode="0.0000">
                  <c:v>0.53799684071427289</c:v>
                </c:pt>
                <c:pt idx="60" formatCode="0.0000">
                  <c:v>0.37343815808438013</c:v>
                </c:pt>
                <c:pt idx="61" formatCode="0.0000">
                  <c:v>0.35841551065412997</c:v>
                </c:pt>
                <c:pt idx="62" formatCode="0.0000">
                  <c:v>0.29466233751351301</c:v>
                </c:pt>
                <c:pt idx="63" formatCode="0.0000">
                  <c:v>0.29697812685920544</c:v>
                </c:pt>
                <c:pt idx="64" formatCode="0.0000">
                  <c:v>0.33828406463318406</c:v>
                </c:pt>
                <c:pt idx="65" formatCode="0.0000">
                  <c:v>0.20311595367050783</c:v>
                </c:pt>
                <c:pt idx="66" formatCode="0.0000">
                  <c:v>0.30492933322320137</c:v>
                </c:pt>
                <c:pt idx="67" formatCode="0.0000">
                  <c:v>0.25404417906101295</c:v>
                </c:pt>
                <c:pt idx="68" formatCode="0.0000">
                  <c:v>0.28795768991772469</c:v>
                </c:pt>
                <c:pt idx="69" formatCode="0.0000">
                  <c:v>0.28795768991772469</c:v>
                </c:pt>
                <c:pt idx="70" formatCode="0.0000">
                  <c:v>0.32964447092123444</c:v>
                </c:pt>
                <c:pt idx="71" formatCode="0.0000">
                  <c:v>0.28833853314725572</c:v>
                </c:pt>
                <c:pt idx="72" formatCode="0.0000">
                  <c:v>0.34038059549953659</c:v>
                </c:pt>
                <c:pt idx="73" formatCode="0.0000">
                  <c:v>0.34118544256109856</c:v>
                </c:pt>
                <c:pt idx="74" formatCode="0.0000">
                  <c:v>0.34118544256109862</c:v>
                </c:pt>
                <c:pt idx="75" formatCode="0.0000">
                  <c:v>0.40399303150468807</c:v>
                </c:pt>
                <c:pt idx="76" formatCode="0.0000">
                  <c:v>0.53103528056856253</c:v>
                </c:pt>
                <c:pt idx="77" formatCode="0.0000">
                  <c:v>1.6141712052233774</c:v>
                </c:pt>
                <c:pt idx="78" formatCode="0.0000">
                  <c:v>2.0617355234256154</c:v>
                </c:pt>
                <c:pt idx="79" formatCode="0.0000">
                  <c:v>1.9637187344025708</c:v>
                </c:pt>
                <c:pt idx="80" formatCode="0.0000">
                  <c:v>2.2041386443601154</c:v>
                </c:pt>
                <c:pt idx="81" formatCode="0.0000">
                  <c:v>2.3470496462707806</c:v>
                </c:pt>
                <c:pt idx="82" formatCode="0.0000">
                  <c:v>2.4128466918844964</c:v>
                </c:pt>
                <c:pt idx="83" formatCode="0.0000">
                  <c:v>2.5131372540065868</c:v>
                </c:pt>
                <c:pt idx="84" formatCode="0.0000">
                  <c:v>1.6448584908407169</c:v>
                </c:pt>
                <c:pt idx="85" formatCode="0.0000">
                  <c:v>1.5252262502659548</c:v>
                </c:pt>
                <c:pt idx="86" formatCode="0.0000">
                  <c:v>1.6174657275642204</c:v>
                </c:pt>
                <c:pt idx="87" formatCode="0.0000">
                  <c:v>1.3715849468353272</c:v>
                </c:pt>
                <c:pt idx="88" formatCode="0.0000">
                  <c:v>1.3644206830696402</c:v>
                </c:pt>
                <c:pt idx="89" formatCode="0.0000">
                  <c:v>1.2080626588554677</c:v>
                </c:pt>
                <c:pt idx="90" formatCode="0.0000">
                  <c:v>1.28750736840222</c:v>
                </c:pt>
                <c:pt idx="91" formatCode="0.0000">
                  <c:v>1.1587657610889861</c:v>
                </c:pt>
                <c:pt idx="92" formatCode="0.0000">
                  <c:v>1.1532464193020293</c:v>
                </c:pt>
                <c:pt idx="93" formatCode="0.0000">
                  <c:v>1.3890078309063991</c:v>
                </c:pt>
                <c:pt idx="94" formatCode="0.0000">
                  <c:v>1.4763574262228414</c:v>
                </c:pt>
                <c:pt idx="95" formatCode="0.0000">
                  <c:v>1.4291754579692328</c:v>
                </c:pt>
                <c:pt idx="96" formatCode="0.0000">
                  <c:v>1.8866540817089825</c:v>
                </c:pt>
                <c:pt idx="97" formatCode="0.0000">
                  <c:v>1.6840237189905847</c:v>
                </c:pt>
                <c:pt idx="98" formatCode="0.0000">
                  <c:v>1.7901434385771393</c:v>
                </c:pt>
                <c:pt idx="99" formatCode="0.0000">
                  <c:v>1.6438176150447463</c:v>
                </c:pt>
                <c:pt idx="100" formatCode="0.0000">
                  <c:v>1.4552543559220177</c:v>
                </c:pt>
                <c:pt idx="101" formatCode="0.0000">
                  <c:v>1.5350333235021971</c:v>
                </c:pt>
                <c:pt idx="102" formatCode="0.0000">
                  <c:v>1.5712344572828791</c:v>
                </c:pt>
                <c:pt idx="103" formatCode="0.0000">
                  <c:v>1.4042969173250879</c:v>
                </c:pt>
                <c:pt idx="104" formatCode="0.0000">
                  <c:v>1.4554450358357194</c:v>
                </c:pt>
                <c:pt idx="105" formatCode="0.0000">
                  <c:v>1.2671856688622491</c:v>
                </c:pt>
                <c:pt idx="106" formatCode="0.0000">
                  <c:v>1.3171011304332858</c:v>
                </c:pt>
                <c:pt idx="107" formatCode="0.0000">
                  <c:v>1.3283579154148171</c:v>
                </c:pt>
                <c:pt idx="108" formatCode="0.0000">
                  <c:v>1.2250962982605758</c:v>
                </c:pt>
                <c:pt idx="109" formatCode="0.0000">
                  <c:v>1.2697780495574003</c:v>
                </c:pt>
                <c:pt idx="110" formatCode="0.0000">
                  <c:v>1.1101159102780362</c:v>
                </c:pt>
                <c:pt idx="111" formatCode="0.0000">
                  <c:v>1.2024136395638454</c:v>
                </c:pt>
                <c:pt idx="112" formatCode="0.0000">
                  <c:v>1.2172637341501786</c:v>
                </c:pt>
                <c:pt idx="113" formatCode="0.0000">
                  <c:v>1.1239642235022096</c:v>
                </c:pt>
                <c:pt idx="114" formatCode="0.0000">
                  <c:v>1.1176466271134717</c:v>
                </c:pt>
                <c:pt idx="115" formatCode="0.0000">
                  <c:v>1.1110770527174776</c:v>
                </c:pt>
                <c:pt idx="116" formatCode="0.0000">
                  <c:v>1.033239774986461</c:v>
                </c:pt>
                <c:pt idx="117" formatCode="0.0000">
                  <c:v>1.0720272550062531</c:v>
                </c:pt>
                <c:pt idx="118" formatCode="0.0000">
                  <c:v>0.99633862573178811</c:v>
                </c:pt>
                <c:pt idx="119" formatCode="0.0000">
                  <c:v>1.0954270428585811</c:v>
                </c:pt>
                <c:pt idx="120" formatCode="0.0000">
                  <c:v>1.0093542635788335</c:v>
                </c:pt>
                <c:pt idx="121" formatCode="0.0000">
                  <c:v>0.9268913377309328</c:v>
                </c:pt>
                <c:pt idx="122" formatCode="0.0000">
                  <c:v>0.85103118551036394</c:v>
                </c:pt>
                <c:pt idx="123" formatCode="0.0000">
                  <c:v>0.91540618248583372</c:v>
                </c:pt>
                <c:pt idx="124" formatCode="0.0000">
                  <c:v>0.73524682610709113</c:v>
                </c:pt>
                <c:pt idx="125" formatCode="0.0000">
                  <c:v>0.61712534510553829</c:v>
                </c:pt>
                <c:pt idx="126" formatCode="0.0000">
                  <c:v>0.45011461495343946</c:v>
                </c:pt>
                <c:pt idx="127" formatCode="0.0000">
                  <c:v>0.52001519952382258</c:v>
                </c:pt>
                <c:pt idx="128" formatCode="0.0000">
                  <c:v>0.56068541504836233</c:v>
                </c:pt>
                <c:pt idx="129" formatCode="0.0000">
                  <c:v>0.51772045550496415</c:v>
                </c:pt>
                <c:pt idx="130" formatCode="0.0000">
                  <c:v>0.40164403516297487</c:v>
                </c:pt>
                <c:pt idx="131" formatCode="0.0000">
                  <c:v>0.44469077737368029</c:v>
                </c:pt>
                <c:pt idx="132" formatCode="0.0000">
                  <c:v>0.39090788183893854</c:v>
                </c:pt>
                <c:pt idx="133" formatCode="0.0000">
                  <c:v>0.38947713145292917</c:v>
                </c:pt>
                <c:pt idx="134" formatCode="0.0000">
                  <c:v>0.30467851019067865</c:v>
                </c:pt>
                <c:pt idx="135" formatCode="0.0000">
                  <c:v>0.20209440214133881</c:v>
                </c:pt>
                <c:pt idx="136" formatCode="0.0000">
                  <c:v>0.3330606558061836</c:v>
                </c:pt>
                <c:pt idx="137" formatCode="0.0000">
                  <c:v>0.41520130171640623</c:v>
                </c:pt>
                <c:pt idx="138" formatCode="0.0000">
                  <c:v>0.34846777521103139</c:v>
                </c:pt>
                <c:pt idx="139" formatCode="0.0000">
                  <c:v>0.54235706801651762</c:v>
                </c:pt>
                <c:pt idx="140" formatCode="0.0000">
                  <c:v>0.60650437408407598</c:v>
                </c:pt>
                <c:pt idx="141" formatCode="0.0000">
                  <c:v>0.8176611703841159</c:v>
                </c:pt>
                <c:pt idx="142" formatCode="0.0000">
                  <c:v>0.9059818409264323</c:v>
                </c:pt>
                <c:pt idx="143" formatCode="0.0000">
                  <c:v>0.97292398773031807</c:v>
                </c:pt>
                <c:pt idx="144" formatCode="0.0000">
                  <c:v>1.2362927435845517</c:v>
                </c:pt>
                <c:pt idx="145" formatCode="0.0000">
                  <c:v>1.3052217609993892</c:v>
                </c:pt>
                <c:pt idx="146" formatCode="0.0000">
                  <c:v>1.3718430911594872</c:v>
                </c:pt>
                <c:pt idx="147" formatCode="0.0000">
                  <c:v>1.5459907979638481</c:v>
                </c:pt>
                <c:pt idx="148" formatCode="0.0000">
                  <c:v>1.5105619252956921</c:v>
                </c:pt>
                <c:pt idx="149" formatCode="0.0000">
                  <c:v>1.6171120229200506</c:v>
                </c:pt>
                <c:pt idx="150" formatCode="0.0000">
                  <c:v>1.5423476987173552</c:v>
                </c:pt>
                <c:pt idx="151" formatCode="0.0000">
                  <c:v>1.2611201133920777</c:v>
                </c:pt>
                <c:pt idx="152" formatCode="0.0000">
                  <c:v>1.4360494470261707</c:v>
                </c:pt>
                <c:pt idx="153" formatCode="0.0000">
                  <c:v>1.4216363954090299</c:v>
                </c:pt>
                <c:pt idx="154" formatCode="0.0000">
                  <c:v>1.48985303568742</c:v>
                </c:pt>
                <c:pt idx="155" formatCode="0.0000">
                  <c:v>1.4695706780059297</c:v>
                </c:pt>
                <c:pt idx="156" formatCode="0.0000">
                  <c:v>1.5793975112847636</c:v>
                </c:pt>
                <c:pt idx="157" formatCode="0.0000">
                  <c:v>1.4360505403516899</c:v>
                </c:pt>
                <c:pt idx="158" formatCode="0.0000">
                  <c:v>1.5440155153110677</c:v>
                </c:pt>
                <c:pt idx="159" formatCode="0.0000">
                  <c:v>1.465495876940391</c:v>
                </c:pt>
                <c:pt idx="160" formatCode="0.0000">
                  <c:v>1.3487609993036247</c:v>
                </c:pt>
                <c:pt idx="161" formatCode="0.0000">
                  <c:v>1.1288998068796507</c:v>
                </c:pt>
                <c:pt idx="162" formatCode="0.0000">
                  <c:v>1.0597823425676218</c:v>
                </c:pt>
                <c:pt idx="163" formatCode="0.0000">
                  <c:v>1.0490927606733143</c:v>
                </c:pt>
                <c:pt idx="164" formatCode="0.0000">
                  <c:v>1.4994019237168119</c:v>
                </c:pt>
                <c:pt idx="165" formatCode="0.0000">
                  <c:v>1.3553872909562579</c:v>
                </c:pt>
                <c:pt idx="166" formatCode="0.0000">
                  <c:v>1.226870308008692</c:v>
                </c:pt>
                <c:pt idx="167" formatCode="0.0000">
                  <c:v>1.166156362191799</c:v>
                </c:pt>
                <c:pt idx="168" formatCode="0.0000">
                  <c:v>1.1997184516167543</c:v>
                </c:pt>
                <c:pt idx="169" formatCode="0.0000">
                  <c:v>1.1996579633197562</c:v>
                </c:pt>
                <c:pt idx="170" formatCode="0.0000">
                  <c:v>1.0871613512610139</c:v>
                </c:pt>
                <c:pt idx="171" formatCode="0.0000">
                  <c:v>0.70880363249097234</c:v>
                </c:pt>
                <c:pt idx="172" formatCode="0.0000">
                  <c:v>0.74859150212575665</c:v>
                </c:pt>
                <c:pt idx="173" formatCode="0.0000">
                  <c:v>0.80762849747390431</c:v>
                </c:pt>
                <c:pt idx="174" formatCode="0.0000">
                  <c:v>0.87309456724866286</c:v>
                </c:pt>
                <c:pt idx="175" formatCode="0.0000">
                  <c:v>1.1983334755455746</c:v>
                </c:pt>
                <c:pt idx="176" formatCode="0.0000">
                  <c:v>1.2455560312019494</c:v>
                </c:pt>
                <c:pt idx="177" formatCode="0.0000">
                  <c:v>1.2132210959646801</c:v>
                </c:pt>
                <c:pt idx="178" formatCode="0.0000">
                  <c:v>1.1876094712585032</c:v>
                </c:pt>
                <c:pt idx="179" formatCode="0.0000">
                  <c:v>1.4023231722554108</c:v>
                </c:pt>
                <c:pt idx="180" formatCode="0.0000">
                  <c:v>1.3520437314510427</c:v>
                </c:pt>
                <c:pt idx="181" formatCode="0.0000">
                  <c:v>1.3315335158094703</c:v>
                </c:pt>
                <c:pt idx="182" formatCode="0.0000">
                  <c:v>0.98802287319618398</c:v>
                </c:pt>
                <c:pt idx="183" formatCode="0.0000">
                  <c:v>0.9150050289187186</c:v>
                </c:pt>
                <c:pt idx="184" formatCode="0.0000">
                  <c:v>0.90457708550425031</c:v>
                </c:pt>
                <c:pt idx="185" formatCode="0.0000">
                  <c:v>0.95426730104061919</c:v>
                </c:pt>
                <c:pt idx="186" formatCode="0.0000">
                  <c:v>0.78984586561900172</c:v>
                </c:pt>
                <c:pt idx="187" formatCode="0.0000">
                  <c:v>0.94259198612605744</c:v>
                </c:pt>
                <c:pt idx="188" formatCode="0.0000">
                  <c:v>1.0839982794503291</c:v>
                </c:pt>
                <c:pt idx="189" formatCode="0.0000">
                  <c:v>1.0625804555088934</c:v>
                </c:pt>
                <c:pt idx="190" formatCode="0.0000">
                  <c:v>1.032856345862373</c:v>
                </c:pt>
                <c:pt idx="191" formatCode="0.0000">
                  <c:v>1.1115195319212834</c:v>
                </c:pt>
                <c:pt idx="192" formatCode="0.0000">
                  <c:v>1.4173628124159561</c:v>
                </c:pt>
                <c:pt idx="193" formatCode="0.0000">
                  <c:v>1.3087532644897213</c:v>
                </c:pt>
                <c:pt idx="194" formatCode="0.0000">
                  <c:v>1.2964537009973722</c:v>
                </c:pt>
                <c:pt idx="195" formatCode="0.0000">
                  <c:v>1.1253617082185672</c:v>
                </c:pt>
                <c:pt idx="196" formatCode="0.0000">
                  <c:v>1.139363673353248</c:v>
                </c:pt>
                <c:pt idx="197" formatCode="0.0000">
                  <c:v>1.3840659998371059</c:v>
                </c:pt>
                <c:pt idx="198" formatCode="0.0000">
                  <c:v>1.3913973394232464</c:v>
                </c:pt>
                <c:pt idx="199" formatCode="0.0000">
                  <c:v>1.109575134599434</c:v>
                </c:pt>
                <c:pt idx="200" formatCode="0.0000">
                  <c:v>1.2783394297108921</c:v>
                </c:pt>
                <c:pt idx="201" formatCode="0.0000">
                  <c:v>1.2699757420676512</c:v>
                </c:pt>
                <c:pt idx="202" formatCode="0.0000">
                  <c:v>1.2923390202555478</c:v>
                </c:pt>
                <c:pt idx="203" formatCode="0.0000">
                  <c:v>1.3479282237306034</c:v>
                </c:pt>
                <c:pt idx="204" formatCode="0.0000">
                  <c:v>1.2210622769925545</c:v>
                </c:pt>
                <c:pt idx="205" formatCode="0.0000">
                  <c:v>1.2965295134822514</c:v>
                </c:pt>
                <c:pt idx="206" formatCode="0.0000">
                  <c:v>1.5296639976556676</c:v>
                </c:pt>
                <c:pt idx="207" formatCode="0.0000">
                  <c:v>1.7345272556441511</c:v>
                </c:pt>
                <c:pt idx="208" formatCode="0.0000">
                  <c:v>1.8395783148251368</c:v>
                </c:pt>
                <c:pt idx="209" formatCode="0.0000">
                  <c:v>1.9584268460253391</c:v>
                </c:pt>
                <c:pt idx="210" formatCode="0.0000">
                  <c:v>1.9811874768810855</c:v>
                </c:pt>
                <c:pt idx="211" formatCode="0.0000">
                  <c:v>1.9907995263831413</c:v>
                </c:pt>
                <c:pt idx="212" formatCode="0.0000">
                  <c:v>1.8942556114066771</c:v>
                </c:pt>
                <c:pt idx="213" formatCode="0.0000">
                  <c:v>1.7836318993046176</c:v>
                </c:pt>
                <c:pt idx="214" formatCode="0.0000">
                  <c:v>1.6993511605060725</c:v>
                </c:pt>
                <c:pt idx="215" formatCode="0.0000">
                  <c:v>1.5875692517877125</c:v>
                </c:pt>
                <c:pt idx="216" formatCode="0.0000">
                  <c:v>1.5593296370169174</c:v>
                </c:pt>
                <c:pt idx="217" formatCode="0.0000">
                  <c:v>1.4766697838394633</c:v>
                </c:pt>
                <c:pt idx="218" formatCode="0.0000">
                  <c:v>1.4654738299370353</c:v>
                </c:pt>
                <c:pt idx="219" formatCode="0.0000">
                  <c:v>1.4548909144859472</c:v>
                </c:pt>
                <c:pt idx="220" formatCode="0.0000">
                  <c:v>1.4257361174174732</c:v>
                </c:pt>
                <c:pt idx="221" formatCode="0.0000">
                  <c:v>1.3965496871105376</c:v>
                </c:pt>
                <c:pt idx="222" formatCode="0.0000">
                  <c:v>1.3953908716695309</c:v>
                </c:pt>
                <c:pt idx="223" formatCode="0.0000">
                  <c:v>1.3938812289466813</c:v>
                </c:pt>
                <c:pt idx="224" formatCode="0.0000">
                  <c:v>1.5368877823843772</c:v>
                </c:pt>
                <c:pt idx="225" formatCode="0.0000">
                  <c:v>1.5803011661320328</c:v>
                </c:pt>
                <c:pt idx="226" formatCode="0.0000">
                  <c:v>1.5516422112498096</c:v>
                </c:pt>
                <c:pt idx="227" formatCode="0.0000">
                  <c:v>1.5555536365112697</c:v>
                </c:pt>
                <c:pt idx="228" formatCode="0.0000">
                  <c:v>1.4040845351716702</c:v>
                </c:pt>
                <c:pt idx="229" formatCode="0.0000">
                  <c:v>1.379744343778994</c:v>
                </c:pt>
                <c:pt idx="230" formatCode="0.0000">
                  <c:v>1.4796983271033279</c:v>
                </c:pt>
                <c:pt idx="231" formatCode="0.0000">
                  <c:v>1.4076395262557335</c:v>
                </c:pt>
                <c:pt idx="232" formatCode="0.0000">
                  <c:v>1.4174117880173174</c:v>
                </c:pt>
                <c:pt idx="233" formatCode="0.0000">
                  <c:v>1.4309774848726649</c:v>
                </c:pt>
                <c:pt idx="234" formatCode="0.0000">
                  <c:v>1.3717166173138235</c:v>
                </c:pt>
                <c:pt idx="235" formatCode="0.0000">
                  <c:v>1.442817645951969</c:v>
                </c:pt>
                <c:pt idx="236" formatCode="0.0000">
                  <c:v>1.4427094638103595</c:v>
                </c:pt>
                <c:pt idx="237" formatCode="0.0000">
                  <c:v>1.2882376877484849</c:v>
                </c:pt>
                <c:pt idx="238" formatCode="0.0000">
                  <c:v>1.3908671820657454</c:v>
                </c:pt>
                <c:pt idx="239" formatCode="0.0000">
                  <c:v>1.3318773812388101</c:v>
                </c:pt>
                <c:pt idx="240" formatCode="0.0000">
                  <c:v>1.6505809632310153</c:v>
                </c:pt>
                <c:pt idx="241" formatCode="0.0000">
                  <c:v>1.6301765096428258</c:v>
                </c:pt>
                <c:pt idx="242" formatCode="0.0000">
                  <c:v>1.6598140565196975</c:v>
                </c:pt>
                <c:pt idx="243" formatCode="0.0000">
                  <c:v>1.7587024665744961</c:v>
                </c:pt>
                <c:pt idx="244" formatCode="0.0000">
                  <c:v>1.8048012666730187</c:v>
                </c:pt>
                <c:pt idx="245" formatCode="0.0000">
                  <c:v>1.617125935182947</c:v>
                </c:pt>
                <c:pt idx="246" formatCode="0.0000">
                  <c:v>1.6585894539501382</c:v>
                </c:pt>
                <c:pt idx="247" formatCode="0.0000">
                  <c:v>1.4506502993815231</c:v>
                </c:pt>
                <c:pt idx="248" formatCode="0.0000">
                  <c:v>1.4596038262123716</c:v>
                </c:pt>
                <c:pt idx="249" formatCode="0.0000">
                  <c:v>1.3691408725940708</c:v>
                </c:pt>
                <c:pt idx="250" formatCode="0.0000">
                  <c:v>1.4063297559383223</c:v>
                </c:pt>
                <c:pt idx="251" formatCode="0.0000">
                  <c:v>1.3360225643756554</c:v>
                </c:pt>
                <c:pt idx="252" formatCode="0.0000">
                  <c:v>1.4039140179113618</c:v>
                </c:pt>
                <c:pt idx="253" formatCode="0.0000">
                  <c:v>1.3445533539727503</c:v>
                </c:pt>
                <c:pt idx="254" formatCode="0.0000">
                  <c:v>1.2739803494363575</c:v>
                </c:pt>
                <c:pt idx="255" formatCode="0.0000">
                  <c:v>1.1984423095661243</c:v>
                </c:pt>
                <c:pt idx="256" formatCode="0.0000">
                  <c:v>1.1883333966313603</c:v>
                </c:pt>
                <c:pt idx="257" formatCode="0.0000">
                  <c:v>1.069700860913573</c:v>
                </c:pt>
                <c:pt idx="258" formatCode="0.0000">
                  <c:v>1.0602468096959166</c:v>
                </c:pt>
                <c:pt idx="259" formatCode="0.0000">
                  <c:v>1.0050197673420291</c:v>
                </c:pt>
                <c:pt idx="260" formatCode="0.0000">
                  <c:v>0.96247851074520763</c:v>
                </c:pt>
                <c:pt idx="261" formatCode="0.0000">
                  <c:v>0.86925271291802608</c:v>
                </c:pt>
                <c:pt idx="262" formatCode="0.0000">
                  <c:v>0.96044119985455112</c:v>
                </c:pt>
                <c:pt idx="263" formatCode="0.0000">
                  <c:v>1.0224280213938111</c:v>
                </c:pt>
                <c:pt idx="264" formatCode="0.0000">
                  <c:v>1.0505574122217076</c:v>
                </c:pt>
                <c:pt idx="265" formatCode="0.0000">
                  <c:v>1.0391679810894763</c:v>
                </c:pt>
                <c:pt idx="266" formatCode="0.0000">
                  <c:v>0.99057650180128376</c:v>
                </c:pt>
                <c:pt idx="267" formatCode="0.0000">
                  <c:v>0.98529783165721141</c:v>
                </c:pt>
                <c:pt idx="268" formatCode="0.0000">
                  <c:v>0.97523046258033708</c:v>
                </c:pt>
                <c:pt idx="269" formatCode="0.0000">
                  <c:v>0.92261845208778759</c:v>
                </c:pt>
                <c:pt idx="270" formatCode="0.0000">
                  <c:v>0.82690511543769851</c:v>
                </c:pt>
                <c:pt idx="271" formatCode="0.0000">
                  <c:v>0.71709343761944955</c:v>
                </c:pt>
                <c:pt idx="272" formatCode="0.0000">
                  <c:v>0.65450042285827426</c:v>
                </c:pt>
                <c:pt idx="273" formatCode="0.0000">
                  <c:v>0.65451537630301693</c:v>
                </c:pt>
                <c:pt idx="274" formatCode="0.0000">
                  <c:v>0.68157431311591521</c:v>
                </c:pt>
                <c:pt idx="275" formatCode="0.0000">
                  <c:v>0.68936850238733194</c:v>
                </c:pt>
                <c:pt idx="276" formatCode="0.0000">
                  <c:v>0.69548436347100284</c:v>
                </c:pt>
                <c:pt idx="277" formatCode="0.0000">
                  <c:v>0.67287371023475784</c:v>
                </c:pt>
                <c:pt idx="278" formatCode="0.0000">
                  <c:v>0.67451344880067998</c:v>
                </c:pt>
                <c:pt idx="279" formatCode="0.0000">
                  <c:v>0.70247378560241758</c:v>
                </c:pt>
                <c:pt idx="280" formatCode="0.0000">
                  <c:v>0.71713211139121236</c:v>
                </c:pt>
                <c:pt idx="281" formatCode="0.0000">
                  <c:v>0.74745289594341968</c:v>
                </c:pt>
                <c:pt idx="282" formatCode="0.0000">
                  <c:v>0.78765022357159098</c:v>
                </c:pt>
                <c:pt idx="283" formatCode="0.0000">
                  <c:v>0.79157859882974291</c:v>
                </c:pt>
                <c:pt idx="284" formatCode="0.0000">
                  <c:v>0.8468376153459457</c:v>
                </c:pt>
                <c:pt idx="285" formatCode="0.0000">
                  <c:v>0.8647758486385797</c:v>
                </c:pt>
                <c:pt idx="286" formatCode="0.0000">
                  <c:v>0.83908469726373536</c:v>
                </c:pt>
                <c:pt idx="287" formatCode="0.0000">
                  <c:v>0.84227065475241658</c:v>
                </c:pt>
                <c:pt idx="288" formatCode="0.0000">
                  <c:v>0.8776078975296997</c:v>
                </c:pt>
                <c:pt idx="289" formatCode="0.0000">
                  <c:v>0.83229790898747835</c:v>
                </c:pt>
                <c:pt idx="290" formatCode="0.0000">
                  <c:v>0.83668159744047821</c:v>
                </c:pt>
                <c:pt idx="291" formatCode="0.0000">
                  <c:v>0.85872493135973238</c:v>
                </c:pt>
                <c:pt idx="292" formatCode="0.0000">
                  <c:v>0.84841920427261852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1356-4839-896B-C589C93EEDD7}"/>
            </c:ext>
          </c:extLst>
        </c:ser>
        <c:ser>
          <c:idx val="10"/>
          <c:order val="10"/>
          <c:tx>
            <c:strRef>
              <c:f>'R(t) Województwa'!$CB$2</c:f>
              <c:strCache>
                <c:ptCount val="1"/>
                <c:pt idx="0">
                  <c:v>Pomorskie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Województwa'!$CB$3:$CB$1000</c:f>
              <c:numCache>
                <c:formatCode>General</c:formatCode>
                <c:ptCount val="998"/>
                <c:pt idx="34" formatCode="0.0000">
                  <c:v>0.60802127188123234</c:v>
                </c:pt>
                <c:pt idx="35" formatCode="0.0000">
                  <c:v>0.70656579656029339</c:v>
                </c:pt>
                <c:pt idx="36" formatCode="0.0000">
                  <c:v>0.69188857205684073</c:v>
                </c:pt>
                <c:pt idx="37" formatCode="0.0000">
                  <c:v>0.7364452802882413</c:v>
                </c:pt>
                <c:pt idx="38" formatCode="0.0000">
                  <c:v>0.66008147046980281</c:v>
                </c:pt>
                <c:pt idx="39" formatCode="0.0000">
                  <c:v>0.64772838097039875</c:v>
                </c:pt>
                <c:pt idx="40" formatCode="0.0000">
                  <c:v>0.67382440808589628</c:v>
                </c:pt>
                <c:pt idx="41" formatCode="0.0000">
                  <c:v>0.64775133266250629</c:v>
                </c:pt>
                <c:pt idx="42" formatCode="0.0000">
                  <c:v>0.53273557248545578</c:v>
                </c:pt>
                <c:pt idx="43" formatCode="0.0000">
                  <c:v>0.5153467748310836</c:v>
                </c:pt>
                <c:pt idx="44" formatCode="0.0000">
                  <c:v>0.432385962227121</c:v>
                </c:pt>
                <c:pt idx="45" formatCode="0.0000">
                  <c:v>0.47374980888685309</c:v>
                </c:pt>
                <c:pt idx="46" formatCode="0.0000">
                  <c:v>0.92328284622840251</c:v>
                </c:pt>
                <c:pt idx="47" formatCode="0.0000">
                  <c:v>0.8395197535152189</c:v>
                </c:pt>
                <c:pt idx="48" formatCode="0.0000">
                  <c:v>0.89599239359075167</c:v>
                </c:pt>
                <c:pt idx="49" formatCode="0.0000">
                  <c:v>0.9762191540209858</c:v>
                </c:pt>
                <c:pt idx="50" formatCode="0.0000">
                  <c:v>1.1557215621659134</c:v>
                </c:pt>
                <c:pt idx="51" formatCode="0.0000">
                  <c:v>1.3448859414935899</c:v>
                </c:pt>
                <c:pt idx="52" formatCode="0.0000">
                  <c:v>1.5001132944136342</c:v>
                </c:pt>
                <c:pt idx="53" formatCode="0.0000">
                  <c:v>1.5905373567988563</c:v>
                </c:pt>
                <c:pt idx="54" formatCode="0.0000">
                  <c:v>2.0956279549424588</c:v>
                </c:pt>
                <c:pt idx="55" formatCode="0.0000">
                  <c:v>2.0633946480409446</c:v>
                </c:pt>
                <c:pt idx="56" formatCode="0.0000">
                  <c:v>2.2867205767426029</c:v>
                </c:pt>
                <c:pt idx="57" formatCode="0.0000">
                  <c:v>2.2420077795801485</c:v>
                </c:pt>
                <c:pt idx="58" formatCode="0.0000">
                  <c:v>2.0379454901760292</c:v>
                </c:pt>
                <c:pt idx="59" formatCode="0.0000">
                  <c:v>1.8355845621240772</c:v>
                </c:pt>
                <c:pt idx="60" formatCode="0.0000">
                  <c:v>1.2616850669086237</c:v>
                </c:pt>
                <c:pt idx="61" formatCode="0.0000">
                  <c:v>0.75831219687043683</c:v>
                </c:pt>
                <c:pt idx="62" formatCode="0.0000">
                  <c:v>0.6732857574224892</c:v>
                </c:pt>
                <c:pt idx="63" formatCode="0.0000">
                  <c:v>0.45330551470358726</c:v>
                </c:pt>
                <c:pt idx="64" formatCode="0.0000">
                  <c:v>0.35547886835682113</c:v>
                </c:pt>
                <c:pt idx="65" formatCode="0.0000">
                  <c:v>0.43355902691584153</c:v>
                </c:pt>
                <c:pt idx="66" formatCode="0.0000">
                  <c:v>0.51094423850297199</c:v>
                </c:pt>
                <c:pt idx="67" formatCode="0.0000">
                  <c:v>0.4750493985890113</c:v>
                </c:pt>
                <c:pt idx="68" formatCode="0.0000">
                  <c:v>0.48624402887179091</c:v>
                </c:pt>
                <c:pt idx="69" formatCode="0.0000">
                  <c:v>0.5566412318415338</c:v>
                </c:pt>
                <c:pt idx="70" formatCode="0.0000">
                  <c:v>0.54896545663129059</c:v>
                </c:pt>
                <c:pt idx="71" formatCode="0.0000">
                  <c:v>0.47541529188537129</c:v>
                </c:pt>
                <c:pt idx="72" formatCode="0.0000">
                  <c:v>0.39354206357326416</c:v>
                </c:pt>
                <c:pt idx="73" formatCode="0.0000">
                  <c:v>0.29701083879962781</c:v>
                </c:pt>
                <c:pt idx="74" formatCode="0.0000">
                  <c:v>0.4872601482476297</c:v>
                </c:pt>
                <c:pt idx="75" formatCode="0.0000">
                  <c:v>0.49443585891647601</c:v>
                </c:pt>
                <c:pt idx="76" formatCode="0.0000">
                  <c:v>0.42403865594673312</c:v>
                </c:pt>
                <c:pt idx="77" formatCode="0.0000">
                  <c:v>0.38328770040185128</c:v>
                </c:pt>
                <c:pt idx="78" formatCode="0.0000">
                  <c:v>0.5395573859795979</c:v>
                </c:pt>
                <c:pt idx="79" formatCode="0.0000">
                  <c:v>0.70374348025452682</c:v>
                </c:pt>
                <c:pt idx="80" formatCode="0.0000">
                  <c:v>0.82117089607933025</c:v>
                </c:pt>
                <c:pt idx="81" formatCode="0.0000">
                  <c:v>0.97486837872456999</c:v>
                </c:pt>
                <c:pt idx="82" formatCode="0.0000">
                  <c:v>1.096620879785662</c:v>
                </c:pt>
                <c:pt idx="83" formatCode="0.0000">
                  <c:v>1.2960282928523799</c:v>
                </c:pt>
                <c:pt idx="84" formatCode="0.0000">
                  <c:v>1.3148067000658179</c:v>
                </c:pt>
                <c:pt idx="85" formatCode="0.0000">
                  <c:v>1.2362410399191801</c:v>
                </c:pt>
                <c:pt idx="86" formatCode="0.0000">
                  <c:v>1.110077782093186</c:v>
                </c:pt>
                <c:pt idx="87" formatCode="0.0000">
                  <c:v>1.0991174214941746</c:v>
                </c:pt>
                <c:pt idx="88" formatCode="0.0000">
                  <c:v>0.74129887430737817</c:v>
                </c:pt>
                <c:pt idx="89" formatCode="0.0000">
                  <c:v>0.6035695423369859</c:v>
                </c:pt>
                <c:pt idx="90" formatCode="0.0000">
                  <c:v>0.62163754207788102</c:v>
                </c:pt>
                <c:pt idx="91" formatCode="0.0000">
                  <c:v>0.60818833367413672</c:v>
                </c:pt>
                <c:pt idx="92" formatCode="0.0000">
                  <c:v>0.48981257414333695</c:v>
                </c:pt>
                <c:pt idx="93" formatCode="0.0000">
                  <c:v>0.48174605695535427</c:v>
                </c:pt>
                <c:pt idx="94" formatCode="0.0000">
                  <c:v>0.58083586610093818</c:v>
                </c:pt>
                <c:pt idx="95" formatCode="0.0000">
                  <c:v>0.79334273645620457</c:v>
                </c:pt>
                <c:pt idx="96" formatCode="0.0000">
                  <c:v>0.80403333498052554</c:v>
                </c:pt>
                <c:pt idx="97" formatCode="0.0000">
                  <c:v>0.58655792217291258</c:v>
                </c:pt>
                <c:pt idx="98" formatCode="0.0000">
                  <c:v>0.86558367587208551</c:v>
                </c:pt>
                <c:pt idx="99" formatCode="0.0000">
                  <c:v>1.1371193290195996</c:v>
                </c:pt>
                <c:pt idx="100" formatCode="0.0000">
                  <c:v>1.0845126014803621</c:v>
                </c:pt>
                <c:pt idx="101" formatCode="0.0000">
                  <c:v>0.9654805015792941</c:v>
                </c:pt>
                <c:pt idx="102" formatCode="0.0000">
                  <c:v>1.1004105015923844</c:v>
                </c:pt>
                <c:pt idx="103" formatCode="0.0000">
                  <c:v>1.0988147629695499</c:v>
                </c:pt>
                <c:pt idx="104" formatCode="0.0000">
                  <c:v>1.0988147629695499</c:v>
                </c:pt>
                <c:pt idx="105" formatCode="0.0000">
                  <c:v>0.90322638387494691</c:v>
                </c:pt>
                <c:pt idx="106" formatCode="0.0000">
                  <c:v>1.0106060940998076</c:v>
                </c:pt>
                <c:pt idx="107" formatCode="0.0000">
                  <c:v>1.1638817881906689</c:v>
                </c:pt>
                <c:pt idx="108" formatCode="0.0000">
                  <c:v>1.1527420414504828</c:v>
                </c:pt>
                <c:pt idx="109" formatCode="0.0000">
                  <c:v>0.91083894253804742</c:v>
                </c:pt>
                <c:pt idx="110" formatCode="0.0000">
                  <c:v>1.5205194410063025</c:v>
                </c:pt>
                <c:pt idx="111" formatCode="0.0000">
                  <c:v>1.5928844289791448</c:v>
                </c:pt>
                <c:pt idx="112" formatCode="0.0000">
                  <c:v>2.208575779999399</c:v>
                </c:pt>
                <c:pt idx="113" formatCode="0.0000">
                  <c:v>2.0003108937596132</c:v>
                </c:pt>
                <c:pt idx="114" formatCode="0.0000">
                  <c:v>1.9181933949324588</c:v>
                </c:pt>
                <c:pt idx="115" formatCode="0.0000">
                  <c:v>1.8937174510237764</c:v>
                </c:pt>
                <c:pt idx="116" formatCode="0.0000">
                  <c:v>1.8976353281374372</c:v>
                </c:pt>
                <c:pt idx="117" formatCode="0.0000">
                  <c:v>1.3531174675693287</c:v>
                </c:pt>
                <c:pt idx="118" formatCode="0.0000">
                  <c:v>1.5433072662394551</c:v>
                </c:pt>
                <c:pt idx="119" formatCode="0.0000">
                  <c:v>0.82975776159456893</c:v>
                </c:pt>
                <c:pt idx="120" formatCode="0.0000">
                  <c:v>0.65910728446198041</c:v>
                </c:pt>
                <c:pt idx="121" formatCode="0.0000">
                  <c:v>0.93211343317168449</c:v>
                </c:pt>
                <c:pt idx="122" formatCode="0.0000">
                  <c:v>0.97005582481111152</c:v>
                </c:pt>
                <c:pt idx="123" formatCode="0.0000">
                  <c:v>0.97853353630081608</c:v>
                </c:pt>
                <c:pt idx="124" formatCode="0.0000">
                  <c:v>0.92577135589378712</c:v>
                </c:pt>
                <c:pt idx="125" formatCode="0.0000">
                  <c:v>0.69616727165914682</c:v>
                </c:pt>
                <c:pt idx="126" formatCode="0.0000">
                  <c:v>0.74415187529643134</c:v>
                </c:pt>
                <c:pt idx="127" formatCode="0.0000">
                  <c:v>0.86341766521011554</c:v>
                </c:pt>
                <c:pt idx="128" formatCode="0.0000">
                  <c:v>0.51925332123670365</c:v>
                </c:pt>
                <c:pt idx="129" formatCode="0.0000">
                  <c:v>0.83217265149076691</c:v>
                </c:pt>
                <c:pt idx="130" formatCode="0.0000">
                  <c:v>0.86214800054220719</c:v>
                </c:pt>
                <c:pt idx="131" formatCode="0.0000">
                  <c:v>0.98562825933479614</c:v>
                </c:pt>
                <c:pt idx="132" formatCode="0.0000">
                  <c:v>1.0233540403002135</c:v>
                </c:pt>
                <c:pt idx="133" formatCode="0.0000">
                  <c:v>1.0254901342754885</c:v>
                </c:pt>
                <c:pt idx="134" formatCode="0.0000">
                  <c:v>0.90622434436180421</c:v>
                </c:pt>
                <c:pt idx="135" formatCode="0.0000">
                  <c:v>1.0490545502546331</c:v>
                </c:pt>
                <c:pt idx="136" formatCode="0.0000">
                  <c:v>1.0024294151171971</c:v>
                </c:pt>
                <c:pt idx="137" formatCode="0.0000">
                  <c:v>1.4313832248999321</c:v>
                </c:pt>
                <c:pt idx="138" formatCode="0.0000">
                  <c:v>1.3547033682740035</c:v>
                </c:pt>
                <c:pt idx="139" formatCode="0.0000">
                  <c:v>1.3118345393438424</c:v>
                </c:pt>
                <c:pt idx="140" formatCode="0.0000">
                  <c:v>1.7070022403493483</c:v>
                </c:pt>
                <c:pt idx="141" formatCode="0.0000">
                  <c:v>2.0144929102205795</c:v>
                </c:pt>
                <c:pt idx="142" formatCode="0.0000">
                  <c:v>1.952900717498385</c:v>
                </c:pt>
                <c:pt idx="143" formatCode="0.0000">
                  <c:v>1.7667981179902434</c:v>
                </c:pt>
                <c:pt idx="144" formatCode="0.0000">
                  <c:v>1.663157005540423</c:v>
                </c:pt>
                <c:pt idx="145" formatCode="0.0000">
                  <c:v>1.8497287474823507</c:v>
                </c:pt>
                <c:pt idx="146" formatCode="0.0000">
                  <c:v>1.8622312419563323</c:v>
                </c:pt>
                <c:pt idx="147" formatCode="0.0000">
                  <c:v>1.6154695419029979</c:v>
                </c:pt>
                <c:pt idx="148" formatCode="0.0000">
                  <c:v>1.6955247492743908</c:v>
                </c:pt>
                <c:pt idx="149" formatCode="0.0000">
                  <c:v>1.7477265959325194</c:v>
                </c:pt>
                <c:pt idx="150" formatCode="0.0000">
                  <c:v>1.7213239456063387</c:v>
                </c:pt>
                <c:pt idx="151" formatCode="0.0000">
                  <c:v>1.4341930133203917</c:v>
                </c:pt>
                <c:pt idx="152" formatCode="0.0000">
                  <c:v>1.392172881221692</c:v>
                </c:pt>
                <c:pt idx="153" formatCode="0.0000">
                  <c:v>1.5410959941482123</c:v>
                </c:pt>
                <c:pt idx="154" formatCode="0.0000">
                  <c:v>1.4702345251413693</c:v>
                </c:pt>
                <c:pt idx="155" formatCode="0.0000">
                  <c:v>1.2347562211420182</c:v>
                </c:pt>
                <c:pt idx="156" formatCode="0.0000">
                  <c:v>1.3583582842262383</c:v>
                </c:pt>
                <c:pt idx="157" formatCode="0.0000">
                  <c:v>1.5161341520667075</c:v>
                </c:pt>
                <c:pt idx="158" formatCode="0.0000">
                  <c:v>1.686357812008042</c:v>
                </c:pt>
                <c:pt idx="159" formatCode="0.0000">
                  <c:v>1.6561436770844176</c:v>
                </c:pt>
                <c:pt idx="160" formatCode="0.0000">
                  <c:v>1.7134284118824934</c:v>
                </c:pt>
                <c:pt idx="161" formatCode="0.0000">
                  <c:v>1.6993114866782053</c:v>
                </c:pt>
                <c:pt idx="162" formatCode="0.0000">
                  <c:v>1.8973896332821241</c:v>
                </c:pt>
                <c:pt idx="163" formatCode="0.0000">
                  <c:v>1.8762359568940343</c:v>
                </c:pt>
                <c:pt idx="164" formatCode="0.0000">
                  <c:v>1.7128173276979954</c:v>
                </c:pt>
                <c:pt idx="165" formatCode="0.0000">
                  <c:v>1.5958616699000081</c:v>
                </c:pt>
                <c:pt idx="166" formatCode="0.0000">
                  <c:v>1.643159730475054</c:v>
                </c:pt>
                <c:pt idx="167" formatCode="0.0000">
                  <c:v>1.5427350007401217</c:v>
                </c:pt>
                <c:pt idx="168" formatCode="0.0000">
                  <c:v>1.5459541535534604</c:v>
                </c:pt>
                <c:pt idx="169" formatCode="0.0000">
                  <c:v>1.3638398103382976</c:v>
                </c:pt>
                <c:pt idx="170" formatCode="0.0000">
                  <c:v>1.3137107781098329</c:v>
                </c:pt>
                <c:pt idx="171" formatCode="0.0000">
                  <c:v>1.3840924864646733</c:v>
                </c:pt>
                <c:pt idx="172" formatCode="0.0000">
                  <c:v>1.3009010547305695</c:v>
                </c:pt>
                <c:pt idx="173" formatCode="0.0000">
                  <c:v>1.2358956136568682</c:v>
                </c:pt>
                <c:pt idx="174" formatCode="0.0000">
                  <c:v>1.2238754290380702</c:v>
                </c:pt>
                <c:pt idx="175" formatCode="0.0000">
                  <c:v>1.290708735300969</c:v>
                </c:pt>
                <c:pt idx="176" formatCode="0.0000">
                  <c:v>1.2494691749423059</c:v>
                </c:pt>
                <c:pt idx="177" formatCode="0.0000">
                  <c:v>1.2161966923810452</c:v>
                </c:pt>
                <c:pt idx="178" formatCode="0.0000">
                  <c:v>1.0724152677541665</c:v>
                </c:pt>
                <c:pt idx="179" formatCode="0.0000">
                  <c:v>1.0173892040913288</c:v>
                </c:pt>
                <c:pt idx="180" formatCode="0.0000">
                  <c:v>0.93778941421272688</c:v>
                </c:pt>
                <c:pt idx="181" formatCode="0.0000">
                  <c:v>0.98294196221185992</c:v>
                </c:pt>
                <c:pt idx="182" formatCode="0.0000">
                  <c:v>0.85168480832817905</c:v>
                </c:pt>
                <c:pt idx="183" formatCode="0.0000">
                  <c:v>0.82840990303258355</c:v>
                </c:pt>
                <c:pt idx="184" formatCode="0.0000">
                  <c:v>0.7888104715568558</c:v>
                </c:pt>
                <c:pt idx="185" formatCode="0.0000">
                  <c:v>0.80790776992699731</c:v>
                </c:pt>
                <c:pt idx="186" formatCode="0.0000">
                  <c:v>0.82181552368901578</c:v>
                </c:pt>
                <c:pt idx="187" formatCode="0.0000">
                  <c:v>0.8243012106761044</c:v>
                </c:pt>
                <c:pt idx="188" formatCode="0.0000">
                  <c:v>0.70234629110536584</c:v>
                </c:pt>
                <c:pt idx="189" formatCode="0.0000">
                  <c:v>0.70536895209512218</c:v>
                </c:pt>
                <c:pt idx="190" formatCode="0.0000">
                  <c:v>0.72864056947126998</c:v>
                </c:pt>
                <c:pt idx="191" formatCode="0.0000">
                  <c:v>0.7242662088422408</c:v>
                </c:pt>
                <c:pt idx="192" formatCode="0.0000">
                  <c:v>0.75277954011132608</c:v>
                </c:pt>
                <c:pt idx="193" formatCode="0.0000">
                  <c:v>0.9168013116297502</c:v>
                </c:pt>
                <c:pt idx="194" formatCode="0.0000">
                  <c:v>0.96100840767676543</c:v>
                </c:pt>
                <c:pt idx="195" formatCode="0.0000">
                  <c:v>1.0428381310385608</c:v>
                </c:pt>
                <c:pt idx="196" formatCode="0.0000">
                  <c:v>1.0858660628971653</c:v>
                </c:pt>
                <c:pt idx="197" formatCode="0.0000">
                  <c:v>1.1229667813321129</c:v>
                </c:pt>
                <c:pt idx="198" formatCode="0.0000">
                  <c:v>1.4202799565571385</c:v>
                </c:pt>
                <c:pt idx="199" formatCode="0.0000">
                  <c:v>1.458377557638348</c:v>
                </c:pt>
                <c:pt idx="200" formatCode="0.0000">
                  <c:v>1.4023354322902948</c:v>
                </c:pt>
                <c:pt idx="201" formatCode="0.0000">
                  <c:v>1.3496311249501241</c:v>
                </c:pt>
                <c:pt idx="202" formatCode="0.0000">
                  <c:v>1.4089731770333962</c:v>
                </c:pt>
                <c:pt idx="203" formatCode="0.0000">
                  <c:v>1.45789601351877</c:v>
                </c:pt>
                <c:pt idx="204" formatCode="0.0000">
                  <c:v>1.5250800527425838</c:v>
                </c:pt>
                <c:pt idx="205" formatCode="0.0000">
                  <c:v>1.3856119483463221</c:v>
                </c:pt>
                <c:pt idx="206" formatCode="0.0000">
                  <c:v>1.4227708495258635</c:v>
                </c:pt>
                <c:pt idx="207" formatCode="0.0000">
                  <c:v>1.4338522501540489</c:v>
                </c:pt>
                <c:pt idx="208" formatCode="0.0000">
                  <c:v>1.5869203356311812</c:v>
                </c:pt>
                <c:pt idx="209" formatCode="0.0000">
                  <c:v>1.5773205968848711</c:v>
                </c:pt>
                <c:pt idx="210" formatCode="0.0000">
                  <c:v>1.5568070324344592</c:v>
                </c:pt>
                <c:pt idx="211" formatCode="0.0000">
                  <c:v>1.556920794087473</c:v>
                </c:pt>
                <c:pt idx="212" formatCode="0.0000">
                  <c:v>1.487656923318863</c:v>
                </c:pt>
                <c:pt idx="213" formatCode="0.0000">
                  <c:v>1.5122554896871758</c:v>
                </c:pt>
                <c:pt idx="214" formatCode="0.0000">
                  <c:v>1.5098116312072463</c:v>
                </c:pt>
                <c:pt idx="215" formatCode="0.0000">
                  <c:v>1.432907498394201</c:v>
                </c:pt>
                <c:pt idx="216" formatCode="0.0000">
                  <c:v>1.4115653579783145</c:v>
                </c:pt>
                <c:pt idx="217" formatCode="0.0000">
                  <c:v>1.4197520332572096</c:v>
                </c:pt>
                <c:pt idx="218" formatCode="0.0000">
                  <c:v>1.3419637784849672</c:v>
                </c:pt>
                <c:pt idx="219" formatCode="0.0000">
                  <c:v>1.391050764227393</c:v>
                </c:pt>
                <c:pt idx="220" formatCode="0.0000">
                  <c:v>1.4308336453630965</c:v>
                </c:pt>
                <c:pt idx="221" formatCode="0.0000">
                  <c:v>1.4267886504557308</c:v>
                </c:pt>
                <c:pt idx="222" formatCode="0.0000">
                  <c:v>1.4241960345599716</c:v>
                </c:pt>
                <c:pt idx="223" formatCode="0.0000">
                  <c:v>1.4136243486498332</c:v>
                </c:pt>
                <c:pt idx="224" formatCode="0.0000">
                  <c:v>1.4258579221843042</c:v>
                </c:pt>
                <c:pt idx="225" formatCode="0.0000">
                  <c:v>1.4543704863746956</c:v>
                </c:pt>
                <c:pt idx="226" formatCode="0.0000">
                  <c:v>1.4412820440817682</c:v>
                </c:pt>
                <c:pt idx="227" formatCode="0.0000">
                  <c:v>1.4200370268802451</c:v>
                </c:pt>
                <c:pt idx="228" formatCode="0.0000">
                  <c:v>1.4286611146826467</c:v>
                </c:pt>
                <c:pt idx="229" formatCode="0.0000">
                  <c:v>1.4006694849240338</c:v>
                </c:pt>
                <c:pt idx="230" formatCode="0.0000">
                  <c:v>1.4245360904150661</c:v>
                </c:pt>
                <c:pt idx="231" formatCode="0.0000">
                  <c:v>1.4265317857818292</c:v>
                </c:pt>
                <c:pt idx="232" formatCode="0.0000">
                  <c:v>1.4368395955083262</c:v>
                </c:pt>
                <c:pt idx="233" formatCode="0.0000">
                  <c:v>1.4410749987689724</c:v>
                </c:pt>
                <c:pt idx="234" formatCode="0.0000">
                  <c:v>1.4120388843182694</c:v>
                </c:pt>
                <c:pt idx="235" formatCode="0.0000">
                  <c:v>1.3945428218808189</c:v>
                </c:pt>
                <c:pt idx="236" formatCode="0.0000">
                  <c:v>1.3614122378278513</c:v>
                </c:pt>
                <c:pt idx="237" formatCode="0.0000">
                  <c:v>1.3588434961559339</c:v>
                </c:pt>
                <c:pt idx="238" formatCode="0.0000">
                  <c:v>1.3482796684753722</c:v>
                </c:pt>
                <c:pt idx="239" formatCode="0.0000">
                  <c:v>1.3819233582200934</c:v>
                </c:pt>
                <c:pt idx="240" formatCode="0.0000">
                  <c:v>1.3651834217461096</c:v>
                </c:pt>
                <c:pt idx="241" formatCode="0.0000">
                  <c:v>1.3641693627282272</c:v>
                </c:pt>
                <c:pt idx="242" formatCode="0.0000">
                  <c:v>1.3859038519312481</c:v>
                </c:pt>
                <c:pt idx="243" formatCode="0.0000">
                  <c:v>1.4395471567551839</c:v>
                </c:pt>
                <c:pt idx="244" formatCode="0.0000">
                  <c:v>1.4291538249689502</c:v>
                </c:pt>
                <c:pt idx="245" formatCode="0.0000">
                  <c:v>1.487453926791743</c:v>
                </c:pt>
                <c:pt idx="246" formatCode="0.0000">
                  <c:v>1.4735392885357261</c:v>
                </c:pt>
                <c:pt idx="247" formatCode="0.0000">
                  <c:v>1.4202619551587463</c:v>
                </c:pt>
                <c:pt idx="248" formatCode="0.0000">
                  <c:v>1.402654469187699</c:v>
                </c:pt>
                <c:pt idx="249" formatCode="0.0000">
                  <c:v>1.3867914308712284</c:v>
                </c:pt>
                <c:pt idx="250" formatCode="0.0000">
                  <c:v>1.3682959697055534</c:v>
                </c:pt>
                <c:pt idx="251" formatCode="0.0000">
                  <c:v>1.3367444888281597</c:v>
                </c:pt>
                <c:pt idx="252" formatCode="0.0000">
                  <c:v>1.2501850367768861</c:v>
                </c:pt>
                <c:pt idx="253" formatCode="0.0000">
                  <c:v>1.2007934663847226</c:v>
                </c:pt>
                <c:pt idx="254" formatCode="0.0000">
                  <c:v>1.167918438653184</c:v>
                </c:pt>
                <c:pt idx="255" formatCode="0.0000">
                  <c:v>1.1331699188758673</c:v>
                </c:pt>
                <c:pt idx="256" formatCode="0.0000">
                  <c:v>1.0654554363339643</c:v>
                </c:pt>
                <c:pt idx="257" formatCode="0.0000">
                  <c:v>1.0214393962787407</c:v>
                </c:pt>
                <c:pt idx="258" formatCode="0.0000">
                  <c:v>1.0085708557622992</c:v>
                </c:pt>
                <c:pt idx="259" formatCode="0.0000">
                  <c:v>1.0329356522481474</c:v>
                </c:pt>
                <c:pt idx="260" formatCode="0.0000">
                  <c:v>1.0269264539149314</c:v>
                </c:pt>
                <c:pt idx="261" formatCode="0.0000">
                  <c:v>1.0688009347838112</c:v>
                </c:pt>
                <c:pt idx="262" formatCode="0.0000">
                  <c:v>1.0723817189284357</c:v>
                </c:pt>
                <c:pt idx="263" formatCode="0.0000">
                  <c:v>1.1043093140459252</c:v>
                </c:pt>
                <c:pt idx="264" formatCode="0.0000">
                  <c:v>1.1023343518311022</c:v>
                </c:pt>
                <c:pt idx="265" formatCode="0.0000">
                  <c:v>1.0822426700949419</c:v>
                </c:pt>
                <c:pt idx="266" formatCode="0.0000">
                  <c:v>1.0312457356663718</c:v>
                </c:pt>
                <c:pt idx="267" formatCode="0.0000">
                  <c:v>1.0053217420179361</c:v>
                </c:pt>
                <c:pt idx="268" formatCode="0.0000">
                  <c:v>0.95878641522538821</c:v>
                </c:pt>
                <c:pt idx="269" formatCode="0.0000">
                  <c:v>0.93196738192645168</c:v>
                </c:pt>
                <c:pt idx="270" formatCode="0.0000">
                  <c:v>0.86440197908133043</c:v>
                </c:pt>
                <c:pt idx="271" formatCode="0.0000">
                  <c:v>0.86264669889577517</c:v>
                </c:pt>
                <c:pt idx="272" formatCode="0.0000">
                  <c:v>0.81394756736297225</c:v>
                </c:pt>
                <c:pt idx="273" formatCode="0.0000">
                  <c:v>0.76430965134963935</c:v>
                </c:pt>
                <c:pt idx="274" formatCode="0.0000">
                  <c:v>0.79066256468423091</c:v>
                </c:pt>
                <c:pt idx="275" formatCode="0.0000">
                  <c:v>0.83991929412431376</c:v>
                </c:pt>
                <c:pt idx="276" formatCode="0.0000">
                  <c:v>0.80479396903860534</c:v>
                </c:pt>
                <c:pt idx="277" formatCode="0.0000">
                  <c:v>0.82406638755408823</c:v>
                </c:pt>
                <c:pt idx="278" formatCode="0.0000">
                  <c:v>0.83297768749339807</c:v>
                </c:pt>
                <c:pt idx="279" formatCode="0.0000">
                  <c:v>0.82783597085823502</c:v>
                </c:pt>
                <c:pt idx="280" formatCode="0.0000">
                  <c:v>0.85155776825135965</c:v>
                </c:pt>
                <c:pt idx="281" formatCode="0.0000">
                  <c:v>0.856105363769608</c:v>
                </c:pt>
                <c:pt idx="282" formatCode="0.0000">
                  <c:v>0.82782003295512374</c:v>
                </c:pt>
                <c:pt idx="283" formatCode="0.0000">
                  <c:v>0.90665085493667241</c:v>
                </c:pt>
                <c:pt idx="284" formatCode="0.0000">
                  <c:v>0.88681542798288115</c:v>
                </c:pt>
                <c:pt idx="285" formatCode="0.0000">
                  <c:v>0.92439813658634162</c:v>
                </c:pt>
                <c:pt idx="286" formatCode="0.0000">
                  <c:v>0.94881388847177206</c:v>
                </c:pt>
                <c:pt idx="287" formatCode="0.0000">
                  <c:v>0.9503208457957405</c:v>
                </c:pt>
                <c:pt idx="288" formatCode="0.0000">
                  <c:v>0.947692991101589</c:v>
                </c:pt>
                <c:pt idx="289" formatCode="0.0000">
                  <c:v>0.96828859469973161</c:v>
                </c:pt>
                <c:pt idx="290" formatCode="0.0000">
                  <c:v>0.94147735974701752</c:v>
                </c:pt>
                <c:pt idx="291" formatCode="0.0000">
                  <c:v>0.99873906075746199</c:v>
                </c:pt>
                <c:pt idx="292" formatCode="0.0000">
                  <c:v>0.96916510163413971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1356-4839-896B-C589C93EEDD7}"/>
            </c:ext>
          </c:extLst>
        </c:ser>
        <c:ser>
          <c:idx val="11"/>
          <c:order val="11"/>
          <c:tx>
            <c:strRef>
              <c:f>'R(t) Województwa'!$CI$2</c:f>
              <c:strCache>
                <c:ptCount val="1"/>
                <c:pt idx="0">
                  <c:v>Śląskie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Województwa'!$CI$3:$CI$1000</c:f>
              <c:numCache>
                <c:formatCode>General</c:formatCode>
                <c:ptCount val="998"/>
                <c:pt idx="24" formatCode="0.0000">
                  <c:v>0.96970920840064689</c:v>
                </c:pt>
                <c:pt idx="25" formatCode="0.0000">
                  <c:v>1.319646282939386</c:v>
                </c:pt>
                <c:pt idx="26" formatCode="0.0000">
                  <c:v>1.5146902203291148</c:v>
                </c:pt>
                <c:pt idx="27" formatCode="0.0000">
                  <c:v>1.3328060834612041</c:v>
                </c:pt>
                <c:pt idx="28" formatCode="0.0000">
                  <c:v>1.7041183273375069</c:v>
                </c:pt>
                <c:pt idx="29" formatCode="0.0000">
                  <c:v>1.4789955844055296</c:v>
                </c:pt>
                <c:pt idx="30" formatCode="0.0000">
                  <c:v>1.4693368637114201</c:v>
                </c:pt>
                <c:pt idx="31" formatCode="0.0000">
                  <c:v>2.1844796175838419</c:v>
                </c:pt>
                <c:pt idx="32" formatCode="0.0000">
                  <c:v>2.1954606096357057</c:v>
                </c:pt>
                <c:pt idx="33" formatCode="0.0000">
                  <c:v>2.0655574414371842</c:v>
                </c:pt>
                <c:pt idx="34" formatCode="0.0000">
                  <c:v>2.0398754308789608</c:v>
                </c:pt>
                <c:pt idx="35" formatCode="0.0000">
                  <c:v>1.7276536402157954</c:v>
                </c:pt>
                <c:pt idx="36" formatCode="0.0000">
                  <c:v>1.8351944166079244</c:v>
                </c:pt>
                <c:pt idx="37" formatCode="0.0000">
                  <c:v>1.8181916091797266</c:v>
                </c:pt>
                <c:pt idx="38" formatCode="0.0000">
                  <c:v>1.0826667304681072</c:v>
                </c:pt>
                <c:pt idx="39" formatCode="0.0000">
                  <c:v>1.0184484280847699</c:v>
                </c:pt>
                <c:pt idx="40" formatCode="0.0000">
                  <c:v>1.0984098271933382</c:v>
                </c:pt>
                <c:pt idx="41" formatCode="0.0000">
                  <c:v>1.1161464639437657</c:v>
                </c:pt>
                <c:pt idx="42" formatCode="0.0000">
                  <c:v>1.1835040652092441</c:v>
                </c:pt>
                <c:pt idx="43" formatCode="0.0000">
                  <c:v>1.1642479007099362</c:v>
                </c:pt>
                <c:pt idx="44" formatCode="0.0000">
                  <c:v>1.233528314467802</c:v>
                </c:pt>
                <c:pt idx="45" formatCode="0.0000">
                  <c:v>1.5194828099671085</c:v>
                </c:pt>
                <c:pt idx="46" formatCode="0.0000">
                  <c:v>1.3894494988262791</c:v>
                </c:pt>
                <c:pt idx="47" formatCode="0.0000">
                  <c:v>1.5063381801727693</c:v>
                </c:pt>
                <c:pt idx="48" formatCode="0.0000">
                  <c:v>1.5455805168393053</c:v>
                </c:pt>
                <c:pt idx="49" formatCode="0.0000">
                  <c:v>1.4440526268984752</c:v>
                </c:pt>
                <c:pt idx="50" formatCode="0.0000">
                  <c:v>1.4015719015354533</c:v>
                </c:pt>
                <c:pt idx="51" formatCode="0.0000">
                  <c:v>1.2245082522864255</c:v>
                </c:pt>
                <c:pt idx="52" formatCode="0.0000">
                  <c:v>1.0484159451847574</c:v>
                </c:pt>
                <c:pt idx="53" formatCode="0.0000">
                  <c:v>1.1383075908625953</c:v>
                </c:pt>
                <c:pt idx="54" formatCode="0.0000">
                  <c:v>0.95918162496167192</c:v>
                </c:pt>
                <c:pt idx="55" formatCode="0.0000">
                  <c:v>0.90468249975893333</c:v>
                </c:pt>
                <c:pt idx="56" formatCode="0.0000">
                  <c:v>1.0065117395602574</c:v>
                </c:pt>
                <c:pt idx="57" formatCode="0.0000">
                  <c:v>1.244437638048272</c:v>
                </c:pt>
                <c:pt idx="58" formatCode="0.0000">
                  <c:v>1.3793192614009577</c:v>
                </c:pt>
                <c:pt idx="59" formatCode="0.0000">
                  <c:v>1.384054634007762</c:v>
                </c:pt>
                <c:pt idx="60" formatCode="0.0000">
                  <c:v>1.3388811481570684</c:v>
                </c:pt>
                <c:pt idx="61" formatCode="0.0000">
                  <c:v>1.3846635423663911</c:v>
                </c:pt>
                <c:pt idx="62" formatCode="0.0000">
                  <c:v>1.4145219784277641</c:v>
                </c:pt>
                <c:pt idx="63" formatCode="0.0000">
                  <c:v>1.4078183646564213</c:v>
                </c:pt>
                <c:pt idx="64" formatCode="0.0000">
                  <c:v>1.2991670726344198</c:v>
                </c:pt>
                <c:pt idx="65" formatCode="0.0000">
                  <c:v>1.2413717040446943</c:v>
                </c:pt>
                <c:pt idx="66" formatCode="0.0000">
                  <c:v>1.2435505322018474</c:v>
                </c:pt>
                <c:pt idx="67" formatCode="0.0000">
                  <c:v>1.3310689279934971</c:v>
                </c:pt>
                <c:pt idx="68" formatCode="0.0000">
                  <c:v>1.3220809155996387</c:v>
                </c:pt>
                <c:pt idx="69" formatCode="0.0000">
                  <c:v>1.4354937100833542</c:v>
                </c:pt>
                <c:pt idx="70" formatCode="0.0000">
                  <c:v>1.6849589127110935</c:v>
                </c:pt>
                <c:pt idx="71" formatCode="0.0000">
                  <c:v>1.5870156589999067</c:v>
                </c:pt>
                <c:pt idx="72" formatCode="0.0000">
                  <c:v>1.6674432649105184</c:v>
                </c:pt>
                <c:pt idx="73" formatCode="0.0000">
                  <c:v>1.6408294504976868</c:v>
                </c:pt>
                <c:pt idx="74" formatCode="0.0000">
                  <c:v>1.5634529899033673</c:v>
                </c:pt>
                <c:pt idx="75" formatCode="0.0000">
                  <c:v>1.4909046533256658</c:v>
                </c:pt>
                <c:pt idx="76" formatCode="0.0000">
                  <c:v>1.40250213557333</c:v>
                </c:pt>
                <c:pt idx="77" formatCode="0.0000">
                  <c:v>1.133338490262765</c:v>
                </c:pt>
                <c:pt idx="78" formatCode="0.0000">
                  <c:v>1.1910572022748884</c:v>
                </c:pt>
                <c:pt idx="79" formatCode="0.0000">
                  <c:v>1.1189720479167524</c:v>
                </c:pt>
                <c:pt idx="80" formatCode="0.0000">
                  <c:v>1.0914028757812035</c:v>
                </c:pt>
                <c:pt idx="81" formatCode="0.0000">
                  <c:v>1.0906760798357786</c:v>
                </c:pt>
                <c:pt idx="82" formatCode="0.0000">
                  <c:v>1.0834547170848283</c:v>
                </c:pt>
                <c:pt idx="83" formatCode="0.0000">
                  <c:v>1.041880967360026</c:v>
                </c:pt>
                <c:pt idx="84" formatCode="0.0000">
                  <c:v>1.0425203466679547</c:v>
                </c:pt>
                <c:pt idx="85" formatCode="0.0000">
                  <c:v>0.9713611975694485</c:v>
                </c:pt>
                <c:pt idx="86" formatCode="0.0000">
                  <c:v>0.90126138639097431</c:v>
                </c:pt>
                <c:pt idx="87" formatCode="0.0000">
                  <c:v>0.85489914772575359</c:v>
                </c:pt>
                <c:pt idx="88" formatCode="0.0000">
                  <c:v>0.90730663109425602</c:v>
                </c:pt>
                <c:pt idx="89" formatCode="0.0000">
                  <c:v>0.86347093486739313</c:v>
                </c:pt>
                <c:pt idx="90" formatCode="0.0000">
                  <c:v>0.90765231068639807</c:v>
                </c:pt>
                <c:pt idx="91" formatCode="0.0000">
                  <c:v>0.80363646219113727</c:v>
                </c:pt>
                <c:pt idx="92" formatCode="0.0000">
                  <c:v>0.77607440940621253</c:v>
                </c:pt>
                <c:pt idx="93" formatCode="0.0000">
                  <c:v>0.78494471013330447</c:v>
                </c:pt>
                <c:pt idx="94" formatCode="0.0000">
                  <c:v>0.8061032787775243</c:v>
                </c:pt>
                <c:pt idx="95" formatCode="0.0000">
                  <c:v>0.94889783148394879</c:v>
                </c:pt>
                <c:pt idx="96" formatCode="0.0000">
                  <c:v>1.118533617668924</c:v>
                </c:pt>
                <c:pt idx="97" formatCode="0.0000">
                  <c:v>1.193196205023872</c:v>
                </c:pt>
                <c:pt idx="98" formatCode="0.0000">
                  <c:v>1.1981764318949413</c:v>
                </c:pt>
                <c:pt idx="99" formatCode="0.0000">
                  <c:v>1.1622850759335663</c:v>
                </c:pt>
                <c:pt idx="100" formatCode="0.0000">
                  <c:v>1.1766656949304537</c:v>
                </c:pt>
                <c:pt idx="101" formatCode="0.0000">
                  <c:v>1.1254423617088931</c:v>
                </c:pt>
                <c:pt idx="102" formatCode="0.0000">
                  <c:v>0.98518202078917627</c:v>
                </c:pt>
                <c:pt idx="103" formatCode="0.0000">
                  <c:v>0.86557482771500671</c:v>
                </c:pt>
                <c:pt idx="104" formatCode="0.0000">
                  <c:v>0.79179743183096285</c:v>
                </c:pt>
                <c:pt idx="105" formatCode="0.0000">
                  <c:v>0.87432678783160001</c:v>
                </c:pt>
                <c:pt idx="106" formatCode="0.0000">
                  <c:v>0.94394937943944135</c:v>
                </c:pt>
                <c:pt idx="107" formatCode="0.0000">
                  <c:v>0.89710158001557072</c:v>
                </c:pt>
                <c:pt idx="108" formatCode="0.0000">
                  <c:v>0.86938768303273617</c:v>
                </c:pt>
                <c:pt idx="109" formatCode="0.0000">
                  <c:v>0.80784139162666613</c:v>
                </c:pt>
                <c:pt idx="110" formatCode="0.0000">
                  <c:v>0.80490144086494786</c:v>
                </c:pt>
                <c:pt idx="111" formatCode="0.0000">
                  <c:v>0.78220860459318764</c:v>
                </c:pt>
                <c:pt idx="112" formatCode="0.0000">
                  <c:v>0.73963705031911808</c:v>
                </c:pt>
                <c:pt idx="113" formatCode="0.0000">
                  <c:v>0.72675075145488444</c:v>
                </c:pt>
                <c:pt idx="114" formatCode="0.0000">
                  <c:v>0.78711835510021932</c:v>
                </c:pt>
                <c:pt idx="115" formatCode="0.0000">
                  <c:v>0.81094157790380716</c:v>
                </c:pt>
                <c:pt idx="116" formatCode="0.0000">
                  <c:v>0.79665873899308315</c:v>
                </c:pt>
                <c:pt idx="117" formatCode="0.0000">
                  <c:v>0.71110634554031849</c:v>
                </c:pt>
                <c:pt idx="118" formatCode="0.0000">
                  <c:v>0.68723106862031169</c:v>
                </c:pt>
                <c:pt idx="119" formatCode="0.0000">
                  <c:v>0.6745734027285929</c:v>
                </c:pt>
                <c:pt idx="120" formatCode="0.0000">
                  <c:v>0.80248539597105284</c:v>
                </c:pt>
                <c:pt idx="121" formatCode="0.0000">
                  <c:v>0.86221579184654895</c:v>
                </c:pt>
                <c:pt idx="122" formatCode="0.0000">
                  <c:v>0.8593087306072541</c:v>
                </c:pt>
                <c:pt idx="123" formatCode="0.0000">
                  <c:v>0.88956849547903649</c:v>
                </c:pt>
                <c:pt idx="124" formatCode="0.0000">
                  <c:v>0.96874145610246132</c:v>
                </c:pt>
                <c:pt idx="125" formatCode="0.0000">
                  <c:v>0.93372757572337017</c:v>
                </c:pt>
                <c:pt idx="126" formatCode="0.0000">
                  <c:v>0.95299302013100251</c:v>
                </c:pt>
                <c:pt idx="127" formatCode="0.0000">
                  <c:v>0.8591663573638828</c:v>
                </c:pt>
                <c:pt idx="128" formatCode="0.0000">
                  <c:v>0.79451148034357366</c:v>
                </c:pt>
                <c:pt idx="129" formatCode="0.0000">
                  <c:v>0.82941094869492549</c:v>
                </c:pt>
                <c:pt idx="130" formatCode="0.0000">
                  <c:v>0.82775046932148677</c:v>
                </c:pt>
                <c:pt idx="131" formatCode="0.0000">
                  <c:v>0.80288729112339652</c:v>
                </c:pt>
                <c:pt idx="132" formatCode="0.0000">
                  <c:v>0.84409188733932727</c:v>
                </c:pt>
                <c:pt idx="133" formatCode="0.0000">
                  <c:v>0.83443198758622439</c:v>
                </c:pt>
                <c:pt idx="134" formatCode="0.0000">
                  <c:v>0.84993856377440113</c:v>
                </c:pt>
                <c:pt idx="135" formatCode="0.0000">
                  <c:v>0.87905696974838221</c:v>
                </c:pt>
                <c:pt idx="136" formatCode="0.0000">
                  <c:v>0.89310792458662946</c:v>
                </c:pt>
                <c:pt idx="137" formatCode="0.0000">
                  <c:v>0.94741619654900033</c:v>
                </c:pt>
                <c:pt idx="138" formatCode="0.0000">
                  <c:v>0.94919321143060098</c:v>
                </c:pt>
                <c:pt idx="139" formatCode="0.0000">
                  <c:v>0.93769378973517614</c:v>
                </c:pt>
                <c:pt idx="140" formatCode="0.0000">
                  <c:v>1.070260831290555</c:v>
                </c:pt>
                <c:pt idx="141" formatCode="0.0000">
                  <c:v>1.0986866716187114</c:v>
                </c:pt>
                <c:pt idx="142" formatCode="0.0000">
                  <c:v>1.1187262583525359</c:v>
                </c:pt>
                <c:pt idx="143" formatCode="0.0000">
                  <c:v>1.2534079762703276</c:v>
                </c:pt>
                <c:pt idx="144" formatCode="0.0000">
                  <c:v>1.3343743826978347</c:v>
                </c:pt>
                <c:pt idx="145" formatCode="0.0000">
                  <c:v>1.4045418526500104</c:v>
                </c:pt>
                <c:pt idx="146" formatCode="0.0000">
                  <c:v>1.4870696291848555</c:v>
                </c:pt>
                <c:pt idx="147" formatCode="0.0000">
                  <c:v>1.4161251702081767</c:v>
                </c:pt>
                <c:pt idx="148" formatCode="0.0000">
                  <c:v>1.4322351936509026</c:v>
                </c:pt>
                <c:pt idx="149" formatCode="0.0000">
                  <c:v>1.4255367384160533</c:v>
                </c:pt>
                <c:pt idx="150" formatCode="0.0000">
                  <c:v>1.3751250610285684</c:v>
                </c:pt>
                <c:pt idx="151" formatCode="0.0000">
                  <c:v>1.3227151667059414</c:v>
                </c:pt>
                <c:pt idx="152" formatCode="0.0000">
                  <c:v>1.3306259393916329</c:v>
                </c:pt>
                <c:pt idx="153" formatCode="0.0000">
                  <c:v>1.2781466144448406</c:v>
                </c:pt>
                <c:pt idx="154" formatCode="0.0000">
                  <c:v>1.2879349925199792</c:v>
                </c:pt>
                <c:pt idx="155" formatCode="0.0000">
                  <c:v>1.2130200995266158</c:v>
                </c:pt>
                <c:pt idx="156" formatCode="0.0000">
                  <c:v>1.1625962070420166</c:v>
                </c:pt>
                <c:pt idx="157" formatCode="0.0000">
                  <c:v>1.1572983248356199</c:v>
                </c:pt>
                <c:pt idx="158" formatCode="0.0000">
                  <c:v>1.1245839193449139</c:v>
                </c:pt>
                <c:pt idx="159" formatCode="0.0000">
                  <c:v>1.0727098295676429</c:v>
                </c:pt>
                <c:pt idx="160" formatCode="0.0000">
                  <c:v>1.0258932026992593</c:v>
                </c:pt>
                <c:pt idx="161" formatCode="0.0000">
                  <c:v>0.94149110099528988</c:v>
                </c:pt>
                <c:pt idx="162" formatCode="0.0000">
                  <c:v>0.9438442128489738</c:v>
                </c:pt>
                <c:pt idx="163" formatCode="0.0000">
                  <c:v>0.9911129187167439</c:v>
                </c:pt>
                <c:pt idx="164" formatCode="0.0000">
                  <c:v>0.90715003413564888</c:v>
                </c:pt>
                <c:pt idx="165" formatCode="0.0000">
                  <c:v>0.85767788195689376</c:v>
                </c:pt>
                <c:pt idx="166" formatCode="0.0000">
                  <c:v>0.83881935707251976</c:v>
                </c:pt>
                <c:pt idx="167" formatCode="0.0000">
                  <c:v>0.83211552706135083</c:v>
                </c:pt>
                <c:pt idx="168" formatCode="0.0000">
                  <c:v>0.8088953578618252</c:v>
                </c:pt>
                <c:pt idx="169" formatCode="0.0000">
                  <c:v>0.85324427641135259</c:v>
                </c:pt>
                <c:pt idx="170" formatCode="0.0000">
                  <c:v>0.87498982674420589</c:v>
                </c:pt>
                <c:pt idx="171" formatCode="0.0000">
                  <c:v>0.90301274868816173</c:v>
                </c:pt>
                <c:pt idx="172" formatCode="0.0000">
                  <c:v>0.93560742886366122</c:v>
                </c:pt>
                <c:pt idx="173" formatCode="0.0000">
                  <c:v>0.93213369506858279</c:v>
                </c:pt>
                <c:pt idx="174" formatCode="0.0000">
                  <c:v>0.96030925385178623</c:v>
                </c:pt>
                <c:pt idx="175" formatCode="0.0000">
                  <c:v>0.96860568193790419</c:v>
                </c:pt>
                <c:pt idx="176" formatCode="0.0000">
                  <c:v>0.92333857081117598</c:v>
                </c:pt>
                <c:pt idx="177" formatCode="0.0000">
                  <c:v>0.87286184305379722</c:v>
                </c:pt>
                <c:pt idx="178" formatCode="0.0000">
                  <c:v>0.82297227908497061</c:v>
                </c:pt>
                <c:pt idx="179" formatCode="0.0000">
                  <c:v>0.78447205991370816</c:v>
                </c:pt>
                <c:pt idx="180" formatCode="0.0000">
                  <c:v>0.79435730647032021</c:v>
                </c:pt>
                <c:pt idx="181" formatCode="0.0000">
                  <c:v>0.79121768632129275</c:v>
                </c:pt>
                <c:pt idx="182" formatCode="0.0000">
                  <c:v>0.76613163426698228</c:v>
                </c:pt>
                <c:pt idx="183" formatCode="0.0000">
                  <c:v>0.72796773601169762</c:v>
                </c:pt>
                <c:pt idx="184" formatCode="0.0000">
                  <c:v>0.70040855260325718</c:v>
                </c:pt>
                <c:pt idx="185" formatCode="0.0000">
                  <c:v>0.6652265938177121</c:v>
                </c:pt>
                <c:pt idx="186" formatCode="0.0000">
                  <c:v>0.63307121626388707</c:v>
                </c:pt>
                <c:pt idx="187" formatCode="0.0000">
                  <c:v>0.59060497844195681</c:v>
                </c:pt>
                <c:pt idx="188" formatCode="0.0000">
                  <c:v>0.553084560728199</c:v>
                </c:pt>
                <c:pt idx="189" formatCode="0.0000">
                  <c:v>0.59227279590323045</c:v>
                </c:pt>
                <c:pt idx="190" formatCode="0.0000">
                  <c:v>0.62635384223315782</c:v>
                </c:pt>
                <c:pt idx="191" formatCode="0.0000">
                  <c:v>0.63242464157440037</c:v>
                </c:pt>
                <c:pt idx="192" formatCode="0.0000">
                  <c:v>0.65085210009805405</c:v>
                </c:pt>
                <c:pt idx="193" formatCode="0.0000">
                  <c:v>0.74257370798050182</c:v>
                </c:pt>
                <c:pt idx="194" formatCode="0.0000">
                  <c:v>0.80322193608218329</c:v>
                </c:pt>
                <c:pt idx="195" formatCode="0.0000">
                  <c:v>0.84975506330345973</c:v>
                </c:pt>
                <c:pt idx="196" formatCode="0.0000">
                  <c:v>0.89242669398722463</c:v>
                </c:pt>
                <c:pt idx="197" formatCode="0.0000">
                  <c:v>0.91904685507107853</c:v>
                </c:pt>
                <c:pt idx="198" formatCode="0.0000">
                  <c:v>0.96025023391704334</c:v>
                </c:pt>
                <c:pt idx="199" formatCode="0.0000">
                  <c:v>1.0123363428481307</c:v>
                </c:pt>
                <c:pt idx="200" formatCode="0.0000">
                  <c:v>0.99164688495598963</c:v>
                </c:pt>
                <c:pt idx="201" formatCode="0.0000">
                  <c:v>1.0418895576338187</c:v>
                </c:pt>
                <c:pt idx="202" formatCode="0.0000">
                  <c:v>1.0376678433846265</c:v>
                </c:pt>
                <c:pt idx="203" formatCode="0.0000">
                  <c:v>1.0559235683833106</c:v>
                </c:pt>
                <c:pt idx="204" formatCode="0.0000">
                  <c:v>1.0940343488085442</c:v>
                </c:pt>
                <c:pt idx="205" formatCode="0.0000">
                  <c:v>1.1818287349825649</c:v>
                </c:pt>
                <c:pt idx="206" formatCode="0.0000">
                  <c:v>1.279163808182896</c:v>
                </c:pt>
                <c:pt idx="207" formatCode="0.0000">
                  <c:v>1.3828935687656501</c:v>
                </c:pt>
                <c:pt idx="208" formatCode="0.0000">
                  <c:v>1.3609551834385936</c:v>
                </c:pt>
                <c:pt idx="209" formatCode="0.0000">
                  <c:v>1.3925327579453339</c:v>
                </c:pt>
                <c:pt idx="210" formatCode="0.0000">
                  <c:v>1.4237953299050152</c:v>
                </c:pt>
                <c:pt idx="211" formatCode="0.0000">
                  <c:v>1.4315526586573888</c:v>
                </c:pt>
                <c:pt idx="212" formatCode="0.0000">
                  <c:v>1.4051029715728056</c:v>
                </c:pt>
                <c:pt idx="213" formatCode="0.0000">
                  <c:v>1.3959476612101824</c:v>
                </c:pt>
                <c:pt idx="214" formatCode="0.0000">
                  <c:v>1.4142947549252252</c:v>
                </c:pt>
                <c:pt idx="215" formatCode="0.0000">
                  <c:v>1.3944040506684279</c:v>
                </c:pt>
                <c:pt idx="216" formatCode="0.0000">
                  <c:v>1.3989227799959318</c:v>
                </c:pt>
                <c:pt idx="217" formatCode="0.0000">
                  <c:v>1.4395019484868345</c:v>
                </c:pt>
                <c:pt idx="218" formatCode="0.0000">
                  <c:v>1.5319530403530845</c:v>
                </c:pt>
                <c:pt idx="219" formatCode="0.0000">
                  <c:v>1.6468912194290051</c:v>
                </c:pt>
                <c:pt idx="220" formatCode="0.0000">
                  <c:v>1.7674612712743714</c:v>
                </c:pt>
                <c:pt idx="221" formatCode="0.0000">
                  <c:v>1.7451308223387467</c:v>
                </c:pt>
                <c:pt idx="222" formatCode="0.0000">
                  <c:v>1.8083417928563652</c:v>
                </c:pt>
                <c:pt idx="223" formatCode="0.0000">
                  <c:v>1.8069301814292085</c:v>
                </c:pt>
                <c:pt idx="224" formatCode="0.0000">
                  <c:v>1.7964312927640156</c:v>
                </c:pt>
                <c:pt idx="225" formatCode="0.0000">
                  <c:v>1.7583174425939141</c:v>
                </c:pt>
                <c:pt idx="226" formatCode="0.0000">
                  <c:v>1.7856190859804848</c:v>
                </c:pt>
                <c:pt idx="227" formatCode="0.0000">
                  <c:v>1.6974871041478428</c:v>
                </c:pt>
                <c:pt idx="228" formatCode="0.0000">
                  <c:v>1.6890151809824505</c:v>
                </c:pt>
                <c:pt idx="229" formatCode="0.0000">
                  <c:v>1.7750397445228825</c:v>
                </c:pt>
                <c:pt idx="230" formatCode="0.0000">
                  <c:v>1.8115927375329515</c:v>
                </c:pt>
                <c:pt idx="231" formatCode="0.0000">
                  <c:v>1.7997328638267867</c:v>
                </c:pt>
                <c:pt idx="232" formatCode="0.0000">
                  <c:v>1.7787181885000014</c:v>
                </c:pt>
                <c:pt idx="233" formatCode="0.0000">
                  <c:v>1.6658379762836073</c:v>
                </c:pt>
                <c:pt idx="234" formatCode="0.0000">
                  <c:v>1.6386534373777242</c:v>
                </c:pt>
                <c:pt idx="235" formatCode="0.0000">
                  <c:v>1.6139082371411508</c:v>
                </c:pt>
                <c:pt idx="236" formatCode="0.0000">
                  <c:v>1.5152840752029273</c:v>
                </c:pt>
                <c:pt idx="237" formatCode="0.0000">
                  <c:v>1.4965108573146952</c:v>
                </c:pt>
                <c:pt idx="238" formatCode="0.0000">
                  <c:v>1.4746390304585308</c:v>
                </c:pt>
                <c:pt idx="239" formatCode="0.0000">
                  <c:v>1.5147426732886029</c:v>
                </c:pt>
                <c:pt idx="240" formatCode="0.0000">
                  <c:v>1.5253930801964819</c:v>
                </c:pt>
                <c:pt idx="241" formatCode="0.0000">
                  <c:v>1.4799161450473837</c:v>
                </c:pt>
                <c:pt idx="242" formatCode="0.0000">
                  <c:v>1.5098150218416815</c:v>
                </c:pt>
                <c:pt idx="243" formatCode="0.0000">
                  <c:v>1.4750552025183443</c:v>
                </c:pt>
                <c:pt idx="244" formatCode="0.0000">
                  <c:v>1.454011252703431</c:v>
                </c:pt>
                <c:pt idx="245" formatCode="0.0000">
                  <c:v>1.4942870351252697</c:v>
                </c:pt>
                <c:pt idx="246" formatCode="0.0000">
                  <c:v>1.4199296315538807</c:v>
                </c:pt>
                <c:pt idx="247" formatCode="0.0000">
                  <c:v>1.4946547793737832</c:v>
                </c:pt>
                <c:pt idx="248" formatCode="0.0000">
                  <c:v>1.5766170051017758</c:v>
                </c:pt>
                <c:pt idx="249" formatCode="0.0000">
                  <c:v>1.6009121590807716</c:v>
                </c:pt>
                <c:pt idx="250" formatCode="0.0000">
                  <c:v>1.6919676934898897</c:v>
                </c:pt>
                <c:pt idx="251" formatCode="0.0000">
                  <c:v>1.7823382914215082</c:v>
                </c:pt>
                <c:pt idx="252" formatCode="0.0000">
                  <c:v>1.7466739734365946</c:v>
                </c:pt>
                <c:pt idx="253" formatCode="0.0000">
                  <c:v>1.7328121366179892</c:v>
                </c:pt>
                <c:pt idx="254" formatCode="0.0000">
                  <c:v>1.5706832329399387</c:v>
                </c:pt>
                <c:pt idx="255" formatCode="0.0000">
                  <c:v>1.4469738788109081</c:v>
                </c:pt>
                <c:pt idx="256" formatCode="0.0000">
                  <c:v>1.3177837783997888</c:v>
                </c:pt>
                <c:pt idx="257" formatCode="0.0000">
                  <c:v>1.2272034365140798</c:v>
                </c:pt>
                <c:pt idx="258" formatCode="0.0000">
                  <c:v>1.1396540076350061</c:v>
                </c:pt>
                <c:pt idx="259" formatCode="0.0000">
                  <c:v>1.0380226093094487</c:v>
                </c:pt>
                <c:pt idx="260" formatCode="0.0000">
                  <c:v>0.95176553591415114</c:v>
                </c:pt>
                <c:pt idx="261" formatCode="0.0000">
                  <c:v>0.98162922114360363</c:v>
                </c:pt>
                <c:pt idx="262" formatCode="0.0000">
                  <c:v>0.93483206584858436</c:v>
                </c:pt>
                <c:pt idx="263" formatCode="0.0000">
                  <c:v>0.89247815946795106</c:v>
                </c:pt>
                <c:pt idx="264" formatCode="0.0000">
                  <c:v>0.81937432027707757</c:v>
                </c:pt>
                <c:pt idx="265" formatCode="0.0000">
                  <c:v>0.71741647070298442</c:v>
                </c:pt>
                <c:pt idx="266" formatCode="0.0000">
                  <c:v>0.6690406191934295</c:v>
                </c:pt>
                <c:pt idx="267" formatCode="0.0000">
                  <c:v>0.69211812550986329</c:v>
                </c:pt>
                <c:pt idx="268" formatCode="0.0000">
                  <c:v>0.60817199368598351</c:v>
                </c:pt>
                <c:pt idx="269" formatCode="0.0000">
                  <c:v>0.59434978458935483</c:v>
                </c:pt>
                <c:pt idx="270" formatCode="0.0000">
                  <c:v>0.58877669893950413</c:v>
                </c:pt>
                <c:pt idx="271" formatCode="0.0000">
                  <c:v>0.58355251763234983</c:v>
                </c:pt>
                <c:pt idx="272" formatCode="0.0000">
                  <c:v>0.58132579183808808</c:v>
                </c:pt>
                <c:pt idx="273" formatCode="0.0000">
                  <c:v>0.62189947418837099</c:v>
                </c:pt>
                <c:pt idx="274" formatCode="0.0000">
                  <c:v>0.63835350774026267</c:v>
                </c:pt>
                <c:pt idx="275" formatCode="0.0000">
                  <c:v>0.6636162827570492</c:v>
                </c:pt>
                <c:pt idx="276" formatCode="0.0000">
                  <c:v>0.68691491971236562</c:v>
                </c:pt>
                <c:pt idx="277" formatCode="0.0000">
                  <c:v>0.71209676923106924</c:v>
                </c:pt>
                <c:pt idx="278" formatCode="0.0000">
                  <c:v>0.72961113780219888</c:v>
                </c:pt>
                <c:pt idx="279" formatCode="0.0000">
                  <c:v>0.72424965951718256</c:v>
                </c:pt>
                <c:pt idx="280" formatCode="0.0000">
                  <c:v>0.72859728084762987</c:v>
                </c:pt>
                <c:pt idx="281" formatCode="0.0000">
                  <c:v>0.76908710201813524</c:v>
                </c:pt>
                <c:pt idx="282" formatCode="0.0000">
                  <c:v>0.77476856427055174</c:v>
                </c:pt>
                <c:pt idx="283" formatCode="0.0000">
                  <c:v>0.77593689765381202</c:v>
                </c:pt>
                <c:pt idx="284" formatCode="0.0000">
                  <c:v>0.77343143933546254</c:v>
                </c:pt>
                <c:pt idx="285" formatCode="0.0000">
                  <c:v>0.76762884702365886</c:v>
                </c:pt>
                <c:pt idx="286" formatCode="0.0000">
                  <c:v>0.77592552992023411</c:v>
                </c:pt>
                <c:pt idx="287" formatCode="0.0000">
                  <c:v>0.76639277335084033</c:v>
                </c:pt>
                <c:pt idx="288" formatCode="0.0000">
                  <c:v>0.79587281098091012</c:v>
                </c:pt>
                <c:pt idx="289" formatCode="0.0000">
                  <c:v>0.78958660767606936</c:v>
                </c:pt>
                <c:pt idx="290" formatCode="0.0000">
                  <c:v>0.79732871919153225</c:v>
                </c:pt>
                <c:pt idx="291" formatCode="0.0000">
                  <c:v>0.79760831248503095</c:v>
                </c:pt>
                <c:pt idx="292" formatCode="0.0000">
                  <c:v>0.82083593902489471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1356-4839-896B-C589C93EEDD7}"/>
            </c:ext>
          </c:extLst>
        </c:ser>
        <c:ser>
          <c:idx val="12"/>
          <c:order val="12"/>
          <c:tx>
            <c:strRef>
              <c:f>'R(t) Województwa'!$CP$2</c:f>
              <c:strCache>
                <c:ptCount val="1"/>
                <c:pt idx="0">
                  <c:v>Świętokrzyskie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Województwa'!$CP$3:$CP$1000</c:f>
              <c:numCache>
                <c:formatCode>General</c:formatCode>
                <c:ptCount val="998"/>
                <c:pt idx="36" formatCode="0.0000">
                  <c:v>0.52184307759182869</c:v>
                </c:pt>
                <c:pt idx="37" formatCode="0.0000">
                  <c:v>0.34093620204115715</c:v>
                </c:pt>
                <c:pt idx="38" formatCode="0.0000">
                  <c:v>0.25759924163112585</c:v>
                </c:pt>
                <c:pt idx="39" formatCode="0.0000">
                  <c:v>0.34994340988519829</c:v>
                </c:pt>
                <c:pt idx="40" formatCode="0.0000">
                  <c:v>0.39033266044375658</c:v>
                </c:pt>
                <c:pt idx="41" formatCode="0.0000">
                  <c:v>0.32527721703646389</c:v>
                </c:pt>
                <c:pt idx="42" formatCode="0.0000">
                  <c:v>0.53431781946797041</c:v>
                </c:pt>
                <c:pt idx="43" formatCode="0.0000">
                  <c:v>0.74240205189257957</c:v>
                </c:pt>
                <c:pt idx="44" formatCode="0.0000">
                  <c:v>0.79703215714992537</c:v>
                </c:pt>
                <c:pt idx="45" formatCode="0.0000">
                  <c:v>1.0825223239210278</c:v>
                </c:pt>
                <c:pt idx="46" formatCode="0.0000">
                  <c:v>1.1364458000214726</c:v>
                </c:pt>
                <c:pt idx="47" formatCode="0.0000">
                  <c:v>1.1579847710040707</c:v>
                </c:pt>
                <c:pt idx="48" formatCode="0.0000">
                  <c:v>1.4125800133431652</c:v>
                </c:pt>
                <c:pt idx="49" formatCode="0.0000">
                  <c:v>1.3052519084330478</c:v>
                </c:pt>
                <c:pt idx="50" formatCode="0.0000">
                  <c:v>1.1432153959183802</c:v>
                </c:pt>
                <c:pt idx="51" formatCode="0.0000">
                  <c:v>1.0794286675547682</c:v>
                </c:pt>
                <c:pt idx="52" formatCode="0.0000">
                  <c:v>0.8753724169698831</c:v>
                </c:pt>
                <c:pt idx="53" formatCode="0.0000">
                  <c:v>0.74841917134777369</c:v>
                </c:pt>
                <c:pt idx="54" formatCode="0.0000">
                  <c:v>0.70482688172587282</c:v>
                </c:pt>
                <c:pt idx="55" formatCode="0.0000">
                  <c:v>0.51236769427862849</c:v>
                </c:pt>
                <c:pt idx="56" formatCode="0.0000">
                  <c:v>0.43177919114589136</c:v>
                </c:pt>
                <c:pt idx="57" formatCode="0.0000">
                  <c:v>0.35991149524064625</c:v>
                </c:pt>
                <c:pt idx="58" formatCode="0.0000">
                  <c:v>0.45379161229404641</c:v>
                </c:pt>
                <c:pt idx="59" formatCode="0.0000">
                  <c:v>0.35936836456339138</c:v>
                </c:pt>
                <c:pt idx="60" formatCode="0.0000">
                  <c:v>0.37535632771800886</c:v>
                </c:pt>
                <c:pt idx="61" formatCode="0.0000">
                  <c:v>0.57448733273335273</c:v>
                </c:pt>
                <c:pt idx="62" formatCode="0.0000">
                  <c:v>0.64373612137888003</c:v>
                </c:pt>
                <c:pt idx="63" formatCode="0.0000">
                  <c:v>1.1742372544196387</c:v>
                </c:pt>
                <c:pt idx="64" formatCode="0.0000">
                  <c:v>1.1255082193303956</c:v>
                </c:pt>
                <c:pt idx="65" formatCode="0.0000">
                  <c:v>1.0978388892316944</c:v>
                </c:pt>
                <c:pt idx="66" formatCode="0.0000">
                  <c:v>1.3536890054558339</c:v>
                </c:pt>
                <c:pt idx="67" formatCode="0.0000">
                  <c:v>1.5510385935370492</c:v>
                </c:pt>
                <c:pt idx="68" formatCode="0.0000">
                  <c:v>1.3891078045962135</c:v>
                </c:pt>
                <c:pt idx="69" formatCode="0.0000">
                  <c:v>1.2577229610588365</c:v>
                </c:pt>
                <c:pt idx="70" formatCode="0.0000">
                  <c:v>0.74609485901003381</c:v>
                </c:pt>
                <c:pt idx="71" formatCode="0.0000">
                  <c:v>1.0209924671572239</c:v>
                </c:pt>
                <c:pt idx="72" formatCode="0.0000">
                  <c:v>0.94107697095300746</c:v>
                </c:pt>
                <c:pt idx="73" formatCode="0.0000">
                  <c:v>0.77966219398432746</c:v>
                </c:pt>
                <c:pt idx="74" formatCode="0.0000">
                  <c:v>0.58286667634140366</c:v>
                </c:pt>
                <c:pt idx="75" formatCode="0.0000">
                  <c:v>0.48887839852362797</c:v>
                </c:pt>
                <c:pt idx="76" formatCode="0.0000">
                  <c:v>0.96575873874323626</c:v>
                </c:pt>
                <c:pt idx="77" formatCode="0.0000">
                  <c:v>0.91179129387778401</c:v>
                </c:pt>
                <c:pt idx="78" formatCode="0.0000">
                  <c:v>0.78301001161176043</c:v>
                </c:pt>
                <c:pt idx="79" formatCode="0.0000">
                  <c:v>0.92865166468962479</c:v>
                </c:pt>
                <c:pt idx="80" formatCode="0.0000">
                  <c:v>1.0157628735626951</c:v>
                </c:pt>
                <c:pt idx="81" formatCode="0.0000">
                  <c:v>1.262337420830099</c:v>
                </c:pt>
                <c:pt idx="82" formatCode="0.0000">
                  <c:v>1.4775894033607455</c:v>
                </c:pt>
                <c:pt idx="83" formatCode="0.0000">
                  <c:v>1.2874531062962298</c:v>
                </c:pt>
                <c:pt idx="84" formatCode="0.0000">
                  <c:v>1.4304279708955483</c:v>
                </c:pt>
                <c:pt idx="85" formatCode="0.0000">
                  <c:v>1.5027934111583325</c:v>
                </c:pt>
                <c:pt idx="86" formatCode="0.0000">
                  <c:v>1.8988073044830949</c:v>
                </c:pt>
                <c:pt idx="87" formatCode="0.0000">
                  <c:v>1.8302025979382646</c:v>
                </c:pt>
                <c:pt idx="88" formatCode="0.0000">
                  <c:v>2.116039306741528</c:v>
                </c:pt>
                <c:pt idx="89" formatCode="0.0000">
                  <c:v>1.9826247415273386</c:v>
                </c:pt>
                <c:pt idx="90" formatCode="0.0000">
                  <c:v>1.7705855240302846</c:v>
                </c:pt>
                <c:pt idx="91" formatCode="0.0000">
                  <c:v>1.6886428150838309</c:v>
                </c:pt>
                <c:pt idx="92" formatCode="0.0000">
                  <c:v>1.5966533032885406</c:v>
                </c:pt>
                <c:pt idx="93" formatCode="0.0000">
                  <c:v>1.1835944823086739</c:v>
                </c:pt>
                <c:pt idx="94" formatCode="0.0000">
                  <c:v>1.0851478738470772</c:v>
                </c:pt>
                <c:pt idx="95" formatCode="0.0000">
                  <c:v>0.5695459930865413</c:v>
                </c:pt>
                <c:pt idx="96" formatCode="0.0000">
                  <c:v>0.48770857577008414</c:v>
                </c:pt>
                <c:pt idx="97" formatCode="0.0000">
                  <c:v>1.2686080209377042</c:v>
                </c:pt>
                <c:pt idx="98" formatCode="0.0000">
                  <c:v>1.3499209057944979</c:v>
                </c:pt>
                <c:pt idx="99" formatCode="0.0000">
                  <c:v>1.3565472480337111</c:v>
                </c:pt>
                <c:pt idx="100" formatCode="0.0000">
                  <c:v>1.2890540349879374</c:v>
                </c:pt>
                <c:pt idx="101" formatCode="0.0000">
                  <c:v>1.4209549453100634</c:v>
                </c:pt>
                <c:pt idx="102" formatCode="0.0000">
                  <c:v>1.3975889316642394</c:v>
                </c:pt>
                <c:pt idx="103" formatCode="0.0000">
                  <c:v>1.5926891122690741</c:v>
                </c:pt>
                <c:pt idx="104" formatCode="0.0000">
                  <c:v>0.93676103721558079</c:v>
                </c:pt>
                <c:pt idx="105" formatCode="0.0000">
                  <c:v>0.91037169715829214</c:v>
                </c:pt>
                <c:pt idx="106" formatCode="0.0000">
                  <c:v>1.0725076735285211</c:v>
                </c:pt>
                <c:pt idx="107" formatCode="0.0000">
                  <c:v>1.2210296922568875</c:v>
                </c:pt>
                <c:pt idx="108" formatCode="0.0000">
                  <c:v>1.194720057414038</c:v>
                </c:pt>
                <c:pt idx="109" formatCode="0.0000">
                  <c:v>1.2910811143604308</c:v>
                </c:pt>
                <c:pt idx="110" formatCode="0.0000">
                  <c:v>1.1643749331024733</c:v>
                </c:pt>
                <c:pt idx="111" formatCode="0.0000">
                  <c:v>1.1494401629885833</c:v>
                </c:pt>
                <c:pt idx="112" formatCode="0.0000">
                  <c:v>1.024628671565186</c:v>
                </c:pt>
                <c:pt idx="113" formatCode="0.0000">
                  <c:v>1.0112143505919042</c:v>
                </c:pt>
                <c:pt idx="114" formatCode="0.0000">
                  <c:v>0.89585511209563795</c:v>
                </c:pt>
                <c:pt idx="115" formatCode="0.0000">
                  <c:v>0.8005387806135511</c:v>
                </c:pt>
                <c:pt idx="116" formatCode="0.0000">
                  <c:v>0.87426220309866909</c:v>
                </c:pt>
                <c:pt idx="117" formatCode="0.0000">
                  <c:v>0.93913911763198077</c:v>
                </c:pt>
                <c:pt idx="118" formatCode="0.0000">
                  <c:v>0.94278287490541768</c:v>
                </c:pt>
                <c:pt idx="119" formatCode="0.0000">
                  <c:v>1.0221019721638454</c:v>
                </c:pt>
                <c:pt idx="120" formatCode="0.0000">
                  <c:v>0.79388146839336393</c:v>
                </c:pt>
                <c:pt idx="121" formatCode="0.0000">
                  <c:v>0.80264373539262135</c:v>
                </c:pt>
                <c:pt idx="122" formatCode="0.0000">
                  <c:v>0.97714917741825069</c:v>
                </c:pt>
                <c:pt idx="123" formatCode="0.0000">
                  <c:v>0.80956157987202904</c:v>
                </c:pt>
                <c:pt idx="124" formatCode="0.0000">
                  <c:v>0.75816184511314944</c:v>
                </c:pt>
                <c:pt idx="125" formatCode="0.0000">
                  <c:v>0.744153563823995</c:v>
                </c:pt>
                <c:pt idx="126" formatCode="0.0000">
                  <c:v>0.70881191622699957</c:v>
                </c:pt>
                <c:pt idx="127" formatCode="0.0000">
                  <c:v>0.71003281347862901</c:v>
                </c:pt>
                <c:pt idx="128" formatCode="0.0000">
                  <c:v>0.70722654464106427</c:v>
                </c:pt>
                <c:pt idx="129" formatCode="0.0000">
                  <c:v>0.5916993602405578</c:v>
                </c:pt>
                <c:pt idx="130" formatCode="0.0000">
                  <c:v>0.56267886481294305</c:v>
                </c:pt>
                <c:pt idx="131" formatCode="0.0000">
                  <c:v>0.55869115749460541</c:v>
                </c:pt>
                <c:pt idx="132" formatCode="0.0000">
                  <c:v>0.46760974111477666</c:v>
                </c:pt>
                <c:pt idx="133" formatCode="0.0000">
                  <c:v>0.45903760526276771</c:v>
                </c:pt>
                <c:pt idx="134" formatCode="0.0000">
                  <c:v>0.50087003288751064</c:v>
                </c:pt>
                <c:pt idx="135" formatCode="0.0000">
                  <c:v>0.50200175605843522</c:v>
                </c:pt>
                <c:pt idx="136" formatCode="0.0000">
                  <c:v>0.77072887270181922</c:v>
                </c:pt>
                <c:pt idx="137" formatCode="0.0000">
                  <c:v>0.77072887270181922</c:v>
                </c:pt>
                <c:pt idx="138" formatCode="0.0000">
                  <c:v>0.8968212037069172</c:v>
                </c:pt>
                <c:pt idx="139" formatCode="0.0000">
                  <c:v>0.9737149998966993</c:v>
                </c:pt>
                <c:pt idx="140" formatCode="0.0000">
                  <c:v>1.8279366514569726</c:v>
                </c:pt>
                <c:pt idx="141" formatCode="0.0000">
                  <c:v>1.8557793695175935</c:v>
                </c:pt>
                <c:pt idx="142" formatCode="0.0000">
                  <c:v>1.8269066409815078</c:v>
                </c:pt>
                <c:pt idx="143" formatCode="0.0000">
                  <c:v>1.6303678431442725</c:v>
                </c:pt>
                <c:pt idx="144" formatCode="0.0000">
                  <c:v>1.7650509005432382</c:v>
                </c:pt>
                <c:pt idx="145" formatCode="0.0000">
                  <c:v>1.6192721154451839</c:v>
                </c:pt>
                <c:pt idx="146" formatCode="0.0000">
                  <c:v>1.5014692883279135</c:v>
                </c:pt>
                <c:pt idx="147" formatCode="0.0000">
                  <c:v>0.72956247125077389</c:v>
                </c:pt>
                <c:pt idx="148" formatCode="0.0000">
                  <c:v>0.72302482084502784</c:v>
                </c:pt>
                <c:pt idx="149" formatCode="0.0000">
                  <c:v>0.77153174203229413</c:v>
                </c:pt>
                <c:pt idx="150" formatCode="0.0000">
                  <c:v>0.6650722870068575</c:v>
                </c:pt>
                <c:pt idx="151" formatCode="0.0000">
                  <c:v>0.72139595249544619</c:v>
                </c:pt>
                <c:pt idx="152" formatCode="0.0000">
                  <c:v>0.71526531007784</c:v>
                </c:pt>
                <c:pt idx="153" formatCode="0.0000">
                  <c:v>0.90194109327818528</c:v>
                </c:pt>
                <c:pt idx="154" formatCode="0.0000">
                  <c:v>1.4459488768575746</c:v>
                </c:pt>
                <c:pt idx="155" formatCode="0.0000">
                  <c:v>1.3792384754799518</c:v>
                </c:pt>
                <c:pt idx="156" formatCode="0.0000">
                  <c:v>1.8226177428562391</c:v>
                </c:pt>
                <c:pt idx="157" formatCode="0.0000">
                  <c:v>1.9187143004799307</c:v>
                </c:pt>
                <c:pt idx="158" formatCode="0.0000">
                  <c:v>1.8992832855800166</c:v>
                </c:pt>
                <c:pt idx="159" formatCode="0.0000">
                  <c:v>1.9883434050757078</c:v>
                </c:pt>
                <c:pt idx="160" formatCode="0.0000">
                  <c:v>1.8620965555478268</c:v>
                </c:pt>
                <c:pt idx="161" formatCode="0.0000">
                  <c:v>1.3239946890870731</c:v>
                </c:pt>
                <c:pt idx="162" formatCode="0.0000">
                  <c:v>1.2993853677170095</c:v>
                </c:pt>
                <c:pt idx="163" formatCode="0.0000">
                  <c:v>0.91599806710403109</c:v>
                </c:pt>
                <c:pt idx="164" formatCode="0.0000">
                  <c:v>0.81400771889193291</c:v>
                </c:pt>
                <c:pt idx="165" formatCode="0.0000">
                  <c:v>1.3037219411513827</c:v>
                </c:pt>
                <c:pt idx="166" formatCode="0.0000">
                  <c:v>1.3325498659242856</c:v>
                </c:pt>
                <c:pt idx="167" formatCode="0.0000">
                  <c:v>1.3331536132165112</c:v>
                </c:pt>
                <c:pt idx="168" formatCode="0.0000">
                  <c:v>1.2720177746071377</c:v>
                </c:pt>
                <c:pt idx="169" formatCode="0.0000">
                  <c:v>1.2910152819144654</c:v>
                </c:pt>
                <c:pt idx="170" formatCode="0.0000">
                  <c:v>1.2996783859122139</c:v>
                </c:pt>
                <c:pt idx="171" formatCode="0.0000">
                  <c:v>1.5218067213848008</c:v>
                </c:pt>
                <c:pt idx="172" formatCode="0.0000">
                  <c:v>0.9788365716394285</c:v>
                </c:pt>
                <c:pt idx="173" formatCode="0.0000">
                  <c:v>0.89709747282467045</c:v>
                </c:pt>
                <c:pt idx="174" formatCode="0.0000">
                  <c:v>1.4118847629970885</c:v>
                </c:pt>
                <c:pt idx="175" formatCode="0.0000">
                  <c:v>1.4838747519387669</c:v>
                </c:pt>
                <c:pt idx="176" formatCode="0.0000">
                  <c:v>1.5939635568247301</c:v>
                </c:pt>
                <c:pt idx="177" formatCode="0.0000">
                  <c:v>1.5427070648602743</c:v>
                </c:pt>
                <c:pt idx="178" formatCode="0.0000">
                  <c:v>1.4237261010677433</c:v>
                </c:pt>
                <c:pt idx="179" formatCode="0.0000">
                  <c:v>1.5131140182356193</c:v>
                </c:pt>
                <c:pt idx="180" formatCode="0.0000">
                  <c:v>1.4682449360204026</c:v>
                </c:pt>
                <c:pt idx="181" formatCode="0.0000">
                  <c:v>0.9623566093734226</c:v>
                </c:pt>
                <c:pt idx="182" formatCode="0.0000">
                  <c:v>0.93664155887001144</c:v>
                </c:pt>
                <c:pt idx="183" formatCode="0.0000">
                  <c:v>0.90633938831579353</c:v>
                </c:pt>
                <c:pt idx="184" formatCode="0.0000">
                  <c:v>0.94668473195312475</c:v>
                </c:pt>
                <c:pt idx="185" formatCode="0.0000">
                  <c:v>0.92319826710862873</c:v>
                </c:pt>
                <c:pt idx="186" formatCode="0.0000">
                  <c:v>0.9333877804612174</c:v>
                </c:pt>
                <c:pt idx="187" formatCode="0.0000">
                  <c:v>1.0069766526841961</c:v>
                </c:pt>
                <c:pt idx="188" formatCode="0.0000">
                  <c:v>0.96668673719192277</c:v>
                </c:pt>
                <c:pt idx="189" formatCode="0.0000">
                  <c:v>0.92902475498353199</c:v>
                </c:pt>
                <c:pt idx="190" formatCode="0.0000">
                  <c:v>0.95740734775081415</c:v>
                </c:pt>
                <c:pt idx="191" formatCode="0.0000">
                  <c:v>0.93978188999635337</c:v>
                </c:pt>
                <c:pt idx="192" formatCode="0.0000">
                  <c:v>0.94838684578315668</c:v>
                </c:pt>
                <c:pt idx="193" formatCode="0.0000">
                  <c:v>0.88158211299090794</c:v>
                </c:pt>
                <c:pt idx="194" formatCode="0.0000">
                  <c:v>0.87924455979918636</c:v>
                </c:pt>
                <c:pt idx="195" formatCode="0.0000">
                  <c:v>0.84350259695115859</c:v>
                </c:pt>
                <c:pt idx="196" formatCode="0.0000">
                  <c:v>1.0838274930021075</c:v>
                </c:pt>
                <c:pt idx="197" formatCode="0.0000">
                  <c:v>0.99813539068861989</c:v>
                </c:pt>
                <c:pt idx="198" formatCode="0.0000">
                  <c:v>1.1315702699229451</c:v>
                </c:pt>
                <c:pt idx="199" formatCode="0.0000">
                  <c:v>1.2155086894818268</c:v>
                </c:pt>
                <c:pt idx="200" formatCode="0.0000">
                  <c:v>1.220842862217647</c:v>
                </c:pt>
                <c:pt idx="201" formatCode="0.0000">
                  <c:v>1.2385302495648396</c:v>
                </c:pt>
                <c:pt idx="202" formatCode="0.0000">
                  <c:v>1.2616655540527966</c:v>
                </c:pt>
                <c:pt idx="203" formatCode="0.0000">
                  <c:v>1.0967761405491736</c:v>
                </c:pt>
                <c:pt idx="204" formatCode="0.0000">
                  <c:v>1.3126220173078906</c:v>
                </c:pt>
                <c:pt idx="205" formatCode="0.0000">
                  <c:v>1.2669399056736768</c:v>
                </c:pt>
                <c:pt idx="206" formatCode="0.0000">
                  <c:v>1.3761637680829828</c:v>
                </c:pt>
                <c:pt idx="207" formatCode="0.0000">
                  <c:v>1.4365101239224793</c:v>
                </c:pt>
                <c:pt idx="208" formatCode="0.0000">
                  <c:v>1.4962315742182064</c:v>
                </c:pt>
                <c:pt idx="209" formatCode="0.0000">
                  <c:v>1.5212769027936386</c:v>
                </c:pt>
                <c:pt idx="210" formatCode="0.0000">
                  <c:v>1.5454565421270483</c:v>
                </c:pt>
                <c:pt idx="211" formatCode="0.0000">
                  <c:v>1.4984524992739037</c:v>
                </c:pt>
                <c:pt idx="212" formatCode="0.0000">
                  <c:v>1.4358603994399712</c:v>
                </c:pt>
                <c:pt idx="213" formatCode="0.0000">
                  <c:v>1.2478508135388231</c:v>
                </c:pt>
                <c:pt idx="214" formatCode="0.0000">
                  <c:v>1.6825382906701962</c:v>
                </c:pt>
                <c:pt idx="215" formatCode="0.0000">
                  <c:v>1.6843018574310518</c:v>
                </c:pt>
                <c:pt idx="216" formatCode="0.0000">
                  <c:v>1.728902773263554</c:v>
                </c:pt>
                <c:pt idx="217" formatCode="0.0000">
                  <c:v>1.9057928336445948</c:v>
                </c:pt>
                <c:pt idx="218" formatCode="0.0000">
                  <c:v>1.9927850556428337</c:v>
                </c:pt>
                <c:pt idx="219" formatCode="0.0000">
                  <c:v>2.0992168518040688</c:v>
                </c:pt>
                <c:pt idx="220" formatCode="0.0000">
                  <c:v>2.2696031173753175</c:v>
                </c:pt>
                <c:pt idx="221" formatCode="0.0000">
                  <c:v>1.9178459292460843</c:v>
                </c:pt>
                <c:pt idx="222" formatCode="0.0000">
                  <c:v>1.9047114260883558</c:v>
                </c:pt>
                <c:pt idx="223" formatCode="0.0000">
                  <c:v>1.9897829835419698</c:v>
                </c:pt>
                <c:pt idx="224" formatCode="0.0000">
                  <c:v>1.747873684652216</c:v>
                </c:pt>
                <c:pt idx="225" formatCode="0.0000">
                  <c:v>1.7002194580914034</c:v>
                </c:pt>
                <c:pt idx="226" formatCode="0.0000">
                  <c:v>1.6780673828956665</c:v>
                </c:pt>
                <c:pt idx="227" formatCode="0.0000">
                  <c:v>1.6368718688408515</c:v>
                </c:pt>
                <c:pt idx="228" formatCode="0.0000">
                  <c:v>1.6360179263156662</c:v>
                </c:pt>
                <c:pt idx="229" formatCode="0.0000">
                  <c:v>1.593130270907452</c:v>
                </c:pt>
                <c:pt idx="230" formatCode="0.0000">
                  <c:v>1.4905425416014852</c:v>
                </c:pt>
                <c:pt idx="231" formatCode="0.0000">
                  <c:v>1.572547813786809</c:v>
                </c:pt>
                <c:pt idx="232" formatCode="0.0000">
                  <c:v>1.4604336300866556</c:v>
                </c:pt>
                <c:pt idx="233" formatCode="0.0000">
                  <c:v>1.4915587120385589</c:v>
                </c:pt>
                <c:pt idx="234" formatCode="0.0000">
                  <c:v>1.5676491761878701</c:v>
                </c:pt>
                <c:pt idx="235" formatCode="0.0000">
                  <c:v>1.4527958884916525</c:v>
                </c:pt>
                <c:pt idx="236" formatCode="0.0000">
                  <c:v>1.4887712212571962</c:v>
                </c:pt>
                <c:pt idx="237" formatCode="0.0000">
                  <c:v>1.5087080438439029</c:v>
                </c:pt>
                <c:pt idx="238" formatCode="0.0000">
                  <c:v>1.4800269381809721</c:v>
                </c:pt>
                <c:pt idx="239" formatCode="0.0000">
                  <c:v>1.5327872529033872</c:v>
                </c:pt>
                <c:pt idx="240" formatCode="0.0000">
                  <c:v>1.456847694591574</c:v>
                </c:pt>
                <c:pt idx="241" formatCode="0.0000">
                  <c:v>1.3258051214932418</c:v>
                </c:pt>
                <c:pt idx="242" formatCode="0.0000">
                  <c:v>1.4124931586303247</c:v>
                </c:pt>
                <c:pt idx="243" formatCode="0.0000">
                  <c:v>1.3144394670195061</c:v>
                </c:pt>
                <c:pt idx="244" formatCode="0.0000">
                  <c:v>1.2739784850761142</c:v>
                </c:pt>
                <c:pt idx="245" formatCode="0.0000">
                  <c:v>1.2712377634198313</c:v>
                </c:pt>
                <c:pt idx="246" formatCode="0.0000">
                  <c:v>1.2957842689495913</c:v>
                </c:pt>
                <c:pt idx="247" formatCode="0.0000">
                  <c:v>1.342319671333007</c:v>
                </c:pt>
                <c:pt idx="248" formatCode="0.0000">
                  <c:v>1.3881365725077148</c:v>
                </c:pt>
                <c:pt idx="249" formatCode="0.0000">
                  <c:v>1.3978122670106046</c:v>
                </c:pt>
                <c:pt idx="250" formatCode="0.0000">
                  <c:v>1.4080367690186806</c:v>
                </c:pt>
                <c:pt idx="251" formatCode="0.0000">
                  <c:v>1.3900450089575269</c:v>
                </c:pt>
                <c:pt idx="252" formatCode="0.0000">
                  <c:v>1.3819925957372423</c:v>
                </c:pt>
                <c:pt idx="253" formatCode="0.0000">
                  <c:v>1.2513939993131165</c:v>
                </c:pt>
                <c:pt idx="254" formatCode="0.0000">
                  <c:v>1.1681621782436504</c:v>
                </c:pt>
                <c:pt idx="255" formatCode="0.0000">
                  <c:v>1.112603509565226</c:v>
                </c:pt>
                <c:pt idx="256" formatCode="0.0000">
                  <c:v>1.0757512266788134</c:v>
                </c:pt>
                <c:pt idx="257" formatCode="0.0000">
                  <c:v>1.1186161308658551</c:v>
                </c:pt>
                <c:pt idx="258" formatCode="0.0000">
                  <c:v>1.1956275622531998</c:v>
                </c:pt>
                <c:pt idx="259" formatCode="0.0000">
                  <c:v>1.1418762247713585</c:v>
                </c:pt>
                <c:pt idx="260" formatCode="0.0000">
                  <c:v>1.1998339598910399</c:v>
                </c:pt>
                <c:pt idx="261" formatCode="0.0000">
                  <c:v>1.1895703189007321</c:v>
                </c:pt>
                <c:pt idx="262" formatCode="0.0000">
                  <c:v>1.1451232548458832</c:v>
                </c:pt>
                <c:pt idx="263" formatCode="0.0000">
                  <c:v>1.0384632576932094</c:v>
                </c:pt>
                <c:pt idx="264" formatCode="0.0000">
                  <c:v>0.98053451572540762</c:v>
                </c:pt>
                <c:pt idx="265" formatCode="0.0000">
                  <c:v>0.90154446233002561</c:v>
                </c:pt>
                <c:pt idx="266" formatCode="0.0000">
                  <c:v>0.85892578984250167</c:v>
                </c:pt>
                <c:pt idx="267" formatCode="0.0000">
                  <c:v>0.7583878607065373</c:v>
                </c:pt>
                <c:pt idx="268" formatCode="0.0000">
                  <c:v>0.6948669388272668</c:v>
                </c:pt>
                <c:pt idx="269" formatCode="0.0000">
                  <c:v>0.63954982670943039</c:v>
                </c:pt>
                <c:pt idx="270" formatCode="0.0000">
                  <c:v>0.5837129125684466</c:v>
                </c:pt>
                <c:pt idx="271" formatCode="0.0000">
                  <c:v>0.58809184473947518</c:v>
                </c:pt>
                <c:pt idx="272" formatCode="0.0000">
                  <c:v>0.57439723385409158</c:v>
                </c:pt>
                <c:pt idx="273" formatCode="0.0000">
                  <c:v>0.58514220791260008</c:v>
                </c:pt>
                <c:pt idx="274" formatCode="0.0000">
                  <c:v>0.61239351064881808</c:v>
                </c:pt>
                <c:pt idx="275" formatCode="0.0000">
                  <c:v>0.62545116980726712</c:v>
                </c:pt>
                <c:pt idx="276" formatCode="0.0000">
                  <c:v>0.61666617279057945</c:v>
                </c:pt>
                <c:pt idx="277" formatCode="0.0000">
                  <c:v>0.61679428195934471</c:v>
                </c:pt>
                <c:pt idx="278" formatCode="0.0000">
                  <c:v>0.61895838517772961</c:v>
                </c:pt>
                <c:pt idx="279" formatCode="0.0000">
                  <c:v>0.59214592399358046</c:v>
                </c:pt>
                <c:pt idx="280" formatCode="0.0000">
                  <c:v>0.59667479926360634</c:v>
                </c:pt>
                <c:pt idx="281" formatCode="0.0000">
                  <c:v>0.59475545779104289</c:v>
                </c:pt>
                <c:pt idx="282" formatCode="0.0000">
                  <c:v>0.58542693048103123</c:v>
                </c:pt>
                <c:pt idx="283" formatCode="0.0000">
                  <c:v>0.61606902199389757</c:v>
                </c:pt>
                <c:pt idx="284" formatCode="0.0000">
                  <c:v>0.64071745933126578</c:v>
                </c:pt>
                <c:pt idx="285" formatCode="0.0000">
                  <c:v>0.64258733842436266</c:v>
                </c:pt>
                <c:pt idx="286" formatCode="0.0000">
                  <c:v>0.68127718618433075</c:v>
                </c:pt>
                <c:pt idx="287" formatCode="0.0000">
                  <c:v>0.71091919004906567</c:v>
                </c:pt>
                <c:pt idx="288" formatCode="0.0000">
                  <c:v>0.74539811681455259</c:v>
                </c:pt>
                <c:pt idx="289" formatCode="0.0000">
                  <c:v>0.79239524324984656</c:v>
                </c:pt>
                <c:pt idx="290" formatCode="0.0000">
                  <c:v>0.79521407503326025</c:v>
                </c:pt>
                <c:pt idx="291" formatCode="0.0000">
                  <c:v>0.80652699185120102</c:v>
                </c:pt>
                <c:pt idx="292" formatCode="0.0000">
                  <c:v>0.82182835410281363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1356-4839-896B-C589C93EEDD7}"/>
            </c:ext>
          </c:extLst>
        </c:ser>
        <c:ser>
          <c:idx val="13"/>
          <c:order val="13"/>
          <c:tx>
            <c:strRef>
              <c:f>'R(t) Województwa'!$CW$2</c:f>
              <c:strCache>
                <c:ptCount val="1"/>
                <c:pt idx="0">
                  <c:v>Warmińsko-Mazurskie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Województwa'!$CW$3:$CW$1000</c:f>
              <c:numCache>
                <c:formatCode>General</c:formatCode>
                <c:ptCount val="998"/>
                <c:pt idx="40" formatCode="0.0000">
                  <c:v>0.92046840692851972</c:v>
                </c:pt>
                <c:pt idx="41" formatCode="0.0000">
                  <c:v>0.46023420346426025</c:v>
                </c:pt>
                <c:pt idx="42" formatCode="0.0000">
                  <c:v>0.30682280230950693</c:v>
                </c:pt>
                <c:pt idx="43" formatCode="0.0000">
                  <c:v>0.31652105115693141</c:v>
                </c:pt>
                <c:pt idx="44" formatCode="0.0000">
                  <c:v>0.35488538021410931</c:v>
                </c:pt>
                <c:pt idx="45" formatCode="0.0000">
                  <c:v>0.52354791645287424</c:v>
                </c:pt>
                <c:pt idx="46" formatCode="0.0000">
                  <c:v>0.44875535695960661</c:v>
                </c:pt>
                <c:pt idx="47" formatCode="0.0000">
                  <c:v>0.38219950130124092</c:v>
                </c:pt>
                <c:pt idx="48" formatCode="0.0000">
                  <c:v>0.40567521411347257</c:v>
                </c:pt>
                <c:pt idx="49" formatCode="0.0000">
                  <c:v>0.45899162967220652</c:v>
                </c:pt>
                <c:pt idx="50" formatCode="0.0000">
                  <c:v>0.40961794428660586</c:v>
                </c:pt>
                <c:pt idx="51" formatCode="0.0000">
                  <c:v>0.33699755908048862</c:v>
                </c:pt>
                <c:pt idx="52" formatCode="0.0000">
                  <c:v>0.18158503336174375</c:v>
                </c:pt>
                <c:pt idx="53" formatCode="0.0000">
                  <c:v>0.1815850333617437</c:v>
                </c:pt>
                <c:pt idx="54" formatCode="0.0000">
                  <c:v>0.11664540231603511</c:v>
                </c:pt>
                <c:pt idx="55" formatCode="0.0000">
                  <c:v>9.3169689503803402E-2</c:v>
                </c:pt>
                <c:pt idx="56" formatCode="0.0000">
                  <c:v>3.9853273945069531E-2</c:v>
                </c:pt>
                <c:pt idx="57" formatCode="0.0000">
                  <c:v>3.9853273945069469E-2</c:v>
                </c:pt>
                <c:pt idx="58" formatCode="0.0000">
                  <c:v>0.23191347467926277</c:v>
                </c:pt>
                <c:pt idx="59" formatCode="0.0000">
                  <c:v>0.19206020073419358</c:v>
                </c:pt>
                <c:pt idx="60" formatCode="0.0000">
                  <c:v>0.19206020073419364</c:v>
                </c:pt>
                <c:pt idx="61" formatCode="0.0000">
                  <c:v>0.19206020073419369</c:v>
                </c:pt>
                <c:pt idx="62" formatCode="0.0000">
                  <c:v>0.48274224091260681</c:v>
                </c:pt>
                <c:pt idx="63" formatCode="0.0000">
                  <c:v>0.73598822020508492</c:v>
                </c:pt>
                <c:pt idx="64" formatCode="0.0000">
                  <c:v>0.73598822020508492</c:v>
                </c:pt>
                <c:pt idx="65" formatCode="0.0000">
                  <c:v>1.0760905067242423</c:v>
                </c:pt>
                <c:pt idx="66" formatCode="0.0000">
                  <c:v>1.1718510408285412</c:v>
                </c:pt>
                <c:pt idx="67" formatCode="0.0000">
                  <c:v>1.4733313429784827</c:v>
                </c:pt>
                <c:pt idx="68" formatCode="0.0000">
                  <c:v>1.6468017819973606</c:v>
                </c:pt>
                <c:pt idx="69" formatCode="0.0000">
                  <c:v>1.3561197418189475</c:v>
                </c:pt>
                <c:pt idx="70" formatCode="0.0000">
                  <c:v>1.2992443892291132</c:v>
                </c:pt>
                <c:pt idx="71" formatCode="0.0000">
                  <c:v>1.6720362513434133</c:v>
                </c:pt>
                <c:pt idx="72" formatCode="0.0000">
                  <c:v>1.2156484894225286</c:v>
                </c:pt>
                <c:pt idx="73" formatCode="0.0000">
                  <c:v>1.2011113417736676</c:v>
                </c:pt>
                <c:pt idx="74" formatCode="0.0000">
                  <c:v>0.89963103962372615</c:v>
                </c:pt>
                <c:pt idx="75" formatCode="0.0000">
                  <c:v>0.72616060060484833</c:v>
                </c:pt>
                <c:pt idx="76" formatCode="0.0000">
                  <c:v>0.72616060060484844</c:v>
                </c:pt>
                <c:pt idx="77" formatCode="0.0000">
                  <c:v>1.0795954695605841</c:v>
                </c:pt>
                <c:pt idx="78" formatCode="0.0000">
                  <c:v>0.70680360744628445</c:v>
                </c:pt>
                <c:pt idx="79" formatCode="0.0000">
                  <c:v>0.63102888211381813</c:v>
                </c:pt>
                <c:pt idx="80" formatCode="0.0000">
                  <c:v>0.54980549565838011</c:v>
                </c:pt>
                <c:pt idx="81" formatCode="0.0000">
                  <c:v>0.70494103460704072</c:v>
                </c:pt>
                <c:pt idx="82" formatCode="0.0000">
                  <c:v>0.70494103460704061</c:v>
                </c:pt>
                <c:pt idx="83" formatCode="0.0000">
                  <c:v>0.70494103460704061</c:v>
                </c:pt>
                <c:pt idx="84" formatCode="0.0000">
                  <c:v>0.98951749002664202</c:v>
                </c:pt>
                <c:pt idx="85" formatCode="0.0000">
                  <c:v>0.98951749002664202</c:v>
                </c:pt>
                <c:pt idx="86" formatCode="0.0000">
                  <c:v>0.98951749002664191</c:v>
                </c:pt>
                <c:pt idx="87" formatCode="0.0000">
                  <c:v>0.98951749002664202</c:v>
                </c:pt>
                <c:pt idx="88" formatCode="0.0000">
                  <c:v>0.83438195107798152</c:v>
                </c:pt>
                <c:pt idx="89" formatCode="0.0000">
                  <c:v>0.83438195107798152</c:v>
                </c:pt>
                <c:pt idx="90" formatCode="0.0000">
                  <c:v>0.83438195107798163</c:v>
                </c:pt>
                <c:pt idx="91" formatCode="0.0000">
                  <c:v>3.9650822308041307E-16</c:v>
                </c:pt>
                <c:pt idx="92" formatCode="0.0000">
                  <c:v>4.282288809268461E-16</c:v>
                </c:pt>
                <c:pt idx="93" formatCode="0.0000">
                  <c:v>3.6478756523397999E-16</c:v>
                </c:pt>
                <c:pt idx="94" formatCode="0.0000">
                  <c:v>0.49379608779318679</c:v>
                </c:pt>
                <c:pt idx="95" formatCode="0.0000">
                  <c:v>0.49379608779318679</c:v>
                </c:pt>
                <c:pt idx="96" formatCode="0.0000">
                  <c:v>0.49379608779318673</c:v>
                </c:pt>
                <c:pt idx="97" formatCode="0.0000">
                  <c:v>0.99131031242775969</c:v>
                </c:pt>
                <c:pt idx="98" formatCode="0.0000">
                  <c:v>0.99131031242775958</c:v>
                </c:pt>
                <c:pt idx="99" formatCode="0.0000">
                  <c:v>0.99131031242775947</c:v>
                </c:pt>
                <c:pt idx="100" formatCode="0.0000">
                  <c:v>2.990848492813416</c:v>
                </c:pt>
                <c:pt idx="101" formatCode="0.0000">
                  <c:v>2.4970524050202298</c:v>
                </c:pt>
                <c:pt idx="102" formatCode="0.0000">
                  <c:v>2.4970524050202298</c:v>
                </c:pt>
                <c:pt idx="103" formatCode="0.0000">
                  <c:v>2.7352303463671945</c:v>
                </c:pt>
                <c:pt idx="104" formatCode="0.0000">
                  <c:v>2.2377161217326216</c:v>
                </c:pt>
                <c:pt idx="105" formatCode="0.0000">
                  <c:v>3.7598688935301388</c:v>
                </c:pt>
                <c:pt idx="106" formatCode="0.0000">
                  <c:v>4.1863684433080737</c:v>
                </c:pt>
                <c:pt idx="107" formatCode="0.0000">
                  <c:v>2.6852162006397102</c:v>
                </c:pt>
                <c:pt idx="108" formatCode="0.0000">
                  <c:v>2.9916070470305902</c:v>
                </c:pt>
                <c:pt idx="109" formatCode="0.0000">
                  <c:v>3.0969381931625324</c:v>
                </c:pt>
                <c:pt idx="110" formatCode="0.0000">
                  <c:v>2.8587602518155677</c:v>
                </c:pt>
                <c:pt idx="111" formatCode="0.0000">
                  <c:v>2.9864378168571313</c:v>
                </c:pt>
                <c:pt idx="112" formatCode="0.0000">
                  <c:v>1.593930574503819</c:v>
                </c:pt>
                <c:pt idx="113" formatCode="0.0000">
                  <c:v>1.8243374658961149</c:v>
                </c:pt>
                <c:pt idx="114" formatCode="0.0000">
                  <c:v>1.4995010795447217</c:v>
                </c:pt>
                <c:pt idx="115" formatCode="0.0000">
                  <c:v>1.5719686465365938</c:v>
                </c:pt>
                <c:pt idx="116" formatCode="0.0000">
                  <c:v>1.4666375004046517</c:v>
                </c:pt>
                <c:pt idx="117" formatCode="0.0000">
                  <c:v>1.6255735046952968</c:v>
                </c:pt>
                <c:pt idx="118" formatCode="0.0000">
                  <c:v>1.5761064065393522</c:v>
                </c:pt>
                <c:pt idx="119" formatCode="0.0000">
                  <c:v>1.5300768379053091</c:v>
                </c:pt>
                <c:pt idx="120" formatCode="0.0000">
                  <c:v>1.1398145967610742</c:v>
                </c:pt>
                <c:pt idx="121" formatCode="0.0000">
                  <c:v>1.4408108204599805</c:v>
                </c:pt>
                <c:pt idx="122" formatCode="0.0000">
                  <c:v>1.2104311141074233</c:v>
                </c:pt>
                <c:pt idx="123" formatCode="0.0000">
                  <c:v>1.3285500664608707</c:v>
                </c:pt>
                <c:pt idx="124" formatCode="0.0000">
                  <c:v>1.1998928424944679</c:v>
                </c:pt>
                <c:pt idx="125" formatCode="0.0000">
                  <c:v>1.18992227205912</c:v>
                </c:pt>
                <c:pt idx="126" formatCode="0.0000">
                  <c:v>1.1431774849256378</c:v>
                </c:pt>
                <c:pt idx="127" formatCode="0.0000">
                  <c:v>0.87653328489964188</c:v>
                </c:pt>
                <c:pt idx="128" formatCode="0.0000">
                  <c:v>0.54633547689087558</c:v>
                </c:pt>
                <c:pt idx="129" formatCode="0.0000">
                  <c:v>0.49394549649912683</c:v>
                </c:pt>
                <c:pt idx="130" formatCode="0.0000">
                  <c:v>0.47662967349361729</c:v>
                </c:pt>
                <c:pt idx="131" formatCode="0.0000">
                  <c:v>0.44635089316937482</c:v>
                </c:pt>
                <c:pt idx="132" formatCode="0.0000">
                  <c:v>0.50087747057504639</c:v>
                </c:pt>
                <c:pt idx="133" formatCode="0.0000">
                  <c:v>0.46400629689836742</c:v>
                </c:pt>
                <c:pt idx="134" formatCode="0.0000">
                  <c:v>0.61017038402461654</c:v>
                </c:pt>
                <c:pt idx="135" formatCode="0.0000">
                  <c:v>0.46582241696857629</c:v>
                </c:pt>
                <c:pt idx="136" formatCode="0.0000">
                  <c:v>0.79464046808143429</c:v>
                </c:pt>
                <c:pt idx="137" formatCode="0.0000">
                  <c:v>0.76012288122520866</c:v>
                </c:pt>
                <c:pt idx="138" formatCode="0.0000">
                  <c:v>0.9036868922908059</c:v>
                </c:pt>
                <c:pt idx="139" formatCode="0.0000">
                  <c:v>1.0678456222612687</c:v>
                </c:pt>
                <c:pt idx="140" formatCode="0.0000">
                  <c:v>1.6321317260639308</c:v>
                </c:pt>
                <c:pt idx="141" formatCode="0.0000">
                  <c:v>2.2358283642448704</c:v>
                </c:pt>
                <c:pt idx="142" formatCode="0.0000">
                  <c:v>2.2907248870797297</c:v>
                </c:pt>
                <c:pt idx="143" formatCode="0.0000">
                  <c:v>2.0463909794479163</c:v>
                </c:pt>
                <c:pt idx="144" formatCode="0.0000">
                  <c:v>2.0381087562903821</c:v>
                </c:pt>
                <c:pt idx="145" formatCode="0.0000">
                  <c:v>2.0213077057770961</c:v>
                </c:pt>
                <c:pt idx="146" formatCode="0.0000">
                  <c:v>1.7343825019506907</c:v>
                </c:pt>
                <c:pt idx="147" formatCode="0.0000">
                  <c:v>1.3579829290341858</c:v>
                </c:pt>
                <c:pt idx="148" formatCode="0.0000">
                  <c:v>0.78791287089715389</c:v>
                </c:pt>
                <c:pt idx="149" formatCode="0.0000">
                  <c:v>0.90640322673349161</c:v>
                </c:pt>
                <c:pt idx="150" formatCode="0.0000">
                  <c:v>1.0286807943664038</c:v>
                </c:pt>
                <c:pt idx="151" formatCode="0.0000">
                  <c:v>1.4638275901087976</c:v>
                </c:pt>
                <c:pt idx="152" formatCode="0.0000">
                  <c:v>1.4444814305598315</c:v>
                </c:pt>
                <c:pt idx="153" formatCode="0.0000">
                  <c:v>1.4667541433145388</c:v>
                </c:pt>
                <c:pt idx="154" formatCode="0.0000">
                  <c:v>1.3801744963049156</c:v>
                </c:pt>
                <c:pt idx="155" formatCode="0.0000">
                  <c:v>1.5439045778059983</c:v>
                </c:pt>
                <c:pt idx="156" formatCode="0.0000">
                  <c:v>1.6346183799258427</c:v>
                </c:pt>
                <c:pt idx="157" formatCode="0.0000">
                  <c:v>1.6654533713087269</c:v>
                </c:pt>
                <c:pt idx="158" formatCode="0.0000">
                  <c:v>1.6503134711008121</c:v>
                </c:pt>
                <c:pt idx="159" formatCode="0.0000">
                  <c:v>1.9132611894114986</c:v>
                </c:pt>
                <c:pt idx="160" formatCode="0.0000">
                  <c:v>1.9513326385604146</c:v>
                </c:pt>
                <c:pt idx="161" formatCode="0.0000">
                  <c:v>2.200805137358016</c:v>
                </c:pt>
                <c:pt idx="162" formatCode="0.0000">
                  <c:v>2.1567583336631584</c:v>
                </c:pt>
                <c:pt idx="163" formatCode="0.0000">
                  <c:v>1.9789651041753971</c:v>
                </c:pt>
                <c:pt idx="164" formatCode="0.0000">
                  <c:v>1.778342444602768</c:v>
                </c:pt>
                <c:pt idx="165" formatCode="0.0000">
                  <c:v>1.4179137908030957</c:v>
                </c:pt>
                <c:pt idx="166" formatCode="0.0000">
                  <c:v>1.1337139635453737</c:v>
                </c:pt>
                <c:pt idx="167" formatCode="0.0000">
                  <c:v>1.1738472772459754</c:v>
                </c:pt>
                <c:pt idx="168" formatCode="0.0000">
                  <c:v>0.89937634919971721</c:v>
                </c:pt>
                <c:pt idx="169" formatCode="0.0000">
                  <c:v>0.81449280746375252</c:v>
                </c:pt>
                <c:pt idx="170" formatCode="0.0000">
                  <c:v>0.85213567393725109</c:v>
                </c:pt>
                <c:pt idx="171" formatCode="0.0000">
                  <c:v>1.0106244126122446</c:v>
                </c:pt>
                <c:pt idx="172" formatCode="0.0000">
                  <c:v>1.0453295782955456</c:v>
                </c:pt>
                <c:pt idx="173" formatCode="0.0000">
                  <c:v>1.1686984149627992</c:v>
                </c:pt>
                <c:pt idx="174" formatCode="0.0000">
                  <c:v>1.0760783750907197</c:v>
                </c:pt>
                <c:pt idx="175" formatCode="0.0000">
                  <c:v>1.1905284112219867</c:v>
                </c:pt>
                <c:pt idx="176" formatCode="0.0000">
                  <c:v>1.1839821183944559</c:v>
                </c:pt>
                <c:pt idx="177" formatCode="0.0000">
                  <c:v>1.4750704258478058</c:v>
                </c:pt>
                <c:pt idx="178" formatCode="0.0000">
                  <c:v>1.3242506231001272</c:v>
                </c:pt>
                <c:pt idx="179" formatCode="0.0000">
                  <c:v>1.2617111884533414</c:v>
                </c:pt>
                <c:pt idx="180" formatCode="0.0000">
                  <c:v>1.1672689982404201</c:v>
                </c:pt>
                <c:pt idx="181" formatCode="0.0000">
                  <c:v>1.1733384101056676</c:v>
                </c:pt>
                <c:pt idx="182" formatCode="0.0000">
                  <c:v>1.0785091947301453</c:v>
                </c:pt>
                <c:pt idx="183" formatCode="0.0000">
                  <c:v>1.029831845943963</c:v>
                </c:pt>
                <c:pt idx="184" formatCode="0.0000">
                  <c:v>0.74681714479703776</c:v>
                </c:pt>
                <c:pt idx="185" formatCode="0.0000">
                  <c:v>0.73121340678145408</c:v>
                </c:pt>
                <c:pt idx="186" formatCode="0.0000">
                  <c:v>0.77734496664602204</c:v>
                </c:pt>
                <c:pt idx="187" formatCode="0.0000">
                  <c:v>0.73922259420304037</c:v>
                </c:pt>
                <c:pt idx="188" formatCode="0.0000">
                  <c:v>0.86262578239501031</c:v>
                </c:pt>
                <c:pt idx="189" formatCode="0.0000">
                  <c:v>0.80352138493157421</c:v>
                </c:pt>
                <c:pt idx="190" formatCode="0.0000">
                  <c:v>0.82952143705139991</c:v>
                </c:pt>
                <c:pt idx="191" formatCode="0.0000">
                  <c:v>0.82591457794953194</c:v>
                </c:pt>
                <c:pt idx="192" formatCode="0.0000">
                  <c:v>0.87117707003296496</c:v>
                </c:pt>
                <c:pt idx="193" formatCode="0.0000">
                  <c:v>0.91087736944885822</c:v>
                </c:pt>
                <c:pt idx="194" formatCode="0.0000">
                  <c:v>0.9566976572584398</c:v>
                </c:pt>
                <c:pt idx="195" formatCode="0.0000">
                  <c:v>0.83864513491129655</c:v>
                </c:pt>
                <c:pt idx="196" formatCode="0.0000">
                  <c:v>1.0327755130951872</c:v>
                </c:pt>
                <c:pt idx="197" formatCode="0.0000">
                  <c:v>0.97880521557928124</c:v>
                </c:pt>
                <c:pt idx="198" formatCode="0.0000">
                  <c:v>1.14690168696551</c:v>
                </c:pt>
                <c:pt idx="199" formatCode="0.0000">
                  <c:v>1.2069435500264336</c:v>
                </c:pt>
                <c:pt idx="200" formatCode="0.0000">
                  <c:v>1.2106450586724136</c:v>
                </c:pt>
                <c:pt idx="201" formatCode="0.0000">
                  <c:v>1.2686986531448508</c:v>
                </c:pt>
                <c:pt idx="202" formatCode="0.0000">
                  <c:v>1.3327460423951281</c:v>
                </c:pt>
                <c:pt idx="203" formatCode="0.0000">
                  <c:v>1.2709351429875311</c:v>
                </c:pt>
                <c:pt idx="204" formatCode="0.0000">
                  <c:v>1.4063769584557839</c:v>
                </c:pt>
                <c:pt idx="205" formatCode="0.0000">
                  <c:v>1.2704606678429105</c:v>
                </c:pt>
                <c:pt idx="206" formatCode="0.0000">
                  <c:v>1.6369160344878237</c:v>
                </c:pt>
                <c:pt idx="207" formatCode="0.0000">
                  <c:v>1.6605289493826052</c:v>
                </c:pt>
                <c:pt idx="208" formatCode="0.0000">
                  <c:v>1.8446861304891136</c:v>
                </c:pt>
                <c:pt idx="209" formatCode="0.0000">
                  <c:v>1.8123512379526725</c:v>
                </c:pt>
                <c:pt idx="210" formatCode="0.0000">
                  <c:v>1.8437361052126149</c:v>
                </c:pt>
                <c:pt idx="211" formatCode="0.0000">
                  <c:v>1.8309549287544493</c:v>
                </c:pt>
                <c:pt idx="212" formatCode="0.0000">
                  <c:v>2.0184260553088476</c:v>
                </c:pt>
                <c:pt idx="213" formatCode="0.0000">
                  <c:v>1.6253991629128623</c:v>
                </c:pt>
                <c:pt idx="214" formatCode="0.0000">
                  <c:v>1.625319589502785</c:v>
                </c:pt>
                <c:pt idx="215" formatCode="0.0000">
                  <c:v>1.434037728885768</c:v>
                </c:pt>
                <c:pt idx="216" formatCode="0.0000">
                  <c:v>1.4514316498390059</c:v>
                </c:pt>
                <c:pt idx="217" formatCode="0.0000">
                  <c:v>1.3432605455735822</c:v>
                </c:pt>
                <c:pt idx="218" formatCode="0.0000">
                  <c:v>1.4199219620993777</c:v>
                </c:pt>
                <c:pt idx="219" formatCode="0.0000">
                  <c:v>1.3175139819858546</c:v>
                </c:pt>
                <c:pt idx="220" formatCode="0.0000">
                  <c:v>1.3300485611657946</c:v>
                </c:pt>
                <c:pt idx="221" formatCode="0.0000">
                  <c:v>1.3446162561638062</c:v>
                </c:pt>
                <c:pt idx="222" formatCode="0.0000">
                  <c:v>1.3658465478669839</c:v>
                </c:pt>
                <c:pt idx="223" formatCode="0.0000">
                  <c:v>1.4250722228998463</c:v>
                </c:pt>
                <c:pt idx="224" formatCode="0.0000">
                  <c:v>1.4729504286507615</c:v>
                </c:pt>
                <c:pt idx="225" formatCode="0.0000">
                  <c:v>1.491074207556816</c:v>
                </c:pt>
                <c:pt idx="226" formatCode="0.0000">
                  <c:v>1.527293981810703</c:v>
                </c:pt>
                <c:pt idx="227" formatCode="0.0000">
                  <c:v>1.5454171686180433</c:v>
                </c:pt>
                <c:pt idx="228" formatCode="0.0000">
                  <c:v>1.5938989644368764</c:v>
                </c:pt>
                <c:pt idx="229" formatCode="0.0000">
                  <c:v>1.6208967325858157</c:v>
                </c:pt>
                <c:pt idx="230" formatCode="0.0000">
                  <c:v>1.6793778721120074</c:v>
                </c:pt>
                <c:pt idx="231" formatCode="0.0000">
                  <c:v>1.6940494415105432</c:v>
                </c:pt>
                <c:pt idx="232" formatCode="0.0000">
                  <c:v>1.6680316449565804</c:v>
                </c:pt>
                <c:pt idx="233" formatCode="0.0000">
                  <c:v>1.6306508189727731</c:v>
                </c:pt>
                <c:pt idx="234" formatCode="0.0000">
                  <c:v>1.6566093899614036</c:v>
                </c:pt>
                <c:pt idx="235" formatCode="0.0000">
                  <c:v>1.6104008610123066</c:v>
                </c:pt>
                <c:pt idx="236" formatCode="0.0000">
                  <c:v>1.590071715643935</c:v>
                </c:pt>
                <c:pt idx="237" formatCode="0.0000">
                  <c:v>1.6112109732873243</c:v>
                </c:pt>
                <c:pt idx="238" formatCode="0.0000">
                  <c:v>1.6146915665069195</c:v>
                </c:pt>
                <c:pt idx="239" formatCode="0.0000">
                  <c:v>1.520893680028085</c:v>
                </c:pt>
                <c:pt idx="240" formatCode="0.0000">
                  <c:v>1.5268468993153534</c:v>
                </c:pt>
                <c:pt idx="241" formatCode="0.0000">
                  <c:v>1.5222115444907323</c:v>
                </c:pt>
                <c:pt idx="242" formatCode="0.0000">
                  <c:v>1.5877656559657238</c:v>
                </c:pt>
                <c:pt idx="243" formatCode="0.0000">
                  <c:v>1.5687418133698352</c:v>
                </c:pt>
                <c:pt idx="244" formatCode="0.0000">
                  <c:v>1.5511368974555033</c:v>
                </c:pt>
                <c:pt idx="245" formatCode="0.0000">
                  <c:v>1.5686099374774665</c:v>
                </c:pt>
                <c:pt idx="246" formatCode="0.0000">
                  <c:v>1.5270009742832973</c:v>
                </c:pt>
                <c:pt idx="247" formatCode="0.0000">
                  <c:v>1.5058746455980565</c:v>
                </c:pt>
                <c:pt idx="248" formatCode="0.0000">
                  <c:v>1.4693382424627355</c:v>
                </c:pt>
                <c:pt idx="249" formatCode="0.0000">
                  <c:v>1.3516025746152585</c:v>
                </c:pt>
                <c:pt idx="250" formatCode="0.0000">
                  <c:v>1.3033319169600632</c:v>
                </c:pt>
                <c:pt idx="251" formatCode="0.0000">
                  <c:v>1.2822055960360312</c:v>
                </c:pt>
                <c:pt idx="252" formatCode="0.0000">
                  <c:v>1.259977705982781</c:v>
                </c:pt>
                <c:pt idx="253" formatCode="0.0000">
                  <c:v>1.2172954658999617</c:v>
                </c:pt>
                <c:pt idx="254" formatCode="0.0000">
                  <c:v>1.2018602778641974</c:v>
                </c:pt>
                <c:pt idx="255" formatCode="0.0000">
                  <c:v>1.1453746635546822</c:v>
                </c:pt>
                <c:pt idx="256" formatCode="0.0000">
                  <c:v>1.1897467482822162</c:v>
                </c:pt>
                <c:pt idx="257" formatCode="0.0000">
                  <c:v>1.2195681273409096</c:v>
                </c:pt>
                <c:pt idx="258" formatCode="0.0000">
                  <c:v>1.2549127691912447</c:v>
                </c:pt>
                <c:pt idx="259" formatCode="0.0000">
                  <c:v>1.1868122999821513</c:v>
                </c:pt>
                <c:pt idx="260" formatCode="0.0000">
                  <c:v>1.1965017346974267</c:v>
                </c:pt>
                <c:pt idx="261" formatCode="0.0000">
                  <c:v>1.1811835998831133</c:v>
                </c:pt>
                <c:pt idx="262" formatCode="0.0000">
                  <c:v>1.211962157970738</c:v>
                </c:pt>
                <c:pt idx="263" formatCode="0.0000">
                  <c:v>1.2081175276220348</c:v>
                </c:pt>
                <c:pt idx="264" formatCode="0.0000">
                  <c:v>1.1899004021499382</c:v>
                </c:pt>
                <c:pt idx="265" formatCode="0.0000">
                  <c:v>1.1272872656115269</c:v>
                </c:pt>
                <c:pt idx="266" formatCode="0.0000">
                  <c:v>1.1191971219731873</c:v>
                </c:pt>
                <c:pt idx="267" formatCode="0.0000">
                  <c:v>1.1150826955168751</c:v>
                </c:pt>
                <c:pt idx="268" formatCode="0.0000">
                  <c:v>1.1269178541354974</c:v>
                </c:pt>
                <c:pt idx="269" formatCode="0.0000">
                  <c:v>1.1067949845426395</c:v>
                </c:pt>
                <c:pt idx="270" formatCode="0.0000">
                  <c:v>1.0489402617694388</c:v>
                </c:pt>
                <c:pt idx="271" formatCode="0.0000">
                  <c:v>0.99998064583513491</c:v>
                </c:pt>
                <c:pt idx="272" formatCode="0.0000">
                  <c:v>0.91252603320546055</c:v>
                </c:pt>
                <c:pt idx="273" formatCode="0.0000">
                  <c:v>0.9314880430452589</c:v>
                </c:pt>
                <c:pt idx="274" formatCode="0.0000">
                  <c:v>0.92980042756696524</c:v>
                </c:pt>
                <c:pt idx="275" formatCode="0.0000">
                  <c:v>0.91855358631003414</c:v>
                </c:pt>
                <c:pt idx="276" formatCode="0.0000">
                  <c:v>0.91687182222333075</c:v>
                </c:pt>
                <c:pt idx="277" formatCode="0.0000">
                  <c:v>0.89870216445790041</c:v>
                </c:pt>
                <c:pt idx="278" formatCode="0.0000">
                  <c:v>0.92290602243771858</c:v>
                </c:pt>
                <c:pt idx="279" formatCode="0.0000">
                  <c:v>0.90796992974320445</c:v>
                </c:pt>
                <c:pt idx="280" formatCode="0.0000">
                  <c:v>0.91703978250242457</c:v>
                </c:pt>
                <c:pt idx="281" formatCode="0.0000">
                  <c:v>0.90351285830426131</c:v>
                </c:pt>
                <c:pt idx="282" formatCode="0.0000">
                  <c:v>0.89195366043101421</c:v>
                </c:pt>
                <c:pt idx="283" formatCode="0.0000">
                  <c:v>0.95998342633852851</c:v>
                </c:pt>
                <c:pt idx="284" formatCode="0.0000">
                  <c:v>0.96232034971586722</c:v>
                </c:pt>
                <c:pt idx="285" formatCode="0.0000">
                  <c:v>0.96005437592729326</c:v>
                </c:pt>
                <c:pt idx="286" formatCode="0.0000">
                  <c:v>0.97307445180973173</c:v>
                </c:pt>
                <c:pt idx="287" formatCode="0.0000">
                  <c:v>0.98626596608606432</c:v>
                </c:pt>
                <c:pt idx="288" formatCode="0.0000">
                  <c:v>1.0244404499381958</c:v>
                </c:pt>
                <c:pt idx="289" formatCode="0.0000">
                  <c:v>1.0297538576530183</c:v>
                </c:pt>
                <c:pt idx="290" formatCode="0.0000">
                  <c:v>0.95242819887452546</c:v>
                </c:pt>
                <c:pt idx="291" formatCode="0.0000">
                  <c:v>0.95435780473652443</c:v>
                </c:pt>
                <c:pt idx="292" formatCode="0.0000">
                  <c:v>0.95417389538680042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1356-4839-896B-C589C93EEDD7}"/>
            </c:ext>
          </c:extLst>
        </c:ser>
        <c:ser>
          <c:idx val="14"/>
          <c:order val="14"/>
          <c:tx>
            <c:strRef>
              <c:f>'R(t) Województwa'!$DD$2</c:f>
              <c:strCache>
                <c:ptCount val="1"/>
                <c:pt idx="0">
                  <c:v>Wielkopolskie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Województwa'!$DD$3:$DD$1000</c:f>
              <c:numCache>
                <c:formatCode>General</c:formatCode>
                <c:ptCount val="998"/>
                <c:pt idx="28" formatCode="0.0000">
                  <c:v>1.0722938647909341</c:v>
                </c:pt>
                <c:pt idx="29" formatCode="0.0000">
                  <c:v>1.2326465456123974</c:v>
                </c:pt>
                <c:pt idx="30" formatCode="0.0000">
                  <c:v>1.3660928377778045</c:v>
                </c:pt>
                <c:pt idx="31" formatCode="0.0000">
                  <c:v>1.2837637098896719</c:v>
                </c:pt>
                <c:pt idx="32" formatCode="0.0000">
                  <c:v>1.2562015943236666</c:v>
                </c:pt>
                <c:pt idx="33" formatCode="0.0000">
                  <c:v>1.4210171666433322</c:v>
                </c:pt>
                <c:pt idx="34" formatCode="0.0000">
                  <c:v>1.5856124530115583</c:v>
                </c:pt>
                <c:pt idx="35" formatCode="0.0000">
                  <c:v>1.5547082370678074</c:v>
                </c:pt>
                <c:pt idx="36" formatCode="0.0000">
                  <c:v>1.6110825133071838</c:v>
                </c:pt>
                <c:pt idx="37" formatCode="0.0000">
                  <c:v>1.5665369500542154</c:v>
                </c:pt>
                <c:pt idx="38" formatCode="0.0000">
                  <c:v>1.6427798160617706</c:v>
                </c:pt>
                <c:pt idx="39" formatCode="0.0000">
                  <c:v>1.7406364628528632</c:v>
                </c:pt>
                <c:pt idx="40" formatCode="0.0000">
                  <c:v>1.5368133028411555</c:v>
                </c:pt>
                <c:pt idx="41" formatCode="0.0000">
                  <c:v>1.5209968579247468</c:v>
                </c:pt>
                <c:pt idx="42" formatCode="0.0000">
                  <c:v>1.5151110631431572</c:v>
                </c:pt>
                <c:pt idx="43" formatCode="0.0000">
                  <c:v>1.6184127729923878</c:v>
                </c:pt>
                <c:pt idx="44" formatCode="0.0000">
                  <c:v>1.5569329236532228</c:v>
                </c:pt>
                <c:pt idx="45" formatCode="0.0000">
                  <c:v>1.482420360358361</c:v>
                </c:pt>
                <c:pt idx="46" formatCode="0.0000">
                  <c:v>1.2733744635358342</c:v>
                </c:pt>
                <c:pt idx="47" formatCode="0.0000">
                  <c:v>1.5477776917115142</c:v>
                </c:pt>
                <c:pt idx="48" formatCode="0.0000">
                  <c:v>1.2730705303630414</c:v>
                </c:pt>
                <c:pt idx="49" formatCode="0.0000">
                  <c:v>1.241927064684536</c:v>
                </c:pt>
                <c:pt idx="50" formatCode="0.0000">
                  <c:v>0.93577781705862983</c:v>
                </c:pt>
                <c:pt idx="51" formatCode="0.0000">
                  <c:v>1.0234501688912923</c:v>
                </c:pt>
                <c:pt idx="52" formatCode="0.0000">
                  <c:v>1.0830669361034477</c:v>
                </c:pt>
                <c:pt idx="53" formatCode="0.0000">
                  <c:v>1.1147110120029053</c:v>
                </c:pt>
                <c:pt idx="54" formatCode="0.0000">
                  <c:v>0.84559720184588572</c:v>
                </c:pt>
                <c:pt idx="55" formatCode="0.0000">
                  <c:v>0.87807922820103967</c:v>
                </c:pt>
                <c:pt idx="56" formatCode="0.0000">
                  <c:v>0.89671385121859515</c:v>
                </c:pt>
                <c:pt idx="57" formatCode="0.0000">
                  <c:v>0.97194025203615175</c:v>
                </c:pt>
                <c:pt idx="58" formatCode="0.0000">
                  <c:v>0.84348449232792311</c:v>
                </c:pt>
                <c:pt idx="59" formatCode="0.0000">
                  <c:v>0.64107588704101481</c:v>
                </c:pt>
                <c:pt idx="60" formatCode="0.0000">
                  <c:v>0.76492146781803017</c:v>
                </c:pt>
                <c:pt idx="61" formatCode="0.0000">
                  <c:v>0.73462617764141402</c:v>
                </c:pt>
                <c:pt idx="62" formatCode="0.0000">
                  <c:v>0.66945194348068282</c:v>
                </c:pt>
                <c:pt idx="63" formatCode="0.0000">
                  <c:v>0.8743713462481798</c:v>
                </c:pt>
                <c:pt idx="64" formatCode="0.0000">
                  <c:v>0.81571051559863705</c:v>
                </c:pt>
                <c:pt idx="65" formatCode="0.0000">
                  <c:v>0.82869526409384153</c:v>
                </c:pt>
                <c:pt idx="66" formatCode="0.0000">
                  <c:v>0.88662819530444281</c:v>
                </c:pt>
                <c:pt idx="67" formatCode="0.0000">
                  <c:v>0.74909034997115376</c:v>
                </c:pt>
                <c:pt idx="68" formatCode="0.0000">
                  <c:v>0.66732076680789187</c:v>
                </c:pt>
                <c:pt idx="69" formatCode="0.0000">
                  <c:v>0.78061117867961793</c:v>
                </c:pt>
                <c:pt idx="70" formatCode="0.0000">
                  <c:v>0.53510488105113641</c:v>
                </c:pt>
                <c:pt idx="71" formatCode="0.0000">
                  <c:v>0.54103485300257326</c:v>
                </c:pt>
                <c:pt idx="72" formatCode="0.0000">
                  <c:v>0.52876373649928132</c:v>
                </c:pt>
                <c:pt idx="73" formatCode="0.0000">
                  <c:v>0.58451836102722055</c:v>
                </c:pt>
                <c:pt idx="74" formatCode="0.0000">
                  <c:v>0.55036234610396262</c:v>
                </c:pt>
                <c:pt idx="75" formatCode="0.0000">
                  <c:v>0.86538931423451104</c:v>
                </c:pt>
                <c:pt idx="76" formatCode="0.0000">
                  <c:v>0.79709856659616729</c:v>
                </c:pt>
                <c:pt idx="77" formatCode="0.0000">
                  <c:v>0.77011923012881345</c:v>
                </c:pt>
                <c:pt idx="78" formatCode="0.0000">
                  <c:v>1.3780264241824778</c:v>
                </c:pt>
                <c:pt idx="79" formatCode="0.0000">
                  <c:v>1.4280931664325931</c:v>
                </c:pt>
                <c:pt idx="80" formatCode="0.0000">
                  <c:v>1.3922968052618465</c:v>
                </c:pt>
                <c:pt idx="81" formatCode="0.0000">
                  <c:v>1.4236045169794704</c:v>
                </c:pt>
                <c:pt idx="82" formatCode="0.0000">
                  <c:v>1.5128136782958685</c:v>
                </c:pt>
                <c:pt idx="83" formatCode="0.0000">
                  <c:v>1.5144881736418836</c:v>
                </c:pt>
                <c:pt idx="84" formatCode="0.0000">
                  <c:v>1.5741989899375588</c:v>
                </c:pt>
                <c:pt idx="85" formatCode="0.0000">
                  <c:v>1.2041195027682956</c:v>
                </c:pt>
                <c:pt idx="86" formatCode="0.0000">
                  <c:v>1.1348460251782011</c:v>
                </c:pt>
                <c:pt idx="87" formatCode="0.0000">
                  <c:v>1.1135914591366325</c:v>
                </c:pt>
                <c:pt idx="88" formatCode="0.0000">
                  <c:v>1.0512897338163898</c:v>
                </c:pt>
                <c:pt idx="89" formatCode="0.0000">
                  <c:v>0.65542992874227346</c:v>
                </c:pt>
                <c:pt idx="90" formatCode="0.0000">
                  <c:v>0.59959644760663156</c:v>
                </c:pt>
                <c:pt idx="91" formatCode="0.0000">
                  <c:v>0.76407481869235894</c:v>
                </c:pt>
                <c:pt idx="92" formatCode="0.0000">
                  <c:v>0.578362737267339</c:v>
                </c:pt>
                <c:pt idx="93" formatCode="0.0000">
                  <c:v>0.58214116040635311</c:v>
                </c:pt>
                <c:pt idx="94" formatCode="0.0000">
                  <c:v>0.54163093059894107</c:v>
                </c:pt>
                <c:pt idx="95" formatCode="0.0000">
                  <c:v>0.88733169874171047</c:v>
                </c:pt>
                <c:pt idx="96" formatCode="0.0000">
                  <c:v>0.97051541699562416</c:v>
                </c:pt>
                <c:pt idx="97" formatCode="0.0000">
                  <c:v>1.0337727911050723</c:v>
                </c:pt>
                <c:pt idx="98" formatCode="0.0000">
                  <c:v>0.88424420423775929</c:v>
                </c:pt>
                <c:pt idx="99" formatCode="0.0000">
                  <c:v>0.80623549492948732</c:v>
                </c:pt>
                <c:pt idx="100" formatCode="0.0000">
                  <c:v>0.9784207818332924</c:v>
                </c:pt>
                <c:pt idx="101" formatCode="0.0000">
                  <c:v>1.0537114031300234</c:v>
                </c:pt>
                <c:pt idx="102" formatCode="0.0000">
                  <c:v>0.90877137363849381</c:v>
                </c:pt>
                <c:pt idx="103" formatCode="0.0000">
                  <c:v>0.92014750486771535</c:v>
                </c:pt>
                <c:pt idx="104" formatCode="0.0000">
                  <c:v>0.96317706450748131</c:v>
                </c:pt>
                <c:pt idx="105" formatCode="0.0000">
                  <c:v>0.91887929596391782</c:v>
                </c:pt>
                <c:pt idx="106" formatCode="0.0000">
                  <c:v>0.97802161367951768</c:v>
                </c:pt>
                <c:pt idx="107" formatCode="0.0000">
                  <c:v>0.81818884686946269</c:v>
                </c:pt>
                <c:pt idx="108" formatCode="0.0000">
                  <c:v>0.82894290976699991</c:v>
                </c:pt>
                <c:pt idx="109" formatCode="0.0000">
                  <c:v>0.70505996966130202</c:v>
                </c:pt>
                <c:pt idx="110" formatCode="0.0000">
                  <c:v>0.66856226962992149</c:v>
                </c:pt>
                <c:pt idx="111" formatCode="0.0000">
                  <c:v>0.74963419733350867</c:v>
                </c:pt>
                <c:pt idx="112" formatCode="0.0000">
                  <c:v>0.9758967368616932</c:v>
                </c:pt>
                <c:pt idx="113" formatCode="0.0000">
                  <c:v>1.0280016982413247</c:v>
                </c:pt>
                <c:pt idx="114" formatCode="0.0000">
                  <c:v>1.0273323204070823</c:v>
                </c:pt>
                <c:pt idx="115" formatCode="0.0000">
                  <c:v>1.2631112348567866</c:v>
                </c:pt>
                <c:pt idx="116" formatCode="0.0000">
                  <c:v>1.5744956850181988</c:v>
                </c:pt>
                <c:pt idx="117" formatCode="0.0000">
                  <c:v>1.51103977049373</c:v>
                </c:pt>
                <c:pt idx="118" formatCode="0.0000">
                  <c:v>1.5219910734529087</c:v>
                </c:pt>
                <c:pt idx="119" formatCode="0.0000">
                  <c:v>1.4086283908544301</c:v>
                </c:pt>
                <c:pt idx="120" formatCode="0.0000">
                  <c:v>1.9611224644596186</c:v>
                </c:pt>
                <c:pt idx="121" formatCode="0.0000">
                  <c:v>1.996496997268018</c:v>
                </c:pt>
                <c:pt idx="122" formatCode="0.0000">
                  <c:v>1.8515063909227027</c:v>
                </c:pt>
                <c:pt idx="123" formatCode="0.0000">
                  <c:v>1.6923624261902754</c:v>
                </c:pt>
                <c:pt idx="124" formatCode="0.0000">
                  <c:v>1.8111266549811145</c:v>
                </c:pt>
                <c:pt idx="125" formatCode="0.0000">
                  <c:v>1.6080716606683456</c:v>
                </c:pt>
                <c:pt idx="126" formatCode="0.0000">
                  <c:v>1.7503937735392194</c:v>
                </c:pt>
                <c:pt idx="127" formatCode="0.0000">
                  <c:v>1.1212497359658353</c:v>
                </c:pt>
                <c:pt idx="128" formatCode="0.0000">
                  <c:v>1.1107655713457594</c:v>
                </c:pt>
                <c:pt idx="129" formatCode="0.0000">
                  <c:v>0.97888275464464236</c:v>
                </c:pt>
                <c:pt idx="130" formatCode="0.0000">
                  <c:v>0.93068056454459325</c:v>
                </c:pt>
                <c:pt idx="131" formatCode="0.0000">
                  <c:v>1.1889992762384496</c:v>
                </c:pt>
                <c:pt idx="132" formatCode="0.0000">
                  <c:v>1.2250793927686439</c:v>
                </c:pt>
                <c:pt idx="133" formatCode="0.0000">
                  <c:v>1.0905196180299783</c:v>
                </c:pt>
                <c:pt idx="134" formatCode="0.0000">
                  <c:v>1.0757798490707631</c:v>
                </c:pt>
                <c:pt idx="135" formatCode="0.0000">
                  <c:v>1.0419353942022036</c:v>
                </c:pt>
                <c:pt idx="136" formatCode="0.0000">
                  <c:v>1.157707300871343</c:v>
                </c:pt>
                <c:pt idx="137" formatCode="0.0000">
                  <c:v>1.0098728419759584</c:v>
                </c:pt>
                <c:pt idx="138" formatCode="0.0000">
                  <c:v>0.70972798392948777</c:v>
                </c:pt>
                <c:pt idx="139" formatCode="0.0000">
                  <c:v>0.79709341855000326</c:v>
                </c:pt>
                <c:pt idx="140" formatCode="0.0000">
                  <c:v>0.71273359001645764</c:v>
                </c:pt>
                <c:pt idx="141" formatCode="0.0000">
                  <c:v>0.74634511603826936</c:v>
                </c:pt>
                <c:pt idx="142" formatCode="0.0000">
                  <c:v>0.74474360294858521</c:v>
                </c:pt>
                <c:pt idx="143" formatCode="0.0000">
                  <c:v>0.62876752064554187</c:v>
                </c:pt>
                <c:pt idx="144" formatCode="0.0000">
                  <c:v>0.78239725961624551</c:v>
                </c:pt>
                <c:pt idx="145" formatCode="0.0000">
                  <c:v>0.82154576925234146</c:v>
                </c:pt>
                <c:pt idx="146" formatCode="0.0000">
                  <c:v>0.73311620611832562</c:v>
                </c:pt>
                <c:pt idx="147" formatCode="0.0000">
                  <c:v>0.89632663385691314</c:v>
                </c:pt>
                <c:pt idx="148" formatCode="0.0000">
                  <c:v>0.86745189867600525</c:v>
                </c:pt>
                <c:pt idx="149" formatCode="0.0000">
                  <c:v>0.94730462475919663</c:v>
                </c:pt>
                <c:pt idx="150" formatCode="0.0000">
                  <c:v>1.2098825032747162</c:v>
                </c:pt>
                <c:pt idx="151" formatCode="0.0000">
                  <c:v>1.2018001886945426</c:v>
                </c:pt>
                <c:pt idx="152" formatCode="0.0000">
                  <c:v>1.3987962851049782</c:v>
                </c:pt>
                <c:pt idx="153" formatCode="0.0000">
                  <c:v>1.7085014892135126</c:v>
                </c:pt>
                <c:pt idx="154" formatCode="0.0000">
                  <c:v>1.7343393065734058</c:v>
                </c:pt>
                <c:pt idx="155" formatCode="0.0000">
                  <c:v>1.9228502068853823</c:v>
                </c:pt>
                <c:pt idx="156" formatCode="0.0000">
                  <c:v>1.9850567926187934</c:v>
                </c:pt>
                <c:pt idx="157" formatCode="0.0000">
                  <c:v>1.7581829722944697</c:v>
                </c:pt>
                <c:pt idx="158" formatCode="0.0000">
                  <c:v>1.7008487702660795</c:v>
                </c:pt>
                <c:pt idx="159" formatCode="0.0000">
                  <c:v>1.5248106174736218</c:v>
                </c:pt>
                <c:pt idx="160" formatCode="0.0000">
                  <c:v>1.301046077099647</c:v>
                </c:pt>
                <c:pt idx="161" formatCode="0.0000">
                  <c:v>1.0981624095534965</c:v>
                </c:pt>
                <c:pt idx="162" formatCode="0.0000">
                  <c:v>0.9326165627726235</c:v>
                </c:pt>
                <c:pt idx="163" formatCode="0.0000">
                  <c:v>0.85802599859914963</c:v>
                </c:pt>
                <c:pt idx="164" formatCode="0.0000">
                  <c:v>0.86644566628510999</c:v>
                </c:pt>
                <c:pt idx="165" formatCode="0.0000">
                  <c:v>0.90652064510229979</c:v>
                </c:pt>
                <c:pt idx="166" formatCode="0.0000">
                  <c:v>0.88766248530811609</c:v>
                </c:pt>
                <c:pt idx="167" formatCode="0.0000">
                  <c:v>0.81592822006702814</c:v>
                </c:pt>
                <c:pt idx="168" formatCode="0.0000">
                  <c:v>0.84588106089525283</c:v>
                </c:pt>
                <c:pt idx="169" formatCode="0.0000">
                  <c:v>0.87409782035392403</c:v>
                </c:pt>
                <c:pt idx="170" formatCode="0.0000">
                  <c:v>0.97037118991079419</c:v>
                </c:pt>
                <c:pt idx="171" formatCode="0.0000">
                  <c:v>1.0665556010790207</c:v>
                </c:pt>
                <c:pt idx="172" formatCode="0.0000">
                  <c:v>1.1054716512621556</c:v>
                </c:pt>
                <c:pt idx="173" formatCode="0.0000">
                  <c:v>1.0840431772205215</c:v>
                </c:pt>
                <c:pt idx="174" formatCode="0.0000">
                  <c:v>1.1352503241125838</c:v>
                </c:pt>
                <c:pt idx="175" formatCode="0.0000">
                  <c:v>1.0961422466244217</c:v>
                </c:pt>
                <c:pt idx="176" formatCode="0.0000">
                  <c:v>1.2219828423423706</c:v>
                </c:pt>
                <c:pt idx="177" formatCode="0.0000">
                  <c:v>1.2068652095065933</c:v>
                </c:pt>
                <c:pt idx="178" formatCode="0.0000">
                  <c:v>1.2039949012023314</c:v>
                </c:pt>
                <c:pt idx="179" formatCode="0.0000">
                  <c:v>1.2000715074691801</c:v>
                </c:pt>
                <c:pt idx="180" formatCode="0.0000">
                  <c:v>1.2251234878582302</c:v>
                </c:pt>
                <c:pt idx="181" formatCode="0.0000">
                  <c:v>1.1542165856232292</c:v>
                </c:pt>
                <c:pt idx="182" formatCode="0.0000">
                  <c:v>1.1396432659404747</c:v>
                </c:pt>
                <c:pt idx="183" formatCode="0.0000">
                  <c:v>1.0141755429291011</c:v>
                </c:pt>
                <c:pt idx="184" formatCode="0.0000">
                  <c:v>0.90815300029477186</c:v>
                </c:pt>
                <c:pt idx="185" formatCode="0.0000">
                  <c:v>0.9328506315859969</c:v>
                </c:pt>
                <c:pt idx="186" formatCode="0.0000">
                  <c:v>0.86541219594681007</c:v>
                </c:pt>
                <c:pt idx="187" formatCode="0.0000">
                  <c:v>0.81081875071419163</c:v>
                </c:pt>
                <c:pt idx="188" formatCode="0.0000">
                  <c:v>0.80223000619787066</c:v>
                </c:pt>
                <c:pt idx="189" formatCode="0.0000">
                  <c:v>0.82034106281805941</c:v>
                </c:pt>
                <c:pt idx="190" formatCode="0.0000">
                  <c:v>0.77526950105308023</c:v>
                </c:pt>
                <c:pt idx="191" formatCode="0.0000">
                  <c:v>0.89203424489030247</c:v>
                </c:pt>
                <c:pt idx="192" formatCode="0.0000">
                  <c:v>0.82187348781468506</c:v>
                </c:pt>
                <c:pt idx="193" formatCode="0.0000">
                  <c:v>0.82553947276849027</c:v>
                </c:pt>
                <c:pt idx="194" formatCode="0.0000">
                  <c:v>0.94756109179763259</c:v>
                </c:pt>
                <c:pt idx="195" formatCode="0.0000">
                  <c:v>0.95632357446881677</c:v>
                </c:pt>
                <c:pt idx="196" formatCode="0.0000">
                  <c:v>0.95264995591551993</c:v>
                </c:pt>
                <c:pt idx="197" formatCode="0.0000">
                  <c:v>0.93332029761941526</c:v>
                </c:pt>
                <c:pt idx="198" formatCode="0.0000">
                  <c:v>0.94642502777728432</c:v>
                </c:pt>
                <c:pt idx="199" formatCode="0.0000">
                  <c:v>1.0120834907365706</c:v>
                </c:pt>
                <c:pt idx="200" formatCode="0.0000">
                  <c:v>1.135276210197969</c:v>
                </c:pt>
                <c:pt idx="201" formatCode="0.0000">
                  <c:v>1.2384548114054823</c:v>
                </c:pt>
                <c:pt idx="202" formatCode="0.0000">
                  <c:v>1.2893752682211381</c:v>
                </c:pt>
                <c:pt idx="203" formatCode="0.0000">
                  <c:v>1.2889515509527214</c:v>
                </c:pt>
                <c:pt idx="204" formatCode="0.0000">
                  <c:v>1.4071260008359201</c:v>
                </c:pt>
                <c:pt idx="205" formatCode="0.0000">
                  <c:v>1.352753165764113</c:v>
                </c:pt>
                <c:pt idx="206" formatCode="0.0000">
                  <c:v>1.3094145762924756</c:v>
                </c:pt>
                <c:pt idx="207" formatCode="0.0000">
                  <c:v>1.3968566843674191</c:v>
                </c:pt>
                <c:pt idx="208" formatCode="0.0000">
                  <c:v>1.2678944600376774</c:v>
                </c:pt>
                <c:pt idx="209" formatCode="0.0000">
                  <c:v>1.4917183706718349</c:v>
                </c:pt>
                <c:pt idx="210" formatCode="0.0000">
                  <c:v>1.5260714402377864</c:v>
                </c:pt>
                <c:pt idx="211" formatCode="0.0000">
                  <c:v>1.5495785581441628</c:v>
                </c:pt>
                <c:pt idx="212" formatCode="0.0000">
                  <c:v>1.5947950672403308</c:v>
                </c:pt>
                <c:pt idx="213" formatCode="0.0000">
                  <c:v>1.6573370488215373</c:v>
                </c:pt>
                <c:pt idx="214" formatCode="0.0000">
                  <c:v>1.5626476693037368</c:v>
                </c:pt>
                <c:pt idx="215" formatCode="0.0000">
                  <c:v>1.557451342971135</c:v>
                </c:pt>
                <c:pt idx="216" formatCode="0.0000">
                  <c:v>1.4010533387724935</c:v>
                </c:pt>
                <c:pt idx="217" formatCode="0.0000">
                  <c:v>1.3887741796970408</c:v>
                </c:pt>
                <c:pt idx="218" formatCode="0.0000">
                  <c:v>1.4279574485853161</c:v>
                </c:pt>
                <c:pt idx="219" formatCode="0.0000">
                  <c:v>1.6508211302980154</c:v>
                </c:pt>
                <c:pt idx="220" formatCode="0.0000">
                  <c:v>1.7071870369280313</c:v>
                </c:pt>
                <c:pt idx="221" formatCode="0.0000">
                  <c:v>1.667992350676613</c:v>
                </c:pt>
                <c:pt idx="222" formatCode="0.0000">
                  <c:v>1.7080291695553307</c:v>
                </c:pt>
                <c:pt idx="223" formatCode="0.0000">
                  <c:v>1.8054497705039663</c:v>
                </c:pt>
                <c:pt idx="224" formatCode="0.0000">
                  <c:v>1.8574116656233461</c:v>
                </c:pt>
                <c:pt idx="225" formatCode="0.0000">
                  <c:v>1.8466407608778626</c:v>
                </c:pt>
                <c:pt idx="226" formatCode="0.0000">
                  <c:v>1.736478045062315</c:v>
                </c:pt>
                <c:pt idx="227" formatCode="0.0000">
                  <c:v>1.6404590547681845</c:v>
                </c:pt>
                <c:pt idx="228" formatCode="0.0000">
                  <c:v>1.7708741297670945</c:v>
                </c:pt>
                <c:pt idx="229" formatCode="0.0000">
                  <c:v>1.7558866813391398</c:v>
                </c:pt>
                <c:pt idx="230" formatCode="0.0000">
                  <c:v>1.5888701223058626</c:v>
                </c:pt>
                <c:pt idx="231" formatCode="0.0000">
                  <c:v>1.7515274002809249</c:v>
                </c:pt>
                <c:pt idx="232" formatCode="0.0000">
                  <c:v>1.6920812996095644</c:v>
                </c:pt>
                <c:pt idx="233" formatCode="0.0000">
                  <c:v>1.6779918080089644</c:v>
                </c:pt>
                <c:pt idx="234" formatCode="0.0000">
                  <c:v>1.6674375329595907</c:v>
                </c:pt>
                <c:pt idx="235" formatCode="0.0000">
                  <c:v>1.5816973950129369</c:v>
                </c:pt>
                <c:pt idx="236" formatCode="0.0000">
                  <c:v>1.5195650844107715</c:v>
                </c:pt>
                <c:pt idx="237" formatCode="0.0000">
                  <c:v>1.4835372279861454</c:v>
                </c:pt>
                <c:pt idx="238" formatCode="0.0000">
                  <c:v>1.437290640024264</c:v>
                </c:pt>
                <c:pt idx="239" formatCode="0.0000">
                  <c:v>1.7038460516377565</c:v>
                </c:pt>
                <c:pt idx="240" formatCode="0.0000">
                  <c:v>1.6777157680412109</c:v>
                </c:pt>
                <c:pt idx="241" formatCode="0.0000">
                  <c:v>1.7930934991208571</c:v>
                </c:pt>
                <c:pt idx="242" formatCode="0.0000">
                  <c:v>1.7344362808717979</c:v>
                </c:pt>
                <c:pt idx="243" formatCode="0.0000">
                  <c:v>1.6688161168065652</c:v>
                </c:pt>
                <c:pt idx="244" formatCode="0.0000">
                  <c:v>1.7064257695741483</c:v>
                </c:pt>
                <c:pt idx="245" formatCode="0.0000">
                  <c:v>1.6287584014000387</c:v>
                </c:pt>
                <c:pt idx="246" formatCode="0.0000">
                  <c:v>1.5331095537660038</c:v>
                </c:pt>
                <c:pt idx="247" formatCode="0.0000">
                  <c:v>1.5052634626679369</c:v>
                </c:pt>
                <c:pt idx="248" formatCode="0.0000">
                  <c:v>1.3262812145973604</c:v>
                </c:pt>
                <c:pt idx="249" formatCode="0.0000">
                  <c:v>1.283052186945574</c:v>
                </c:pt>
                <c:pt idx="250" formatCode="0.0000">
                  <c:v>1.3312015683269138</c:v>
                </c:pt>
                <c:pt idx="251" formatCode="0.0000">
                  <c:v>1.3496058396118689</c:v>
                </c:pt>
                <c:pt idx="252" formatCode="0.0000">
                  <c:v>1.4109485372271207</c:v>
                </c:pt>
                <c:pt idx="253" formatCode="0.0000">
                  <c:v>1.251394919355133</c:v>
                </c:pt>
                <c:pt idx="254" formatCode="0.0000">
                  <c:v>1.0979429252190027</c:v>
                </c:pt>
                <c:pt idx="255" formatCode="0.0000">
                  <c:v>1.1331367247686781</c:v>
                </c:pt>
                <c:pt idx="256" formatCode="0.0000">
                  <c:v>1.1310224628396353</c:v>
                </c:pt>
                <c:pt idx="257" formatCode="0.0000">
                  <c:v>1.1341118420157408</c:v>
                </c:pt>
                <c:pt idx="258" formatCode="0.0000">
                  <c:v>1.1426409690963291</c:v>
                </c:pt>
                <c:pt idx="259" formatCode="0.0000">
                  <c:v>0.97401271586140148</c:v>
                </c:pt>
                <c:pt idx="260" formatCode="0.0000">
                  <c:v>0.86288880560786985</c:v>
                </c:pt>
                <c:pt idx="261" formatCode="0.0000">
                  <c:v>0.87716487942153465</c:v>
                </c:pt>
                <c:pt idx="262" formatCode="0.0000">
                  <c:v>0.8597730911037168</c:v>
                </c:pt>
                <c:pt idx="263" formatCode="0.0000">
                  <c:v>0.86980093410006487</c:v>
                </c:pt>
                <c:pt idx="264" formatCode="0.0000">
                  <c:v>0.88247656412411024</c:v>
                </c:pt>
                <c:pt idx="265" formatCode="0.0000">
                  <c:v>0.86792848793619837</c:v>
                </c:pt>
                <c:pt idx="266" formatCode="0.0000">
                  <c:v>0.82460053973885061</c:v>
                </c:pt>
                <c:pt idx="267" formatCode="0.0000">
                  <c:v>0.85717669369200145</c:v>
                </c:pt>
                <c:pt idx="268" formatCode="0.0000">
                  <c:v>0.8429764042084914</c:v>
                </c:pt>
                <c:pt idx="269" formatCode="0.0000">
                  <c:v>0.8550373432466164</c:v>
                </c:pt>
                <c:pt idx="270" formatCode="0.0000">
                  <c:v>0.82294515709400784</c:v>
                </c:pt>
                <c:pt idx="271" formatCode="0.0000">
                  <c:v>0.81153038122627641</c:v>
                </c:pt>
                <c:pt idx="272" formatCode="0.0000">
                  <c:v>0.73050004435298299</c:v>
                </c:pt>
                <c:pt idx="273" formatCode="0.0000">
                  <c:v>0.75857083826366123</c:v>
                </c:pt>
                <c:pt idx="274" formatCode="0.0000">
                  <c:v>0.80316976326270606</c:v>
                </c:pt>
                <c:pt idx="275" formatCode="0.0000">
                  <c:v>0.84044667953895025</c:v>
                </c:pt>
                <c:pt idx="276" formatCode="0.0000">
                  <c:v>0.80640151787823133</c:v>
                </c:pt>
                <c:pt idx="277" formatCode="0.0000">
                  <c:v>0.78469640592455037</c:v>
                </c:pt>
                <c:pt idx="278" formatCode="0.0000">
                  <c:v>0.76915843184395249</c:v>
                </c:pt>
                <c:pt idx="279" formatCode="0.0000">
                  <c:v>0.76974078564474269</c:v>
                </c:pt>
                <c:pt idx="280" formatCode="0.0000">
                  <c:v>0.76461016353876787</c:v>
                </c:pt>
                <c:pt idx="281" formatCode="0.0000">
                  <c:v>0.76212928608128294</c:v>
                </c:pt>
                <c:pt idx="282" formatCode="0.0000">
                  <c:v>0.79853241533748687</c:v>
                </c:pt>
                <c:pt idx="283" formatCode="0.0000">
                  <c:v>0.8321630185020652</c:v>
                </c:pt>
                <c:pt idx="284" formatCode="0.0000">
                  <c:v>0.83588736502591376</c:v>
                </c:pt>
                <c:pt idx="285" formatCode="0.0000">
                  <c:v>0.86030568556153231</c:v>
                </c:pt>
                <c:pt idx="286" formatCode="0.0000">
                  <c:v>0.86348025262136829</c:v>
                </c:pt>
                <c:pt idx="287" formatCode="0.0000">
                  <c:v>0.88131194615879083</c:v>
                </c:pt>
                <c:pt idx="288" formatCode="0.0000">
                  <c:v>0.92324907388999233</c:v>
                </c:pt>
                <c:pt idx="289" formatCode="0.0000">
                  <c:v>0.92617341108911133</c:v>
                </c:pt>
                <c:pt idx="290" formatCode="0.0000">
                  <c:v>0.907743587961509</c:v>
                </c:pt>
                <c:pt idx="291" formatCode="0.0000">
                  <c:v>0.94061001531354194</c:v>
                </c:pt>
                <c:pt idx="292" formatCode="0.0000">
                  <c:v>0.95227534049400719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1356-4839-896B-C589C93EEDD7}"/>
            </c:ext>
          </c:extLst>
        </c:ser>
        <c:ser>
          <c:idx val="15"/>
          <c:order val="15"/>
          <c:tx>
            <c:strRef>
              <c:f>'R(t) Województwa'!$DK$2</c:f>
              <c:strCache>
                <c:ptCount val="1"/>
                <c:pt idx="0">
                  <c:v>Zachodniopomorskie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Województwa'!$DK$3:$DK$1000</c:f>
              <c:numCache>
                <c:formatCode>General</c:formatCode>
                <c:ptCount val="998"/>
                <c:pt idx="34" formatCode="0.0000">
                  <c:v>0.9527777777777785</c:v>
                </c:pt>
                <c:pt idx="35" formatCode="0.0000">
                  <c:v>1.1740244534841027</c:v>
                </c:pt>
                <c:pt idx="36" formatCode="0.0000">
                  <c:v>1.663146329400113</c:v>
                </c:pt>
                <c:pt idx="37" formatCode="0.0000">
                  <c:v>1.3978053545721876</c:v>
                </c:pt>
                <c:pt idx="38" formatCode="0.0000">
                  <c:v>1.2600402322932784</c:v>
                </c:pt>
                <c:pt idx="39" formatCode="0.0000">
                  <c:v>1.1363357883218053</c:v>
                </c:pt>
                <c:pt idx="40" formatCode="0.0000">
                  <c:v>0.9967009330000548</c:v>
                </c:pt>
                <c:pt idx="41" formatCode="0.0000">
                  <c:v>0.98958364594180215</c:v>
                </c:pt>
                <c:pt idx="42" formatCode="0.0000">
                  <c:v>0.89490499620626818</c:v>
                </c:pt>
                <c:pt idx="43" formatCode="0.0000">
                  <c:v>0.59916604490021441</c:v>
                </c:pt>
                <c:pt idx="44" formatCode="0.0000">
                  <c:v>0.60012430972809927</c:v>
                </c:pt>
                <c:pt idx="45" formatCode="0.0000">
                  <c:v>0.60626471314251495</c:v>
                </c:pt>
                <c:pt idx="46" formatCode="0.0000">
                  <c:v>0.83457993760587557</c:v>
                </c:pt>
                <c:pt idx="47" formatCode="0.0000">
                  <c:v>1.0451581516985493</c:v>
                </c:pt>
                <c:pt idx="48" formatCode="0.0000">
                  <c:v>1.0545917067563362</c:v>
                </c:pt>
                <c:pt idx="49" formatCode="0.0000">
                  <c:v>0.97522651094032653</c:v>
                </c:pt>
                <c:pt idx="50" formatCode="0.0000">
                  <c:v>1.0225447862787069</c:v>
                </c:pt>
                <c:pt idx="51" formatCode="0.0000">
                  <c:v>1.1680493291175134</c:v>
                </c:pt>
                <c:pt idx="52" formatCode="0.0000">
                  <c:v>1.487272853059316</c:v>
                </c:pt>
                <c:pt idx="53" formatCode="0.0000">
                  <c:v>1.257682292349297</c:v>
                </c:pt>
                <c:pt idx="54" formatCode="0.0000">
                  <c:v>1.1584337667534743</c:v>
                </c:pt>
                <c:pt idx="55" formatCode="0.0000">
                  <c:v>1.189034318492683</c:v>
                </c:pt>
                <c:pt idx="56" formatCode="0.0000">
                  <c:v>1.2296405782793625</c:v>
                </c:pt>
                <c:pt idx="57" formatCode="0.0000">
                  <c:v>1.148307202969812</c:v>
                </c:pt>
                <c:pt idx="58" formatCode="0.0000">
                  <c:v>1.1262691895721366</c:v>
                </c:pt>
                <c:pt idx="59" formatCode="0.0000">
                  <c:v>0.76121099724052954</c:v>
                </c:pt>
                <c:pt idx="60" formatCode="0.0000">
                  <c:v>0.75554948521589915</c:v>
                </c:pt>
                <c:pt idx="61" formatCode="0.0000">
                  <c:v>0.73757898947063638</c:v>
                </c:pt>
                <c:pt idx="62" formatCode="0.0000">
                  <c:v>0.77724542177317069</c:v>
                </c:pt>
                <c:pt idx="63" formatCode="0.0000">
                  <c:v>0.89317583920704391</c:v>
                </c:pt>
                <c:pt idx="64" formatCode="0.0000">
                  <c:v>0.99366476657786229</c:v>
                </c:pt>
                <c:pt idx="65" formatCode="0.0000">
                  <c:v>0.89040377584777797</c:v>
                </c:pt>
                <c:pt idx="66" formatCode="0.0000">
                  <c:v>0.88436610459079934</c:v>
                </c:pt>
                <c:pt idx="67" formatCode="0.0000">
                  <c:v>0.89341053415806082</c:v>
                </c:pt>
                <c:pt idx="68" formatCode="0.0000">
                  <c:v>0.84257240765904096</c:v>
                </c:pt>
                <c:pt idx="69" formatCode="0.0000">
                  <c:v>0.6515554428043695</c:v>
                </c:pt>
                <c:pt idx="70" formatCode="0.0000">
                  <c:v>0.59097951526192838</c:v>
                </c:pt>
                <c:pt idx="71" formatCode="0.0000">
                  <c:v>0.56682317861346343</c:v>
                </c:pt>
                <c:pt idx="72" formatCode="0.0000">
                  <c:v>0.50179444649580662</c:v>
                </c:pt>
                <c:pt idx="73" formatCode="0.0000">
                  <c:v>0.51647565172584731</c:v>
                </c:pt>
                <c:pt idx="74" formatCode="0.0000">
                  <c:v>0.46563875023186702</c:v>
                </c:pt>
                <c:pt idx="75" formatCode="0.0000">
                  <c:v>0.45763649213253949</c:v>
                </c:pt>
                <c:pt idx="76" formatCode="0.0000">
                  <c:v>0.5338241020864658</c:v>
                </c:pt>
                <c:pt idx="77" formatCode="0.0000">
                  <c:v>0.57708368316684555</c:v>
                </c:pt>
                <c:pt idx="78" formatCode="0.0000">
                  <c:v>0.48536689098629487</c:v>
                </c:pt>
                <c:pt idx="79" formatCode="0.0000">
                  <c:v>0.80536253179093154</c:v>
                </c:pt>
                <c:pt idx="80" formatCode="0.0000">
                  <c:v>0.79452791813068491</c:v>
                </c:pt>
                <c:pt idx="81" formatCode="0.0000">
                  <c:v>0.89889622703655425</c:v>
                </c:pt>
                <c:pt idx="82" formatCode="0.0000">
                  <c:v>0.87451661167482153</c:v>
                </c:pt>
                <c:pt idx="83" formatCode="0.0000">
                  <c:v>0.81754904954047536</c:v>
                </c:pt>
                <c:pt idx="84" formatCode="0.0000">
                  <c:v>0.81812991947004787</c:v>
                </c:pt>
                <c:pt idx="85" formatCode="0.0000">
                  <c:v>0.86667307318879294</c:v>
                </c:pt>
                <c:pt idx="86" formatCode="0.0000">
                  <c:v>0.50457344237882229</c:v>
                </c:pt>
                <c:pt idx="87" formatCode="0.0000">
                  <c:v>0.64606124142893417</c:v>
                </c:pt>
                <c:pt idx="88" formatCode="0.0000">
                  <c:v>0.70631649779077499</c:v>
                </c:pt>
                <c:pt idx="89" formatCode="0.0000">
                  <c:v>0.71881412897149422</c:v>
                </c:pt>
                <c:pt idx="90" formatCode="0.0000">
                  <c:v>0.68191668285419704</c:v>
                </c:pt>
                <c:pt idx="91" formatCode="0.0000">
                  <c:v>0.80987008449794062</c:v>
                </c:pt>
                <c:pt idx="92" formatCode="0.0000">
                  <c:v>1.0858070250484662</c:v>
                </c:pt>
                <c:pt idx="93" formatCode="0.0000">
                  <c:v>1.1697642787259035</c:v>
                </c:pt>
                <c:pt idx="94" formatCode="0.0000">
                  <c:v>1.102696733866815</c:v>
                </c:pt>
                <c:pt idx="95" formatCode="0.0000">
                  <c:v>0.91282912187362142</c:v>
                </c:pt>
                <c:pt idx="96" formatCode="0.0000">
                  <c:v>0.92000840166046649</c:v>
                </c:pt>
                <c:pt idx="97" formatCode="0.0000">
                  <c:v>0.92000840166046616</c:v>
                </c:pt>
                <c:pt idx="98" formatCode="0.0000">
                  <c:v>1.0310861858087623</c:v>
                </c:pt>
                <c:pt idx="99" formatCode="0.0000">
                  <c:v>0.94140727486566556</c:v>
                </c:pt>
                <c:pt idx="100" formatCode="0.0000">
                  <c:v>0.95245692567111206</c:v>
                </c:pt>
                <c:pt idx="101" formatCode="0.0000">
                  <c:v>0.91842066737722661</c:v>
                </c:pt>
                <c:pt idx="102" formatCode="0.0000">
                  <c:v>1.2833765373322681</c:v>
                </c:pt>
                <c:pt idx="103" formatCode="0.0000">
                  <c:v>1.4441690557720599</c:v>
                </c:pt>
                <c:pt idx="104" formatCode="0.0000">
                  <c:v>1.5238766141017812</c:v>
                </c:pt>
                <c:pt idx="105" formatCode="0.0000">
                  <c:v>1.3324644933637431</c:v>
                </c:pt>
                <c:pt idx="106" formatCode="0.0000">
                  <c:v>1.1847490593123884</c:v>
                </c:pt>
                <c:pt idx="107" formatCode="0.0000">
                  <c:v>1.0897421548295045</c:v>
                </c:pt>
                <c:pt idx="108" formatCode="0.0000">
                  <c:v>1.180000140470373</c:v>
                </c:pt>
                <c:pt idx="109" formatCode="0.0000">
                  <c:v>0.8604135091624624</c:v>
                </c:pt>
                <c:pt idx="110" formatCode="0.0000">
                  <c:v>0.69737600903423835</c:v>
                </c:pt>
                <c:pt idx="111" formatCode="0.0000">
                  <c:v>0.61766845070451704</c:v>
                </c:pt>
                <c:pt idx="112" formatCode="0.0000">
                  <c:v>0.53423240191189025</c:v>
                </c:pt>
                <c:pt idx="113" formatCode="0.0000">
                  <c:v>0.67703554259372256</c:v>
                </c:pt>
                <c:pt idx="114" formatCode="0.0000">
                  <c:v>0.73557822860828637</c:v>
                </c:pt>
                <c:pt idx="115" formatCode="0.0000">
                  <c:v>0.80127147974866908</c:v>
                </c:pt>
                <c:pt idx="116" formatCode="0.0000">
                  <c:v>0.81335087156207619</c:v>
                </c:pt>
                <c:pt idx="117" formatCode="0.0000">
                  <c:v>0.7630809207672139</c:v>
                </c:pt>
                <c:pt idx="118" formatCode="0.0000">
                  <c:v>0.7630809207672139</c:v>
                </c:pt>
                <c:pt idx="119" formatCode="0.0000">
                  <c:v>0.80480822351930725</c:v>
                </c:pt>
                <c:pt idx="120" formatCode="0.0000">
                  <c:v>0.54271614612205832</c:v>
                </c:pt>
                <c:pt idx="121" formatCode="0.0000">
                  <c:v>0.48417346010749462</c:v>
                </c:pt>
                <c:pt idx="122" formatCode="0.0000">
                  <c:v>0.45481110276324471</c:v>
                </c:pt>
                <c:pt idx="123" formatCode="0.0000">
                  <c:v>1.128591425390892</c:v>
                </c:pt>
                <c:pt idx="124" formatCode="0.0000">
                  <c:v>1.1943576888940217</c:v>
                </c:pt>
                <c:pt idx="125" formatCode="0.0000">
                  <c:v>1.1943576888940215</c:v>
                </c:pt>
                <c:pt idx="126" formatCode="0.0000">
                  <c:v>1.1065019304462533</c:v>
                </c:pt>
                <c:pt idx="127" formatCode="0.0000">
                  <c:v>1.1065019304462533</c:v>
                </c:pt>
                <c:pt idx="128" formatCode="0.0000">
                  <c:v>1.2096547186122002</c:v>
                </c:pt>
                <c:pt idx="129" formatCode="0.0000">
                  <c:v>1.8426262892780814</c:v>
                </c:pt>
                <c:pt idx="130" formatCode="0.0000">
                  <c:v>1.361717622258775</c:v>
                </c:pt>
                <c:pt idx="131" formatCode="0.0000">
                  <c:v>1.2959513587556455</c:v>
                </c:pt>
                <c:pt idx="132" formatCode="0.0000">
                  <c:v>1.4278023984661332</c:v>
                </c:pt>
                <c:pt idx="133" formatCode="0.0000">
                  <c:v>1.4113252133767313</c:v>
                </c:pt>
                <c:pt idx="134" formatCode="0.0000">
                  <c:v>1.6999549203060442</c:v>
                </c:pt>
                <c:pt idx="135" formatCode="0.0000">
                  <c:v>1.7857334148264488</c:v>
                </c:pt>
                <c:pt idx="136" formatCode="0.0000">
                  <c:v>0.92639149303505242</c:v>
                </c:pt>
                <c:pt idx="137" formatCode="0.0000">
                  <c:v>1.2379684859658713</c:v>
                </c:pt>
                <c:pt idx="138" formatCode="0.0000">
                  <c:v>1.3864572244152811</c:v>
                </c:pt>
                <c:pt idx="139" formatCode="0.0000">
                  <c:v>1.4514824418420902</c:v>
                </c:pt>
                <c:pt idx="140" formatCode="0.0000">
                  <c:v>1.7116991674209296</c:v>
                </c:pt>
                <c:pt idx="141" formatCode="0.0000">
                  <c:v>1.6597036718706419</c:v>
                </c:pt>
                <c:pt idx="142" formatCode="0.0000">
                  <c:v>1.8313489304637218</c:v>
                </c:pt>
                <c:pt idx="143" formatCode="0.0000">
                  <c:v>1.9497921585987434</c:v>
                </c:pt>
                <c:pt idx="144" formatCode="0.0000">
                  <c:v>1.4182466932222602</c:v>
                </c:pt>
                <c:pt idx="145" formatCode="0.0000">
                  <c:v>1.5091539786150054</c:v>
                </c:pt>
                <c:pt idx="146" formatCode="0.0000">
                  <c:v>1.3746547745316409</c:v>
                </c:pt>
                <c:pt idx="147" formatCode="0.0000">
                  <c:v>1.251288503988105</c:v>
                </c:pt>
                <c:pt idx="148" formatCode="0.0000">
                  <c:v>1.3983985153944531</c:v>
                </c:pt>
                <c:pt idx="149" formatCode="0.0000">
                  <c:v>1.218217757297605</c:v>
                </c:pt>
                <c:pt idx="150" formatCode="0.0000">
                  <c:v>1.1991282309615134</c:v>
                </c:pt>
                <c:pt idx="151" formatCode="0.0000">
                  <c:v>1.5582983432281174</c:v>
                </c:pt>
                <c:pt idx="152" formatCode="0.0000">
                  <c:v>1.4230527243147182</c:v>
                </c:pt>
                <c:pt idx="153" formatCode="0.0000">
                  <c:v>1.685707820256533</c:v>
                </c:pt>
                <c:pt idx="154" formatCode="0.0000">
                  <c:v>1.7571423771537948</c:v>
                </c:pt>
                <c:pt idx="155" formatCode="0.0000">
                  <c:v>1.6486450231962166</c:v>
                </c:pt>
                <c:pt idx="156" formatCode="0.0000">
                  <c:v>1.7399126491213777</c:v>
                </c:pt>
                <c:pt idx="157" formatCode="0.0000">
                  <c:v>1.8178905623876287</c:v>
                </c:pt>
                <c:pt idx="158" formatCode="0.0000">
                  <c:v>1.6855015380280076</c:v>
                </c:pt>
                <c:pt idx="159" formatCode="0.0000">
                  <c:v>1.7461813888113349</c:v>
                </c:pt>
                <c:pt idx="160" formatCode="0.0000">
                  <c:v>1.539425855252031</c:v>
                </c:pt>
                <c:pt idx="161" formatCode="0.0000">
                  <c:v>1.5510895477982634</c:v>
                </c:pt>
                <c:pt idx="162" formatCode="0.0000">
                  <c:v>1.4107735829194579</c:v>
                </c:pt>
                <c:pt idx="163" formatCode="0.0000">
                  <c:v>1.1973997209520491</c:v>
                </c:pt>
                <c:pt idx="164" formatCode="0.0000">
                  <c:v>1.1049672156665455</c:v>
                </c:pt>
                <c:pt idx="165" formatCode="0.0000">
                  <c:v>1.0844056888699971</c:v>
                </c:pt>
                <c:pt idx="166" formatCode="0.0000">
                  <c:v>1.1049762061820589</c:v>
                </c:pt>
                <c:pt idx="167" formatCode="0.0000">
                  <c:v>1.1250157216665859</c:v>
                </c:pt>
                <c:pt idx="168" formatCode="0.0000">
                  <c:v>0.99720451534337218</c:v>
                </c:pt>
                <c:pt idx="169" formatCode="0.0000">
                  <c:v>0.98927162151290904</c:v>
                </c:pt>
                <c:pt idx="170" formatCode="0.0000">
                  <c:v>1.0501001156173402</c:v>
                </c:pt>
                <c:pt idx="171" formatCode="0.0000">
                  <c:v>1.0262082844460234</c:v>
                </c:pt>
                <c:pt idx="172" formatCode="0.0000">
                  <c:v>0.91145432616044963</c:v>
                </c:pt>
                <c:pt idx="173" formatCode="0.0000">
                  <c:v>0.75999050916486799</c:v>
                </c:pt>
                <c:pt idx="174" formatCode="0.0000">
                  <c:v>0.67245464959097989</c:v>
                </c:pt>
                <c:pt idx="175" formatCode="0.0000">
                  <c:v>0.68144840589353795</c:v>
                </c:pt>
                <c:pt idx="176" formatCode="0.0000">
                  <c:v>0.80001335171492782</c:v>
                </c:pt>
                <c:pt idx="177" formatCode="0.0000">
                  <c:v>0.81698441879964356</c:v>
                </c:pt>
                <c:pt idx="178" formatCode="0.0000">
                  <c:v>0.88053754048990274</c:v>
                </c:pt>
                <c:pt idx="179" formatCode="0.0000">
                  <c:v>0.8982902429039934</c:v>
                </c:pt>
                <c:pt idx="180" formatCode="0.0000">
                  <c:v>0.96619357935111927</c:v>
                </c:pt>
                <c:pt idx="181" formatCode="0.0000">
                  <c:v>1.0481584617069442</c:v>
                </c:pt>
                <c:pt idx="182" formatCode="0.0000">
                  <c:v>0.97423885799939991</c:v>
                </c:pt>
                <c:pt idx="183" formatCode="0.0000">
                  <c:v>0.78507937362044056</c:v>
                </c:pt>
                <c:pt idx="184" formatCode="0.0000">
                  <c:v>0.91139048146191837</c:v>
                </c:pt>
                <c:pt idx="185" formatCode="0.0000">
                  <c:v>0.81440437857357573</c:v>
                </c:pt>
                <c:pt idx="186" formatCode="0.0000">
                  <c:v>0.89300577461714103</c:v>
                </c:pt>
                <c:pt idx="187" formatCode="0.0000">
                  <c:v>0.84913431447998045</c:v>
                </c:pt>
                <c:pt idx="188" formatCode="0.0000">
                  <c:v>0.7638987978559485</c:v>
                </c:pt>
                <c:pt idx="189" formatCode="0.0000">
                  <c:v>0.95011864815772107</c:v>
                </c:pt>
                <c:pt idx="190" formatCode="0.0000">
                  <c:v>1.0630404167811303</c:v>
                </c:pt>
                <c:pt idx="191" formatCode="0.0000">
                  <c:v>0.98059556826209382</c:v>
                </c:pt>
                <c:pt idx="192" formatCode="0.0000">
                  <c:v>1.1120795770666443</c:v>
                </c:pt>
                <c:pt idx="193" formatCode="0.0000">
                  <c:v>1.0931184661369646</c:v>
                </c:pt>
                <c:pt idx="194" formatCode="0.0000">
                  <c:v>1.0620900808883538</c:v>
                </c:pt>
                <c:pt idx="195" formatCode="0.0000">
                  <c:v>1.0602895647049877</c:v>
                </c:pt>
                <c:pt idx="196" formatCode="0.0000">
                  <c:v>1.0670879420724666</c:v>
                </c:pt>
                <c:pt idx="197" formatCode="0.0000">
                  <c:v>1.2517911508982096</c:v>
                </c:pt>
                <c:pt idx="198" formatCode="0.0000">
                  <c:v>1.5711859555297487</c:v>
                </c:pt>
                <c:pt idx="199" formatCode="0.0000">
                  <c:v>1.5916976468086692</c:v>
                </c:pt>
                <c:pt idx="200" formatCode="0.0000">
                  <c:v>1.660964184032381</c:v>
                </c:pt>
                <c:pt idx="201" formatCode="0.0000">
                  <c:v>1.7340460575696139</c:v>
                </c:pt>
                <c:pt idx="202" formatCode="0.0000">
                  <c:v>1.7847970859856683</c:v>
                </c:pt>
                <c:pt idx="203" formatCode="0.0000">
                  <c:v>1.826656453683587</c:v>
                </c:pt>
                <c:pt idx="204" formatCode="0.0000">
                  <c:v>1.5863577793842703</c:v>
                </c:pt>
                <c:pt idx="205" formatCode="0.0000">
                  <c:v>1.2920057697989284</c:v>
                </c:pt>
                <c:pt idx="206" formatCode="0.0000">
                  <c:v>1.5329102025560961</c:v>
                </c:pt>
                <c:pt idx="207" formatCode="0.0000">
                  <c:v>1.5395893658112694</c:v>
                </c:pt>
                <c:pt idx="208" formatCode="0.0000">
                  <c:v>1.711162640774391</c:v>
                </c:pt>
                <c:pt idx="209" formatCode="0.0000">
                  <c:v>1.7202370154001063</c:v>
                </c:pt>
                <c:pt idx="210" formatCode="0.0000">
                  <c:v>1.6458210402345677</c:v>
                </c:pt>
                <c:pt idx="211" formatCode="0.0000">
                  <c:v>1.8200941389993621</c:v>
                </c:pt>
                <c:pt idx="212" formatCode="0.0000">
                  <c:v>1.814917007568623</c:v>
                </c:pt>
                <c:pt idx="213" formatCode="0.0000">
                  <c:v>1.7660273461568428</c:v>
                </c:pt>
                <c:pt idx="214" formatCode="0.0000">
                  <c:v>1.6553421608274714</c:v>
                </c:pt>
                <c:pt idx="215" formatCode="0.0000">
                  <c:v>1.5343513198512173</c:v>
                </c:pt>
                <c:pt idx="216" formatCode="0.0000">
                  <c:v>1.5344602928251416</c:v>
                </c:pt>
                <c:pt idx="217" formatCode="0.0000">
                  <c:v>1.5771931709825253</c:v>
                </c:pt>
                <c:pt idx="218" formatCode="0.0000">
                  <c:v>1.6277207111496623</c:v>
                </c:pt>
                <c:pt idx="219" formatCode="0.0000">
                  <c:v>1.652851910826455</c:v>
                </c:pt>
                <c:pt idx="220" formatCode="0.0000">
                  <c:v>1.5142426363801142</c:v>
                </c:pt>
                <c:pt idx="221" formatCode="0.0000">
                  <c:v>1.5996547837464337</c:v>
                </c:pt>
                <c:pt idx="222" formatCode="0.0000">
                  <c:v>1.6792297960915938</c:v>
                </c:pt>
                <c:pt idx="223" formatCode="0.0000">
                  <c:v>1.7320154201351801</c:v>
                </c:pt>
                <c:pt idx="224" formatCode="0.0000">
                  <c:v>1.6380189209484652</c:v>
                </c:pt>
                <c:pt idx="225" formatCode="0.0000">
                  <c:v>1.5214674489646249</c:v>
                </c:pt>
                <c:pt idx="226" formatCode="0.0000">
                  <c:v>1.5045694377559562</c:v>
                </c:pt>
                <c:pt idx="227" formatCode="0.0000">
                  <c:v>1.614783200950926</c:v>
                </c:pt>
                <c:pt idx="228" formatCode="0.0000">
                  <c:v>1.6774726497042884</c:v>
                </c:pt>
                <c:pt idx="229" formatCode="0.0000">
                  <c:v>1.6964371710046131</c:v>
                </c:pt>
                <c:pt idx="230" formatCode="0.0000">
                  <c:v>1.6921722525971785</c:v>
                </c:pt>
                <c:pt idx="231" formatCode="0.0000">
                  <c:v>1.6387340091826805</c:v>
                </c:pt>
                <c:pt idx="232" formatCode="0.0000">
                  <c:v>1.6156180175434485</c:v>
                </c:pt>
                <c:pt idx="233" formatCode="0.0000">
                  <c:v>1.7478543881360082</c:v>
                </c:pt>
                <c:pt idx="234" formatCode="0.0000">
                  <c:v>1.7125763581017408</c:v>
                </c:pt>
                <c:pt idx="235" formatCode="0.0000">
                  <c:v>1.6747130610329264</c:v>
                </c:pt>
                <c:pt idx="236" formatCode="0.0000">
                  <c:v>1.6239195513488336</c:v>
                </c:pt>
                <c:pt idx="237" formatCode="0.0000">
                  <c:v>1.6917732413291535</c:v>
                </c:pt>
                <c:pt idx="238" formatCode="0.0000">
                  <c:v>1.7335468870123611</c:v>
                </c:pt>
                <c:pt idx="239" formatCode="0.0000">
                  <c:v>1.6608168339245122</c:v>
                </c:pt>
                <c:pt idx="240" formatCode="0.0000">
                  <c:v>1.5161505809442317</c:v>
                </c:pt>
                <c:pt idx="241" formatCode="0.0000">
                  <c:v>1.4343362797668779</c:v>
                </c:pt>
                <c:pt idx="242" formatCode="0.0000">
                  <c:v>1.3892847204848822</c:v>
                </c:pt>
                <c:pt idx="243" formatCode="0.0000">
                  <c:v>1.3953492232970099</c:v>
                </c:pt>
                <c:pt idx="244" formatCode="0.0000">
                  <c:v>1.3282472337795037</c:v>
                </c:pt>
                <c:pt idx="245" formatCode="0.0000">
                  <c:v>1.2583356801199308</c:v>
                </c:pt>
                <c:pt idx="246" formatCode="0.0000">
                  <c:v>1.3364677402127556</c:v>
                </c:pt>
                <c:pt idx="247" formatCode="0.0000">
                  <c:v>1.3639481836234162</c:v>
                </c:pt>
                <c:pt idx="248" formatCode="0.0000">
                  <c:v>1.3532064804369561</c:v>
                </c:pt>
                <c:pt idx="249" formatCode="0.0000">
                  <c:v>1.3619266839671884</c:v>
                </c:pt>
                <c:pt idx="250" formatCode="0.0000">
                  <c:v>1.3042650274264107</c:v>
                </c:pt>
                <c:pt idx="251" formatCode="0.0000">
                  <c:v>1.3149434723545548</c:v>
                </c:pt>
                <c:pt idx="252" formatCode="0.0000">
                  <c:v>1.3393503334380727</c:v>
                </c:pt>
                <c:pt idx="253" formatCode="0.0000">
                  <c:v>1.3030113435404194</c:v>
                </c:pt>
                <c:pt idx="254" formatCode="0.0000">
                  <c:v>1.2275745849450297</c:v>
                </c:pt>
                <c:pt idx="255" formatCode="0.0000">
                  <c:v>1.2669135088224068</c:v>
                </c:pt>
                <c:pt idx="256" formatCode="0.0000">
                  <c:v>1.2083879793791681</c:v>
                </c:pt>
                <c:pt idx="257" formatCode="0.0000">
                  <c:v>1.2330787785051081</c:v>
                </c:pt>
                <c:pt idx="258" formatCode="0.0000">
                  <c:v>1.2465882602485834</c:v>
                </c:pt>
                <c:pt idx="259" formatCode="0.0000">
                  <c:v>1.2861402868415621</c:v>
                </c:pt>
                <c:pt idx="260" formatCode="0.0000">
                  <c:v>1.2893686767839958</c:v>
                </c:pt>
                <c:pt idx="261" formatCode="0.0000">
                  <c:v>1.3138094373156457</c:v>
                </c:pt>
                <c:pt idx="262" formatCode="0.0000">
                  <c:v>1.2391738571886122</c:v>
                </c:pt>
                <c:pt idx="263" formatCode="0.0000">
                  <c:v>1.2091130793059992</c:v>
                </c:pt>
                <c:pt idx="264" formatCode="0.0000">
                  <c:v>1.1673776401741029</c:v>
                </c:pt>
                <c:pt idx="265" formatCode="0.0000">
                  <c:v>1.1203955200775124</c:v>
                </c:pt>
                <c:pt idx="266" formatCode="0.0000">
                  <c:v>0.99819251261662656</c:v>
                </c:pt>
                <c:pt idx="267" formatCode="0.0000">
                  <c:v>0.97906245630743516</c:v>
                </c:pt>
                <c:pt idx="268" formatCode="0.0000">
                  <c:v>0.95461691753444644</c:v>
                </c:pt>
                <c:pt idx="269" formatCode="0.0000">
                  <c:v>0.91024514460374173</c:v>
                </c:pt>
                <c:pt idx="270" formatCode="0.0000">
                  <c:v>0.89517861845436797</c:v>
                </c:pt>
                <c:pt idx="271" formatCode="0.0000">
                  <c:v>0.88292761192507485</c:v>
                </c:pt>
                <c:pt idx="272" formatCode="0.0000">
                  <c:v>0.84335836133209618</c:v>
                </c:pt>
                <c:pt idx="273" formatCode="0.0000">
                  <c:v>0.85511265537631409</c:v>
                </c:pt>
                <c:pt idx="274" formatCode="0.0000">
                  <c:v>0.83416731141038214</c:v>
                </c:pt>
                <c:pt idx="275" formatCode="0.0000">
                  <c:v>0.85234975970806182</c:v>
                </c:pt>
                <c:pt idx="276" formatCode="0.0000">
                  <c:v>0.88914081128293654</c:v>
                </c:pt>
                <c:pt idx="277" formatCode="0.0000">
                  <c:v>0.91773959928550064</c:v>
                </c:pt>
                <c:pt idx="278" formatCode="0.0000">
                  <c:v>0.91103363545041882</c:v>
                </c:pt>
                <c:pt idx="279" formatCode="0.0000">
                  <c:v>0.9082900442063131</c:v>
                </c:pt>
                <c:pt idx="280" formatCode="0.0000">
                  <c:v>0.92041804941178196</c:v>
                </c:pt>
                <c:pt idx="281" formatCode="0.0000">
                  <c:v>0.96629037821908603</c:v>
                </c:pt>
                <c:pt idx="282" formatCode="0.0000">
                  <c:v>0.97596832893031216</c:v>
                </c:pt>
                <c:pt idx="283" formatCode="0.0000">
                  <c:v>1.0008420697561067</c:v>
                </c:pt>
                <c:pt idx="284" formatCode="0.0000">
                  <c:v>1.0015720124563254</c:v>
                </c:pt>
                <c:pt idx="285" formatCode="0.0000">
                  <c:v>0.98872810940253486</c:v>
                </c:pt>
                <c:pt idx="286" formatCode="0.0000">
                  <c:v>0.99590328627179037</c:v>
                </c:pt>
                <c:pt idx="287" formatCode="0.0000">
                  <c:v>0.96820234895646196</c:v>
                </c:pt>
                <c:pt idx="288" formatCode="0.0000">
                  <c:v>1.0015833600980979</c:v>
                </c:pt>
                <c:pt idx="289" formatCode="0.0000">
                  <c:v>1.0342080190138025</c:v>
                </c:pt>
                <c:pt idx="290" formatCode="0.0000">
                  <c:v>1.0030430814543623</c:v>
                </c:pt>
                <c:pt idx="291" formatCode="0.0000">
                  <c:v>1.0044450085387759</c:v>
                </c:pt>
                <c:pt idx="292" formatCode="0.0000">
                  <c:v>1.0349463706986148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1356-4839-896B-C589C93EE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378412"/>
        <c:axId val="1019506049"/>
      </c:lineChart>
      <c:catAx>
        <c:axId val="8163784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019506049"/>
        <c:crosses val="autoZero"/>
        <c:auto val="1"/>
        <c:lblAlgn val="ctr"/>
        <c:lblOffset val="100"/>
        <c:noMultiLvlLbl val="1"/>
      </c:catAx>
      <c:valAx>
        <c:axId val="1019506049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816378412"/>
        <c:crosses val="autoZero"/>
        <c:crossBetween val="between"/>
        <c:majorUnit val="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Kujawsko-Pomorskiego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Województwa'!$Q$2</c:f>
              <c:strCache>
                <c:ptCount val="1"/>
                <c:pt idx="0">
                  <c:v>Kujawsko-Pomorskie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Województwa'!$Q$3:$Q$1000</c:f>
              <c:numCache>
                <c:formatCode>General</c:formatCode>
                <c:ptCount val="998"/>
                <c:pt idx="32" formatCode="0.0000">
                  <c:v>1.052405498281787</c:v>
                </c:pt>
                <c:pt idx="33" formatCode="0.0000">
                  <c:v>0.88136172100104748</c:v>
                </c:pt>
                <c:pt idx="34" formatCode="0.0000">
                  <c:v>0.64569072525905669</c:v>
                </c:pt>
                <c:pt idx="35" formatCode="0.0000">
                  <c:v>0.71899301851164343</c:v>
                </c:pt>
                <c:pt idx="36" formatCode="0.0000">
                  <c:v>0.7048067862456221</c:v>
                </c:pt>
                <c:pt idx="37" formatCode="0.0000">
                  <c:v>0.61358395978924518</c:v>
                </c:pt>
                <c:pt idx="38" formatCode="0.0000">
                  <c:v>0.61117506813217459</c:v>
                </c:pt>
                <c:pt idx="39" formatCode="0.0000">
                  <c:v>0.66888324435832569</c:v>
                </c:pt>
                <c:pt idx="40" formatCode="0.0000">
                  <c:v>0.76272736985534473</c:v>
                </c:pt>
                <c:pt idx="41" formatCode="0.0000">
                  <c:v>0.81043956471579393</c:v>
                </c:pt>
                <c:pt idx="42" formatCode="0.0000">
                  <c:v>0.7370594203959614</c:v>
                </c:pt>
                <c:pt idx="43" formatCode="0.0000">
                  <c:v>0.71066173528732235</c:v>
                </c:pt>
                <c:pt idx="44" formatCode="0.0000">
                  <c:v>0.77008432868687315</c:v>
                </c:pt>
                <c:pt idx="45" formatCode="0.0000">
                  <c:v>0.90292396406233877</c:v>
                </c:pt>
                <c:pt idx="46" formatCode="0.0000">
                  <c:v>0.80642711483323171</c:v>
                </c:pt>
                <c:pt idx="47" formatCode="0.0000">
                  <c:v>0.69486152034840321</c:v>
                </c:pt>
                <c:pt idx="48" formatCode="0.0000">
                  <c:v>0.78914293917572464</c:v>
                </c:pt>
                <c:pt idx="49" formatCode="0.0000">
                  <c:v>0.91310738123553548</c:v>
                </c:pt>
                <c:pt idx="50" formatCode="0.0000">
                  <c:v>0.99293011328807501</c:v>
                </c:pt>
                <c:pt idx="51" formatCode="0.0000">
                  <c:v>0.99418160470894534</c:v>
                </c:pt>
                <c:pt idx="52" formatCode="0.0000">
                  <c:v>0.89771347600109508</c:v>
                </c:pt>
                <c:pt idx="53" formatCode="0.0000">
                  <c:v>0.82004668016852034</c:v>
                </c:pt>
                <c:pt idx="54" formatCode="0.0000">
                  <c:v>0.78700421120521824</c:v>
                </c:pt>
                <c:pt idx="55" formatCode="0.0000">
                  <c:v>0.68992504244548936</c:v>
                </c:pt>
                <c:pt idx="56" formatCode="0.0000">
                  <c:v>1.032470753465794</c:v>
                </c:pt>
                <c:pt idx="57" formatCode="0.0000">
                  <c:v>1.093216224462314</c:v>
                </c:pt>
                <c:pt idx="58" formatCode="0.0000">
                  <c:v>1.0816432133453573</c:v>
                </c:pt>
                <c:pt idx="59" formatCode="0.0000">
                  <c:v>1.0261030983745862</c:v>
                </c:pt>
                <c:pt idx="60" formatCode="0.0000">
                  <c:v>1.0399300495665</c:v>
                </c:pt>
                <c:pt idx="61" formatCode="0.0000">
                  <c:v>1.0287691230820497</c:v>
                </c:pt>
                <c:pt idx="62" formatCode="0.0000">
                  <c:v>0.95894771618613983</c:v>
                </c:pt>
                <c:pt idx="63" formatCode="0.0000">
                  <c:v>0.50029784347054218</c:v>
                </c:pt>
                <c:pt idx="64" formatCode="0.0000">
                  <c:v>0.29354706021847354</c:v>
                </c:pt>
                <c:pt idx="65" formatCode="0.0000">
                  <c:v>0.33002934233670395</c:v>
                </c:pt>
                <c:pt idx="66" formatCode="0.0000">
                  <c:v>0.37592525339232996</c:v>
                </c:pt>
                <c:pt idx="67" formatCode="0.0000">
                  <c:v>0.35131845573922654</c:v>
                </c:pt>
                <c:pt idx="68" formatCode="0.0000">
                  <c:v>0.36427326736978671</c:v>
                </c:pt>
                <c:pt idx="69" formatCode="0.0000">
                  <c:v>0.4508518262709838</c:v>
                </c:pt>
                <c:pt idx="70" formatCode="0.0000">
                  <c:v>0.38224313333066934</c:v>
                </c:pt>
                <c:pt idx="71" formatCode="0.0000">
                  <c:v>0.38224313333066939</c:v>
                </c:pt>
                <c:pt idx="72" formatCode="0.0000">
                  <c:v>0.31578761379866516</c:v>
                </c:pt>
                <c:pt idx="73" formatCode="0.0000">
                  <c:v>0.34274987465333601</c:v>
                </c:pt>
                <c:pt idx="74" formatCode="0.0000">
                  <c:v>0.36613572091267638</c:v>
                </c:pt>
                <c:pt idx="75" formatCode="0.0000">
                  <c:v>0.31363178175763445</c:v>
                </c:pt>
                <c:pt idx="76" formatCode="0.0000">
                  <c:v>0.22705322285643739</c:v>
                </c:pt>
                <c:pt idx="77" formatCode="0.0000">
                  <c:v>0.29708547485886921</c:v>
                </c:pt>
                <c:pt idx="78" formatCode="0.0000">
                  <c:v>0.3726184041962311</c:v>
                </c:pt>
                <c:pt idx="79" formatCode="0.0000">
                  <c:v>0.57395045971632841</c:v>
                </c:pt>
                <c:pt idx="80" formatCode="0.0000">
                  <c:v>0.58224756751526741</c:v>
                </c:pt>
                <c:pt idx="81" formatCode="0.0000">
                  <c:v>0.60904900542491958</c:v>
                </c:pt>
                <c:pt idx="82" formatCode="0.0000">
                  <c:v>0.6878243505502446</c:v>
                </c:pt>
                <c:pt idx="83" formatCode="0.0000">
                  <c:v>0.77199339965561964</c:v>
                </c:pt>
                <c:pt idx="84" formatCode="0.0000">
                  <c:v>0.70196114765318784</c:v>
                </c:pt>
                <c:pt idx="85" formatCode="0.0000">
                  <c:v>0.73074775714717177</c:v>
                </c:pt>
                <c:pt idx="86" formatCode="0.0000">
                  <c:v>0.48779217569347544</c:v>
                </c:pt>
                <c:pt idx="87" formatCode="0.0000">
                  <c:v>0.34055954454600218</c:v>
                </c:pt>
                <c:pt idx="88" formatCode="0.0000">
                  <c:v>0.26726393306204616</c:v>
                </c:pt>
                <c:pt idx="89" formatCode="0.0000">
                  <c:v>0.18848858793672127</c:v>
                </c:pt>
                <c:pt idx="90" formatCode="0.0000">
                  <c:v>0.1043195388313463</c:v>
                </c:pt>
                <c:pt idx="91" formatCode="0.0000">
                  <c:v>0.33883274464296065</c:v>
                </c:pt>
                <c:pt idx="92" formatCode="0.0000">
                  <c:v>0.44933654969240172</c:v>
                </c:pt>
                <c:pt idx="93" formatCode="0.0000">
                  <c:v>1.2509414647565049</c:v>
                </c:pt>
                <c:pt idx="94" formatCode="0.0000">
                  <c:v>1.4925710025606673</c:v>
                </c:pt>
                <c:pt idx="95" formatCode="0.0000">
                  <c:v>1.4925710025606673</c:v>
                </c:pt>
                <c:pt idx="96" formatCode="0.0000">
                  <c:v>1.4925710025606673</c:v>
                </c:pt>
                <c:pt idx="97" formatCode="0.0000">
                  <c:v>1.6422310459829201</c:v>
                </c:pt>
                <c:pt idx="98" formatCode="0.0000">
                  <c:v>1.5563666405852199</c:v>
                </c:pt>
                <c:pt idx="99" formatCode="0.0000">
                  <c:v>1.7849218014784911</c:v>
                </c:pt>
                <c:pt idx="100" formatCode="0.0000">
                  <c:v>1.2105993275222295</c:v>
                </c:pt>
                <c:pt idx="101" formatCode="0.0000">
                  <c:v>1.178557708290674</c:v>
                </c:pt>
                <c:pt idx="102" formatCode="0.0000">
                  <c:v>1.5715114382175794</c:v>
                </c:pt>
                <c:pt idx="103" formatCode="0.0000">
                  <c:v>2.5145275235138191</c:v>
                </c:pt>
                <c:pt idx="104" formatCode="0.0000">
                  <c:v>2.3648674800915659</c:v>
                </c:pt>
                <c:pt idx="105" formatCode="0.0000">
                  <c:v>2.2671486932683287</c:v>
                </c:pt>
                <c:pt idx="106" formatCode="0.0000">
                  <c:v>1.9920276551539753</c:v>
                </c:pt>
                <c:pt idx="107" formatCode="0.0000">
                  <c:v>2.3664068578917883</c:v>
                </c:pt>
                <c:pt idx="108" formatCode="0.0000">
                  <c:v>2.2693011390378164</c:v>
                </c:pt>
                <c:pt idx="109" formatCode="0.0000">
                  <c:v>2.0696905282246019</c:v>
                </c:pt>
                <c:pt idx="110" formatCode="0.0000">
                  <c:v>1.2371051141512253</c:v>
                </c:pt>
                <c:pt idx="111" formatCode="0.0000">
                  <c:v>1.237105114151225</c:v>
                </c:pt>
                <c:pt idx="112" formatCode="0.0000">
                  <c:v>1.1861751005605485</c:v>
                </c:pt>
                <c:pt idx="113" formatCode="0.0000">
                  <c:v>1.0696995430451808</c:v>
                </c:pt>
                <c:pt idx="114" formatCode="0.0000">
                  <c:v>0.92380199378664529</c:v>
                </c:pt>
                <c:pt idx="115" formatCode="0.0000">
                  <c:v>0.81131979406801058</c:v>
                </c:pt>
                <c:pt idx="116" formatCode="0.0000">
                  <c:v>0.87110046655169227</c:v>
                </c:pt>
                <c:pt idx="117" formatCode="0.0000">
                  <c:v>0.89746060601448696</c:v>
                </c:pt>
                <c:pt idx="118" formatCode="0.0000">
                  <c:v>0.89746060601448685</c:v>
                </c:pt>
                <c:pt idx="119" formatCode="0.0000">
                  <c:v>1.0580239155177533</c:v>
                </c:pt>
                <c:pt idx="120" formatCode="0.0000">
                  <c:v>1.2166017542921532</c:v>
                </c:pt>
                <c:pt idx="121" formatCode="0.0000">
                  <c:v>0.85936657519493964</c:v>
                </c:pt>
                <c:pt idx="122" formatCode="0.0000">
                  <c:v>0.91091613348024425</c:v>
                </c:pt>
                <c:pt idx="123" formatCode="0.0000">
                  <c:v>0.65779234188287095</c:v>
                </c:pt>
                <c:pt idx="124" formatCode="0.0000">
                  <c:v>0.65337008696317711</c:v>
                </c:pt>
                <c:pt idx="125" formatCode="0.0000">
                  <c:v>0.85402753371790296</c:v>
                </c:pt>
                <c:pt idx="126" formatCode="0.0000">
                  <c:v>0.75669526634844986</c:v>
                </c:pt>
                <c:pt idx="127" formatCode="0.0000">
                  <c:v>0.8898428809456822</c:v>
                </c:pt>
                <c:pt idx="128" formatCode="0.0000">
                  <c:v>0.96297463243016534</c:v>
                </c:pt>
                <c:pt idx="129" formatCode="0.0000">
                  <c:v>0.9670432956841909</c:v>
                </c:pt>
                <c:pt idx="130" formatCode="0.0000">
                  <c:v>1.0889113788842979</c:v>
                </c:pt>
                <c:pt idx="131" formatCode="0.0000">
                  <c:v>0.95654282311833438</c:v>
                </c:pt>
                <c:pt idx="132" formatCode="0.0000">
                  <c:v>0.75588537636360853</c:v>
                </c:pt>
                <c:pt idx="133" formatCode="0.0000">
                  <c:v>1.2009510098789031</c:v>
                </c:pt>
                <c:pt idx="134" formatCode="0.0000">
                  <c:v>1.1676591881235072</c:v>
                </c:pt>
                <c:pt idx="135" formatCode="0.0000">
                  <c:v>1.3148882893482094</c:v>
                </c:pt>
                <c:pt idx="136" formatCode="0.0000">
                  <c:v>1.2592700678088793</c:v>
                </c:pt>
                <c:pt idx="137" formatCode="0.0000">
                  <c:v>1.3483020650328537</c:v>
                </c:pt>
                <c:pt idx="138" formatCode="0.0000">
                  <c:v>1.4964001000036125</c:v>
                </c:pt>
                <c:pt idx="139" formatCode="0.0000">
                  <c:v>1.6928346543247081</c:v>
                </c:pt>
                <c:pt idx="140" formatCode="0.0000">
                  <c:v>1.1845379786755996</c:v>
                </c:pt>
                <c:pt idx="141" formatCode="0.0000">
                  <c:v>0.98308219501228045</c:v>
                </c:pt>
                <c:pt idx="142" formatCode="0.0000">
                  <c:v>0.72049197269588472</c:v>
                </c:pt>
                <c:pt idx="143" formatCode="0.0000">
                  <c:v>1.2752022765595488</c:v>
                </c:pt>
                <c:pt idx="144" formatCode="0.0000">
                  <c:v>1.1952672566162634</c:v>
                </c:pt>
                <c:pt idx="145" formatCode="0.0000">
                  <c:v>1.4889733948703598</c:v>
                </c:pt>
                <c:pt idx="146" formatCode="0.0000">
                  <c:v>1.3265513262700861</c:v>
                </c:pt>
                <c:pt idx="147" formatCode="0.0000">
                  <c:v>1.4792182478935347</c:v>
                </c:pt>
                <c:pt idx="148" formatCode="0.0000">
                  <c:v>1.7484180947574435</c:v>
                </c:pt>
                <c:pt idx="149" formatCode="0.0000">
                  <c:v>1.967531847995684</c:v>
                </c:pt>
                <c:pt idx="150" formatCode="0.0000">
                  <c:v>1.8721586972476298</c:v>
                </c:pt>
                <c:pt idx="151" formatCode="0.0000">
                  <c:v>1.9669609523221858</c:v>
                </c:pt>
                <c:pt idx="152" formatCode="0.0000">
                  <c:v>1.6957329888182673</c:v>
                </c:pt>
                <c:pt idx="153" formatCode="0.0000">
                  <c:v>1.8276960261958641</c:v>
                </c:pt>
                <c:pt idx="154" formatCode="0.0000">
                  <c:v>1.7291041514434262</c:v>
                </c:pt>
                <c:pt idx="155" formatCode="0.0000">
                  <c:v>1.4500507231855233</c:v>
                </c:pt>
                <c:pt idx="156" formatCode="0.0000">
                  <c:v>1.4022341048534415</c:v>
                </c:pt>
                <c:pt idx="157" formatCode="0.0000">
                  <c:v>1.0954910565596572</c:v>
                </c:pt>
                <c:pt idx="158" formatCode="0.0000">
                  <c:v>1.3230916295826864</c:v>
                </c:pt>
                <c:pt idx="159" formatCode="0.0000">
                  <c:v>1.2245878113031856</c:v>
                </c:pt>
                <c:pt idx="160" formatCode="0.0000">
                  <c:v>1.2447626335881219</c:v>
                </c:pt>
                <c:pt idx="161" formatCode="0.0000">
                  <c:v>1.6962271390779173</c:v>
                </c:pt>
                <c:pt idx="162" formatCode="0.0000">
                  <c:v>1.6737009561146994</c:v>
                </c:pt>
                <c:pt idx="163" formatCode="0.0000">
                  <c:v>1.6097424610427189</c:v>
                </c:pt>
                <c:pt idx="164" formatCode="0.0000">
                  <c:v>1.7090591084933224</c:v>
                </c:pt>
                <c:pt idx="165" formatCode="0.0000">
                  <c:v>1.3692613621217018</c:v>
                </c:pt>
                <c:pt idx="166" formatCode="0.0000">
                  <c:v>1.4354577061989549</c:v>
                </c:pt>
                <c:pt idx="167" formatCode="0.0000">
                  <c:v>1.5484897155215678</c:v>
                </c:pt>
                <c:pt idx="168" formatCode="0.0000">
                  <c:v>1.2000395596225739</c:v>
                </c:pt>
                <c:pt idx="169" formatCode="0.0000">
                  <c:v>1.2785446002696124</c:v>
                </c:pt>
                <c:pt idx="170" formatCode="0.0000">
                  <c:v>1.3039610566678301</c:v>
                </c:pt>
                <c:pt idx="171" formatCode="0.0000">
                  <c:v>1.3188074533733365</c:v>
                </c:pt>
                <c:pt idx="172" formatCode="0.0000">
                  <c:v>1.3430531728536461</c:v>
                </c:pt>
                <c:pt idx="173" formatCode="0.0000">
                  <c:v>1.250955820823491</c:v>
                </c:pt>
                <c:pt idx="174" formatCode="0.0000">
                  <c:v>1.181783374466997</c:v>
                </c:pt>
                <c:pt idx="175" formatCode="0.0000">
                  <c:v>1.2597727755254324</c:v>
                </c:pt>
                <c:pt idx="176" formatCode="0.0000">
                  <c:v>1.2698973602221908</c:v>
                </c:pt>
                <c:pt idx="177" formatCode="0.0000">
                  <c:v>1.2492950317080498</c:v>
                </c:pt>
                <c:pt idx="178" formatCode="0.0000">
                  <c:v>1.2425977687454408</c:v>
                </c:pt>
                <c:pt idx="179" formatCode="0.0000">
                  <c:v>1.2456736734054705</c:v>
                </c:pt>
                <c:pt idx="180" formatCode="0.0000">
                  <c:v>1.3345337148831702</c:v>
                </c:pt>
                <c:pt idx="181" formatCode="0.0000">
                  <c:v>1.2282478770845358</c:v>
                </c:pt>
                <c:pt idx="182" formatCode="0.0000">
                  <c:v>1.2139096482906331</c:v>
                </c:pt>
                <c:pt idx="183" formatCode="0.0000">
                  <c:v>1.1425186645164627</c:v>
                </c:pt>
                <c:pt idx="184" formatCode="0.0000">
                  <c:v>1.1771545439056375</c:v>
                </c:pt>
                <c:pt idx="185" formatCode="0.0000">
                  <c:v>0.98094495195739262</c:v>
                </c:pt>
                <c:pt idx="186" formatCode="0.0000">
                  <c:v>0.921985867024678</c:v>
                </c:pt>
                <c:pt idx="187" formatCode="0.0000">
                  <c:v>0.91447109032305307</c:v>
                </c:pt>
                <c:pt idx="188" formatCode="0.0000">
                  <c:v>0.89298646147849048</c:v>
                </c:pt>
                <c:pt idx="189" formatCode="0.0000">
                  <c:v>0.72908215323845871</c:v>
                </c:pt>
                <c:pt idx="190" formatCode="0.0000">
                  <c:v>0.74428816703350209</c:v>
                </c:pt>
                <c:pt idx="191" formatCode="0.0000">
                  <c:v>0.70214098102568367</c:v>
                </c:pt>
                <c:pt idx="192" formatCode="0.0000">
                  <c:v>0.75685238849431191</c:v>
                </c:pt>
                <c:pt idx="193" formatCode="0.0000">
                  <c:v>1.1123698775563429</c:v>
                </c:pt>
                <c:pt idx="194" formatCode="0.0000">
                  <c:v>1.1162609436169648</c:v>
                </c:pt>
                <c:pt idx="195" formatCode="0.0000">
                  <c:v>1.1659411398914632</c:v>
                </c:pt>
                <c:pt idx="196" formatCode="0.0000">
                  <c:v>1.2471138420036272</c:v>
                </c:pt>
                <c:pt idx="197" formatCode="0.0000">
                  <c:v>1.3589185580515337</c:v>
                </c:pt>
                <c:pt idx="198" formatCode="0.0000">
                  <c:v>1.2857098565706979</c:v>
                </c:pt>
                <c:pt idx="199" formatCode="0.0000">
                  <c:v>1.4271300712879673</c:v>
                </c:pt>
                <c:pt idx="200" formatCode="0.0000">
                  <c:v>1.1836166946567945</c:v>
                </c:pt>
                <c:pt idx="201" formatCode="0.0000">
                  <c:v>1.1892750270724723</c:v>
                </c:pt>
                <c:pt idx="202" formatCode="0.0000">
                  <c:v>1.1487074310679459</c:v>
                </c:pt>
                <c:pt idx="203" formatCode="0.0000">
                  <c:v>1.0818730472144724</c:v>
                </c:pt>
                <c:pt idx="204" formatCode="0.0000">
                  <c:v>1.1797212196695688</c:v>
                </c:pt>
                <c:pt idx="205" formatCode="0.0000">
                  <c:v>1.2976735210538735</c:v>
                </c:pt>
                <c:pt idx="206" formatCode="0.0000">
                  <c:v>1.8023547882349307</c:v>
                </c:pt>
                <c:pt idx="207" formatCode="0.0000">
                  <c:v>2.0915483664937344</c:v>
                </c:pt>
                <c:pt idx="208" formatCode="0.0000">
                  <c:v>2.1108314269852788</c:v>
                </c:pt>
                <c:pt idx="209" formatCode="0.0000">
                  <c:v>2.3251557091367494</c:v>
                </c:pt>
                <c:pt idx="210" formatCode="0.0000">
                  <c:v>2.4713540742368596</c:v>
                </c:pt>
                <c:pt idx="211" formatCode="0.0000">
                  <c:v>2.2843705681212163</c:v>
                </c:pt>
                <c:pt idx="212" formatCode="0.0000">
                  <c:v>2.383916269293394</c:v>
                </c:pt>
                <c:pt idx="213" formatCode="0.0000">
                  <c:v>1.9390583016059106</c:v>
                </c:pt>
                <c:pt idx="214" formatCode="0.0000">
                  <c:v>1.593036446005587</c:v>
                </c:pt>
                <c:pt idx="215" formatCode="0.0000">
                  <c:v>1.7237726877153143</c:v>
                </c:pt>
                <c:pt idx="216" formatCode="0.0000">
                  <c:v>1.517519753763203</c:v>
                </c:pt>
                <c:pt idx="217" formatCode="0.0000">
                  <c:v>1.4718002923922868</c:v>
                </c:pt>
                <c:pt idx="218" formatCode="0.0000">
                  <c:v>1.5409610837479681</c:v>
                </c:pt>
                <c:pt idx="219" formatCode="0.0000">
                  <c:v>1.5563499983184634</c:v>
                </c:pt>
                <c:pt idx="220" formatCode="0.0000">
                  <c:v>1.5201515636504557</c:v>
                </c:pt>
                <c:pt idx="221" formatCode="0.0000">
                  <c:v>1.8081429693501214</c:v>
                </c:pt>
                <c:pt idx="222" formatCode="0.0000">
                  <c:v>1.602443658436935</c:v>
                </c:pt>
                <c:pt idx="223" formatCode="0.0000">
                  <c:v>1.6475267659826698</c:v>
                </c:pt>
                <c:pt idx="224" formatCode="0.0000">
                  <c:v>1.6886949621734755</c:v>
                </c:pt>
                <c:pt idx="225" formatCode="0.0000">
                  <c:v>1.695695000509037</c:v>
                </c:pt>
                <c:pt idx="226" formatCode="0.0000">
                  <c:v>1.5492773663522819</c:v>
                </c:pt>
                <c:pt idx="227" formatCode="0.0000">
                  <c:v>1.515313425394716</c:v>
                </c:pt>
                <c:pt idx="228" formatCode="0.0000">
                  <c:v>1.3157701224520735</c:v>
                </c:pt>
                <c:pt idx="229" formatCode="0.0000">
                  <c:v>1.4662043936226998</c:v>
                </c:pt>
                <c:pt idx="230" formatCode="0.0000">
                  <c:v>1.4942275995854906</c:v>
                </c:pt>
                <c:pt idx="231" formatCode="0.0000">
                  <c:v>1.4543547459225876</c:v>
                </c:pt>
                <c:pt idx="232" formatCode="0.0000">
                  <c:v>1.5369425519095767</c:v>
                </c:pt>
                <c:pt idx="233" formatCode="0.0000">
                  <c:v>1.6596655018065294</c:v>
                </c:pt>
                <c:pt idx="234" formatCode="0.0000">
                  <c:v>1.7531644491605043</c:v>
                </c:pt>
                <c:pt idx="235" formatCode="0.0000">
                  <c:v>1.7116439665324819</c:v>
                </c:pt>
                <c:pt idx="236" formatCode="0.0000">
                  <c:v>1.7414337724375568</c:v>
                </c:pt>
                <c:pt idx="237" formatCode="0.0000">
                  <c:v>1.6556574876800116</c:v>
                </c:pt>
                <c:pt idx="238" formatCode="0.0000">
                  <c:v>1.7989319286905558</c:v>
                </c:pt>
                <c:pt idx="239" formatCode="0.0000">
                  <c:v>1.7271306465794056</c:v>
                </c:pt>
                <c:pt idx="240" formatCode="0.0000">
                  <c:v>1.6647217863909591</c:v>
                </c:pt>
                <c:pt idx="241" formatCode="0.0000">
                  <c:v>1.6207733621742142</c:v>
                </c:pt>
                <c:pt idx="242" formatCode="0.0000">
                  <c:v>1.6301982498306222</c:v>
                </c:pt>
                <c:pt idx="243" formatCode="0.0000">
                  <c:v>1.5871394170887665</c:v>
                </c:pt>
                <c:pt idx="244" formatCode="0.0000">
                  <c:v>1.6419630685691835</c:v>
                </c:pt>
                <c:pt idx="245" formatCode="0.0000">
                  <c:v>1.3891139690701313</c:v>
                </c:pt>
                <c:pt idx="246" formatCode="0.0000">
                  <c:v>1.3492230830695304</c:v>
                </c:pt>
                <c:pt idx="247" formatCode="0.0000">
                  <c:v>1.315334643885242</c:v>
                </c:pt>
                <c:pt idx="248" formatCode="0.0000">
                  <c:v>1.2387725566722014</c:v>
                </c:pt>
                <c:pt idx="249" formatCode="0.0000">
                  <c:v>1.2363901143631466</c:v>
                </c:pt>
                <c:pt idx="250" formatCode="0.0000">
                  <c:v>1.1628432380421942</c:v>
                </c:pt>
                <c:pt idx="251" formatCode="0.0000">
                  <c:v>1.1036276668389995</c:v>
                </c:pt>
                <c:pt idx="252" formatCode="0.0000">
                  <c:v>1.1563667205003014</c:v>
                </c:pt>
                <c:pt idx="253" formatCode="0.0000">
                  <c:v>1.0630948036783281</c:v>
                </c:pt>
                <c:pt idx="254" formatCode="0.0000">
                  <c:v>0.98620413793245398</c:v>
                </c:pt>
                <c:pt idx="255" formatCode="0.0000">
                  <c:v>0.91255168706110312</c:v>
                </c:pt>
                <c:pt idx="256" formatCode="0.0000">
                  <c:v>0.83203535398954442</c:v>
                </c:pt>
                <c:pt idx="257" formatCode="0.0000">
                  <c:v>0.89316309992401277</c:v>
                </c:pt>
                <c:pt idx="258" formatCode="0.0000">
                  <c:v>0.89161606878600119</c:v>
                </c:pt>
                <c:pt idx="259" formatCode="0.0000">
                  <c:v>0.86218407604399183</c:v>
                </c:pt>
                <c:pt idx="260" formatCode="0.0000">
                  <c:v>0.88318156960454164</c:v>
                </c:pt>
                <c:pt idx="261" formatCode="0.0000">
                  <c:v>0.88086501980449139</c:v>
                </c:pt>
                <c:pt idx="262" formatCode="0.0000">
                  <c:v>0.9207781031965937</c:v>
                </c:pt>
                <c:pt idx="263" formatCode="0.0000">
                  <c:v>0.96883765647192821</c:v>
                </c:pt>
                <c:pt idx="264" formatCode="0.0000">
                  <c:v>0.88693779812508111</c:v>
                </c:pt>
                <c:pt idx="265" formatCode="0.0000">
                  <c:v>0.90397863267015954</c:v>
                </c:pt>
                <c:pt idx="266" formatCode="0.0000">
                  <c:v>0.88494204271420351</c:v>
                </c:pt>
                <c:pt idx="267" formatCode="0.0000">
                  <c:v>0.96412864294597433</c:v>
                </c:pt>
                <c:pt idx="268" formatCode="0.0000">
                  <c:v>1.0052413932584245</c:v>
                </c:pt>
                <c:pt idx="269" formatCode="0.0000">
                  <c:v>0.99700770767259539</c:v>
                </c:pt>
                <c:pt idx="270" formatCode="0.0000">
                  <c:v>0.96614482526166534</c:v>
                </c:pt>
                <c:pt idx="271" formatCode="0.0000">
                  <c:v>0.92240451781367838</c:v>
                </c:pt>
                <c:pt idx="272" formatCode="0.0000">
                  <c:v>0.84547408523700085</c:v>
                </c:pt>
                <c:pt idx="273" formatCode="0.0000">
                  <c:v>0.96409839344171488</c:v>
                </c:pt>
                <c:pt idx="274" formatCode="0.0000">
                  <c:v>0.96097813648684594</c:v>
                </c:pt>
                <c:pt idx="275" formatCode="0.0000">
                  <c:v>0.98998839008314188</c:v>
                </c:pt>
                <c:pt idx="276" formatCode="0.0000">
                  <c:v>0.95515381371993047</c:v>
                </c:pt>
                <c:pt idx="277" formatCode="0.0000">
                  <c:v>0.97413221365722191</c:v>
                </c:pt>
                <c:pt idx="278" formatCode="0.0000">
                  <c:v>0.98983653391959869</c:v>
                </c:pt>
                <c:pt idx="279" formatCode="0.0000">
                  <c:v>0.99823967838087557</c:v>
                </c:pt>
                <c:pt idx="280" formatCode="0.0000">
                  <c:v>0.91894559993318192</c:v>
                </c:pt>
                <c:pt idx="281" formatCode="0.0000">
                  <c:v>0.91365073024464283</c:v>
                </c:pt>
                <c:pt idx="282" formatCode="0.0000">
                  <c:v>0.94041547712527362</c:v>
                </c:pt>
                <c:pt idx="283" formatCode="0.0000">
                  <c:v>0.93946212290572573</c:v>
                </c:pt>
                <c:pt idx="284" formatCode="0.0000">
                  <c:v>0.94899157874659712</c:v>
                </c:pt>
                <c:pt idx="285" formatCode="0.0000">
                  <c:v>0.96043558772744864</c:v>
                </c:pt>
                <c:pt idx="286" formatCode="0.0000">
                  <c:v>0.98947182067361583</c:v>
                </c:pt>
                <c:pt idx="287" formatCode="0.0000">
                  <c:v>1.000811357222003</c:v>
                </c:pt>
                <c:pt idx="288" formatCode="0.0000">
                  <c:v>1.014757054041209</c:v>
                </c:pt>
                <c:pt idx="289" formatCode="0.0000">
                  <c:v>0.97203641461776868</c:v>
                </c:pt>
                <c:pt idx="290" formatCode="0.0000">
                  <c:v>0.98404083347661475</c:v>
                </c:pt>
                <c:pt idx="291" formatCode="0.0000">
                  <c:v>0.9919098713525436</c:v>
                </c:pt>
                <c:pt idx="292" formatCode="0.0000">
                  <c:v>0.99795375768100614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1F3-49B8-AA23-1B5CBF038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1890266"/>
        <c:axId val="2108476829"/>
      </c:lineChart>
      <c:lineChart>
        <c:grouping val="standard"/>
        <c:varyColors val="0"/>
        <c:ser>
          <c:idx val="1"/>
          <c:order val="1"/>
          <c:tx>
            <c:strRef>
              <c:f>'R(t) Województwa'!$M$2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Województwa'!$M$3:$M$1000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1.1428571428571428</c:v>
                </c:pt>
                <c:pt idx="15">
                  <c:v>1.1428571428571428</c:v>
                </c:pt>
                <c:pt idx="16">
                  <c:v>1.5714285714285714</c:v>
                </c:pt>
                <c:pt idx="17">
                  <c:v>2</c:v>
                </c:pt>
                <c:pt idx="18">
                  <c:v>2.5714285714285716</c:v>
                </c:pt>
                <c:pt idx="19">
                  <c:v>2.5714285714285716</c:v>
                </c:pt>
                <c:pt idx="20">
                  <c:v>3</c:v>
                </c:pt>
                <c:pt idx="21">
                  <c:v>2</c:v>
                </c:pt>
                <c:pt idx="22">
                  <c:v>2.7142857142857144</c:v>
                </c:pt>
                <c:pt idx="23">
                  <c:v>2.8571428571428572</c:v>
                </c:pt>
                <c:pt idx="24">
                  <c:v>2.7142857142857144</c:v>
                </c:pt>
                <c:pt idx="25">
                  <c:v>2.7142857142857144</c:v>
                </c:pt>
                <c:pt idx="26">
                  <c:v>4.1428571428571432</c:v>
                </c:pt>
                <c:pt idx="27">
                  <c:v>7.2857142857142856</c:v>
                </c:pt>
                <c:pt idx="28">
                  <c:v>7.7142857142857144</c:v>
                </c:pt>
                <c:pt idx="29">
                  <c:v>8.1428571428571423</c:v>
                </c:pt>
                <c:pt idx="30">
                  <c:v>18</c:v>
                </c:pt>
                <c:pt idx="31">
                  <c:v>23.714285714285715</c:v>
                </c:pt>
                <c:pt idx="32">
                  <c:v>26.714285714285715</c:v>
                </c:pt>
                <c:pt idx="33">
                  <c:v>27.714285714285715</c:v>
                </c:pt>
                <c:pt idx="34">
                  <c:v>24.714285714285715</c:v>
                </c:pt>
                <c:pt idx="35">
                  <c:v>26.857142857142858</c:v>
                </c:pt>
                <c:pt idx="36">
                  <c:v>27.571428571428573</c:v>
                </c:pt>
                <c:pt idx="37">
                  <c:v>17.571428571428573</c:v>
                </c:pt>
                <c:pt idx="38">
                  <c:v>13</c:v>
                </c:pt>
                <c:pt idx="39">
                  <c:v>12.714285714285714</c:v>
                </c:pt>
                <c:pt idx="40">
                  <c:v>13.571428571428571</c:v>
                </c:pt>
                <c:pt idx="41">
                  <c:v>14.285714285714286</c:v>
                </c:pt>
                <c:pt idx="42">
                  <c:v>12.571428571428571</c:v>
                </c:pt>
                <c:pt idx="43">
                  <c:v>11.714285714285714</c:v>
                </c:pt>
                <c:pt idx="44">
                  <c:v>12.428571428571429</c:v>
                </c:pt>
                <c:pt idx="45">
                  <c:v>13.857142857142858</c:v>
                </c:pt>
                <c:pt idx="46">
                  <c:v>12.142857142857142</c:v>
                </c:pt>
                <c:pt idx="47">
                  <c:v>10</c:v>
                </c:pt>
                <c:pt idx="48">
                  <c:v>10.857142857142858</c:v>
                </c:pt>
                <c:pt idx="49">
                  <c:v>12.285714285714286</c:v>
                </c:pt>
                <c:pt idx="50">
                  <c:v>13.285714285714286</c:v>
                </c:pt>
                <c:pt idx="51">
                  <c:v>13.285714285714286</c:v>
                </c:pt>
                <c:pt idx="52">
                  <c:v>12</c:v>
                </c:pt>
                <c:pt idx="53">
                  <c:v>10.857142857142858</c:v>
                </c:pt>
                <c:pt idx="54">
                  <c:v>10.285714285714286</c:v>
                </c:pt>
                <c:pt idx="55">
                  <c:v>8.8571428571428577</c:v>
                </c:pt>
                <c:pt idx="56">
                  <c:v>11.428571428571429</c:v>
                </c:pt>
                <c:pt idx="57">
                  <c:v>12.142857142857142</c:v>
                </c:pt>
                <c:pt idx="58">
                  <c:v>12</c:v>
                </c:pt>
                <c:pt idx="59">
                  <c:v>11.285714285714286</c:v>
                </c:pt>
                <c:pt idx="60">
                  <c:v>11.428571428571429</c:v>
                </c:pt>
                <c:pt idx="61">
                  <c:v>11.285714285714286</c:v>
                </c:pt>
                <c:pt idx="62">
                  <c:v>10.571428571428571</c:v>
                </c:pt>
                <c:pt idx="63">
                  <c:v>6.1428571428571432</c:v>
                </c:pt>
                <c:pt idx="64">
                  <c:v>3.4285714285714284</c:v>
                </c:pt>
                <c:pt idx="65">
                  <c:v>3.1428571428571428</c:v>
                </c:pt>
                <c:pt idx="66">
                  <c:v>3</c:v>
                </c:pt>
                <c:pt idx="67">
                  <c:v>2.5714285714285716</c:v>
                </c:pt>
                <c:pt idx="68">
                  <c:v>2.4285714285714284</c:v>
                </c:pt>
                <c:pt idx="69">
                  <c:v>2.8571428571428572</c:v>
                </c:pt>
                <c:pt idx="70">
                  <c:v>2.2857142857142856</c:v>
                </c:pt>
                <c:pt idx="71">
                  <c:v>2.2857142857142856</c:v>
                </c:pt>
                <c:pt idx="72">
                  <c:v>1.7142857142857142</c:v>
                </c:pt>
                <c:pt idx="73">
                  <c:v>1.4285714285714286</c:v>
                </c:pt>
                <c:pt idx="74">
                  <c:v>1.4285714285714286</c:v>
                </c:pt>
                <c:pt idx="75">
                  <c:v>1.1428571428571428</c:v>
                </c:pt>
                <c:pt idx="76">
                  <c:v>0.7142857142857143</c:v>
                </c:pt>
                <c:pt idx="77">
                  <c:v>0.8571428571428571</c:v>
                </c:pt>
                <c:pt idx="78">
                  <c:v>1</c:v>
                </c:pt>
                <c:pt idx="79">
                  <c:v>1.2857142857142858</c:v>
                </c:pt>
                <c:pt idx="80">
                  <c:v>1.1428571428571428</c:v>
                </c:pt>
                <c:pt idx="81">
                  <c:v>1.1428571428571428</c:v>
                </c:pt>
                <c:pt idx="82">
                  <c:v>1.2857142857142858</c:v>
                </c:pt>
                <c:pt idx="83">
                  <c:v>1.4285714285714286</c:v>
                </c:pt>
                <c:pt idx="84">
                  <c:v>1.2857142857142858</c:v>
                </c:pt>
                <c:pt idx="85">
                  <c:v>1.2857142857142858</c:v>
                </c:pt>
                <c:pt idx="86">
                  <c:v>0.8571428571428571</c:v>
                </c:pt>
                <c:pt idx="87">
                  <c:v>0.5714285714285714</c:v>
                </c:pt>
                <c:pt idx="88">
                  <c:v>0.42857142857142855</c:v>
                </c:pt>
                <c:pt idx="89">
                  <c:v>0.2857142857142857</c:v>
                </c:pt>
                <c:pt idx="90">
                  <c:v>0.14285714285714285</c:v>
                </c:pt>
                <c:pt idx="91">
                  <c:v>0.2857142857142857</c:v>
                </c:pt>
                <c:pt idx="92">
                  <c:v>0.2857142857142857</c:v>
                </c:pt>
                <c:pt idx="93">
                  <c:v>0.8571428571428571</c:v>
                </c:pt>
                <c:pt idx="94">
                  <c:v>1.1428571428571428</c:v>
                </c:pt>
                <c:pt idx="95">
                  <c:v>1.1428571428571428</c:v>
                </c:pt>
                <c:pt idx="96">
                  <c:v>1.1428571428571428</c:v>
                </c:pt>
                <c:pt idx="97">
                  <c:v>1.2857142857142858</c:v>
                </c:pt>
                <c:pt idx="98">
                  <c:v>1.2857142857142858</c:v>
                </c:pt>
                <c:pt idx="99">
                  <c:v>1.5714285714285714</c:v>
                </c:pt>
                <c:pt idx="100">
                  <c:v>1.2857142857142858</c:v>
                </c:pt>
                <c:pt idx="101">
                  <c:v>1.2857142857142858</c:v>
                </c:pt>
                <c:pt idx="102">
                  <c:v>1.8571428571428572</c:v>
                </c:pt>
                <c:pt idx="103">
                  <c:v>3.5714285714285716</c:v>
                </c:pt>
                <c:pt idx="104">
                  <c:v>3.4285714285714284</c:v>
                </c:pt>
                <c:pt idx="105">
                  <c:v>3.4285714285714284</c:v>
                </c:pt>
                <c:pt idx="106">
                  <c:v>3.4285714285714284</c:v>
                </c:pt>
                <c:pt idx="107">
                  <c:v>4.7142857142857144</c:v>
                </c:pt>
                <c:pt idx="108">
                  <c:v>4.8571428571428568</c:v>
                </c:pt>
                <c:pt idx="109">
                  <c:v>5</c:v>
                </c:pt>
                <c:pt idx="110">
                  <c:v>3.7142857142857144</c:v>
                </c:pt>
                <c:pt idx="111">
                  <c:v>3.7142857142857144</c:v>
                </c:pt>
                <c:pt idx="112">
                  <c:v>3.5714285714285716</c:v>
                </c:pt>
                <c:pt idx="113">
                  <c:v>3.2857142857142856</c:v>
                </c:pt>
                <c:pt idx="114">
                  <c:v>2.8571428571428572</c:v>
                </c:pt>
                <c:pt idx="115">
                  <c:v>2.4285714285714284</c:v>
                </c:pt>
                <c:pt idx="116">
                  <c:v>2.4285714285714284</c:v>
                </c:pt>
                <c:pt idx="117">
                  <c:v>2.4285714285714284</c:v>
                </c:pt>
                <c:pt idx="118">
                  <c:v>2.4285714285714284</c:v>
                </c:pt>
                <c:pt idx="119">
                  <c:v>2.8571428571428572</c:v>
                </c:pt>
                <c:pt idx="120">
                  <c:v>3.2857142857142856</c:v>
                </c:pt>
                <c:pt idx="121">
                  <c:v>2.4285714285714284</c:v>
                </c:pt>
                <c:pt idx="122">
                  <c:v>2.5714285714285716</c:v>
                </c:pt>
                <c:pt idx="123">
                  <c:v>1.8571428571428572</c:v>
                </c:pt>
                <c:pt idx="124">
                  <c:v>1.7142857142857142</c:v>
                </c:pt>
                <c:pt idx="125">
                  <c:v>2.1428571428571428</c:v>
                </c:pt>
                <c:pt idx="126">
                  <c:v>1.8571428571428572</c:v>
                </c:pt>
                <c:pt idx="127">
                  <c:v>2</c:v>
                </c:pt>
                <c:pt idx="128">
                  <c:v>2.1428571428571428</c:v>
                </c:pt>
                <c:pt idx="129">
                  <c:v>2.1428571428571428</c:v>
                </c:pt>
                <c:pt idx="130">
                  <c:v>2.4285714285714284</c:v>
                </c:pt>
                <c:pt idx="131">
                  <c:v>2.1428571428571428</c:v>
                </c:pt>
                <c:pt idx="132">
                  <c:v>1.7142857142857142</c:v>
                </c:pt>
                <c:pt idx="133">
                  <c:v>2.4285714285714284</c:v>
                </c:pt>
                <c:pt idx="134">
                  <c:v>2.4285714285714284</c:v>
                </c:pt>
                <c:pt idx="135">
                  <c:v>2.8571428571428572</c:v>
                </c:pt>
                <c:pt idx="136">
                  <c:v>2.7142857142857144</c:v>
                </c:pt>
                <c:pt idx="137">
                  <c:v>3</c:v>
                </c:pt>
                <c:pt idx="138">
                  <c:v>3.4285714285714284</c:v>
                </c:pt>
                <c:pt idx="139">
                  <c:v>4</c:v>
                </c:pt>
                <c:pt idx="140">
                  <c:v>3.1428571428571428</c:v>
                </c:pt>
                <c:pt idx="141">
                  <c:v>2.7142857142857144</c:v>
                </c:pt>
                <c:pt idx="142">
                  <c:v>2</c:v>
                </c:pt>
                <c:pt idx="143">
                  <c:v>3.2857142857142856</c:v>
                </c:pt>
                <c:pt idx="144">
                  <c:v>3.1428571428571428</c:v>
                </c:pt>
                <c:pt idx="145">
                  <c:v>4.1428571428571432</c:v>
                </c:pt>
                <c:pt idx="146">
                  <c:v>3.7142857142857144</c:v>
                </c:pt>
                <c:pt idx="147">
                  <c:v>4.2857142857142856</c:v>
                </c:pt>
                <c:pt idx="148">
                  <c:v>5.4285714285714288</c:v>
                </c:pt>
                <c:pt idx="149">
                  <c:v>6.5714285714285712</c:v>
                </c:pt>
                <c:pt idx="150">
                  <c:v>7.7142857142857144</c:v>
                </c:pt>
                <c:pt idx="151">
                  <c:v>8.8571428571428577</c:v>
                </c:pt>
                <c:pt idx="152">
                  <c:v>8.7142857142857135</c:v>
                </c:pt>
                <c:pt idx="153">
                  <c:v>9.8571428571428577</c:v>
                </c:pt>
                <c:pt idx="154">
                  <c:v>9.7142857142857135</c:v>
                </c:pt>
                <c:pt idx="155">
                  <c:v>9</c:v>
                </c:pt>
                <c:pt idx="156">
                  <c:v>9.2857142857142865</c:v>
                </c:pt>
                <c:pt idx="157">
                  <c:v>8</c:v>
                </c:pt>
                <c:pt idx="158">
                  <c:v>9.8571428571428577</c:v>
                </c:pt>
                <c:pt idx="159">
                  <c:v>9.2857142857142865</c:v>
                </c:pt>
                <c:pt idx="160">
                  <c:v>9.7142857142857135</c:v>
                </c:pt>
                <c:pt idx="161">
                  <c:v>14.142857142857142</c:v>
                </c:pt>
                <c:pt idx="162">
                  <c:v>14.428571428571429</c:v>
                </c:pt>
                <c:pt idx="163">
                  <c:v>14.857142857142858</c:v>
                </c:pt>
                <c:pt idx="164">
                  <c:v>16.857142857142858</c:v>
                </c:pt>
                <c:pt idx="165">
                  <c:v>15</c:v>
                </c:pt>
                <c:pt idx="166">
                  <c:v>16.142857142857142</c:v>
                </c:pt>
                <c:pt idx="167">
                  <c:v>18.428571428571427</c:v>
                </c:pt>
                <c:pt idx="168">
                  <c:v>16</c:v>
                </c:pt>
                <c:pt idx="169">
                  <c:v>17.428571428571427</c:v>
                </c:pt>
                <c:pt idx="170">
                  <c:v>18.428571428571427</c:v>
                </c:pt>
                <c:pt idx="171">
                  <c:v>19.714285714285715</c:v>
                </c:pt>
                <c:pt idx="172">
                  <c:v>20.714285714285715</c:v>
                </c:pt>
                <c:pt idx="173">
                  <c:v>19.714285714285715</c:v>
                </c:pt>
                <c:pt idx="174">
                  <c:v>19.571428571428573</c:v>
                </c:pt>
                <c:pt idx="175">
                  <c:v>21.428571428571427</c:v>
                </c:pt>
                <c:pt idx="176">
                  <c:v>22.285714285714285</c:v>
                </c:pt>
                <c:pt idx="177">
                  <c:v>22.714285714285715</c:v>
                </c:pt>
                <c:pt idx="178">
                  <c:v>23.714285714285715</c:v>
                </c:pt>
                <c:pt idx="179">
                  <c:v>24.428571428571427</c:v>
                </c:pt>
                <c:pt idx="180">
                  <c:v>26.714285714285715</c:v>
                </c:pt>
                <c:pt idx="181">
                  <c:v>25.714285714285715</c:v>
                </c:pt>
                <c:pt idx="182">
                  <c:v>26.428571428571427</c:v>
                </c:pt>
                <c:pt idx="183">
                  <c:v>25.428571428571427</c:v>
                </c:pt>
                <c:pt idx="184">
                  <c:v>26.714285714285715</c:v>
                </c:pt>
                <c:pt idx="185">
                  <c:v>22.857142857142858</c:v>
                </c:pt>
                <c:pt idx="186">
                  <c:v>21.428571428571427</c:v>
                </c:pt>
                <c:pt idx="187">
                  <c:v>21</c:v>
                </c:pt>
                <c:pt idx="188">
                  <c:v>20.285714285714285</c:v>
                </c:pt>
                <c:pt idx="189">
                  <c:v>16.428571428571427</c:v>
                </c:pt>
                <c:pt idx="190">
                  <c:v>16.142857142857142</c:v>
                </c:pt>
                <c:pt idx="191">
                  <c:v>14.285714285714286</c:v>
                </c:pt>
                <c:pt idx="192">
                  <c:v>14.857142857142858</c:v>
                </c:pt>
                <c:pt idx="193">
                  <c:v>20.714285714285715</c:v>
                </c:pt>
                <c:pt idx="194">
                  <c:v>21</c:v>
                </c:pt>
                <c:pt idx="195">
                  <c:v>22.285714285714285</c:v>
                </c:pt>
                <c:pt idx="196">
                  <c:v>24.285714285714285</c:v>
                </c:pt>
                <c:pt idx="197">
                  <c:v>27.285714285714285</c:v>
                </c:pt>
                <c:pt idx="198">
                  <c:v>26.571428571428573</c:v>
                </c:pt>
                <c:pt idx="199">
                  <c:v>30.428571428571427</c:v>
                </c:pt>
                <c:pt idx="200">
                  <c:v>27.714285714285715</c:v>
                </c:pt>
                <c:pt idx="201">
                  <c:v>28.428571428571427</c:v>
                </c:pt>
                <c:pt idx="202">
                  <c:v>28</c:v>
                </c:pt>
                <c:pt idx="203">
                  <c:v>26.714285714285715</c:v>
                </c:pt>
                <c:pt idx="204">
                  <c:v>29.428571428571427</c:v>
                </c:pt>
                <c:pt idx="205">
                  <c:v>33.142857142857146</c:v>
                </c:pt>
                <c:pt idx="206">
                  <c:v>50.285714285714285</c:v>
                </c:pt>
                <c:pt idx="207">
                  <c:v>69</c:v>
                </c:pt>
                <c:pt idx="208">
                  <c:v>75.571428571428569</c:v>
                </c:pt>
                <c:pt idx="209">
                  <c:v>94.285714285714292</c:v>
                </c:pt>
                <c:pt idx="210">
                  <c:v>109.57142857142857</c:v>
                </c:pt>
                <c:pt idx="211">
                  <c:v>113</c:v>
                </c:pt>
                <c:pt idx="212">
                  <c:v>132.71428571428572</c:v>
                </c:pt>
                <c:pt idx="213">
                  <c:v>140.71428571428572</c:v>
                </c:pt>
                <c:pt idx="214">
                  <c:v>132.71428571428572</c:v>
                </c:pt>
                <c:pt idx="215">
                  <c:v>155.14285714285714</c:v>
                </c:pt>
                <c:pt idx="216">
                  <c:v>149</c:v>
                </c:pt>
                <c:pt idx="217">
                  <c:v>153.71428571428572</c:v>
                </c:pt>
                <c:pt idx="218">
                  <c:v>168.85714285714286</c:v>
                </c:pt>
                <c:pt idx="219">
                  <c:v>187.71428571428572</c:v>
                </c:pt>
                <c:pt idx="220">
                  <c:v>202.85714285714286</c:v>
                </c:pt>
                <c:pt idx="221">
                  <c:v>266.28571428571428</c:v>
                </c:pt>
                <c:pt idx="222">
                  <c:v>253</c:v>
                </c:pt>
                <c:pt idx="223">
                  <c:v>274.28571428571428</c:v>
                </c:pt>
                <c:pt idx="224">
                  <c:v>301.14285714285717</c:v>
                </c:pt>
                <c:pt idx="225">
                  <c:v>325.71428571428572</c:v>
                </c:pt>
                <c:pt idx="226">
                  <c:v>326.71428571428572</c:v>
                </c:pt>
                <c:pt idx="227">
                  <c:v>347.57142857142856</c:v>
                </c:pt>
                <c:pt idx="228">
                  <c:v>335.57142857142856</c:v>
                </c:pt>
                <c:pt idx="229">
                  <c:v>390.85714285714283</c:v>
                </c:pt>
                <c:pt idx="230">
                  <c:v>421.57142857142856</c:v>
                </c:pt>
                <c:pt idx="231">
                  <c:v>436.57142857142856</c:v>
                </c:pt>
                <c:pt idx="232">
                  <c:v>495.85714285714283</c:v>
                </c:pt>
                <c:pt idx="233">
                  <c:v>579.71428571428567</c:v>
                </c:pt>
                <c:pt idx="234">
                  <c:v>685</c:v>
                </c:pt>
                <c:pt idx="235">
                  <c:v>728.85714285714289</c:v>
                </c:pt>
                <c:pt idx="236">
                  <c:v>818.42857142857144</c:v>
                </c:pt>
                <c:pt idx="237">
                  <c:v>825.85714285714289</c:v>
                </c:pt>
                <c:pt idx="238">
                  <c:v>976.28571428571433</c:v>
                </c:pt>
                <c:pt idx="239">
                  <c:v>1039.7142857142858</c:v>
                </c:pt>
                <c:pt idx="240">
                  <c:v>1110.8571428571429</c:v>
                </c:pt>
                <c:pt idx="241">
                  <c:v>1217.5714285714287</c:v>
                </c:pt>
                <c:pt idx="242">
                  <c:v>1315.2857142857142</c:v>
                </c:pt>
                <c:pt idx="243">
                  <c:v>1398.7142857142858</c:v>
                </c:pt>
                <c:pt idx="244">
                  <c:v>1520.7142857142858</c:v>
                </c:pt>
                <c:pt idx="245">
                  <c:v>1385.2857142857142</c:v>
                </c:pt>
                <c:pt idx="246">
                  <c:v>1415.8571428571429</c:v>
                </c:pt>
                <c:pt idx="247">
                  <c:v>1453</c:v>
                </c:pt>
                <c:pt idx="248">
                  <c:v>1452.7142857142858</c:v>
                </c:pt>
                <c:pt idx="249">
                  <c:v>1502.4285714285713</c:v>
                </c:pt>
                <c:pt idx="250">
                  <c:v>1460.2857142857142</c:v>
                </c:pt>
                <c:pt idx="251">
                  <c:v>1408.7142857142858</c:v>
                </c:pt>
                <c:pt idx="252">
                  <c:v>1488.2857142857142</c:v>
                </c:pt>
                <c:pt idx="253">
                  <c:v>1397.2857142857142</c:v>
                </c:pt>
                <c:pt idx="254">
                  <c:v>1314.4285714285713</c:v>
                </c:pt>
                <c:pt idx="255">
                  <c:v>1218.2857142857142</c:v>
                </c:pt>
                <c:pt idx="256">
                  <c:v>1096.2857142857142</c:v>
                </c:pt>
                <c:pt idx="257">
                  <c:v>1136.8571428571429</c:v>
                </c:pt>
                <c:pt idx="258">
                  <c:v>1119.4285714285713</c:v>
                </c:pt>
                <c:pt idx="259">
                  <c:v>1066.5714285714287</c:v>
                </c:pt>
                <c:pt idx="260">
                  <c:v>1075.4285714285713</c:v>
                </c:pt>
                <c:pt idx="261">
                  <c:v>1055</c:v>
                </c:pt>
                <c:pt idx="262">
                  <c:v>1076.7142857142858</c:v>
                </c:pt>
                <c:pt idx="263">
                  <c:v>1119.8571428571429</c:v>
                </c:pt>
                <c:pt idx="264">
                  <c:v>1016.5714285714286</c:v>
                </c:pt>
                <c:pt idx="265">
                  <c:v>1021.5714285714286</c:v>
                </c:pt>
                <c:pt idx="266">
                  <c:v>990.57142857142856</c:v>
                </c:pt>
                <c:pt idx="267">
                  <c:v>1057.2857142857142</c:v>
                </c:pt>
                <c:pt idx="268">
                  <c:v>1095.4285714285713</c:v>
                </c:pt>
                <c:pt idx="269">
                  <c:v>1086.4285714285713</c:v>
                </c:pt>
                <c:pt idx="270">
                  <c:v>1050.2857142857142</c:v>
                </c:pt>
                <c:pt idx="271">
                  <c:v>996.42857142857144</c:v>
                </c:pt>
                <c:pt idx="272">
                  <c:v>905.85714285714289</c:v>
                </c:pt>
                <c:pt idx="273">
                  <c:v>1004.8571428571429</c:v>
                </c:pt>
                <c:pt idx="274">
                  <c:v>993.28571428571433</c:v>
                </c:pt>
                <c:pt idx="275">
                  <c:v>1014.2857142857143</c:v>
                </c:pt>
                <c:pt idx="276">
                  <c:v>973.28571428571433</c:v>
                </c:pt>
                <c:pt idx="277">
                  <c:v>985.71428571428567</c:v>
                </c:pt>
                <c:pt idx="278">
                  <c:v>999.28571428571433</c:v>
                </c:pt>
                <c:pt idx="279">
                  <c:v>1007</c:v>
                </c:pt>
                <c:pt idx="280">
                  <c:v>932.14285714285711</c:v>
                </c:pt>
                <c:pt idx="281">
                  <c:v>912.28571428571433</c:v>
                </c:pt>
                <c:pt idx="282">
                  <c:v>919.42857142857144</c:v>
                </c:pt>
                <c:pt idx="283">
                  <c:v>908.14285714285711</c:v>
                </c:pt>
                <c:pt idx="284">
                  <c:v>907</c:v>
                </c:pt>
                <c:pt idx="285">
                  <c:v>912.42857142857144</c:v>
                </c:pt>
                <c:pt idx="286">
                  <c:v>938.14285714285711</c:v>
                </c:pt>
                <c:pt idx="287">
                  <c:v>946.71428571428567</c:v>
                </c:pt>
                <c:pt idx="288">
                  <c:v>958.14285714285711</c:v>
                </c:pt>
                <c:pt idx="289">
                  <c:v>920.14285714285711</c:v>
                </c:pt>
                <c:pt idx="290">
                  <c:v>927</c:v>
                </c:pt>
                <c:pt idx="291">
                  <c:v>931.42857142857144</c:v>
                </c:pt>
                <c:pt idx="292">
                  <c:v>936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1F3-49B8-AA23-1B5CBF038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762355"/>
        <c:axId val="1436183844"/>
      </c:lineChart>
      <c:catAx>
        <c:axId val="8518902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2108476829"/>
        <c:crosses val="autoZero"/>
        <c:auto val="1"/>
        <c:lblAlgn val="ctr"/>
        <c:lblOffset val="100"/>
        <c:noMultiLvlLbl val="1"/>
      </c:catAx>
      <c:valAx>
        <c:axId val="2108476829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851890266"/>
        <c:crosses val="autoZero"/>
        <c:crossBetween val="between"/>
      </c:valAx>
      <c:catAx>
        <c:axId val="3897623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6183844"/>
        <c:crosses val="autoZero"/>
        <c:auto val="1"/>
        <c:lblAlgn val="ctr"/>
        <c:lblOffset val="100"/>
        <c:noMultiLvlLbl val="1"/>
      </c:catAx>
      <c:valAx>
        <c:axId val="1436183844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389762355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Lubelskiego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Województwa'!$X$2</c:f>
              <c:strCache>
                <c:ptCount val="1"/>
                <c:pt idx="0">
                  <c:v>Lubelskie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Województwa'!$X$3:$X$1000</c:f>
              <c:numCache>
                <c:formatCode>General</c:formatCode>
                <c:ptCount val="998"/>
                <c:pt idx="28" formatCode="0.0000">
                  <c:v>1.4261954261954268</c:v>
                </c:pt>
                <c:pt idx="29" formatCode="0.0000">
                  <c:v>0.75044062712035864</c:v>
                </c:pt>
                <c:pt idx="30" formatCode="0.0000">
                  <c:v>1.016666921433389</c:v>
                </c:pt>
                <c:pt idx="31" formatCode="0.0000">
                  <c:v>0.90215381390954874</c:v>
                </c:pt>
                <c:pt idx="32" formatCode="0.0000">
                  <c:v>0.84096474293710699</c:v>
                </c:pt>
                <c:pt idx="33" formatCode="0.0000">
                  <c:v>0.83638376229189015</c:v>
                </c:pt>
                <c:pt idx="34" formatCode="0.0000">
                  <c:v>0.80976126772126411</c:v>
                </c:pt>
                <c:pt idx="35" formatCode="0.0000">
                  <c:v>0.75962295279703607</c:v>
                </c:pt>
                <c:pt idx="36" formatCode="0.0000">
                  <c:v>0.85947769303022981</c:v>
                </c:pt>
                <c:pt idx="37" formatCode="0.0000">
                  <c:v>0.70956060989802872</c:v>
                </c:pt>
                <c:pt idx="38" formatCode="0.0000">
                  <c:v>0.89115210778556886</c:v>
                </c:pt>
                <c:pt idx="39" formatCode="0.0000">
                  <c:v>0.84721932285660684</c:v>
                </c:pt>
                <c:pt idx="40" formatCode="0.0000">
                  <c:v>0.86872170087509315</c:v>
                </c:pt>
                <c:pt idx="41" formatCode="0.0000">
                  <c:v>0.86814455800197965</c:v>
                </c:pt>
                <c:pt idx="42" formatCode="0.0000">
                  <c:v>0.79554022177206529</c:v>
                </c:pt>
                <c:pt idx="43" formatCode="0.0000">
                  <c:v>1.116717873271994</c:v>
                </c:pt>
                <c:pt idx="44" formatCode="0.0000">
                  <c:v>1.1659150852145781</c:v>
                </c:pt>
                <c:pt idx="45" formatCode="0.0000">
                  <c:v>1.0552581792582461</c:v>
                </c:pt>
                <c:pt idx="46" formatCode="0.0000">
                  <c:v>1.0548069313487425</c:v>
                </c:pt>
                <c:pt idx="47" formatCode="0.0000">
                  <c:v>1.1442186638262248</c:v>
                </c:pt>
                <c:pt idx="48" formatCode="0.0000">
                  <c:v>1.0938295908536373</c:v>
                </c:pt>
                <c:pt idx="49" formatCode="0.0000">
                  <c:v>1.2302942900479938</c:v>
                </c:pt>
                <c:pt idx="50" formatCode="0.0000">
                  <c:v>0.89977563835064855</c:v>
                </c:pt>
                <c:pt idx="51" formatCode="0.0000">
                  <c:v>0.83952599038040432</c:v>
                </c:pt>
                <c:pt idx="52" formatCode="0.0000">
                  <c:v>0.78742939038934601</c:v>
                </c:pt>
                <c:pt idx="53" formatCode="0.0000">
                  <c:v>0.81544306349003837</c:v>
                </c:pt>
                <c:pt idx="54" formatCode="0.0000">
                  <c:v>0.68119883489166477</c:v>
                </c:pt>
                <c:pt idx="55" formatCode="0.0000">
                  <c:v>0.67841101411162708</c:v>
                </c:pt>
                <c:pt idx="56" formatCode="0.0000">
                  <c:v>0.52639760016993509</c:v>
                </c:pt>
                <c:pt idx="57" formatCode="0.0000">
                  <c:v>0.49615666849766321</c:v>
                </c:pt>
                <c:pt idx="58" formatCode="0.0000">
                  <c:v>0.46130318129365971</c:v>
                </c:pt>
                <c:pt idx="59" formatCode="0.0000">
                  <c:v>0.50700442479232533</c:v>
                </c:pt>
                <c:pt idx="60" formatCode="0.0000">
                  <c:v>0.49585310636838581</c:v>
                </c:pt>
                <c:pt idx="61" formatCode="0.0000">
                  <c:v>0.62354445558941562</c:v>
                </c:pt>
                <c:pt idx="62" formatCode="0.0000">
                  <c:v>0.58443759217265334</c:v>
                </c:pt>
                <c:pt idx="63" formatCode="0.0000">
                  <c:v>0.58720900365254247</c:v>
                </c:pt>
                <c:pt idx="64" formatCode="0.0000">
                  <c:v>0.66371615768745396</c:v>
                </c:pt>
                <c:pt idx="65" formatCode="0.0000">
                  <c:v>0.67493021220663796</c:v>
                </c:pt>
                <c:pt idx="66" formatCode="0.0000">
                  <c:v>0.65374507911903801</c:v>
                </c:pt>
                <c:pt idx="67" formatCode="0.0000">
                  <c:v>0.67984827338643761</c:v>
                </c:pt>
                <c:pt idx="68" formatCode="0.0000">
                  <c:v>0.54829099535552073</c:v>
                </c:pt>
                <c:pt idx="69" formatCode="0.0000">
                  <c:v>0.73645240504850684</c:v>
                </c:pt>
                <c:pt idx="70" formatCode="0.0000">
                  <c:v>0.84823650953581675</c:v>
                </c:pt>
                <c:pt idx="71" formatCode="0.0000">
                  <c:v>0.78756653413239808</c:v>
                </c:pt>
                <c:pt idx="72" formatCode="0.0000">
                  <c:v>0.8428075919507394</c:v>
                </c:pt>
                <c:pt idx="73" formatCode="0.0000">
                  <c:v>0.76808522427792714</c:v>
                </c:pt>
                <c:pt idx="74" formatCode="0.0000">
                  <c:v>0.68433107116547764</c:v>
                </c:pt>
                <c:pt idx="75" formatCode="0.0000">
                  <c:v>0.65771377864884806</c:v>
                </c:pt>
                <c:pt idx="76" formatCode="0.0000">
                  <c:v>0.94455629591419654</c:v>
                </c:pt>
                <c:pt idx="77" formatCode="0.0000">
                  <c:v>0.76454994210627192</c:v>
                </c:pt>
                <c:pt idx="78" formatCode="0.0000">
                  <c:v>0.79662730488683831</c:v>
                </c:pt>
                <c:pt idx="79" formatCode="0.0000">
                  <c:v>1.0700309399280488</c:v>
                </c:pt>
                <c:pt idx="80" formatCode="0.0000">
                  <c:v>1.1710221212204976</c:v>
                </c:pt>
                <c:pt idx="81" formatCode="0.0000">
                  <c:v>1.220505451183763</c:v>
                </c:pt>
                <c:pt idx="82" formatCode="0.0000">
                  <c:v>1.8676428315022702</c:v>
                </c:pt>
                <c:pt idx="83" formatCode="0.0000">
                  <c:v>1.8106926457160284</c:v>
                </c:pt>
                <c:pt idx="84" formatCode="0.0000">
                  <c:v>1.8926513299150984</c:v>
                </c:pt>
                <c:pt idx="85" formatCode="0.0000">
                  <c:v>2.3556179508589055</c:v>
                </c:pt>
                <c:pt idx="86" formatCode="0.0000">
                  <c:v>2.313746846369618</c:v>
                </c:pt>
                <c:pt idx="87" formatCode="0.0000">
                  <c:v>2.1814458123773144</c:v>
                </c:pt>
                <c:pt idx="88" formatCode="0.0000">
                  <c:v>2.1319624824140488</c:v>
                </c:pt>
                <c:pt idx="89" formatCode="0.0000">
                  <c:v>1.5823847631426784</c:v>
                </c:pt>
                <c:pt idx="90" formatCode="0.0000">
                  <c:v>1.2092648021349688</c:v>
                </c:pt>
                <c:pt idx="91" formatCode="0.0000">
                  <c:v>1.1273061179358987</c:v>
                </c:pt>
                <c:pt idx="92" formatCode="0.0000">
                  <c:v>0.7779363568258546</c:v>
                </c:pt>
                <c:pt idx="93" formatCode="0.0000">
                  <c:v>0.48113633019155566</c:v>
                </c:pt>
                <c:pt idx="94" formatCode="0.0000">
                  <c:v>0.49418559327518569</c:v>
                </c:pt>
                <c:pt idx="95" formatCode="0.0000">
                  <c:v>0.59620070218167542</c:v>
                </c:pt>
                <c:pt idx="96" formatCode="0.0000">
                  <c:v>0.64896117085548688</c:v>
                </c:pt>
                <c:pt idx="97" formatCode="0.0000">
                  <c:v>0.63716535178569877</c:v>
                </c:pt>
                <c:pt idx="98" formatCode="0.0000">
                  <c:v>0.78605303044062202</c:v>
                </c:pt>
                <c:pt idx="99" formatCode="0.0000">
                  <c:v>0.59059821391820899</c:v>
                </c:pt>
                <c:pt idx="100" formatCode="0.0000">
                  <c:v>0.64668906198828613</c:v>
                </c:pt>
                <c:pt idx="101" formatCode="0.0000">
                  <c:v>0.70456579679258891</c:v>
                </c:pt>
                <c:pt idx="102" formatCode="0.0000">
                  <c:v>0.88201731962576946</c:v>
                </c:pt>
                <c:pt idx="103" formatCode="0.0000">
                  <c:v>1.2020337177220326</c:v>
                </c:pt>
                <c:pt idx="104" formatCode="0.0000">
                  <c:v>1.1983800665407018</c:v>
                </c:pt>
                <c:pt idx="105" formatCode="0.0000">
                  <c:v>1.3487825507401967</c:v>
                </c:pt>
                <c:pt idx="106" formatCode="0.0000">
                  <c:v>1.6281004633980092</c:v>
                </c:pt>
                <c:pt idx="107" formatCode="0.0000">
                  <c:v>1.6923744569790347</c:v>
                </c:pt>
                <c:pt idx="108" formatCode="0.0000">
                  <c:v>1.9703768002498994</c:v>
                </c:pt>
                <c:pt idx="109" formatCode="0.0000">
                  <c:v>1.7906632055153862</c:v>
                </c:pt>
                <c:pt idx="110" formatCode="0.0000">
                  <c:v>1.4872710266604707</c:v>
                </c:pt>
                <c:pt idx="111" formatCode="0.0000">
                  <c:v>1.5537350970731416</c:v>
                </c:pt>
                <c:pt idx="112" formatCode="0.0000">
                  <c:v>1.3349815095675877</c:v>
                </c:pt>
                <c:pt idx="113" formatCode="0.0000">
                  <c:v>1.1045540414464996</c:v>
                </c:pt>
                <c:pt idx="114" formatCode="0.0000">
                  <c:v>1.0713689901150272</c:v>
                </c:pt>
                <c:pt idx="115" formatCode="0.0000">
                  <c:v>0.77566583455979943</c:v>
                </c:pt>
                <c:pt idx="116" formatCode="0.0000">
                  <c:v>0.92874206960899408</c:v>
                </c:pt>
                <c:pt idx="117" formatCode="0.0000">
                  <c:v>0.92717963274821691</c:v>
                </c:pt>
                <c:pt idx="118" formatCode="0.0000">
                  <c:v>1.0201865165143507</c:v>
                </c:pt>
                <c:pt idx="119" formatCode="0.0000">
                  <c:v>0.93964994116548595</c:v>
                </c:pt>
                <c:pt idx="120" formatCode="0.0000">
                  <c:v>1.017664450842527</c:v>
                </c:pt>
                <c:pt idx="121" formatCode="0.0000">
                  <c:v>1.0414103258627041</c:v>
                </c:pt>
                <c:pt idx="122" formatCode="0.0000">
                  <c:v>1.0632753189501563</c:v>
                </c:pt>
                <c:pt idx="123" formatCode="0.0000">
                  <c:v>1.0532791750708974</c:v>
                </c:pt>
                <c:pt idx="124" formatCode="0.0000">
                  <c:v>1.134566429174821</c:v>
                </c:pt>
                <c:pt idx="125" formatCode="0.0000">
                  <c:v>1.437788189635965</c:v>
                </c:pt>
                <c:pt idx="126" formatCode="0.0000">
                  <c:v>1.6482262682916851</c:v>
                </c:pt>
                <c:pt idx="127" formatCode="0.0000">
                  <c:v>1.6157336800475066</c:v>
                </c:pt>
                <c:pt idx="128" formatCode="0.0000">
                  <c:v>1.5313137009268616</c:v>
                </c:pt>
                <c:pt idx="129" formatCode="0.0000">
                  <c:v>1.6289375295376896</c:v>
                </c:pt>
                <c:pt idx="130" formatCode="0.0000">
                  <c:v>1.5813714742512772</c:v>
                </c:pt>
                <c:pt idx="131" formatCode="0.0000">
                  <c:v>1.8024266342774333</c:v>
                </c:pt>
                <c:pt idx="132" formatCode="0.0000">
                  <c:v>1.3866765664382836</c:v>
                </c:pt>
                <c:pt idx="133" formatCode="0.0000">
                  <c:v>1.2990364118044133</c:v>
                </c:pt>
                <c:pt idx="134" formatCode="0.0000">
                  <c:v>1.2824941937331042</c:v>
                </c:pt>
                <c:pt idx="135" formatCode="0.0000">
                  <c:v>1.2722943803017623</c:v>
                </c:pt>
                <c:pt idx="136" formatCode="0.0000">
                  <c:v>1.2137466938210213</c:v>
                </c:pt>
                <c:pt idx="137" formatCode="0.0000">
                  <c:v>1.1996068868889125</c:v>
                </c:pt>
                <c:pt idx="138" formatCode="0.0000">
                  <c:v>0.75089510328984355</c:v>
                </c:pt>
                <c:pt idx="139" formatCode="0.0000">
                  <c:v>0.67446814657578058</c:v>
                </c:pt>
                <c:pt idx="140" formatCode="0.0000">
                  <c:v>0.58058368136175553</c:v>
                </c:pt>
                <c:pt idx="141" formatCode="0.0000">
                  <c:v>0.57992542930873392</c:v>
                </c:pt>
                <c:pt idx="142" formatCode="0.0000">
                  <c:v>0.55374914681165477</c:v>
                </c:pt>
                <c:pt idx="143" formatCode="0.0000">
                  <c:v>0.556997780676732</c:v>
                </c:pt>
                <c:pt idx="144" formatCode="0.0000">
                  <c:v>0.6084432355380337</c:v>
                </c:pt>
                <c:pt idx="145" formatCode="0.0000">
                  <c:v>0.75824335599517612</c:v>
                </c:pt>
                <c:pt idx="146" formatCode="0.0000">
                  <c:v>0.80726813742278314</c:v>
                </c:pt>
                <c:pt idx="147" formatCode="0.0000">
                  <c:v>0.77835467861495844</c:v>
                </c:pt>
                <c:pt idx="148" formatCode="0.0000">
                  <c:v>1.0428525770961428</c:v>
                </c:pt>
                <c:pt idx="149" formatCode="0.0000">
                  <c:v>1.2133216469891863</c:v>
                </c:pt>
                <c:pt idx="150" formatCode="0.0000">
                  <c:v>1.4047889008690084</c:v>
                </c:pt>
                <c:pt idx="151" formatCode="0.0000">
                  <c:v>1.420203153989738</c:v>
                </c:pt>
                <c:pt idx="152" formatCode="0.0000">
                  <c:v>1.2762577674796121</c:v>
                </c:pt>
                <c:pt idx="153" formatCode="0.0000">
                  <c:v>1.3988367183956396</c:v>
                </c:pt>
                <c:pt idx="154" formatCode="0.0000">
                  <c:v>1.5014881370307815</c:v>
                </c:pt>
                <c:pt idx="155" formatCode="0.0000">
                  <c:v>1.457002921734754</c:v>
                </c:pt>
                <c:pt idx="156" formatCode="0.0000">
                  <c:v>1.4156165702876697</c:v>
                </c:pt>
                <c:pt idx="157" formatCode="0.0000">
                  <c:v>1.2462382137668764</c:v>
                </c:pt>
                <c:pt idx="158" formatCode="0.0000">
                  <c:v>1.2410373215380999</c:v>
                </c:pt>
                <c:pt idx="159" formatCode="0.0000">
                  <c:v>1.324335343528658</c:v>
                </c:pt>
                <c:pt idx="160" formatCode="0.0000">
                  <c:v>1.3186965964388899</c:v>
                </c:pt>
                <c:pt idx="161" formatCode="0.0000">
                  <c:v>1.292382359765204</c:v>
                </c:pt>
                <c:pt idx="162" formatCode="0.0000">
                  <c:v>1.3568217792799453</c:v>
                </c:pt>
                <c:pt idx="163" formatCode="0.0000">
                  <c:v>1.5853771266895502</c:v>
                </c:pt>
                <c:pt idx="164" formatCode="0.0000">
                  <c:v>1.5807636814720596</c:v>
                </c:pt>
                <c:pt idx="165" formatCode="0.0000">
                  <c:v>1.4427671386083332</c:v>
                </c:pt>
                <c:pt idx="166" formatCode="0.0000">
                  <c:v>1.272203913886321</c:v>
                </c:pt>
                <c:pt idx="167" formatCode="0.0000">
                  <c:v>1.1538986430118991</c:v>
                </c:pt>
                <c:pt idx="168" formatCode="0.0000">
                  <c:v>1.2443629640726095</c:v>
                </c:pt>
                <c:pt idx="169" formatCode="0.0000">
                  <c:v>1.0857647176994312</c:v>
                </c:pt>
                <c:pt idx="170" formatCode="0.0000">
                  <c:v>0.83635592812861226</c:v>
                </c:pt>
                <c:pt idx="171" formatCode="0.0000">
                  <c:v>0.8514176536161564</c:v>
                </c:pt>
                <c:pt idx="172" formatCode="0.0000">
                  <c:v>0.92528922431790683</c:v>
                </c:pt>
                <c:pt idx="173" formatCode="0.0000">
                  <c:v>1.0152816311203445</c:v>
                </c:pt>
                <c:pt idx="174" formatCode="0.0000">
                  <c:v>1.0230475487842943</c:v>
                </c:pt>
                <c:pt idx="175" formatCode="0.0000">
                  <c:v>1.1078660373893909</c:v>
                </c:pt>
                <c:pt idx="176" formatCode="0.0000">
                  <c:v>1.0243101850928584</c:v>
                </c:pt>
                <c:pt idx="177" formatCode="0.0000">
                  <c:v>1.0073645409280261</c:v>
                </c:pt>
                <c:pt idx="178" formatCode="0.0000">
                  <c:v>1.0562396840230006</c:v>
                </c:pt>
                <c:pt idx="179" formatCode="0.0000">
                  <c:v>0.99683288744455489</c:v>
                </c:pt>
                <c:pt idx="180" formatCode="0.0000">
                  <c:v>1.4335566986145907</c:v>
                </c:pt>
                <c:pt idx="181" formatCode="0.0000">
                  <c:v>1.4774216903393544</c:v>
                </c:pt>
                <c:pt idx="182" formatCode="0.0000">
                  <c:v>1.3007780523999244</c:v>
                </c:pt>
                <c:pt idx="183" formatCode="0.0000">
                  <c:v>1.2618303104542454</c:v>
                </c:pt>
                <c:pt idx="184" formatCode="0.0000">
                  <c:v>1.4076696452762589</c:v>
                </c:pt>
                <c:pt idx="185" formatCode="0.0000">
                  <c:v>1.3459814956919371</c:v>
                </c:pt>
                <c:pt idx="186" formatCode="0.0000">
                  <c:v>1.3114624082339703</c:v>
                </c:pt>
                <c:pt idx="187" formatCode="0.0000">
                  <c:v>0.86271508750591896</c:v>
                </c:pt>
                <c:pt idx="188" formatCode="0.0000">
                  <c:v>0.84680369288188595</c:v>
                </c:pt>
                <c:pt idx="189" formatCode="0.0000">
                  <c:v>0.81274367885744692</c:v>
                </c:pt>
                <c:pt idx="190" formatCode="0.0000">
                  <c:v>0.83945874638922946</c:v>
                </c:pt>
                <c:pt idx="191" formatCode="0.0000">
                  <c:v>0.74477582621665839</c:v>
                </c:pt>
                <c:pt idx="192" formatCode="0.0000">
                  <c:v>0.78448609947397663</c:v>
                </c:pt>
                <c:pt idx="193" formatCode="0.0000">
                  <c:v>0.90558433942904437</c:v>
                </c:pt>
                <c:pt idx="194" formatCode="0.0000">
                  <c:v>1.00122264718452</c:v>
                </c:pt>
                <c:pt idx="195" formatCode="0.0000">
                  <c:v>0.94375542304546056</c:v>
                </c:pt>
                <c:pt idx="196" formatCode="0.0000">
                  <c:v>1.064228860661826</c:v>
                </c:pt>
                <c:pt idx="197" formatCode="0.0000">
                  <c:v>1.2224544430747666</c:v>
                </c:pt>
                <c:pt idx="198" formatCode="0.0000">
                  <c:v>1.0818500659662116</c:v>
                </c:pt>
                <c:pt idx="199" formatCode="0.0000">
                  <c:v>1.164459625532577</c:v>
                </c:pt>
                <c:pt idx="200" formatCode="0.0000">
                  <c:v>1.7217807997934773</c:v>
                </c:pt>
                <c:pt idx="201" formatCode="0.0000">
                  <c:v>1.683295575110201</c:v>
                </c:pt>
                <c:pt idx="202" formatCode="0.0000">
                  <c:v>1.8441382926736356</c:v>
                </c:pt>
                <c:pt idx="203" formatCode="0.0000">
                  <c:v>1.7610178712307873</c:v>
                </c:pt>
                <c:pt idx="204" formatCode="0.0000">
                  <c:v>1.6418014083913428</c:v>
                </c:pt>
                <c:pt idx="205" formatCode="0.0000">
                  <c:v>1.84528758867196</c:v>
                </c:pt>
                <c:pt idx="206" formatCode="0.0000">
                  <c:v>1.778059344629876</c:v>
                </c:pt>
                <c:pt idx="207" formatCode="0.0000">
                  <c:v>1.2145329704959273</c:v>
                </c:pt>
                <c:pt idx="208" formatCode="0.0000">
                  <c:v>1.3218377579057443</c:v>
                </c:pt>
                <c:pt idx="209" formatCode="0.0000">
                  <c:v>1.3841902836096083</c:v>
                </c:pt>
                <c:pt idx="210" formatCode="0.0000">
                  <c:v>1.3809814850713149</c:v>
                </c:pt>
                <c:pt idx="211" formatCode="0.0000">
                  <c:v>1.4253721840861036</c:v>
                </c:pt>
                <c:pt idx="212" formatCode="0.0000">
                  <c:v>1.4540790340367613</c:v>
                </c:pt>
                <c:pt idx="213" formatCode="0.0000">
                  <c:v>1.4687977335110947</c:v>
                </c:pt>
                <c:pt idx="214" formatCode="0.0000">
                  <c:v>1.5170052105031075</c:v>
                </c:pt>
                <c:pt idx="215" formatCode="0.0000">
                  <c:v>1.4717990335890254</c:v>
                </c:pt>
                <c:pt idx="216" formatCode="0.0000">
                  <c:v>1.5381124836918871</c:v>
                </c:pt>
                <c:pt idx="217" formatCode="0.0000">
                  <c:v>1.6788782617906832</c:v>
                </c:pt>
                <c:pt idx="218" formatCode="0.0000">
                  <c:v>1.6057079274980073</c:v>
                </c:pt>
                <c:pt idx="219" formatCode="0.0000">
                  <c:v>1.6488086986295509</c:v>
                </c:pt>
                <c:pt idx="220" formatCode="0.0000">
                  <c:v>1.6563034502083498</c:v>
                </c:pt>
                <c:pt idx="221" formatCode="0.0000">
                  <c:v>1.6970489892835177</c:v>
                </c:pt>
                <c:pt idx="222" formatCode="0.0000">
                  <c:v>1.8048902886559048</c:v>
                </c:pt>
                <c:pt idx="223" formatCode="0.0000">
                  <c:v>1.8167130218237317</c:v>
                </c:pt>
                <c:pt idx="224" formatCode="0.0000">
                  <c:v>1.7197166493209968</c:v>
                </c:pt>
                <c:pt idx="225" formatCode="0.0000">
                  <c:v>1.7564343502780504</c:v>
                </c:pt>
                <c:pt idx="226" formatCode="0.0000">
                  <c:v>1.6869468444477385</c:v>
                </c:pt>
                <c:pt idx="227" formatCode="0.0000">
                  <c:v>1.642467033549472</c:v>
                </c:pt>
                <c:pt idx="228" formatCode="0.0000">
                  <c:v>1.6245238587115334</c:v>
                </c:pt>
                <c:pt idx="229" formatCode="0.0000">
                  <c:v>1.6439023388210712</c:v>
                </c:pt>
                <c:pt idx="230" formatCode="0.0000">
                  <c:v>1.5656755200968895</c:v>
                </c:pt>
                <c:pt idx="231" formatCode="0.0000">
                  <c:v>1.5405734709623871</c:v>
                </c:pt>
                <c:pt idx="232" formatCode="0.0000">
                  <c:v>1.6455121930818823</c:v>
                </c:pt>
                <c:pt idx="233" formatCode="0.0000">
                  <c:v>1.5814720221685143</c:v>
                </c:pt>
                <c:pt idx="234" formatCode="0.0000">
                  <c:v>1.6793515660065323</c:v>
                </c:pt>
                <c:pt idx="235" formatCode="0.0000">
                  <c:v>1.6488204979802616</c:v>
                </c:pt>
                <c:pt idx="236" formatCode="0.0000">
                  <c:v>1.5386155803957569</c:v>
                </c:pt>
                <c:pt idx="237" formatCode="0.0000">
                  <c:v>1.5038444707155121</c:v>
                </c:pt>
                <c:pt idx="238" formatCode="0.0000">
                  <c:v>1.5167672100486549</c:v>
                </c:pt>
                <c:pt idx="239" formatCode="0.0000">
                  <c:v>1.4142553108917195</c:v>
                </c:pt>
                <c:pt idx="240" formatCode="0.0000">
                  <c:v>1.7014165929979299</c:v>
                </c:pt>
                <c:pt idx="241" formatCode="0.0000">
                  <c:v>1.7100471961698005</c:v>
                </c:pt>
                <c:pt idx="242" formatCode="0.0000">
                  <c:v>1.7433154002080886</c:v>
                </c:pt>
                <c:pt idx="243" formatCode="0.0000">
                  <c:v>1.8033117431304599</c:v>
                </c:pt>
                <c:pt idx="244" formatCode="0.0000">
                  <c:v>1.7320587898146171</c:v>
                </c:pt>
                <c:pt idx="245" formatCode="0.0000">
                  <c:v>1.8022397910179708</c:v>
                </c:pt>
                <c:pt idx="246" formatCode="0.0000">
                  <c:v>1.8131524344791505</c:v>
                </c:pt>
                <c:pt idx="247" formatCode="0.0000">
                  <c:v>1.4661123214467242</c:v>
                </c:pt>
                <c:pt idx="248" formatCode="0.0000">
                  <c:v>1.3735750066976686</c:v>
                </c:pt>
                <c:pt idx="249" formatCode="0.0000">
                  <c:v>1.3212529640485664</c:v>
                </c:pt>
                <c:pt idx="250" formatCode="0.0000">
                  <c:v>1.2444999170710112</c:v>
                </c:pt>
                <c:pt idx="251" formatCode="0.0000">
                  <c:v>1.2316510138678025</c:v>
                </c:pt>
                <c:pt idx="252" formatCode="0.0000">
                  <c:v>1.162931133725714</c:v>
                </c:pt>
                <c:pt idx="253" formatCode="0.0000">
                  <c:v>1.1231328117224919</c:v>
                </c:pt>
                <c:pt idx="254" formatCode="0.0000">
                  <c:v>1.1150793634465799</c:v>
                </c:pt>
                <c:pt idx="255" formatCode="0.0000">
                  <c:v>0.97565276502148612</c:v>
                </c:pt>
                <c:pt idx="256" formatCode="0.0000">
                  <c:v>0.95393618731337704</c:v>
                </c:pt>
                <c:pt idx="257" formatCode="0.0000">
                  <c:v>0.90711177501529072</c:v>
                </c:pt>
                <c:pt idx="258" formatCode="0.0000">
                  <c:v>0.91627534708030678</c:v>
                </c:pt>
                <c:pt idx="259" formatCode="0.0000">
                  <c:v>0.963714512432717</c:v>
                </c:pt>
                <c:pt idx="260" formatCode="0.0000">
                  <c:v>0.87337668713230909</c:v>
                </c:pt>
                <c:pt idx="261" formatCode="0.0000">
                  <c:v>0.92209395188474319</c:v>
                </c:pt>
                <c:pt idx="262" formatCode="0.0000">
                  <c:v>0.94661354580979495</c:v>
                </c:pt>
                <c:pt idx="263" formatCode="0.0000">
                  <c:v>0.96376993659152055</c:v>
                </c:pt>
                <c:pt idx="264" formatCode="0.0000">
                  <c:v>0.92654075984030082</c:v>
                </c:pt>
                <c:pt idx="265" formatCode="0.0000">
                  <c:v>0.89046404390161105</c:v>
                </c:pt>
                <c:pt idx="266" formatCode="0.0000">
                  <c:v>0.82550213492791735</c:v>
                </c:pt>
                <c:pt idx="267" formatCode="0.0000">
                  <c:v>0.88403873748407624</c:v>
                </c:pt>
                <c:pt idx="268" formatCode="0.0000">
                  <c:v>0.89083532813554656</c:v>
                </c:pt>
                <c:pt idx="269" formatCode="0.0000">
                  <c:v>0.91965229540307913</c:v>
                </c:pt>
                <c:pt idx="270" formatCode="0.0000">
                  <c:v>0.84133659323059296</c:v>
                </c:pt>
                <c:pt idx="271" formatCode="0.0000">
                  <c:v>0.81917870237568535</c:v>
                </c:pt>
                <c:pt idx="272" formatCode="0.0000">
                  <c:v>0.76047105610217558</c:v>
                </c:pt>
                <c:pt idx="273" formatCode="0.0000">
                  <c:v>0.76465400040039133</c:v>
                </c:pt>
                <c:pt idx="274" formatCode="0.0000">
                  <c:v>0.76983622575947863</c:v>
                </c:pt>
                <c:pt idx="275" formatCode="0.0000">
                  <c:v>0.76687284149110357</c:v>
                </c:pt>
                <c:pt idx="276" formatCode="0.0000">
                  <c:v>0.78200799829334333</c:v>
                </c:pt>
                <c:pt idx="277" formatCode="0.0000">
                  <c:v>0.77838985261014693</c:v>
                </c:pt>
                <c:pt idx="278" formatCode="0.0000">
                  <c:v>0.75291493581213609</c:v>
                </c:pt>
                <c:pt idx="279" formatCode="0.0000">
                  <c:v>0.74413604701082314</c:v>
                </c:pt>
                <c:pt idx="280" formatCode="0.0000">
                  <c:v>0.74345037613003273</c:v>
                </c:pt>
                <c:pt idx="281" formatCode="0.0000">
                  <c:v>0.77839794005807661</c:v>
                </c:pt>
                <c:pt idx="282" formatCode="0.0000">
                  <c:v>0.77600731709247384</c:v>
                </c:pt>
                <c:pt idx="283" formatCode="0.0000">
                  <c:v>0.79340797884491476</c:v>
                </c:pt>
                <c:pt idx="284" formatCode="0.0000">
                  <c:v>0.83002885146707073</c:v>
                </c:pt>
                <c:pt idx="285" formatCode="0.0000">
                  <c:v>0.84869806763507916</c:v>
                </c:pt>
                <c:pt idx="286" formatCode="0.0000">
                  <c:v>0.85543090866203664</c:v>
                </c:pt>
                <c:pt idx="287" formatCode="0.0000">
                  <c:v>0.87661594581968572</c:v>
                </c:pt>
                <c:pt idx="288" formatCode="0.0000">
                  <c:v>0.87740183217501111</c:v>
                </c:pt>
                <c:pt idx="289" formatCode="0.0000">
                  <c:v>0.91868237286539078</c:v>
                </c:pt>
                <c:pt idx="290" formatCode="0.0000">
                  <c:v>0.90613095620193351</c:v>
                </c:pt>
                <c:pt idx="291" formatCode="0.0000">
                  <c:v>0.90053095255266746</c:v>
                </c:pt>
                <c:pt idx="292" formatCode="0.0000">
                  <c:v>0.89054392337608379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67B-44F8-B1B4-EF385005F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3783967"/>
        <c:axId val="1689142512"/>
      </c:lineChart>
      <c:lineChart>
        <c:grouping val="standard"/>
        <c:varyColors val="0"/>
        <c:ser>
          <c:idx val="1"/>
          <c:order val="1"/>
          <c:tx>
            <c:strRef>
              <c:f>'R(t) Województwa'!$T$2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Województwa'!$T$3:$T$1000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0.14285714285714285</c:v>
                </c:pt>
                <c:pt idx="8">
                  <c:v>0.2857142857142857</c:v>
                </c:pt>
                <c:pt idx="9">
                  <c:v>0.8571428571428571</c:v>
                </c:pt>
                <c:pt idx="10">
                  <c:v>1</c:v>
                </c:pt>
                <c:pt idx="11">
                  <c:v>2.1428571428571428</c:v>
                </c:pt>
                <c:pt idx="12">
                  <c:v>2.4285714285714284</c:v>
                </c:pt>
                <c:pt idx="13">
                  <c:v>2.5714285714285716</c:v>
                </c:pt>
                <c:pt idx="14">
                  <c:v>3</c:v>
                </c:pt>
                <c:pt idx="15">
                  <c:v>2.8571428571428572</c:v>
                </c:pt>
                <c:pt idx="16">
                  <c:v>2.7142857142857144</c:v>
                </c:pt>
                <c:pt idx="17">
                  <c:v>3</c:v>
                </c:pt>
                <c:pt idx="18">
                  <c:v>2.2857142857142856</c:v>
                </c:pt>
                <c:pt idx="19">
                  <c:v>3.1428571428571428</c:v>
                </c:pt>
                <c:pt idx="20">
                  <c:v>4.2857142857142856</c:v>
                </c:pt>
                <c:pt idx="21">
                  <c:v>4.5714285714285712</c:v>
                </c:pt>
                <c:pt idx="22">
                  <c:v>5.4285714285714288</c:v>
                </c:pt>
                <c:pt idx="23">
                  <c:v>7</c:v>
                </c:pt>
                <c:pt idx="24">
                  <c:v>7.1428571428571432</c:v>
                </c:pt>
                <c:pt idx="25">
                  <c:v>8</c:v>
                </c:pt>
                <c:pt idx="26">
                  <c:v>9.4285714285714288</c:v>
                </c:pt>
                <c:pt idx="27">
                  <c:v>9.4285714285714288</c:v>
                </c:pt>
                <c:pt idx="28">
                  <c:v>11.142857142857142</c:v>
                </c:pt>
                <c:pt idx="29">
                  <c:v>10.428571428571429</c:v>
                </c:pt>
                <c:pt idx="30">
                  <c:v>11</c:v>
                </c:pt>
                <c:pt idx="31">
                  <c:v>11.428571428571429</c:v>
                </c:pt>
                <c:pt idx="32">
                  <c:v>11.142857142857142</c:v>
                </c:pt>
                <c:pt idx="33">
                  <c:v>9.8571428571428577</c:v>
                </c:pt>
                <c:pt idx="34">
                  <c:v>9.5714285714285712</c:v>
                </c:pt>
                <c:pt idx="35">
                  <c:v>8.5714285714285712</c:v>
                </c:pt>
                <c:pt idx="36">
                  <c:v>9.5714285714285712</c:v>
                </c:pt>
                <c:pt idx="37">
                  <c:v>7.7142857142857144</c:v>
                </c:pt>
                <c:pt idx="38">
                  <c:v>9.1428571428571423</c:v>
                </c:pt>
                <c:pt idx="39">
                  <c:v>8.5714285714285712</c:v>
                </c:pt>
                <c:pt idx="40">
                  <c:v>8.5714285714285712</c:v>
                </c:pt>
                <c:pt idx="41">
                  <c:v>8.4285714285714288</c:v>
                </c:pt>
                <c:pt idx="42">
                  <c:v>7.5714285714285712</c:v>
                </c:pt>
                <c:pt idx="43">
                  <c:v>10</c:v>
                </c:pt>
                <c:pt idx="44">
                  <c:v>10.571428571428571</c:v>
                </c:pt>
                <c:pt idx="45">
                  <c:v>9.7142857142857135</c:v>
                </c:pt>
                <c:pt idx="46">
                  <c:v>9.7142857142857135</c:v>
                </c:pt>
                <c:pt idx="47">
                  <c:v>10.571428571428571</c:v>
                </c:pt>
                <c:pt idx="48">
                  <c:v>10.142857142857142</c:v>
                </c:pt>
                <c:pt idx="49">
                  <c:v>11.428571428571429</c:v>
                </c:pt>
                <c:pt idx="50">
                  <c:v>8.8571428571428577</c:v>
                </c:pt>
                <c:pt idx="51">
                  <c:v>8.1428571428571423</c:v>
                </c:pt>
                <c:pt idx="52">
                  <c:v>7.4285714285714288</c:v>
                </c:pt>
                <c:pt idx="53">
                  <c:v>7.5714285714285712</c:v>
                </c:pt>
                <c:pt idx="54">
                  <c:v>6.1428571428571432</c:v>
                </c:pt>
                <c:pt idx="55">
                  <c:v>6</c:v>
                </c:pt>
                <c:pt idx="56">
                  <c:v>4.4285714285714288</c:v>
                </c:pt>
                <c:pt idx="57">
                  <c:v>3.8571428571428572</c:v>
                </c:pt>
                <c:pt idx="58">
                  <c:v>3.4285714285714284</c:v>
                </c:pt>
                <c:pt idx="59">
                  <c:v>3.2857142857142856</c:v>
                </c:pt>
                <c:pt idx="60">
                  <c:v>3</c:v>
                </c:pt>
                <c:pt idx="61">
                  <c:v>3.2857142857142856</c:v>
                </c:pt>
                <c:pt idx="62">
                  <c:v>3</c:v>
                </c:pt>
                <c:pt idx="63">
                  <c:v>2.8571428571428572</c:v>
                </c:pt>
                <c:pt idx="64">
                  <c:v>3</c:v>
                </c:pt>
                <c:pt idx="65">
                  <c:v>3</c:v>
                </c:pt>
                <c:pt idx="66">
                  <c:v>2.7142857142857144</c:v>
                </c:pt>
                <c:pt idx="67">
                  <c:v>2.7142857142857144</c:v>
                </c:pt>
                <c:pt idx="68">
                  <c:v>2</c:v>
                </c:pt>
                <c:pt idx="69">
                  <c:v>2.5714285714285716</c:v>
                </c:pt>
                <c:pt idx="70">
                  <c:v>2.8571428571428572</c:v>
                </c:pt>
                <c:pt idx="71">
                  <c:v>2.5714285714285716</c:v>
                </c:pt>
                <c:pt idx="72">
                  <c:v>2.7142857142857144</c:v>
                </c:pt>
                <c:pt idx="73">
                  <c:v>2.4285714285714284</c:v>
                </c:pt>
                <c:pt idx="74">
                  <c:v>2.1428571428571428</c:v>
                </c:pt>
                <c:pt idx="75">
                  <c:v>2</c:v>
                </c:pt>
                <c:pt idx="76">
                  <c:v>2.4285714285714284</c:v>
                </c:pt>
                <c:pt idx="77">
                  <c:v>1.8571428571428572</c:v>
                </c:pt>
                <c:pt idx="78">
                  <c:v>1.8571428571428572</c:v>
                </c:pt>
                <c:pt idx="79">
                  <c:v>2.4285714285714284</c:v>
                </c:pt>
                <c:pt idx="80">
                  <c:v>2.7142857142857144</c:v>
                </c:pt>
                <c:pt idx="81">
                  <c:v>2.8571428571428572</c:v>
                </c:pt>
                <c:pt idx="82">
                  <c:v>4.5714285714285712</c:v>
                </c:pt>
                <c:pt idx="83">
                  <c:v>5.2857142857142856</c:v>
                </c:pt>
                <c:pt idx="84">
                  <c:v>5.7142857142857144</c:v>
                </c:pt>
                <c:pt idx="85">
                  <c:v>8.2857142857142865</c:v>
                </c:pt>
                <c:pt idx="86">
                  <c:v>9.7142857142857135</c:v>
                </c:pt>
                <c:pt idx="87">
                  <c:v>9.4285714285714288</c:v>
                </c:pt>
                <c:pt idx="88">
                  <c:v>9.2857142857142865</c:v>
                </c:pt>
                <c:pt idx="89">
                  <c:v>8.4285714285714288</c:v>
                </c:pt>
                <c:pt idx="90">
                  <c:v>7</c:v>
                </c:pt>
                <c:pt idx="91">
                  <c:v>6.5714285714285712</c:v>
                </c:pt>
                <c:pt idx="92">
                  <c:v>4.8571428571428568</c:v>
                </c:pt>
                <c:pt idx="93">
                  <c:v>2.7142857142857144</c:v>
                </c:pt>
                <c:pt idx="94">
                  <c:v>2.7142857142857144</c:v>
                </c:pt>
                <c:pt idx="95">
                  <c:v>3.1428571428571428</c:v>
                </c:pt>
                <c:pt idx="96">
                  <c:v>3</c:v>
                </c:pt>
                <c:pt idx="97">
                  <c:v>2.8571428571428572</c:v>
                </c:pt>
                <c:pt idx="98">
                  <c:v>3.4285714285714284</c:v>
                </c:pt>
                <c:pt idx="99">
                  <c:v>2.4285714285714284</c:v>
                </c:pt>
                <c:pt idx="100">
                  <c:v>2.5714285714285716</c:v>
                </c:pt>
                <c:pt idx="101">
                  <c:v>2.7142857142857144</c:v>
                </c:pt>
                <c:pt idx="102">
                  <c:v>3.1428571428571428</c:v>
                </c:pt>
                <c:pt idx="103">
                  <c:v>4.1428571428571432</c:v>
                </c:pt>
                <c:pt idx="104">
                  <c:v>4.1428571428571432</c:v>
                </c:pt>
                <c:pt idx="105">
                  <c:v>4.8571428571428568</c:v>
                </c:pt>
                <c:pt idx="106">
                  <c:v>6.2857142857142856</c:v>
                </c:pt>
                <c:pt idx="107">
                  <c:v>6.8571428571428568</c:v>
                </c:pt>
                <c:pt idx="108">
                  <c:v>8.7142857142857135</c:v>
                </c:pt>
                <c:pt idx="109">
                  <c:v>8.5714285714285712</c:v>
                </c:pt>
                <c:pt idx="110">
                  <c:v>8.2857142857142865</c:v>
                </c:pt>
                <c:pt idx="111">
                  <c:v>8.8571428571428577</c:v>
                </c:pt>
                <c:pt idx="112">
                  <c:v>8.1428571428571423</c:v>
                </c:pt>
                <c:pt idx="113">
                  <c:v>7.1428571428571432</c:v>
                </c:pt>
                <c:pt idx="114">
                  <c:v>7</c:v>
                </c:pt>
                <c:pt idx="115">
                  <c:v>5.2857142857142856</c:v>
                </c:pt>
                <c:pt idx="116">
                  <c:v>6</c:v>
                </c:pt>
                <c:pt idx="117">
                  <c:v>5.8571428571428568</c:v>
                </c:pt>
                <c:pt idx="118">
                  <c:v>6.4285714285714288</c:v>
                </c:pt>
                <c:pt idx="119">
                  <c:v>5.8571428571428568</c:v>
                </c:pt>
                <c:pt idx="120">
                  <c:v>6.2857142857142856</c:v>
                </c:pt>
                <c:pt idx="121">
                  <c:v>6.4285714285714288</c:v>
                </c:pt>
                <c:pt idx="122">
                  <c:v>6.5714285714285712</c:v>
                </c:pt>
                <c:pt idx="123">
                  <c:v>6.5714285714285712</c:v>
                </c:pt>
                <c:pt idx="124">
                  <c:v>7.1428571428571432</c:v>
                </c:pt>
                <c:pt idx="125">
                  <c:v>9.5714285714285712</c:v>
                </c:pt>
                <c:pt idx="126">
                  <c:v>11.714285714285714</c:v>
                </c:pt>
                <c:pt idx="127">
                  <c:v>12.142857142857142</c:v>
                </c:pt>
                <c:pt idx="128">
                  <c:v>11.857142857142858</c:v>
                </c:pt>
                <c:pt idx="129">
                  <c:v>13.142857142857142</c:v>
                </c:pt>
                <c:pt idx="130">
                  <c:v>13.714285714285714</c:v>
                </c:pt>
                <c:pt idx="131">
                  <c:v>17.428571428571427</c:v>
                </c:pt>
                <c:pt idx="132">
                  <c:v>14.857142857142858</c:v>
                </c:pt>
                <c:pt idx="133">
                  <c:v>14.428571428571429</c:v>
                </c:pt>
                <c:pt idx="134">
                  <c:v>14.571428571428571</c:v>
                </c:pt>
                <c:pt idx="135">
                  <c:v>14.571428571428571</c:v>
                </c:pt>
                <c:pt idx="136">
                  <c:v>14.285714285714286</c:v>
                </c:pt>
                <c:pt idx="137">
                  <c:v>14.428571428571429</c:v>
                </c:pt>
                <c:pt idx="138">
                  <c:v>9.7142857142857135</c:v>
                </c:pt>
                <c:pt idx="139">
                  <c:v>8.5714285714285712</c:v>
                </c:pt>
                <c:pt idx="140">
                  <c:v>7.1428571428571432</c:v>
                </c:pt>
                <c:pt idx="141">
                  <c:v>6.5714285714285712</c:v>
                </c:pt>
                <c:pt idx="142">
                  <c:v>6.1428571428571432</c:v>
                </c:pt>
                <c:pt idx="143">
                  <c:v>5.5714285714285712</c:v>
                </c:pt>
                <c:pt idx="144">
                  <c:v>5.1428571428571432</c:v>
                </c:pt>
                <c:pt idx="145">
                  <c:v>6</c:v>
                </c:pt>
                <c:pt idx="146">
                  <c:v>6.4285714285714288</c:v>
                </c:pt>
                <c:pt idx="147">
                  <c:v>6.1428571428571432</c:v>
                </c:pt>
                <c:pt idx="148">
                  <c:v>7.7142857142857144</c:v>
                </c:pt>
                <c:pt idx="149">
                  <c:v>9.1428571428571423</c:v>
                </c:pt>
                <c:pt idx="150">
                  <c:v>11</c:v>
                </c:pt>
                <c:pt idx="151">
                  <c:v>11.857142857142858</c:v>
                </c:pt>
                <c:pt idx="152">
                  <c:v>11</c:v>
                </c:pt>
                <c:pt idx="153">
                  <c:v>12.428571428571429</c:v>
                </c:pt>
                <c:pt idx="154">
                  <c:v>13.571428571428571</c:v>
                </c:pt>
                <c:pt idx="155">
                  <c:v>14.571428571428571</c:v>
                </c:pt>
                <c:pt idx="156">
                  <c:v>14.857142857142858</c:v>
                </c:pt>
                <c:pt idx="157">
                  <c:v>14</c:v>
                </c:pt>
                <c:pt idx="158">
                  <c:v>14.571428571428571</c:v>
                </c:pt>
                <c:pt idx="159">
                  <c:v>16</c:v>
                </c:pt>
                <c:pt idx="160">
                  <c:v>16.571428571428573</c:v>
                </c:pt>
                <c:pt idx="161">
                  <c:v>16.571428571428573</c:v>
                </c:pt>
                <c:pt idx="162">
                  <c:v>18.571428571428573</c:v>
                </c:pt>
                <c:pt idx="163">
                  <c:v>23.285714285714285</c:v>
                </c:pt>
                <c:pt idx="164">
                  <c:v>24.571428571428573</c:v>
                </c:pt>
                <c:pt idx="165">
                  <c:v>23.714285714285715</c:v>
                </c:pt>
                <c:pt idx="166">
                  <c:v>21.285714285714285</c:v>
                </c:pt>
                <c:pt idx="167">
                  <c:v>19.714285714285715</c:v>
                </c:pt>
                <c:pt idx="168">
                  <c:v>21.285714285714285</c:v>
                </c:pt>
                <c:pt idx="169">
                  <c:v>19.714285714285715</c:v>
                </c:pt>
                <c:pt idx="170">
                  <c:v>15.428571428571429</c:v>
                </c:pt>
                <c:pt idx="171">
                  <c:v>15.142857142857142</c:v>
                </c:pt>
                <c:pt idx="172">
                  <c:v>16.142857142857142</c:v>
                </c:pt>
                <c:pt idx="173">
                  <c:v>17.857142857142858</c:v>
                </c:pt>
                <c:pt idx="174">
                  <c:v>18</c:v>
                </c:pt>
                <c:pt idx="175">
                  <c:v>19.428571428571427</c:v>
                </c:pt>
                <c:pt idx="176">
                  <c:v>18.285714285714285</c:v>
                </c:pt>
                <c:pt idx="177">
                  <c:v>18</c:v>
                </c:pt>
                <c:pt idx="178">
                  <c:v>18.857142857142858</c:v>
                </c:pt>
                <c:pt idx="179">
                  <c:v>17.857142857142858</c:v>
                </c:pt>
                <c:pt idx="180">
                  <c:v>26</c:v>
                </c:pt>
                <c:pt idx="181">
                  <c:v>27.571428571428573</c:v>
                </c:pt>
                <c:pt idx="182">
                  <c:v>25.285714285714285</c:v>
                </c:pt>
                <c:pt idx="183">
                  <c:v>25.142857142857142</c:v>
                </c:pt>
                <c:pt idx="184">
                  <c:v>28.857142857142858</c:v>
                </c:pt>
                <c:pt idx="185">
                  <c:v>28.857142857142858</c:v>
                </c:pt>
                <c:pt idx="186">
                  <c:v>28.714285714285715</c:v>
                </c:pt>
                <c:pt idx="187">
                  <c:v>20.714285714285715</c:v>
                </c:pt>
                <c:pt idx="188">
                  <c:v>20</c:v>
                </c:pt>
                <c:pt idx="189">
                  <c:v>19</c:v>
                </c:pt>
                <c:pt idx="190">
                  <c:v>19</c:v>
                </c:pt>
                <c:pt idx="191">
                  <c:v>16.285714285714285</c:v>
                </c:pt>
                <c:pt idx="192">
                  <c:v>16.142857142857142</c:v>
                </c:pt>
                <c:pt idx="193">
                  <c:v>18.142857142857142</c:v>
                </c:pt>
                <c:pt idx="194">
                  <c:v>20</c:v>
                </c:pt>
                <c:pt idx="195">
                  <c:v>18.714285714285715</c:v>
                </c:pt>
                <c:pt idx="196">
                  <c:v>21</c:v>
                </c:pt>
                <c:pt idx="197">
                  <c:v>24.285714285714285</c:v>
                </c:pt>
                <c:pt idx="198">
                  <c:v>21.714285714285715</c:v>
                </c:pt>
                <c:pt idx="199">
                  <c:v>23.571428571428573</c:v>
                </c:pt>
                <c:pt idx="200">
                  <c:v>36.857142857142854</c:v>
                </c:pt>
                <c:pt idx="201">
                  <c:v>38.142857142857146</c:v>
                </c:pt>
                <c:pt idx="202">
                  <c:v>44.428571428571431</c:v>
                </c:pt>
                <c:pt idx="203">
                  <c:v>44.285714285714285</c:v>
                </c:pt>
                <c:pt idx="204">
                  <c:v>44.857142857142854</c:v>
                </c:pt>
                <c:pt idx="205">
                  <c:v>52.714285714285715</c:v>
                </c:pt>
                <c:pt idx="206">
                  <c:v>55.571428571428569</c:v>
                </c:pt>
                <c:pt idx="207">
                  <c:v>46.714285714285715</c:v>
                </c:pt>
                <c:pt idx="208">
                  <c:v>52.714285714285715</c:v>
                </c:pt>
                <c:pt idx="209">
                  <c:v>58.285714285714285</c:v>
                </c:pt>
                <c:pt idx="210">
                  <c:v>59.428571428571431</c:v>
                </c:pt>
                <c:pt idx="211">
                  <c:v>64.571428571428569</c:v>
                </c:pt>
                <c:pt idx="212">
                  <c:v>70.285714285714292</c:v>
                </c:pt>
                <c:pt idx="213">
                  <c:v>75.714285714285708</c:v>
                </c:pt>
                <c:pt idx="214">
                  <c:v>83.714285714285708</c:v>
                </c:pt>
                <c:pt idx="215">
                  <c:v>87.285714285714292</c:v>
                </c:pt>
                <c:pt idx="216">
                  <c:v>99.428571428571431</c:v>
                </c:pt>
                <c:pt idx="217">
                  <c:v>115</c:v>
                </c:pt>
                <c:pt idx="218">
                  <c:v>118.42857142857143</c:v>
                </c:pt>
                <c:pt idx="219">
                  <c:v>133.57142857142858</c:v>
                </c:pt>
                <c:pt idx="220">
                  <c:v>146.14285714285714</c:v>
                </c:pt>
                <c:pt idx="221">
                  <c:v>165.42857142857142</c:v>
                </c:pt>
                <c:pt idx="222">
                  <c:v>194.28571428571428</c:v>
                </c:pt>
                <c:pt idx="223">
                  <c:v>223.85714285714286</c:v>
                </c:pt>
                <c:pt idx="224">
                  <c:v>227.42857142857142</c:v>
                </c:pt>
                <c:pt idx="225">
                  <c:v>248.85714285714286</c:v>
                </c:pt>
                <c:pt idx="226">
                  <c:v>264.71428571428572</c:v>
                </c:pt>
                <c:pt idx="227">
                  <c:v>278.85714285714283</c:v>
                </c:pt>
                <c:pt idx="228">
                  <c:v>304.28571428571428</c:v>
                </c:pt>
                <c:pt idx="229">
                  <c:v>343.71428571428572</c:v>
                </c:pt>
                <c:pt idx="230">
                  <c:v>364.71428571428572</c:v>
                </c:pt>
                <c:pt idx="231">
                  <c:v>372.71428571428572</c:v>
                </c:pt>
                <c:pt idx="232">
                  <c:v>430.14285714285717</c:v>
                </c:pt>
                <c:pt idx="233">
                  <c:v>443.85714285714283</c:v>
                </c:pt>
                <c:pt idx="234">
                  <c:v>509.42857142857144</c:v>
                </c:pt>
                <c:pt idx="235">
                  <c:v>550.28571428571433</c:v>
                </c:pt>
                <c:pt idx="236">
                  <c:v>567.42857142857144</c:v>
                </c:pt>
                <c:pt idx="237">
                  <c:v>599.42857142857144</c:v>
                </c:pt>
                <c:pt idx="238">
                  <c:v>625.28571428571433</c:v>
                </c:pt>
                <c:pt idx="239">
                  <c:v>631.28571428571433</c:v>
                </c:pt>
                <c:pt idx="240">
                  <c:v>815.42857142857144</c:v>
                </c:pt>
                <c:pt idx="241">
                  <c:v>917.14285714285711</c:v>
                </c:pt>
                <c:pt idx="242">
                  <c:v>1037.7142857142858</c:v>
                </c:pt>
                <c:pt idx="243">
                  <c:v>1190.2857142857142</c:v>
                </c:pt>
                <c:pt idx="244">
                  <c:v>1232.1428571428571</c:v>
                </c:pt>
                <c:pt idx="245">
                  <c:v>1359.2857142857142</c:v>
                </c:pt>
                <c:pt idx="246">
                  <c:v>1479.7142857142858</c:v>
                </c:pt>
                <c:pt idx="247">
                  <c:v>1351.8571428571429</c:v>
                </c:pt>
                <c:pt idx="248">
                  <c:v>1364.2857142857142</c:v>
                </c:pt>
                <c:pt idx="249">
                  <c:v>1397.8571428571429</c:v>
                </c:pt>
                <c:pt idx="250">
                  <c:v>1392.1428571428571</c:v>
                </c:pt>
                <c:pt idx="251">
                  <c:v>1414.7142857142858</c:v>
                </c:pt>
                <c:pt idx="252">
                  <c:v>1371.1428571428571</c:v>
                </c:pt>
                <c:pt idx="253">
                  <c:v>1357.7142857142858</c:v>
                </c:pt>
                <c:pt idx="254">
                  <c:v>1361.4285714285713</c:v>
                </c:pt>
                <c:pt idx="255">
                  <c:v>1216.2857142857142</c:v>
                </c:pt>
                <c:pt idx="256">
                  <c:v>1183.2857142857142</c:v>
                </c:pt>
                <c:pt idx="257">
                  <c:v>1114.7142857142858</c:v>
                </c:pt>
                <c:pt idx="258">
                  <c:v>1109.2857142857142</c:v>
                </c:pt>
                <c:pt idx="259">
                  <c:v>1153.4285714285713</c:v>
                </c:pt>
                <c:pt idx="260">
                  <c:v>1036</c:v>
                </c:pt>
                <c:pt idx="261">
                  <c:v>1075.5714285714287</c:v>
                </c:pt>
                <c:pt idx="262">
                  <c:v>1096.8571428571429</c:v>
                </c:pt>
                <c:pt idx="263">
                  <c:v>1102.1428571428571</c:v>
                </c:pt>
                <c:pt idx="264">
                  <c:v>1052.4285714285713</c:v>
                </c:pt>
                <c:pt idx="265">
                  <c:v>999.85714285714289</c:v>
                </c:pt>
                <c:pt idx="266">
                  <c:v>910.71428571428567</c:v>
                </c:pt>
                <c:pt idx="267">
                  <c:v>954.28571428571433</c:v>
                </c:pt>
                <c:pt idx="268">
                  <c:v>942.71428571428567</c:v>
                </c:pt>
                <c:pt idx="269">
                  <c:v>960.85714285714289</c:v>
                </c:pt>
                <c:pt idx="270">
                  <c:v>866.14285714285711</c:v>
                </c:pt>
                <c:pt idx="271">
                  <c:v>825.57142857142856</c:v>
                </c:pt>
                <c:pt idx="272">
                  <c:v>752.71428571428567</c:v>
                </c:pt>
                <c:pt idx="273">
                  <c:v>735.14285714285711</c:v>
                </c:pt>
                <c:pt idx="274">
                  <c:v>710.42857142857144</c:v>
                </c:pt>
                <c:pt idx="275">
                  <c:v>677</c:v>
                </c:pt>
                <c:pt idx="276">
                  <c:v>664.28571428571433</c:v>
                </c:pt>
                <c:pt idx="277">
                  <c:v>634.42857142857144</c:v>
                </c:pt>
                <c:pt idx="278">
                  <c:v>596.85714285714289</c:v>
                </c:pt>
                <c:pt idx="279">
                  <c:v>581.42857142857144</c:v>
                </c:pt>
                <c:pt idx="280">
                  <c:v>562.71428571428567</c:v>
                </c:pt>
                <c:pt idx="281">
                  <c:v>558.28571428571433</c:v>
                </c:pt>
                <c:pt idx="282">
                  <c:v>533.28571428571433</c:v>
                </c:pt>
                <c:pt idx="283">
                  <c:v>522.71428571428567</c:v>
                </c:pt>
                <c:pt idx="284">
                  <c:v>525.14285714285711</c:v>
                </c:pt>
                <c:pt idx="285">
                  <c:v>528.71428571428567</c:v>
                </c:pt>
                <c:pt idx="286">
                  <c:v>529</c:v>
                </c:pt>
                <c:pt idx="287">
                  <c:v>532</c:v>
                </c:pt>
                <c:pt idx="288">
                  <c:v>519.57142857142856</c:v>
                </c:pt>
                <c:pt idx="289">
                  <c:v>531.14285714285711</c:v>
                </c:pt>
                <c:pt idx="290">
                  <c:v>516.14285714285711</c:v>
                </c:pt>
                <c:pt idx="291">
                  <c:v>502.57142857142856</c:v>
                </c:pt>
                <c:pt idx="292">
                  <c:v>491.28571428571428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67B-44F8-B1B4-EF385005F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28239"/>
        <c:axId val="900255836"/>
      </c:lineChart>
      <c:catAx>
        <c:axId val="603783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689142512"/>
        <c:crosses val="autoZero"/>
        <c:auto val="1"/>
        <c:lblAlgn val="ctr"/>
        <c:lblOffset val="100"/>
        <c:noMultiLvlLbl val="1"/>
      </c:catAx>
      <c:valAx>
        <c:axId val="1689142512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603783967"/>
        <c:crosses val="autoZero"/>
        <c:crossBetween val="between"/>
      </c:valAx>
      <c:catAx>
        <c:axId val="1528282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00255836"/>
        <c:crosses val="autoZero"/>
        <c:auto val="1"/>
        <c:lblAlgn val="ctr"/>
        <c:lblOffset val="100"/>
        <c:noMultiLvlLbl val="1"/>
      </c:catAx>
      <c:valAx>
        <c:axId val="900255836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52828239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Lubuskiego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Województwa'!$AE$2</c:f>
              <c:strCache>
                <c:ptCount val="1"/>
                <c:pt idx="0">
                  <c:v>Lubuskie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Województwa'!$AE$3:$AE$1000</c:f>
              <c:numCache>
                <c:formatCode>General</c:formatCode>
                <c:ptCount val="998"/>
                <c:pt idx="84" formatCode="0.0000">
                  <c:v>0.2587377420165955</c:v>
                </c:pt>
                <c:pt idx="85" formatCode="0.0000">
                  <c:v>0.12936887100829814</c:v>
                </c:pt>
                <c:pt idx="86" formatCode="0.0000">
                  <c:v>0.16127080028749941</c:v>
                </c:pt>
                <c:pt idx="87" formatCode="0.0000">
                  <c:v>0.15258972102471152</c:v>
                </c:pt>
                <c:pt idx="88" formatCode="0.0000">
                  <c:v>0.17990699508364816</c:v>
                </c:pt>
                <c:pt idx="89" formatCode="0.0000">
                  <c:v>0.14992249590304016</c:v>
                </c:pt>
                <c:pt idx="90" formatCode="0.0000">
                  <c:v>0.18214828801659347</c:v>
                </c:pt>
                <c:pt idx="91" formatCode="0.0000">
                  <c:v>0.20408354367219195</c:v>
                </c:pt>
                <c:pt idx="92" formatCode="0.0000">
                  <c:v>0.26837958817453073</c:v>
                </c:pt>
                <c:pt idx="93" formatCode="0.0000">
                  <c:v>0.23622606548225905</c:v>
                </c:pt>
                <c:pt idx="94" formatCode="0.0000">
                  <c:v>0.29955551222134125</c:v>
                </c:pt>
                <c:pt idx="95" formatCode="0.0000">
                  <c:v>0.2582446420328563</c:v>
                </c:pt>
                <c:pt idx="96" formatCode="0.0000">
                  <c:v>0.35943839551597462</c:v>
                </c:pt>
                <c:pt idx="97" formatCode="0.0000">
                  <c:v>0.30579510398770143</c:v>
                </c:pt>
                <c:pt idx="98" formatCode="0.0000">
                  <c:v>0.43168527514045751</c:v>
                </c:pt>
                <c:pt idx="99" formatCode="0.0000">
                  <c:v>0.36738923063811868</c:v>
                </c:pt>
                <c:pt idx="100" formatCode="0.0000">
                  <c:v>0.36738923063811862</c:v>
                </c:pt>
                <c:pt idx="101" formatCode="0.0000">
                  <c:v>0.36644673326028004</c:v>
                </c:pt>
                <c:pt idx="102" formatCode="0.0000">
                  <c:v>0.45226621120445604</c:v>
                </c:pt>
                <c:pt idx="103" formatCode="0.0000">
                  <c:v>0.4420829623309997</c:v>
                </c:pt>
                <c:pt idx="104" formatCode="0.0000">
                  <c:v>0.53807007610491764</c:v>
                </c:pt>
                <c:pt idx="105" formatCode="0.0000">
                  <c:v>0.35328211472276372</c:v>
                </c:pt>
                <c:pt idx="106" formatCode="0.0000">
                  <c:v>1.175724789285816</c:v>
                </c:pt>
                <c:pt idx="107" formatCode="0.0000">
                  <c:v>1.175724789285816</c:v>
                </c:pt>
                <c:pt idx="108" formatCode="0.0000">
                  <c:v>1.0952597708908087</c:v>
                </c:pt>
                <c:pt idx="109" formatCode="0.0000">
                  <c:v>1.2950811357450163</c:v>
                </c:pt>
                <c:pt idx="110" formatCode="0.0000">
                  <c:v>1.2873878977983488</c:v>
                </c:pt>
                <c:pt idx="111" formatCode="0.0000">
                  <c:v>1.2799928088790586</c:v>
                </c:pt>
                <c:pt idx="112" formatCode="0.0000">
                  <c:v>1.2799928088790586</c:v>
                </c:pt>
                <c:pt idx="113" formatCode="0.0000">
                  <c:v>0.45755013431600638</c:v>
                </c:pt>
                <c:pt idx="114" formatCode="0.0000">
                  <c:v>0.5850526634928741</c:v>
                </c:pt>
                <c:pt idx="115" formatCode="0.0000">
                  <c:v>0.71454347404085161</c:v>
                </c:pt>
                <c:pt idx="116" formatCode="0.0000">
                  <c:v>0.69139278293381301</c:v>
                </c:pt>
                <c:pt idx="117" formatCode="0.0000">
                  <c:v>0.60807551627081846</c:v>
                </c:pt>
                <c:pt idx="118" formatCode="0.0000">
                  <c:v>0.51948349141619043</c:v>
                </c:pt>
                <c:pt idx="119" formatCode="0.0000">
                  <c:v>0.83858650035332416</c:v>
                </c:pt>
                <c:pt idx="120" formatCode="0.0000">
                  <c:v>0.83858650035332405</c:v>
                </c:pt>
                <c:pt idx="121" formatCode="0.0000">
                  <c:v>0.71108397117645639</c:v>
                </c:pt>
                <c:pt idx="122" formatCode="0.0000">
                  <c:v>0.58159316062847866</c:v>
                </c:pt>
                <c:pt idx="123" formatCode="0.0000">
                  <c:v>0.31910300893713411</c:v>
                </c:pt>
                <c:pt idx="124" formatCode="0.0000">
                  <c:v>0.31910300893713411</c:v>
                </c:pt>
                <c:pt idx="125" formatCode="0.0000">
                  <c:v>0.61228462992878308</c:v>
                </c:pt>
                <c:pt idx="126" formatCode="0.0000">
                  <c:v>0.29318162099164952</c:v>
                </c:pt>
                <c:pt idx="127" formatCode="0.0000">
                  <c:v>0.29318162099164968</c:v>
                </c:pt>
                <c:pt idx="128" formatCode="0.0000">
                  <c:v>1.3338951835312773</c:v>
                </c:pt>
                <c:pt idx="129" formatCode="0.0000">
                  <c:v>5.903583876111357</c:v>
                </c:pt>
                <c:pt idx="130" formatCode="0.0000">
                  <c:v>6.1056769899606733</c:v>
                </c:pt>
                <c:pt idx="131" formatCode="0.0000">
                  <c:v>7.632008190061577</c:v>
                </c:pt>
                <c:pt idx="132" formatCode="0.0000">
                  <c:v>7.405532910118886</c:v>
                </c:pt>
                <c:pt idx="133" formatCode="0.0000">
                  <c:v>7.4921786629272669</c:v>
                </c:pt>
                <c:pt idx="134" formatCode="0.0000">
                  <c:v>7.6757912895150282</c:v>
                </c:pt>
                <c:pt idx="135" formatCode="0.0000">
                  <c:v>6.6938852084822011</c:v>
                </c:pt>
                <c:pt idx="136" formatCode="0.0000">
                  <c:v>2.3970626155777417</c:v>
                </c:pt>
                <c:pt idx="137" formatCode="0.0000">
                  <c:v>2.2801950936649718</c:v>
                </c:pt>
                <c:pt idx="138" formatCode="0.0000">
                  <c:v>1.130687452773681</c:v>
                </c:pt>
                <c:pt idx="139" formatCode="0.0000">
                  <c:v>1.1861314568932673</c:v>
                </c:pt>
                <c:pt idx="140" formatCode="0.0000">
                  <c:v>1.2117455567952002</c:v>
                </c:pt>
                <c:pt idx="141" formatCode="0.0000">
                  <c:v>1.0796009809608818</c:v>
                </c:pt>
                <c:pt idx="142" formatCode="0.0000">
                  <c:v>1.1482442192163738</c:v>
                </c:pt>
                <c:pt idx="143" formatCode="0.0000">
                  <c:v>1.0048231238062737</c:v>
                </c:pt>
                <c:pt idx="144" formatCode="0.0000">
                  <c:v>1.0216456633137416</c:v>
                </c:pt>
                <c:pt idx="145" formatCode="0.0000">
                  <c:v>0.72081481392659896</c:v>
                </c:pt>
                <c:pt idx="146" formatCode="0.0000">
                  <c:v>0.66381488206368722</c:v>
                </c:pt>
                <c:pt idx="147" formatCode="0.0000">
                  <c:v>0.62219461373844731</c:v>
                </c:pt>
                <c:pt idx="148" formatCode="0.0000">
                  <c:v>0.76107179162702099</c:v>
                </c:pt>
                <c:pt idx="149" formatCode="0.0000">
                  <c:v>0.81533696078521811</c:v>
                </c:pt>
                <c:pt idx="150" formatCode="0.0000">
                  <c:v>0.8783025980722583</c:v>
                </c:pt>
                <c:pt idx="151" formatCode="0.0000">
                  <c:v>0.9262486200836737</c:v>
                </c:pt>
                <c:pt idx="152" formatCode="0.0000">
                  <c:v>0.9991871399519151</c:v>
                </c:pt>
                <c:pt idx="153" formatCode="0.0000">
                  <c:v>1.147860827819674</c:v>
                </c:pt>
                <c:pt idx="154" formatCode="0.0000">
                  <c:v>1.1540116974016754</c:v>
                </c:pt>
                <c:pt idx="155" formatCode="0.0000">
                  <c:v>1.1774453092178858</c:v>
                </c:pt>
                <c:pt idx="156" formatCode="0.0000">
                  <c:v>1.1185733311150126</c:v>
                </c:pt>
                <c:pt idx="157" formatCode="0.0000">
                  <c:v>1.2552133221208348</c:v>
                </c:pt>
                <c:pt idx="158" formatCode="0.0000">
                  <c:v>1.4354578244352543</c:v>
                </c:pt>
                <c:pt idx="159" formatCode="0.0000">
                  <c:v>1.5090253634577309</c:v>
                </c:pt>
                <c:pt idx="160" formatCode="0.0000">
                  <c:v>1.5631127547648198</c:v>
                </c:pt>
                <c:pt idx="161" formatCode="0.0000">
                  <c:v>1.5046401503767908</c:v>
                </c:pt>
                <c:pt idx="162" formatCode="0.0000">
                  <c:v>1.3013231441496125</c:v>
                </c:pt>
                <c:pt idx="163" formatCode="0.0000">
                  <c:v>1.2025958254506592</c:v>
                </c:pt>
                <c:pt idx="164" formatCode="0.0000">
                  <c:v>0.98300940182130858</c:v>
                </c:pt>
                <c:pt idx="165" formatCode="0.0000">
                  <c:v>0.79432801990560387</c:v>
                </c:pt>
                <c:pt idx="166" formatCode="0.0000">
                  <c:v>0.68522246660159247</c:v>
                </c:pt>
                <c:pt idx="167" formatCode="0.0000">
                  <c:v>0.53414662672185342</c:v>
                </c:pt>
                <c:pt idx="168" formatCode="0.0000">
                  <c:v>0.72575372929100301</c:v>
                </c:pt>
                <c:pt idx="169" formatCode="0.0000">
                  <c:v>0.82770941386126684</c:v>
                </c:pt>
                <c:pt idx="170" formatCode="0.0000">
                  <c:v>0.91953972055418376</c:v>
                </c:pt>
                <c:pt idx="171" formatCode="0.0000">
                  <c:v>0.82496967967363966</c:v>
                </c:pt>
                <c:pt idx="172" formatCode="0.0000">
                  <c:v>0.7688111195106917</c:v>
                </c:pt>
                <c:pt idx="173" formatCode="0.0000">
                  <c:v>0.72790167889407109</c:v>
                </c:pt>
                <c:pt idx="174" formatCode="0.0000">
                  <c:v>0.61106602629333062</c:v>
                </c:pt>
                <c:pt idx="175" formatCode="0.0000">
                  <c:v>0.53759005433720142</c:v>
                </c:pt>
                <c:pt idx="176" formatCode="0.0000">
                  <c:v>0.51672520674009681</c:v>
                </c:pt>
                <c:pt idx="177" formatCode="0.0000">
                  <c:v>0.69028954246671914</c:v>
                </c:pt>
                <c:pt idx="178" formatCode="0.0000">
                  <c:v>0.86475799692047273</c:v>
                </c:pt>
                <c:pt idx="179" formatCode="0.0000">
                  <c:v>1.0206227085820794</c:v>
                </c:pt>
                <c:pt idx="180" formatCode="0.0000">
                  <c:v>1.2593078136748115</c:v>
                </c:pt>
                <c:pt idx="181" formatCode="0.0000">
                  <c:v>1.3846445790454547</c:v>
                </c:pt>
                <c:pt idx="182" formatCode="0.0000">
                  <c:v>1.3917139556832629</c:v>
                </c:pt>
                <c:pt idx="183" formatCode="0.0000">
                  <c:v>1.4435848076713744</c:v>
                </c:pt>
                <c:pt idx="184" formatCode="0.0000">
                  <c:v>1.2655620573976709</c:v>
                </c:pt>
                <c:pt idx="185" formatCode="0.0000">
                  <c:v>1.2899546928087915</c:v>
                </c:pt>
                <c:pt idx="186" formatCode="0.0000">
                  <c:v>1.2636491302293844</c:v>
                </c:pt>
                <c:pt idx="187" formatCode="0.0000">
                  <c:v>0.98112332980484307</c:v>
                </c:pt>
                <c:pt idx="188" formatCode="0.0000">
                  <c:v>0.87195473683179625</c:v>
                </c:pt>
                <c:pt idx="189" formatCode="0.0000">
                  <c:v>0.80249096926368413</c:v>
                </c:pt>
                <c:pt idx="190" formatCode="0.0000">
                  <c:v>0.77835673785532777</c:v>
                </c:pt>
                <c:pt idx="191" formatCode="0.0000">
                  <c:v>0.78903679537335381</c:v>
                </c:pt>
                <c:pt idx="192" formatCode="0.0000">
                  <c:v>0.67923939832408242</c:v>
                </c:pt>
                <c:pt idx="193" formatCode="0.0000">
                  <c:v>0.61571312069353945</c:v>
                </c:pt>
                <c:pt idx="194" formatCode="0.0000">
                  <c:v>0.71576505481737041</c:v>
                </c:pt>
                <c:pt idx="195" formatCode="0.0000">
                  <c:v>0.80838337545100625</c:v>
                </c:pt>
                <c:pt idx="196" formatCode="0.0000">
                  <c:v>0.84695244030186101</c:v>
                </c:pt>
                <c:pt idx="197" formatCode="0.0000">
                  <c:v>0.82057100029909447</c:v>
                </c:pt>
                <c:pt idx="198" formatCode="0.0000">
                  <c:v>0.79619497728266775</c:v>
                </c:pt>
                <c:pt idx="199" formatCode="0.0000">
                  <c:v>1.0762651403294075</c:v>
                </c:pt>
                <c:pt idx="200" formatCode="0.0000">
                  <c:v>1.0898510795357386</c:v>
                </c:pt>
                <c:pt idx="201" formatCode="0.0000">
                  <c:v>1.1629560076935586</c:v>
                </c:pt>
                <c:pt idx="202" formatCode="0.0000">
                  <c:v>1.340020566232107</c:v>
                </c:pt>
                <c:pt idx="203" formatCode="0.0000">
                  <c:v>1.3607781077745558</c:v>
                </c:pt>
                <c:pt idx="204" formatCode="0.0000">
                  <c:v>1.5540168063637394</c:v>
                </c:pt>
                <c:pt idx="205" formatCode="0.0000">
                  <c:v>1.7506755422173927</c:v>
                </c:pt>
                <c:pt idx="206" formatCode="0.0000">
                  <c:v>1.5584151200241518</c:v>
                </c:pt>
                <c:pt idx="207" formatCode="0.0000">
                  <c:v>1.5396580129280686</c:v>
                </c:pt>
                <c:pt idx="208" formatCode="0.0000">
                  <c:v>1.4107402417870918</c:v>
                </c:pt>
                <c:pt idx="209" formatCode="0.0000">
                  <c:v>1.634266997025642</c:v>
                </c:pt>
                <c:pt idx="210" formatCode="0.0000">
                  <c:v>1.6538110486780204</c:v>
                </c:pt>
                <c:pt idx="211" formatCode="0.0000">
                  <c:v>1.6799289101645551</c:v>
                </c:pt>
                <c:pt idx="212" formatCode="0.0000">
                  <c:v>1.6120468151569622</c:v>
                </c:pt>
                <c:pt idx="213" formatCode="0.0000">
                  <c:v>1.6144134898509719</c:v>
                </c:pt>
                <c:pt idx="214" formatCode="0.0000">
                  <c:v>1.8658934506893037</c:v>
                </c:pt>
                <c:pt idx="215" formatCode="0.0000">
                  <c:v>2.3363611544125971</c:v>
                </c:pt>
                <c:pt idx="216" formatCode="0.0000">
                  <c:v>2.045216757489499</c:v>
                </c:pt>
                <c:pt idx="217" formatCode="0.0000">
                  <c:v>1.9261143088582706</c:v>
                </c:pt>
                <c:pt idx="218" formatCode="0.0000">
                  <c:v>1.6644658378146542</c:v>
                </c:pt>
                <c:pt idx="219" formatCode="0.0000">
                  <c:v>1.7585123090636532</c:v>
                </c:pt>
                <c:pt idx="220" formatCode="0.0000">
                  <c:v>1.6945727304391398</c:v>
                </c:pt>
                <c:pt idx="221" formatCode="0.0000">
                  <c:v>1.7803352396520591</c:v>
                </c:pt>
                <c:pt idx="222" formatCode="0.0000">
                  <c:v>1.5171591657764996</c:v>
                </c:pt>
                <c:pt idx="223" formatCode="0.0000">
                  <c:v>1.3356156368969678</c:v>
                </c:pt>
                <c:pt idx="224" formatCode="0.0000">
                  <c:v>1.7826386727716181</c:v>
                </c:pt>
                <c:pt idx="225" formatCode="0.0000">
                  <c:v>2.049766886348666</c:v>
                </c:pt>
                <c:pt idx="226" formatCode="0.0000">
                  <c:v>2.0592825774344989</c:v>
                </c:pt>
                <c:pt idx="227" formatCode="0.0000">
                  <c:v>2.1600175717343948</c:v>
                </c:pt>
                <c:pt idx="228" formatCode="0.0000">
                  <c:v>1.9031900059650062</c:v>
                </c:pt>
                <c:pt idx="229" formatCode="0.0000">
                  <c:v>1.8481469780182593</c:v>
                </c:pt>
                <c:pt idx="230" formatCode="0.0000">
                  <c:v>1.9259277153665855</c:v>
                </c:pt>
                <c:pt idx="231" formatCode="0.0000">
                  <c:v>1.7339185963145975</c:v>
                </c:pt>
                <c:pt idx="232" formatCode="0.0000">
                  <c:v>1.7290179231985585</c:v>
                </c:pt>
                <c:pt idx="233" formatCode="0.0000">
                  <c:v>1.6795051234153253</c:v>
                </c:pt>
                <c:pt idx="234" formatCode="0.0000">
                  <c:v>1.8214433658908324</c:v>
                </c:pt>
                <c:pt idx="235" formatCode="0.0000">
                  <c:v>1.8506496010786992</c:v>
                </c:pt>
                <c:pt idx="236" formatCode="0.0000">
                  <c:v>1.8147748376489568</c:v>
                </c:pt>
                <c:pt idx="237" formatCode="0.0000">
                  <c:v>1.9107326654524983</c:v>
                </c:pt>
                <c:pt idx="238" formatCode="0.0000">
                  <c:v>1.7972853951486496</c:v>
                </c:pt>
                <c:pt idx="239" formatCode="0.0000">
                  <c:v>1.6842812053828549</c:v>
                </c:pt>
                <c:pt idx="240" formatCode="0.0000">
                  <c:v>1.563373622758472</c:v>
                </c:pt>
                <c:pt idx="241" formatCode="0.0000">
                  <c:v>1.3832880690287299</c:v>
                </c:pt>
                <c:pt idx="242" formatCode="0.0000">
                  <c:v>1.3594888471550861</c:v>
                </c:pt>
                <c:pt idx="243" formatCode="0.0000">
                  <c:v>1.3418020820678207</c:v>
                </c:pt>
                <c:pt idx="244" formatCode="0.0000">
                  <c:v>1.2540676096294789</c:v>
                </c:pt>
                <c:pt idx="245" formatCode="0.0000">
                  <c:v>1.2000767116157149</c:v>
                </c:pt>
                <c:pt idx="246" formatCode="0.0000">
                  <c:v>1.1884973876275198</c:v>
                </c:pt>
                <c:pt idx="247" formatCode="0.0000">
                  <c:v>1.2686213694160773</c:v>
                </c:pt>
                <c:pt idx="248" formatCode="0.0000">
                  <c:v>1.2638326209472257</c:v>
                </c:pt>
                <c:pt idx="249" formatCode="0.0000">
                  <c:v>1.216329977624486</c:v>
                </c:pt>
                <c:pt idx="250" formatCode="0.0000">
                  <c:v>1.2080507125232351</c:v>
                </c:pt>
                <c:pt idx="251" formatCode="0.0000">
                  <c:v>1.2702312673116813</c:v>
                </c:pt>
                <c:pt idx="252" formatCode="0.0000">
                  <c:v>1.3612137103757256</c:v>
                </c:pt>
                <c:pt idx="253" formatCode="0.0000">
                  <c:v>1.4146045753828376</c:v>
                </c:pt>
                <c:pt idx="254" formatCode="0.0000">
                  <c:v>1.3660560540436701</c:v>
                </c:pt>
                <c:pt idx="255" formatCode="0.0000">
                  <c:v>1.3350546777517291</c:v>
                </c:pt>
                <c:pt idx="256" formatCode="0.0000">
                  <c:v>1.3492099574323333</c:v>
                </c:pt>
                <c:pt idx="257" formatCode="0.0000">
                  <c:v>1.2896874075113161</c:v>
                </c:pt>
                <c:pt idx="258" formatCode="0.0000">
                  <c:v>1.2535228210055074</c:v>
                </c:pt>
                <c:pt idx="259" formatCode="0.0000">
                  <c:v>1.1167296434565859</c:v>
                </c:pt>
                <c:pt idx="260" formatCode="0.0000">
                  <c:v>1.0360585135955915</c:v>
                </c:pt>
                <c:pt idx="261" formatCode="0.0000">
                  <c:v>1.0177264572973246</c:v>
                </c:pt>
                <c:pt idx="262" formatCode="0.0000">
                  <c:v>1.0079422487975465</c:v>
                </c:pt>
                <c:pt idx="263" formatCode="0.0000">
                  <c:v>0.97742412000964662</c:v>
                </c:pt>
                <c:pt idx="264" formatCode="0.0000">
                  <c:v>1.019145485992631</c:v>
                </c:pt>
                <c:pt idx="265" formatCode="0.0000">
                  <c:v>0.97343101802330234</c:v>
                </c:pt>
                <c:pt idx="266" formatCode="0.0000">
                  <c:v>0.96838874503296923</c:v>
                </c:pt>
                <c:pt idx="267" formatCode="0.0000">
                  <c:v>0.95095359324042483</c:v>
                </c:pt>
                <c:pt idx="268" formatCode="0.0000">
                  <c:v>0.92258365441207546</c:v>
                </c:pt>
                <c:pt idx="269" formatCode="0.0000">
                  <c:v>0.91573296818186278</c:v>
                </c:pt>
                <c:pt idx="270" formatCode="0.0000">
                  <c:v>0.86088094992527453</c:v>
                </c:pt>
                <c:pt idx="271" formatCode="0.0000">
                  <c:v>0.82486467144527587</c:v>
                </c:pt>
                <c:pt idx="272" formatCode="0.0000">
                  <c:v>0.80050898568741702</c:v>
                </c:pt>
                <c:pt idx="273" formatCode="0.0000">
                  <c:v>0.79063836303545576</c:v>
                </c:pt>
                <c:pt idx="274" formatCode="0.0000">
                  <c:v>0.7839051487911064</c:v>
                </c:pt>
                <c:pt idx="275" formatCode="0.0000">
                  <c:v>0.76664987550959529</c:v>
                </c:pt>
                <c:pt idx="276" formatCode="0.0000">
                  <c:v>0.80042845835152077</c:v>
                </c:pt>
                <c:pt idx="277" formatCode="0.0000">
                  <c:v>0.80582221373035368</c:v>
                </c:pt>
                <c:pt idx="278" formatCode="0.0000">
                  <c:v>0.81301526527218537</c:v>
                </c:pt>
                <c:pt idx="279" formatCode="0.0000">
                  <c:v>0.79446149389981202</c:v>
                </c:pt>
                <c:pt idx="280" formatCode="0.0000">
                  <c:v>0.8037155807110884</c:v>
                </c:pt>
                <c:pt idx="281" formatCode="0.0000">
                  <c:v>0.81819769225611838</c:v>
                </c:pt>
                <c:pt idx="282" formatCode="0.0000">
                  <c:v>0.89162204981724447</c:v>
                </c:pt>
                <c:pt idx="283" formatCode="0.0000">
                  <c:v>0.89912574356372321</c:v>
                </c:pt>
                <c:pt idx="284" formatCode="0.0000">
                  <c:v>0.92627792203916226</c:v>
                </c:pt>
                <c:pt idx="285" formatCode="0.0000">
                  <c:v>0.92660958657276093</c:v>
                </c:pt>
                <c:pt idx="286" formatCode="0.0000">
                  <c:v>0.94939470012544269</c:v>
                </c:pt>
                <c:pt idx="287" formatCode="0.0000">
                  <c:v>0.94334936671631664</c:v>
                </c:pt>
                <c:pt idx="288" formatCode="0.0000">
                  <c:v>0.94141408893853651</c:v>
                </c:pt>
                <c:pt idx="289" formatCode="0.0000">
                  <c:v>0.88767579278637065</c:v>
                </c:pt>
                <c:pt idx="290" formatCode="0.0000">
                  <c:v>0.90139723184942666</c:v>
                </c:pt>
                <c:pt idx="291" formatCode="0.0000">
                  <c:v>0.93240806929771469</c:v>
                </c:pt>
                <c:pt idx="292" formatCode="0.0000">
                  <c:v>0.94993144035166399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0C5-425B-9786-7F98CCC42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025821"/>
        <c:axId val="463412489"/>
      </c:lineChart>
      <c:lineChart>
        <c:grouping val="standard"/>
        <c:varyColors val="0"/>
        <c:ser>
          <c:idx val="1"/>
          <c:order val="1"/>
          <c:tx>
            <c:strRef>
              <c:f>'R(t) Województwa'!$AA$2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Województwa'!$AA$3:$AA$1000</c:f>
              <c:numCache>
                <c:formatCode>General</c:formatCode>
                <c:ptCount val="998"/>
                <c:pt idx="4">
                  <c:v>0.2</c:v>
                </c:pt>
                <c:pt idx="5">
                  <c:v>0.16666666666666666</c:v>
                </c:pt>
                <c:pt idx="6">
                  <c:v>0.14285714285714285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0.14285714285714285</c:v>
                </c:pt>
                <c:pt idx="13">
                  <c:v>0.14285714285714285</c:v>
                </c:pt>
                <c:pt idx="14">
                  <c:v>0.14285714285714285</c:v>
                </c:pt>
                <c:pt idx="15">
                  <c:v>0.2857142857142857</c:v>
                </c:pt>
                <c:pt idx="16">
                  <c:v>1.1428571428571428</c:v>
                </c:pt>
                <c:pt idx="17">
                  <c:v>1.1428571428571428</c:v>
                </c:pt>
                <c:pt idx="18">
                  <c:v>1.1428571428571428</c:v>
                </c:pt>
                <c:pt idx="19">
                  <c:v>1.2857142857142858</c:v>
                </c:pt>
                <c:pt idx="20">
                  <c:v>2</c:v>
                </c:pt>
                <c:pt idx="21">
                  <c:v>2.7142857142857144</c:v>
                </c:pt>
                <c:pt idx="22">
                  <c:v>2.8571428571428572</c:v>
                </c:pt>
                <c:pt idx="23">
                  <c:v>3</c:v>
                </c:pt>
                <c:pt idx="24">
                  <c:v>3.1428571428571428</c:v>
                </c:pt>
                <c:pt idx="25">
                  <c:v>3.4285714285714284</c:v>
                </c:pt>
                <c:pt idx="26">
                  <c:v>3.1428571428571428</c:v>
                </c:pt>
                <c:pt idx="27">
                  <c:v>2.8571428571428572</c:v>
                </c:pt>
                <c:pt idx="28">
                  <c:v>3</c:v>
                </c:pt>
                <c:pt idx="29">
                  <c:v>3.4285714285714284</c:v>
                </c:pt>
                <c:pt idx="30">
                  <c:v>2.5714285714285716</c:v>
                </c:pt>
                <c:pt idx="31">
                  <c:v>2.7142857142857144</c:v>
                </c:pt>
                <c:pt idx="32">
                  <c:v>3.2857142857142856</c:v>
                </c:pt>
                <c:pt idx="33">
                  <c:v>3.7142857142857144</c:v>
                </c:pt>
                <c:pt idx="34">
                  <c:v>3.7142857142857144</c:v>
                </c:pt>
                <c:pt idx="35">
                  <c:v>2.8571428571428572</c:v>
                </c:pt>
                <c:pt idx="36">
                  <c:v>2.7142857142857144</c:v>
                </c:pt>
                <c:pt idx="37">
                  <c:v>3</c:v>
                </c:pt>
                <c:pt idx="38">
                  <c:v>3.4285714285714284</c:v>
                </c:pt>
                <c:pt idx="39">
                  <c:v>2.8571428571428572</c:v>
                </c:pt>
                <c:pt idx="40">
                  <c:v>2.7142857142857144</c:v>
                </c:pt>
                <c:pt idx="41">
                  <c:v>2.2857142857142856</c:v>
                </c:pt>
                <c:pt idx="42">
                  <c:v>2.4285714285714284</c:v>
                </c:pt>
                <c:pt idx="43">
                  <c:v>1.8571428571428572</c:v>
                </c:pt>
                <c:pt idx="44">
                  <c:v>1.7142857142857142</c:v>
                </c:pt>
                <c:pt idx="45">
                  <c:v>1</c:v>
                </c:pt>
                <c:pt idx="46">
                  <c:v>0.7142857142857143</c:v>
                </c:pt>
                <c:pt idx="47">
                  <c:v>0.42857142857142855</c:v>
                </c:pt>
                <c:pt idx="48">
                  <c:v>0.5714285714285714</c:v>
                </c:pt>
                <c:pt idx="49">
                  <c:v>0.7142857142857143</c:v>
                </c:pt>
                <c:pt idx="50">
                  <c:v>0.8571428571428571</c:v>
                </c:pt>
                <c:pt idx="51">
                  <c:v>0.5714285714285714</c:v>
                </c:pt>
                <c:pt idx="52">
                  <c:v>0.5714285714285714</c:v>
                </c:pt>
                <c:pt idx="53">
                  <c:v>0.5714285714285714</c:v>
                </c:pt>
                <c:pt idx="54">
                  <c:v>0.8571428571428571</c:v>
                </c:pt>
                <c:pt idx="55">
                  <c:v>0.7142857142857143</c:v>
                </c:pt>
                <c:pt idx="56">
                  <c:v>0.42857142857142855</c:v>
                </c:pt>
                <c:pt idx="57">
                  <c:v>0.2857142857142857</c:v>
                </c:pt>
                <c:pt idx="58">
                  <c:v>0.2857142857142857</c:v>
                </c:pt>
                <c:pt idx="59">
                  <c:v>0.2857142857142857</c:v>
                </c:pt>
                <c:pt idx="60">
                  <c:v>0.2857142857142857</c:v>
                </c:pt>
                <c:pt idx="61">
                  <c:v>0.14285714285714285</c:v>
                </c:pt>
                <c:pt idx="62">
                  <c:v>0.42857142857142855</c:v>
                </c:pt>
                <c:pt idx="63">
                  <c:v>0.42857142857142855</c:v>
                </c:pt>
                <c:pt idx="64">
                  <c:v>0.42857142857142855</c:v>
                </c:pt>
                <c:pt idx="65">
                  <c:v>0.7142857142857143</c:v>
                </c:pt>
                <c:pt idx="66">
                  <c:v>0.7142857142857143</c:v>
                </c:pt>
                <c:pt idx="67">
                  <c:v>0.7142857142857143</c:v>
                </c:pt>
                <c:pt idx="68">
                  <c:v>0.5714285714285714</c:v>
                </c:pt>
                <c:pt idx="69">
                  <c:v>0.2857142857142857</c:v>
                </c:pt>
                <c:pt idx="70">
                  <c:v>0.2857142857142857</c:v>
                </c:pt>
                <c:pt idx="71">
                  <c:v>0.2857142857142857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0.42857142857142855</c:v>
                </c:pt>
                <c:pt idx="80">
                  <c:v>0.7142857142857143</c:v>
                </c:pt>
                <c:pt idx="81">
                  <c:v>1</c:v>
                </c:pt>
                <c:pt idx="82">
                  <c:v>1.5714285714285714</c:v>
                </c:pt>
                <c:pt idx="83">
                  <c:v>2.2857142857142856</c:v>
                </c:pt>
                <c:pt idx="84">
                  <c:v>2.7142857142857144</c:v>
                </c:pt>
                <c:pt idx="85">
                  <c:v>2.7142857142857144</c:v>
                </c:pt>
                <c:pt idx="86">
                  <c:v>2.5714285714285716</c:v>
                </c:pt>
                <c:pt idx="87">
                  <c:v>2.4285714285714284</c:v>
                </c:pt>
                <c:pt idx="88">
                  <c:v>2.4285714285714284</c:v>
                </c:pt>
                <c:pt idx="89">
                  <c:v>1.8571428571428572</c:v>
                </c:pt>
                <c:pt idx="90">
                  <c:v>1.4285714285714286</c:v>
                </c:pt>
                <c:pt idx="91">
                  <c:v>1.2857142857142858</c:v>
                </c:pt>
                <c:pt idx="92">
                  <c:v>1.5714285714285714</c:v>
                </c:pt>
                <c:pt idx="93">
                  <c:v>1.2857142857142858</c:v>
                </c:pt>
                <c:pt idx="94">
                  <c:v>1.4285714285714286</c:v>
                </c:pt>
                <c:pt idx="95">
                  <c:v>1.1428571428571428</c:v>
                </c:pt>
                <c:pt idx="96">
                  <c:v>1.4285714285714286</c:v>
                </c:pt>
                <c:pt idx="97">
                  <c:v>1.1428571428571428</c:v>
                </c:pt>
                <c:pt idx="98">
                  <c:v>1.2857142857142858</c:v>
                </c:pt>
                <c:pt idx="99">
                  <c:v>1</c:v>
                </c:pt>
                <c:pt idx="100">
                  <c:v>1</c:v>
                </c:pt>
                <c:pt idx="101">
                  <c:v>0.8571428571428571</c:v>
                </c:pt>
                <c:pt idx="102">
                  <c:v>1</c:v>
                </c:pt>
                <c:pt idx="103">
                  <c:v>0.8571428571428571</c:v>
                </c:pt>
                <c:pt idx="104">
                  <c:v>1</c:v>
                </c:pt>
                <c:pt idx="105">
                  <c:v>0.5714285714285714</c:v>
                </c:pt>
                <c:pt idx="106">
                  <c:v>1.5714285714285714</c:v>
                </c:pt>
                <c:pt idx="107">
                  <c:v>1.5714285714285714</c:v>
                </c:pt>
                <c:pt idx="108">
                  <c:v>1.4285714285714286</c:v>
                </c:pt>
                <c:pt idx="109">
                  <c:v>1.7142857142857142</c:v>
                </c:pt>
                <c:pt idx="110">
                  <c:v>1.7142857142857142</c:v>
                </c:pt>
                <c:pt idx="111">
                  <c:v>1.7142857142857142</c:v>
                </c:pt>
                <c:pt idx="112">
                  <c:v>1.7142857142857142</c:v>
                </c:pt>
                <c:pt idx="113">
                  <c:v>0.7142857142857143</c:v>
                </c:pt>
                <c:pt idx="114">
                  <c:v>0.8571428571428571</c:v>
                </c:pt>
                <c:pt idx="115">
                  <c:v>1</c:v>
                </c:pt>
                <c:pt idx="116">
                  <c:v>0.8571428571428571</c:v>
                </c:pt>
                <c:pt idx="117">
                  <c:v>0.7142857142857143</c:v>
                </c:pt>
                <c:pt idx="118">
                  <c:v>0.5714285714285714</c:v>
                </c:pt>
                <c:pt idx="119">
                  <c:v>0.8571428571428571</c:v>
                </c:pt>
                <c:pt idx="120">
                  <c:v>0.8571428571428571</c:v>
                </c:pt>
                <c:pt idx="121">
                  <c:v>0.7142857142857143</c:v>
                </c:pt>
                <c:pt idx="122">
                  <c:v>0.5714285714285714</c:v>
                </c:pt>
                <c:pt idx="123">
                  <c:v>0.2857142857142857</c:v>
                </c:pt>
                <c:pt idx="124">
                  <c:v>0.2857142857142857</c:v>
                </c:pt>
                <c:pt idx="125">
                  <c:v>0.42857142857142855</c:v>
                </c:pt>
                <c:pt idx="126">
                  <c:v>0.14285714285714285</c:v>
                </c:pt>
                <c:pt idx="127">
                  <c:v>0.14285714285714285</c:v>
                </c:pt>
                <c:pt idx="128">
                  <c:v>0.5714285714285714</c:v>
                </c:pt>
                <c:pt idx="129">
                  <c:v>4.1428571428571432</c:v>
                </c:pt>
                <c:pt idx="130">
                  <c:v>5</c:v>
                </c:pt>
                <c:pt idx="131">
                  <c:v>11.857142857142858</c:v>
                </c:pt>
                <c:pt idx="132">
                  <c:v>12.428571428571429</c:v>
                </c:pt>
                <c:pt idx="133">
                  <c:v>13.285714285714286</c:v>
                </c:pt>
                <c:pt idx="134">
                  <c:v>15</c:v>
                </c:pt>
                <c:pt idx="135">
                  <c:v>15.142857142857142</c:v>
                </c:pt>
                <c:pt idx="136">
                  <c:v>14</c:v>
                </c:pt>
                <c:pt idx="137">
                  <c:v>14</c:v>
                </c:pt>
                <c:pt idx="138">
                  <c:v>10.714285714285714</c:v>
                </c:pt>
                <c:pt idx="139">
                  <c:v>11.428571428571429</c:v>
                </c:pt>
                <c:pt idx="140">
                  <c:v>11.857142857142858</c:v>
                </c:pt>
                <c:pt idx="141">
                  <c:v>10.714285714285714</c:v>
                </c:pt>
                <c:pt idx="142">
                  <c:v>11.428571428571429</c:v>
                </c:pt>
                <c:pt idx="143">
                  <c:v>10.285714285714286</c:v>
                </c:pt>
                <c:pt idx="144">
                  <c:v>10.428571428571429</c:v>
                </c:pt>
                <c:pt idx="145">
                  <c:v>7.5714285714285712</c:v>
                </c:pt>
                <c:pt idx="146">
                  <c:v>6.7142857142857144</c:v>
                </c:pt>
                <c:pt idx="147">
                  <c:v>6</c:v>
                </c:pt>
                <c:pt idx="148">
                  <c:v>6.8571428571428568</c:v>
                </c:pt>
                <c:pt idx="149">
                  <c:v>7</c:v>
                </c:pt>
                <c:pt idx="150">
                  <c:v>7.2857142857142856</c:v>
                </c:pt>
                <c:pt idx="151">
                  <c:v>7.5714285714285712</c:v>
                </c:pt>
                <c:pt idx="152">
                  <c:v>8.1428571428571423</c:v>
                </c:pt>
                <c:pt idx="153">
                  <c:v>9.4285714285714288</c:v>
                </c:pt>
                <c:pt idx="154">
                  <c:v>9.5714285714285712</c:v>
                </c:pt>
                <c:pt idx="155">
                  <c:v>10</c:v>
                </c:pt>
                <c:pt idx="156">
                  <c:v>9.7142857142857135</c:v>
                </c:pt>
                <c:pt idx="157">
                  <c:v>11.142857142857142</c:v>
                </c:pt>
                <c:pt idx="158">
                  <c:v>13.428571428571429</c:v>
                </c:pt>
                <c:pt idx="159">
                  <c:v>15</c:v>
                </c:pt>
                <c:pt idx="160">
                  <c:v>16.857142857142858</c:v>
                </c:pt>
                <c:pt idx="161">
                  <c:v>16.428571428571427</c:v>
                </c:pt>
                <c:pt idx="162">
                  <c:v>14.714285714285714</c:v>
                </c:pt>
                <c:pt idx="163">
                  <c:v>13.857142857142858</c:v>
                </c:pt>
                <c:pt idx="164">
                  <c:v>12</c:v>
                </c:pt>
                <c:pt idx="165">
                  <c:v>9.8571428571428577</c:v>
                </c:pt>
                <c:pt idx="166">
                  <c:v>8.1428571428571423</c:v>
                </c:pt>
                <c:pt idx="167">
                  <c:v>5.5714285714285712</c:v>
                </c:pt>
                <c:pt idx="168">
                  <c:v>7.2857142857142856</c:v>
                </c:pt>
                <c:pt idx="169">
                  <c:v>8.2857142857142865</c:v>
                </c:pt>
                <c:pt idx="170">
                  <c:v>9.1428571428571423</c:v>
                </c:pt>
                <c:pt idx="171">
                  <c:v>8.1428571428571423</c:v>
                </c:pt>
                <c:pt idx="172">
                  <c:v>7.4285714285714288</c:v>
                </c:pt>
                <c:pt idx="173">
                  <c:v>6.8571428571428568</c:v>
                </c:pt>
                <c:pt idx="174">
                  <c:v>5.7142857142857144</c:v>
                </c:pt>
                <c:pt idx="175">
                  <c:v>4.5714285714285712</c:v>
                </c:pt>
                <c:pt idx="176">
                  <c:v>4</c:v>
                </c:pt>
                <c:pt idx="177">
                  <c:v>4.5714285714285712</c:v>
                </c:pt>
                <c:pt idx="178">
                  <c:v>5.7142857142857144</c:v>
                </c:pt>
                <c:pt idx="179">
                  <c:v>6.7142857142857144</c:v>
                </c:pt>
                <c:pt idx="180">
                  <c:v>8.5714285714285712</c:v>
                </c:pt>
                <c:pt idx="181">
                  <c:v>9.7142857142857135</c:v>
                </c:pt>
                <c:pt idx="182">
                  <c:v>10.142857142857142</c:v>
                </c:pt>
                <c:pt idx="183">
                  <c:v>10.857142857142858</c:v>
                </c:pt>
                <c:pt idx="184">
                  <c:v>10.142857142857142</c:v>
                </c:pt>
                <c:pt idx="185">
                  <c:v>10.714285714285714</c:v>
                </c:pt>
                <c:pt idx="186">
                  <c:v>11</c:v>
                </c:pt>
                <c:pt idx="187">
                  <c:v>8.8571428571428577</c:v>
                </c:pt>
                <c:pt idx="188">
                  <c:v>7.8571428571428568</c:v>
                </c:pt>
                <c:pt idx="189">
                  <c:v>7.1428571428571432</c:v>
                </c:pt>
                <c:pt idx="190">
                  <c:v>6.7142857142857144</c:v>
                </c:pt>
                <c:pt idx="191">
                  <c:v>6.5714285714285712</c:v>
                </c:pt>
                <c:pt idx="192">
                  <c:v>5.4285714285714288</c:v>
                </c:pt>
                <c:pt idx="193">
                  <c:v>4.4285714285714288</c:v>
                </c:pt>
                <c:pt idx="194">
                  <c:v>5</c:v>
                </c:pt>
                <c:pt idx="195">
                  <c:v>5.5714285714285712</c:v>
                </c:pt>
                <c:pt idx="196">
                  <c:v>5.7142857142857144</c:v>
                </c:pt>
                <c:pt idx="197">
                  <c:v>5.4285714285714288</c:v>
                </c:pt>
                <c:pt idx="198">
                  <c:v>5.1428571428571432</c:v>
                </c:pt>
                <c:pt idx="199">
                  <c:v>6.5714285714285712</c:v>
                </c:pt>
                <c:pt idx="200">
                  <c:v>6.7142857142857144</c:v>
                </c:pt>
                <c:pt idx="201">
                  <c:v>7.2857142857142856</c:v>
                </c:pt>
                <c:pt idx="202">
                  <c:v>8.7142857142857135</c:v>
                </c:pt>
                <c:pt idx="203">
                  <c:v>9.1428571428571423</c:v>
                </c:pt>
                <c:pt idx="204">
                  <c:v>11</c:v>
                </c:pt>
                <c:pt idx="205">
                  <c:v>13.285714285714286</c:v>
                </c:pt>
                <c:pt idx="206">
                  <c:v>13.285714285714286</c:v>
                </c:pt>
                <c:pt idx="207">
                  <c:v>13.857142857142858</c:v>
                </c:pt>
                <c:pt idx="208">
                  <c:v>13.285714285714286</c:v>
                </c:pt>
                <c:pt idx="209">
                  <c:v>16.714285714285715</c:v>
                </c:pt>
                <c:pt idx="210">
                  <c:v>17.857142857142858</c:v>
                </c:pt>
                <c:pt idx="211">
                  <c:v>20.142857142857142</c:v>
                </c:pt>
                <c:pt idx="212">
                  <c:v>21.285714285714285</c:v>
                </c:pt>
                <c:pt idx="213">
                  <c:v>22.857142857142858</c:v>
                </c:pt>
                <c:pt idx="214">
                  <c:v>29.142857142857142</c:v>
                </c:pt>
                <c:pt idx="215">
                  <c:v>42</c:v>
                </c:pt>
                <c:pt idx="216">
                  <c:v>44.142857142857146</c:v>
                </c:pt>
                <c:pt idx="217">
                  <c:v>43.142857142857146</c:v>
                </c:pt>
                <c:pt idx="218">
                  <c:v>40.142857142857146</c:v>
                </c:pt>
                <c:pt idx="219">
                  <c:v>46</c:v>
                </c:pt>
                <c:pt idx="220">
                  <c:v>47</c:v>
                </c:pt>
                <c:pt idx="221">
                  <c:v>56.285714285714285</c:v>
                </c:pt>
                <c:pt idx="222">
                  <c:v>56</c:v>
                </c:pt>
                <c:pt idx="223">
                  <c:v>50.285714285714285</c:v>
                </c:pt>
                <c:pt idx="224">
                  <c:v>72.428571428571431</c:v>
                </c:pt>
                <c:pt idx="225">
                  <c:v>91.428571428571431</c:v>
                </c:pt>
                <c:pt idx="226">
                  <c:v>106.85714285714286</c:v>
                </c:pt>
                <c:pt idx="227">
                  <c:v>123.14285714285714</c:v>
                </c:pt>
                <c:pt idx="228">
                  <c:v>128.28571428571428</c:v>
                </c:pt>
                <c:pt idx="229">
                  <c:v>139</c:v>
                </c:pt>
                <c:pt idx="230">
                  <c:v>150.28571428571428</c:v>
                </c:pt>
                <c:pt idx="231">
                  <c:v>159.42857142857142</c:v>
                </c:pt>
                <c:pt idx="232">
                  <c:v>179.14285714285714</c:v>
                </c:pt>
                <c:pt idx="233">
                  <c:v>196.28571428571428</c:v>
                </c:pt>
                <c:pt idx="234">
                  <c:v>239.42857142857142</c:v>
                </c:pt>
                <c:pt idx="235">
                  <c:v>271.14285714285717</c:v>
                </c:pt>
                <c:pt idx="236">
                  <c:v>291.57142857142856</c:v>
                </c:pt>
                <c:pt idx="237">
                  <c:v>330.14285714285717</c:v>
                </c:pt>
                <c:pt idx="238">
                  <c:v>343.71428571428572</c:v>
                </c:pt>
                <c:pt idx="239">
                  <c:v>357.57142857142856</c:v>
                </c:pt>
                <c:pt idx="240">
                  <c:v>361</c:v>
                </c:pt>
                <c:pt idx="241">
                  <c:v>353.14285714285717</c:v>
                </c:pt>
                <c:pt idx="242">
                  <c:v>370.14285714285717</c:v>
                </c:pt>
                <c:pt idx="243">
                  <c:v>382.85714285714283</c:v>
                </c:pt>
                <c:pt idx="244">
                  <c:v>373.14285714285717</c:v>
                </c:pt>
                <c:pt idx="245">
                  <c:v>367.85714285714283</c:v>
                </c:pt>
                <c:pt idx="246">
                  <c:v>375.57142857142856</c:v>
                </c:pt>
                <c:pt idx="247">
                  <c:v>412.28571428571428</c:v>
                </c:pt>
                <c:pt idx="248">
                  <c:v>427</c:v>
                </c:pt>
                <c:pt idx="249">
                  <c:v>428.71428571428572</c:v>
                </c:pt>
                <c:pt idx="250">
                  <c:v>438.57142857142856</c:v>
                </c:pt>
                <c:pt idx="251">
                  <c:v>474</c:v>
                </c:pt>
                <c:pt idx="252">
                  <c:v>526</c:v>
                </c:pt>
                <c:pt idx="253">
                  <c:v>577</c:v>
                </c:pt>
                <c:pt idx="254">
                  <c:v>592.71428571428567</c:v>
                </c:pt>
                <c:pt idx="255">
                  <c:v>606.28571428571433</c:v>
                </c:pt>
                <c:pt idx="256">
                  <c:v>642</c:v>
                </c:pt>
                <c:pt idx="257">
                  <c:v>634.71428571428567</c:v>
                </c:pt>
                <c:pt idx="258">
                  <c:v>639.57142857142856</c:v>
                </c:pt>
                <c:pt idx="259">
                  <c:v>588.85714285714289</c:v>
                </c:pt>
                <c:pt idx="260">
                  <c:v>559.57142857142856</c:v>
                </c:pt>
                <c:pt idx="261">
                  <c:v>552.85714285714289</c:v>
                </c:pt>
                <c:pt idx="262">
                  <c:v>548.57142857142856</c:v>
                </c:pt>
                <c:pt idx="263">
                  <c:v>532.14285714285711</c:v>
                </c:pt>
                <c:pt idx="264">
                  <c:v>554</c:v>
                </c:pt>
                <c:pt idx="265">
                  <c:v>529.57142857142856</c:v>
                </c:pt>
                <c:pt idx="266">
                  <c:v>525.57142857142856</c:v>
                </c:pt>
                <c:pt idx="267">
                  <c:v>513.85714285714289</c:v>
                </c:pt>
                <c:pt idx="268">
                  <c:v>494.85714285714283</c:v>
                </c:pt>
                <c:pt idx="269">
                  <c:v>485.14285714285717</c:v>
                </c:pt>
                <c:pt idx="270">
                  <c:v>449.85714285714283</c:v>
                </c:pt>
                <c:pt idx="271">
                  <c:v>421.42857142857144</c:v>
                </c:pt>
                <c:pt idx="272">
                  <c:v>400.42857142857144</c:v>
                </c:pt>
                <c:pt idx="273">
                  <c:v>389</c:v>
                </c:pt>
                <c:pt idx="274">
                  <c:v>372.28571428571428</c:v>
                </c:pt>
                <c:pt idx="275">
                  <c:v>350.85714285714283</c:v>
                </c:pt>
                <c:pt idx="276">
                  <c:v>349.14285714285717</c:v>
                </c:pt>
                <c:pt idx="277">
                  <c:v>340.71428571428572</c:v>
                </c:pt>
                <c:pt idx="278">
                  <c:v>333.85714285714283</c:v>
                </c:pt>
                <c:pt idx="279">
                  <c:v>320.14285714285717</c:v>
                </c:pt>
                <c:pt idx="280">
                  <c:v>318.28571428571428</c:v>
                </c:pt>
                <c:pt idx="281">
                  <c:v>312.85714285714283</c:v>
                </c:pt>
                <c:pt idx="282">
                  <c:v>328.42857142857144</c:v>
                </c:pt>
                <c:pt idx="283">
                  <c:v>323.42857142857144</c:v>
                </c:pt>
                <c:pt idx="284">
                  <c:v>328.28571428571428</c:v>
                </c:pt>
                <c:pt idx="285">
                  <c:v>324.71428571428572</c:v>
                </c:pt>
                <c:pt idx="286">
                  <c:v>331</c:v>
                </c:pt>
                <c:pt idx="287">
                  <c:v>327.57142857142856</c:v>
                </c:pt>
                <c:pt idx="288">
                  <c:v>323.85714285714283</c:v>
                </c:pt>
                <c:pt idx="289">
                  <c:v>302.85714285714283</c:v>
                </c:pt>
                <c:pt idx="290">
                  <c:v>300</c:v>
                </c:pt>
                <c:pt idx="291">
                  <c:v>304.85714285714283</c:v>
                </c:pt>
                <c:pt idx="292">
                  <c:v>307.71428571428572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0C5-425B-9786-7F98CCC42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806575"/>
        <c:axId val="702626004"/>
      </c:lineChart>
      <c:catAx>
        <c:axId val="5210258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463412489"/>
        <c:crosses val="autoZero"/>
        <c:auto val="1"/>
        <c:lblAlgn val="ctr"/>
        <c:lblOffset val="100"/>
        <c:noMultiLvlLbl val="1"/>
      </c:catAx>
      <c:valAx>
        <c:axId val="463412489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521025821"/>
        <c:crosses val="autoZero"/>
        <c:crossBetween val="between"/>
      </c:valAx>
      <c:catAx>
        <c:axId val="1978065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02626004"/>
        <c:crosses val="autoZero"/>
        <c:auto val="1"/>
        <c:lblAlgn val="ctr"/>
        <c:lblOffset val="100"/>
        <c:noMultiLvlLbl val="1"/>
      </c:catAx>
      <c:valAx>
        <c:axId val="702626004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97806575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Łódzkiego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Województwa'!$AL$2</c:f>
              <c:strCache>
                <c:ptCount val="1"/>
                <c:pt idx="0">
                  <c:v>Łódzkie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Województwa'!$AL$3:$AL$1000</c:f>
              <c:numCache>
                <c:formatCode>General</c:formatCode>
                <c:ptCount val="998"/>
                <c:pt idx="21" formatCode="0.0000">
                  <c:v>1.48735244519393</c:v>
                </c:pt>
                <c:pt idx="22" formatCode="0.0000">
                  <c:v>1.323068114488857</c:v>
                </c:pt>
                <c:pt idx="23" formatCode="0.0000">
                  <c:v>1.2345596983698457</c:v>
                </c:pt>
                <c:pt idx="24" formatCode="0.0000">
                  <c:v>1.113226972293816</c:v>
                </c:pt>
                <c:pt idx="25" formatCode="0.0000">
                  <c:v>1.1081602792209053</c:v>
                </c:pt>
                <c:pt idx="26" formatCode="0.0000">
                  <c:v>1.025791001320375</c:v>
                </c:pt>
                <c:pt idx="27" formatCode="0.0000">
                  <c:v>1.0184881097612339</c:v>
                </c:pt>
                <c:pt idx="28" formatCode="0.0000">
                  <c:v>0.87588135889566077</c:v>
                </c:pt>
                <c:pt idx="29" formatCode="0.0000">
                  <c:v>0.87364960730289154</c:v>
                </c:pt>
                <c:pt idx="30" formatCode="0.0000">
                  <c:v>0.90722873984818719</c:v>
                </c:pt>
                <c:pt idx="31" formatCode="0.0000">
                  <c:v>0.94199430111767435</c:v>
                </c:pt>
                <c:pt idx="32" formatCode="0.0000">
                  <c:v>0.91670045173077253</c:v>
                </c:pt>
                <c:pt idx="33" formatCode="0.0000">
                  <c:v>1.6317655870885974</c:v>
                </c:pt>
                <c:pt idx="34" formatCode="0.0000">
                  <c:v>1.5935823010634034</c:v>
                </c:pt>
                <c:pt idx="35" formatCode="0.0000">
                  <c:v>1.6593066672870189</c:v>
                </c:pt>
                <c:pt idx="36" formatCode="0.0000">
                  <c:v>1.8147037942324544</c:v>
                </c:pt>
                <c:pt idx="37" formatCode="0.0000">
                  <c:v>1.8365562800638713</c:v>
                </c:pt>
                <c:pt idx="38" formatCode="0.0000">
                  <c:v>1.8828418751317442</c:v>
                </c:pt>
                <c:pt idx="39" formatCode="0.0000">
                  <c:v>1.9210584796082233</c:v>
                </c:pt>
                <c:pt idx="40" formatCode="0.0000">
                  <c:v>1.3277243832152448</c:v>
                </c:pt>
                <c:pt idx="41" formatCode="0.0000">
                  <c:v>1.3434256522511467</c:v>
                </c:pt>
                <c:pt idx="42" formatCode="0.0000">
                  <c:v>1.295018744049105</c:v>
                </c:pt>
                <c:pt idx="43" formatCode="0.0000">
                  <c:v>1.0051657577646289</c:v>
                </c:pt>
                <c:pt idx="44" formatCode="0.0000">
                  <c:v>0.9158925244824222</c:v>
                </c:pt>
                <c:pt idx="45" formatCode="0.0000">
                  <c:v>0.84144296020039755</c:v>
                </c:pt>
                <c:pt idx="46" formatCode="0.0000">
                  <c:v>0.90033117774638094</c:v>
                </c:pt>
                <c:pt idx="47" formatCode="0.0000">
                  <c:v>0.81789107538822048</c:v>
                </c:pt>
                <c:pt idx="48" formatCode="0.0000">
                  <c:v>0.84308272964164155</c:v>
                </c:pt>
                <c:pt idx="49" formatCode="0.0000">
                  <c:v>0.83984795320136685</c:v>
                </c:pt>
                <c:pt idx="50" formatCode="0.0000">
                  <c:v>1.291353843554637</c:v>
                </c:pt>
                <c:pt idx="51" formatCode="0.0000">
                  <c:v>1.2562084960853597</c:v>
                </c:pt>
                <c:pt idx="52" formatCode="0.0000">
                  <c:v>1.3173775977817281</c:v>
                </c:pt>
                <c:pt idx="53" formatCode="0.0000">
                  <c:v>1.2119037265121064</c:v>
                </c:pt>
                <c:pt idx="54" formatCode="0.0000">
                  <c:v>1.1876514910807241</c:v>
                </c:pt>
                <c:pt idx="55" formatCode="0.0000">
                  <c:v>1.242879568959302</c:v>
                </c:pt>
                <c:pt idx="56" formatCode="0.0000">
                  <c:v>1.2337318102346326</c:v>
                </c:pt>
                <c:pt idx="57" formatCode="0.0000">
                  <c:v>0.93684597673016035</c:v>
                </c:pt>
                <c:pt idx="58" formatCode="0.0000">
                  <c:v>0.95393084671390249</c:v>
                </c:pt>
                <c:pt idx="59" formatCode="0.0000">
                  <c:v>0.88283295835416775</c:v>
                </c:pt>
                <c:pt idx="60" formatCode="0.0000">
                  <c:v>0.96495249436084818</c:v>
                </c:pt>
                <c:pt idx="61" formatCode="0.0000">
                  <c:v>1.1052163354719362</c:v>
                </c:pt>
                <c:pt idx="62" formatCode="0.0000">
                  <c:v>1.0056410486518528</c:v>
                </c:pt>
                <c:pt idx="63" formatCode="0.0000">
                  <c:v>0.94697514337822652</c:v>
                </c:pt>
                <c:pt idx="64" formatCode="0.0000">
                  <c:v>0.92985202673990131</c:v>
                </c:pt>
                <c:pt idx="65" formatCode="0.0000">
                  <c:v>1.0594246886618262</c:v>
                </c:pt>
                <c:pt idx="66" formatCode="0.0000">
                  <c:v>1.0166982127480666</c:v>
                </c:pt>
                <c:pt idx="67" formatCode="0.0000">
                  <c:v>0.90943494331283492</c:v>
                </c:pt>
                <c:pt idx="68" formatCode="0.0000">
                  <c:v>0.74239465303711238</c:v>
                </c:pt>
                <c:pt idx="69" formatCode="0.0000">
                  <c:v>0.71263880088691844</c:v>
                </c:pt>
                <c:pt idx="70" formatCode="0.0000">
                  <c:v>0.79184892856816291</c:v>
                </c:pt>
                <c:pt idx="71" formatCode="0.0000">
                  <c:v>0.71020496497899166</c:v>
                </c:pt>
                <c:pt idx="72" formatCode="0.0000">
                  <c:v>0.53868870520703493</c:v>
                </c:pt>
                <c:pt idx="73" formatCode="0.0000">
                  <c:v>0.54924255477944162</c:v>
                </c:pt>
                <c:pt idx="74" formatCode="0.0000">
                  <c:v>0.52003422678097999</c:v>
                </c:pt>
                <c:pt idx="75" formatCode="0.0000">
                  <c:v>0.50655070457797524</c:v>
                </c:pt>
                <c:pt idx="76" formatCode="0.0000">
                  <c:v>0.56327323771725712</c:v>
                </c:pt>
                <c:pt idx="77" formatCode="0.0000">
                  <c:v>0.53713383055613007</c:v>
                </c:pt>
                <c:pt idx="78" formatCode="0.0000">
                  <c:v>0.65166594294960689</c:v>
                </c:pt>
                <c:pt idx="79" formatCode="0.0000">
                  <c:v>0.66516070865625643</c:v>
                </c:pt>
                <c:pt idx="80" formatCode="0.0000">
                  <c:v>1.0128640186415343</c:v>
                </c:pt>
                <c:pt idx="81" formatCode="0.0000">
                  <c:v>1.0649046853575725</c:v>
                </c:pt>
                <c:pt idx="82" formatCode="0.0000">
                  <c:v>1.2368339915426743</c:v>
                </c:pt>
                <c:pt idx="83" formatCode="0.0000">
                  <c:v>1.2523220354207951</c:v>
                </c:pt>
                <c:pt idx="84" formatCode="0.0000">
                  <c:v>1.3891023976641672</c:v>
                </c:pt>
                <c:pt idx="85" formatCode="0.0000">
                  <c:v>1.4364670671987585</c:v>
                </c:pt>
                <c:pt idx="86" formatCode="0.0000">
                  <c:v>1.7327933253162324</c:v>
                </c:pt>
                <c:pt idx="87" formatCode="0.0000">
                  <c:v>1.5090996684059321</c:v>
                </c:pt>
                <c:pt idx="88" formatCode="0.0000">
                  <c:v>1.6063758179606542</c:v>
                </c:pt>
                <c:pt idx="89" formatCode="0.0000">
                  <c:v>1.5449413425502034</c:v>
                </c:pt>
                <c:pt idx="90" formatCode="0.0000">
                  <c:v>1.6959497278052607</c:v>
                </c:pt>
                <c:pt idx="91" formatCode="0.0000">
                  <c:v>1.5289566167834292</c:v>
                </c:pt>
                <c:pt idx="92" formatCode="0.0000">
                  <c:v>1.5761068381041796</c:v>
                </c:pt>
                <c:pt idx="93" formatCode="0.0000">
                  <c:v>1.7384375084028327</c:v>
                </c:pt>
                <c:pt idx="94" formatCode="0.0000">
                  <c:v>1.7031169863953184</c:v>
                </c:pt>
                <c:pt idx="95" formatCode="0.0000">
                  <c:v>1.6941509131727435</c:v>
                </c:pt>
                <c:pt idx="96" formatCode="0.0000">
                  <c:v>1.8956167635500312</c:v>
                </c:pt>
                <c:pt idx="97" formatCode="0.0000">
                  <c:v>1.8012809334156004</c:v>
                </c:pt>
                <c:pt idx="98" formatCode="0.0000">
                  <c:v>1.8713758751772389</c:v>
                </c:pt>
                <c:pt idx="99" formatCode="0.0000">
                  <c:v>1.6729659420840639</c:v>
                </c:pt>
                <c:pt idx="100" formatCode="0.0000">
                  <c:v>1.335878028773404</c:v>
                </c:pt>
                <c:pt idx="101" formatCode="0.0000">
                  <c:v>1.4015642885168673</c:v>
                </c:pt>
                <c:pt idx="102" formatCode="0.0000">
                  <c:v>1.2795667731443745</c:v>
                </c:pt>
                <c:pt idx="103" formatCode="0.0000">
                  <c:v>1.0009820322715191</c:v>
                </c:pt>
                <c:pt idx="104" formatCode="0.0000">
                  <c:v>0.99253430991928682</c:v>
                </c:pt>
                <c:pt idx="105" formatCode="0.0000">
                  <c:v>1.0364017630168116</c:v>
                </c:pt>
                <c:pt idx="106" formatCode="0.0000">
                  <c:v>1.0973751000620808</c:v>
                </c:pt>
                <c:pt idx="107" formatCode="0.0000">
                  <c:v>1.0858298861338771</c:v>
                </c:pt>
                <c:pt idx="108" formatCode="0.0000">
                  <c:v>1.0062086941998587</c:v>
                </c:pt>
                <c:pt idx="109" formatCode="0.0000">
                  <c:v>1.0222765779557397</c:v>
                </c:pt>
                <c:pt idx="110" formatCode="0.0000">
                  <c:v>1.0301791788770502</c:v>
                </c:pt>
                <c:pt idx="111" formatCode="0.0000">
                  <c:v>0.96244008895228306</c:v>
                </c:pt>
                <c:pt idx="112" formatCode="0.0000">
                  <c:v>0.91222264126722774</c:v>
                </c:pt>
                <c:pt idx="113" formatCode="0.0000">
                  <c:v>0.86026809908969859</c:v>
                </c:pt>
                <c:pt idx="114" formatCode="0.0000">
                  <c:v>0.77414233891993278</c:v>
                </c:pt>
                <c:pt idx="115" formatCode="0.0000">
                  <c:v>0.68633759281908724</c:v>
                </c:pt>
                <c:pt idx="116" formatCode="0.0000">
                  <c:v>0.74100316038954384</c:v>
                </c:pt>
                <c:pt idx="117" formatCode="0.0000">
                  <c:v>0.71915606102059759</c:v>
                </c:pt>
                <c:pt idx="118" formatCode="0.0000">
                  <c:v>0.66907154327737639</c:v>
                </c:pt>
                <c:pt idx="119" formatCode="0.0000">
                  <c:v>0.62781587100985414</c:v>
                </c:pt>
                <c:pt idx="120" formatCode="0.0000">
                  <c:v>0.56282753223871018</c:v>
                </c:pt>
                <c:pt idx="121" formatCode="0.0000">
                  <c:v>0.69657779794601316</c:v>
                </c:pt>
                <c:pt idx="122" formatCode="0.0000">
                  <c:v>0.73519551658070392</c:v>
                </c:pt>
                <c:pt idx="123" formatCode="0.0000">
                  <c:v>0.66774702713294565</c:v>
                </c:pt>
                <c:pt idx="124" formatCode="0.0000">
                  <c:v>0.65752660774839189</c:v>
                </c:pt>
                <c:pt idx="125" formatCode="0.0000">
                  <c:v>0.73662318089285395</c:v>
                </c:pt>
                <c:pt idx="126" formatCode="0.0000">
                  <c:v>0.71826472362525884</c:v>
                </c:pt>
                <c:pt idx="127" formatCode="0.0000">
                  <c:v>0.84922968521208531</c:v>
                </c:pt>
                <c:pt idx="128" formatCode="0.0000">
                  <c:v>0.73483020846360236</c:v>
                </c:pt>
                <c:pt idx="129" formatCode="0.0000">
                  <c:v>0.72308665413302298</c:v>
                </c:pt>
                <c:pt idx="130" formatCode="0.0000">
                  <c:v>0.82649850098261113</c:v>
                </c:pt>
                <c:pt idx="131" formatCode="0.0000">
                  <c:v>0.91119391146171502</c:v>
                </c:pt>
                <c:pt idx="132" formatCode="0.0000">
                  <c:v>0.85741464059251327</c:v>
                </c:pt>
                <c:pt idx="133" formatCode="0.0000">
                  <c:v>0.92037484299480832</c:v>
                </c:pt>
                <c:pt idx="134" formatCode="0.0000">
                  <c:v>0.92973803352248041</c:v>
                </c:pt>
                <c:pt idx="135" formatCode="0.0000">
                  <c:v>1.0282142733562021</c:v>
                </c:pt>
                <c:pt idx="136" formatCode="0.0000">
                  <c:v>1.0996695708579824</c:v>
                </c:pt>
                <c:pt idx="137" formatCode="0.0000">
                  <c:v>1.020633808104062</c:v>
                </c:pt>
                <c:pt idx="138" formatCode="0.0000">
                  <c:v>1.0554568564672568</c:v>
                </c:pt>
                <c:pt idx="139" formatCode="0.0000">
                  <c:v>1.0407466980880788</c:v>
                </c:pt>
                <c:pt idx="140" formatCode="0.0000">
                  <c:v>1.0804621167877391</c:v>
                </c:pt>
                <c:pt idx="141" formatCode="0.0000">
                  <c:v>1.0784434839175943</c:v>
                </c:pt>
                <c:pt idx="142" formatCode="0.0000">
                  <c:v>1.0376950336028583</c:v>
                </c:pt>
                <c:pt idx="143" formatCode="0.0000">
                  <c:v>1.0275434133057868</c:v>
                </c:pt>
                <c:pt idx="144" formatCode="0.0000">
                  <c:v>1.0753495227910432</c:v>
                </c:pt>
                <c:pt idx="145" formatCode="0.0000">
                  <c:v>0.99297438019198192</c:v>
                </c:pt>
                <c:pt idx="146" formatCode="0.0000">
                  <c:v>1.0040966003537746</c:v>
                </c:pt>
                <c:pt idx="147" formatCode="0.0000">
                  <c:v>1.0147410062531097</c:v>
                </c:pt>
                <c:pt idx="148" formatCode="0.0000">
                  <c:v>0.99673245416942624</c:v>
                </c:pt>
                <c:pt idx="149" formatCode="0.0000">
                  <c:v>1.1757374161056939</c:v>
                </c:pt>
                <c:pt idx="150" formatCode="0.0000">
                  <c:v>1.159087927994219</c:v>
                </c:pt>
                <c:pt idx="151" formatCode="0.0000">
                  <c:v>1.1822527640316556</c:v>
                </c:pt>
                <c:pt idx="152" formatCode="0.0000">
                  <c:v>1.128208971905281</c:v>
                </c:pt>
                <c:pt idx="153" formatCode="0.0000">
                  <c:v>1.1284640887034398</c:v>
                </c:pt>
                <c:pt idx="154" formatCode="0.0000">
                  <c:v>1.1618455544416741</c:v>
                </c:pt>
                <c:pt idx="155" formatCode="0.0000">
                  <c:v>1.1741873330611516</c:v>
                </c:pt>
                <c:pt idx="156" formatCode="0.0000">
                  <c:v>0.99965631692006818</c:v>
                </c:pt>
                <c:pt idx="157" formatCode="0.0000">
                  <c:v>1.0707437872191614</c:v>
                </c:pt>
                <c:pt idx="158" formatCode="0.0000">
                  <c:v>1.0144242500320424</c:v>
                </c:pt>
                <c:pt idx="159" formatCode="0.0000">
                  <c:v>1.0518774291049722</c:v>
                </c:pt>
                <c:pt idx="160" formatCode="0.0000">
                  <c:v>1.0963519674871418</c:v>
                </c:pt>
                <c:pt idx="161" formatCode="0.0000">
                  <c:v>1.1331157459342001</c:v>
                </c:pt>
                <c:pt idx="162" formatCode="0.0000">
                  <c:v>1.1373883725810969</c:v>
                </c:pt>
                <c:pt idx="163" formatCode="0.0000">
                  <c:v>1.1159285664504708</c:v>
                </c:pt>
                <c:pt idx="164" formatCode="0.0000">
                  <c:v>1.1265435311599596</c:v>
                </c:pt>
                <c:pt idx="165" formatCode="0.0000">
                  <c:v>1.1525373917677029</c:v>
                </c:pt>
                <c:pt idx="166" formatCode="0.0000">
                  <c:v>1.314207700729175</c:v>
                </c:pt>
                <c:pt idx="167" formatCode="0.0000">
                  <c:v>1.3209436567650534</c:v>
                </c:pt>
                <c:pt idx="168" formatCode="0.0000">
                  <c:v>1.2509352487115772</c:v>
                </c:pt>
                <c:pt idx="169" formatCode="0.0000">
                  <c:v>1.1744057791593205</c:v>
                </c:pt>
                <c:pt idx="170" formatCode="0.0000">
                  <c:v>1.1676595187089889</c:v>
                </c:pt>
                <c:pt idx="171" formatCode="0.0000">
                  <c:v>1.1198940154655028</c:v>
                </c:pt>
                <c:pt idx="172" formatCode="0.0000">
                  <c:v>1.205039630095976</c:v>
                </c:pt>
                <c:pt idx="173" formatCode="0.0000">
                  <c:v>1.1513701459821373</c:v>
                </c:pt>
                <c:pt idx="174" formatCode="0.0000">
                  <c:v>1.2084050422176975</c:v>
                </c:pt>
                <c:pt idx="175" formatCode="0.0000">
                  <c:v>1.1854208154251531</c:v>
                </c:pt>
                <c:pt idx="176" formatCode="0.0000">
                  <c:v>1.1773598826186149</c:v>
                </c:pt>
                <c:pt idx="177" formatCode="0.0000">
                  <c:v>1.1629828164534739</c:v>
                </c:pt>
                <c:pt idx="178" formatCode="0.0000">
                  <c:v>1.1109263168999555</c:v>
                </c:pt>
                <c:pt idx="179" formatCode="0.0000">
                  <c:v>0.97238599248073121</c:v>
                </c:pt>
                <c:pt idx="180" formatCode="0.0000">
                  <c:v>0.87414294441434492</c:v>
                </c:pt>
                <c:pt idx="181" formatCode="0.0000">
                  <c:v>0.77658435894740063</c:v>
                </c:pt>
                <c:pt idx="182" formatCode="0.0000">
                  <c:v>0.74702067088416568</c:v>
                </c:pt>
                <c:pt idx="183" formatCode="0.0000">
                  <c:v>0.77403780196032812</c:v>
                </c:pt>
                <c:pt idx="184" formatCode="0.0000">
                  <c:v>0.81218833287869452</c:v>
                </c:pt>
                <c:pt idx="185" formatCode="0.0000">
                  <c:v>0.84983207997291699</c:v>
                </c:pt>
                <c:pt idx="186" formatCode="0.0000">
                  <c:v>0.85625793336926759</c:v>
                </c:pt>
                <c:pt idx="187" formatCode="0.0000">
                  <c:v>0.82590393443949239</c:v>
                </c:pt>
                <c:pt idx="188" formatCode="0.0000">
                  <c:v>0.75363388306313339</c:v>
                </c:pt>
                <c:pt idx="189" formatCode="0.0000">
                  <c:v>0.70172038538886383</c:v>
                </c:pt>
                <c:pt idx="190" formatCode="0.0000">
                  <c:v>0.64033163674606464</c:v>
                </c:pt>
                <c:pt idx="191" formatCode="0.0000">
                  <c:v>0.53649965213682094</c:v>
                </c:pt>
                <c:pt idx="192" formatCode="0.0000">
                  <c:v>0.54508862588775686</c:v>
                </c:pt>
                <c:pt idx="193" formatCode="0.0000">
                  <c:v>0.64380688444127998</c:v>
                </c:pt>
                <c:pt idx="194" formatCode="0.0000">
                  <c:v>0.66634729959023076</c:v>
                </c:pt>
                <c:pt idx="195" formatCode="0.0000">
                  <c:v>0.76750410053640616</c:v>
                </c:pt>
                <c:pt idx="196" formatCode="0.0000">
                  <c:v>0.80991432480717973</c:v>
                </c:pt>
                <c:pt idx="197" formatCode="0.0000">
                  <c:v>0.93372911206257003</c:v>
                </c:pt>
                <c:pt idx="198" formatCode="0.0000">
                  <c:v>1.0965570720009215</c:v>
                </c:pt>
                <c:pt idx="199" formatCode="0.0000">
                  <c:v>1.336768245217721</c:v>
                </c:pt>
                <c:pt idx="200" formatCode="0.0000">
                  <c:v>1.3823106869754558</c:v>
                </c:pt>
                <c:pt idx="201" formatCode="0.0000">
                  <c:v>1.4888464373560468</c:v>
                </c:pt>
                <c:pt idx="202" formatCode="0.0000">
                  <c:v>1.6836191522120811</c:v>
                </c:pt>
                <c:pt idx="203" formatCode="0.0000">
                  <c:v>1.7404489671515873</c:v>
                </c:pt>
                <c:pt idx="204" formatCode="0.0000">
                  <c:v>1.8065119261458136</c:v>
                </c:pt>
                <c:pt idx="205" formatCode="0.0000">
                  <c:v>1.7996180710864274</c:v>
                </c:pt>
                <c:pt idx="206" formatCode="0.0000">
                  <c:v>1.5935676875462035</c:v>
                </c:pt>
                <c:pt idx="207" formatCode="0.0000">
                  <c:v>1.5865220507976916</c:v>
                </c:pt>
                <c:pt idx="208" formatCode="0.0000">
                  <c:v>1.5692072213511188</c:v>
                </c:pt>
                <c:pt idx="209" formatCode="0.0000">
                  <c:v>1.3592463411095534</c:v>
                </c:pt>
                <c:pt idx="210" formatCode="0.0000">
                  <c:v>1.4014831449536238</c:v>
                </c:pt>
                <c:pt idx="211" formatCode="0.0000">
                  <c:v>1.328517259376834</c:v>
                </c:pt>
                <c:pt idx="212" formatCode="0.0000">
                  <c:v>1.3318618797303299</c:v>
                </c:pt>
                <c:pt idx="213" formatCode="0.0000">
                  <c:v>1.390286760781932</c:v>
                </c:pt>
                <c:pt idx="214" formatCode="0.0000">
                  <c:v>1.3916822125499662</c:v>
                </c:pt>
                <c:pt idx="215" formatCode="0.0000">
                  <c:v>1.394413154114398</c:v>
                </c:pt>
                <c:pt idx="216" formatCode="0.0000">
                  <c:v>1.4546027560876402</c:v>
                </c:pt>
                <c:pt idx="217" formatCode="0.0000">
                  <c:v>1.4715661227912007</c:v>
                </c:pt>
                <c:pt idx="218" formatCode="0.0000">
                  <c:v>1.58105924622495</c:v>
                </c:pt>
                <c:pt idx="219" formatCode="0.0000">
                  <c:v>1.6650176131656449</c:v>
                </c:pt>
                <c:pt idx="220" formatCode="0.0000">
                  <c:v>1.7608216496013314</c:v>
                </c:pt>
                <c:pt idx="221" formatCode="0.0000">
                  <c:v>1.8410734638323742</c:v>
                </c:pt>
                <c:pt idx="222" formatCode="0.0000">
                  <c:v>1.8654136729739308</c:v>
                </c:pt>
                <c:pt idx="223" formatCode="0.0000">
                  <c:v>1.9043854311161925</c:v>
                </c:pt>
                <c:pt idx="224" formatCode="0.0000">
                  <c:v>1.8980144575429254</c:v>
                </c:pt>
                <c:pt idx="225" formatCode="0.0000">
                  <c:v>1.8375475959585423</c:v>
                </c:pt>
                <c:pt idx="226" formatCode="0.0000">
                  <c:v>1.878976371397632</c:v>
                </c:pt>
                <c:pt idx="227" formatCode="0.0000">
                  <c:v>1.805780324814283</c:v>
                </c:pt>
                <c:pt idx="228" formatCode="0.0000">
                  <c:v>1.7861523535489776</c:v>
                </c:pt>
                <c:pt idx="229" formatCode="0.0000">
                  <c:v>1.7629492936593769</c:v>
                </c:pt>
                <c:pt idx="230" formatCode="0.0000">
                  <c:v>1.7554464925862734</c:v>
                </c:pt>
                <c:pt idx="231" formatCode="0.0000">
                  <c:v>1.7313379770631629</c:v>
                </c:pt>
                <c:pt idx="232" formatCode="0.0000">
                  <c:v>1.6955852187247802</c:v>
                </c:pt>
                <c:pt idx="233" formatCode="0.0000">
                  <c:v>1.5724966274840815</c:v>
                </c:pt>
                <c:pt idx="234" formatCode="0.0000">
                  <c:v>1.4949553685561408</c:v>
                </c:pt>
                <c:pt idx="235" formatCode="0.0000">
                  <c:v>1.4212851331346423</c:v>
                </c:pt>
                <c:pt idx="236" formatCode="0.0000">
                  <c:v>1.4084579446079821</c:v>
                </c:pt>
                <c:pt idx="237" formatCode="0.0000">
                  <c:v>1.3436550541849972</c:v>
                </c:pt>
                <c:pt idx="238" formatCode="0.0000">
                  <c:v>1.4571006674516198</c:v>
                </c:pt>
                <c:pt idx="239" formatCode="0.0000">
                  <c:v>1.6034923734543267</c:v>
                </c:pt>
                <c:pt idx="240" formatCode="0.0000">
                  <c:v>1.6443996550206446</c:v>
                </c:pt>
                <c:pt idx="241" formatCode="0.0000">
                  <c:v>1.6563532015155247</c:v>
                </c:pt>
                <c:pt idx="242" formatCode="0.0000">
                  <c:v>1.637102240313119</c:v>
                </c:pt>
                <c:pt idx="243" formatCode="0.0000">
                  <c:v>1.6584694336214423</c:v>
                </c:pt>
                <c:pt idx="244" formatCode="0.0000">
                  <c:v>1.6461922356488987</c:v>
                </c:pt>
                <c:pt idx="245" formatCode="0.0000">
                  <c:v>1.4777025881847297</c:v>
                </c:pt>
                <c:pt idx="246" formatCode="0.0000">
                  <c:v>1.3463480313486473</c:v>
                </c:pt>
                <c:pt idx="247" formatCode="0.0000">
                  <c:v>1.2613542638990829</c:v>
                </c:pt>
                <c:pt idx="248" formatCode="0.0000">
                  <c:v>1.2190036473600332</c:v>
                </c:pt>
                <c:pt idx="249" formatCode="0.0000">
                  <c:v>1.1628706254671823</c:v>
                </c:pt>
                <c:pt idx="250" formatCode="0.0000">
                  <c:v>1.1247857870936406</c:v>
                </c:pt>
                <c:pt idx="251" formatCode="0.0000">
                  <c:v>1.1185286482729246</c:v>
                </c:pt>
                <c:pt idx="252" formatCode="0.0000">
                  <c:v>1.13414345764001</c:v>
                </c:pt>
                <c:pt idx="253" formatCode="0.0000">
                  <c:v>1.076787235001015</c:v>
                </c:pt>
                <c:pt idx="254" formatCode="0.0000">
                  <c:v>1.0447712176535024</c:v>
                </c:pt>
                <c:pt idx="255" formatCode="0.0000">
                  <c:v>1.0340618807436488</c:v>
                </c:pt>
                <c:pt idx="256" formatCode="0.0000">
                  <c:v>1.022784238618774</c:v>
                </c:pt>
                <c:pt idx="257" formatCode="0.0000">
                  <c:v>1.0009910096870163</c:v>
                </c:pt>
                <c:pt idx="258" formatCode="0.0000">
                  <c:v>0.98257580430702374</c:v>
                </c:pt>
                <c:pt idx="259" formatCode="0.0000">
                  <c:v>0.95398127882813555</c:v>
                </c:pt>
                <c:pt idx="260" formatCode="0.0000">
                  <c:v>0.93052991528976448</c:v>
                </c:pt>
                <c:pt idx="261" formatCode="0.0000">
                  <c:v>0.91595164787140093</c:v>
                </c:pt>
                <c:pt idx="262" formatCode="0.0000">
                  <c:v>0.92056560111939423</c:v>
                </c:pt>
                <c:pt idx="263" formatCode="0.0000">
                  <c:v>0.94097146786663555</c:v>
                </c:pt>
                <c:pt idx="264" formatCode="0.0000">
                  <c:v>0.92318493547990932</c:v>
                </c:pt>
                <c:pt idx="265" formatCode="0.0000">
                  <c:v>0.91307311396878921</c:v>
                </c:pt>
                <c:pt idx="266" formatCode="0.0000">
                  <c:v>0.86396304598414464</c:v>
                </c:pt>
                <c:pt idx="267" formatCode="0.0000">
                  <c:v>0.86496300374649437</c:v>
                </c:pt>
                <c:pt idx="268" formatCode="0.0000">
                  <c:v>0.86245313520125211</c:v>
                </c:pt>
                <c:pt idx="269" formatCode="0.0000">
                  <c:v>0.82813404094104903</c:v>
                </c:pt>
                <c:pt idx="270" formatCode="0.0000">
                  <c:v>0.74537775161192854</c:v>
                </c:pt>
                <c:pt idx="271" formatCode="0.0000">
                  <c:v>0.74044685382526065</c:v>
                </c:pt>
                <c:pt idx="272" formatCode="0.0000">
                  <c:v>0.6960409946520304</c:v>
                </c:pt>
                <c:pt idx="273" formatCode="0.0000">
                  <c:v>0.72725750936093425</c:v>
                </c:pt>
                <c:pt idx="274" formatCode="0.0000">
                  <c:v>0.76756506196201968</c:v>
                </c:pt>
                <c:pt idx="275" formatCode="0.0000">
                  <c:v>0.77152428921462946</c:v>
                </c:pt>
                <c:pt idx="276" formatCode="0.0000">
                  <c:v>0.79129625397744008</c:v>
                </c:pt>
                <c:pt idx="277" formatCode="0.0000">
                  <c:v>0.84927827743945772</c:v>
                </c:pt>
                <c:pt idx="278" formatCode="0.0000">
                  <c:v>0.82473486453210343</c:v>
                </c:pt>
                <c:pt idx="279" formatCode="0.0000">
                  <c:v>0.8122975737861805</c:v>
                </c:pt>
                <c:pt idx="280" formatCode="0.0000">
                  <c:v>0.82303975424585851</c:v>
                </c:pt>
                <c:pt idx="281" formatCode="0.0000">
                  <c:v>0.81901226982031805</c:v>
                </c:pt>
                <c:pt idx="282" formatCode="0.0000">
                  <c:v>0.84325159163869223</c:v>
                </c:pt>
                <c:pt idx="283" formatCode="0.0000">
                  <c:v>0.85486395923714198</c:v>
                </c:pt>
                <c:pt idx="284" formatCode="0.0000">
                  <c:v>0.84118351773852418</c:v>
                </c:pt>
                <c:pt idx="285" formatCode="0.0000">
                  <c:v>0.8593942859693785</c:v>
                </c:pt>
                <c:pt idx="286" formatCode="0.0000">
                  <c:v>0.85644748870870335</c:v>
                </c:pt>
                <c:pt idx="287" formatCode="0.0000">
                  <c:v>0.8482468653335028</c:v>
                </c:pt>
                <c:pt idx="288" formatCode="0.0000">
                  <c:v>0.90359732136020932</c:v>
                </c:pt>
                <c:pt idx="289" formatCode="0.0000">
                  <c:v>0.9018243667044159</c:v>
                </c:pt>
                <c:pt idx="290" formatCode="0.0000">
                  <c:v>0.88193948042798032</c:v>
                </c:pt>
                <c:pt idx="291" formatCode="0.0000">
                  <c:v>0.91353137537567231</c:v>
                </c:pt>
                <c:pt idx="292" formatCode="0.0000">
                  <c:v>0.89868759302440304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67F-4D8D-8801-90523A902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6661765"/>
        <c:axId val="1688046737"/>
      </c:lineChart>
      <c:lineChart>
        <c:grouping val="standard"/>
        <c:varyColors val="0"/>
        <c:ser>
          <c:idx val="1"/>
          <c:order val="1"/>
          <c:tx>
            <c:strRef>
              <c:f>'R(t) Województwa'!$AH$2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Województwa'!$AH$3:$AH$1000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0.14285714285714285</c:v>
                </c:pt>
                <c:pt idx="9">
                  <c:v>0.2857142857142857</c:v>
                </c:pt>
                <c:pt idx="10">
                  <c:v>0.7142857142857143</c:v>
                </c:pt>
                <c:pt idx="11">
                  <c:v>2.1428571428571428</c:v>
                </c:pt>
                <c:pt idx="12">
                  <c:v>2.7142857142857144</c:v>
                </c:pt>
                <c:pt idx="13">
                  <c:v>4.4285714285714288</c:v>
                </c:pt>
                <c:pt idx="14">
                  <c:v>6</c:v>
                </c:pt>
                <c:pt idx="15">
                  <c:v>5.8571428571428568</c:v>
                </c:pt>
                <c:pt idx="16">
                  <c:v>6.5714285714285712</c:v>
                </c:pt>
                <c:pt idx="17">
                  <c:v>7.4285714285714288</c:v>
                </c:pt>
                <c:pt idx="18">
                  <c:v>10.857142857142858</c:v>
                </c:pt>
                <c:pt idx="19">
                  <c:v>12.428571428571429</c:v>
                </c:pt>
                <c:pt idx="20">
                  <c:v>11.428571428571429</c:v>
                </c:pt>
                <c:pt idx="21">
                  <c:v>12.428571428571429</c:v>
                </c:pt>
                <c:pt idx="22">
                  <c:v>14.571428571428571</c:v>
                </c:pt>
                <c:pt idx="23">
                  <c:v>15.714285714285714</c:v>
                </c:pt>
                <c:pt idx="24">
                  <c:v>15.857142857142858</c:v>
                </c:pt>
                <c:pt idx="25">
                  <c:v>13</c:v>
                </c:pt>
                <c:pt idx="26">
                  <c:v>12</c:v>
                </c:pt>
                <c:pt idx="27">
                  <c:v>13</c:v>
                </c:pt>
                <c:pt idx="28">
                  <c:v>11.285714285714286</c:v>
                </c:pt>
                <c:pt idx="29">
                  <c:v>11</c:v>
                </c:pt>
                <c:pt idx="30">
                  <c:v>11.142857142857142</c:v>
                </c:pt>
                <c:pt idx="31">
                  <c:v>11.428571428571429</c:v>
                </c:pt>
                <c:pt idx="32">
                  <c:v>11</c:v>
                </c:pt>
                <c:pt idx="33">
                  <c:v>19.428571428571427</c:v>
                </c:pt>
                <c:pt idx="34">
                  <c:v>19.714285714285715</c:v>
                </c:pt>
                <c:pt idx="35">
                  <c:v>21.428571428571427</c:v>
                </c:pt>
                <c:pt idx="36">
                  <c:v>25.571428571428573</c:v>
                </c:pt>
                <c:pt idx="37">
                  <c:v>28</c:v>
                </c:pt>
                <c:pt idx="38">
                  <c:v>30.714285714285715</c:v>
                </c:pt>
                <c:pt idx="39">
                  <c:v>33.285714285714285</c:v>
                </c:pt>
                <c:pt idx="40">
                  <c:v>29</c:v>
                </c:pt>
                <c:pt idx="41">
                  <c:v>30.142857142857142</c:v>
                </c:pt>
                <c:pt idx="42">
                  <c:v>29.857142857142858</c:v>
                </c:pt>
                <c:pt idx="43">
                  <c:v>24.571428571428573</c:v>
                </c:pt>
                <c:pt idx="44">
                  <c:v>22.571428571428573</c:v>
                </c:pt>
                <c:pt idx="45">
                  <c:v>20.571428571428573</c:v>
                </c:pt>
                <c:pt idx="46">
                  <c:v>21.142857142857142</c:v>
                </c:pt>
                <c:pt idx="47">
                  <c:v>18.714285714285715</c:v>
                </c:pt>
                <c:pt idx="48">
                  <c:v>18.714285714285715</c:v>
                </c:pt>
                <c:pt idx="49">
                  <c:v>18.285714285714285</c:v>
                </c:pt>
                <c:pt idx="50">
                  <c:v>27.571428571428573</c:v>
                </c:pt>
                <c:pt idx="51">
                  <c:v>27.285714285714285</c:v>
                </c:pt>
                <c:pt idx="52">
                  <c:v>29.428571428571427</c:v>
                </c:pt>
                <c:pt idx="53">
                  <c:v>28</c:v>
                </c:pt>
                <c:pt idx="54">
                  <c:v>27.857142857142858</c:v>
                </c:pt>
                <c:pt idx="55">
                  <c:v>29.714285714285715</c:v>
                </c:pt>
                <c:pt idx="56">
                  <c:v>29.857142857142858</c:v>
                </c:pt>
                <c:pt idx="57">
                  <c:v>24.428571428571427</c:v>
                </c:pt>
                <c:pt idx="58">
                  <c:v>24.714285714285715</c:v>
                </c:pt>
                <c:pt idx="59">
                  <c:v>22.714285714285715</c:v>
                </c:pt>
                <c:pt idx="60">
                  <c:v>24.285714285714285</c:v>
                </c:pt>
                <c:pt idx="61">
                  <c:v>27.714285714285715</c:v>
                </c:pt>
                <c:pt idx="62">
                  <c:v>25.428571428571427</c:v>
                </c:pt>
                <c:pt idx="63">
                  <c:v>23.857142857142858</c:v>
                </c:pt>
                <c:pt idx="64">
                  <c:v>23.142857142857142</c:v>
                </c:pt>
                <c:pt idx="65">
                  <c:v>26</c:v>
                </c:pt>
                <c:pt idx="66">
                  <c:v>25</c:v>
                </c:pt>
                <c:pt idx="67">
                  <c:v>22.428571428571427</c:v>
                </c:pt>
                <c:pt idx="68">
                  <c:v>18</c:v>
                </c:pt>
                <c:pt idx="69">
                  <c:v>16.714285714285715</c:v>
                </c:pt>
                <c:pt idx="70">
                  <c:v>18.142857142857142</c:v>
                </c:pt>
                <c:pt idx="71">
                  <c:v>15.857142857142858</c:v>
                </c:pt>
                <c:pt idx="72">
                  <c:v>11.428571428571429</c:v>
                </c:pt>
                <c:pt idx="73">
                  <c:v>11</c:v>
                </c:pt>
                <c:pt idx="74">
                  <c:v>9.7142857142857135</c:v>
                </c:pt>
                <c:pt idx="75">
                  <c:v>8.8571428571428577</c:v>
                </c:pt>
                <c:pt idx="76">
                  <c:v>9</c:v>
                </c:pt>
                <c:pt idx="77">
                  <c:v>8</c:v>
                </c:pt>
                <c:pt idx="78">
                  <c:v>8.7142857142857135</c:v>
                </c:pt>
                <c:pt idx="79">
                  <c:v>8.5714285714285712</c:v>
                </c:pt>
                <c:pt idx="80">
                  <c:v>12.142857142857142</c:v>
                </c:pt>
                <c:pt idx="81">
                  <c:v>12.857142857142858</c:v>
                </c:pt>
                <c:pt idx="82">
                  <c:v>15.285714285714286</c:v>
                </c:pt>
                <c:pt idx="83">
                  <c:v>15.857142857142858</c:v>
                </c:pt>
                <c:pt idx="84">
                  <c:v>18.142857142857142</c:v>
                </c:pt>
                <c:pt idx="85">
                  <c:v>19.857142857142858</c:v>
                </c:pt>
                <c:pt idx="86">
                  <c:v>25.571428571428573</c:v>
                </c:pt>
                <c:pt idx="87">
                  <c:v>25.142857142857142</c:v>
                </c:pt>
                <c:pt idx="88">
                  <c:v>28.428571428571427</c:v>
                </c:pt>
                <c:pt idx="89">
                  <c:v>29.428571428571427</c:v>
                </c:pt>
                <c:pt idx="90">
                  <c:v>34.714285714285715</c:v>
                </c:pt>
                <c:pt idx="91">
                  <c:v>32.714285714285715</c:v>
                </c:pt>
                <c:pt idx="92">
                  <c:v>36.428571428571431</c:v>
                </c:pt>
                <c:pt idx="93">
                  <c:v>45.857142857142854</c:v>
                </c:pt>
                <c:pt idx="94">
                  <c:v>48.285714285714285</c:v>
                </c:pt>
                <c:pt idx="95">
                  <c:v>52.142857142857146</c:v>
                </c:pt>
                <c:pt idx="96">
                  <c:v>64.857142857142861</c:v>
                </c:pt>
                <c:pt idx="97">
                  <c:v>68.428571428571431</c:v>
                </c:pt>
                <c:pt idx="98">
                  <c:v>73.714285714285708</c:v>
                </c:pt>
                <c:pt idx="99">
                  <c:v>71.428571428571431</c:v>
                </c:pt>
                <c:pt idx="100">
                  <c:v>65.857142857142861</c:v>
                </c:pt>
                <c:pt idx="101">
                  <c:v>72</c:v>
                </c:pt>
                <c:pt idx="102">
                  <c:v>68.428571428571431</c:v>
                </c:pt>
                <c:pt idx="103">
                  <c:v>57</c:v>
                </c:pt>
                <c:pt idx="104">
                  <c:v>56.428571428571431</c:v>
                </c:pt>
                <c:pt idx="105">
                  <c:v>58.857142857142854</c:v>
                </c:pt>
                <c:pt idx="106">
                  <c:v>62.571428571428569</c:v>
                </c:pt>
                <c:pt idx="107">
                  <c:v>62.857142857142854</c:v>
                </c:pt>
                <c:pt idx="108">
                  <c:v>59</c:v>
                </c:pt>
                <c:pt idx="109">
                  <c:v>60</c:v>
                </c:pt>
                <c:pt idx="110">
                  <c:v>60.571428571428569</c:v>
                </c:pt>
                <c:pt idx="111">
                  <c:v>57</c:v>
                </c:pt>
                <c:pt idx="112">
                  <c:v>53.857142857142854</c:v>
                </c:pt>
                <c:pt idx="113">
                  <c:v>50.285714285714285</c:v>
                </c:pt>
                <c:pt idx="114">
                  <c:v>44.428571428571431</c:v>
                </c:pt>
                <c:pt idx="115">
                  <c:v>38.285714285714285</c:v>
                </c:pt>
                <c:pt idx="116">
                  <c:v>39</c:v>
                </c:pt>
                <c:pt idx="117">
                  <c:v>36.571428571428569</c:v>
                </c:pt>
                <c:pt idx="118">
                  <c:v>32.714285714285715</c:v>
                </c:pt>
                <c:pt idx="119">
                  <c:v>29.428571428571427</c:v>
                </c:pt>
                <c:pt idx="120">
                  <c:v>25.285714285714285</c:v>
                </c:pt>
                <c:pt idx="121">
                  <c:v>27.857142857142858</c:v>
                </c:pt>
                <c:pt idx="122">
                  <c:v>28.428571428571427</c:v>
                </c:pt>
                <c:pt idx="123">
                  <c:v>24.428571428571427</c:v>
                </c:pt>
                <c:pt idx="124">
                  <c:v>23</c:v>
                </c:pt>
                <c:pt idx="125">
                  <c:v>24.428571428571427</c:v>
                </c:pt>
                <c:pt idx="126">
                  <c:v>23.285714285714285</c:v>
                </c:pt>
                <c:pt idx="127">
                  <c:v>26.428571428571427</c:v>
                </c:pt>
                <c:pt idx="128">
                  <c:v>22.142857142857142</c:v>
                </c:pt>
                <c:pt idx="129">
                  <c:v>21</c:v>
                </c:pt>
                <c:pt idx="130">
                  <c:v>22.857142857142858</c:v>
                </c:pt>
                <c:pt idx="131">
                  <c:v>24.714285714285715</c:v>
                </c:pt>
                <c:pt idx="132">
                  <c:v>22.857142857142858</c:v>
                </c:pt>
                <c:pt idx="133">
                  <c:v>24.285714285714285</c:v>
                </c:pt>
                <c:pt idx="134">
                  <c:v>24.142857142857142</c:v>
                </c:pt>
                <c:pt idx="135">
                  <c:v>26.428571428571427</c:v>
                </c:pt>
                <c:pt idx="136">
                  <c:v>28.428571428571427</c:v>
                </c:pt>
                <c:pt idx="137">
                  <c:v>26.714285714285715</c:v>
                </c:pt>
                <c:pt idx="138">
                  <c:v>27.714285714285715</c:v>
                </c:pt>
                <c:pt idx="139">
                  <c:v>27.428571428571427</c:v>
                </c:pt>
                <c:pt idx="140">
                  <c:v>28.571428571428573</c:v>
                </c:pt>
                <c:pt idx="141">
                  <c:v>28.857142857142858</c:v>
                </c:pt>
                <c:pt idx="142">
                  <c:v>28.142857142857142</c:v>
                </c:pt>
                <c:pt idx="143">
                  <c:v>28</c:v>
                </c:pt>
                <c:pt idx="144">
                  <c:v>29.428571428571427</c:v>
                </c:pt>
                <c:pt idx="145">
                  <c:v>27.428571428571427</c:v>
                </c:pt>
                <c:pt idx="146">
                  <c:v>27.714285714285715</c:v>
                </c:pt>
                <c:pt idx="147">
                  <c:v>28</c:v>
                </c:pt>
                <c:pt idx="148">
                  <c:v>27.571428571428573</c:v>
                </c:pt>
                <c:pt idx="149">
                  <c:v>32.428571428571431</c:v>
                </c:pt>
                <c:pt idx="150">
                  <c:v>32.571428571428569</c:v>
                </c:pt>
                <c:pt idx="151">
                  <c:v>34</c:v>
                </c:pt>
                <c:pt idx="152">
                  <c:v>32.714285714285715</c:v>
                </c:pt>
                <c:pt idx="153">
                  <c:v>33</c:v>
                </c:pt>
                <c:pt idx="154">
                  <c:v>34.428571428571431</c:v>
                </c:pt>
                <c:pt idx="155">
                  <c:v>35.428571428571431</c:v>
                </c:pt>
                <c:pt idx="156">
                  <c:v>31.428571428571427</c:v>
                </c:pt>
                <c:pt idx="157">
                  <c:v>33.714285714285715</c:v>
                </c:pt>
                <c:pt idx="158">
                  <c:v>32.142857142857146</c:v>
                </c:pt>
                <c:pt idx="159">
                  <c:v>33.428571428571431</c:v>
                </c:pt>
                <c:pt idx="160">
                  <c:v>35</c:v>
                </c:pt>
                <c:pt idx="161">
                  <c:v>36.714285714285715</c:v>
                </c:pt>
                <c:pt idx="162">
                  <c:v>37.571428571428569</c:v>
                </c:pt>
                <c:pt idx="163">
                  <c:v>37.571428571428569</c:v>
                </c:pt>
                <c:pt idx="164">
                  <c:v>38.714285714285715</c:v>
                </c:pt>
                <c:pt idx="165">
                  <c:v>40.285714285714285</c:v>
                </c:pt>
                <c:pt idx="166">
                  <c:v>47.142857142857146</c:v>
                </c:pt>
                <c:pt idx="167">
                  <c:v>49</c:v>
                </c:pt>
                <c:pt idx="168">
                  <c:v>48.571428571428569</c:v>
                </c:pt>
                <c:pt idx="169">
                  <c:v>46.857142857142854</c:v>
                </c:pt>
                <c:pt idx="170">
                  <c:v>47.571428571428569</c:v>
                </c:pt>
                <c:pt idx="171">
                  <c:v>46.857142857142854</c:v>
                </c:pt>
                <c:pt idx="172">
                  <c:v>51.285714285714285</c:v>
                </c:pt>
                <c:pt idx="173">
                  <c:v>50.857142857142854</c:v>
                </c:pt>
                <c:pt idx="174">
                  <c:v>54.714285714285715</c:v>
                </c:pt>
                <c:pt idx="175">
                  <c:v>55</c:v>
                </c:pt>
                <c:pt idx="176">
                  <c:v>55.428571428571431</c:v>
                </c:pt>
                <c:pt idx="177">
                  <c:v>55.857142857142854</c:v>
                </c:pt>
                <c:pt idx="178">
                  <c:v>54.428571428571431</c:v>
                </c:pt>
                <c:pt idx="179">
                  <c:v>48.857142857142854</c:v>
                </c:pt>
                <c:pt idx="180">
                  <c:v>44</c:v>
                </c:pt>
                <c:pt idx="181">
                  <c:v>38.428571428571431</c:v>
                </c:pt>
                <c:pt idx="182">
                  <c:v>35.714285714285715</c:v>
                </c:pt>
                <c:pt idx="183">
                  <c:v>35.714285714285715</c:v>
                </c:pt>
                <c:pt idx="184">
                  <c:v>35.857142857142854</c:v>
                </c:pt>
                <c:pt idx="185">
                  <c:v>36.428571428571431</c:v>
                </c:pt>
                <c:pt idx="186">
                  <c:v>36</c:v>
                </c:pt>
                <c:pt idx="187">
                  <c:v>34.142857142857146</c:v>
                </c:pt>
                <c:pt idx="188">
                  <c:v>30.714285714285715</c:v>
                </c:pt>
                <c:pt idx="189">
                  <c:v>28</c:v>
                </c:pt>
                <c:pt idx="190">
                  <c:v>24.857142857142858</c:v>
                </c:pt>
                <c:pt idx="191">
                  <c:v>19.857142857142858</c:v>
                </c:pt>
                <c:pt idx="192">
                  <c:v>17.714285714285715</c:v>
                </c:pt>
                <c:pt idx="193">
                  <c:v>18.571428571428573</c:v>
                </c:pt>
                <c:pt idx="194">
                  <c:v>18.285714285714285</c:v>
                </c:pt>
                <c:pt idx="195">
                  <c:v>20.571428571428573</c:v>
                </c:pt>
                <c:pt idx="196">
                  <c:v>21.285714285714285</c:v>
                </c:pt>
                <c:pt idx="197">
                  <c:v>24</c:v>
                </c:pt>
                <c:pt idx="198">
                  <c:v>28</c:v>
                </c:pt>
                <c:pt idx="199">
                  <c:v>35</c:v>
                </c:pt>
                <c:pt idx="200">
                  <c:v>38.428571428571431</c:v>
                </c:pt>
                <c:pt idx="201">
                  <c:v>43.571428571428569</c:v>
                </c:pt>
                <c:pt idx="202">
                  <c:v>53.428571428571431</c:v>
                </c:pt>
                <c:pt idx="203">
                  <c:v>58.285714285714285</c:v>
                </c:pt>
                <c:pt idx="204">
                  <c:v>65.857142857142861</c:v>
                </c:pt>
                <c:pt idx="205">
                  <c:v>72</c:v>
                </c:pt>
                <c:pt idx="206">
                  <c:v>72.142857142857139</c:v>
                </c:pt>
                <c:pt idx="207">
                  <c:v>78.285714285714292</c:v>
                </c:pt>
                <c:pt idx="208">
                  <c:v>82.857142857142861</c:v>
                </c:pt>
                <c:pt idx="209">
                  <c:v>77.714285714285708</c:v>
                </c:pt>
                <c:pt idx="210">
                  <c:v>83.571428571428569</c:v>
                </c:pt>
                <c:pt idx="211">
                  <c:v>84</c:v>
                </c:pt>
                <c:pt idx="212">
                  <c:v>88.714285714285708</c:v>
                </c:pt>
                <c:pt idx="213">
                  <c:v>97.571428571428569</c:v>
                </c:pt>
                <c:pt idx="214">
                  <c:v>104.42857142857143</c:v>
                </c:pt>
                <c:pt idx="215">
                  <c:v>110.28571428571429</c:v>
                </c:pt>
                <c:pt idx="216">
                  <c:v>120.14285714285714</c:v>
                </c:pt>
                <c:pt idx="217">
                  <c:v>129.14285714285714</c:v>
                </c:pt>
                <c:pt idx="218">
                  <c:v>148.57142857142858</c:v>
                </c:pt>
                <c:pt idx="219">
                  <c:v>171.71428571428572</c:v>
                </c:pt>
                <c:pt idx="220">
                  <c:v>203.57142857142858</c:v>
                </c:pt>
                <c:pt idx="221">
                  <c:v>240.57142857142858</c:v>
                </c:pt>
                <c:pt idx="222">
                  <c:v>267.28571428571428</c:v>
                </c:pt>
                <c:pt idx="223">
                  <c:v>298.42857142857144</c:v>
                </c:pt>
                <c:pt idx="224">
                  <c:v>326.14285714285717</c:v>
                </c:pt>
                <c:pt idx="225">
                  <c:v>352.14285714285717</c:v>
                </c:pt>
                <c:pt idx="226">
                  <c:v>411</c:v>
                </c:pt>
                <c:pt idx="227">
                  <c:v>451.71428571428572</c:v>
                </c:pt>
                <c:pt idx="228">
                  <c:v>510.28571428571428</c:v>
                </c:pt>
                <c:pt idx="229">
                  <c:v>548.85714285714289</c:v>
                </c:pt>
                <c:pt idx="230">
                  <c:v>596.71428571428567</c:v>
                </c:pt>
                <c:pt idx="231">
                  <c:v>636.14285714285711</c:v>
                </c:pt>
                <c:pt idx="232">
                  <c:v>674.71428571428567</c:v>
                </c:pt>
                <c:pt idx="233">
                  <c:v>699.28571428571433</c:v>
                </c:pt>
                <c:pt idx="234">
                  <c:v>721</c:v>
                </c:pt>
                <c:pt idx="235">
                  <c:v>746.71428571428567</c:v>
                </c:pt>
                <c:pt idx="236">
                  <c:v>780.14285714285711</c:v>
                </c:pt>
                <c:pt idx="237">
                  <c:v>782.42857142857144</c:v>
                </c:pt>
                <c:pt idx="238">
                  <c:v>896.14285714285711</c:v>
                </c:pt>
                <c:pt idx="239">
                  <c:v>1065.4285714285713</c:v>
                </c:pt>
                <c:pt idx="240">
                  <c:v>1198.4285714285713</c:v>
                </c:pt>
                <c:pt idx="241">
                  <c:v>1306.1428571428571</c:v>
                </c:pt>
                <c:pt idx="242">
                  <c:v>1406</c:v>
                </c:pt>
                <c:pt idx="243">
                  <c:v>1527.7142857142858</c:v>
                </c:pt>
                <c:pt idx="244">
                  <c:v>1597</c:v>
                </c:pt>
                <c:pt idx="245">
                  <c:v>1552.5714285714287</c:v>
                </c:pt>
                <c:pt idx="246">
                  <c:v>1539.1428571428571</c:v>
                </c:pt>
                <c:pt idx="247">
                  <c:v>1527.5714285714287</c:v>
                </c:pt>
                <c:pt idx="248">
                  <c:v>1533.1428571428571</c:v>
                </c:pt>
                <c:pt idx="249">
                  <c:v>1511.5714285714287</c:v>
                </c:pt>
                <c:pt idx="250">
                  <c:v>1498.1428571428571</c:v>
                </c:pt>
                <c:pt idx="251">
                  <c:v>1510.8571428571429</c:v>
                </c:pt>
                <c:pt idx="252">
                  <c:v>1552.4285714285713</c:v>
                </c:pt>
                <c:pt idx="253">
                  <c:v>1506.2857142857142</c:v>
                </c:pt>
                <c:pt idx="254">
                  <c:v>1479.8571428571429</c:v>
                </c:pt>
                <c:pt idx="255">
                  <c:v>1474.7142857142858</c:v>
                </c:pt>
                <c:pt idx="256">
                  <c:v>1465.8571428571429</c:v>
                </c:pt>
                <c:pt idx="257">
                  <c:v>1439.1428571428571</c:v>
                </c:pt>
                <c:pt idx="258">
                  <c:v>1412.5714285714287</c:v>
                </c:pt>
                <c:pt idx="259">
                  <c:v>1369</c:v>
                </c:pt>
                <c:pt idx="260">
                  <c:v>1327.7142857142858</c:v>
                </c:pt>
                <c:pt idx="261">
                  <c:v>1293.4285714285713</c:v>
                </c:pt>
                <c:pt idx="262">
                  <c:v>1281.2857142857142</c:v>
                </c:pt>
                <c:pt idx="263">
                  <c:v>1292.1428571428571</c:v>
                </c:pt>
                <c:pt idx="264">
                  <c:v>1256</c:v>
                </c:pt>
                <c:pt idx="265">
                  <c:v>1230.7142857142858</c:v>
                </c:pt>
                <c:pt idx="266">
                  <c:v>1154.5714285714287</c:v>
                </c:pt>
                <c:pt idx="267">
                  <c:v>1134</c:v>
                </c:pt>
                <c:pt idx="268">
                  <c:v>1107</c:v>
                </c:pt>
                <c:pt idx="269">
                  <c:v>1039.7142857142858</c:v>
                </c:pt>
                <c:pt idx="270">
                  <c:v>910.42857142857144</c:v>
                </c:pt>
                <c:pt idx="271">
                  <c:v>867.85714285714289</c:v>
                </c:pt>
                <c:pt idx="272">
                  <c:v>792</c:v>
                </c:pt>
                <c:pt idx="273">
                  <c:v>799.42857142857144</c:v>
                </c:pt>
                <c:pt idx="274">
                  <c:v>799.85714285714289</c:v>
                </c:pt>
                <c:pt idx="275">
                  <c:v>769.85714285714289</c:v>
                </c:pt>
                <c:pt idx="276">
                  <c:v>757.57142857142856</c:v>
                </c:pt>
                <c:pt idx="277">
                  <c:v>791.71428571428567</c:v>
                </c:pt>
                <c:pt idx="278">
                  <c:v>752.14285714285711</c:v>
                </c:pt>
                <c:pt idx="279">
                  <c:v>732.57142857142856</c:v>
                </c:pt>
                <c:pt idx="280">
                  <c:v>725.14285714285711</c:v>
                </c:pt>
                <c:pt idx="281">
                  <c:v>697.71428571428567</c:v>
                </c:pt>
                <c:pt idx="282">
                  <c:v>694</c:v>
                </c:pt>
                <c:pt idx="283">
                  <c:v>683</c:v>
                </c:pt>
                <c:pt idx="284">
                  <c:v>654.14285714285711</c:v>
                </c:pt>
                <c:pt idx="285">
                  <c:v>655.71428571428567</c:v>
                </c:pt>
                <c:pt idx="286">
                  <c:v>648.85714285714289</c:v>
                </c:pt>
                <c:pt idx="287">
                  <c:v>632.14285714285711</c:v>
                </c:pt>
                <c:pt idx="288">
                  <c:v>649.57142857142856</c:v>
                </c:pt>
                <c:pt idx="289">
                  <c:v>635.85714285714289</c:v>
                </c:pt>
                <c:pt idx="290">
                  <c:v>609.85714285714289</c:v>
                </c:pt>
                <c:pt idx="291">
                  <c:v>619.42857142857144</c:v>
                </c:pt>
                <c:pt idx="292">
                  <c:v>601.57142857142856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67F-4D8D-8801-90523A902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298367"/>
        <c:axId val="585460978"/>
      </c:lineChart>
      <c:catAx>
        <c:axId val="9366617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688046737"/>
        <c:crosses val="autoZero"/>
        <c:auto val="1"/>
        <c:lblAlgn val="ctr"/>
        <c:lblOffset val="100"/>
        <c:noMultiLvlLbl val="1"/>
      </c:catAx>
      <c:valAx>
        <c:axId val="1688046737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936661765"/>
        <c:crosses val="autoZero"/>
        <c:crossBetween val="between"/>
      </c:valAx>
      <c:catAx>
        <c:axId val="12002983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5460978"/>
        <c:crosses val="autoZero"/>
        <c:auto val="1"/>
        <c:lblAlgn val="ctr"/>
        <c:lblOffset val="100"/>
        <c:noMultiLvlLbl val="1"/>
      </c:catAx>
      <c:valAx>
        <c:axId val="585460978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200298367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Małopolskiego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Województwa'!$AS$2</c:f>
              <c:strCache>
                <c:ptCount val="1"/>
                <c:pt idx="0">
                  <c:v>Małopolskie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Województwa'!$AS$3:$AS$1000</c:f>
              <c:numCache>
                <c:formatCode>General</c:formatCode>
                <c:ptCount val="998"/>
                <c:pt idx="27" formatCode="0.0000">
                  <c:v>1.3701731025299604</c:v>
                </c:pt>
                <c:pt idx="28" formatCode="0.0000">
                  <c:v>1.1730946813462806</c:v>
                </c:pt>
                <c:pt idx="29" formatCode="0.0000">
                  <c:v>1.090383882659224</c:v>
                </c:pt>
                <c:pt idx="30" formatCode="0.0000">
                  <c:v>1.1065332856480037</c:v>
                </c:pt>
                <c:pt idx="31" formatCode="0.0000">
                  <c:v>1.2295965648625553</c:v>
                </c:pt>
                <c:pt idx="32" formatCode="0.0000">
                  <c:v>1.3986267174399607</c:v>
                </c:pt>
                <c:pt idx="33" formatCode="0.0000">
                  <c:v>1.3112443794241482</c:v>
                </c:pt>
                <c:pt idx="34" formatCode="0.0000">
                  <c:v>1.2497638494853525</c:v>
                </c:pt>
                <c:pt idx="35" formatCode="0.0000">
                  <c:v>1.2457558954537007</c:v>
                </c:pt>
                <c:pt idx="36" formatCode="0.0000">
                  <c:v>1.2872658255155986</c:v>
                </c:pt>
                <c:pt idx="37" formatCode="0.0000">
                  <c:v>1.3268275975041848</c:v>
                </c:pt>
                <c:pt idx="38" formatCode="0.0000">
                  <c:v>1.1941849234868247</c:v>
                </c:pt>
                <c:pt idx="39" formatCode="0.0000">
                  <c:v>1.0663379761852547</c:v>
                </c:pt>
                <c:pt idx="40" formatCode="0.0000">
                  <c:v>1.0595942653876635</c:v>
                </c:pt>
                <c:pt idx="41" formatCode="0.0000">
                  <c:v>1.0004337162167327</c:v>
                </c:pt>
                <c:pt idx="42" formatCode="0.0000">
                  <c:v>0.98274701107510565</c:v>
                </c:pt>
                <c:pt idx="43" formatCode="0.0000">
                  <c:v>0.96165130356951189</c:v>
                </c:pt>
                <c:pt idx="44" formatCode="0.0000">
                  <c:v>0.84522624210667152</c:v>
                </c:pt>
                <c:pt idx="45" formatCode="0.0000">
                  <c:v>0.87174475134258311</c:v>
                </c:pt>
                <c:pt idx="46" formatCode="0.0000">
                  <c:v>0.90616489935434963</c:v>
                </c:pt>
                <c:pt idx="47" formatCode="0.0000">
                  <c:v>0.89905855799363132</c:v>
                </c:pt>
                <c:pt idx="48" formatCode="0.0000">
                  <c:v>1.0366848338930124</c:v>
                </c:pt>
                <c:pt idx="49" formatCode="0.0000">
                  <c:v>1.0876548573298526</c:v>
                </c:pt>
                <c:pt idx="50" formatCode="0.0000">
                  <c:v>1.0936850002997018</c:v>
                </c:pt>
                <c:pt idx="51" formatCode="0.0000">
                  <c:v>1.1905900909477329</c:v>
                </c:pt>
                <c:pt idx="52" formatCode="0.0000">
                  <c:v>1.1728011838074093</c:v>
                </c:pt>
                <c:pt idx="53" formatCode="0.0000">
                  <c:v>1.0816781135373714</c:v>
                </c:pt>
                <c:pt idx="54" formatCode="0.0000">
                  <c:v>1.0344554821645437</c:v>
                </c:pt>
                <c:pt idx="55" formatCode="0.0000">
                  <c:v>0.94733334263100122</c:v>
                </c:pt>
                <c:pt idx="56" formatCode="0.0000">
                  <c:v>0.84892115274816249</c:v>
                </c:pt>
                <c:pt idx="57" formatCode="0.0000">
                  <c:v>0.85570784363483654</c:v>
                </c:pt>
                <c:pt idx="58" formatCode="0.0000">
                  <c:v>0.81218051905516098</c:v>
                </c:pt>
                <c:pt idx="59" formatCode="0.0000">
                  <c:v>0.79807884916722549</c:v>
                </c:pt>
                <c:pt idx="60" formatCode="0.0000">
                  <c:v>0.8089147875030791</c:v>
                </c:pt>
                <c:pt idx="61" formatCode="0.0000">
                  <c:v>0.82720662303711678</c:v>
                </c:pt>
                <c:pt idx="62" formatCode="0.0000">
                  <c:v>0.94205986928889174</c:v>
                </c:pt>
                <c:pt idx="63" formatCode="0.0000">
                  <c:v>1.0155331701982226</c:v>
                </c:pt>
                <c:pt idx="64" formatCode="0.0000">
                  <c:v>0.93224271743000997</c:v>
                </c:pt>
                <c:pt idx="65" formatCode="0.0000">
                  <c:v>0.86355549041989665</c:v>
                </c:pt>
                <c:pt idx="66" formatCode="0.0000">
                  <c:v>0.86522398093054165</c:v>
                </c:pt>
                <c:pt idx="67" formatCode="0.0000">
                  <c:v>0.79939825342603377</c:v>
                </c:pt>
                <c:pt idx="68" formatCode="0.0000">
                  <c:v>0.76429393333752171</c:v>
                </c:pt>
                <c:pt idx="69" formatCode="0.0000">
                  <c:v>0.75622922329911646</c:v>
                </c:pt>
                <c:pt idx="70" formatCode="0.0000">
                  <c:v>0.63912356436878659</c:v>
                </c:pt>
                <c:pt idx="71" formatCode="0.0000">
                  <c:v>0.65760207611375654</c:v>
                </c:pt>
                <c:pt idx="72" formatCode="0.0000">
                  <c:v>0.83677281730825503</c:v>
                </c:pt>
                <c:pt idx="73" formatCode="0.0000">
                  <c:v>0.81234025429366419</c:v>
                </c:pt>
                <c:pt idx="74" formatCode="0.0000">
                  <c:v>0.80166124178918141</c:v>
                </c:pt>
                <c:pt idx="75" formatCode="0.0000">
                  <c:v>0.81045105298055042</c:v>
                </c:pt>
                <c:pt idx="76" formatCode="0.0000">
                  <c:v>0.6382042739088799</c:v>
                </c:pt>
                <c:pt idx="77" formatCode="0.0000">
                  <c:v>0.80824386704383389</c:v>
                </c:pt>
                <c:pt idx="78" formatCode="0.0000">
                  <c:v>0.73257411235359704</c:v>
                </c:pt>
                <c:pt idx="79" formatCode="0.0000">
                  <c:v>0.69219434675037361</c:v>
                </c:pt>
                <c:pt idx="80" formatCode="0.0000">
                  <c:v>0.63339481109476892</c:v>
                </c:pt>
                <c:pt idx="81" formatCode="0.0000">
                  <c:v>0.62283363891983801</c:v>
                </c:pt>
                <c:pt idx="82" formatCode="0.0000">
                  <c:v>0.660977175244292</c:v>
                </c:pt>
                <c:pt idx="83" formatCode="0.0000">
                  <c:v>0.60083334619934436</c:v>
                </c:pt>
                <c:pt idx="84" formatCode="0.0000">
                  <c:v>0.46489061934028786</c:v>
                </c:pt>
                <c:pt idx="85" formatCode="0.0000">
                  <c:v>0.48413240319264322</c:v>
                </c:pt>
                <c:pt idx="86" formatCode="0.0000">
                  <c:v>0.49284861826308202</c:v>
                </c:pt>
                <c:pt idx="87" formatCode="0.0000">
                  <c:v>0.64821651004059699</c:v>
                </c:pt>
                <c:pt idx="88" formatCode="0.0000">
                  <c:v>0.93837712218736535</c:v>
                </c:pt>
                <c:pt idx="89" formatCode="0.0000">
                  <c:v>1.0380912193665688</c:v>
                </c:pt>
                <c:pt idx="90" formatCode="0.0000">
                  <c:v>1.160238361923658</c:v>
                </c:pt>
                <c:pt idx="91" formatCode="0.0000">
                  <c:v>1.2776659382045576</c:v>
                </c:pt>
                <c:pt idx="92" formatCode="0.0000">
                  <c:v>1.5089066439394252</c:v>
                </c:pt>
                <c:pt idx="93" formatCode="0.0000">
                  <c:v>1.6077080446580376</c:v>
                </c:pt>
                <c:pt idx="94" formatCode="0.0000">
                  <c:v>1.7747646505705761</c:v>
                </c:pt>
                <c:pt idx="95" formatCode="0.0000">
                  <c:v>1.6605284576726385</c:v>
                </c:pt>
                <c:pt idx="96" formatCode="0.0000">
                  <c:v>1.7930388021166301</c:v>
                </c:pt>
                <c:pt idx="97" formatCode="0.0000">
                  <c:v>1.9220694318605598</c:v>
                </c:pt>
                <c:pt idx="98" formatCode="0.0000">
                  <c:v>2.0687184067262412</c:v>
                </c:pt>
                <c:pt idx="99" formatCode="0.0000">
                  <c:v>1.9211738926310653</c:v>
                </c:pt>
                <c:pt idx="100" formatCode="0.0000">
                  <c:v>1.6604397317932607</c:v>
                </c:pt>
                <c:pt idx="101" formatCode="0.0000">
                  <c:v>1.403750835206812</c:v>
                </c:pt>
                <c:pt idx="102" formatCode="0.0000">
                  <c:v>1.3024556278118991</c:v>
                </c:pt>
                <c:pt idx="103" formatCode="0.0000">
                  <c:v>1.109238640814316</c:v>
                </c:pt>
                <c:pt idx="104" formatCode="0.0000">
                  <c:v>0.92738062265295351</c:v>
                </c:pt>
                <c:pt idx="105" formatCode="0.0000">
                  <c:v>0.70230811609375365</c:v>
                </c:pt>
                <c:pt idx="106" formatCode="0.0000">
                  <c:v>0.77430627693029874</c:v>
                </c:pt>
                <c:pt idx="107" formatCode="0.0000">
                  <c:v>0.81454378892502166</c:v>
                </c:pt>
                <c:pt idx="108" formatCode="0.0000">
                  <c:v>0.8342081408550952</c:v>
                </c:pt>
                <c:pt idx="109" formatCode="0.0000">
                  <c:v>0.90395934607769035</c:v>
                </c:pt>
                <c:pt idx="110" formatCode="0.0000">
                  <c:v>0.9172925119256875</c:v>
                </c:pt>
                <c:pt idx="111" formatCode="0.0000">
                  <c:v>0.898609717987499</c:v>
                </c:pt>
                <c:pt idx="112" formatCode="0.0000">
                  <c:v>0.81744079771584555</c:v>
                </c:pt>
                <c:pt idx="113" formatCode="0.0000">
                  <c:v>0.67069801021740594</c:v>
                </c:pt>
                <c:pt idx="114" formatCode="0.0000">
                  <c:v>0.70035572462820517</c:v>
                </c:pt>
                <c:pt idx="115" formatCode="0.0000">
                  <c:v>0.7897586431947049</c:v>
                </c:pt>
                <c:pt idx="116" formatCode="0.0000">
                  <c:v>0.69744834571725123</c:v>
                </c:pt>
                <c:pt idx="117" formatCode="0.0000">
                  <c:v>0.77137749457579674</c:v>
                </c:pt>
                <c:pt idx="118" formatCode="0.0000">
                  <c:v>0.89414680807130387</c:v>
                </c:pt>
                <c:pt idx="119" formatCode="0.0000">
                  <c:v>1.3382843230103449</c:v>
                </c:pt>
                <c:pt idx="120" formatCode="0.0000">
                  <c:v>1.4286262612510578</c:v>
                </c:pt>
                <c:pt idx="121" formatCode="0.0000">
                  <c:v>1.5312704904800862</c:v>
                </c:pt>
                <c:pt idx="122" formatCode="0.0000">
                  <c:v>1.4252112037073705</c:v>
                </c:pt>
                <c:pt idx="123" formatCode="0.0000">
                  <c:v>1.5362593266333584</c:v>
                </c:pt>
                <c:pt idx="124" formatCode="0.0000">
                  <c:v>1.4494922285289975</c:v>
                </c:pt>
                <c:pt idx="125" formatCode="0.0000">
                  <c:v>1.3633887937046327</c:v>
                </c:pt>
                <c:pt idx="126" formatCode="0.0000">
                  <c:v>1.0624243881029158</c:v>
                </c:pt>
                <c:pt idx="127" formatCode="0.0000">
                  <c:v>1.1306884367437284</c:v>
                </c:pt>
                <c:pt idx="128" formatCode="0.0000">
                  <c:v>1.1473177983139522</c:v>
                </c:pt>
                <c:pt idx="129" formatCode="0.0000">
                  <c:v>1.1738293961391009</c:v>
                </c:pt>
                <c:pt idx="130" formatCode="0.0000">
                  <c:v>1.2976565470807617</c:v>
                </c:pt>
                <c:pt idx="131" formatCode="0.0000">
                  <c:v>1.3342677381793007</c:v>
                </c:pt>
                <c:pt idx="132" formatCode="0.0000">
                  <c:v>1.4504569495473056</c:v>
                </c:pt>
                <c:pt idx="133" formatCode="0.0000">
                  <c:v>1.5108423350753903</c:v>
                </c:pt>
                <c:pt idx="134" formatCode="0.0000">
                  <c:v>1.5003090254729585</c:v>
                </c:pt>
                <c:pt idx="135" formatCode="0.0000">
                  <c:v>1.5179585400215403</c:v>
                </c:pt>
                <c:pt idx="136" formatCode="0.0000">
                  <c:v>1.6719903056727803</c:v>
                </c:pt>
                <c:pt idx="137" formatCode="0.0000">
                  <c:v>1.5895060967725989</c:v>
                </c:pt>
                <c:pt idx="138" formatCode="0.0000">
                  <c:v>1.7884599016021332</c:v>
                </c:pt>
                <c:pt idx="139" formatCode="0.0000">
                  <c:v>1.6871471441592949</c:v>
                </c:pt>
                <c:pt idx="140" formatCode="0.0000">
                  <c:v>1.6300885027340197</c:v>
                </c:pt>
                <c:pt idx="141" formatCode="0.0000">
                  <c:v>1.5591794551011735</c:v>
                </c:pt>
                <c:pt idx="142" formatCode="0.0000">
                  <c:v>1.4918234916559054</c:v>
                </c:pt>
                <c:pt idx="143" formatCode="0.0000">
                  <c:v>1.4636965562306623</c:v>
                </c:pt>
                <c:pt idx="144" formatCode="0.0000">
                  <c:v>1.5209070518294345</c:v>
                </c:pt>
                <c:pt idx="145" formatCode="0.0000">
                  <c:v>1.3737180937166202</c:v>
                </c:pt>
                <c:pt idx="146" formatCode="0.0000">
                  <c:v>1.3813927386583369</c:v>
                </c:pt>
                <c:pt idx="147" formatCode="0.0000">
                  <c:v>1.3857728216823879</c:v>
                </c:pt>
                <c:pt idx="148" formatCode="0.0000">
                  <c:v>1.4405635056265158</c:v>
                </c:pt>
                <c:pt idx="149" formatCode="0.0000">
                  <c:v>1.4742082506459151</c:v>
                </c:pt>
                <c:pt idx="150" formatCode="0.0000">
                  <c:v>1.3497638459803152</c:v>
                </c:pt>
                <c:pt idx="151" formatCode="0.0000">
                  <c:v>1.2844160971685847</c:v>
                </c:pt>
                <c:pt idx="152" formatCode="0.0000">
                  <c:v>1.1864234047644011</c:v>
                </c:pt>
                <c:pt idx="153" formatCode="0.0000">
                  <c:v>1.1945728336310399</c:v>
                </c:pt>
                <c:pt idx="154" formatCode="0.0000">
                  <c:v>1.1616243652690379</c:v>
                </c:pt>
                <c:pt idx="155" formatCode="0.0000">
                  <c:v>1.1171076417316914</c:v>
                </c:pt>
                <c:pt idx="156" formatCode="0.0000">
                  <c:v>1.0702679038224614</c:v>
                </c:pt>
                <c:pt idx="157" formatCode="0.0000">
                  <c:v>1.1634639033744254</c:v>
                </c:pt>
                <c:pt idx="158" formatCode="0.0000">
                  <c:v>1.0809026265034738</c:v>
                </c:pt>
                <c:pt idx="159" formatCode="0.0000">
                  <c:v>1.1161827763355419</c:v>
                </c:pt>
                <c:pt idx="160" formatCode="0.0000">
                  <c:v>1.2348893038771478</c:v>
                </c:pt>
                <c:pt idx="161" formatCode="0.0000">
                  <c:v>1.1861607648310881</c:v>
                </c:pt>
                <c:pt idx="162" formatCode="0.0000">
                  <c:v>1.2720352712680612</c:v>
                </c:pt>
                <c:pt idx="163" formatCode="0.0000">
                  <c:v>1.2516211413983405</c:v>
                </c:pt>
                <c:pt idx="164" formatCode="0.0000">
                  <c:v>1.2528781194134382</c:v>
                </c:pt>
                <c:pt idx="165" formatCode="0.0000">
                  <c:v>1.2443914186075047</c:v>
                </c:pt>
                <c:pt idx="166" formatCode="0.0000">
                  <c:v>1.1806357786901123</c:v>
                </c:pt>
                <c:pt idx="167" formatCode="0.0000">
                  <c:v>1.0401094278872742</c:v>
                </c:pt>
                <c:pt idx="168" formatCode="0.0000">
                  <c:v>1.1084560488978967</c:v>
                </c:pt>
                <c:pt idx="169" formatCode="0.0000">
                  <c:v>1.0480132218413438</c:v>
                </c:pt>
                <c:pt idx="170" formatCode="0.0000">
                  <c:v>1.0587093120577376</c:v>
                </c:pt>
                <c:pt idx="171" formatCode="0.0000">
                  <c:v>1.0162620507647639</c:v>
                </c:pt>
                <c:pt idx="172" formatCode="0.0000">
                  <c:v>1.0611112262978906</c:v>
                </c:pt>
                <c:pt idx="173" formatCode="0.0000">
                  <c:v>1.0781100649641442</c:v>
                </c:pt>
                <c:pt idx="174" formatCode="0.0000">
                  <c:v>1.0468880417978765</c:v>
                </c:pt>
                <c:pt idx="175" formatCode="0.0000">
                  <c:v>1.0535863951432423</c:v>
                </c:pt>
                <c:pt idx="176" formatCode="0.0000">
                  <c:v>1.0212456387777489</c:v>
                </c:pt>
                <c:pt idx="177" formatCode="0.0000">
                  <c:v>1.1125805268778572</c:v>
                </c:pt>
                <c:pt idx="178" formatCode="0.0000">
                  <c:v>1.078861897896791</c:v>
                </c:pt>
                <c:pt idx="179" formatCode="0.0000">
                  <c:v>0.99937932865927415</c:v>
                </c:pt>
                <c:pt idx="180" formatCode="0.0000">
                  <c:v>1.0573377031876128</c:v>
                </c:pt>
                <c:pt idx="181" formatCode="0.0000">
                  <c:v>1.0726710862957485</c:v>
                </c:pt>
                <c:pt idx="182" formatCode="0.0000">
                  <c:v>1.0572837515810567</c:v>
                </c:pt>
                <c:pt idx="183" formatCode="0.0000">
                  <c:v>1.0467108219668086</c:v>
                </c:pt>
                <c:pt idx="184" formatCode="0.0000">
                  <c:v>0.89053617359074277</c:v>
                </c:pt>
                <c:pt idx="185" formatCode="0.0000">
                  <c:v>0.88573721390321425</c:v>
                </c:pt>
                <c:pt idx="186" formatCode="0.0000">
                  <c:v>0.89279836014545044</c:v>
                </c:pt>
                <c:pt idx="187" formatCode="0.0000">
                  <c:v>0.83861767634582685</c:v>
                </c:pt>
                <c:pt idx="188" formatCode="0.0000">
                  <c:v>0.86381119606935619</c:v>
                </c:pt>
                <c:pt idx="189" formatCode="0.0000">
                  <c:v>0.83714773576491053</c:v>
                </c:pt>
                <c:pt idx="190" formatCode="0.0000">
                  <c:v>0.79942739935691109</c:v>
                </c:pt>
                <c:pt idx="191" formatCode="0.0000">
                  <c:v>0.82307865162072635</c:v>
                </c:pt>
                <c:pt idx="192" formatCode="0.0000">
                  <c:v>0.84464236459172348</c:v>
                </c:pt>
                <c:pt idx="193" formatCode="0.0000">
                  <c:v>0.83207346775627289</c:v>
                </c:pt>
                <c:pt idx="194" formatCode="0.0000">
                  <c:v>0.81867286401432826</c:v>
                </c:pt>
                <c:pt idx="195" formatCode="0.0000">
                  <c:v>0.78824349985405895</c:v>
                </c:pt>
                <c:pt idx="196" formatCode="0.0000">
                  <c:v>0.85326352126558924</c:v>
                </c:pt>
                <c:pt idx="197" formatCode="0.0000">
                  <c:v>0.93274450068688863</c:v>
                </c:pt>
                <c:pt idx="198" formatCode="0.0000">
                  <c:v>0.97912928102036834</c:v>
                </c:pt>
                <c:pt idx="199" formatCode="0.0000">
                  <c:v>0.94981282221383645</c:v>
                </c:pt>
                <c:pt idx="200" formatCode="0.0000">
                  <c:v>1.0365654085104412</c:v>
                </c:pt>
                <c:pt idx="201" formatCode="0.0000">
                  <c:v>1.0831990908763647</c:v>
                </c:pt>
                <c:pt idx="202" formatCode="0.0000">
                  <c:v>1.1191114880344306</c:v>
                </c:pt>
                <c:pt idx="203" formatCode="0.0000">
                  <c:v>1.0879772414411977</c:v>
                </c:pt>
                <c:pt idx="204" formatCode="0.0000">
                  <c:v>1.1074434804770728</c:v>
                </c:pt>
                <c:pt idx="205" formatCode="0.0000">
                  <c:v>1.1671460912412006</c:v>
                </c:pt>
                <c:pt idx="206" formatCode="0.0000">
                  <c:v>1.3262322682306835</c:v>
                </c:pt>
                <c:pt idx="207" formatCode="0.0000">
                  <c:v>1.3848220746870437</c:v>
                </c:pt>
                <c:pt idx="208" formatCode="0.0000">
                  <c:v>1.3886077478765877</c:v>
                </c:pt>
                <c:pt idx="209" formatCode="0.0000">
                  <c:v>1.4019239766356613</c:v>
                </c:pt>
                <c:pt idx="210" formatCode="0.0000">
                  <c:v>1.4050739925465539</c:v>
                </c:pt>
                <c:pt idx="211" formatCode="0.0000">
                  <c:v>1.4116931905466217</c:v>
                </c:pt>
                <c:pt idx="212" formatCode="0.0000">
                  <c:v>1.425057827580021</c:v>
                </c:pt>
                <c:pt idx="213" formatCode="0.0000">
                  <c:v>1.3627659408546564</c:v>
                </c:pt>
                <c:pt idx="214" formatCode="0.0000">
                  <c:v>1.3068337539376429</c:v>
                </c:pt>
                <c:pt idx="215" formatCode="0.0000">
                  <c:v>1.2937535913072533</c:v>
                </c:pt>
                <c:pt idx="216" formatCode="0.0000">
                  <c:v>1.321451325898213</c:v>
                </c:pt>
                <c:pt idx="217" formatCode="0.0000">
                  <c:v>1.3496322918940551</c:v>
                </c:pt>
                <c:pt idx="218" formatCode="0.0000">
                  <c:v>1.3962796976885754</c:v>
                </c:pt>
                <c:pt idx="219" formatCode="0.0000">
                  <c:v>1.4761453733652161</c:v>
                </c:pt>
                <c:pt idx="220" formatCode="0.0000">
                  <c:v>1.6202225132291936</c:v>
                </c:pt>
                <c:pt idx="221" formatCode="0.0000">
                  <c:v>1.6685631319023551</c:v>
                </c:pt>
                <c:pt idx="222" formatCode="0.0000">
                  <c:v>1.795589368828288</c:v>
                </c:pt>
                <c:pt idx="223" formatCode="0.0000">
                  <c:v>1.8743003922052019</c:v>
                </c:pt>
                <c:pt idx="224" formatCode="0.0000">
                  <c:v>1.9642892145029553</c:v>
                </c:pt>
                <c:pt idx="225" formatCode="0.0000">
                  <c:v>2.0351527777170402</c:v>
                </c:pt>
                <c:pt idx="226" formatCode="0.0000">
                  <c:v>2.0052985505701444</c:v>
                </c:pt>
                <c:pt idx="227" formatCode="0.0000">
                  <c:v>1.8571839480313057</c:v>
                </c:pt>
                <c:pt idx="228" formatCode="0.0000">
                  <c:v>1.8276692503708867</c:v>
                </c:pt>
                <c:pt idx="229" formatCode="0.0000">
                  <c:v>1.7323101542930284</c:v>
                </c:pt>
                <c:pt idx="230" formatCode="0.0000">
                  <c:v>1.7030986495930982</c:v>
                </c:pt>
                <c:pt idx="231" formatCode="0.0000">
                  <c:v>1.6625936847489453</c:v>
                </c:pt>
                <c:pt idx="232" formatCode="0.0000">
                  <c:v>1.544925694714083</c:v>
                </c:pt>
                <c:pt idx="233" formatCode="0.0000">
                  <c:v>1.4259292666915182</c:v>
                </c:pt>
                <c:pt idx="234" formatCode="0.0000">
                  <c:v>1.4108693079408781</c:v>
                </c:pt>
                <c:pt idx="235" formatCode="0.0000">
                  <c:v>1.362922300142797</c:v>
                </c:pt>
                <c:pt idx="236" formatCode="0.0000">
                  <c:v>1.3378068313900069</c:v>
                </c:pt>
                <c:pt idx="237" formatCode="0.0000">
                  <c:v>1.2746709401840024</c:v>
                </c:pt>
                <c:pt idx="238" formatCode="0.0000">
                  <c:v>1.268051857980975</c:v>
                </c:pt>
                <c:pt idx="239" formatCode="0.0000">
                  <c:v>1.3195048825525804</c:v>
                </c:pt>
                <c:pt idx="240" formatCode="0.0000">
                  <c:v>1.3313582047766661</c:v>
                </c:pt>
                <c:pt idx="241" formatCode="0.0000">
                  <c:v>1.309725818583404</c:v>
                </c:pt>
                <c:pt idx="242" formatCode="0.0000">
                  <c:v>1.2828028181845639</c:v>
                </c:pt>
                <c:pt idx="243" formatCode="0.0000">
                  <c:v>1.2837892270112141</c:v>
                </c:pt>
                <c:pt idx="244" formatCode="0.0000">
                  <c:v>1.3061019638906064</c:v>
                </c:pt>
                <c:pt idx="245" formatCode="0.0000">
                  <c:v>1.2676275796902117</c:v>
                </c:pt>
                <c:pt idx="246" formatCode="0.0000">
                  <c:v>1.2192031240358372</c:v>
                </c:pt>
                <c:pt idx="247" formatCode="0.0000">
                  <c:v>1.2154586386017157</c:v>
                </c:pt>
                <c:pt idx="248" formatCode="0.0000">
                  <c:v>1.2508244432196041</c:v>
                </c:pt>
                <c:pt idx="249" formatCode="0.0000">
                  <c:v>1.2705058742715984</c:v>
                </c:pt>
                <c:pt idx="250" formatCode="0.0000">
                  <c:v>1.3322628302950368</c:v>
                </c:pt>
                <c:pt idx="251" formatCode="0.0000">
                  <c:v>1.3480131293235031</c:v>
                </c:pt>
                <c:pt idx="252" formatCode="0.0000">
                  <c:v>1.3313271768214647</c:v>
                </c:pt>
                <c:pt idx="253" formatCode="0.0000">
                  <c:v>1.3217067312723485</c:v>
                </c:pt>
                <c:pt idx="254" formatCode="0.0000">
                  <c:v>1.2573010956546413</c:v>
                </c:pt>
                <c:pt idx="255" formatCode="0.0000">
                  <c:v>1.1753553570834026</c:v>
                </c:pt>
                <c:pt idx="256" formatCode="0.0000">
                  <c:v>1.1321550751061831</c:v>
                </c:pt>
                <c:pt idx="257" formatCode="0.0000">
                  <c:v>1.0499488987584293</c:v>
                </c:pt>
                <c:pt idx="258" formatCode="0.0000">
                  <c:v>0.95574307052649388</c:v>
                </c:pt>
                <c:pt idx="259" formatCode="0.0000">
                  <c:v>0.8985362697828706</c:v>
                </c:pt>
                <c:pt idx="260" formatCode="0.0000">
                  <c:v>0.82601049735919274</c:v>
                </c:pt>
                <c:pt idx="261" formatCode="0.0000">
                  <c:v>0.81772985981173629</c:v>
                </c:pt>
                <c:pt idx="262" formatCode="0.0000">
                  <c:v>0.82601808446048219</c:v>
                </c:pt>
                <c:pt idx="263" formatCode="0.0000">
                  <c:v>0.85298762585650834</c:v>
                </c:pt>
                <c:pt idx="264" formatCode="0.0000">
                  <c:v>0.84186879020097882</c:v>
                </c:pt>
                <c:pt idx="265" formatCode="0.0000">
                  <c:v>0.86425342053357057</c:v>
                </c:pt>
                <c:pt idx="266" formatCode="0.0000">
                  <c:v>0.78547389992690742</c:v>
                </c:pt>
                <c:pt idx="267" formatCode="0.0000">
                  <c:v>0.75479928275387154</c:v>
                </c:pt>
                <c:pt idx="268" formatCode="0.0000">
                  <c:v>0.71966796955416767</c:v>
                </c:pt>
                <c:pt idx="269" formatCode="0.0000">
                  <c:v>0.65828119331095258</c:v>
                </c:pt>
                <c:pt idx="270" formatCode="0.0000">
                  <c:v>0.56544843208658835</c:v>
                </c:pt>
                <c:pt idx="271" formatCode="0.0000">
                  <c:v>0.51139559669707713</c:v>
                </c:pt>
                <c:pt idx="272" formatCode="0.0000">
                  <c:v>0.44155656107228181</c:v>
                </c:pt>
                <c:pt idx="273" formatCode="0.0000">
                  <c:v>0.4714613732304942</c:v>
                </c:pt>
                <c:pt idx="274" formatCode="0.0000">
                  <c:v>0.51437163725232937</c:v>
                </c:pt>
                <c:pt idx="275" formatCode="0.0000">
                  <c:v>0.52894598783715807</c:v>
                </c:pt>
                <c:pt idx="276" formatCode="0.0000">
                  <c:v>0.53979708861590614</c:v>
                </c:pt>
                <c:pt idx="277" formatCode="0.0000">
                  <c:v>0.56313859438348424</c:v>
                </c:pt>
                <c:pt idx="278" formatCode="0.0000">
                  <c:v>0.58098525156793523</c:v>
                </c:pt>
                <c:pt idx="279" formatCode="0.0000">
                  <c:v>0.5872650462494643</c:v>
                </c:pt>
                <c:pt idx="280" formatCode="0.0000">
                  <c:v>0.74847838046333171</c:v>
                </c:pt>
                <c:pt idx="281" formatCode="0.0000">
                  <c:v>0.73550172629172761</c:v>
                </c:pt>
                <c:pt idx="282" formatCode="0.0000">
                  <c:v>0.73550617374730565</c:v>
                </c:pt>
                <c:pt idx="283" formatCode="0.0000">
                  <c:v>0.73965205493277797</c:v>
                </c:pt>
                <c:pt idx="284" formatCode="0.0000">
                  <c:v>0.73704511179805132</c:v>
                </c:pt>
                <c:pt idx="285" formatCode="0.0000">
                  <c:v>0.74231566918794112</c:v>
                </c:pt>
                <c:pt idx="286" formatCode="0.0000">
                  <c:v>0.73731797860050396</c:v>
                </c:pt>
                <c:pt idx="287" formatCode="0.0000">
                  <c:v>0.57392667586410673</c:v>
                </c:pt>
                <c:pt idx="288" formatCode="0.0000">
                  <c:v>0.62757700014711026</c:v>
                </c:pt>
                <c:pt idx="289" formatCode="0.0000">
                  <c:v>0.63353780480113175</c:v>
                </c:pt>
                <c:pt idx="290" formatCode="0.0000">
                  <c:v>0.65741981300961239</c:v>
                </c:pt>
                <c:pt idx="291" formatCode="0.0000">
                  <c:v>0.69175716153130218</c:v>
                </c:pt>
                <c:pt idx="292" formatCode="0.0000">
                  <c:v>0.71929408888023005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F53-4D50-9355-2FDE9D19F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005653"/>
        <c:axId val="1122063327"/>
      </c:lineChart>
      <c:lineChart>
        <c:grouping val="standard"/>
        <c:varyColors val="0"/>
        <c:ser>
          <c:idx val="1"/>
          <c:order val="1"/>
          <c:tx>
            <c:strRef>
              <c:f>'R(t) Województwa'!$AO$2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Województwa'!$AO$3:$AO$1000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0.14285714285714285</c:v>
                </c:pt>
                <c:pt idx="7">
                  <c:v>0.14285714285714285</c:v>
                </c:pt>
                <c:pt idx="8">
                  <c:v>0.14285714285714285</c:v>
                </c:pt>
                <c:pt idx="9">
                  <c:v>0.14285714285714285</c:v>
                </c:pt>
                <c:pt idx="10">
                  <c:v>0.14285714285714285</c:v>
                </c:pt>
                <c:pt idx="11">
                  <c:v>0.14285714285714285</c:v>
                </c:pt>
                <c:pt idx="12">
                  <c:v>0.14285714285714285</c:v>
                </c:pt>
                <c:pt idx="13">
                  <c:v>0.14285714285714285</c:v>
                </c:pt>
                <c:pt idx="14">
                  <c:v>0.5714285714285714</c:v>
                </c:pt>
                <c:pt idx="15">
                  <c:v>0.7142857142857143</c:v>
                </c:pt>
                <c:pt idx="16">
                  <c:v>0.8571428571428571</c:v>
                </c:pt>
                <c:pt idx="17">
                  <c:v>1.8571428571428572</c:v>
                </c:pt>
                <c:pt idx="18">
                  <c:v>2.1428571428571428</c:v>
                </c:pt>
                <c:pt idx="19">
                  <c:v>3.2857142857142856</c:v>
                </c:pt>
                <c:pt idx="20">
                  <c:v>4.4285714285714288</c:v>
                </c:pt>
                <c:pt idx="21">
                  <c:v>6.2857142857142856</c:v>
                </c:pt>
                <c:pt idx="22">
                  <c:v>7.1428571428571432</c:v>
                </c:pt>
                <c:pt idx="23">
                  <c:v>8.8571428571428577</c:v>
                </c:pt>
                <c:pt idx="24">
                  <c:v>11.285714285714286</c:v>
                </c:pt>
                <c:pt idx="25">
                  <c:v>13.714285714285714</c:v>
                </c:pt>
                <c:pt idx="26">
                  <c:v>18</c:v>
                </c:pt>
                <c:pt idx="27">
                  <c:v>20.142857142857142</c:v>
                </c:pt>
                <c:pt idx="28">
                  <c:v>20.428571428571427</c:v>
                </c:pt>
                <c:pt idx="29">
                  <c:v>21.857142857142858</c:v>
                </c:pt>
                <c:pt idx="30">
                  <c:v>23</c:v>
                </c:pt>
                <c:pt idx="31">
                  <c:v>24.142857142857142</c:v>
                </c:pt>
                <c:pt idx="32">
                  <c:v>28</c:v>
                </c:pt>
                <c:pt idx="33">
                  <c:v>25.285714285714285</c:v>
                </c:pt>
                <c:pt idx="34">
                  <c:v>25</c:v>
                </c:pt>
                <c:pt idx="35">
                  <c:v>25.571428571428573</c:v>
                </c:pt>
                <c:pt idx="36">
                  <c:v>27.142857142857142</c:v>
                </c:pt>
                <c:pt idx="37">
                  <c:v>29</c:v>
                </c:pt>
                <c:pt idx="38">
                  <c:v>27.285714285714285</c:v>
                </c:pt>
                <c:pt idx="39">
                  <c:v>25.428571428571427</c:v>
                </c:pt>
                <c:pt idx="40">
                  <c:v>25.428571428571427</c:v>
                </c:pt>
                <c:pt idx="41">
                  <c:v>24.142857142857142</c:v>
                </c:pt>
                <c:pt idx="42">
                  <c:v>23.714285714285715</c:v>
                </c:pt>
                <c:pt idx="43">
                  <c:v>23.142857142857142</c:v>
                </c:pt>
                <c:pt idx="44">
                  <c:v>20.285714285714285</c:v>
                </c:pt>
                <c:pt idx="45">
                  <c:v>20.428571428571427</c:v>
                </c:pt>
                <c:pt idx="46">
                  <c:v>20.571428571428573</c:v>
                </c:pt>
                <c:pt idx="47">
                  <c:v>20.142857142857142</c:v>
                </c:pt>
                <c:pt idx="48">
                  <c:v>23</c:v>
                </c:pt>
                <c:pt idx="49">
                  <c:v>24.285714285714285</c:v>
                </c:pt>
                <c:pt idx="50">
                  <c:v>24.714285714285715</c:v>
                </c:pt>
                <c:pt idx="51">
                  <c:v>27.285714285714285</c:v>
                </c:pt>
                <c:pt idx="52">
                  <c:v>27.428571428571427</c:v>
                </c:pt>
                <c:pt idx="53">
                  <c:v>26</c:v>
                </c:pt>
                <c:pt idx="54">
                  <c:v>25</c:v>
                </c:pt>
                <c:pt idx="55">
                  <c:v>23.142857142857142</c:v>
                </c:pt>
                <c:pt idx="56">
                  <c:v>20.714285714285715</c:v>
                </c:pt>
                <c:pt idx="57">
                  <c:v>20.285714285714285</c:v>
                </c:pt>
                <c:pt idx="58">
                  <c:v>18.714285714285715</c:v>
                </c:pt>
                <c:pt idx="59">
                  <c:v>17.857142857142858</c:v>
                </c:pt>
                <c:pt idx="60">
                  <c:v>17.428571428571427</c:v>
                </c:pt>
                <c:pt idx="61">
                  <c:v>17.571428571428573</c:v>
                </c:pt>
                <c:pt idx="62">
                  <c:v>19.285714285714285</c:v>
                </c:pt>
                <c:pt idx="63">
                  <c:v>20.714285714285715</c:v>
                </c:pt>
                <c:pt idx="64">
                  <c:v>19</c:v>
                </c:pt>
                <c:pt idx="65">
                  <c:v>17.428571428571427</c:v>
                </c:pt>
                <c:pt idx="66">
                  <c:v>17.142857142857142</c:v>
                </c:pt>
                <c:pt idx="67">
                  <c:v>15.571428571428571</c:v>
                </c:pt>
                <c:pt idx="68">
                  <c:v>14.714285714285714</c:v>
                </c:pt>
                <c:pt idx="69">
                  <c:v>13.571428571428571</c:v>
                </c:pt>
                <c:pt idx="70">
                  <c:v>11</c:v>
                </c:pt>
                <c:pt idx="71">
                  <c:v>10.714285714285714</c:v>
                </c:pt>
                <c:pt idx="72">
                  <c:v>12.714285714285714</c:v>
                </c:pt>
                <c:pt idx="73">
                  <c:v>12</c:v>
                </c:pt>
                <c:pt idx="74">
                  <c:v>11.571428571428571</c:v>
                </c:pt>
                <c:pt idx="75">
                  <c:v>11.571428571428571</c:v>
                </c:pt>
                <c:pt idx="76">
                  <c:v>8.8571428571428577</c:v>
                </c:pt>
                <c:pt idx="77">
                  <c:v>10.571428571428571</c:v>
                </c:pt>
                <c:pt idx="78">
                  <c:v>9.4285714285714288</c:v>
                </c:pt>
                <c:pt idx="79">
                  <c:v>8.1428571428571423</c:v>
                </c:pt>
                <c:pt idx="80">
                  <c:v>7.1428571428571432</c:v>
                </c:pt>
                <c:pt idx="81">
                  <c:v>6.7142857142857144</c:v>
                </c:pt>
                <c:pt idx="82">
                  <c:v>6.8571428571428568</c:v>
                </c:pt>
                <c:pt idx="83">
                  <c:v>6.1428571428571432</c:v>
                </c:pt>
                <c:pt idx="84">
                  <c:v>4.4285714285714288</c:v>
                </c:pt>
                <c:pt idx="85">
                  <c:v>4.4285714285714288</c:v>
                </c:pt>
                <c:pt idx="86">
                  <c:v>3.5714285714285716</c:v>
                </c:pt>
                <c:pt idx="87">
                  <c:v>4.4285714285714288</c:v>
                </c:pt>
                <c:pt idx="88">
                  <c:v>6.1428571428571432</c:v>
                </c:pt>
                <c:pt idx="89">
                  <c:v>6.8571428571428568</c:v>
                </c:pt>
                <c:pt idx="90">
                  <c:v>7.8571428571428568</c:v>
                </c:pt>
                <c:pt idx="91">
                  <c:v>8.8571428571428577</c:v>
                </c:pt>
                <c:pt idx="92">
                  <c:v>10.857142857142858</c:v>
                </c:pt>
                <c:pt idx="93">
                  <c:v>12.571428571428571</c:v>
                </c:pt>
                <c:pt idx="94">
                  <c:v>15.285714285714286</c:v>
                </c:pt>
                <c:pt idx="95">
                  <c:v>16.142857142857142</c:v>
                </c:pt>
                <c:pt idx="96">
                  <c:v>19.285714285714285</c:v>
                </c:pt>
                <c:pt idx="97">
                  <c:v>22.571428571428573</c:v>
                </c:pt>
                <c:pt idx="98">
                  <c:v>27.285714285714285</c:v>
                </c:pt>
                <c:pt idx="99">
                  <c:v>27.857142857142858</c:v>
                </c:pt>
                <c:pt idx="100">
                  <c:v>26.142857142857142</c:v>
                </c:pt>
                <c:pt idx="101">
                  <c:v>24.142857142857142</c:v>
                </c:pt>
                <c:pt idx="102">
                  <c:v>23.571428571428573</c:v>
                </c:pt>
                <c:pt idx="103">
                  <c:v>21.285714285714285</c:v>
                </c:pt>
                <c:pt idx="104">
                  <c:v>18.285714285714285</c:v>
                </c:pt>
                <c:pt idx="105">
                  <c:v>13.857142857142858</c:v>
                </c:pt>
                <c:pt idx="106">
                  <c:v>14.285714285714286</c:v>
                </c:pt>
                <c:pt idx="107">
                  <c:v>14.714285714285714</c:v>
                </c:pt>
                <c:pt idx="108">
                  <c:v>14.714285714285714</c:v>
                </c:pt>
                <c:pt idx="109">
                  <c:v>15.428571428571429</c:v>
                </c:pt>
                <c:pt idx="110">
                  <c:v>15.428571428571429</c:v>
                </c:pt>
                <c:pt idx="111">
                  <c:v>15</c:v>
                </c:pt>
                <c:pt idx="112">
                  <c:v>13.571428571428571</c:v>
                </c:pt>
                <c:pt idx="113">
                  <c:v>11</c:v>
                </c:pt>
                <c:pt idx="114">
                  <c:v>10.857142857142858</c:v>
                </c:pt>
                <c:pt idx="115">
                  <c:v>11.428571428571429</c:v>
                </c:pt>
                <c:pt idx="116">
                  <c:v>9.5714285714285712</c:v>
                </c:pt>
                <c:pt idx="117">
                  <c:v>9.8571428571428577</c:v>
                </c:pt>
                <c:pt idx="118">
                  <c:v>11.285714285714286</c:v>
                </c:pt>
                <c:pt idx="119">
                  <c:v>17.285714285714285</c:v>
                </c:pt>
                <c:pt idx="120">
                  <c:v>19.142857142857142</c:v>
                </c:pt>
                <c:pt idx="121">
                  <c:v>21.714285714285715</c:v>
                </c:pt>
                <c:pt idx="122">
                  <c:v>21.142857142857142</c:v>
                </c:pt>
                <c:pt idx="123">
                  <c:v>23.857142857142858</c:v>
                </c:pt>
                <c:pt idx="124">
                  <c:v>23.714285714285715</c:v>
                </c:pt>
                <c:pt idx="125">
                  <c:v>23.142857142857142</c:v>
                </c:pt>
                <c:pt idx="126">
                  <c:v>19.857142857142858</c:v>
                </c:pt>
                <c:pt idx="127">
                  <c:v>21.285714285714285</c:v>
                </c:pt>
                <c:pt idx="128">
                  <c:v>22.142857142857142</c:v>
                </c:pt>
                <c:pt idx="129">
                  <c:v>23</c:v>
                </c:pt>
                <c:pt idx="130">
                  <c:v>26.428571428571427</c:v>
                </c:pt>
                <c:pt idx="131">
                  <c:v>28.142857142857142</c:v>
                </c:pt>
                <c:pt idx="132">
                  <c:v>31.857142857142858</c:v>
                </c:pt>
                <c:pt idx="133">
                  <c:v>35.142857142857146</c:v>
                </c:pt>
                <c:pt idx="134">
                  <c:v>37.285714285714285</c:v>
                </c:pt>
                <c:pt idx="135">
                  <c:v>40.857142857142854</c:v>
                </c:pt>
                <c:pt idx="136">
                  <c:v>48.142857142857146</c:v>
                </c:pt>
                <c:pt idx="137">
                  <c:v>51.428571428571431</c:v>
                </c:pt>
                <c:pt idx="138">
                  <c:v>63.714285714285715</c:v>
                </c:pt>
                <c:pt idx="139">
                  <c:v>64</c:v>
                </c:pt>
                <c:pt idx="140">
                  <c:v>66.571428571428569</c:v>
                </c:pt>
                <c:pt idx="141">
                  <c:v>67.571428571428569</c:v>
                </c:pt>
                <c:pt idx="142">
                  <c:v>69.714285714285708</c:v>
                </c:pt>
                <c:pt idx="143">
                  <c:v>73.857142857142861</c:v>
                </c:pt>
                <c:pt idx="144">
                  <c:v>83.285714285714292</c:v>
                </c:pt>
                <c:pt idx="145">
                  <c:v>82.428571428571431</c:v>
                </c:pt>
                <c:pt idx="146">
                  <c:v>85.428571428571431</c:v>
                </c:pt>
                <c:pt idx="147">
                  <c:v>89.571428571428569</c:v>
                </c:pt>
                <c:pt idx="148">
                  <c:v>97</c:v>
                </c:pt>
                <c:pt idx="149">
                  <c:v>105.28571428571429</c:v>
                </c:pt>
                <c:pt idx="150">
                  <c:v>102.14285714285714</c:v>
                </c:pt>
                <c:pt idx="151">
                  <c:v>104.28571428571429</c:v>
                </c:pt>
                <c:pt idx="152">
                  <c:v>99.571428571428569</c:v>
                </c:pt>
                <c:pt idx="153">
                  <c:v>102</c:v>
                </c:pt>
                <c:pt idx="154">
                  <c:v>101.57142857142857</c:v>
                </c:pt>
                <c:pt idx="155">
                  <c:v>99.857142857142861</c:v>
                </c:pt>
                <c:pt idx="156">
                  <c:v>97.714285714285708</c:v>
                </c:pt>
                <c:pt idx="157">
                  <c:v>107.28571428571429</c:v>
                </c:pt>
                <c:pt idx="158">
                  <c:v>102.57142857142857</c:v>
                </c:pt>
                <c:pt idx="159">
                  <c:v>107.14285714285714</c:v>
                </c:pt>
                <c:pt idx="160">
                  <c:v>121</c:v>
                </c:pt>
                <c:pt idx="161">
                  <c:v>118.57142857142857</c:v>
                </c:pt>
                <c:pt idx="162">
                  <c:v>130.42857142857142</c:v>
                </c:pt>
                <c:pt idx="163">
                  <c:v>133</c:v>
                </c:pt>
                <c:pt idx="164">
                  <c:v>138.71428571428572</c:v>
                </c:pt>
                <c:pt idx="165">
                  <c:v>142.42857142857142</c:v>
                </c:pt>
                <c:pt idx="166">
                  <c:v>138</c:v>
                </c:pt>
                <c:pt idx="167">
                  <c:v>125</c:v>
                </c:pt>
                <c:pt idx="168">
                  <c:v>133.42857142857142</c:v>
                </c:pt>
                <c:pt idx="169">
                  <c:v>128.71428571428572</c:v>
                </c:pt>
                <c:pt idx="170">
                  <c:v>130.85714285714286</c:v>
                </c:pt>
                <c:pt idx="171">
                  <c:v>126.85714285714286</c:v>
                </c:pt>
                <c:pt idx="172">
                  <c:v>133</c:v>
                </c:pt>
                <c:pt idx="173">
                  <c:v>136</c:v>
                </c:pt>
                <c:pt idx="174">
                  <c:v>132.71428571428572</c:v>
                </c:pt>
                <c:pt idx="175">
                  <c:v>134.28571428571428</c:v>
                </c:pt>
                <c:pt idx="176">
                  <c:v>131.14285714285714</c:v>
                </c:pt>
                <c:pt idx="177">
                  <c:v>142.85714285714286</c:v>
                </c:pt>
                <c:pt idx="178">
                  <c:v>140.42857142857142</c:v>
                </c:pt>
                <c:pt idx="179">
                  <c:v>131.14285714285714</c:v>
                </c:pt>
                <c:pt idx="180">
                  <c:v>139</c:v>
                </c:pt>
                <c:pt idx="181">
                  <c:v>141.57142857142858</c:v>
                </c:pt>
                <c:pt idx="182">
                  <c:v>140.85714285714286</c:v>
                </c:pt>
                <c:pt idx="183">
                  <c:v>140.28571428571428</c:v>
                </c:pt>
                <c:pt idx="184">
                  <c:v>121.28571428571429</c:v>
                </c:pt>
                <c:pt idx="185">
                  <c:v>118.57142857142857</c:v>
                </c:pt>
                <c:pt idx="186">
                  <c:v>117.42857142857143</c:v>
                </c:pt>
                <c:pt idx="187">
                  <c:v>108.42857142857143</c:v>
                </c:pt>
                <c:pt idx="188">
                  <c:v>109.71428571428571</c:v>
                </c:pt>
                <c:pt idx="189">
                  <c:v>104.14285714285714</c:v>
                </c:pt>
                <c:pt idx="190">
                  <c:v>97.428571428571431</c:v>
                </c:pt>
                <c:pt idx="191">
                  <c:v>97.285714285714292</c:v>
                </c:pt>
                <c:pt idx="192">
                  <c:v>96.714285714285708</c:v>
                </c:pt>
                <c:pt idx="193">
                  <c:v>92.857142857142861</c:v>
                </c:pt>
                <c:pt idx="194">
                  <c:v>89.428571428571431</c:v>
                </c:pt>
                <c:pt idx="195">
                  <c:v>84.285714285714292</c:v>
                </c:pt>
                <c:pt idx="196">
                  <c:v>87.571428571428569</c:v>
                </c:pt>
                <c:pt idx="197">
                  <c:v>93.857142857142861</c:v>
                </c:pt>
                <c:pt idx="198">
                  <c:v>97.428571428571431</c:v>
                </c:pt>
                <c:pt idx="199">
                  <c:v>94</c:v>
                </c:pt>
                <c:pt idx="200">
                  <c:v>102</c:v>
                </c:pt>
                <c:pt idx="201">
                  <c:v>107.28571428571429</c:v>
                </c:pt>
                <c:pt idx="202">
                  <c:v>111.71428571428571</c:v>
                </c:pt>
                <c:pt idx="203">
                  <c:v>110.57142857142857</c:v>
                </c:pt>
                <c:pt idx="204">
                  <c:v>114</c:v>
                </c:pt>
                <c:pt idx="205">
                  <c:v>122.42857142857143</c:v>
                </c:pt>
                <c:pt idx="206">
                  <c:v>143.71428571428572</c:v>
                </c:pt>
                <c:pt idx="207">
                  <c:v>159.42857142857142</c:v>
                </c:pt>
                <c:pt idx="208">
                  <c:v>166.42857142857142</c:v>
                </c:pt>
                <c:pt idx="209">
                  <c:v>173.71428571428572</c:v>
                </c:pt>
                <c:pt idx="210">
                  <c:v>181.57142857142858</c:v>
                </c:pt>
                <c:pt idx="211">
                  <c:v>191.57142857142858</c:v>
                </c:pt>
                <c:pt idx="212">
                  <c:v>206.14285714285714</c:v>
                </c:pt>
                <c:pt idx="213">
                  <c:v>212</c:v>
                </c:pt>
                <c:pt idx="214">
                  <c:v>216.42857142857142</c:v>
                </c:pt>
                <c:pt idx="215">
                  <c:v>221.14285714285714</c:v>
                </c:pt>
                <c:pt idx="216">
                  <c:v>233</c:v>
                </c:pt>
                <c:pt idx="217">
                  <c:v>247.42857142857142</c:v>
                </c:pt>
                <c:pt idx="218">
                  <c:v>269.14285714285717</c:v>
                </c:pt>
                <c:pt idx="219">
                  <c:v>306.71428571428572</c:v>
                </c:pt>
                <c:pt idx="220">
                  <c:v>369.85714285714283</c:v>
                </c:pt>
                <c:pt idx="221">
                  <c:v>418.57142857142856</c:v>
                </c:pt>
                <c:pt idx="222">
                  <c:v>490</c:v>
                </c:pt>
                <c:pt idx="223">
                  <c:v>557.57142857142856</c:v>
                </c:pt>
                <c:pt idx="224">
                  <c:v>647.57142857142856</c:v>
                </c:pt>
                <c:pt idx="225">
                  <c:v>759</c:v>
                </c:pt>
                <c:pt idx="226">
                  <c:v>866.85714285714289</c:v>
                </c:pt>
                <c:pt idx="227">
                  <c:v>921.28571428571433</c:v>
                </c:pt>
                <c:pt idx="228">
                  <c:v>1010.2857142857143</c:v>
                </c:pt>
                <c:pt idx="229">
                  <c:v>1045.8571428571429</c:v>
                </c:pt>
                <c:pt idx="230">
                  <c:v>1118.8571428571429</c:v>
                </c:pt>
                <c:pt idx="231">
                  <c:v>1202.8571428571429</c:v>
                </c:pt>
                <c:pt idx="232">
                  <c:v>1228.2857142857142</c:v>
                </c:pt>
                <c:pt idx="233">
                  <c:v>1232.2857142857142</c:v>
                </c:pt>
                <c:pt idx="234">
                  <c:v>1296.4285714285713</c:v>
                </c:pt>
                <c:pt idx="235">
                  <c:v>1329</c:v>
                </c:pt>
                <c:pt idx="236">
                  <c:v>1355.4285714285713</c:v>
                </c:pt>
                <c:pt idx="237">
                  <c:v>1347.2857142857142</c:v>
                </c:pt>
                <c:pt idx="238">
                  <c:v>1404.1428571428571</c:v>
                </c:pt>
                <c:pt idx="239">
                  <c:v>1525.5714285714287</c:v>
                </c:pt>
                <c:pt idx="240">
                  <c:v>1610.7142857142858</c:v>
                </c:pt>
                <c:pt idx="241">
                  <c:v>1662.1428571428571</c:v>
                </c:pt>
                <c:pt idx="242">
                  <c:v>1694.2857142857142</c:v>
                </c:pt>
                <c:pt idx="243">
                  <c:v>1745.8571428571429</c:v>
                </c:pt>
                <c:pt idx="244">
                  <c:v>1831.8571428571429</c:v>
                </c:pt>
                <c:pt idx="245">
                  <c:v>1863.5714285714287</c:v>
                </c:pt>
                <c:pt idx="246">
                  <c:v>1875</c:v>
                </c:pt>
                <c:pt idx="247">
                  <c:v>1934.2857142857142</c:v>
                </c:pt>
                <c:pt idx="248">
                  <c:v>2063</c:v>
                </c:pt>
                <c:pt idx="249">
                  <c:v>2169.1428571428573</c:v>
                </c:pt>
                <c:pt idx="250">
                  <c:v>2358.5714285714284</c:v>
                </c:pt>
                <c:pt idx="251">
                  <c:v>2487.7142857142858</c:v>
                </c:pt>
                <c:pt idx="252">
                  <c:v>2572.1428571428573</c:v>
                </c:pt>
                <c:pt idx="253">
                  <c:v>2672.4285714285716</c:v>
                </c:pt>
                <c:pt idx="254">
                  <c:v>2642.4285714285716</c:v>
                </c:pt>
                <c:pt idx="255">
                  <c:v>2564.7142857142858</c:v>
                </c:pt>
                <c:pt idx="256">
                  <c:v>2529.2857142857142</c:v>
                </c:pt>
                <c:pt idx="257">
                  <c:v>2394</c:v>
                </c:pt>
                <c:pt idx="258">
                  <c:v>2200.4285714285716</c:v>
                </c:pt>
                <c:pt idx="259">
                  <c:v>2061.4285714285716</c:v>
                </c:pt>
                <c:pt idx="260">
                  <c:v>1870.1428571428571</c:v>
                </c:pt>
                <c:pt idx="261">
                  <c:v>1804.1428571428571</c:v>
                </c:pt>
                <c:pt idx="262">
                  <c:v>1765.2857142857142</c:v>
                </c:pt>
                <c:pt idx="263">
                  <c:v>1766.8571428571429</c:v>
                </c:pt>
                <c:pt idx="264">
                  <c:v>1707.5714285714287</c:v>
                </c:pt>
                <c:pt idx="265">
                  <c:v>1722.7142857142858</c:v>
                </c:pt>
                <c:pt idx="266">
                  <c:v>1545.8571428571429</c:v>
                </c:pt>
                <c:pt idx="267">
                  <c:v>1449.4285714285713</c:v>
                </c:pt>
                <c:pt idx="268">
                  <c:v>1341.4285714285713</c:v>
                </c:pt>
                <c:pt idx="269">
                  <c:v>1179.8571428571429</c:v>
                </c:pt>
                <c:pt idx="270">
                  <c:v>958.14285714285711</c:v>
                </c:pt>
                <c:pt idx="271">
                  <c:v>814.71428571428567</c:v>
                </c:pt>
                <c:pt idx="272">
                  <c:v>654.57142857142856</c:v>
                </c:pt>
                <c:pt idx="273">
                  <c:v>654.57142857142856</c:v>
                </c:pt>
                <c:pt idx="274">
                  <c:v>638.85714285714289</c:v>
                </c:pt>
                <c:pt idx="275">
                  <c:v>600.57142857142856</c:v>
                </c:pt>
                <c:pt idx="276">
                  <c:v>562.14285714285711</c:v>
                </c:pt>
                <c:pt idx="277">
                  <c:v>546</c:v>
                </c:pt>
                <c:pt idx="278">
                  <c:v>537.42857142857144</c:v>
                </c:pt>
                <c:pt idx="279">
                  <c:v>528</c:v>
                </c:pt>
                <c:pt idx="280">
                  <c:v>611.71428571428567</c:v>
                </c:pt>
                <c:pt idx="281">
                  <c:v>574.71428571428567</c:v>
                </c:pt>
                <c:pt idx="282">
                  <c:v>552.14285714285711</c:v>
                </c:pt>
                <c:pt idx="283">
                  <c:v>534</c:v>
                </c:pt>
                <c:pt idx="284">
                  <c:v>513.42857142857144</c:v>
                </c:pt>
                <c:pt idx="285">
                  <c:v>503.42857142857144</c:v>
                </c:pt>
                <c:pt idx="286">
                  <c:v>493.28571428571428</c:v>
                </c:pt>
                <c:pt idx="287">
                  <c:v>373.28571428571428</c:v>
                </c:pt>
                <c:pt idx="288">
                  <c:v>369.57142857142856</c:v>
                </c:pt>
                <c:pt idx="289">
                  <c:v>350</c:v>
                </c:pt>
                <c:pt idx="290">
                  <c:v>339.57142857142856</c:v>
                </c:pt>
                <c:pt idx="291">
                  <c:v>337.71428571428572</c:v>
                </c:pt>
                <c:pt idx="292">
                  <c:v>337.71428571428572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F53-4D50-9355-2FDE9D19F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7749742"/>
        <c:axId val="28275363"/>
      </c:lineChart>
      <c:catAx>
        <c:axId val="14760056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122063327"/>
        <c:crosses val="autoZero"/>
        <c:auto val="1"/>
        <c:lblAlgn val="ctr"/>
        <c:lblOffset val="100"/>
        <c:noMultiLvlLbl val="1"/>
      </c:catAx>
      <c:valAx>
        <c:axId val="1122063327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476005653"/>
        <c:crosses val="autoZero"/>
        <c:crossBetween val="between"/>
      </c:valAx>
      <c:catAx>
        <c:axId val="99774974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275363"/>
        <c:crosses val="autoZero"/>
        <c:auto val="1"/>
        <c:lblAlgn val="ctr"/>
        <c:lblOffset val="100"/>
        <c:noMultiLvlLbl val="1"/>
      </c:catAx>
      <c:valAx>
        <c:axId val="28275363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997749742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Mazowieckiego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Województwa'!$AZ$2</c:f>
              <c:strCache>
                <c:ptCount val="1"/>
                <c:pt idx="0">
                  <c:v>Mazowieckie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Województwa'!$AZ$3:$AZ$1000</c:f>
              <c:numCache>
                <c:formatCode>General</c:formatCode>
                <c:ptCount val="998"/>
                <c:pt idx="19" formatCode="0.0000">
                  <c:v>1.3769570453633082</c:v>
                </c:pt>
                <c:pt idx="20" formatCode="0.0000">
                  <c:v>1.6030954142793905</c:v>
                </c:pt>
                <c:pt idx="21" formatCode="0.0000">
                  <c:v>1.7891248453575026</c:v>
                </c:pt>
                <c:pt idx="22" formatCode="0.0000">
                  <c:v>1.8303153959189753</c:v>
                </c:pt>
                <c:pt idx="23" formatCode="0.0000">
                  <c:v>1.8169831746032561</c:v>
                </c:pt>
                <c:pt idx="24" formatCode="0.0000">
                  <c:v>1.6930474933532291</c:v>
                </c:pt>
                <c:pt idx="25" formatCode="0.0000">
                  <c:v>2.0300738010381645</c:v>
                </c:pt>
                <c:pt idx="26" formatCode="0.0000">
                  <c:v>1.9899161818023514</c:v>
                </c:pt>
                <c:pt idx="27" formatCode="0.0000">
                  <c:v>1.8289803276622725</c:v>
                </c:pt>
                <c:pt idx="28" formatCode="0.0000">
                  <c:v>1.7500726816448855</c:v>
                </c:pt>
                <c:pt idx="29" formatCode="0.0000">
                  <c:v>1.7231931706181949</c:v>
                </c:pt>
                <c:pt idx="30" formatCode="0.0000">
                  <c:v>1.9460543868608589</c:v>
                </c:pt>
                <c:pt idx="31" formatCode="0.0000">
                  <c:v>1.9282777984458106</c:v>
                </c:pt>
                <c:pt idx="32" formatCode="0.0000">
                  <c:v>1.3493875631389856</c:v>
                </c:pt>
                <c:pt idx="33" formatCode="0.0000">
                  <c:v>1.6619393382407652</c:v>
                </c:pt>
                <c:pt idx="34" formatCode="0.0000">
                  <c:v>1.7795642185355198</c:v>
                </c:pt>
                <c:pt idx="35" formatCode="0.0000">
                  <c:v>1.9263037960541267</c:v>
                </c:pt>
                <c:pt idx="36" formatCode="0.0000">
                  <c:v>1.7864231275732523</c:v>
                </c:pt>
                <c:pt idx="37" formatCode="0.0000">
                  <c:v>1.5018955618657372</c:v>
                </c:pt>
                <c:pt idx="38" formatCode="0.0000">
                  <c:v>1.4935014918346163</c:v>
                </c:pt>
                <c:pt idx="39" formatCode="0.0000">
                  <c:v>1.7082668167950981</c:v>
                </c:pt>
                <c:pt idx="40" formatCode="0.0000">
                  <c:v>1.2939498882910851</c:v>
                </c:pt>
                <c:pt idx="41" formatCode="0.0000">
                  <c:v>1.1171370045016056</c:v>
                </c:pt>
                <c:pt idx="42" formatCode="0.0000">
                  <c:v>0.79215387307873519</c:v>
                </c:pt>
                <c:pt idx="43" formatCode="0.0000">
                  <c:v>0.84168885499978718</c:v>
                </c:pt>
                <c:pt idx="44" formatCode="0.0000">
                  <c:v>0.76282400613097801</c:v>
                </c:pt>
                <c:pt idx="45" formatCode="0.0000">
                  <c:v>0.71447710514086082</c:v>
                </c:pt>
                <c:pt idx="46" formatCode="0.0000">
                  <c:v>0.62034208075177244</c:v>
                </c:pt>
                <c:pt idx="47" formatCode="0.0000">
                  <c:v>0.69591253330239089</c:v>
                </c:pt>
                <c:pt idx="48" formatCode="0.0000">
                  <c:v>0.74429283241312227</c:v>
                </c:pt>
                <c:pt idx="49" formatCode="0.0000">
                  <c:v>0.76491113060170413</c:v>
                </c:pt>
                <c:pt idx="50" formatCode="0.0000">
                  <c:v>0.70749850715846763</c:v>
                </c:pt>
                <c:pt idx="51" formatCode="0.0000">
                  <c:v>0.78553391583947241</c:v>
                </c:pt>
                <c:pt idx="52" formatCode="0.0000">
                  <c:v>0.81319522478845141</c:v>
                </c:pt>
                <c:pt idx="53" formatCode="0.0000">
                  <c:v>0.95776896585509996</c:v>
                </c:pt>
                <c:pt idx="54" formatCode="0.0000">
                  <c:v>0.94063743183507742</c:v>
                </c:pt>
                <c:pt idx="55" formatCode="0.0000">
                  <c:v>0.92208565134037879</c:v>
                </c:pt>
                <c:pt idx="56" formatCode="0.0000">
                  <c:v>0.89087114742127582</c:v>
                </c:pt>
                <c:pt idx="57" formatCode="0.0000">
                  <c:v>0.89592412036491065</c:v>
                </c:pt>
                <c:pt idx="58" formatCode="0.0000">
                  <c:v>0.78516170106214922</c:v>
                </c:pt>
                <c:pt idx="59" formatCode="0.0000">
                  <c:v>0.67867951053472919</c:v>
                </c:pt>
                <c:pt idx="60" formatCode="0.0000">
                  <c:v>0.51157799641723067</c:v>
                </c:pt>
                <c:pt idx="61" formatCode="0.0000">
                  <c:v>0.52570017789193757</c:v>
                </c:pt>
                <c:pt idx="62" formatCode="0.0000">
                  <c:v>0.64244663514346989</c:v>
                </c:pt>
                <c:pt idx="63" formatCode="0.0000">
                  <c:v>0.91293243015273073</c:v>
                </c:pt>
                <c:pt idx="64" formatCode="0.0000">
                  <c:v>0.94690954793972859</c:v>
                </c:pt>
                <c:pt idx="65" formatCode="0.0000">
                  <c:v>0.99115205773164994</c:v>
                </c:pt>
                <c:pt idx="66" formatCode="0.0000">
                  <c:v>1.0678060681447106</c:v>
                </c:pt>
                <c:pt idx="67" formatCode="0.0000">
                  <c:v>1.096567629524198</c:v>
                </c:pt>
                <c:pt idx="68" formatCode="0.0000">
                  <c:v>1.0678116306928147</c:v>
                </c:pt>
                <c:pt idx="69" formatCode="0.0000">
                  <c:v>0.94749013590902342</c:v>
                </c:pt>
                <c:pt idx="70" formatCode="0.0000">
                  <c:v>0.72612562707351869</c:v>
                </c:pt>
                <c:pt idx="71" formatCode="0.0000">
                  <c:v>0.81364131861127753</c:v>
                </c:pt>
                <c:pt idx="72" formatCode="0.0000">
                  <c:v>0.7822925811749476</c:v>
                </c:pt>
                <c:pt idx="73" formatCode="0.0000">
                  <c:v>0.82850212833784109</c:v>
                </c:pt>
                <c:pt idx="74" formatCode="0.0000">
                  <c:v>0.78671064562845883</c:v>
                </c:pt>
                <c:pt idx="75" formatCode="0.0000">
                  <c:v>0.78791434544331707</c:v>
                </c:pt>
                <c:pt idx="76" formatCode="0.0000">
                  <c:v>0.88434203705658554</c:v>
                </c:pt>
                <c:pt idx="77" formatCode="0.0000">
                  <c:v>0.97418528208568189</c:v>
                </c:pt>
                <c:pt idx="78" formatCode="0.0000">
                  <c:v>0.94011922027416184</c:v>
                </c:pt>
                <c:pt idx="79" formatCode="0.0000">
                  <c:v>1.0531864809869897</c:v>
                </c:pt>
                <c:pt idx="80" formatCode="0.0000">
                  <c:v>1.0518345972733181</c:v>
                </c:pt>
                <c:pt idx="81" formatCode="0.0000">
                  <c:v>1.1380198798122336</c:v>
                </c:pt>
                <c:pt idx="82" formatCode="0.0000">
                  <c:v>1.1214898816846872</c:v>
                </c:pt>
                <c:pt idx="83" formatCode="0.0000">
                  <c:v>1.2497973515250727</c:v>
                </c:pt>
                <c:pt idx="84" formatCode="0.0000">
                  <c:v>1.3625799314534295</c:v>
                </c:pt>
                <c:pt idx="85" formatCode="0.0000">
                  <c:v>1.2895528431892604</c:v>
                </c:pt>
                <c:pt idx="86" formatCode="0.0000">
                  <c:v>1.3068325311043922</c:v>
                </c:pt>
                <c:pt idx="87" formatCode="0.0000">
                  <c:v>1.2897377307199147</c:v>
                </c:pt>
                <c:pt idx="88" formatCode="0.0000">
                  <c:v>1.2895931635864708</c:v>
                </c:pt>
                <c:pt idx="89" formatCode="0.0000">
                  <c:v>1.318336507421866</c:v>
                </c:pt>
                <c:pt idx="90" formatCode="0.0000">
                  <c:v>1.1813505096048789</c:v>
                </c:pt>
                <c:pt idx="91" formatCode="0.0000">
                  <c:v>0.99298881893873403</c:v>
                </c:pt>
                <c:pt idx="92" formatCode="0.0000">
                  <c:v>0.96403344742242159</c:v>
                </c:pt>
                <c:pt idx="93" formatCode="0.0000">
                  <c:v>0.92024649923275903</c:v>
                </c:pt>
                <c:pt idx="94" formatCode="0.0000">
                  <c:v>1.0154352992645366</c:v>
                </c:pt>
                <c:pt idx="95" formatCode="0.0000">
                  <c:v>0.99738528496772905</c:v>
                </c:pt>
                <c:pt idx="96" formatCode="0.0000">
                  <c:v>1.0014332601278975</c:v>
                </c:pt>
                <c:pt idx="97" formatCode="0.0000">
                  <c:v>1.0913637292984488</c:v>
                </c:pt>
                <c:pt idx="98" formatCode="0.0000">
                  <c:v>1.227401186959894</c:v>
                </c:pt>
                <c:pt idx="99" formatCode="0.0000">
                  <c:v>1.3651515214919729</c:v>
                </c:pt>
                <c:pt idx="100" formatCode="0.0000">
                  <c:v>1.3226681832377427</c:v>
                </c:pt>
                <c:pt idx="101" formatCode="0.0000">
                  <c:v>1.2951351379393898</c:v>
                </c:pt>
                <c:pt idx="102" formatCode="0.0000">
                  <c:v>1.3043426776439975</c:v>
                </c:pt>
                <c:pt idx="103" formatCode="0.0000">
                  <c:v>1.3137021678458234</c:v>
                </c:pt>
                <c:pt idx="104" formatCode="0.0000">
                  <c:v>1.2060336919126289</c:v>
                </c:pt>
                <c:pt idx="105" formatCode="0.0000">
                  <c:v>1.0544642907303736</c:v>
                </c:pt>
                <c:pt idx="106" formatCode="0.0000">
                  <c:v>0.97043324203809411</c:v>
                </c:pt>
                <c:pt idx="107" formatCode="0.0000">
                  <c:v>0.94889314850257933</c:v>
                </c:pt>
                <c:pt idx="108" formatCode="0.0000">
                  <c:v>1.0011368084436063</c:v>
                </c:pt>
                <c:pt idx="109" formatCode="0.0000">
                  <c:v>0.96726883703454791</c:v>
                </c:pt>
                <c:pt idx="110" formatCode="0.0000">
                  <c:v>0.93956839717773821</c:v>
                </c:pt>
                <c:pt idx="111" formatCode="0.0000">
                  <c:v>0.88869896429346429</c:v>
                </c:pt>
                <c:pt idx="112" formatCode="0.0000">
                  <c:v>0.91106824466787228</c:v>
                </c:pt>
                <c:pt idx="113" formatCode="0.0000">
                  <c:v>0.85711394603065549</c:v>
                </c:pt>
                <c:pt idx="114" formatCode="0.0000">
                  <c:v>0.81839998864220065</c:v>
                </c:pt>
                <c:pt idx="115" formatCode="0.0000">
                  <c:v>0.73963683757640919</c:v>
                </c:pt>
                <c:pt idx="116" formatCode="0.0000">
                  <c:v>0.74349247425224385</c:v>
                </c:pt>
                <c:pt idx="117" formatCode="0.0000">
                  <c:v>0.75010985686999798</c:v>
                </c:pt>
                <c:pt idx="118" formatCode="0.0000">
                  <c:v>0.7550767303617425</c:v>
                </c:pt>
                <c:pt idx="119" formatCode="0.0000">
                  <c:v>0.71892277020346806</c:v>
                </c:pt>
                <c:pt idx="120" formatCode="0.0000">
                  <c:v>0.70085814610881891</c:v>
                </c:pt>
                <c:pt idx="121" formatCode="0.0000">
                  <c:v>0.81022045515723451</c:v>
                </c:pt>
                <c:pt idx="122" formatCode="0.0000">
                  <c:v>0.80653784074156598</c:v>
                </c:pt>
                <c:pt idx="123" formatCode="0.0000">
                  <c:v>0.78473204320392576</c:v>
                </c:pt>
                <c:pt idx="124" formatCode="0.0000">
                  <c:v>0.74970652311472386</c:v>
                </c:pt>
                <c:pt idx="125" formatCode="0.0000">
                  <c:v>0.82976901548472493</c:v>
                </c:pt>
                <c:pt idx="126" formatCode="0.0000">
                  <c:v>0.78037195415026983</c:v>
                </c:pt>
                <c:pt idx="127" formatCode="0.0000">
                  <c:v>0.88296188259589869</c:v>
                </c:pt>
                <c:pt idx="128" formatCode="0.0000">
                  <c:v>0.93194316207734695</c:v>
                </c:pt>
                <c:pt idx="129" formatCode="0.0000">
                  <c:v>0.8886394766941681</c:v>
                </c:pt>
                <c:pt idx="130" formatCode="0.0000">
                  <c:v>0.97997205412085897</c:v>
                </c:pt>
                <c:pt idx="131" formatCode="0.0000">
                  <c:v>0.94454229508894338</c:v>
                </c:pt>
                <c:pt idx="132" formatCode="0.0000">
                  <c:v>1.1151033854921772</c:v>
                </c:pt>
                <c:pt idx="133" formatCode="0.0000">
                  <c:v>1.2003930144345543</c:v>
                </c:pt>
                <c:pt idx="134" formatCode="0.0000">
                  <c:v>1.1111679678796891</c:v>
                </c:pt>
                <c:pt idx="135" formatCode="0.0000">
                  <c:v>1.0373089711348187</c:v>
                </c:pt>
                <c:pt idx="136" formatCode="0.0000">
                  <c:v>1.091708105920175</c:v>
                </c:pt>
                <c:pt idx="137" formatCode="0.0000">
                  <c:v>1.0203252955169797</c:v>
                </c:pt>
                <c:pt idx="138" formatCode="0.0000">
                  <c:v>1.1866490599321797</c:v>
                </c:pt>
                <c:pt idx="139" formatCode="0.0000">
                  <c:v>1.0620110235899616</c:v>
                </c:pt>
                <c:pt idx="140" formatCode="0.0000">
                  <c:v>1.1722242030950707</c:v>
                </c:pt>
                <c:pt idx="141" formatCode="0.0000">
                  <c:v>1.2420857399652958</c:v>
                </c:pt>
                <c:pt idx="142" formatCode="0.0000">
                  <c:v>1.4376716816591413</c:v>
                </c:pt>
                <c:pt idx="143" formatCode="0.0000">
                  <c:v>1.3749054886810779</c:v>
                </c:pt>
                <c:pt idx="144" formatCode="0.0000">
                  <c:v>1.4289791038628326</c:v>
                </c:pt>
                <c:pt idx="145" formatCode="0.0000">
                  <c:v>1.3830315728692304</c:v>
                </c:pt>
                <c:pt idx="146" formatCode="0.0000">
                  <c:v>1.3293009566886373</c:v>
                </c:pt>
                <c:pt idx="147" formatCode="0.0000">
                  <c:v>1.2796488203520917</c:v>
                </c:pt>
                <c:pt idx="148" formatCode="0.0000">
                  <c:v>1.2353761348030461</c:v>
                </c:pt>
                <c:pt idx="149" formatCode="0.0000">
                  <c:v>1.142529136675938</c:v>
                </c:pt>
                <c:pt idx="150" formatCode="0.0000">
                  <c:v>1.3090891829689169</c:v>
                </c:pt>
                <c:pt idx="151" formatCode="0.0000">
                  <c:v>1.2575965780502771</c:v>
                </c:pt>
                <c:pt idx="152" formatCode="0.0000">
                  <c:v>1.262276740546205</c:v>
                </c:pt>
                <c:pt idx="153" formatCode="0.0000">
                  <c:v>1.2791168060613987</c:v>
                </c:pt>
                <c:pt idx="154" formatCode="0.0000">
                  <c:v>1.2116206251542254</c:v>
                </c:pt>
                <c:pt idx="155" formatCode="0.0000">
                  <c:v>1.2859218511444317</c:v>
                </c:pt>
                <c:pt idx="156" formatCode="0.0000">
                  <c:v>1.2489853331733602</c:v>
                </c:pt>
                <c:pt idx="157" formatCode="0.0000">
                  <c:v>1.1948114448710687</c:v>
                </c:pt>
                <c:pt idx="158" formatCode="0.0000">
                  <c:v>1.3026257536184644</c:v>
                </c:pt>
                <c:pt idx="159" formatCode="0.0000">
                  <c:v>1.2793013487662355</c:v>
                </c:pt>
                <c:pt idx="160" formatCode="0.0000">
                  <c:v>1.1880284685880331</c:v>
                </c:pt>
                <c:pt idx="161" formatCode="0.0000">
                  <c:v>1.1730933724726869</c:v>
                </c:pt>
                <c:pt idx="162" formatCode="0.0000">
                  <c:v>1.1262550258060811</c:v>
                </c:pt>
                <c:pt idx="163" formatCode="0.0000">
                  <c:v>1.1791652144662714</c:v>
                </c:pt>
                <c:pt idx="164" formatCode="0.0000">
                  <c:v>1.213597900535021</c:v>
                </c:pt>
                <c:pt idx="165" formatCode="0.0000">
                  <c:v>1.1182241530065518</c:v>
                </c:pt>
                <c:pt idx="166" formatCode="0.0000">
                  <c:v>1.0929152538014777</c:v>
                </c:pt>
                <c:pt idx="167" formatCode="0.0000">
                  <c:v>1.2378063551876697</c:v>
                </c:pt>
                <c:pt idx="168" formatCode="0.0000">
                  <c:v>1.23744359355825</c:v>
                </c:pt>
                <c:pt idx="169" formatCode="0.0000">
                  <c:v>1.2849650114630293</c:v>
                </c:pt>
                <c:pt idx="170" formatCode="0.0000">
                  <c:v>1.1449754266209797</c:v>
                </c:pt>
                <c:pt idx="171" formatCode="0.0000">
                  <c:v>1.1196670652007692</c:v>
                </c:pt>
                <c:pt idx="172" formatCode="0.0000">
                  <c:v>1.1777420138700041</c:v>
                </c:pt>
                <c:pt idx="173" formatCode="0.0000">
                  <c:v>1.1301178467219524</c:v>
                </c:pt>
                <c:pt idx="174" formatCode="0.0000">
                  <c:v>0.9709393385685493</c:v>
                </c:pt>
                <c:pt idx="175" formatCode="0.0000">
                  <c:v>1.0298938689833057</c:v>
                </c:pt>
                <c:pt idx="176" formatCode="0.0000">
                  <c:v>0.99662878092746876</c:v>
                </c:pt>
                <c:pt idx="177" formatCode="0.0000">
                  <c:v>1.0145856849857158</c:v>
                </c:pt>
                <c:pt idx="178" formatCode="0.0000">
                  <c:v>0.99053076905684478</c:v>
                </c:pt>
                <c:pt idx="179" formatCode="0.0000">
                  <c:v>0.98045703514376359</c:v>
                </c:pt>
                <c:pt idx="180" formatCode="0.0000">
                  <c:v>0.97959146742772707</c:v>
                </c:pt>
                <c:pt idx="181" formatCode="0.0000">
                  <c:v>1.0118313655526883</c:v>
                </c:pt>
                <c:pt idx="182" formatCode="0.0000">
                  <c:v>0.99621398724082977</c:v>
                </c:pt>
                <c:pt idx="183" formatCode="0.0000">
                  <c:v>1.0383548908241198</c:v>
                </c:pt>
                <c:pt idx="184" formatCode="0.0000">
                  <c:v>1.0138036789152307</c:v>
                </c:pt>
                <c:pt idx="185" formatCode="0.0000">
                  <c:v>0.99980055246586319</c:v>
                </c:pt>
                <c:pt idx="186" formatCode="0.0000">
                  <c:v>0.90104946289741872</c:v>
                </c:pt>
                <c:pt idx="187" formatCode="0.0000">
                  <c:v>0.92554151512690297</c:v>
                </c:pt>
                <c:pt idx="188" formatCode="0.0000">
                  <c:v>0.85697036516124503</c:v>
                </c:pt>
                <c:pt idx="189" formatCode="0.0000">
                  <c:v>0.81490180191654404</c:v>
                </c:pt>
                <c:pt idx="190" formatCode="0.0000">
                  <c:v>0.72685916341620704</c:v>
                </c:pt>
                <c:pt idx="191" formatCode="0.0000">
                  <c:v>0.72311280834568337</c:v>
                </c:pt>
                <c:pt idx="192" formatCode="0.0000">
                  <c:v>0.69877766655086238</c:v>
                </c:pt>
                <c:pt idx="193" formatCode="0.0000">
                  <c:v>0.72583369539447085</c:v>
                </c:pt>
                <c:pt idx="194" formatCode="0.0000">
                  <c:v>0.80469393867840722</c:v>
                </c:pt>
                <c:pt idx="195" formatCode="0.0000">
                  <c:v>0.88187528313582764</c:v>
                </c:pt>
                <c:pt idx="196" formatCode="0.0000">
                  <c:v>0.9833049564594637</c:v>
                </c:pt>
                <c:pt idx="197" formatCode="0.0000">
                  <c:v>1.0022432502559389</c:v>
                </c:pt>
                <c:pt idx="198" formatCode="0.0000">
                  <c:v>1.1908668853055853</c:v>
                </c:pt>
                <c:pt idx="199" formatCode="0.0000">
                  <c:v>1.1829373220679205</c:v>
                </c:pt>
                <c:pt idx="200" formatCode="0.0000">
                  <c:v>1.2028027220661139</c:v>
                </c:pt>
                <c:pt idx="201" formatCode="0.0000">
                  <c:v>1.301856457732935</c:v>
                </c:pt>
                <c:pt idx="202" formatCode="0.0000">
                  <c:v>1.3583201523100712</c:v>
                </c:pt>
                <c:pt idx="203" formatCode="0.0000">
                  <c:v>1.3176123039811856</c:v>
                </c:pt>
                <c:pt idx="204" formatCode="0.0000">
                  <c:v>1.4142914786489023</c:v>
                </c:pt>
                <c:pt idx="205" formatCode="0.0000">
                  <c:v>1.2876731260612204</c:v>
                </c:pt>
                <c:pt idx="206" formatCode="0.0000">
                  <c:v>1.5059593789392995</c:v>
                </c:pt>
                <c:pt idx="207" formatCode="0.0000">
                  <c:v>1.5106537141125422</c:v>
                </c:pt>
                <c:pt idx="208" formatCode="0.0000">
                  <c:v>1.4391593786256338</c:v>
                </c:pt>
                <c:pt idx="209" formatCode="0.0000">
                  <c:v>1.4113253642876777</c:v>
                </c:pt>
                <c:pt idx="210" formatCode="0.0000">
                  <c:v>1.40398830051329</c:v>
                </c:pt>
                <c:pt idx="211" formatCode="0.0000">
                  <c:v>1.32780584503906</c:v>
                </c:pt>
                <c:pt idx="212" formatCode="0.0000">
                  <c:v>1.389832314460022</c:v>
                </c:pt>
                <c:pt idx="213" formatCode="0.0000">
                  <c:v>1.2389066783433793</c:v>
                </c:pt>
                <c:pt idx="214" formatCode="0.0000">
                  <c:v>1.3131400281299981</c:v>
                </c:pt>
                <c:pt idx="215" formatCode="0.0000">
                  <c:v>1.2415713599850549</c:v>
                </c:pt>
                <c:pt idx="216" formatCode="0.0000">
                  <c:v>1.3507223502469163</c:v>
                </c:pt>
                <c:pt idx="217" formatCode="0.0000">
                  <c:v>1.4235127191917678</c:v>
                </c:pt>
                <c:pt idx="218" formatCode="0.0000">
                  <c:v>1.6063881348264073</c:v>
                </c:pt>
                <c:pt idx="219" formatCode="0.0000">
                  <c:v>1.6721019019292132</c:v>
                </c:pt>
                <c:pt idx="220" formatCode="0.0000">
                  <c:v>1.6991268285393351</c:v>
                </c:pt>
                <c:pt idx="221" formatCode="0.0000">
                  <c:v>1.8164814945652275</c:v>
                </c:pt>
                <c:pt idx="222" formatCode="0.0000">
                  <c:v>1.8453598461556022</c:v>
                </c:pt>
                <c:pt idx="223" formatCode="0.0000">
                  <c:v>1.7433519325465829</c:v>
                </c:pt>
                <c:pt idx="224" formatCode="0.0000">
                  <c:v>1.7154210206465552</c:v>
                </c:pt>
                <c:pt idx="225" formatCode="0.0000">
                  <c:v>1.7691808910896669</c:v>
                </c:pt>
                <c:pt idx="226" formatCode="0.0000">
                  <c:v>1.7934347418966285</c:v>
                </c:pt>
                <c:pt idx="227" formatCode="0.0000">
                  <c:v>1.7567198387697616</c:v>
                </c:pt>
                <c:pt idx="228" formatCode="0.0000">
                  <c:v>1.7260562116005023</c:v>
                </c:pt>
                <c:pt idx="229" formatCode="0.0000">
                  <c:v>1.8144660261958596</c:v>
                </c:pt>
                <c:pt idx="230" formatCode="0.0000">
                  <c:v>1.8004374491465602</c:v>
                </c:pt>
                <c:pt idx="231" formatCode="0.0000">
                  <c:v>1.8211917490415834</c:v>
                </c:pt>
                <c:pt idx="232" formatCode="0.0000">
                  <c:v>1.611340198898892</c:v>
                </c:pt>
                <c:pt idx="233" formatCode="0.0000">
                  <c:v>1.5023794106587101</c:v>
                </c:pt>
                <c:pt idx="234" formatCode="0.0000">
                  <c:v>1.5844911140147426</c:v>
                </c:pt>
                <c:pt idx="235" formatCode="0.0000">
                  <c:v>1.5184496878243756</c:v>
                </c:pt>
                <c:pt idx="236" formatCode="0.0000">
                  <c:v>1.4805173528961448</c:v>
                </c:pt>
                <c:pt idx="237" formatCode="0.0000">
                  <c:v>1.5123251758524743</c:v>
                </c:pt>
                <c:pt idx="238" formatCode="0.0000">
                  <c:v>1.6555889454064869</c:v>
                </c:pt>
                <c:pt idx="239" formatCode="0.0000">
                  <c:v>1.6961329245961179</c:v>
                </c:pt>
                <c:pt idx="240" formatCode="0.0000">
                  <c:v>1.6358900120562205</c:v>
                </c:pt>
                <c:pt idx="241" formatCode="0.0000">
                  <c:v>1.6092092023615403</c:v>
                </c:pt>
                <c:pt idx="242" formatCode="0.0000">
                  <c:v>1.578338185457254</c:v>
                </c:pt>
                <c:pt idx="243" formatCode="0.0000">
                  <c:v>1.5272538084887348</c:v>
                </c:pt>
                <c:pt idx="244" formatCode="0.0000">
                  <c:v>1.4961046919753191</c:v>
                </c:pt>
                <c:pt idx="245" formatCode="0.0000">
                  <c:v>1.329252855677193</c:v>
                </c:pt>
                <c:pt idx="246" formatCode="0.0000">
                  <c:v>1.2791310910910574</c:v>
                </c:pt>
                <c:pt idx="247" formatCode="0.0000">
                  <c:v>1.277933461615145</c:v>
                </c:pt>
                <c:pt idx="248" formatCode="0.0000">
                  <c:v>1.1915540024419768</c:v>
                </c:pt>
                <c:pt idx="249" formatCode="0.0000">
                  <c:v>1.1478325876265958</c:v>
                </c:pt>
                <c:pt idx="250" formatCode="0.0000">
                  <c:v>1.1123339524491886</c:v>
                </c:pt>
                <c:pt idx="251" formatCode="0.0000">
                  <c:v>1.0650950420861611</c:v>
                </c:pt>
                <c:pt idx="252" formatCode="0.0000">
                  <c:v>0.99652095636126858</c:v>
                </c:pt>
                <c:pt idx="253" formatCode="0.0000">
                  <c:v>0.94800794551728751</c:v>
                </c:pt>
                <c:pt idx="254" formatCode="0.0000">
                  <c:v>0.88431805503438665</c:v>
                </c:pt>
                <c:pt idx="255" formatCode="0.0000">
                  <c:v>0.80671150108714429</c:v>
                </c:pt>
                <c:pt idx="256" formatCode="0.0000">
                  <c:v>0.80397626277168244</c:v>
                </c:pt>
                <c:pt idx="257" formatCode="0.0000">
                  <c:v>0.79898113890958178</c:v>
                </c:pt>
                <c:pt idx="258" formatCode="0.0000">
                  <c:v>0.8751551538062774</c:v>
                </c:pt>
                <c:pt idx="259" formatCode="0.0000">
                  <c:v>0.91062736331030847</c:v>
                </c:pt>
                <c:pt idx="260" formatCode="0.0000">
                  <c:v>1.012837343874547</c:v>
                </c:pt>
                <c:pt idx="261" formatCode="0.0000">
                  <c:v>1.0918191681164595</c:v>
                </c:pt>
                <c:pt idx="262" formatCode="0.0000">
                  <c:v>1.159205817115043</c:v>
                </c:pt>
                <c:pt idx="263" formatCode="0.0000">
                  <c:v>1.1745436626023538</c:v>
                </c:pt>
                <c:pt idx="264" formatCode="0.0000">
                  <c:v>1.2116777880608638</c:v>
                </c:pt>
                <c:pt idx="265" formatCode="0.0000">
                  <c:v>1.172570658782266</c:v>
                </c:pt>
                <c:pt idx="266" formatCode="0.0000">
                  <c:v>1.0863621800481733</c:v>
                </c:pt>
                <c:pt idx="267" formatCode="0.0000">
                  <c:v>0.96138510069703409</c:v>
                </c:pt>
                <c:pt idx="268" formatCode="0.0000">
                  <c:v>0.88909673936550426</c:v>
                </c:pt>
                <c:pt idx="269" formatCode="0.0000">
                  <c:v>0.8674001887094972</c:v>
                </c:pt>
                <c:pt idx="270" formatCode="0.0000">
                  <c:v>0.82059150491290656</c:v>
                </c:pt>
                <c:pt idx="271" formatCode="0.0000">
                  <c:v>0.76970617374008321</c:v>
                </c:pt>
                <c:pt idx="272" formatCode="0.0000">
                  <c:v>0.68814572130745066</c:v>
                </c:pt>
                <c:pt idx="273" formatCode="0.0000">
                  <c:v>0.68192811478047777</c:v>
                </c:pt>
                <c:pt idx="274" formatCode="0.0000">
                  <c:v>0.72388425559849856</c:v>
                </c:pt>
                <c:pt idx="275" formatCode="0.0000">
                  <c:v>0.76154784542575082</c:v>
                </c:pt>
                <c:pt idx="276" formatCode="0.0000">
                  <c:v>0.76480474149691013</c:v>
                </c:pt>
                <c:pt idx="277" formatCode="0.0000">
                  <c:v>0.7664807072582952</c:v>
                </c:pt>
                <c:pt idx="278" formatCode="0.0000">
                  <c:v>0.77183005136425564</c:v>
                </c:pt>
                <c:pt idx="279" formatCode="0.0000">
                  <c:v>0.779856863490065</c:v>
                </c:pt>
                <c:pt idx="280" formatCode="0.0000">
                  <c:v>0.81444873976020105</c:v>
                </c:pt>
                <c:pt idx="281" formatCode="0.0000">
                  <c:v>0.83036712907405585</c:v>
                </c:pt>
                <c:pt idx="282" formatCode="0.0000">
                  <c:v>0.85165972806389612</c:v>
                </c:pt>
                <c:pt idx="283" formatCode="0.0000">
                  <c:v>0.88290190743143315</c:v>
                </c:pt>
                <c:pt idx="284" formatCode="0.0000">
                  <c:v>0.89563319793076523</c:v>
                </c:pt>
                <c:pt idx="285" formatCode="0.0000">
                  <c:v>0.91806494431563357</c:v>
                </c:pt>
                <c:pt idx="286" formatCode="0.0000">
                  <c:v>0.93350495692564162</c:v>
                </c:pt>
                <c:pt idx="287" formatCode="0.0000">
                  <c:v>0.92022284057211701</c:v>
                </c:pt>
                <c:pt idx="288" formatCode="0.0000">
                  <c:v>0.93011733692191334</c:v>
                </c:pt>
                <c:pt idx="289" formatCode="0.0000">
                  <c:v>0.90160399248728462</c:v>
                </c:pt>
                <c:pt idx="290" formatCode="0.0000">
                  <c:v>0.88731360317645291</c:v>
                </c:pt>
                <c:pt idx="291" formatCode="0.0000">
                  <c:v>0.89061148972131987</c:v>
                </c:pt>
                <c:pt idx="292" formatCode="0.0000">
                  <c:v>0.88670274011233496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3D6-4C31-9F93-4B7A3B8D9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562793"/>
        <c:axId val="312023080"/>
      </c:lineChart>
      <c:lineChart>
        <c:grouping val="standard"/>
        <c:varyColors val="0"/>
        <c:ser>
          <c:idx val="1"/>
          <c:order val="1"/>
          <c:tx>
            <c:strRef>
              <c:f>'R(t) Województwa'!$AV$2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Województwa'!$AV$3:$AV$1000</c:f>
              <c:numCache>
                <c:formatCode>General</c:formatCode>
                <c:ptCount val="998"/>
                <c:pt idx="4">
                  <c:v>0</c:v>
                </c:pt>
                <c:pt idx="5">
                  <c:v>0.33333333333333331</c:v>
                </c:pt>
                <c:pt idx="6">
                  <c:v>0.2857142857142857</c:v>
                </c:pt>
                <c:pt idx="7">
                  <c:v>0.42857142857142855</c:v>
                </c:pt>
                <c:pt idx="8">
                  <c:v>0.5714285714285714</c:v>
                </c:pt>
                <c:pt idx="9">
                  <c:v>0.8571428571428571</c:v>
                </c:pt>
                <c:pt idx="10">
                  <c:v>1.5714285714285714</c:v>
                </c:pt>
                <c:pt idx="11">
                  <c:v>2.2857142857142856</c:v>
                </c:pt>
                <c:pt idx="12">
                  <c:v>2.8571428571428572</c:v>
                </c:pt>
                <c:pt idx="13">
                  <c:v>4.7142857142857144</c:v>
                </c:pt>
                <c:pt idx="14">
                  <c:v>5</c:v>
                </c:pt>
                <c:pt idx="15">
                  <c:v>8.8571428571428577</c:v>
                </c:pt>
                <c:pt idx="16">
                  <c:v>10.857142857142858</c:v>
                </c:pt>
                <c:pt idx="17">
                  <c:v>13.714285714285714</c:v>
                </c:pt>
                <c:pt idx="18">
                  <c:v>15.857142857142858</c:v>
                </c:pt>
                <c:pt idx="19">
                  <c:v>17.857142857142858</c:v>
                </c:pt>
                <c:pt idx="20">
                  <c:v>20</c:v>
                </c:pt>
                <c:pt idx="21">
                  <c:v>24.857142857142858</c:v>
                </c:pt>
                <c:pt idx="22">
                  <c:v>26.428571428571427</c:v>
                </c:pt>
                <c:pt idx="23">
                  <c:v>29.857142857142858</c:v>
                </c:pt>
                <c:pt idx="24">
                  <c:v>30.142857142857142</c:v>
                </c:pt>
                <c:pt idx="25">
                  <c:v>42</c:v>
                </c:pt>
                <c:pt idx="26">
                  <c:v>44.857142857142854</c:v>
                </c:pt>
                <c:pt idx="27">
                  <c:v>44.571428571428569</c:v>
                </c:pt>
                <c:pt idx="28">
                  <c:v>47.428571428571431</c:v>
                </c:pt>
                <c:pt idx="29">
                  <c:v>51.571428571428569</c:v>
                </c:pt>
                <c:pt idx="30">
                  <c:v>66.142857142857139</c:v>
                </c:pt>
                <c:pt idx="31">
                  <c:v>70</c:v>
                </c:pt>
                <c:pt idx="32">
                  <c:v>55.285714285714285</c:v>
                </c:pt>
                <c:pt idx="33">
                  <c:v>72.285714285714292</c:v>
                </c:pt>
                <c:pt idx="34">
                  <c:v>82.571428571428569</c:v>
                </c:pt>
                <c:pt idx="35">
                  <c:v>100.42857142857143</c:v>
                </c:pt>
                <c:pt idx="36">
                  <c:v>100.28571428571429</c:v>
                </c:pt>
                <c:pt idx="37">
                  <c:v>95.714285714285708</c:v>
                </c:pt>
                <c:pt idx="38">
                  <c:v>99</c:v>
                </c:pt>
                <c:pt idx="39">
                  <c:v>117.28571428571429</c:v>
                </c:pt>
                <c:pt idx="40">
                  <c:v>99.571428571428569</c:v>
                </c:pt>
                <c:pt idx="41">
                  <c:v>89</c:v>
                </c:pt>
                <c:pt idx="42">
                  <c:v>66.857142857142861</c:v>
                </c:pt>
                <c:pt idx="43">
                  <c:v>68.285714285714292</c:v>
                </c:pt>
                <c:pt idx="44">
                  <c:v>60.285714285714285</c:v>
                </c:pt>
                <c:pt idx="45">
                  <c:v>54.571428571428569</c:v>
                </c:pt>
                <c:pt idx="46">
                  <c:v>43.857142857142854</c:v>
                </c:pt>
                <c:pt idx="47">
                  <c:v>46.857142857142854</c:v>
                </c:pt>
                <c:pt idx="48">
                  <c:v>48.857142857142854</c:v>
                </c:pt>
                <c:pt idx="49">
                  <c:v>49.142857142857146</c:v>
                </c:pt>
                <c:pt idx="50">
                  <c:v>43.714285714285715</c:v>
                </c:pt>
                <c:pt idx="51">
                  <c:v>45.714285714285715</c:v>
                </c:pt>
                <c:pt idx="52">
                  <c:v>46.142857142857146</c:v>
                </c:pt>
                <c:pt idx="53">
                  <c:v>52.285714285714285</c:v>
                </c:pt>
                <c:pt idx="54">
                  <c:v>50.857142857142854</c:v>
                </c:pt>
                <c:pt idx="55">
                  <c:v>49.428571428571431</c:v>
                </c:pt>
                <c:pt idx="56">
                  <c:v>47.428571428571431</c:v>
                </c:pt>
                <c:pt idx="57">
                  <c:v>47</c:v>
                </c:pt>
                <c:pt idx="58">
                  <c:v>40.857142857142854</c:v>
                </c:pt>
                <c:pt idx="59">
                  <c:v>35.142857142857146</c:v>
                </c:pt>
                <c:pt idx="60">
                  <c:v>25</c:v>
                </c:pt>
                <c:pt idx="61">
                  <c:v>22.857142857142858</c:v>
                </c:pt>
                <c:pt idx="62">
                  <c:v>25.285714285714285</c:v>
                </c:pt>
                <c:pt idx="63">
                  <c:v>34.285714285714285</c:v>
                </c:pt>
                <c:pt idx="64">
                  <c:v>35.142857142857146</c:v>
                </c:pt>
                <c:pt idx="65">
                  <c:v>36.714285714285715</c:v>
                </c:pt>
                <c:pt idx="66">
                  <c:v>39.857142857142854</c:v>
                </c:pt>
                <c:pt idx="67">
                  <c:v>41.142857142857146</c:v>
                </c:pt>
                <c:pt idx="68">
                  <c:v>40.428571428571431</c:v>
                </c:pt>
                <c:pt idx="69">
                  <c:v>36.428571428571431</c:v>
                </c:pt>
                <c:pt idx="70">
                  <c:v>28.285714285714285</c:v>
                </c:pt>
                <c:pt idx="71">
                  <c:v>29.571428571428573</c:v>
                </c:pt>
                <c:pt idx="72">
                  <c:v>27.571428571428573</c:v>
                </c:pt>
                <c:pt idx="73">
                  <c:v>28.428571428571427</c:v>
                </c:pt>
                <c:pt idx="74">
                  <c:v>26.285714285714285</c:v>
                </c:pt>
                <c:pt idx="75">
                  <c:v>25.571428571428573</c:v>
                </c:pt>
                <c:pt idx="76">
                  <c:v>27.857142857142858</c:v>
                </c:pt>
                <c:pt idx="77">
                  <c:v>30.142857142857142</c:v>
                </c:pt>
                <c:pt idx="78">
                  <c:v>28.857142857142858</c:v>
                </c:pt>
                <c:pt idx="79">
                  <c:v>32.285714285714285</c:v>
                </c:pt>
                <c:pt idx="80">
                  <c:v>32.428571428571431</c:v>
                </c:pt>
                <c:pt idx="81">
                  <c:v>35.428571428571431</c:v>
                </c:pt>
                <c:pt idx="82">
                  <c:v>35.285714285714285</c:v>
                </c:pt>
                <c:pt idx="83">
                  <c:v>40</c:v>
                </c:pt>
                <c:pt idx="84">
                  <c:v>45.571428571428569</c:v>
                </c:pt>
                <c:pt idx="85">
                  <c:v>44.857142857142854</c:v>
                </c:pt>
                <c:pt idx="86">
                  <c:v>47.571428571428569</c:v>
                </c:pt>
                <c:pt idx="87">
                  <c:v>48.142857142857146</c:v>
                </c:pt>
                <c:pt idx="88">
                  <c:v>49.857142857142854</c:v>
                </c:pt>
                <c:pt idx="89">
                  <c:v>52</c:v>
                </c:pt>
                <c:pt idx="90">
                  <c:v>49.285714285714285</c:v>
                </c:pt>
                <c:pt idx="91">
                  <c:v>43</c:v>
                </c:pt>
                <c:pt idx="92">
                  <c:v>41.714285714285715</c:v>
                </c:pt>
                <c:pt idx="93">
                  <c:v>39.571428571428569</c:v>
                </c:pt>
                <c:pt idx="94">
                  <c:v>43.142857142857146</c:v>
                </c:pt>
                <c:pt idx="95">
                  <c:v>42.428571428571431</c:v>
                </c:pt>
                <c:pt idx="96">
                  <c:v>42.571428571428569</c:v>
                </c:pt>
                <c:pt idx="97">
                  <c:v>46.428571428571431</c:v>
                </c:pt>
                <c:pt idx="98">
                  <c:v>53.285714285714285</c:v>
                </c:pt>
                <c:pt idx="99">
                  <c:v>61.428571428571431</c:v>
                </c:pt>
                <c:pt idx="100">
                  <c:v>62</c:v>
                </c:pt>
                <c:pt idx="101">
                  <c:v>63.428571428571431</c:v>
                </c:pt>
                <c:pt idx="102">
                  <c:v>66.142857142857139</c:v>
                </c:pt>
                <c:pt idx="103">
                  <c:v>68.428571428571431</c:v>
                </c:pt>
                <c:pt idx="104">
                  <c:v>65.857142857142861</c:v>
                </c:pt>
                <c:pt idx="105">
                  <c:v>59.571428571428569</c:v>
                </c:pt>
                <c:pt idx="106">
                  <c:v>55.571428571428569</c:v>
                </c:pt>
                <c:pt idx="107">
                  <c:v>54.142857142857146</c:v>
                </c:pt>
                <c:pt idx="108">
                  <c:v>56.428571428571431</c:v>
                </c:pt>
                <c:pt idx="109">
                  <c:v>54.428571428571431</c:v>
                </c:pt>
                <c:pt idx="110">
                  <c:v>52.571428571428569</c:v>
                </c:pt>
                <c:pt idx="111">
                  <c:v>49.285714285714285</c:v>
                </c:pt>
                <c:pt idx="112">
                  <c:v>49.857142857142854</c:v>
                </c:pt>
                <c:pt idx="113">
                  <c:v>46.428571428571431</c:v>
                </c:pt>
                <c:pt idx="114">
                  <c:v>43.714285714285715</c:v>
                </c:pt>
                <c:pt idx="115">
                  <c:v>38.142857142857146</c:v>
                </c:pt>
                <c:pt idx="116">
                  <c:v>36.571428571428569</c:v>
                </c:pt>
                <c:pt idx="117">
                  <c:v>35.571428571428569</c:v>
                </c:pt>
                <c:pt idx="118">
                  <c:v>34.714285714285715</c:v>
                </c:pt>
                <c:pt idx="119">
                  <c:v>32</c:v>
                </c:pt>
                <c:pt idx="120">
                  <c:v>30.142857142857142</c:v>
                </c:pt>
                <c:pt idx="121">
                  <c:v>33</c:v>
                </c:pt>
                <c:pt idx="122">
                  <c:v>31.714285714285715</c:v>
                </c:pt>
                <c:pt idx="123">
                  <c:v>29.857142857142858</c:v>
                </c:pt>
                <c:pt idx="124">
                  <c:v>27.714285714285715</c:v>
                </c:pt>
                <c:pt idx="125">
                  <c:v>29.428571428571427</c:v>
                </c:pt>
                <c:pt idx="126">
                  <c:v>27.285714285714285</c:v>
                </c:pt>
                <c:pt idx="127">
                  <c:v>29.714285714285715</c:v>
                </c:pt>
                <c:pt idx="128">
                  <c:v>30.428571428571427</c:v>
                </c:pt>
                <c:pt idx="129">
                  <c:v>28.571428571428573</c:v>
                </c:pt>
                <c:pt idx="130">
                  <c:v>31</c:v>
                </c:pt>
                <c:pt idx="131">
                  <c:v>29.714285714285715</c:v>
                </c:pt>
                <c:pt idx="132">
                  <c:v>34.428571428571431</c:v>
                </c:pt>
                <c:pt idx="133">
                  <c:v>37.571428571428569</c:v>
                </c:pt>
                <c:pt idx="134">
                  <c:v>35.428571428571431</c:v>
                </c:pt>
                <c:pt idx="135">
                  <c:v>33.571428571428569</c:v>
                </c:pt>
                <c:pt idx="136">
                  <c:v>35.428571428571431</c:v>
                </c:pt>
                <c:pt idx="137">
                  <c:v>33.428571428571431</c:v>
                </c:pt>
                <c:pt idx="138">
                  <c:v>39</c:v>
                </c:pt>
                <c:pt idx="139">
                  <c:v>36.428571428571431</c:v>
                </c:pt>
                <c:pt idx="140">
                  <c:v>40.857142857142854</c:v>
                </c:pt>
                <c:pt idx="141">
                  <c:v>44.285714285714285</c:v>
                </c:pt>
                <c:pt idx="142">
                  <c:v>53.857142857142854</c:v>
                </c:pt>
                <c:pt idx="143">
                  <c:v>53.285714285714285</c:v>
                </c:pt>
                <c:pt idx="144">
                  <c:v>57.714285714285715</c:v>
                </c:pt>
                <c:pt idx="145">
                  <c:v>58.714285714285715</c:v>
                </c:pt>
                <c:pt idx="146">
                  <c:v>59.285714285714285</c:v>
                </c:pt>
                <c:pt idx="147">
                  <c:v>59.714285714285715</c:v>
                </c:pt>
                <c:pt idx="148">
                  <c:v>59.285714285714285</c:v>
                </c:pt>
                <c:pt idx="149">
                  <c:v>58</c:v>
                </c:pt>
                <c:pt idx="150">
                  <c:v>68.285714285714292</c:v>
                </c:pt>
                <c:pt idx="151">
                  <c:v>68</c:v>
                </c:pt>
                <c:pt idx="152">
                  <c:v>70.428571428571431</c:v>
                </c:pt>
                <c:pt idx="153">
                  <c:v>73.857142857142861</c:v>
                </c:pt>
                <c:pt idx="154">
                  <c:v>72</c:v>
                </c:pt>
                <c:pt idx="155">
                  <c:v>78.142857142857139</c:v>
                </c:pt>
                <c:pt idx="156">
                  <c:v>79.857142857142861</c:v>
                </c:pt>
                <c:pt idx="157">
                  <c:v>79.857142857142861</c:v>
                </c:pt>
                <c:pt idx="158">
                  <c:v>90</c:v>
                </c:pt>
                <c:pt idx="159">
                  <c:v>91.428571428571431</c:v>
                </c:pt>
                <c:pt idx="160">
                  <c:v>87.285714285714292</c:v>
                </c:pt>
                <c:pt idx="161">
                  <c:v>87.428571428571431</c:v>
                </c:pt>
                <c:pt idx="162">
                  <c:v>86</c:v>
                </c:pt>
                <c:pt idx="163">
                  <c:v>91.857142857142861</c:v>
                </c:pt>
                <c:pt idx="164">
                  <c:v>97.428571428571431</c:v>
                </c:pt>
                <c:pt idx="165">
                  <c:v>92.428571428571431</c:v>
                </c:pt>
                <c:pt idx="166">
                  <c:v>91.285714285714292</c:v>
                </c:pt>
                <c:pt idx="167">
                  <c:v>105.14285714285714</c:v>
                </c:pt>
                <c:pt idx="168">
                  <c:v>106.85714285714286</c:v>
                </c:pt>
                <c:pt idx="169">
                  <c:v>114</c:v>
                </c:pt>
                <c:pt idx="170">
                  <c:v>106.57142857142857</c:v>
                </c:pt>
                <c:pt idx="171">
                  <c:v>107</c:v>
                </c:pt>
                <c:pt idx="172">
                  <c:v>114.71428571428571</c:v>
                </c:pt>
                <c:pt idx="173">
                  <c:v>111.28571428571429</c:v>
                </c:pt>
                <c:pt idx="174">
                  <c:v>97.571428571428569</c:v>
                </c:pt>
                <c:pt idx="175">
                  <c:v>102.85714285714286</c:v>
                </c:pt>
                <c:pt idx="176">
                  <c:v>100</c:v>
                </c:pt>
                <c:pt idx="177">
                  <c:v>101.57142857142857</c:v>
                </c:pt>
                <c:pt idx="178">
                  <c:v>99.285714285714292</c:v>
                </c:pt>
                <c:pt idx="179">
                  <c:v>97.857142857142861</c:v>
                </c:pt>
                <c:pt idx="180">
                  <c:v>97.571428571428569</c:v>
                </c:pt>
                <c:pt idx="181">
                  <c:v>100.57142857142857</c:v>
                </c:pt>
                <c:pt idx="182">
                  <c:v>99.142857142857139</c:v>
                </c:pt>
                <c:pt idx="183">
                  <c:v>103</c:v>
                </c:pt>
                <c:pt idx="184">
                  <c:v>101</c:v>
                </c:pt>
                <c:pt idx="185">
                  <c:v>99.714285714285708</c:v>
                </c:pt>
                <c:pt idx="186">
                  <c:v>89.428571428571431</c:v>
                </c:pt>
                <c:pt idx="187">
                  <c:v>91.142857142857139</c:v>
                </c:pt>
                <c:pt idx="188">
                  <c:v>84</c:v>
                </c:pt>
                <c:pt idx="189">
                  <c:v>78.714285714285708</c:v>
                </c:pt>
                <c:pt idx="190">
                  <c:v>68.428571428571431</c:v>
                </c:pt>
                <c:pt idx="191">
                  <c:v>64.857142857142861</c:v>
                </c:pt>
                <c:pt idx="192">
                  <c:v>58.714285714285715</c:v>
                </c:pt>
                <c:pt idx="193">
                  <c:v>58.142857142857146</c:v>
                </c:pt>
                <c:pt idx="194">
                  <c:v>61.857142857142854</c:v>
                </c:pt>
                <c:pt idx="195">
                  <c:v>67</c:v>
                </c:pt>
                <c:pt idx="196">
                  <c:v>73.571428571428569</c:v>
                </c:pt>
                <c:pt idx="197">
                  <c:v>74.857142857142861</c:v>
                </c:pt>
                <c:pt idx="198">
                  <c:v>89.142857142857139</c:v>
                </c:pt>
                <c:pt idx="199">
                  <c:v>90.571428571428569</c:v>
                </c:pt>
                <c:pt idx="200">
                  <c:v>94</c:v>
                </c:pt>
                <c:pt idx="201">
                  <c:v>105.28571428571429</c:v>
                </c:pt>
                <c:pt idx="202">
                  <c:v>113.71428571428571</c:v>
                </c:pt>
                <c:pt idx="203">
                  <c:v>115.14285714285714</c:v>
                </c:pt>
                <c:pt idx="204">
                  <c:v>128.57142857142858</c:v>
                </c:pt>
                <c:pt idx="205">
                  <c:v>125.85714285714286</c:v>
                </c:pt>
                <c:pt idx="206">
                  <c:v>155.42857142857142</c:v>
                </c:pt>
                <c:pt idx="207">
                  <c:v>163.71428571428572</c:v>
                </c:pt>
                <c:pt idx="208">
                  <c:v>167.85714285714286</c:v>
                </c:pt>
                <c:pt idx="209">
                  <c:v>172.42857142857142</c:v>
                </c:pt>
                <c:pt idx="210">
                  <c:v>178.57142857142858</c:v>
                </c:pt>
                <c:pt idx="211">
                  <c:v>177.85714285714286</c:v>
                </c:pt>
                <c:pt idx="212">
                  <c:v>194.85714285714286</c:v>
                </c:pt>
                <c:pt idx="213">
                  <c:v>187.85714285714286</c:v>
                </c:pt>
                <c:pt idx="214">
                  <c:v>206.57142857142858</c:v>
                </c:pt>
                <c:pt idx="215">
                  <c:v>202.42857142857142</c:v>
                </c:pt>
                <c:pt idx="216">
                  <c:v>228.71428571428572</c:v>
                </c:pt>
                <c:pt idx="217">
                  <c:v>252.57142857142858</c:v>
                </c:pt>
                <c:pt idx="218">
                  <c:v>305.14285714285717</c:v>
                </c:pt>
                <c:pt idx="219">
                  <c:v>352.28571428571428</c:v>
                </c:pt>
                <c:pt idx="220">
                  <c:v>391.57142857142856</c:v>
                </c:pt>
                <c:pt idx="221">
                  <c:v>468.57142857142856</c:v>
                </c:pt>
                <c:pt idx="222">
                  <c:v>507</c:v>
                </c:pt>
                <c:pt idx="223">
                  <c:v>522</c:v>
                </c:pt>
                <c:pt idx="224">
                  <c:v>555.42857142857144</c:v>
                </c:pt>
                <c:pt idx="225">
                  <c:v>649.85714285714289</c:v>
                </c:pt>
                <c:pt idx="226">
                  <c:v>751</c:v>
                </c:pt>
                <c:pt idx="227">
                  <c:v>806.71428571428567</c:v>
                </c:pt>
                <c:pt idx="228">
                  <c:v>902.28571428571433</c:v>
                </c:pt>
                <c:pt idx="229">
                  <c:v>1032.1428571428571</c:v>
                </c:pt>
                <c:pt idx="230">
                  <c:v>1090.4285714285713</c:v>
                </c:pt>
                <c:pt idx="231">
                  <c:v>1194.7142857142858</c:v>
                </c:pt>
                <c:pt idx="232">
                  <c:v>1191</c:v>
                </c:pt>
                <c:pt idx="233">
                  <c:v>1230</c:v>
                </c:pt>
                <c:pt idx="234">
                  <c:v>1396.2857142857142</c:v>
                </c:pt>
                <c:pt idx="235">
                  <c:v>1473.5714285714287</c:v>
                </c:pt>
                <c:pt idx="236">
                  <c:v>1546.1428571428571</c:v>
                </c:pt>
                <c:pt idx="237">
                  <c:v>1661.1428571428571</c:v>
                </c:pt>
                <c:pt idx="238">
                  <c:v>1982.1428571428571</c:v>
                </c:pt>
                <c:pt idx="239">
                  <c:v>2193.8571428571427</c:v>
                </c:pt>
                <c:pt idx="240">
                  <c:v>2290.4285714285716</c:v>
                </c:pt>
                <c:pt idx="241">
                  <c:v>2482</c:v>
                </c:pt>
                <c:pt idx="242">
                  <c:v>2640.8571428571427</c:v>
                </c:pt>
                <c:pt idx="243">
                  <c:v>2716.5714285714284</c:v>
                </c:pt>
                <c:pt idx="244">
                  <c:v>2797.1428571428573</c:v>
                </c:pt>
                <c:pt idx="245">
                  <c:v>2715.7142857142858</c:v>
                </c:pt>
                <c:pt idx="246">
                  <c:v>2737.5714285714284</c:v>
                </c:pt>
                <c:pt idx="247">
                  <c:v>2834.2857142857142</c:v>
                </c:pt>
                <c:pt idx="248">
                  <c:v>2767.8571428571427</c:v>
                </c:pt>
                <c:pt idx="249">
                  <c:v>2747.8571428571427</c:v>
                </c:pt>
                <c:pt idx="250">
                  <c:v>2707.7142857142858</c:v>
                </c:pt>
                <c:pt idx="251">
                  <c:v>2623.7142857142858</c:v>
                </c:pt>
                <c:pt idx="252">
                  <c:v>2484.1428571428573</c:v>
                </c:pt>
                <c:pt idx="253">
                  <c:v>2366.8571428571427</c:v>
                </c:pt>
                <c:pt idx="254">
                  <c:v>2197.4285714285716</c:v>
                </c:pt>
                <c:pt idx="255">
                  <c:v>1977.2857142857142</c:v>
                </c:pt>
                <c:pt idx="256">
                  <c:v>1894.5714285714287</c:v>
                </c:pt>
                <c:pt idx="257">
                  <c:v>1829.2857142857142</c:v>
                </c:pt>
                <c:pt idx="258">
                  <c:v>1944.4285714285713</c:v>
                </c:pt>
                <c:pt idx="259">
                  <c:v>1985.8571428571429</c:v>
                </c:pt>
                <c:pt idx="260">
                  <c:v>2180.7142857142858</c:v>
                </c:pt>
                <c:pt idx="261">
                  <c:v>2365.7142857142858</c:v>
                </c:pt>
                <c:pt idx="262">
                  <c:v>2547</c:v>
                </c:pt>
                <c:pt idx="263">
                  <c:v>2642.2857142857142</c:v>
                </c:pt>
                <c:pt idx="264">
                  <c:v>2780.1428571428573</c:v>
                </c:pt>
                <c:pt idx="265">
                  <c:v>2760</c:v>
                </c:pt>
                <c:pt idx="266">
                  <c:v>2602</c:v>
                </c:pt>
                <c:pt idx="267">
                  <c:v>2350.1428571428573</c:v>
                </c:pt>
                <c:pt idx="268">
                  <c:v>2170.7142857142858</c:v>
                </c:pt>
                <c:pt idx="269">
                  <c:v>2081.8571428571427</c:v>
                </c:pt>
                <c:pt idx="270">
                  <c:v>1924.7142857142858</c:v>
                </c:pt>
                <c:pt idx="271">
                  <c:v>1754.1428571428571</c:v>
                </c:pt>
                <c:pt idx="272">
                  <c:v>1520.4285714285713</c:v>
                </c:pt>
                <c:pt idx="273">
                  <c:v>1463.1428571428571</c:v>
                </c:pt>
                <c:pt idx="274">
                  <c:v>1470.1428571428571</c:v>
                </c:pt>
                <c:pt idx="275">
                  <c:v>1469.4285714285713</c:v>
                </c:pt>
                <c:pt idx="276">
                  <c:v>1410.2857142857142</c:v>
                </c:pt>
                <c:pt idx="277">
                  <c:v>1351.4285714285713</c:v>
                </c:pt>
                <c:pt idx="278">
                  <c:v>1316.7142857142858</c:v>
                </c:pt>
                <c:pt idx="279">
                  <c:v>1309.5714285714287</c:v>
                </c:pt>
                <c:pt idx="280">
                  <c:v>1337.4285714285713</c:v>
                </c:pt>
                <c:pt idx="281">
                  <c:v>1318.8571428571429</c:v>
                </c:pt>
                <c:pt idx="282">
                  <c:v>1307.5714285714287</c:v>
                </c:pt>
                <c:pt idx="283">
                  <c:v>1318.8571428571429</c:v>
                </c:pt>
                <c:pt idx="284">
                  <c:v>1311.4285714285713</c:v>
                </c:pt>
                <c:pt idx="285">
                  <c:v>1327.1428571428571</c:v>
                </c:pt>
                <c:pt idx="286">
                  <c:v>1342.2857142857142</c:v>
                </c:pt>
                <c:pt idx="287">
                  <c:v>1314.8571428571429</c:v>
                </c:pt>
                <c:pt idx="288">
                  <c:v>1309.8571428571429</c:v>
                </c:pt>
                <c:pt idx="289">
                  <c:v>1255.1428571428571</c:v>
                </c:pt>
                <c:pt idx="290">
                  <c:v>1212.2857142857142</c:v>
                </c:pt>
                <c:pt idx="291">
                  <c:v>1192.4285714285713</c:v>
                </c:pt>
                <c:pt idx="292">
                  <c:v>1167.4285714285713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3D6-4C31-9F93-4B7A3B8D9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223790"/>
        <c:axId val="1875228902"/>
      </c:lineChart>
      <c:catAx>
        <c:axId val="7905627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312023080"/>
        <c:crosses val="autoZero"/>
        <c:auto val="1"/>
        <c:lblAlgn val="ctr"/>
        <c:lblOffset val="100"/>
        <c:noMultiLvlLbl val="1"/>
      </c:catAx>
      <c:valAx>
        <c:axId val="312023080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790562793"/>
        <c:crosses val="autoZero"/>
        <c:crossBetween val="between"/>
      </c:valAx>
      <c:catAx>
        <c:axId val="40122379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75228902"/>
        <c:crosses val="autoZero"/>
        <c:auto val="1"/>
        <c:lblAlgn val="ctr"/>
        <c:lblOffset val="100"/>
        <c:noMultiLvlLbl val="1"/>
      </c:catAx>
      <c:valAx>
        <c:axId val="187522890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40122379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Opolskiego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Województwa'!$BG$2</c:f>
              <c:strCache>
                <c:ptCount val="1"/>
                <c:pt idx="0">
                  <c:v>Opolskie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Województwa'!$BG$3:$BG$1000</c:f>
              <c:numCache>
                <c:formatCode>General</c:formatCode>
                <c:ptCount val="998"/>
                <c:pt idx="36" formatCode="0.0000">
                  <c:v>0.77719033232628398</c:v>
                </c:pt>
                <c:pt idx="37" formatCode="0.0000">
                  <c:v>0.78996594516681973</c:v>
                </c:pt>
                <c:pt idx="38" formatCode="0.0000">
                  <c:v>0.67961036671812025</c:v>
                </c:pt>
                <c:pt idx="39" formatCode="0.0000">
                  <c:v>0.83298134486137099</c:v>
                </c:pt>
                <c:pt idx="40" formatCode="0.0000">
                  <c:v>0.8191392311682939</c:v>
                </c:pt>
                <c:pt idx="41" formatCode="0.0000">
                  <c:v>1.0119685185598635</c:v>
                </c:pt>
                <c:pt idx="42" formatCode="0.0000">
                  <c:v>1.3009712125796613</c:v>
                </c:pt>
                <c:pt idx="43" formatCode="0.0000">
                  <c:v>1.3147124340481253</c:v>
                </c:pt>
                <c:pt idx="44" formatCode="0.0000">
                  <c:v>1.3075532068279998</c:v>
                </c:pt>
                <c:pt idx="45" formatCode="0.0000">
                  <c:v>1.4851748996908865</c:v>
                </c:pt>
                <c:pt idx="46" formatCode="0.0000">
                  <c:v>1.4569937392269598</c:v>
                </c:pt>
                <c:pt idx="47" formatCode="0.0000">
                  <c:v>1.3933049511463274</c:v>
                </c:pt>
                <c:pt idx="48" formatCode="0.0000">
                  <c:v>1.2720420363307585</c:v>
                </c:pt>
                <c:pt idx="49" formatCode="0.0000">
                  <c:v>0.89778371639219579</c:v>
                </c:pt>
                <c:pt idx="50" formatCode="0.0000">
                  <c:v>1.0534610342844393</c:v>
                </c:pt>
                <c:pt idx="51" formatCode="0.0000">
                  <c:v>1.0028336262235154</c:v>
                </c:pt>
                <c:pt idx="52" formatCode="0.0000">
                  <c:v>0.91525840346427911</c:v>
                </c:pt>
                <c:pt idx="53" formatCode="0.0000">
                  <c:v>0.83041284938249915</c:v>
                </c:pt>
                <c:pt idx="54" formatCode="0.0000">
                  <c:v>0.90629615338699165</c:v>
                </c:pt>
                <c:pt idx="55" formatCode="0.0000">
                  <c:v>0.85796296374999148</c:v>
                </c:pt>
                <c:pt idx="56" formatCode="0.0000">
                  <c:v>0.85675660309547363</c:v>
                </c:pt>
                <c:pt idx="57" formatCode="0.0000">
                  <c:v>0.72867602181998292</c:v>
                </c:pt>
                <c:pt idx="58" formatCode="0.0000">
                  <c:v>0.72209532638743379</c:v>
                </c:pt>
                <c:pt idx="59" formatCode="0.0000">
                  <c:v>0.6219327590204754</c:v>
                </c:pt>
                <c:pt idx="60" formatCode="0.0000">
                  <c:v>0.68692283748706251</c:v>
                </c:pt>
                <c:pt idx="61" formatCode="0.0000">
                  <c:v>0.79485019088910025</c:v>
                </c:pt>
                <c:pt idx="62" formatCode="0.0000">
                  <c:v>0.86501632171648957</c:v>
                </c:pt>
                <c:pt idx="63" formatCode="0.0000">
                  <c:v>0.874540638093524</c:v>
                </c:pt>
                <c:pt idx="64" formatCode="0.0000">
                  <c:v>0.86843695171153301</c:v>
                </c:pt>
                <c:pt idx="65" formatCode="0.0000">
                  <c:v>0.94931562459423702</c:v>
                </c:pt>
                <c:pt idx="66" formatCode="0.0000">
                  <c:v>1.1298525533464649</c:v>
                </c:pt>
                <c:pt idx="67" formatCode="0.0000">
                  <c:v>1.0336380708690751</c:v>
                </c:pt>
                <c:pt idx="68" formatCode="0.0000">
                  <c:v>0.98477933766309467</c:v>
                </c:pt>
                <c:pt idx="69" formatCode="0.0000">
                  <c:v>0.87434510543068511</c:v>
                </c:pt>
                <c:pt idx="70" formatCode="0.0000">
                  <c:v>0.85347106886435709</c:v>
                </c:pt>
                <c:pt idx="71" formatCode="0.0000">
                  <c:v>0.77617789047620878</c:v>
                </c:pt>
                <c:pt idx="72" formatCode="0.0000">
                  <c:v>0.79393088244185983</c:v>
                </c:pt>
                <c:pt idx="73" formatCode="0.0000">
                  <c:v>0.87254001017771521</c:v>
                </c:pt>
                <c:pt idx="74" formatCode="0.0000">
                  <c:v>0.95840728953657106</c:v>
                </c:pt>
                <c:pt idx="75" formatCode="0.0000">
                  <c:v>0.92255749557629374</c:v>
                </c:pt>
                <c:pt idx="76" formatCode="0.0000">
                  <c:v>0.96233970153942094</c:v>
                </c:pt>
                <c:pt idx="77" formatCode="0.0000">
                  <c:v>0.98173698420070232</c:v>
                </c:pt>
                <c:pt idx="78" formatCode="0.0000">
                  <c:v>1.1456255483901789</c:v>
                </c:pt>
                <c:pt idx="79" formatCode="0.0000">
                  <c:v>1.128148583257482</c:v>
                </c:pt>
                <c:pt idx="80" formatCode="0.0000">
                  <c:v>0.97978621082246276</c:v>
                </c:pt>
                <c:pt idx="81" formatCode="0.0000">
                  <c:v>0.91841391981333431</c:v>
                </c:pt>
                <c:pt idx="82" formatCode="0.0000">
                  <c:v>0.82673500934388411</c:v>
                </c:pt>
                <c:pt idx="83" formatCode="0.0000">
                  <c:v>0.81130108944351964</c:v>
                </c:pt>
                <c:pt idx="84" formatCode="0.0000">
                  <c:v>0.80602494264739877</c:v>
                </c:pt>
                <c:pt idx="85" formatCode="0.0000">
                  <c:v>0.77210628423091043</c:v>
                </c:pt>
                <c:pt idx="86" formatCode="0.0000">
                  <c:v>0.89180685580522312</c:v>
                </c:pt>
                <c:pt idx="87" formatCode="0.0000">
                  <c:v>0.89554758421123382</c:v>
                </c:pt>
                <c:pt idx="88" formatCode="0.0000">
                  <c:v>1.0328286746085706</c:v>
                </c:pt>
                <c:pt idx="89" formatCode="0.0000">
                  <c:v>0.99733988739203916</c:v>
                </c:pt>
                <c:pt idx="90" formatCode="0.0000">
                  <c:v>1.0791723628677194</c:v>
                </c:pt>
                <c:pt idx="91" formatCode="0.0000">
                  <c:v>1.2865539805804593</c:v>
                </c:pt>
                <c:pt idx="92" formatCode="0.0000">
                  <c:v>1.4111133285575028</c:v>
                </c:pt>
                <c:pt idx="93" formatCode="0.0000">
                  <c:v>1.2753171815777289</c:v>
                </c:pt>
                <c:pt idx="94" formatCode="0.0000">
                  <c:v>1.2239818966105138</c:v>
                </c:pt>
                <c:pt idx="95" formatCode="0.0000">
                  <c:v>1.3104709457888224</c:v>
                </c:pt>
                <c:pt idx="96" formatCode="0.0000">
                  <c:v>1.3992126780499081</c:v>
                </c:pt>
                <c:pt idx="97" formatCode="0.0000">
                  <c:v>1.3445087224636214</c:v>
                </c:pt>
                <c:pt idx="98" formatCode="0.0000">
                  <c:v>1.2165921897615808</c:v>
                </c:pt>
                <c:pt idx="99" formatCode="0.0000">
                  <c:v>1.0759986624659006</c:v>
                </c:pt>
                <c:pt idx="100" formatCode="0.0000">
                  <c:v>1.0012128839056127</c:v>
                </c:pt>
                <c:pt idx="101" formatCode="0.0000">
                  <c:v>1.0182033907500332</c:v>
                </c:pt>
                <c:pt idx="102" formatCode="0.0000">
                  <c:v>1.0026799262249835</c:v>
                </c:pt>
                <c:pt idx="103" formatCode="0.0000">
                  <c:v>0.96372378675357451</c:v>
                </c:pt>
                <c:pt idx="104" formatCode="0.0000">
                  <c:v>0.95603537585258036</c:v>
                </c:pt>
                <c:pt idx="105" formatCode="0.0000">
                  <c:v>0.9351001411765445</c:v>
                </c:pt>
                <c:pt idx="106" formatCode="0.0000">
                  <c:v>0.85918556741989438</c:v>
                </c:pt>
                <c:pt idx="107" formatCode="0.0000">
                  <c:v>0.91371904153123418</c:v>
                </c:pt>
                <c:pt idx="108" formatCode="0.0000">
                  <c:v>0.94457416279768514</c:v>
                </c:pt>
                <c:pt idx="109" formatCode="0.0000">
                  <c:v>0.73640966298113919</c:v>
                </c:pt>
                <c:pt idx="110" formatCode="0.0000">
                  <c:v>0.91616608402941879</c:v>
                </c:pt>
                <c:pt idx="111" formatCode="0.0000">
                  <c:v>0.79993975833331532</c:v>
                </c:pt>
                <c:pt idx="112" formatCode="0.0000">
                  <c:v>0.7737131536166858</c:v>
                </c:pt>
                <c:pt idx="113" formatCode="0.0000">
                  <c:v>0.84321464241872879</c:v>
                </c:pt>
                <c:pt idx="114" formatCode="0.0000">
                  <c:v>1.184453847398329</c:v>
                </c:pt>
                <c:pt idx="115" formatCode="0.0000">
                  <c:v>1.0619797481337792</c:v>
                </c:pt>
                <c:pt idx="116" formatCode="0.0000">
                  <c:v>1.3387258952529457</c:v>
                </c:pt>
                <c:pt idx="117" formatCode="0.0000">
                  <c:v>1.3497616734777982</c:v>
                </c:pt>
                <c:pt idx="118" formatCode="0.0000">
                  <c:v>1.4471573303844008</c:v>
                </c:pt>
                <c:pt idx="119" formatCode="0.0000">
                  <c:v>1.3667320103436453</c:v>
                </c:pt>
                <c:pt idx="120" formatCode="0.0000">
                  <c:v>1.2928739102754796</c:v>
                </c:pt>
                <c:pt idx="121" formatCode="0.0000">
                  <c:v>0.96345203021499837</c:v>
                </c:pt>
                <c:pt idx="122" formatCode="0.0000">
                  <c:v>1.0620602088342221</c:v>
                </c:pt>
                <c:pt idx="123" formatCode="0.0000">
                  <c:v>0.76780861400859446</c:v>
                </c:pt>
                <c:pt idx="124" formatCode="0.0000">
                  <c:v>0.59747097967353746</c:v>
                </c:pt>
                <c:pt idx="125" formatCode="0.0000">
                  <c:v>0.51861926652637269</c:v>
                </c:pt>
                <c:pt idx="126" formatCode="0.0000">
                  <c:v>0.56939435119428217</c:v>
                </c:pt>
                <c:pt idx="127" formatCode="0.0000">
                  <c:v>0.55876585173490811</c:v>
                </c:pt>
                <c:pt idx="128" formatCode="0.0000">
                  <c:v>0.5972321864430129</c:v>
                </c:pt>
                <c:pt idx="129" formatCode="0.0000">
                  <c:v>0.67216988608622097</c:v>
                </c:pt>
                <c:pt idx="130" formatCode="0.0000">
                  <c:v>0.80455757950389029</c:v>
                </c:pt>
                <c:pt idx="131" formatCode="0.0000">
                  <c:v>0.84708873138196961</c:v>
                </c:pt>
                <c:pt idx="132" formatCode="0.0000">
                  <c:v>0.85051227967233489</c:v>
                </c:pt>
                <c:pt idx="133" formatCode="0.0000">
                  <c:v>0.83695955212492978</c:v>
                </c:pt>
                <c:pt idx="134" formatCode="0.0000">
                  <c:v>0.82759589790648069</c:v>
                </c:pt>
                <c:pt idx="135" formatCode="0.0000">
                  <c:v>0.79944319505586314</c:v>
                </c:pt>
                <c:pt idx="136" formatCode="0.0000">
                  <c:v>0.70222509372092368</c:v>
                </c:pt>
                <c:pt idx="137" formatCode="0.0000">
                  <c:v>0.67616729097546546</c:v>
                </c:pt>
                <c:pt idx="138" formatCode="0.0000">
                  <c:v>0.78956154086823283</c:v>
                </c:pt>
                <c:pt idx="139" formatCode="0.0000">
                  <c:v>0.87821876118509667</c:v>
                </c:pt>
                <c:pt idx="140" formatCode="0.0000">
                  <c:v>0.94255129306298235</c:v>
                </c:pt>
                <c:pt idx="141" formatCode="0.0000">
                  <c:v>1.448252460118747</c:v>
                </c:pt>
                <c:pt idx="142" formatCode="0.0000">
                  <c:v>1.7583761264846238</c:v>
                </c:pt>
                <c:pt idx="143" formatCode="0.0000">
                  <c:v>1.764793638740171</c:v>
                </c:pt>
                <c:pt idx="144" formatCode="0.0000">
                  <c:v>1.9329709930264041</c:v>
                </c:pt>
                <c:pt idx="145" formatCode="0.0000">
                  <c:v>1.9079408713598269</c:v>
                </c:pt>
                <c:pt idx="146" formatCode="0.0000">
                  <c:v>1.8100116473626595</c:v>
                </c:pt>
                <c:pt idx="147" formatCode="0.0000">
                  <c:v>1.9292261093073915</c:v>
                </c:pt>
                <c:pt idx="148" formatCode="0.0000">
                  <c:v>1.4077939420620944</c:v>
                </c:pt>
                <c:pt idx="149" formatCode="0.0000">
                  <c:v>1.2266128865736792</c:v>
                </c:pt>
                <c:pt idx="150" formatCode="0.0000">
                  <c:v>1.2704973738396077</c:v>
                </c:pt>
                <c:pt idx="151" formatCode="0.0000">
                  <c:v>1.0378373134303851</c:v>
                </c:pt>
                <c:pt idx="152" formatCode="0.0000">
                  <c:v>1.0352197237619054</c:v>
                </c:pt>
                <c:pt idx="153" formatCode="0.0000">
                  <c:v>1.0602462109151538</c:v>
                </c:pt>
                <c:pt idx="154" formatCode="0.0000">
                  <c:v>0.92508149898565251</c:v>
                </c:pt>
                <c:pt idx="155" formatCode="0.0000">
                  <c:v>1.1669904823170343</c:v>
                </c:pt>
                <c:pt idx="156" formatCode="0.0000">
                  <c:v>1.2361117163656417</c:v>
                </c:pt>
                <c:pt idx="157" formatCode="0.0000">
                  <c:v>1.3451706235192862</c:v>
                </c:pt>
                <c:pt idx="158" formatCode="0.0000">
                  <c:v>1.4166381061865052</c:v>
                </c:pt>
                <c:pt idx="159" formatCode="0.0000">
                  <c:v>1.3216016211493342</c:v>
                </c:pt>
                <c:pt idx="160" formatCode="0.0000">
                  <c:v>1.3504108040937974</c:v>
                </c:pt>
                <c:pt idx="161" formatCode="0.0000">
                  <c:v>1.4578485357679318</c:v>
                </c:pt>
                <c:pt idx="162" formatCode="0.0000">
                  <c:v>1.2264742339586545</c:v>
                </c:pt>
                <c:pt idx="163" formatCode="0.0000">
                  <c:v>1.0665340185043501</c:v>
                </c:pt>
                <c:pt idx="164" formatCode="0.0000">
                  <c:v>1.103976035589602</c:v>
                </c:pt>
                <c:pt idx="165" formatCode="0.0000">
                  <c:v>1.0040957577763605</c:v>
                </c:pt>
                <c:pt idx="166" formatCode="0.0000">
                  <c:v>1.0161004662150215</c:v>
                </c:pt>
                <c:pt idx="167" formatCode="0.0000">
                  <c:v>1.1700173083937948</c:v>
                </c:pt>
                <c:pt idx="168" formatCode="0.0000">
                  <c:v>1.0976390398350568</c:v>
                </c:pt>
                <c:pt idx="169" formatCode="0.0000">
                  <c:v>1.1279464399034098</c:v>
                </c:pt>
                <c:pt idx="170" formatCode="0.0000">
                  <c:v>1.0470230280414206</c:v>
                </c:pt>
                <c:pt idx="171" formatCode="0.0000">
                  <c:v>0.97962492310697857</c:v>
                </c:pt>
                <c:pt idx="172" formatCode="0.0000">
                  <c:v>1.180361996950424</c:v>
                </c:pt>
                <c:pt idx="173" formatCode="0.0000">
                  <c:v>1.0878505046540972</c:v>
                </c:pt>
                <c:pt idx="174" formatCode="0.0000">
                  <c:v>0.95727780061777679</c:v>
                </c:pt>
                <c:pt idx="175" formatCode="0.0000">
                  <c:v>0.9187628695615534</c:v>
                </c:pt>
                <c:pt idx="176" formatCode="0.0000">
                  <c:v>0.98047333142887561</c:v>
                </c:pt>
                <c:pt idx="177" formatCode="0.0000">
                  <c:v>1.0613857750362972</c:v>
                </c:pt>
                <c:pt idx="178" formatCode="0.0000">
                  <c:v>0.9555034065792779</c:v>
                </c:pt>
                <c:pt idx="179" formatCode="0.0000">
                  <c:v>0.770428324061881</c:v>
                </c:pt>
                <c:pt idx="180" formatCode="0.0000">
                  <c:v>0.81217739708523928</c:v>
                </c:pt>
                <c:pt idx="181" formatCode="0.0000">
                  <c:v>0.8424644835304268</c:v>
                </c:pt>
                <c:pt idx="182" formatCode="0.0000">
                  <c:v>0.90404636581175768</c:v>
                </c:pt>
                <c:pt idx="183" formatCode="0.0000">
                  <c:v>0.82280209355817657</c:v>
                </c:pt>
                <c:pt idx="184" formatCode="0.0000">
                  <c:v>0.76075831283322581</c:v>
                </c:pt>
                <c:pt idx="185" formatCode="0.0000">
                  <c:v>0.72735967509843424</c:v>
                </c:pt>
                <c:pt idx="186" formatCode="0.0000">
                  <c:v>0.76486710402366265</c:v>
                </c:pt>
                <c:pt idx="187" formatCode="0.0000">
                  <c:v>1.1528906372991539</c:v>
                </c:pt>
                <c:pt idx="188" formatCode="0.0000">
                  <c:v>1.0819219116860554</c:v>
                </c:pt>
                <c:pt idx="189" formatCode="0.0000">
                  <c:v>1.0014250373207934</c:v>
                </c:pt>
                <c:pt idx="190" formatCode="0.0000">
                  <c:v>1.0528079600116098</c:v>
                </c:pt>
                <c:pt idx="191" formatCode="0.0000">
                  <c:v>1.2396051269045849</c:v>
                </c:pt>
                <c:pt idx="192" formatCode="0.0000">
                  <c:v>1.2933563622003035</c:v>
                </c:pt>
                <c:pt idx="193" formatCode="0.0000">
                  <c:v>1.3198800184054531</c:v>
                </c:pt>
                <c:pt idx="194" formatCode="0.0000">
                  <c:v>0.90012827314185484</c:v>
                </c:pt>
                <c:pt idx="195" formatCode="0.0000">
                  <c:v>1.139450244840803</c:v>
                </c:pt>
                <c:pt idx="196" formatCode="0.0000">
                  <c:v>1.3346675038142295</c:v>
                </c:pt>
                <c:pt idx="197" formatCode="0.0000">
                  <c:v>1.3581655769057797</c:v>
                </c:pt>
                <c:pt idx="198" formatCode="0.0000">
                  <c:v>1.2379147417587184</c:v>
                </c:pt>
                <c:pt idx="199" formatCode="0.0000">
                  <c:v>1.2309001992386317</c:v>
                </c:pt>
                <c:pt idx="200" formatCode="0.0000">
                  <c:v>1.3756931252672724</c:v>
                </c:pt>
                <c:pt idx="201" formatCode="0.0000">
                  <c:v>1.9249551173143045</c:v>
                </c:pt>
                <c:pt idx="202" formatCode="0.0000">
                  <c:v>1.9794465813683846</c:v>
                </c:pt>
                <c:pt idx="203" formatCode="0.0000">
                  <c:v>1.8225622697896786</c:v>
                </c:pt>
                <c:pt idx="204" formatCode="0.0000">
                  <c:v>1.7603314592656578</c:v>
                </c:pt>
                <c:pt idx="205" formatCode="0.0000">
                  <c:v>1.6838223174915488</c:v>
                </c:pt>
                <c:pt idx="206" formatCode="0.0000">
                  <c:v>1.7038874611730004</c:v>
                </c:pt>
                <c:pt idx="207" formatCode="0.0000">
                  <c:v>1.5627223606232465</c:v>
                </c:pt>
                <c:pt idx="208" formatCode="0.0000">
                  <c:v>1.0351567774477342</c:v>
                </c:pt>
                <c:pt idx="209" formatCode="0.0000">
                  <c:v>0.86176414057433415</c:v>
                </c:pt>
                <c:pt idx="210" formatCode="0.0000">
                  <c:v>0.91735686608583766</c:v>
                </c:pt>
                <c:pt idx="211" formatCode="0.0000">
                  <c:v>0.98192662417146259</c:v>
                </c:pt>
                <c:pt idx="212" formatCode="0.0000">
                  <c:v>0.99294713188676753</c:v>
                </c:pt>
                <c:pt idx="213" formatCode="0.0000">
                  <c:v>1.080180269434464</c:v>
                </c:pt>
                <c:pt idx="214" formatCode="0.0000">
                  <c:v>1.1590508632710044</c:v>
                </c:pt>
                <c:pt idx="215" formatCode="0.0000">
                  <c:v>1.2585054277014456</c:v>
                </c:pt>
                <c:pt idx="216" formatCode="0.0000">
                  <c:v>1.2707741968968151</c:v>
                </c:pt>
                <c:pt idx="217" formatCode="0.0000">
                  <c:v>1.2941462510369111</c:v>
                </c:pt>
                <c:pt idx="218" formatCode="0.0000">
                  <c:v>1.3022997794253814</c:v>
                </c:pt>
                <c:pt idx="219" formatCode="0.0000">
                  <c:v>1.5110729170190715</c:v>
                </c:pt>
                <c:pt idx="220" formatCode="0.0000">
                  <c:v>1.5833310519751573</c:v>
                </c:pt>
                <c:pt idx="221" formatCode="0.0000">
                  <c:v>1.7030034860481693</c:v>
                </c:pt>
                <c:pt idx="222" formatCode="0.0000">
                  <c:v>1.7807360009454116</c:v>
                </c:pt>
                <c:pt idx="223" formatCode="0.0000">
                  <c:v>1.8790678192837025</c:v>
                </c:pt>
                <c:pt idx="224" formatCode="0.0000">
                  <c:v>2.0738604198317181</c:v>
                </c:pt>
                <c:pt idx="225" formatCode="0.0000">
                  <c:v>2.2015780208533724</c:v>
                </c:pt>
                <c:pt idx="226" formatCode="0.0000">
                  <c:v>2.2132251253318826</c:v>
                </c:pt>
                <c:pt idx="227" formatCode="0.0000">
                  <c:v>2.0869855923963518</c:v>
                </c:pt>
                <c:pt idx="228" formatCode="0.0000">
                  <c:v>1.9966215201196766</c:v>
                </c:pt>
                <c:pt idx="229" formatCode="0.0000">
                  <c:v>1.9982420884909577</c:v>
                </c:pt>
                <c:pt idx="230" formatCode="0.0000">
                  <c:v>1.9705546317196061</c:v>
                </c:pt>
                <c:pt idx="231" formatCode="0.0000">
                  <c:v>1.7832343390405456</c:v>
                </c:pt>
                <c:pt idx="232" formatCode="0.0000">
                  <c:v>1.7056938300094724</c:v>
                </c:pt>
                <c:pt idx="233" formatCode="0.0000">
                  <c:v>1.6219362718353996</c:v>
                </c:pt>
                <c:pt idx="234" formatCode="0.0000">
                  <c:v>1.6221680588280007</c:v>
                </c:pt>
                <c:pt idx="235" formatCode="0.0000">
                  <c:v>1.6442919363516342</c:v>
                </c:pt>
                <c:pt idx="236" formatCode="0.0000">
                  <c:v>1.5591095192477058</c:v>
                </c:pt>
                <c:pt idx="237" formatCode="0.0000">
                  <c:v>1.4490028411517455</c:v>
                </c:pt>
                <c:pt idx="238" formatCode="0.0000">
                  <c:v>1.4119935353648772</c:v>
                </c:pt>
                <c:pt idx="239" formatCode="0.0000">
                  <c:v>1.3527893625924352</c:v>
                </c:pt>
                <c:pt idx="240" formatCode="0.0000">
                  <c:v>1.3182960253987215</c:v>
                </c:pt>
                <c:pt idx="241" formatCode="0.0000">
                  <c:v>1.320402460260466</c:v>
                </c:pt>
                <c:pt idx="242" formatCode="0.0000">
                  <c:v>1.2161462371506662</c:v>
                </c:pt>
                <c:pt idx="243" formatCode="0.0000">
                  <c:v>1.2127455117221262</c:v>
                </c:pt>
                <c:pt idx="244" formatCode="0.0000">
                  <c:v>1.1929047968256619</c:v>
                </c:pt>
                <c:pt idx="245" formatCode="0.0000">
                  <c:v>1.1859926424387333</c:v>
                </c:pt>
                <c:pt idx="246" formatCode="0.0000">
                  <c:v>1.2452721492781269</c:v>
                </c:pt>
                <c:pt idx="247" formatCode="0.0000">
                  <c:v>1.2783100471260593</c:v>
                </c:pt>
                <c:pt idx="248" formatCode="0.0000">
                  <c:v>1.2841223371511585</c:v>
                </c:pt>
                <c:pt idx="249" formatCode="0.0000">
                  <c:v>1.3241738215550909</c:v>
                </c:pt>
                <c:pt idx="250" formatCode="0.0000">
                  <c:v>1.3829510140658889</c:v>
                </c:pt>
                <c:pt idx="251" formatCode="0.0000">
                  <c:v>1.4015898330576422</c:v>
                </c:pt>
                <c:pt idx="252" formatCode="0.0000">
                  <c:v>1.4271308890786536</c:v>
                </c:pt>
                <c:pt idx="253" formatCode="0.0000">
                  <c:v>1.4128072248098447</c:v>
                </c:pt>
                <c:pt idx="254" formatCode="0.0000">
                  <c:v>1.3654051555036697</c:v>
                </c:pt>
                <c:pt idx="255" formatCode="0.0000">
                  <c:v>1.313311943993426</c:v>
                </c:pt>
                <c:pt idx="256" formatCode="0.0000">
                  <c:v>1.2650083575211275</c:v>
                </c:pt>
                <c:pt idx="257" formatCode="0.0000">
                  <c:v>1.1641830989639275</c:v>
                </c:pt>
                <c:pt idx="258" formatCode="0.0000">
                  <c:v>1.1364003618404783</c:v>
                </c:pt>
                <c:pt idx="259" formatCode="0.0000">
                  <c:v>1.1076172018462382</c:v>
                </c:pt>
                <c:pt idx="260" formatCode="0.0000">
                  <c:v>1.0768406099714321</c:v>
                </c:pt>
                <c:pt idx="261" formatCode="0.0000">
                  <c:v>1.0313393351510265</c:v>
                </c:pt>
                <c:pt idx="262" formatCode="0.0000">
                  <c:v>1.0244852801784394</c:v>
                </c:pt>
                <c:pt idx="263" formatCode="0.0000">
                  <c:v>1.0018004077208347</c:v>
                </c:pt>
                <c:pt idx="264" formatCode="0.0000">
                  <c:v>0.99361180877033828</c:v>
                </c:pt>
                <c:pt idx="265" formatCode="0.0000">
                  <c:v>0.98140111526049589</c:v>
                </c:pt>
                <c:pt idx="266" formatCode="0.0000">
                  <c:v>0.93749966165062426</c:v>
                </c:pt>
                <c:pt idx="267" formatCode="0.0000">
                  <c:v>0.86046770003244022</c:v>
                </c:pt>
                <c:pt idx="268" formatCode="0.0000">
                  <c:v>0.85944674978889957</c:v>
                </c:pt>
                <c:pt idx="269" formatCode="0.0000">
                  <c:v>0.82450616221685524</c:v>
                </c:pt>
                <c:pt idx="270" formatCode="0.0000">
                  <c:v>0.78679452137221972</c:v>
                </c:pt>
                <c:pt idx="271" formatCode="0.0000">
                  <c:v>0.78156767631606638</c:v>
                </c:pt>
                <c:pt idx="272" formatCode="0.0000">
                  <c:v>0.73112674818891144</c:v>
                </c:pt>
                <c:pt idx="273" formatCode="0.0000">
                  <c:v>0.72341522187423102</c:v>
                </c:pt>
                <c:pt idx="274" formatCode="0.0000">
                  <c:v>0.69739980867946283</c:v>
                </c:pt>
                <c:pt idx="275" formatCode="0.0000">
                  <c:v>0.70982612391816213</c:v>
                </c:pt>
                <c:pt idx="276" formatCode="0.0000">
                  <c:v>0.72608839459843977</c:v>
                </c:pt>
                <c:pt idx="277" formatCode="0.0000">
                  <c:v>0.73735550313768539</c:v>
                </c:pt>
                <c:pt idx="278" formatCode="0.0000">
                  <c:v>0.73012883274787332</c:v>
                </c:pt>
                <c:pt idx="279" formatCode="0.0000">
                  <c:v>0.74545761711206016</c:v>
                </c:pt>
                <c:pt idx="280" formatCode="0.0000">
                  <c:v>0.69488723447816392</c:v>
                </c:pt>
                <c:pt idx="281" formatCode="0.0000">
                  <c:v>0.70972882266179904</c:v>
                </c:pt>
                <c:pt idx="282" formatCode="0.0000">
                  <c:v>0.77191008206389078</c:v>
                </c:pt>
                <c:pt idx="283" formatCode="0.0000">
                  <c:v>0.76553245249004076</c:v>
                </c:pt>
                <c:pt idx="284" formatCode="0.0000">
                  <c:v>0.77946829734903744</c:v>
                </c:pt>
                <c:pt idx="285" formatCode="0.0000">
                  <c:v>0.73433693189789884</c:v>
                </c:pt>
                <c:pt idx="286" formatCode="0.0000">
                  <c:v>0.74726627676808532</c:v>
                </c:pt>
                <c:pt idx="287" formatCode="0.0000">
                  <c:v>0.75773854910803295</c:v>
                </c:pt>
                <c:pt idx="288" formatCode="0.0000">
                  <c:v>0.79613147098540227</c:v>
                </c:pt>
                <c:pt idx="289" formatCode="0.0000">
                  <c:v>0.71873561357410032</c:v>
                </c:pt>
                <c:pt idx="290" formatCode="0.0000">
                  <c:v>0.71775641408607549</c:v>
                </c:pt>
                <c:pt idx="291" formatCode="0.0000">
                  <c:v>0.71065516244811167</c:v>
                </c:pt>
                <c:pt idx="292" formatCode="0.0000">
                  <c:v>0.75176795740501046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7BD-4528-9504-E9F8A8B90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899657"/>
        <c:axId val="66392467"/>
      </c:lineChart>
      <c:lineChart>
        <c:grouping val="standard"/>
        <c:varyColors val="0"/>
        <c:ser>
          <c:idx val="1"/>
          <c:order val="1"/>
          <c:tx>
            <c:strRef>
              <c:f>'R(t) Województwa'!$BC$2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Województwa'!$BC$3:$BC$1000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0.14285714285714285</c:v>
                </c:pt>
                <c:pt idx="9">
                  <c:v>0.2857142857142857</c:v>
                </c:pt>
                <c:pt idx="10">
                  <c:v>0.2857142857142857</c:v>
                </c:pt>
                <c:pt idx="11">
                  <c:v>0.5714285714285714</c:v>
                </c:pt>
                <c:pt idx="12">
                  <c:v>0.5714285714285714</c:v>
                </c:pt>
                <c:pt idx="13">
                  <c:v>0.8571428571428571</c:v>
                </c:pt>
                <c:pt idx="14">
                  <c:v>1.1428571428571428</c:v>
                </c:pt>
                <c:pt idx="15">
                  <c:v>1.1428571428571428</c:v>
                </c:pt>
                <c:pt idx="16">
                  <c:v>1.1428571428571428</c:v>
                </c:pt>
                <c:pt idx="17">
                  <c:v>1.1428571428571428</c:v>
                </c:pt>
                <c:pt idx="18">
                  <c:v>0.8571428571428571</c:v>
                </c:pt>
                <c:pt idx="19">
                  <c:v>1.4285714285714286</c:v>
                </c:pt>
                <c:pt idx="20">
                  <c:v>1.8571428571428572</c:v>
                </c:pt>
                <c:pt idx="21">
                  <c:v>1.8571428571428572</c:v>
                </c:pt>
                <c:pt idx="22">
                  <c:v>2</c:v>
                </c:pt>
                <c:pt idx="23">
                  <c:v>2.2857142857142856</c:v>
                </c:pt>
                <c:pt idx="24">
                  <c:v>2.5714285714285716</c:v>
                </c:pt>
                <c:pt idx="25">
                  <c:v>3</c:v>
                </c:pt>
                <c:pt idx="26">
                  <c:v>4.1428571428571432</c:v>
                </c:pt>
                <c:pt idx="27">
                  <c:v>5</c:v>
                </c:pt>
                <c:pt idx="28">
                  <c:v>7</c:v>
                </c:pt>
                <c:pt idx="29">
                  <c:v>7.4285714285714288</c:v>
                </c:pt>
                <c:pt idx="30">
                  <c:v>7.4285714285714288</c:v>
                </c:pt>
                <c:pt idx="31">
                  <c:v>8.8571428571428577</c:v>
                </c:pt>
                <c:pt idx="32">
                  <c:v>8.4285714285714288</c:v>
                </c:pt>
                <c:pt idx="33">
                  <c:v>7.2857142857142856</c:v>
                </c:pt>
                <c:pt idx="34">
                  <c:v>6.7142857142857144</c:v>
                </c:pt>
                <c:pt idx="35">
                  <c:v>5.2857142857142856</c:v>
                </c:pt>
                <c:pt idx="36">
                  <c:v>5.8571428571428568</c:v>
                </c:pt>
                <c:pt idx="37">
                  <c:v>6.7142857142857144</c:v>
                </c:pt>
                <c:pt idx="38">
                  <c:v>5.7142857142857144</c:v>
                </c:pt>
                <c:pt idx="39">
                  <c:v>7.5714285714285712</c:v>
                </c:pt>
                <c:pt idx="40">
                  <c:v>8.1428571428571423</c:v>
                </c:pt>
                <c:pt idx="41">
                  <c:v>10</c:v>
                </c:pt>
                <c:pt idx="42">
                  <c:v>14.142857142857142</c:v>
                </c:pt>
                <c:pt idx="43">
                  <c:v>14.714285714285714</c:v>
                </c:pt>
                <c:pt idx="44">
                  <c:v>15</c:v>
                </c:pt>
                <c:pt idx="45">
                  <c:v>17.714285714285715</c:v>
                </c:pt>
                <c:pt idx="46">
                  <c:v>18.285714285714285</c:v>
                </c:pt>
                <c:pt idx="47">
                  <c:v>17.857142857142858</c:v>
                </c:pt>
                <c:pt idx="48">
                  <c:v>17.285714285714285</c:v>
                </c:pt>
                <c:pt idx="49">
                  <c:v>13.142857142857142</c:v>
                </c:pt>
                <c:pt idx="50">
                  <c:v>15</c:v>
                </c:pt>
                <c:pt idx="51">
                  <c:v>14.285714285714286</c:v>
                </c:pt>
                <c:pt idx="52">
                  <c:v>13</c:v>
                </c:pt>
                <c:pt idx="53">
                  <c:v>11.571428571428571</c:v>
                </c:pt>
                <c:pt idx="54">
                  <c:v>12.428571428571429</c:v>
                </c:pt>
                <c:pt idx="55">
                  <c:v>11.571428571428571</c:v>
                </c:pt>
                <c:pt idx="56">
                  <c:v>11.428571428571429</c:v>
                </c:pt>
                <c:pt idx="57">
                  <c:v>9.4285714285714288</c:v>
                </c:pt>
                <c:pt idx="58">
                  <c:v>9.1428571428571423</c:v>
                </c:pt>
                <c:pt idx="59">
                  <c:v>7.5714285714285712</c:v>
                </c:pt>
                <c:pt idx="60">
                  <c:v>7.8571428571428568</c:v>
                </c:pt>
                <c:pt idx="61">
                  <c:v>8.4285714285714288</c:v>
                </c:pt>
                <c:pt idx="62">
                  <c:v>8.8571428571428577</c:v>
                </c:pt>
                <c:pt idx="63">
                  <c:v>8.8571428571428577</c:v>
                </c:pt>
                <c:pt idx="64">
                  <c:v>8.5714285714285712</c:v>
                </c:pt>
                <c:pt idx="65">
                  <c:v>9.2857142857142865</c:v>
                </c:pt>
                <c:pt idx="66">
                  <c:v>11</c:v>
                </c:pt>
                <c:pt idx="67">
                  <c:v>10.142857142857142</c:v>
                </c:pt>
                <c:pt idx="68">
                  <c:v>9.7142857142857135</c:v>
                </c:pt>
                <c:pt idx="69">
                  <c:v>8.5714285714285712</c:v>
                </c:pt>
                <c:pt idx="70">
                  <c:v>8.2857142857142865</c:v>
                </c:pt>
                <c:pt idx="71">
                  <c:v>7.4285714285714288</c:v>
                </c:pt>
                <c:pt idx="72">
                  <c:v>7.2857142857142856</c:v>
                </c:pt>
                <c:pt idx="73">
                  <c:v>7.4285714285714288</c:v>
                </c:pt>
                <c:pt idx="74">
                  <c:v>8.1428571428571423</c:v>
                </c:pt>
                <c:pt idx="75">
                  <c:v>7.7142857142857144</c:v>
                </c:pt>
                <c:pt idx="76">
                  <c:v>8</c:v>
                </c:pt>
                <c:pt idx="77">
                  <c:v>8.1428571428571423</c:v>
                </c:pt>
                <c:pt idx="78">
                  <c:v>9.4285714285714288</c:v>
                </c:pt>
                <c:pt idx="79">
                  <c:v>9.4285714285714288</c:v>
                </c:pt>
                <c:pt idx="80">
                  <c:v>8.4285714285714288</c:v>
                </c:pt>
                <c:pt idx="81">
                  <c:v>7.8571428571428568</c:v>
                </c:pt>
                <c:pt idx="82">
                  <c:v>7</c:v>
                </c:pt>
                <c:pt idx="83">
                  <c:v>6.7142857142857144</c:v>
                </c:pt>
                <c:pt idx="84">
                  <c:v>6.5714285714285712</c:v>
                </c:pt>
                <c:pt idx="85">
                  <c:v>6</c:v>
                </c:pt>
                <c:pt idx="86">
                  <c:v>6.5714285714285712</c:v>
                </c:pt>
                <c:pt idx="87">
                  <c:v>6.4285714285714288</c:v>
                </c:pt>
                <c:pt idx="88">
                  <c:v>7.4285714285714288</c:v>
                </c:pt>
                <c:pt idx="89">
                  <c:v>7.1428571428571432</c:v>
                </c:pt>
                <c:pt idx="90">
                  <c:v>7.7142857142857144</c:v>
                </c:pt>
                <c:pt idx="91">
                  <c:v>9.2857142857142865</c:v>
                </c:pt>
                <c:pt idx="92">
                  <c:v>10.714285714285714</c:v>
                </c:pt>
                <c:pt idx="93">
                  <c:v>10.142857142857142</c:v>
                </c:pt>
                <c:pt idx="94">
                  <c:v>10</c:v>
                </c:pt>
                <c:pt idx="95">
                  <c:v>11.142857142857142</c:v>
                </c:pt>
                <c:pt idx="96">
                  <c:v>12.142857142857142</c:v>
                </c:pt>
                <c:pt idx="97">
                  <c:v>12.142857142857142</c:v>
                </c:pt>
                <c:pt idx="98">
                  <c:v>11.571428571428571</c:v>
                </c:pt>
                <c:pt idx="99">
                  <c:v>10.714285714285714</c:v>
                </c:pt>
                <c:pt idx="100">
                  <c:v>10</c:v>
                </c:pt>
                <c:pt idx="101">
                  <c:v>10.142857142857142</c:v>
                </c:pt>
                <c:pt idx="102">
                  <c:v>10</c:v>
                </c:pt>
                <c:pt idx="103">
                  <c:v>9.5714285714285712</c:v>
                </c:pt>
                <c:pt idx="104">
                  <c:v>9.4285714285714288</c:v>
                </c:pt>
                <c:pt idx="105">
                  <c:v>9.1428571428571423</c:v>
                </c:pt>
                <c:pt idx="106">
                  <c:v>8.2857142857142865</c:v>
                </c:pt>
                <c:pt idx="107">
                  <c:v>8.7142857142857135</c:v>
                </c:pt>
                <c:pt idx="108">
                  <c:v>8.8571428571428577</c:v>
                </c:pt>
                <c:pt idx="109">
                  <c:v>6.8571428571428568</c:v>
                </c:pt>
                <c:pt idx="110">
                  <c:v>8.1428571428571423</c:v>
                </c:pt>
                <c:pt idx="111">
                  <c:v>7</c:v>
                </c:pt>
                <c:pt idx="112">
                  <c:v>6.5714285714285712</c:v>
                </c:pt>
                <c:pt idx="113">
                  <c:v>6.8571428571428568</c:v>
                </c:pt>
                <c:pt idx="114">
                  <c:v>9.2857142857142865</c:v>
                </c:pt>
                <c:pt idx="115">
                  <c:v>8.2857142857142865</c:v>
                </c:pt>
                <c:pt idx="116">
                  <c:v>10.714285714285714</c:v>
                </c:pt>
                <c:pt idx="117">
                  <c:v>11.428571428571429</c:v>
                </c:pt>
                <c:pt idx="118">
                  <c:v>12.571428571428571</c:v>
                </c:pt>
                <c:pt idx="119">
                  <c:v>12</c:v>
                </c:pt>
                <c:pt idx="120">
                  <c:v>11.714285714285714</c:v>
                </c:pt>
                <c:pt idx="121">
                  <c:v>9.4285714285714288</c:v>
                </c:pt>
                <c:pt idx="122">
                  <c:v>10.285714285714286</c:v>
                </c:pt>
                <c:pt idx="123">
                  <c:v>7.7142857142857144</c:v>
                </c:pt>
                <c:pt idx="124">
                  <c:v>5.7142857142857144</c:v>
                </c:pt>
                <c:pt idx="125">
                  <c:v>4.7142857142857144</c:v>
                </c:pt>
                <c:pt idx="126">
                  <c:v>5</c:v>
                </c:pt>
                <c:pt idx="127">
                  <c:v>4.5714285714285712</c:v>
                </c:pt>
                <c:pt idx="128">
                  <c:v>4.4285714285714288</c:v>
                </c:pt>
                <c:pt idx="129">
                  <c:v>4.4285714285714288</c:v>
                </c:pt>
                <c:pt idx="130">
                  <c:v>5.1428571428571432</c:v>
                </c:pt>
                <c:pt idx="131">
                  <c:v>5.2857142857142856</c:v>
                </c:pt>
                <c:pt idx="132">
                  <c:v>5.2857142857142856</c:v>
                </c:pt>
                <c:pt idx="133">
                  <c:v>5.1428571428571432</c:v>
                </c:pt>
                <c:pt idx="134">
                  <c:v>5</c:v>
                </c:pt>
                <c:pt idx="135">
                  <c:v>4.7142857142857144</c:v>
                </c:pt>
                <c:pt idx="136">
                  <c:v>4</c:v>
                </c:pt>
                <c:pt idx="137">
                  <c:v>3.5714285714285716</c:v>
                </c:pt>
                <c:pt idx="138">
                  <c:v>3.8571428571428572</c:v>
                </c:pt>
                <c:pt idx="139">
                  <c:v>4.2857142857142856</c:v>
                </c:pt>
                <c:pt idx="140">
                  <c:v>4.5714285714285712</c:v>
                </c:pt>
                <c:pt idx="141">
                  <c:v>7</c:v>
                </c:pt>
                <c:pt idx="142">
                  <c:v>9.4285714285714288</c:v>
                </c:pt>
                <c:pt idx="143">
                  <c:v>10</c:v>
                </c:pt>
                <c:pt idx="144">
                  <c:v>12.142857142857142</c:v>
                </c:pt>
                <c:pt idx="145">
                  <c:v>13.285714285714286</c:v>
                </c:pt>
                <c:pt idx="146">
                  <c:v>12.857142857142858</c:v>
                </c:pt>
                <c:pt idx="147">
                  <c:v>14.571428571428571</c:v>
                </c:pt>
                <c:pt idx="148">
                  <c:v>12.428571428571429</c:v>
                </c:pt>
                <c:pt idx="149">
                  <c:v>11.857142857142858</c:v>
                </c:pt>
                <c:pt idx="150">
                  <c:v>12.571428571428571</c:v>
                </c:pt>
                <c:pt idx="151">
                  <c:v>10.714285714285714</c:v>
                </c:pt>
                <c:pt idx="152">
                  <c:v>10.714285714285714</c:v>
                </c:pt>
                <c:pt idx="153">
                  <c:v>11</c:v>
                </c:pt>
                <c:pt idx="154">
                  <c:v>9.7142857142857135</c:v>
                </c:pt>
                <c:pt idx="155">
                  <c:v>12</c:v>
                </c:pt>
                <c:pt idx="156">
                  <c:v>13.142857142857142</c:v>
                </c:pt>
                <c:pt idx="157">
                  <c:v>15</c:v>
                </c:pt>
                <c:pt idx="158">
                  <c:v>16.428571428571427</c:v>
                </c:pt>
                <c:pt idx="159">
                  <c:v>16</c:v>
                </c:pt>
                <c:pt idx="160">
                  <c:v>16.571428571428573</c:v>
                </c:pt>
                <c:pt idx="161">
                  <c:v>18.428571428571427</c:v>
                </c:pt>
                <c:pt idx="162">
                  <c:v>16.571428571428573</c:v>
                </c:pt>
                <c:pt idx="163">
                  <c:v>15.142857142857142</c:v>
                </c:pt>
                <c:pt idx="164">
                  <c:v>15.857142857142858</c:v>
                </c:pt>
                <c:pt idx="165">
                  <c:v>14.428571428571429</c:v>
                </c:pt>
                <c:pt idx="166">
                  <c:v>14.571428571428571</c:v>
                </c:pt>
                <c:pt idx="167">
                  <c:v>16.857142857142858</c:v>
                </c:pt>
                <c:pt idx="168">
                  <c:v>16.142857142857142</c:v>
                </c:pt>
                <c:pt idx="169">
                  <c:v>16.714285714285715</c:v>
                </c:pt>
                <c:pt idx="170">
                  <c:v>15.714285714285714</c:v>
                </c:pt>
                <c:pt idx="171">
                  <c:v>14.857142857142858</c:v>
                </c:pt>
                <c:pt idx="172">
                  <c:v>18</c:v>
                </c:pt>
                <c:pt idx="173">
                  <c:v>16.714285714285715</c:v>
                </c:pt>
                <c:pt idx="174">
                  <c:v>14.857142857142858</c:v>
                </c:pt>
                <c:pt idx="175">
                  <c:v>14.142857142857142</c:v>
                </c:pt>
                <c:pt idx="176">
                  <c:v>14.857142857142858</c:v>
                </c:pt>
                <c:pt idx="177">
                  <c:v>16</c:v>
                </c:pt>
                <c:pt idx="178">
                  <c:v>14.571428571428571</c:v>
                </c:pt>
                <c:pt idx="179">
                  <c:v>11.571428571428571</c:v>
                </c:pt>
                <c:pt idx="180">
                  <c:v>12</c:v>
                </c:pt>
                <c:pt idx="181">
                  <c:v>12.142857142857142</c:v>
                </c:pt>
                <c:pt idx="182">
                  <c:v>12.714285714285714</c:v>
                </c:pt>
                <c:pt idx="183">
                  <c:v>11.428571428571429</c:v>
                </c:pt>
                <c:pt idx="184">
                  <c:v>10.285714285714286</c:v>
                </c:pt>
                <c:pt idx="185">
                  <c:v>9.4285714285714288</c:v>
                </c:pt>
                <c:pt idx="186">
                  <c:v>9.5714285714285712</c:v>
                </c:pt>
                <c:pt idx="187">
                  <c:v>13.571428571428571</c:v>
                </c:pt>
                <c:pt idx="188">
                  <c:v>12.714285714285714</c:v>
                </c:pt>
                <c:pt idx="189">
                  <c:v>11.714285714285714</c:v>
                </c:pt>
                <c:pt idx="190">
                  <c:v>12.285714285714286</c:v>
                </c:pt>
                <c:pt idx="191">
                  <c:v>14.571428571428571</c:v>
                </c:pt>
                <c:pt idx="192">
                  <c:v>15.571428571428571</c:v>
                </c:pt>
                <c:pt idx="193">
                  <c:v>16.285714285714285</c:v>
                </c:pt>
                <c:pt idx="194">
                  <c:v>11.857142857142858</c:v>
                </c:pt>
                <c:pt idx="195">
                  <c:v>14.857142857142858</c:v>
                </c:pt>
                <c:pt idx="196">
                  <c:v>17.857142857142858</c:v>
                </c:pt>
                <c:pt idx="197">
                  <c:v>18.857142857142858</c:v>
                </c:pt>
                <c:pt idx="198">
                  <c:v>18.142857142857142</c:v>
                </c:pt>
                <c:pt idx="199">
                  <c:v>18.571428571428573</c:v>
                </c:pt>
                <c:pt idx="200">
                  <c:v>21.571428571428573</c:v>
                </c:pt>
                <c:pt idx="201">
                  <c:v>32.857142857142854</c:v>
                </c:pt>
                <c:pt idx="202">
                  <c:v>39.142857142857146</c:v>
                </c:pt>
                <c:pt idx="203">
                  <c:v>39.142857142857146</c:v>
                </c:pt>
                <c:pt idx="204">
                  <c:v>39.857142857142854</c:v>
                </c:pt>
                <c:pt idx="205">
                  <c:v>39.857142857142854</c:v>
                </c:pt>
                <c:pt idx="206">
                  <c:v>42.571428571428569</c:v>
                </c:pt>
                <c:pt idx="207">
                  <c:v>42.142857142857146</c:v>
                </c:pt>
                <c:pt idx="208">
                  <c:v>32.428571428571431</c:v>
                </c:pt>
                <c:pt idx="209">
                  <c:v>27.428571428571427</c:v>
                </c:pt>
                <c:pt idx="210">
                  <c:v>28.571428571428573</c:v>
                </c:pt>
                <c:pt idx="211">
                  <c:v>30.285714285714285</c:v>
                </c:pt>
                <c:pt idx="212">
                  <c:v>30.571428571428573</c:v>
                </c:pt>
                <c:pt idx="213">
                  <c:v>33.142857142857146</c:v>
                </c:pt>
                <c:pt idx="214">
                  <c:v>36.142857142857146</c:v>
                </c:pt>
                <c:pt idx="215">
                  <c:v>40.142857142857146</c:v>
                </c:pt>
                <c:pt idx="216">
                  <c:v>42</c:v>
                </c:pt>
                <c:pt idx="217">
                  <c:v>44.428571428571431</c:v>
                </c:pt>
                <c:pt idx="218">
                  <c:v>46.428571428571431</c:v>
                </c:pt>
                <c:pt idx="219">
                  <c:v>56.285714285714285</c:v>
                </c:pt>
                <c:pt idx="220">
                  <c:v>64.857142857142861</c:v>
                </c:pt>
                <c:pt idx="221">
                  <c:v>77.428571428571431</c:v>
                </c:pt>
                <c:pt idx="222">
                  <c:v>88.714285714285708</c:v>
                </c:pt>
                <c:pt idx="223">
                  <c:v>103.71428571428571</c:v>
                </c:pt>
                <c:pt idx="224">
                  <c:v>130.57142857142858</c:v>
                </c:pt>
                <c:pt idx="225">
                  <c:v>156.71428571428572</c:v>
                </c:pt>
                <c:pt idx="226">
                  <c:v>184.14285714285714</c:v>
                </c:pt>
                <c:pt idx="227">
                  <c:v>199.14285714285714</c:v>
                </c:pt>
                <c:pt idx="228">
                  <c:v>219.42857142857142</c:v>
                </c:pt>
                <c:pt idx="229">
                  <c:v>246.42857142857142</c:v>
                </c:pt>
                <c:pt idx="230">
                  <c:v>274.28571428571428</c:v>
                </c:pt>
                <c:pt idx="231">
                  <c:v>283.71428571428572</c:v>
                </c:pt>
                <c:pt idx="232">
                  <c:v>302.14285714285717</c:v>
                </c:pt>
                <c:pt idx="233">
                  <c:v>319.57142857142856</c:v>
                </c:pt>
                <c:pt idx="234">
                  <c:v>345.28571428571428</c:v>
                </c:pt>
                <c:pt idx="235">
                  <c:v>384.57142857142856</c:v>
                </c:pt>
                <c:pt idx="236">
                  <c:v>394.42857142857144</c:v>
                </c:pt>
                <c:pt idx="237">
                  <c:v>392.57142857142856</c:v>
                </c:pt>
                <c:pt idx="238">
                  <c:v>403.71428571428572</c:v>
                </c:pt>
                <c:pt idx="239">
                  <c:v>408.42857142857144</c:v>
                </c:pt>
                <c:pt idx="240">
                  <c:v>419.57142857142856</c:v>
                </c:pt>
                <c:pt idx="241">
                  <c:v>440.85714285714283</c:v>
                </c:pt>
                <c:pt idx="242">
                  <c:v>428.42857142857144</c:v>
                </c:pt>
                <c:pt idx="243">
                  <c:v>439.85714285714283</c:v>
                </c:pt>
                <c:pt idx="244">
                  <c:v>442.71428571428572</c:v>
                </c:pt>
                <c:pt idx="245">
                  <c:v>451.28571428571428</c:v>
                </c:pt>
                <c:pt idx="246">
                  <c:v>486.85714285714283</c:v>
                </c:pt>
                <c:pt idx="247">
                  <c:v>520</c:v>
                </c:pt>
                <c:pt idx="248">
                  <c:v>547</c:v>
                </c:pt>
                <c:pt idx="249">
                  <c:v>589</c:v>
                </c:pt>
                <c:pt idx="250">
                  <c:v>645.71428571428567</c:v>
                </c:pt>
                <c:pt idx="251">
                  <c:v>679.42857142857144</c:v>
                </c:pt>
                <c:pt idx="252">
                  <c:v>724.71428571428567</c:v>
                </c:pt>
                <c:pt idx="253">
                  <c:v>762.71428571428567</c:v>
                </c:pt>
                <c:pt idx="254">
                  <c:v>781.28571428571433</c:v>
                </c:pt>
                <c:pt idx="255">
                  <c:v>790.28571428571433</c:v>
                </c:pt>
                <c:pt idx="256">
                  <c:v>795.14285714285711</c:v>
                </c:pt>
                <c:pt idx="257">
                  <c:v>758.85714285714289</c:v>
                </c:pt>
                <c:pt idx="258">
                  <c:v>754</c:v>
                </c:pt>
                <c:pt idx="259">
                  <c:v>749.71428571428567</c:v>
                </c:pt>
                <c:pt idx="260">
                  <c:v>742.71428571428567</c:v>
                </c:pt>
                <c:pt idx="261">
                  <c:v>719.57142857142856</c:v>
                </c:pt>
                <c:pt idx="262">
                  <c:v>718.14285714285711</c:v>
                </c:pt>
                <c:pt idx="263">
                  <c:v>704.42857142857144</c:v>
                </c:pt>
                <c:pt idx="264">
                  <c:v>698.57142857142856</c:v>
                </c:pt>
                <c:pt idx="265">
                  <c:v>689.42857142857144</c:v>
                </c:pt>
                <c:pt idx="266">
                  <c:v>658</c:v>
                </c:pt>
                <c:pt idx="267">
                  <c:v>600.57142857142856</c:v>
                </c:pt>
                <c:pt idx="268">
                  <c:v>587</c:v>
                </c:pt>
                <c:pt idx="269">
                  <c:v>550.42857142857144</c:v>
                </c:pt>
                <c:pt idx="270">
                  <c:v>511.28571428571428</c:v>
                </c:pt>
                <c:pt idx="271">
                  <c:v>492.57142857142856</c:v>
                </c:pt>
                <c:pt idx="272">
                  <c:v>450.42857142857144</c:v>
                </c:pt>
                <c:pt idx="273">
                  <c:v>428.85714285714283</c:v>
                </c:pt>
                <c:pt idx="274">
                  <c:v>400</c:v>
                </c:pt>
                <c:pt idx="275">
                  <c:v>383.14285714285717</c:v>
                </c:pt>
                <c:pt idx="276">
                  <c:v>370.71428571428572</c:v>
                </c:pt>
                <c:pt idx="277">
                  <c:v>360.71428571428572</c:v>
                </c:pt>
                <c:pt idx="278">
                  <c:v>342.85714285714283</c:v>
                </c:pt>
                <c:pt idx="279">
                  <c:v>342.42857142857144</c:v>
                </c:pt>
                <c:pt idx="280">
                  <c:v>310.85714285714283</c:v>
                </c:pt>
                <c:pt idx="281">
                  <c:v>306.14285714285717</c:v>
                </c:pt>
                <c:pt idx="282">
                  <c:v>309.57142857142856</c:v>
                </c:pt>
                <c:pt idx="283">
                  <c:v>293.57142857142856</c:v>
                </c:pt>
                <c:pt idx="284">
                  <c:v>287.28571428571428</c:v>
                </c:pt>
                <c:pt idx="285">
                  <c:v>262.42857142857144</c:v>
                </c:pt>
                <c:pt idx="286">
                  <c:v>259.71428571428572</c:v>
                </c:pt>
                <c:pt idx="287">
                  <c:v>258.14285714285717</c:v>
                </c:pt>
                <c:pt idx="288">
                  <c:v>261.42857142857144</c:v>
                </c:pt>
                <c:pt idx="289">
                  <c:v>226.85714285714286</c:v>
                </c:pt>
                <c:pt idx="290">
                  <c:v>214.42857142857142</c:v>
                </c:pt>
                <c:pt idx="291">
                  <c:v>201.14285714285714</c:v>
                </c:pt>
                <c:pt idx="292">
                  <c:v>206.85714285714286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7BD-4528-9504-E9F8A8B90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1667444"/>
        <c:axId val="574946472"/>
      </c:lineChart>
      <c:catAx>
        <c:axId val="16768996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66392467"/>
        <c:crosses val="autoZero"/>
        <c:auto val="1"/>
        <c:lblAlgn val="ctr"/>
        <c:lblOffset val="100"/>
        <c:noMultiLvlLbl val="1"/>
      </c:catAx>
      <c:valAx>
        <c:axId val="66392467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676899657"/>
        <c:crosses val="autoZero"/>
        <c:crossBetween val="between"/>
      </c:valAx>
      <c:catAx>
        <c:axId val="19516674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74946472"/>
        <c:crosses val="autoZero"/>
        <c:auto val="1"/>
        <c:lblAlgn val="ctr"/>
        <c:lblOffset val="100"/>
        <c:noMultiLvlLbl val="1"/>
      </c:catAx>
      <c:valAx>
        <c:axId val="57494647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951667444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Podkarpackiego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Województwa'!$BN$2</c:f>
              <c:strCache>
                <c:ptCount val="1"/>
                <c:pt idx="0">
                  <c:v>Podkarpackie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Województwa'!$BN$3:$BN$1000</c:f>
              <c:numCache>
                <c:formatCode>General</c:formatCode>
                <c:ptCount val="998"/>
                <c:pt idx="31" formatCode="0.0000">
                  <c:v>1.1596232794011114</c:v>
                </c:pt>
                <c:pt idx="32" formatCode="0.0000">
                  <c:v>1.0252211108284568</c:v>
                </c:pt>
                <c:pt idx="33" formatCode="0.0000">
                  <c:v>1.0399696775188749</c:v>
                </c:pt>
                <c:pt idx="34" formatCode="0.0000">
                  <c:v>0.92252928215103769</c:v>
                </c:pt>
                <c:pt idx="35" formatCode="0.0000">
                  <c:v>0.94631202335859987</c:v>
                </c:pt>
                <c:pt idx="36" formatCode="0.0000">
                  <c:v>0.96114560119333114</c:v>
                </c:pt>
                <c:pt idx="37" formatCode="0.0000">
                  <c:v>0.99552521563748619</c:v>
                </c:pt>
                <c:pt idx="38" formatCode="0.0000">
                  <c:v>1.008659693947634</c:v>
                </c:pt>
                <c:pt idx="39" formatCode="0.0000">
                  <c:v>1.0079675731729019</c:v>
                </c:pt>
                <c:pt idx="40" formatCode="0.0000">
                  <c:v>0.86688328951243399</c:v>
                </c:pt>
                <c:pt idx="41" formatCode="0.0000">
                  <c:v>0.83927469971680357</c:v>
                </c:pt>
                <c:pt idx="42" formatCode="0.0000">
                  <c:v>0.82349694919174787</c:v>
                </c:pt>
                <c:pt idx="43" formatCode="0.0000">
                  <c:v>0.80991891530169224</c:v>
                </c:pt>
                <c:pt idx="44" formatCode="0.0000">
                  <c:v>0.68339277898960826</c:v>
                </c:pt>
                <c:pt idx="45" formatCode="0.0000">
                  <c:v>0.58801400929664904</c:v>
                </c:pt>
                <c:pt idx="46" formatCode="0.0000">
                  <c:v>0.60334687274652055</c:v>
                </c:pt>
                <c:pt idx="47" formatCode="0.0000">
                  <c:v>0.66266841178356206</c:v>
                </c:pt>
                <c:pt idx="48" formatCode="0.0000">
                  <c:v>0.66620493833008454</c:v>
                </c:pt>
                <c:pt idx="49" formatCode="0.0000">
                  <c:v>0.6168711086814006</c:v>
                </c:pt>
                <c:pt idx="50" formatCode="0.0000">
                  <c:v>0.61594199029788399</c:v>
                </c:pt>
                <c:pt idx="51" formatCode="0.0000">
                  <c:v>0.6381165292829859</c:v>
                </c:pt>
                <c:pt idx="52" formatCode="0.0000">
                  <c:v>0.77320606923223834</c:v>
                </c:pt>
                <c:pt idx="53" formatCode="0.0000">
                  <c:v>1.1504373879636745</c:v>
                </c:pt>
                <c:pt idx="54" formatCode="0.0000">
                  <c:v>1.1122192270816789</c:v>
                </c:pt>
                <c:pt idx="55" formatCode="0.0000">
                  <c:v>1.1101175488812234</c:v>
                </c:pt>
                <c:pt idx="56" formatCode="0.0000">
                  <c:v>1.2082234692842106</c:v>
                </c:pt>
                <c:pt idx="57" formatCode="0.0000">
                  <c:v>1.1331497795706618</c:v>
                </c:pt>
                <c:pt idx="58" formatCode="0.0000">
                  <c:v>1.0870507776961849</c:v>
                </c:pt>
                <c:pt idx="59" formatCode="0.0000">
                  <c:v>1.0619517292686702</c:v>
                </c:pt>
                <c:pt idx="60" formatCode="0.0000">
                  <c:v>0.63487005738219171</c:v>
                </c:pt>
                <c:pt idx="61" formatCode="0.0000">
                  <c:v>0.82026904486825813</c:v>
                </c:pt>
                <c:pt idx="62" formatCode="0.0000">
                  <c:v>1.0580786266904576</c:v>
                </c:pt>
                <c:pt idx="63" formatCode="0.0000">
                  <c:v>0.93510947594761706</c:v>
                </c:pt>
                <c:pt idx="64" formatCode="0.0000">
                  <c:v>0.87678839073945436</c:v>
                </c:pt>
                <c:pt idx="65" formatCode="0.0000">
                  <c:v>0.9054853882363737</c:v>
                </c:pt>
                <c:pt idx="66" formatCode="0.0000">
                  <c:v>0.76712654480662201</c:v>
                </c:pt>
                <c:pt idx="67" formatCode="0.0000">
                  <c:v>0.67507630639283867</c:v>
                </c:pt>
                <c:pt idx="68" formatCode="0.0000">
                  <c:v>0.492079574784482</c:v>
                </c:pt>
                <c:pt idx="69" formatCode="0.0000">
                  <c:v>0.19898543497648502</c:v>
                </c:pt>
                <c:pt idx="70" formatCode="0.0000">
                  <c:v>0.14018267574881374</c:v>
                </c:pt>
                <c:pt idx="71" formatCode="0.0000">
                  <c:v>0.14018267574881385</c:v>
                </c:pt>
                <c:pt idx="72" formatCode="0.0000">
                  <c:v>0.21553795628524572</c:v>
                </c:pt>
                <c:pt idx="73" formatCode="0.0000">
                  <c:v>0.16049013109019819</c:v>
                </c:pt>
                <c:pt idx="74" formatCode="0.0000">
                  <c:v>0.23488169593387451</c:v>
                </c:pt>
                <c:pt idx="75" formatCode="0.0000">
                  <c:v>0.19967937257591398</c:v>
                </c:pt>
                <c:pt idx="76" formatCode="0.0000">
                  <c:v>0.19967937257591403</c:v>
                </c:pt>
                <c:pt idx="77" formatCode="0.0000">
                  <c:v>0.19967937257591398</c:v>
                </c:pt>
                <c:pt idx="78" formatCode="0.0000">
                  <c:v>0.19967937257591387</c:v>
                </c:pt>
                <c:pt idx="79" formatCode="0.0000">
                  <c:v>0.22234053459061615</c:v>
                </c:pt>
                <c:pt idx="80" formatCode="0.0000">
                  <c:v>0.36953999019136419</c:v>
                </c:pt>
                <c:pt idx="81" formatCode="0.0000">
                  <c:v>0.44171145842217513</c:v>
                </c:pt>
                <c:pt idx="82" formatCode="0.0000">
                  <c:v>0.7337552423691841</c:v>
                </c:pt>
                <c:pt idx="83" formatCode="0.0000">
                  <c:v>0.73375524236918399</c:v>
                </c:pt>
                <c:pt idx="84" formatCode="0.0000">
                  <c:v>0.73375524236918399</c:v>
                </c:pt>
                <c:pt idx="85" formatCode="0.0000">
                  <c:v>0.7337552423691841</c:v>
                </c:pt>
                <c:pt idx="86" formatCode="0.0000">
                  <c:v>0.98935665851220933</c:v>
                </c:pt>
                <c:pt idx="87" formatCode="0.0000">
                  <c:v>1.162259169127408</c:v>
                </c:pt>
                <c:pt idx="88" formatCode="0.0000">
                  <c:v>1.0156961360529206</c:v>
                </c:pt>
                <c:pt idx="89" formatCode="0.0000">
                  <c:v>1.5167165612419213</c:v>
                </c:pt>
                <c:pt idx="90" formatCode="0.0000">
                  <c:v>1.5167165612419211</c:v>
                </c:pt>
                <c:pt idx="91" formatCode="0.0000">
                  <c:v>1.5167165612419211</c:v>
                </c:pt>
                <c:pt idx="92" formatCode="0.0000">
                  <c:v>1.647542386550459</c:v>
                </c:pt>
                <c:pt idx="93" formatCode="0.0000">
                  <c:v>1.2439920006604945</c:v>
                </c:pt>
                <c:pt idx="94" formatCode="0.0000">
                  <c:v>0.92389003444454809</c:v>
                </c:pt>
                <c:pt idx="95" formatCode="0.0000">
                  <c:v>1.1041270071448366</c:v>
                </c:pt>
                <c:pt idx="96" formatCode="0.0000">
                  <c:v>0.65854781268766549</c:v>
                </c:pt>
                <c:pt idx="97" formatCode="0.0000">
                  <c:v>1.3796937840019339</c:v>
                </c:pt>
                <c:pt idx="98" formatCode="0.0000">
                  <c:v>2.3849097547962734</c:v>
                </c:pt>
                <c:pt idx="99" formatCode="0.0000">
                  <c:v>2.4994267407155575</c:v>
                </c:pt>
                <c:pt idx="100" formatCode="0.0000">
                  <c:v>2.5884411626773067</c:v>
                </c:pt>
                <c:pt idx="101" formatCode="0.0000">
                  <c:v>2.9647609307648612</c:v>
                </c:pt>
                <c:pt idx="102" formatCode="0.0000">
                  <c:v>3.3947082642445148</c:v>
                </c:pt>
                <c:pt idx="103" formatCode="0.0000">
                  <c:v>3.567032602101416</c:v>
                </c:pt>
                <c:pt idx="104" formatCode="0.0000">
                  <c:v>3.110141660277205</c:v>
                </c:pt>
                <c:pt idx="105" formatCode="0.0000">
                  <c:v>2.3237415738051905</c:v>
                </c:pt>
                <c:pt idx="106" formatCode="0.0000">
                  <c:v>2.3756293334235443</c:v>
                </c:pt>
                <c:pt idx="107" formatCode="0.0000">
                  <c:v>2.4492352269586339</c:v>
                </c:pt>
                <c:pt idx="108" formatCode="0.0000">
                  <c:v>2.2456732257542265</c:v>
                </c:pt>
                <c:pt idx="109" formatCode="0.0000">
                  <c:v>1.7258116271899375</c:v>
                </c:pt>
                <c:pt idx="110" formatCode="0.0000">
                  <c:v>1.3830453013619461</c:v>
                </c:pt>
                <c:pt idx="111" formatCode="0.0000">
                  <c:v>1.2241384076358595</c:v>
                </c:pt>
                <c:pt idx="112" formatCode="0.0000">
                  <c:v>1.1147761561686409</c:v>
                </c:pt>
                <c:pt idx="113" formatCode="0.0000">
                  <c:v>0.98739976023572795</c:v>
                </c:pt>
                <c:pt idx="114" formatCode="0.0000">
                  <c:v>0.99016860323840683</c:v>
                </c:pt>
                <c:pt idx="115" formatCode="0.0000">
                  <c:v>1.0061130141821495</c:v>
                </c:pt>
                <c:pt idx="116" formatCode="0.0000">
                  <c:v>1.1477721754525008</c:v>
                </c:pt>
                <c:pt idx="117" formatCode="0.0000">
                  <c:v>1.1363946029896237</c:v>
                </c:pt>
                <c:pt idx="118" formatCode="0.0000">
                  <c:v>1.1698788947688514</c:v>
                </c:pt>
                <c:pt idx="119" formatCode="0.0000">
                  <c:v>1.0836575029940645</c:v>
                </c:pt>
                <c:pt idx="120" formatCode="0.0000">
                  <c:v>1.1776935849407271</c:v>
                </c:pt>
                <c:pt idx="121" formatCode="0.0000">
                  <c:v>1.1653138824656524</c:v>
                </c:pt>
                <c:pt idx="122" formatCode="0.0000">
                  <c:v>1.1164317060659366</c:v>
                </c:pt>
                <c:pt idx="123" formatCode="0.0000">
                  <c:v>1.351936331202795</c:v>
                </c:pt>
                <c:pt idx="124" formatCode="0.0000">
                  <c:v>1.4244910124152379</c:v>
                </c:pt>
                <c:pt idx="125" formatCode="0.0000">
                  <c:v>1.3903714376099572</c:v>
                </c:pt>
                <c:pt idx="126" formatCode="0.0000">
                  <c:v>1.5095017054124575</c:v>
                </c:pt>
                <c:pt idx="127" formatCode="0.0000">
                  <c:v>1.4718285043607371</c:v>
                </c:pt>
                <c:pt idx="128" formatCode="0.0000">
                  <c:v>1.3729551351708977</c:v>
                </c:pt>
                <c:pt idx="129" formatCode="0.0000">
                  <c:v>1.3689219066833378</c:v>
                </c:pt>
                <c:pt idx="130" formatCode="0.0000">
                  <c:v>0.97835935315381051</c:v>
                </c:pt>
                <c:pt idx="131" formatCode="0.0000">
                  <c:v>1.1610585865905707</c:v>
                </c:pt>
                <c:pt idx="132" formatCode="0.0000">
                  <c:v>1.5002412612714531</c:v>
                </c:pt>
                <c:pt idx="133" formatCode="0.0000">
                  <c:v>1.4239146698456933</c:v>
                </c:pt>
                <c:pt idx="134" formatCode="0.0000">
                  <c:v>1.2513458774675681</c:v>
                </c:pt>
                <c:pt idx="135" formatCode="0.0000">
                  <c:v>1.432821501016496</c:v>
                </c:pt>
                <c:pt idx="136" formatCode="0.0000">
                  <c:v>1.4048410541199154</c:v>
                </c:pt>
                <c:pt idx="137" formatCode="0.0000">
                  <c:v>1.4830869515850407</c:v>
                </c:pt>
                <c:pt idx="138" formatCode="0.0000">
                  <c:v>1.1663996942927994</c:v>
                </c:pt>
                <c:pt idx="139" formatCode="0.0000">
                  <c:v>0.86281218341229859</c:v>
                </c:pt>
                <c:pt idx="140" formatCode="0.0000">
                  <c:v>0.84792775448391289</c:v>
                </c:pt>
                <c:pt idx="141" formatCode="0.0000">
                  <c:v>0.91395095399029924</c:v>
                </c:pt>
                <c:pt idx="142" formatCode="0.0000">
                  <c:v>0.82247099260120515</c:v>
                </c:pt>
                <c:pt idx="143" formatCode="0.0000">
                  <c:v>0.76504656163355167</c:v>
                </c:pt>
                <c:pt idx="144" formatCode="0.0000">
                  <c:v>0.77642390032972397</c:v>
                </c:pt>
                <c:pt idx="145" formatCode="0.0000">
                  <c:v>0.76515920277819249</c:v>
                </c:pt>
                <c:pt idx="146" formatCode="0.0000">
                  <c:v>0.67377572524816653</c:v>
                </c:pt>
                <c:pt idx="147" formatCode="0.0000">
                  <c:v>0.79361340101085431</c:v>
                </c:pt>
                <c:pt idx="148" formatCode="0.0000">
                  <c:v>0.87526519109475542</c:v>
                </c:pt>
                <c:pt idx="149" formatCode="0.0000">
                  <c:v>1.1032694201393944</c:v>
                </c:pt>
                <c:pt idx="150" formatCode="0.0000">
                  <c:v>1.2412510342999339</c:v>
                </c:pt>
                <c:pt idx="151" formatCode="0.0000">
                  <c:v>1.2419998000581067</c:v>
                </c:pt>
                <c:pt idx="152" formatCode="0.0000">
                  <c:v>1.2934944705230413</c:v>
                </c:pt>
                <c:pt idx="153" formatCode="0.0000">
                  <c:v>1.507947554041779</c:v>
                </c:pt>
                <c:pt idx="154" formatCode="0.0000">
                  <c:v>1.566411337213107</c:v>
                </c:pt>
                <c:pt idx="155" formatCode="0.0000">
                  <c:v>1.5299011881352524</c:v>
                </c:pt>
                <c:pt idx="156" formatCode="0.0000">
                  <c:v>1.3240771843031747</c:v>
                </c:pt>
                <c:pt idx="157" formatCode="0.0000">
                  <c:v>1.3080627445055739</c:v>
                </c:pt>
                <c:pt idx="158" formatCode="0.0000">
                  <c:v>1.3512273176007716</c:v>
                </c:pt>
                <c:pt idx="159" formatCode="0.0000">
                  <c:v>1.3322138991262691</c:v>
                </c:pt>
                <c:pt idx="160" formatCode="0.0000">
                  <c:v>1.2375446845618341</c:v>
                </c:pt>
                <c:pt idx="161" formatCode="0.0000">
                  <c:v>1.0792082719308884</c:v>
                </c:pt>
                <c:pt idx="162" formatCode="0.0000">
                  <c:v>1.0197377438233894</c:v>
                </c:pt>
                <c:pt idx="163" formatCode="0.0000">
                  <c:v>1.0822726091906139</c:v>
                </c:pt>
                <c:pt idx="164" formatCode="0.0000">
                  <c:v>1.0885829884515812</c:v>
                </c:pt>
                <c:pt idx="165" formatCode="0.0000">
                  <c:v>1.0373385832513016</c:v>
                </c:pt>
                <c:pt idx="166" formatCode="0.0000">
                  <c:v>1.0772463071785991</c:v>
                </c:pt>
                <c:pt idx="167" formatCode="0.0000">
                  <c:v>1.0660000259378077</c:v>
                </c:pt>
                <c:pt idx="168" formatCode="0.0000">
                  <c:v>1.158467935959542</c:v>
                </c:pt>
                <c:pt idx="169" formatCode="0.0000">
                  <c:v>1.1887322033166277</c:v>
                </c:pt>
                <c:pt idx="170" formatCode="0.0000">
                  <c:v>1.0675074110784184</c:v>
                </c:pt>
                <c:pt idx="171" formatCode="0.0000">
                  <c:v>1.0862102800904447</c:v>
                </c:pt>
                <c:pt idx="172" formatCode="0.0000">
                  <c:v>1.0571931755707946</c:v>
                </c:pt>
                <c:pt idx="173" formatCode="0.0000">
                  <c:v>1.0772764582871244</c:v>
                </c:pt>
                <c:pt idx="174" formatCode="0.0000">
                  <c:v>1.0028183254397718</c:v>
                </c:pt>
                <c:pt idx="175" formatCode="0.0000">
                  <c:v>1.0872820411725341</c:v>
                </c:pt>
                <c:pt idx="176" formatCode="0.0000">
                  <c:v>1.1380738351076354</c:v>
                </c:pt>
                <c:pt idx="177" formatCode="0.0000">
                  <c:v>1.1507477000220994</c:v>
                </c:pt>
                <c:pt idx="178" formatCode="0.0000">
                  <c:v>1.2144484332028216</c:v>
                </c:pt>
                <c:pt idx="179" formatCode="0.0000">
                  <c:v>1.2243290222458039</c:v>
                </c:pt>
                <c:pt idx="180" formatCode="0.0000">
                  <c:v>1.139224889793917</c:v>
                </c:pt>
                <c:pt idx="181" formatCode="0.0000">
                  <c:v>1.1679984321452115</c:v>
                </c:pt>
                <c:pt idx="182" formatCode="0.0000">
                  <c:v>1.0136826863218151</c:v>
                </c:pt>
                <c:pt idx="183" formatCode="0.0000">
                  <c:v>1.00168575799115</c:v>
                </c:pt>
                <c:pt idx="184" formatCode="0.0000">
                  <c:v>0.9990027263319986</c:v>
                </c:pt>
                <c:pt idx="185" formatCode="0.0000">
                  <c:v>1.0848337932279315</c:v>
                </c:pt>
                <c:pt idx="186" formatCode="0.0000">
                  <c:v>1.1263882530723619</c:v>
                </c:pt>
                <c:pt idx="187" formatCode="0.0000">
                  <c:v>1.1255384760401774</c:v>
                </c:pt>
                <c:pt idx="188" formatCode="0.0000">
                  <c:v>1.086243155750696</c:v>
                </c:pt>
                <c:pt idx="189" formatCode="0.0000">
                  <c:v>1.0467502538261557</c:v>
                </c:pt>
                <c:pt idx="190" formatCode="0.0000">
                  <c:v>0.95417954440939678</c:v>
                </c:pt>
                <c:pt idx="191" formatCode="0.0000">
                  <c:v>0.90390937473172595</c:v>
                </c:pt>
                <c:pt idx="192" formatCode="0.0000">
                  <c:v>0.75412104134615621</c:v>
                </c:pt>
                <c:pt idx="193" formatCode="0.0000">
                  <c:v>0.73099933311433152</c:v>
                </c:pt>
                <c:pt idx="194" formatCode="0.0000">
                  <c:v>0.76357199991326397</c:v>
                </c:pt>
                <c:pt idx="195" formatCode="0.0000">
                  <c:v>0.85695349339610249</c:v>
                </c:pt>
                <c:pt idx="196" formatCode="0.0000">
                  <c:v>0.88180352816237417</c:v>
                </c:pt>
                <c:pt idx="197" formatCode="0.0000">
                  <c:v>0.94358241693216427</c:v>
                </c:pt>
                <c:pt idx="198" formatCode="0.0000">
                  <c:v>1.0492860760055507</c:v>
                </c:pt>
                <c:pt idx="199" formatCode="0.0000">
                  <c:v>1.04473737120123</c:v>
                </c:pt>
                <c:pt idx="200" formatCode="0.0000">
                  <c:v>1.1555307289802674</c:v>
                </c:pt>
                <c:pt idx="201" formatCode="0.0000">
                  <c:v>1.2382933249718084</c:v>
                </c:pt>
                <c:pt idx="202" formatCode="0.0000">
                  <c:v>1.2599001153718408</c:v>
                </c:pt>
                <c:pt idx="203" formatCode="0.0000">
                  <c:v>1.2736367787860938</c:v>
                </c:pt>
                <c:pt idx="204" formatCode="0.0000">
                  <c:v>1.208198876761051</c:v>
                </c:pt>
                <c:pt idx="205" formatCode="0.0000">
                  <c:v>1.2510630089348591</c:v>
                </c:pt>
                <c:pt idx="206" formatCode="0.0000">
                  <c:v>1.2369998581994446</c:v>
                </c:pt>
                <c:pt idx="207" formatCode="0.0000">
                  <c:v>1.1933184102406469</c:v>
                </c:pt>
                <c:pt idx="208" formatCode="0.0000">
                  <c:v>1.1810865773423431</c:v>
                </c:pt>
                <c:pt idx="209" formatCode="0.0000">
                  <c:v>1.1929792911159667</c:v>
                </c:pt>
                <c:pt idx="210" formatCode="0.0000">
                  <c:v>1.397420975834873</c:v>
                </c:pt>
                <c:pt idx="211" formatCode="0.0000">
                  <c:v>1.529732296827407</c:v>
                </c:pt>
                <c:pt idx="212" formatCode="0.0000">
                  <c:v>1.5382380825725512</c:v>
                </c:pt>
                <c:pt idx="213" formatCode="0.0000">
                  <c:v>1.782487534731132</c:v>
                </c:pt>
                <c:pt idx="214" formatCode="0.0000">
                  <c:v>1.7704961441359626</c:v>
                </c:pt>
                <c:pt idx="215" formatCode="0.0000">
                  <c:v>1.7674191935397991</c:v>
                </c:pt>
                <c:pt idx="216" formatCode="0.0000">
                  <c:v>1.7582100075083211</c:v>
                </c:pt>
                <c:pt idx="217" formatCode="0.0000">
                  <c:v>1.6361154230731818</c:v>
                </c:pt>
                <c:pt idx="218" formatCode="0.0000">
                  <c:v>1.6002761504569101</c:v>
                </c:pt>
                <c:pt idx="219" formatCode="0.0000">
                  <c:v>1.6831754594554105</c:v>
                </c:pt>
                <c:pt idx="220" formatCode="0.0000">
                  <c:v>1.6398068590583665</c:v>
                </c:pt>
                <c:pt idx="221" formatCode="0.0000">
                  <c:v>1.7154749021426183</c:v>
                </c:pt>
                <c:pt idx="222" formatCode="0.0000">
                  <c:v>1.745037883591072</c:v>
                </c:pt>
                <c:pt idx="223" formatCode="0.0000">
                  <c:v>1.7784968338505678</c:v>
                </c:pt>
                <c:pt idx="224" formatCode="0.0000">
                  <c:v>1.8455377818348448</c:v>
                </c:pt>
                <c:pt idx="225" formatCode="0.0000">
                  <c:v>1.85064620637717</c:v>
                </c:pt>
                <c:pt idx="226" formatCode="0.0000">
                  <c:v>1.7715741707305459</c:v>
                </c:pt>
                <c:pt idx="227" formatCode="0.0000">
                  <c:v>1.6740852275452192</c:v>
                </c:pt>
                <c:pt idx="228" formatCode="0.0000">
                  <c:v>1.694243132083187</c:v>
                </c:pt>
                <c:pt idx="229" formatCode="0.0000">
                  <c:v>1.7368386491880288</c:v>
                </c:pt>
                <c:pt idx="230" formatCode="0.0000">
                  <c:v>1.6661057326737969</c:v>
                </c:pt>
                <c:pt idx="231" formatCode="0.0000">
                  <c:v>1.6443261810386143</c:v>
                </c:pt>
                <c:pt idx="232" formatCode="0.0000">
                  <c:v>1.7347713358200461</c:v>
                </c:pt>
                <c:pt idx="233" formatCode="0.0000">
                  <c:v>1.7179114872672019</c:v>
                </c:pt>
                <c:pt idx="234" formatCode="0.0000">
                  <c:v>1.6529482351138864</c:v>
                </c:pt>
                <c:pt idx="235" formatCode="0.0000">
                  <c:v>1.5546982842297816</c:v>
                </c:pt>
                <c:pt idx="236" formatCode="0.0000">
                  <c:v>1.4853830456864447</c:v>
                </c:pt>
                <c:pt idx="237" formatCode="0.0000">
                  <c:v>1.4851707746712626</c:v>
                </c:pt>
                <c:pt idx="238" formatCode="0.0000">
                  <c:v>1.4186166599498213</c:v>
                </c:pt>
                <c:pt idx="239" formatCode="0.0000">
                  <c:v>1.3615439813931351</c:v>
                </c:pt>
                <c:pt idx="240" formatCode="0.0000">
                  <c:v>1.4004652182110224</c:v>
                </c:pt>
                <c:pt idx="241" formatCode="0.0000">
                  <c:v>1.4040242681021629</c:v>
                </c:pt>
                <c:pt idx="242" formatCode="0.0000">
                  <c:v>1.4182926131519971</c:v>
                </c:pt>
                <c:pt idx="243" formatCode="0.0000">
                  <c:v>1.4000275564185258</c:v>
                </c:pt>
                <c:pt idx="244" formatCode="0.0000">
                  <c:v>1.3968066644226449</c:v>
                </c:pt>
                <c:pt idx="245" formatCode="0.0000">
                  <c:v>1.3744105916013571</c:v>
                </c:pt>
                <c:pt idx="246" formatCode="0.0000">
                  <c:v>1.3445323926361348</c:v>
                </c:pt>
                <c:pt idx="247" formatCode="0.0000">
                  <c:v>1.3079260716658054</c:v>
                </c:pt>
                <c:pt idx="248" formatCode="0.0000">
                  <c:v>1.3067949282906803</c:v>
                </c:pt>
                <c:pt idx="249" formatCode="0.0000">
                  <c:v>1.3136109634356516</c:v>
                </c:pt>
                <c:pt idx="250" formatCode="0.0000">
                  <c:v>1.3291572032737389</c:v>
                </c:pt>
                <c:pt idx="251" formatCode="0.0000">
                  <c:v>1.3103508928317471</c:v>
                </c:pt>
                <c:pt idx="252" formatCode="0.0000">
                  <c:v>1.3086035092915775</c:v>
                </c:pt>
                <c:pt idx="253" formatCode="0.0000">
                  <c:v>1.2478843856551347</c:v>
                </c:pt>
                <c:pt idx="254" formatCode="0.0000">
                  <c:v>1.1727184095956307</c:v>
                </c:pt>
                <c:pt idx="255" formatCode="0.0000">
                  <c:v>1.0911937819950659</c:v>
                </c:pt>
                <c:pt idx="256" formatCode="0.0000">
                  <c:v>0.98624508564026492</c:v>
                </c:pt>
                <c:pt idx="257" formatCode="0.0000">
                  <c:v>0.88968855083125808</c:v>
                </c:pt>
                <c:pt idx="258" formatCode="0.0000">
                  <c:v>0.85666014973052473</c:v>
                </c:pt>
                <c:pt idx="259" formatCode="0.0000">
                  <c:v>0.79382693680201932</c:v>
                </c:pt>
                <c:pt idx="260" formatCode="0.0000">
                  <c:v>0.77339963154499169</c:v>
                </c:pt>
                <c:pt idx="261" formatCode="0.0000">
                  <c:v>0.78500402683771231</c:v>
                </c:pt>
                <c:pt idx="262" formatCode="0.0000">
                  <c:v>0.76141506909215351</c:v>
                </c:pt>
                <c:pt idx="263" formatCode="0.0000">
                  <c:v>0.75615335084950253</c:v>
                </c:pt>
                <c:pt idx="264" formatCode="0.0000">
                  <c:v>0.75358351284795155</c:v>
                </c:pt>
                <c:pt idx="265" formatCode="0.0000">
                  <c:v>0.73659095760892945</c:v>
                </c:pt>
                <c:pt idx="266" formatCode="0.0000">
                  <c:v>0.755657236966643</c:v>
                </c:pt>
                <c:pt idx="267" formatCode="0.0000">
                  <c:v>0.75315305535523558</c:v>
                </c:pt>
                <c:pt idx="268" formatCode="0.0000">
                  <c:v>0.71752554499917875</c:v>
                </c:pt>
                <c:pt idx="269" formatCode="0.0000">
                  <c:v>0.74674279283262279</c:v>
                </c:pt>
                <c:pt idx="270" formatCode="0.0000">
                  <c:v>0.75405462866905515</c:v>
                </c:pt>
                <c:pt idx="271" formatCode="0.0000">
                  <c:v>0.71590529530756264</c:v>
                </c:pt>
                <c:pt idx="272" formatCode="0.0000">
                  <c:v>0.67549767002212491</c:v>
                </c:pt>
                <c:pt idx="273" formatCode="0.0000">
                  <c:v>0.66666603311790718</c:v>
                </c:pt>
                <c:pt idx="274" formatCode="0.0000">
                  <c:v>0.69067817184922309</c:v>
                </c:pt>
                <c:pt idx="275" formatCode="0.0000">
                  <c:v>0.67665542770974096</c:v>
                </c:pt>
                <c:pt idx="276" formatCode="0.0000">
                  <c:v>0.61552146292698551</c:v>
                </c:pt>
                <c:pt idx="277" formatCode="0.0000">
                  <c:v>0.55509070167766417</c:v>
                </c:pt>
                <c:pt idx="278" formatCode="0.0000">
                  <c:v>0.54646239184030576</c:v>
                </c:pt>
                <c:pt idx="279" formatCode="0.0000">
                  <c:v>0.55594316174078096</c:v>
                </c:pt>
                <c:pt idx="280" formatCode="0.0000">
                  <c:v>0.55092583014304419</c:v>
                </c:pt>
                <c:pt idx="281" formatCode="0.0000">
                  <c:v>0.52357058238111687</c:v>
                </c:pt>
                <c:pt idx="282" formatCode="0.0000">
                  <c:v>0.58509556940397378</c:v>
                </c:pt>
                <c:pt idx="283" formatCode="0.0000">
                  <c:v>0.60457679706687451</c:v>
                </c:pt>
                <c:pt idx="284" formatCode="0.0000">
                  <c:v>0.74997420764626077</c:v>
                </c:pt>
                <c:pt idx="285" formatCode="0.0000">
                  <c:v>0.77397775596806828</c:v>
                </c:pt>
                <c:pt idx="286" formatCode="0.0000">
                  <c:v>0.79765359226192112</c:v>
                </c:pt>
                <c:pt idx="287" formatCode="0.0000">
                  <c:v>0.85957330749933247</c:v>
                </c:pt>
                <c:pt idx="288" formatCode="0.0000">
                  <c:v>0.90562449895792152</c:v>
                </c:pt>
                <c:pt idx="289" formatCode="0.0000">
                  <c:v>0.87096143219920152</c:v>
                </c:pt>
                <c:pt idx="290" formatCode="0.0000">
                  <c:v>0.84461698366706706</c:v>
                </c:pt>
                <c:pt idx="291" formatCode="0.0000">
                  <c:v>0.80652462467671349</c:v>
                </c:pt>
                <c:pt idx="292" formatCode="0.0000">
                  <c:v>0.79496580147577922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27A-4CD2-83FD-53D44380F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869761"/>
        <c:axId val="1359660997"/>
      </c:lineChart>
      <c:lineChart>
        <c:grouping val="standard"/>
        <c:varyColors val="0"/>
        <c:ser>
          <c:idx val="1"/>
          <c:order val="1"/>
          <c:tx>
            <c:strRef>
              <c:f>'R(t) Województwa'!$BJ$2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Województwa'!$BJ$3:$BJ$1000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0.14285714285714285</c:v>
                </c:pt>
                <c:pt idx="9">
                  <c:v>0.42857142857142855</c:v>
                </c:pt>
                <c:pt idx="10">
                  <c:v>0.8571428571428571</c:v>
                </c:pt>
                <c:pt idx="11">
                  <c:v>1</c:v>
                </c:pt>
                <c:pt idx="12">
                  <c:v>1.1428571428571428</c:v>
                </c:pt>
                <c:pt idx="13">
                  <c:v>1.5714285714285714</c:v>
                </c:pt>
                <c:pt idx="14">
                  <c:v>1.5714285714285714</c:v>
                </c:pt>
                <c:pt idx="15">
                  <c:v>1.8571428571428572</c:v>
                </c:pt>
                <c:pt idx="16">
                  <c:v>2</c:v>
                </c:pt>
                <c:pt idx="17">
                  <c:v>1.8571428571428572</c:v>
                </c:pt>
                <c:pt idx="18">
                  <c:v>2.5714285714285716</c:v>
                </c:pt>
                <c:pt idx="19">
                  <c:v>3</c:v>
                </c:pt>
                <c:pt idx="20">
                  <c:v>2.7142857142857144</c:v>
                </c:pt>
                <c:pt idx="21">
                  <c:v>3.7142857142857144</c:v>
                </c:pt>
                <c:pt idx="22">
                  <c:v>4.1428571428571432</c:v>
                </c:pt>
                <c:pt idx="23">
                  <c:v>5.1428571428571432</c:v>
                </c:pt>
                <c:pt idx="24">
                  <c:v>6</c:v>
                </c:pt>
                <c:pt idx="25">
                  <c:v>6.5714285714285712</c:v>
                </c:pt>
                <c:pt idx="26">
                  <c:v>6.7142857142857144</c:v>
                </c:pt>
                <c:pt idx="27">
                  <c:v>7.1428571428571432</c:v>
                </c:pt>
                <c:pt idx="28">
                  <c:v>8.2857142857142865</c:v>
                </c:pt>
                <c:pt idx="29">
                  <c:v>8.7142857142857135</c:v>
                </c:pt>
                <c:pt idx="30">
                  <c:v>8.2857142857142865</c:v>
                </c:pt>
                <c:pt idx="31">
                  <c:v>9.1428571428571423</c:v>
                </c:pt>
                <c:pt idx="32">
                  <c:v>9.2857142857142865</c:v>
                </c:pt>
                <c:pt idx="33">
                  <c:v>10.428571428571429</c:v>
                </c:pt>
                <c:pt idx="34">
                  <c:v>10.857142857142858</c:v>
                </c:pt>
                <c:pt idx="35">
                  <c:v>10.428571428571429</c:v>
                </c:pt>
                <c:pt idx="36">
                  <c:v>10.857142857142858</c:v>
                </c:pt>
                <c:pt idx="37">
                  <c:v>11.857142857142858</c:v>
                </c:pt>
                <c:pt idx="38">
                  <c:v>12</c:v>
                </c:pt>
                <c:pt idx="39">
                  <c:v>12</c:v>
                </c:pt>
                <c:pt idx="40">
                  <c:v>10.285714285714286</c:v>
                </c:pt>
                <c:pt idx="41">
                  <c:v>9.8571428571428577</c:v>
                </c:pt>
                <c:pt idx="42">
                  <c:v>9.4285714285714288</c:v>
                </c:pt>
                <c:pt idx="43">
                  <c:v>9</c:v>
                </c:pt>
                <c:pt idx="44">
                  <c:v>7.4285714285714288</c:v>
                </c:pt>
                <c:pt idx="45">
                  <c:v>6</c:v>
                </c:pt>
                <c:pt idx="46">
                  <c:v>5.5714285714285712</c:v>
                </c:pt>
                <c:pt idx="47">
                  <c:v>6</c:v>
                </c:pt>
                <c:pt idx="48">
                  <c:v>5.8571428571428568</c:v>
                </c:pt>
                <c:pt idx="49">
                  <c:v>5.1428571428571432</c:v>
                </c:pt>
                <c:pt idx="50">
                  <c:v>4.7142857142857144</c:v>
                </c:pt>
                <c:pt idx="51">
                  <c:v>4.7142857142857144</c:v>
                </c:pt>
                <c:pt idx="52">
                  <c:v>5.2857142857142856</c:v>
                </c:pt>
                <c:pt idx="53">
                  <c:v>7.4285714285714288</c:v>
                </c:pt>
                <c:pt idx="54">
                  <c:v>7.1428571428571432</c:v>
                </c:pt>
                <c:pt idx="55">
                  <c:v>7.1428571428571432</c:v>
                </c:pt>
                <c:pt idx="56">
                  <c:v>7.8571428571428568</c:v>
                </c:pt>
                <c:pt idx="57">
                  <c:v>7.4285714285714288</c:v>
                </c:pt>
                <c:pt idx="58">
                  <c:v>7.1428571428571432</c:v>
                </c:pt>
                <c:pt idx="59">
                  <c:v>7</c:v>
                </c:pt>
                <c:pt idx="60">
                  <c:v>4.2857142857142856</c:v>
                </c:pt>
                <c:pt idx="61">
                  <c:v>5.2857142857142856</c:v>
                </c:pt>
                <c:pt idx="62">
                  <c:v>6.7142857142857144</c:v>
                </c:pt>
                <c:pt idx="63">
                  <c:v>5.8571428571428568</c:v>
                </c:pt>
                <c:pt idx="64">
                  <c:v>5.4285714285714288</c:v>
                </c:pt>
                <c:pt idx="65">
                  <c:v>5.5714285714285712</c:v>
                </c:pt>
                <c:pt idx="66">
                  <c:v>4.7142857142857144</c:v>
                </c:pt>
                <c:pt idx="67">
                  <c:v>4.1428571428571432</c:v>
                </c:pt>
                <c:pt idx="68">
                  <c:v>3</c:v>
                </c:pt>
                <c:pt idx="69">
                  <c:v>1.1428571428571428</c:v>
                </c:pt>
                <c:pt idx="70">
                  <c:v>0.7142857142857143</c:v>
                </c:pt>
                <c:pt idx="71">
                  <c:v>0.7142857142857143</c:v>
                </c:pt>
                <c:pt idx="72">
                  <c:v>0.7142857142857143</c:v>
                </c:pt>
                <c:pt idx="73">
                  <c:v>0.42857142857142855</c:v>
                </c:pt>
                <c:pt idx="74">
                  <c:v>0.5714285714285714</c:v>
                </c:pt>
                <c:pt idx="75">
                  <c:v>0.42857142857142855</c:v>
                </c:pt>
                <c:pt idx="76">
                  <c:v>0.42857142857142855</c:v>
                </c:pt>
                <c:pt idx="77">
                  <c:v>0.42857142857142855</c:v>
                </c:pt>
                <c:pt idx="78">
                  <c:v>0.42857142857142855</c:v>
                </c:pt>
                <c:pt idx="79">
                  <c:v>0.2857142857142857</c:v>
                </c:pt>
                <c:pt idx="80">
                  <c:v>0.42857142857142855</c:v>
                </c:pt>
                <c:pt idx="81">
                  <c:v>0.42857142857142855</c:v>
                </c:pt>
                <c:pt idx="82">
                  <c:v>0.7142857142857143</c:v>
                </c:pt>
                <c:pt idx="83">
                  <c:v>0.7142857142857143</c:v>
                </c:pt>
                <c:pt idx="84">
                  <c:v>0.7142857142857143</c:v>
                </c:pt>
                <c:pt idx="85">
                  <c:v>0.7142857142857143</c:v>
                </c:pt>
                <c:pt idx="86">
                  <c:v>0.8571428571428571</c:v>
                </c:pt>
                <c:pt idx="87">
                  <c:v>1</c:v>
                </c:pt>
                <c:pt idx="88">
                  <c:v>0.8571428571428571</c:v>
                </c:pt>
                <c:pt idx="89">
                  <c:v>1.2857142857142858</c:v>
                </c:pt>
                <c:pt idx="90">
                  <c:v>1.2857142857142858</c:v>
                </c:pt>
                <c:pt idx="91">
                  <c:v>1.2857142857142858</c:v>
                </c:pt>
                <c:pt idx="92">
                  <c:v>1.4285714285714286</c:v>
                </c:pt>
                <c:pt idx="93">
                  <c:v>1.1428571428571428</c:v>
                </c:pt>
                <c:pt idx="94">
                  <c:v>0.8571428571428571</c:v>
                </c:pt>
                <c:pt idx="95">
                  <c:v>1</c:v>
                </c:pt>
                <c:pt idx="96">
                  <c:v>0.5714285714285714</c:v>
                </c:pt>
                <c:pt idx="97">
                  <c:v>1.2857142857142858</c:v>
                </c:pt>
                <c:pt idx="98">
                  <c:v>2.8571428571428572</c:v>
                </c:pt>
                <c:pt idx="99">
                  <c:v>3.4285714285714284</c:v>
                </c:pt>
                <c:pt idx="100">
                  <c:v>3.7142857142857144</c:v>
                </c:pt>
                <c:pt idx="101">
                  <c:v>4.8571428571428568</c:v>
                </c:pt>
                <c:pt idx="102">
                  <c:v>7</c:v>
                </c:pt>
                <c:pt idx="103">
                  <c:v>9.5714285714285712</c:v>
                </c:pt>
                <c:pt idx="104">
                  <c:v>10.857142857142858</c:v>
                </c:pt>
                <c:pt idx="105">
                  <c:v>11.142857142857142</c:v>
                </c:pt>
                <c:pt idx="106">
                  <c:v>13.142857142857142</c:v>
                </c:pt>
                <c:pt idx="107">
                  <c:v>14.571428571428571</c:v>
                </c:pt>
                <c:pt idx="108">
                  <c:v>15.285714285714286</c:v>
                </c:pt>
                <c:pt idx="109">
                  <c:v>14</c:v>
                </c:pt>
                <c:pt idx="110">
                  <c:v>13</c:v>
                </c:pt>
                <c:pt idx="111">
                  <c:v>12.142857142857142</c:v>
                </c:pt>
                <c:pt idx="112">
                  <c:v>11.428571428571429</c:v>
                </c:pt>
                <c:pt idx="113">
                  <c:v>10.428571428571429</c:v>
                </c:pt>
                <c:pt idx="114">
                  <c:v>10.428571428571429</c:v>
                </c:pt>
                <c:pt idx="115">
                  <c:v>10.571428571428571</c:v>
                </c:pt>
                <c:pt idx="116">
                  <c:v>12.142857142857142</c:v>
                </c:pt>
                <c:pt idx="117">
                  <c:v>12.285714285714286</c:v>
                </c:pt>
                <c:pt idx="118">
                  <c:v>12.857142857142858</c:v>
                </c:pt>
                <c:pt idx="119">
                  <c:v>12</c:v>
                </c:pt>
                <c:pt idx="120">
                  <c:v>13.142857142857142</c:v>
                </c:pt>
                <c:pt idx="121">
                  <c:v>13.285714285714286</c:v>
                </c:pt>
                <c:pt idx="122">
                  <c:v>13</c:v>
                </c:pt>
                <c:pt idx="123">
                  <c:v>16.142857142857142</c:v>
                </c:pt>
                <c:pt idx="124">
                  <c:v>18</c:v>
                </c:pt>
                <c:pt idx="125">
                  <c:v>18.142857142857142</c:v>
                </c:pt>
                <c:pt idx="126">
                  <c:v>20.285714285714285</c:v>
                </c:pt>
                <c:pt idx="127">
                  <c:v>21.285714285714285</c:v>
                </c:pt>
                <c:pt idx="128">
                  <c:v>20.428571428571427</c:v>
                </c:pt>
                <c:pt idx="129">
                  <c:v>21</c:v>
                </c:pt>
                <c:pt idx="130">
                  <c:v>16.571428571428573</c:v>
                </c:pt>
                <c:pt idx="131">
                  <c:v>19.285714285714285</c:v>
                </c:pt>
                <c:pt idx="132">
                  <c:v>26.285714285714285</c:v>
                </c:pt>
                <c:pt idx="133">
                  <c:v>25.571428571428573</c:v>
                </c:pt>
                <c:pt idx="134">
                  <c:v>23</c:v>
                </c:pt>
                <c:pt idx="135">
                  <c:v>27.142857142857142</c:v>
                </c:pt>
                <c:pt idx="136">
                  <c:v>27.428571428571427</c:v>
                </c:pt>
                <c:pt idx="137">
                  <c:v>29.714285714285715</c:v>
                </c:pt>
                <c:pt idx="138">
                  <c:v>25.571428571428573</c:v>
                </c:pt>
                <c:pt idx="139">
                  <c:v>19.857142857142858</c:v>
                </c:pt>
                <c:pt idx="140">
                  <c:v>19.285714285714285</c:v>
                </c:pt>
                <c:pt idx="141">
                  <c:v>20.428571428571427</c:v>
                </c:pt>
                <c:pt idx="142">
                  <c:v>18.142857142857142</c:v>
                </c:pt>
                <c:pt idx="143">
                  <c:v>16.571428571428573</c:v>
                </c:pt>
                <c:pt idx="144">
                  <c:v>16</c:v>
                </c:pt>
                <c:pt idx="145">
                  <c:v>15.285714285714286</c:v>
                </c:pt>
                <c:pt idx="146">
                  <c:v>13</c:v>
                </c:pt>
                <c:pt idx="147">
                  <c:v>14.571428571428571</c:v>
                </c:pt>
                <c:pt idx="148">
                  <c:v>15.428571428571429</c:v>
                </c:pt>
                <c:pt idx="149">
                  <c:v>19</c:v>
                </c:pt>
                <c:pt idx="150">
                  <c:v>22</c:v>
                </c:pt>
                <c:pt idx="151">
                  <c:v>22.714285714285715</c:v>
                </c:pt>
                <c:pt idx="152">
                  <c:v>24.285714285714285</c:v>
                </c:pt>
                <c:pt idx="153">
                  <c:v>29.428571428571427</c:v>
                </c:pt>
                <c:pt idx="154">
                  <c:v>32.571428571428569</c:v>
                </c:pt>
                <c:pt idx="155">
                  <c:v>33.857142857142854</c:v>
                </c:pt>
                <c:pt idx="156">
                  <c:v>32.142857142857146</c:v>
                </c:pt>
                <c:pt idx="157">
                  <c:v>33.142857142857146</c:v>
                </c:pt>
                <c:pt idx="158">
                  <c:v>35.714285714285715</c:v>
                </c:pt>
                <c:pt idx="159">
                  <c:v>36.428571428571431</c:v>
                </c:pt>
                <c:pt idx="160">
                  <c:v>35.714285714285715</c:v>
                </c:pt>
                <c:pt idx="161">
                  <c:v>32.142857142857146</c:v>
                </c:pt>
                <c:pt idx="162">
                  <c:v>30.714285714285715</c:v>
                </c:pt>
                <c:pt idx="163">
                  <c:v>32.571428571428569</c:v>
                </c:pt>
                <c:pt idx="164">
                  <c:v>33.142857142857146</c:v>
                </c:pt>
                <c:pt idx="165">
                  <c:v>32</c:v>
                </c:pt>
                <c:pt idx="166">
                  <c:v>33.428571428571431</c:v>
                </c:pt>
                <c:pt idx="167">
                  <c:v>33.428571428571431</c:v>
                </c:pt>
                <c:pt idx="168">
                  <c:v>36.714285714285715</c:v>
                </c:pt>
                <c:pt idx="169">
                  <c:v>38.285714285714285</c:v>
                </c:pt>
                <c:pt idx="170">
                  <c:v>35.428571428571431</c:v>
                </c:pt>
                <c:pt idx="171">
                  <c:v>36.428571428571431</c:v>
                </c:pt>
                <c:pt idx="172">
                  <c:v>35.857142857142854</c:v>
                </c:pt>
                <c:pt idx="173">
                  <c:v>36.857142857142854</c:v>
                </c:pt>
                <c:pt idx="174">
                  <c:v>34.571428571428569</c:v>
                </c:pt>
                <c:pt idx="175">
                  <c:v>37.428571428571431</c:v>
                </c:pt>
                <c:pt idx="176">
                  <c:v>39.714285714285715</c:v>
                </c:pt>
                <c:pt idx="177">
                  <c:v>40.714285714285715</c:v>
                </c:pt>
                <c:pt idx="178">
                  <c:v>44.142857142857146</c:v>
                </c:pt>
                <c:pt idx="179">
                  <c:v>45.571428571428569</c:v>
                </c:pt>
                <c:pt idx="180">
                  <c:v>43.428571428571431</c:v>
                </c:pt>
                <c:pt idx="181">
                  <c:v>45</c:v>
                </c:pt>
                <c:pt idx="182">
                  <c:v>40.285714285714285</c:v>
                </c:pt>
                <c:pt idx="183">
                  <c:v>39.857142857142854</c:v>
                </c:pt>
                <c:pt idx="184">
                  <c:v>39.714285714285715</c:v>
                </c:pt>
                <c:pt idx="185">
                  <c:v>42.857142857142854</c:v>
                </c:pt>
                <c:pt idx="186">
                  <c:v>45.142857142857146</c:v>
                </c:pt>
                <c:pt idx="187">
                  <c:v>45.571428571428569</c:v>
                </c:pt>
                <c:pt idx="188">
                  <c:v>44.285714285714285</c:v>
                </c:pt>
                <c:pt idx="189">
                  <c:v>42.857142857142854</c:v>
                </c:pt>
                <c:pt idx="190">
                  <c:v>39.428571428571431</c:v>
                </c:pt>
                <c:pt idx="191">
                  <c:v>37.285714285714285</c:v>
                </c:pt>
                <c:pt idx="192">
                  <c:v>30.714285714285715</c:v>
                </c:pt>
                <c:pt idx="193">
                  <c:v>28</c:v>
                </c:pt>
                <c:pt idx="194">
                  <c:v>28</c:v>
                </c:pt>
                <c:pt idx="195">
                  <c:v>30.571428571428573</c:v>
                </c:pt>
                <c:pt idx="196">
                  <c:v>31.142857142857142</c:v>
                </c:pt>
                <c:pt idx="197">
                  <c:v>32.857142857142854</c:v>
                </c:pt>
                <c:pt idx="198">
                  <c:v>36.285714285714285</c:v>
                </c:pt>
                <c:pt idx="199">
                  <c:v>36.428571428571431</c:v>
                </c:pt>
                <c:pt idx="200">
                  <c:v>40.714285714285715</c:v>
                </c:pt>
                <c:pt idx="201">
                  <c:v>44.857142857142854</c:v>
                </c:pt>
                <c:pt idx="202">
                  <c:v>47.285714285714285</c:v>
                </c:pt>
                <c:pt idx="203">
                  <c:v>48.714285714285715</c:v>
                </c:pt>
                <c:pt idx="204">
                  <c:v>47.285714285714285</c:v>
                </c:pt>
                <c:pt idx="205">
                  <c:v>50.285714285714285</c:v>
                </c:pt>
                <c:pt idx="206">
                  <c:v>51.428571428571431</c:v>
                </c:pt>
                <c:pt idx="207">
                  <c:v>51.857142857142854</c:v>
                </c:pt>
                <c:pt idx="208">
                  <c:v>53</c:v>
                </c:pt>
                <c:pt idx="209">
                  <c:v>55.142857142857146</c:v>
                </c:pt>
                <c:pt idx="210">
                  <c:v>67.285714285714292</c:v>
                </c:pt>
                <c:pt idx="211">
                  <c:v>77.285714285714292</c:v>
                </c:pt>
                <c:pt idx="212">
                  <c:v>83.714285714285708</c:v>
                </c:pt>
                <c:pt idx="213">
                  <c:v>107</c:v>
                </c:pt>
                <c:pt idx="214">
                  <c:v>116.85714285714286</c:v>
                </c:pt>
                <c:pt idx="215">
                  <c:v>127</c:v>
                </c:pt>
                <c:pt idx="216">
                  <c:v>136.85714285714286</c:v>
                </c:pt>
                <c:pt idx="217">
                  <c:v>140</c:v>
                </c:pt>
                <c:pt idx="218">
                  <c:v>146.71428571428572</c:v>
                </c:pt>
                <c:pt idx="219">
                  <c:v>168</c:v>
                </c:pt>
                <c:pt idx="220">
                  <c:v>189.42857142857142</c:v>
                </c:pt>
                <c:pt idx="221">
                  <c:v>218.85714285714286</c:v>
                </c:pt>
                <c:pt idx="222">
                  <c:v>243.71428571428572</c:v>
                </c:pt>
                <c:pt idx="223">
                  <c:v>271.14285714285717</c:v>
                </c:pt>
                <c:pt idx="224">
                  <c:v>307.42857142857144</c:v>
                </c:pt>
                <c:pt idx="225">
                  <c:v>332.85714285714283</c:v>
                </c:pt>
                <c:pt idx="226">
                  <c:v>356.28571428571428</c:v>
                </c:pt>
                <c:pt idx="227">
                  <c:v>384.14285714285717</c:v>
                </c:pt>
                <c:pt idx="228">
                  <c:v>435.14285714285717</c:v>
                </c:pt>
                <c:pt idx="229">
                  <c:v>493.14285714285717</c:v>
                </c:pt>
                <c:pt idx="230">
                  <c:v>510.85714285714283</c:v>
                </c:pt>
                <c:pt idx="231">
                  <c:v>550.28571428571433</c:v>
                </c:pt>
                <c:pt idx="232">
                  <c:v>630.57142857142856</c:v>
                </c:pt>
                <c:pt idx="233">
                  <c:v>681.57142857142856</c:v>
                </c:pt>
                <c:pt idx="234">
                  <c:v>722.85714285714289</c:v>
                </c:pt>
                <c:pt idx="235">
                  <c:v>749.57142857142856</c:v>
                </c:pt>
                <c:pt idx="236">
                  <c:v>776.85714285714289</c:v>
                </c:pt>
                <c:pt idx="237">
                  <c:v>815.57142857142856</c:v>
                </c:pt>
                <c:pt idx="238">
                  <c:v>826.28571428571433</c:v>
                </c:pt>
                <c:pt idx="239">
                  <c:v>848.85714285714289</c:v>
                </c:pt>
                <c:pt idx="240">
                  <c:v>924.42857142857144</c:v>
                </c:pt>
                <c:pt idx="241">
                  <c:v>984.71428571428567</c:v>
                </c:pt>
                <c:pt idx="242">
                  <c:v>1058</c:v>
                </c:pt>
                <c:pt idx="243">
                  <c:v>1105</c:v>
                </c:pt>
                <c:pt idx="244">
                  <c:v>1150.7142857142858</c:v>
                </c:pt>
                <c:pt idx="245">
                  <c:v>1177.4285714285713</c:v>
                </c:pt>
                <c:pt idx="246">
                  <c:v>1211.8571428571429</c:v>
                </c:pt>
                <c:pt idx="247">
                  <c:v>1247.1428571428571</c:v>
                </c:pt>
                <c:pt idx="248">
                  <c:v>1309</c:v>
                </c:pt>
                <c:pt idx="249">
                  <c:v>1386.4285714285713</c:v>
                </c:pt>
                <c:pt idx="250">
                  <c:v>1469.4285714285713</c:v>
                </c:pt>
                <c:pt idx="251">
                  <c:v>1499.5714285714287</c:v>
                </c:pt>
                <c:pt idx="252">
                  <c:v>1543.4285714285713</c:v>
                </c:pt>
                <c:pt idx="253">
                  <c:v>1525.1428571428571</c:v>
                </c:pt>
                <c:pt idx="254">
                  <c:v>1485.5714285714287</c:v>
                </c:pt>
                <c:pt idx="255">
                  <c:v>1422.2857142857142</c:v>
                </c:pt>
                <c:pt idx="256">
                  <c:v>1310.2857142857142</c:v>
                </c:pt>
                <c:pt idx="257">
                  <c:v>1182.2857142857142</c:v>
                </c:pt>
                <c:pt idx="258">
                  <c:v>1122.5714285714287</c:v>
                </c:pt>
                <c:pt idx="259">
                  <c:v>1024.7142857142858</c:v>
                </c:pt>
                <c:pt idx="260">
                  <c:v>971.14285714285711</c:v>
                </c:pt>
                <c:pt idx="261">
                  <c:v>945.42857142857144</c:v>
                </c:pt>
                <c:pt idx="262">
                  <c:v>884.85714285714289</c:v>
                </c:pt>
                <c:pt idx="263">
                  <c:v>843.42857142857144</c:v>
                </c:pt>
                <c:pt idx="264">
                  <c:v>811.57142857142856</c:v>
                </c:pt>
                <c:pt idx="265">
                  <c:v>768.42857142857144</c:v>
                </c:pt>
                <c:pt idx="266">
                  <c:v>766.85714285714289</c:v>
                </c:pt>
                <c:pt idx="267">
                  <c:v>740.14285714285711</c:v>
                </c:pt>
                <c:pt idx="268">
                  <c:v>676.28571428571433</c:v>
                </c:pt>
                <c:pt idx="269">
                  <c:v>669.14285714285711</c:v>
                </c:pt>
                <c:pt idx="270">
                  <c:v>646.42857142857144</c:v>
                </c:pt>
                <c:pt idx="271">
                  <c:v>594.42857142857144</c:v>
                </c:pt>
                <c:pt idx="272">
                  <c:v>546</c:v>
                </c:pt>
                <c:pt idx="273">
                  <c:v>518.28571428571433</c:v>
                </c:pt>
                <c:pt idx="274">
                  <c:v>508</c:v>
                </c:pt>
                <c:pt idx="275">
                  <c:v>474.28571428571428</c:v>
                </c:pt>
                <c:pt idx="276">
                  <c:v>407.71428571428572</c:v>
                </c:pt>
                <c:pt idx="277">
                  <c:v>342.28571428571428</c:v>
                </c:pt>
                <c:pt idx="278">
                  <c:v>320.14285714285717</c:v>
                </c:pt>
                <c:pt idx="279">
                  <c:v>313.57142857142856</c:v>
                </c:pt>
                <c:pt idx="280">
                  <c:v>293.28571428571428</c:v>
                </c:pt>
                <c:pt idx="281">
                  <c:v>255.42857142857142</c:v>
                </c:pt>
                <c:pt idx="282">
                  <c:v>254.42857142857142</c:v>
                </c:pt>
                <c:pt idx="283">
                  <c:v>245.28571428571428</c:v>
                </c:pt>
                <c:pt idx="284">
                  <c:v>283.85714285714283</c:v>
                </c:pt>
                <c:pt idx="285">
                  <c:v>286.71428571428572</c:v>
                </c:pt>
                <c:pt idx="286">
                  <c:v>290.28571428571428</c:v>
                </c:pt>
                <c:pt idx="287">
                  <c:v>304.85714285714283</c:v>
                </c:pt>
                <c:pt idx="288">
                  <c:v>314.71428571428572</c:v>
                </c:pt>
                <c:pt idx="289">
                  <c:v>297.85714285714283</c:v>
                </c:pt>
                <c:pt idx="290">
                  <c:v>284.71428571428572</c:v>
                </c:pt>
                <c:pt idx="291">
                  <c:v>262</c:v>
                </c:pt>
                <c:pt idx="292">
                  <c:v>253.14285714285714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27A-4CD2-83FD-53D44380F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64301"/>
        <c:axId val="1898919646"/>
      </c:lineChart>
      <c:catAx>
        <c:axId val="2508697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359660997"/>
        <c:crosses val="autoZero"/>
        <c:auto val="1"/>
        <c:lblAlgn val="ctr"/>
        <c:lblOffset val="100"/>
        <c:noMultiLvlLbl val="1"/>
      </c:catAx>
      <c:valAx>
        <c:axId val="1359660997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250869761"/>
        <c:crosses val="autoZero"/>
        <c:crossBetween val="between"/>
      </c:valAx>
      <c:catAx>
        <c:axId val="157796430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98919646"/>
        <c:crosses val="autoZero"/>
        <c:auto val="1"/>
        <c:lblAlgn val="ctr"/>
        <c:lblOffset val="100"/>
        <c:noMultiLvlLbl val="1"/>
      </c:catAx>
      <c:valAx>
        <c:axId val="1898919646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577964301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Podlaskiego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Województwa'!$BU$2</c:f>
              <c:strCache>
                <c:ptCount val="1"/>
                <c:pt idx="0">
                  <c:v>Podlaskie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Województwa'!$BU$3:$BU$1000</c:f>
              <c:numCache>
                <c:formatCode>General</c:formatCode>
                <c:ptCount val="998"/>
                <c:pt idx="36" formatCode="0.0000">
                  <c:v>1.5356125356125359</c:v>
                </c:pt>
                <c:pt idx="37" formatCode="0.0000">
                  <c:v>1.3837798027779127</c:v>
                </c:pt>
                <c:pt idx="38" formatCode="0.0000">
                  <c:v>1.3618381632097762</c:v>
                </c:pt>
                <c:pt idx="39" formatCode="0.0000">
                  <c:v>1.111428021792251</c:v>
                </c:pt>
                <c:pt idx="40" formatCode="0.0000">
                  <c:v>1.2459308394441118</c:v>
                </c:pt>
                <c:pt idx="41" formatCode="0.0000">
                  <c:v>1.1967227532187672</c:v>
                </c:pt>
                <c:pt idx="42" formatCode="0.0000">
                  <c:v>1.1796346795953931</c:v>
                </c:pt>
                <c:pt idx="43" formatCode="0.0000">
                  <c:v>0.98562743612754566</c:v>
                </c:pt>
                <c:pt idx="44" formatCode="0.0000">
                  <c:v>0.99167417351118947</c:v>
                </c:pt>
                <c:pt idx="45" formatCode="0.0000">
                  <c:v>0.92325178834805288</c:v>
                </c:pt>
                <c:pt idx="46" formatCode="0.0000">
                  <c:v>1.1077152228299749</c:v>
                </c:pt>
                <c:pt idx="47" formatCode="0.0000">
                  <c:v>0.8960331600085405</c:v>
                </c:pt>
                <c:pt idx="48" formatCode="0.0000">
                  <c:v>0.81775734977183545</c:v>
                </c:pt>
                <c:pt idx="49" formatCode="0.0000">
                  <c:v>0.71630411388571524</c:v>
                </c:pt>
                <c:pt idx="50" formatCode="0.0000">
                  <c:v>0.72551681686792124</c:v>
                </c:pt>
                <c:pt idx="51" formatCode="0.0000">
                  <c:v>0.62103252210394266</c:v>
                </c:pt>
                <c:pt idx="52" formatCode="0.0000">
                  <c:v>0.54266224817116226</c:v>
                </c:pt>
                <c:pt idx="53" formatCode="0.0000">
                  <c:v>0.52218585083279634</c:v>
                </c:pt>
                <c:pt idx="54" formatCode="0.0000">
                  <c:v>0.5220612831711543</c:v>
                </c:pt>
                <c:pt idx="55" formatCode="0.0000">
                  <c:v>0.52827850624961292</c:v>
                </c:pt>
                <c:pt idx="56" formatCode="0.0000">
                  <c:v>0.51047417320884325</c:v>
                </c:pt>
                <c:pt idx="57" formatCode="0.0000">
                  <c:v>0.47589549432126538</c:v>
                </c:pt>
                <c:pt idx="58" formatCode="0.0000">
                  <c:v>0.57948345077171326</c:v>
                </c:pt>
                <c:pt idx="59" formatCode="0.0000">
                  <c:v>0.53799684071427289</c:v>
                </c:pt>
                <c:pt idx="60" formatCode="0.0000">
                  <c:v>0.37343815808438013</c:v>
                </c:pt>
                <c:pt idx="61" formatCode="0.0000">
                  <c:v>0.35841551065412997</c:v>
                </c:pt>
                <c:pt idx="62" formatCode="0.0000">
                  <c:v>0.29466233751351301</c:v>
                </c:pt>
                <c:pt idx="63" formatCode="0.0000">
                  <c:v>0.29697812685920544</c:v>
                </c:pt>
                <c:pt idx="64" formatCode="0.0000">
                  <c:v>0.33828406463318406</c:v>
                </c:pt>
                <c:pt idx="65" formatCode="0.0000">
                  <c:v>0.20311595367050783</c:v>
                </c:pt>
                <c:pt idx="66" formatCode="0.0000">
                  <c:v>0.30492933322320137</c:v>
                </c:pt>
                <c:pt idx="67" formatCode="0.0000">
                  <c:v>0.25404417906101295</c:v>
                </c:pt>
                <c:pt idx="68" formatCode="0.0000">
                  <c:v>0.28795768991772469</c:v>
                </c:pt>
                <c:pt idx="69" formatCode="0.0000">
                  <c:v>0.28795768991772469</c:v>
                </c:pt>
                <c:pt idx="70" formatCode="0.0000">
                  <c:v>0.32964447092123444</c:v>
                </c:pt>
                <c:pt idx="71" formatCode="0.0000">
                  <c:v>0.28833853314725572</c:v>
                </c:pt>
                <c:pt idx="72" formatCode="0.0000">
                  <c:v>0.34038059549953659</c:v>
                </c:pt>
                <c:pt idx="73" formatCode="0.0000">
                  <c:v>0.34118544256109856</c:v>
                </c:pt>
                <c:pt idx="74" formatCode="0.0000">
                  <c:v>0.34118544256109862</c:v>
                </c:pt>
                <c:pt idx="75" formatCode="0.0000">
                  <c:v>0.40399303150468807</c:v>
                </c:pt>
                <c:pt idx="76" formatCode="0.0000">
                  <c:v>0.53103528056856253</c:v>
                </c:pt>
                <c:pt idx="77" formatCode="0.0000">
                  <c:v>1.6141712052233774</c:v>
                </c:pt>
                <c:pt idx="78" formatCode="0.0000">
                  <c:v>2.0617355234256154</c:v>
                </c:pt>
                <c:pt idx="79" formatCode="0.0000">
                  <c:v>1.9637187344025708</c:v>
                </c:pt>
                <c:pt idx="80" formatCode="0.0000">
                  <c:v>2.2041386443601154</c:v>
                </c:pt>
                <c:pt idx="81" formatCode="0.0000">
                  <c:v>2.3470496462707806</c:v>
                </c:pt>
                <c:pt idx="82" formatCode="0.0000">
                  <c:v>2.4128466918844964</c:v>
                </c:pt>
                <c:pt idx="83" formatCode="0.0000">
                  <c:v>2.5131372540065868</c:v>
                </c:pt>
                <c:pt idx="84" formatCode="0.0000">
                  <c:v>1.6448584908407169</c:v>
                </c:pt>
                <c:pt idx="85" formatCode="0.0000">
                  <c:v>1.5252262502659548</c:v>
                </c:pt>
                <c:pt idx="86" formatCode="0.0000">
                  <c:v>1.6174657275642204</c:v>
                </c:pt>
                <c:pt idx="87" formatCode="0.0000">
                  <c:v>1.3715849468353272</c:v>
                </c:pt>
                <c:pt idx="88" formatCode="0.0000">
                  <c:v>1.3644206830696402</c:v>
                </c:pt>
                <c:pt idx="89" formatCode="0.0000">
                  <c:v>1.2080626588554677</c:v>
                </c:pt>
                <c:pt idx="90" formatCode="0.0000">
                  <c:v>1.28750736840222</c:v>
                </c:pt>
                <c:pt idx="91" formatCode="0.0000">
                  <c:v>1.1587657610889861</c:v>
                </c:pt>
                <c:pt idx="92" formatCode="0.0000">
                  <c:v>1.1532464193020293</c:v>
                </c:pt>
                <c:pt idx="93" formatCode="0.0000">
                  <c:v>1.3890078309063991</c:v>
                </c:pt>
                <c:pt idx="94" formatCode="0.0000">
                  <c:v>1.4763574262228414</c:v>
                </c:pt>
                <c:pt idx="95" formatCode="0.0000">
                  <c:v>1.4291754579692328</c:v>
                </c:pt>
                <c:pt idx="96" formatCode="0.0000">
                  <c:v>1.8866540817089825</c:v>
                </c:pt>
                <c:pt idx="97" formatCode="0.0000">
                  <c:v>1.6840237189905847</c:v>
                </c:pt>
                <c:pt idx="98" formatCode="0.0000">
                  <c:v>1.7901434385771393</c:v>
                </c:pt>
                <c:pt idx="99" formatCode="0.0000">
                  <c:v>1.6438176150447463</c:v>
                </c:pt>
                <c:pt idx="100" formatCode="0.0000">
                  <c:v>1.4552543559220177</c:v>
                </c:pt>
                <c:pt idx="101" formatCode="0.0000">
                  <c:v>1.5350333235021971</c:v>
                </c:pt>
                <c:pt idx="102" formatCode="0.0000">
                  <c:v>1.5712344572828791</c:v>
                </c:pt>
                <c:pt idx="103" formatCode="0.0000">
                  <c:v>1.4042969173250879</c:v>
                </c:pt>
                <c:pt idx="104" formatCode="0.0000">
                  <c:v>1.4554450358357194</c:v>
                </c:pt>
                <c:pt idx="105" formatCode="0.0000">
                  <c:v>1.2671856688622491</c:v>
                </c:pt>
                <c:pt idx="106" formatCode="0.0000">
                  <c:v>1.3171011304332858</c:v>
                </c:pt>
                <c:pt idx="107" formatCode="0.0000">
                  <c:v>1.3283579154148171</c:v>
                </c:pt>
                <c:pt idx="108" formatCode="0.0000">
                  <c:v>1.2250962982605758</c:v>
                </c:pt>
                <c:pt idx="109" formatCode="0.0000">
                  <c:v>1.2697780495574003</c:v>
                </c:pt>
                <c:pt idx="110" formatCode="0.0000">
                  <c:v>1.1101159102780362</c:v>
                </c:pt>
                <c:pt idx="111" formatCode="0.0000">
                  <c:v>1.2024136395638454</c:v>
                </c:pt>
                <c:pt idx="112" formatCode="0.0000">
                  <c:v>1.2172637341501786</c:v>
                </c:pt>
                <c:pt idx="113" formatCode="0.0000">
                  <c:v>1.1239642235022096</c:v>
                </c:pt>
                <c:pt idx="114" formatCode="0.0000">
                  <c:v>1.1176466271134717</c:v>
                </c:pt>
                <c:pt idx="115" formatCode="0.0000">
                  <c:v>1.1110770527174776</c:v>
                </c:pt>
                <c:pt idx="116" formatCode="0.0000">
                  <c:v>1.033239774986461</c:v>
                </c:pt>
                <c:pt idx="117" formatCode="0.0000">
                  <c:v>1.0720272550062531</c:v>
                </c:pt>
                <c:pt idx="118" formatCode="0.0000">
                  <c:v>0.99633862573178811</c:v>
                </c:pt>
                <c:pt idx="119" formatCode="0.0000">
                  <c:v>1.0954270428585811</c:v>
                </c:pt>
                <c:pt idx="120" formatCode="0.0000">
                  <c:v>1.0093542635788335</c:v>
                </c:pt>
                <c:pt idx="121" formatCode="0.0000">
                  <c:v>0.9268913377309328</c:v>
                </c:pt>
                <c:pt idx="122" formatCode="0.0000">
                  <c:v>0.85103118551036394</c:v>
                </c:pt>
                <c:pt idx="123" formatCode="0.0000">
                  <c:v>0.91540618248583372</c:v>
                </c:pt>
                <c:pt idx="124" formatCode="0.0000">
                  <c:v>0.73524682610709113</c:v>
                </c:pt>
                <c:pt idx="125" formatCode="0.0000">
                  <c:v>0.61712534510553829</c:v>
                </c:pt>
                <c:pt idx="126" formatCode="0.0000">
                  <c:v>0.45011461495343946</c:v>
                </c:pt>
                <c:pt idx="127" formatCode="0.0000">
                  <c:v>0.52001519952382258</c:v>
                </c:pt>
                <c:pt idx="128" formatCode="0.0000">
                  <c:v>0.56068541504836233</c:v>
                </c:pt>
                <c:pt idx="129" formatCode="0.0000">
                  <c:v>0.51772045550496415</c:v>
                </c:pt>
                <c:pt idx="130" formatCode="0.0000">
                  <c:v>0.40164403516297487</c:v>
                </c:pt>
                <c:pt idx="131" formatCode="0.0000">
                  <c:v>0.44469077737368029</c:v>
                </c:pt>
                <c:pt idx="132" formatCode="0.0000">
                  <c:v>0.39090788183893854</c:v>
                </c:pt>
                <c:pt idx="133" formatCode="0.0000">
                  <c:v>0.38947713145292917</c:v>
                </c:pt>
                <c:pt idx="134" formatCode="0.0000">
                  <c:v>0.30467851019067865</c:v>
                </c:pt>
                <c:pt idx="135" formatCode="0.0000">
                  <c:v>0.20209440214133881</c:v>
                </c:pt>
                <c:pt idx="136" formatCode="0.0000">
                  <c:v>0.3330606558061836</c:v>
                </c:pt>
                <c:pt idx="137" formatCode="0.0000">
                  <c:v>0.41520130171640623</c:v>
                </c:pt>
                <c:pt idx="138" formatCode="0.0000">
                  <c:v>0.34846777521103139</c:v>
                </c:pt>
                <c:pt idx="139" formatCode="0.0000">
                  <c:v>0.54235706801651762</c:v>
                </c:pt>
                <c:pt idx="140" formatCode="0.0000">
                  <c:v>0.60650437408407598</c:v>
                </c:pt>
                <c:pt idx="141" formatCode="0.0000">
                  <c:v>0.8176611703841159</c:v>
                </c:pt>
                <c:pt idx="142" formatCode="0.0000">
                  <c:v>0.9059818409264323</c:v>
                </c:pt>
                <c:pt idx="143" formatCode="0.0000">
                  <c:v>0.97292398773031807</c:v>
                </c:pt>
                <c:pt idx="144" formatCode="0.0000">
                  <c:v>1.2362927435845517</c:v>
                </c:pt>
                <c:pt idx="145" formatCode="0.0000">
                  <c:v>1.3052217609993892</c:v>
                </c:pt>
                <c:pt idx="146" formatCode="0.0000">
                  <c:v>1.3718430911594872</c:v>
                </c:pt>
                <c:pt idx="147" formatCode="0.0000">
                  <c:v>1.5459907979638481</c:v>
                </c:pt>
                <c:pt idx="148" formatCode="0.0000">
                  <c:v>1.5105619252956921</c:v>
                </c:pt>
                <c:pt idx="149" formatCode="0.0000">
                  <c:v>1.6171120229200506</c:v>
                </c:pt>
                <c:pt idx="150" formatCode="0.0000">
                  <c:v>1.5423476987173552</c:v>
                </c:pt>
                <c:pt idx="151" formatCode="0.0000">
                  <c:v>1.2611201133920777</c:v>
                </c:pt>
                <c:pt idx="152" formatCode="0.0000">
                  <c:v>1.4360494470261707</c:v>
                </c:pt>
                <c:pt idx="153" formatCode="0.0000">
                  <c:v>1.4216363954090299</c:v>
                </c:pt>
                <c:pt idx="154" formatCode="0.0000">
                  <c:v>1.48985303568742</c:v>
                </c:pt>
                <c:pt idx="155" formatCode="0.0000">
                  <c:v>1.4695706780059297</c:v>
                </c:pt>
                <c:pt idx="156" formatCode="0.0000">
                  <c:v>1.5793975112847636</c:v>
                </c:pt>
                <c:pt idx="157" formatCode="0.0000">
                  <c:v>1.4360505403516899</c:v>
                </c:pt>
                <c:pt idx="158" formatCode="0.0000">
                  <c:v>1.5440155153110677</c:v>
                </c:pt>
                <c:pt idx="159" formatCode="0.0000">
                  <c:v>1.465495876940391</c:v>
                </c:pt>
                <c:pt idx="160" formatCode="0.0000">
                  <c:v>1.3487609993036247</c:v>
                </c:pt>
                <c:pt idx="161" formatCode="0.0000">
                  <c:v>1.1288998068796507</c:v>
                </c:pt>
                <c:pt idx="162" formatCode="0.0000">
                  <c:v>1.0597823425676218</c:v>
                </c:pt>
                <c:pt idx="163" formatCode="0.0000">
                  <c:v>1.0490927606733143</c:v>
                </c:pt>
                <c:pt idx="164" formatCode="0.0000">
                  <c:v>1.4994019237168119</c:v>
                </c:pt>
                <c:pt idx="165" formatCode="0.0000">
                  <c:v>1.3553872909562579</c:v>
                </c:pt>
                <c:pt idx="166" formatCode="0.0000">
                  <c:v>1.226870308008692</c:v>
                </c:pt>
                <c:pt idx="167" formatCode="0.0000">
                  <c:v>1.166156362191799</c:v>
                </c:pt>
                <c:pt idx="168" formatCode="0.0000">
                  <c:v>1.1997184516167543</c:v>
                </c:pt>
                <c:pt idx="169" formatCode="0.0000">
                  <c:v>1.1996579633197562</c:v>
                </c:pt>
                <c:pt idx="170" formatCode="0.0000">
                  <c:v>1.0871613512610139</c:v>
                </c:pt>
                <c:pt idx="171" formatCode="0.0000">
                  <c:v>0.70880363249097234</c:v>
                </c:pt>
                <c:pt idx="172" formatCode="0.0000">
                  <c:v>0.74859150212575665</c:v>
                </c:pt>
                <c:pt idx="173" formatCode="0.0000">
                  <c:v>0.80762849747390431</c:v>
                </c:pt>
                <c:pt idx="174" formatCode="0.0000">
                  <c:v>0.87309456724866286</c:v>
                </c:pt>
                <c:pt idx="175" formatCode="0.0000">
                  <c:v>1.1983334755455746</c:v>
                </c:pt>
                <c:pt idx="176" formatCode="0.0000">
                  <c:v>1.2455560312019494</c:v>
                </c:pt>
                <c:pt idx="177" formatCode="0.0000">
                  <c:v>1.2132210959646801</c:v>
                </c:pt>
                <c:pt idx="178" formatCode="0.0000">
                  <c:v>1.1876094712585032</c:v>
                </c:pt>
                <c:pt idx="179" formatCode="0.0000">
                  <c:v>1.4023231722554108</c:v>
                </c:pt>
                <c:pt idx="180" formatCode="0.0000">
                  <c:v>1.3520437314510427</c:v>
                </c:pt>
                <c:pt idx="181" formatCode="0.0000">
                  <c:v>1.3315335158094703</c:v>
                </c:pt>
                <c:pt idx="182" formatCode="0.0000">
                  <c:v>0.98802287319618398</c:v>
                </c:pt>
                <c:pt idx="183" formatCode="0.0000">
                  <c:v>0.9150050289187186</c:v>
                </c:pt>
                <c:pt idx="184" formatCode="0.0000">
                  <c:v>0.90457708550425031</c:v>
                </c:pt>
                <c:pt idx="185" formatCode="0.0000">
                  <c:v>0.95426730104061919</c:v>
                </c:pt>
                <c:pt idx="186" formatCode="0.0000">
                  <c:v>0.78984586561900172</c:v>
                </c:pt>
                <c:pt idx="187" formatCode="0.0000">
                  <c:v>0.94259198612605744</c:v>
                </c:pt>
                <c:pt idx="188" formatCode="0.0000">
                  <c:v>1.0839982794503291</c:v>
                </c:pt>
                <c:pt idx="189" formatCode="0.0000">
                  <c:v>1.0625804555088934</c:v>
                </c:pt>
                <c:pt idx="190" formatCode="0.0000">
                  <c:v>1.032856345862373</c:v>
                </c:pt>
                <c:pt idx="191" formatCode="0.0000">
                  <c:v>1.1115195319212834</c:v>
                </c:pt>
                <c:pt idx="192" formatCode="0.0000">
                  <c:v>1.4173628124159561</c:v>
                </c:pt>
                <c:pt idx="193" formatCode="0.0000">
                  <c:v>1.3087532644897213</c:v>
                </c:pt>
                <c:pt idx="194" formatCode="0.0000">
                  <c:v>1.2964537009973722</c:v>
                </c:pt>
                <c:pt idx="195" formatCode="0.0000">
                  <c:v>1.1253617082185672</c:v>
                </c:pt>
                <c:pt idx="196" formatCode="0.0000">
                  <c:v>1.139363673353248</c:v>
                </c:pt>
                <c:pt idx="197" formatCode="0.0000">
                  <c:v>1.3840659998371059</c:v>
                </c:pt>
                <c:pt idx="198" formatCode="0.0000">
                  <c:v>1.3913973394232464</c:v>
                </c:pt>
                <c:pt idx="199" formatCode="0.0000">
                  <c:v>1.109575134599434</c:v>
                </c:pt>
                <c:pt idx="200" formatCode="0.0000">
                  <c:v>1.2783394297108921</c:v>
                </c:pt>
                <c:pt idx="201" formatCode="0.0000">
                  <c:v>1.2699757420676512</c:v>
                </c:pt>
                <c:pt idx="202" formatCode="0.0000">
                  <c:v>1.2923390202555478</c:v>
                </c:pt>
                <c:pt idx="203" formatCode="0.0000">
                  <c:v>1.3479282237306034</c:v>
                </c:pt>
                <c:pt idx="204" formatCode="0.0000">
                  <c:v>1.2210622769925545</c:v>
                </c:pt>
                <c:pt idx="205" formatCode="0.0000">
                  <c:v>1.2965295134822514</c:v>
                </c:pt>
                <c:pt idx="206" formatCode="0.0000">
                  <c:v>1.5296639976556676</c:v>
                </c:pt>
                <c:pt idx="207" formatCode="0.0000">
                  <c:v>1.7345272556441511</c:v>
                </c:pt>
                <c:pt idx="208" formatCode="0.0000">
                  <c:v>1.8395783148251368</c:v>
                </c:pt>
                <c:pt idx="209" formatCode="0.0000">
                  <c:v>1.9584268460253391</c:v>
                </c:pt>
                <c:pt idx="210" formatCode="0.0000">
                  <c:v>1.9811874768810855</c:v>
                </c:pt>
                <c:pt idx="211" formatCode="0.0000">
                  <c:v>1.9907995263831413</c:v>
                </c:pt>
                <c:pt idx="212" formatCode="0.0000">
                  <c:v>1.8942556114066771</c:v>
                </c:pt>
                <c:pt idx="213" formatCode="0.0000">
                  <c:v>1.7836318993046176</c:v>
                </c:pt>
                <c:pt idx="214" formatCode="0.0000">
                  <c:v>1.6993511605060725</c:v>
                </c:pt>
                <c:pt idx="215" formatCode="0.0000">
                  <c:v>1.5875692517877125</c:v>
                </c:pt>
                <c:pt idx="216" formatCode="0.0000">
                  <c:v>1.5593296370169174</c:v>
                </c:pt>
                <c:pt idx="217" formatCode="0.0000">
                  <c:v>1.4766697838394633</c:v>
                </c:pt>
                <c:pt idx="218" formatCode="0.0000">
                  <c:v>1.4654738299370353</c:v>
                </c:pt>
                <c:pt idx="219" formatCode="0.0000">
                  <c:v>1.4548909144859472</c:v>
                </c:pt>
                <c:pt idx="220" formatCode="0.0000">
                  <c:v>1.4257361174174732</c:v>
                </c:pt>
                <c:pt idx="221" formatCode="0.0000">
                  <c:v>1.3965496871105376</c:v>
                </c:pt>
                <c:pt idx="222" formatCode="0.0000">
                  <c:v>1.3953908716695309</c:v>
                </c:pt>
                <c:pt idx="223" formatCode="0.0000">
                  <c:v>1.3938812289466813</c:v>
                </c:pt>
                <c:pt idx="224" formatCode="0.0000">
                  <c:v>1.5368877823843772</c:v>
                </c:pt>
                <c:pt idx="225" formatCode="0.0000">
                  <c:v>1.5803011661320328</c:v>
                </c:pt>
                <c:pt idx="226" formatCode="0.0000">
                  <c:v>1.5516422112498096</c:v>
                </c:pt>
                <c:pt idx="227" formatCode="0.0000">
                  <c:v>1.5555536365112697</c:v>
                </c:pt>
                <c:pt idx="228" formatCode="0.0000">
                  <c:v>1.4040845351716702</c:v>
                </c:pt>
                <c:pt idx="229" formatCode="0.0000">
                  <c:v>1.379744343778994</c:v>
                </c:pt>
                <c:pt idx="230" formatCode="0.0000">
                  <c:v>1.4796983271033279</c:v>
                </c:pt>
                <c:pt idx="231" formatCode="0.0000">
                  <c:v>1.4076395262557335</c:v>
                </c:pt>
                <c:pt idx="232" formatCode="0.0000">
                  <c:v>1.4174117880173174</c:v>
                </c:pt>
                <c:pt idx="233" formatCode="0.0000">
                  <c:v>1.4309774848726649</c:v>
                </c:pt>
                <c:pt idx="234" formatCode="0.0000">
                  <c:v>1.3717166173138235</c:v>
                </c:pt>
                <c:pt idx="235" formatCode="0.0000">
                  <c:v>1.442817645951969</c:v>
                </c:pt>
                <c:pt idx="236" formatCode="0.0000">
                  <c:v>1.4427094638103595</c:v>
                </c:pt>
                <c:pt idx="237" formatCode="0.0000">
                  <c:v>1.2882376877484849</c:v>
                </c:pt>
                <c:pt idx="238" formatCode="0.0000">
                  <c:v>1.3908671820657454</c:v>
                </c:pt>
                <c:pt idx="239" formatCode="0.0000">
                  <c:v>1.3318773812388101</c:v>
                </c:pt>
                <c:pt idx="240" formatCode="0.0000">
                  <c:v>1.6505809632310153</c:v>
                </c:pt>
                <c:pt idx="241" formatCode="0.0000">
                  <c:v>1.6301765096428258</c:v>
                </c:pt>
                <c:pt idx="242" formatCode="0.0000">
                  <c:v>1.6598140565196975</c:v>
                </c:pt>
                <c:pt idx="243" formatCode="0.0000">
                  <c:v>1.7587024665744961</c:v>
                </c:pt>
                <c:pt idx="244" formatCode="0.0000">
                  <c:v>1.8048012666730187</c:v>
                </c:pt>
                <c:pt idx="245" formatCode="0.0000">
                  <c:v>1.617125935182947</c:v>
                </c:pt>
                <c:pt idx="246" formatCode="0.0000">
                  <c:v>1.6585894539501382</c:v>
                </c:pt>
                <c:pt idx="247" formatCode="0.0000">
                  <c:v>1.4506502993815231</c:v>
                </c:pt>
                <c:pt idx="248" formatCode="0.0000">
                  <c:v>1.4596038262123716</c:v>
                </c:pt>
                <c:pt idx="249" formatCode="0.0000">
                  <c:v>1.3691408725940708</c:v>
                </c:pt>
                <c:pt idx="250" formatCode="0.0000">
                  <c:v>1.4063297559383223</c:v>
                </c:pt>
                <c:pt idx="251" formatCode="0.0000">
                  <c:v>1.3360225643756554</c:v>
                </c:pt>
                <c:pt idx="252" formatCode="0.0000">
                  <c:v>1.4039140179113618</c:v>
                </c:pt>
                <c:pt idx="253" formatCode="0.0000">
                  <c:v>1.3445533539727503</c:v>
                </c:pt>
                <c:pt idx="254" formatCode="0.0000">
                  <c:v>1.2739803494363575</c:v>
                </c:pt>
                <c:pt idx="255" formatCode="0.0000">
                  <c:v>1.1984423095661243</c:v>
                </c:pt>
                <c:pt idx="256" formatCode="0.0000">
                  <c:v>1.1883333966313603</c:v>
                </c:pt>
                <c:pt idx="257" formatCode="0.0000">
                  <c:v>1.069700860913573</c:v>
                </c:pt>
                <c:pt idx="258" formatCode="0.0000">
                  <c:v>1.0602468096959166</c:v>
                </c:pt>
                <c:pt idx="259" formatCode="0.0000">
                  <c:v>1.0050197673420291</c:v>
                </c:pt>
                <c:pt idx="260" formatCode="0.0000">
                  <c:v>0.96247851074520763</c:v>
                </c:pt>
                <c:pt idx="261" formatCode="0.0000">
                  <c:v>0.86925271291802608</c:v>
                </c:pt>
                <c:pt idx="262" formatCode="0.0000">
                  <c:v>0.96044119985455112</c:v>
                </c:pt>
                <c:pt idx="263" formatCode="0.0000">
                  <c:v>1.0224280213938111</c:v>
                </c:pt>
                <c:pt idx="264" formatCode="0.0000">
                  <c:v>1.0505574122217076</c:v>
                </c:pt>
                <c:pt idx="265" formatCode="0.0000">
                  <c:v>1.0391679810894763</c:v>
                </c:pt>
                <c:pt idx="266" formatCode="0.0000">
                  <c:v>0.99057650180128376</c:v>
                </c:pt>
                <c:pt idx="267" formatCode="0.0000">
                  <c:v>0.98529783165721141</c:v>
                </c:pt>
                <c:pt idx="268" formatCode="0.0000">
                  <c:v>0.97523046258033708</c:v>
                </c:pt>
                <c:pt idx="269" formatCode="0.0000">
                  <c:v>0.92261845208778759</c:v>
                </c:pt>
                <c:pt idx="270" formatCode="0.0000">
                  <c:v>0.82690511543769851</c:v>
                </c:pt>
                <c:pt idx="271" formatCode="0.0000">
                  <c:v>0.71709343761944955</c:v>
                </c:pt>
                <c:pt idx="272" formatCode="0.0000">
                  <c:v>0.65450042285827426</c:v>
                </c:pt>
                <c:pt idx="273" formatCode="0.0000">
                  <c:v>0.65451537630301693</c:v>
                </c:pt>
                <c:pt idx="274" formatCode="0.0000">
                  <c:v>0.68157431311591521</c:v>
                </c:pt>
                <c:pt idx="275" formatCode="0.0000">
                  <c:v>0.68936850238733194</c:v>
                </c:pt>
                <c:pt idx="276" formatCode="0.0000">
                  <c:v>0.69548436347100284</c:v>
                </c:pt>
                <c:pt idx="277" formatCode="0.0000">
                  <c:v>0.67287371023475784</c:v>
                </c:pt>
                <c:pt idx="278" formatCode="0.0000">
                  <c:v>0.67451344880067998</c:v>
                </c:pt>
                <c:pt idx="279" formatCode="0.0000">
                  <c:v>0.70247378560241758</c:v>
                </c:pt>
                <c:pt idx="280" formatCode="0.0000">
                  <c:v>0.71713211139121236</c:v>
                </c:pt>
                <c:pt idx="281" formatCode="0.0000">
                  <c:v>0.74745289594341968</c:v>
                </c:pt>
                <c:pt idx="282" formatCode="0.0000">
                  <c:v>0.78765022357159098</c:v>
                </c:pt>
                <c:pt idx="283" formatCode="0.0000">
                  <c:v>0.79157859882974291</c:v>
                </c:pt>
                <c:pt idx="284" formatCode="0.0000">
                  <c:v>0.8468376153459457</c:v>
                </c:pt>
                <c:pt idx="285" formatCode="0.0000">
                  <c:v>0.8647758486385797</c:v>
                </c:pt>
                <c:pt idx="286" formatCode="0.0000">
                  <c:v>0.83908469726373536</c:v>
                </c:pt>
                <c:pt idx="287" formatCode="0.0000">
                  <c:v>0.84227065475241658</c:v>
                </c:pt>
                <c:pt idx="288" formatCode="0.0000">
                  <c:v>0.8776078975296997</c:v>
                </c:pt>
                <c:pt idx="289" formatCode="0.0000">
                  <c:v>0.83229790898747835</c:v>
                </c:pt>
                <c:pt idx="290" formatCode="0.0000">
                  <c:v>0.83668159744047821</c:v>
                </c:pt>
                <c:pt idx="291" formatCode="0.0000">
                  <c:v>0.85872493135973238</c:v>
                </c:pt>
                <c:pt idx="292" formatCode="0.0000">
                  <c:v>0.84841920427261852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21B-48B1-9552-DB1895525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016154"/>
        <c:axId val="1931393110"/>
      </c:lineChart>
      <c:lineChart>
        <c:grouping val="standard"/>
        <c:varyColors val="0"/>
        <c:ser>
          <c:idx val="1"/>
          <c:order val="1"/>
          <c:tx>
            <c:strRef>
              <c:f>'R(t) Województwa'!$BQ$2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Województwa'!$BQ$3:$BQ$1000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0.14285714285714285</c:v>
                </c:pt>
                <c:pt idx="15">
                  <c:v>0.14285714285714285</c:v>
                </c:pt>
                <c:pt idx="16">
                  <c:v>0.14285714285714285</c:v>
                </c:pt>
                <c:pt idx="17">
                  <c:v>0.42857142857142855</c:v>
                </c:pt>
                <c:pt idx="18">
                  <c:v>0.7142857142857143</c:v>
                </c:pt>
                <c:pt idx="19">
                  <c:v>0.8571428571428571</c:v>
                </c:pt>
                <c:pt idx="20">
                  <c:v>1</c:v>
                </c:pt>
                <c:pt idx="21">
                  <c:v>0.8571428571428571</c:v>
                </c:pt>
                <c:pt idx="22">
                  <c:v>1.2857142857142858</c:v>
                </c:pt>
                <c:pt idx="23">
                  <c:v>1.7142857142857142</c:v>
                </c:pt>
                <c:pt idx="24">
                  <c:v>2</c:v>
                </c:pt>
                <c:pt idx="25">
                  <c:v>3</c:v>
                </c:pt>
                <c:pt idx="26">
                  <c:v>3.1428571428571428</c:v>
                </c:pt>
                <c:pt idx="27">
                  <c:v>4.1428571428571432</c:v>
                </c:pt>
                <c:pt idx="28">
                  <c:v>4.1428571428571432</c:v>
                </c:pt>
                <c:pt idx="29">
                  <c:v>5.2857142857142856</c:v>
                </c:pt>
                <c:pt idx="30">
                  <c:v>6.5714285714285712</c:v>
                </c:pt>
                <c:pt idx="31">
                  <c:v>8.1428571428571423</c:v>
                </c:pt>
                <c:pt idx="32">
                  <c:v>8</c:v>
                </c:pt>
                <c:pt idx="33">
                  <c:v>9</c:v>
                </c:pt>
                <c:pt idx="34">
                  <c:v>10.428571428571429</c:v>
                </c:pt>
                <c:pt idx="35">
                  <c:v>13</c:v>
                </c:pt>
                <c:pt idx="36">
                  <c:v>14.571428571428571</c:v>
                </c:pt>
                <c:pt idx="37">
                  <c:v>15.571428571428571</c:v>
                </c:pt>
                <c:pt idx="38">
                  <c:v>16.428571428571427</c:v>
                </c:pt>
                <c:pt idx="39">
                  <c:v>16.142857142857142</c:v>
                </c:pt>
                <c:pt idx="40">
                  <c:v>18.714285714285715</c:v>
                </c:pt>
                <c:pt idx="41">
                  <c:v>18.428571428571427</c:v>
                </c:pt>
                <c:pt idx="42">
                  <c:v>18.428571428571427</c:v>
                </c:pt>
                <c:pt idx="43">
                  <c:v>15.714285714285714</c:v>
                </c:pt>
                <c:pt idx="44">
                  <c:v>15.714285714285714</c:v>
                </c:pt>
                <c:pt idx="45">
                  <c:v>14.571428571428571</c:v>
                </c:pt>
                <c:pt idx="46">
                  <c:v>17.285714285714285</c:v>
                </c:pt>
                <c:pt idx="47">
                  <c:v>14.142857142857142</c:v>
                </c:pt>
                <c:pt idx="48">
                  <c:v>12.714285714285714</c:v>
                </c:pt>
                <c:pt idx="49">
                  <c:v>10.857142857142858</c:v>
                </c:pt>
                <c:pt idx="50">
                  <c:v>10.857142857142858</c:v>
                </c:pt>
                <c:pt idx="51">
                  <c:v>9</c:v>
                </c:pt>
                <c:pt idx="52">
                  <c:v>7.5714285714285712</c:v>
                </c:pt>
                <c:pt idx="53">
                  <c:v>6</c:v>
                </c:pt>
                <c:pt idx="54">
                  <c:v>5.7142857142857144</c:v>
                </c:pt>
                <c:pt idx="55">
                  <c:v>5.4285714285714288</c:v>
                </c:pt>
                <c:pt idx="56">
                  <c:v>5</c:v>
                </c:pt>
                <c:pt idx="57">
                  <c:v>4.5714285714285712</c:v>
                </c:pt>
                <c:pt idx="58">
                  <c:v>4.8571428571428568</c:v>
                </c:pt>
                <c:pt idx="59">
                  <c:v>4.4285714285714288</c:v>
                </c:pt>
                <c:pt idx="60">
                  <c:v>2.7142857142857144</c:v>
                </c:pt>
                <c:pt idx="61">
                  <c:v>2.4285714285714284</c:v>
                </c:pt>
                <c:pt idx="62">
                  <c:v>1.8571428571428572</c:v>
                </c:pt>
                <c:pt idx="63">
                  <c:v>1.7142857142857142</c:v>
                </c:pt>
                <c:pt idx="64">
                  <c:v>1.8571428571428572</c:v>
                </c:pt>
                <c:pt idx="65">
                  <c:v>0.8571428571428571</c:v>
                </c:pt>
                <c:pt idx="66">
                  <c:v>1.1428571428571428</c:v>
                </c:pt>
                <c:pt idx="67">
                  <c:v>0.8571428571428571</c:v>
                </c:pt>
                <c:pt idx="68">
                  <c:v>0.8571428571428571</c:v>
                </c:pt>
                <c:pt idx="69">
                  <c:v>0.8571428571428571</c:v>
                </c:pt>
                <c:pt idx="70">
                  <c:v>0.8571428571428571</c:v>
                </c:pt>
                <c:pt idx="71">
                  <c:v>0.7142857142857143</c:v>
                </c:pt>
                <c:pt idx="72">
                  <c:v>0.7142857142857143</c:v>
                </c:pt>
                <c:pt idx="73">
                  <c:v>0.5714285714285714</c:v>
                </c:pt>
                <c:pt idx="74">
                  <c:v>0.5714285714285714</c:v>
                </c:pt>
                <c:pt idx="75">
                  <c:v>0.5714285714285714</c:v>
                </c:pt>
                <c:pt idx="76">
                  <c:v>0.7142857142857143</c:v>
                </c:pt>
                <c:pt idx="77">
                  <c:v>1.8571428571428572</c:v>
                </c:pt>
                <c:pt idx="78">
                  <c:v>2.8571428571428572</c:v>
                </c:pt>
                <c:pt idx="79">
                  <c:v>2.7142857142857144</c:v>
                </c:pt>
                <c:pt idx="80">
                  <c:v>3.4285714285714284</c:v>
                </c:pt>
                <c:pt idx="81">
                  <c:v>3.8571428571428572</c:v>
                </c:pt>
                <c:pt idx="82">
                  <c:v>4.2857142857142856</c:v>
                </c:pt>
                <c:pt idx="83">
                  <c:v>4.8571428571428568</c:v>
                </c:pt>
                <c:pt idx="84">
                  <c:v>4.5714285714285712</c:v>
                </c:pt>
                <c:pt idx="85">
                  <c:v>4.8571428571428568</c:v>
                </c:pt>
                <c:pt idx="86">
                  <c:v>5.2857142857142856</c:v>
                </c:pt>
                <c:pt idx="87">
                  <c:v>4.8571428571428568</c:v>
                </c:pt>
                <c:pt idx="88">
                  <c:v>5</c:v>
                </c:pt>
                <c:pt idx="89">
                  <c:v>4.5714285714285712</c:v>
                </c:pt>
                <c:pt idx="90">
                  <c:v>5</c:v>
                </c:pt>
                <c:pt idx="91">
                  <c:v>4.7142857142857144</c:v>
                </c:pt>
                <c:pt idx="92">
                  <c:v>4.8571428571428568</c:v>
                </c:pt>
                <c:pt idx="93">
                  <c:v>6.1428571428571432</c:v>
                </c:pt>
                <c:pt idx="94">
                  <c:v>6.8571428571428568</c:v>
                </c:pt>
                <c:pt idx="95">
                  <c:v>6.8571428571428568</c:v>
                </c:pt>
                <c:pt idx="96">
                  <c:v>9.7142857142857135</c:v>
                </c:pt>
                <c:pt idx="97">
                  <c:v>9.4285714285714288</c:v>
                </c:pt>
                <c:pt idx="98">
                  <c:v>10.857142857142858</c:v>
                </c:pt>
                <c:pt idx="99">
                  <c:v>11</c:v>
                </c:pt>
                <c:pt idx="100">
                  <c:v>10.571428571428571</c:v>
                </c:pt>
                <c:pt idx="101">
                  <c:v>11.857142857142858</c:v>
                </c:pt>
                <c:pt idx="102">
                  <c:v>12.571428571428571</c:v>
                </c:pt>
                <c:pt idx="103">
                  <c:v>12.857142857142858</c:v>
                </c:pt>
                <c:pt idx="104">
                  <c:v>13.857142857142858</c:v>
                </c:pt>
                <c:pt idx="105">
                  <c:v>12.714285714285714</c:v>
                </c:pt>
                <c:pt idx="106">
                  <c:v>13.714285714285714</c:v>
                </c:pt>
                <c:pt idx="107">
                  <c:v>14.285714285714286</c:v>
                </c:pt>
                <c:pt idx="108">
                  <c:v>13.857142857142858</c:v>
                </c:pt>
                <c:pt idx="109">
                  <c:v>14.714285714285714</c:v>
                </c:pt>
                <c:pt idx="110">
                  <c:v>13.571428571428571</c:v>
                </c:pt>
                <c:pt idx="111">
                  <c:v>15</c:v>
                </c:pt>
                <c:pt idx="112">
                  <c:v>15.428571428571429</c:v>
                </c:pt>
                <c:pt idx="113">
                  <c:v>14.714285714285714</c:v>
                </c:pt>
                <c:pt idx="114">
                  <c:v>14.857142857142858</c:v>
                </c:pt>
                <c:pt idx="115">
                  <c:v>15</c:v>
                </c:pt>
                <c:pt idx="116">
                  <c:v>14.142857142857142</c:v>
                </c:pt>
                <c:pt idx="117">
                  <c:v>14.714285714285714</c:v>
                </c:pt>
                <c:pt idx="118">
                  <c:v>13.857142857142858</c:v>
                </c:pt>
                <c:pt idx="119">
                  <c:v>15.285714285714286</c:v>
                </c:pt>
                <c:pt idx="120">
                  <c:v>14.142857142857142</c:v>
                </c:pt>
                <c:pt idx="121">
                  <c:v>13</c:v>
                </c:pt>
                <c:pt idx="122">
                  <c:v>11.857142857142858</c:v>
                </c:pt>
                <c:pt idx="123">
                  <c:v>12.428571428571429</c:v>
                </c:pt>
                <c:pt idx="124">
                  <c:v>10</c:v>
                </c:pt>
                <c:pt idx="125">
                  <c:v>8.1428571428571423</c:v>
                </c:pt>
                <c:pt idx="126">
                  <c:v>5.5714285714285712</c:v>
                </c:pt>
                <c:pt idx="127">
                  <c:v>5.8571428571428568</c:v>
                </c:pt>
                <c:pt idx="128">
                  <c:v>5.8571428571428568</c:v>
                </c:pt>
                <c:pt idx="129">
                  <c:v>5.1428571428571432</c:v>
                </c:pt>
                <c:pt idx="130">
                  <c:v>3.5714285714285716</c:v>
                </c:pt>
                <c:pt idx="131">
                  <c:v>3.7142857142857144</c:v>
                </c:pt>
                <c:pt idx="132">
                  <c:v>3.1428571428571428</c:v>
                </c:pt>
                <c:pt idx="133">
                  <c:v>3</c:v>
                </c:pt>
                <c:pt idx="134">
                  <c:v>2.1428571428571428</c:v>
                </c:pt>
                <c:pt idx="135">
                  <c:v>1.2857142857142858</c:v>
                </c:pt>
                <c:pt idx="136">
                  <c:v>1.5714285714285714</c:v>
                </c:pt>
                <c:pt idx="137">
                  <c:v>1.7142857142857142</c:v>
                </c:pt>
                <c:pt idx="138">
                  <c:v>1.2857142857142858</c:v>
                </c:pt>
                <c:pt idx="139">
                  <c:v>1.8571428571428572</c:v>
                </c:pt>
                <c:pt idx="140">
                  <c:v>2</c:v>
                </c:pt>
                <c:pt idx="141">
                  <c:v>2.5714285714285716</c:v>
                </c:pt>
                <c:pt idx="142">
                  <c:v>2.8571428571428572</c:v>
                </c:pt>
                <c:pt idx="143">
                  <c:v>3</c:v>
                </c:pt>
                <c:pt idx="144">
                  <c:v>3.8571428571428572</c:v>
                </c:pt>
                <c:pt idx="145">
                  <c:v>4.1428571428571432</c:v>
                </c:pt>
                <c:pt idx="146">
                  <c:v>4.5714285714285712</c:v>
                </c:pt>
                <c:pt idx="147">
                  <c:v>5.4285714285714288</c:v>
                </c:pt>
                <c:pt idx="148">
                  <c:v>5.7142857142857144</c:v>
                </c:pt>
                <c:pt idx="149">
                  <c:v>6.4285714285714288</c:v>
                </c:pt>
                <c:pt idx="150">
                  <c:v>6.5714285714285712</c:v>
                </c:pt>
                <c:pt idx="151">
                  <c:v>5.8571428571428568</c:v>
                </c:pt>
                <c:pt idx="152">
                  <c:v>6.8571428571428568</c:v>
                </c:pt>
                <c:pt idx="153">
                  <c:v>7.2857142857142856</c:v>
                </c:pt>
                <c:pt idx="154">
                  <c:v>8.2857142857142865</c:v>
                </c:pt>
                <c:pt idx="155">
                  <c:v>8.7142857142857135</c:v>
                </c:pt>
                <c:pt idx="156">
                  <c:v>10.142857142857142</c:v>
                </c:pt>
                <c:pt idx="157">
                  <c:v>9.4285714285714288</c:v>
                </c:pt>
                <c:pt idx="158">
                  <c:v>10.571428571428571</c:v>
                </c:pt>
                <c:pt idx="159">
                  <c:v>10.714285714285714</c:v>
                </c:pt>
                <c:pt idx="160">
                  <c:v>10.428571428571429</c:v>
                </c:pt>
                <c:pt idx="161">
                  <c:v>9.2857142857142865</c:v>
                </c:pt>
                <c:pt idx="162">
                  <c:v>8.8571428571428577</c:v>
                </c:pt>
                <c:pt idx="163">
                  <c:v>8.8571428571428577</c:v>
                </c:pt>
                <c:pt idx="164">
                  <c:v>13.142857142857142</c:v>
                </c:pt>
                <c:pt idx="165">
                  <c:v>12.285714285714286</c:v>
                </c:pt>
                <c:pt idx="166">
                  <c:v>11.285714285714286</c:v>
                </c:pt>
                <c:pt idx="167">
                  <c:v>10.857142857142858</c:v>
                </c:pt>
                <c:pt idx="168">
                  <c:v>11.285714285714286</c:v>
                </c:pt>
                <c:pt idx="169">
                  <c:v>11.428571428571429</c:v>
                </c:pt>
                <c:pt idx="170">
                  <c:v>10.714285714285714</c:v>
                </c:pt>
                <c:pt idx="171">
                  <c:v>7.1428571428571432</c:v>
                </c:pt>
                <c:pt idx="172">
                  <c:v>7.2857142857142856</c:v>
                </c:pt>
                <c:pt idx="173">
                  <c:v>7.7142857142857144</c:v>
                </c:pt>
                <c:pt idx="174">
                  <c:v>8.1428571428571423</c:v>
                </c:pt>
                <c:pt idx="175">
                  <c:v>10.714285714285714</c:v>
                </c:pt>
                <c:pt idx="176">
                  <c:v>11.428571428571429</c:v>
                </c:pt>
                <c:pt idx="177">
                  <c:v>11.428571428571429</c:v>
                </c:pt>
                <c:pt idx="178">
                  <c:v>11.285714285714286</c:v>
                </c:pt>
                <c:pt idx="179">
                  <c:v>13.714285714285714</c:v>
                </c:pt>
                <c:pt idx="180">
                  <c:v>13.428571428571429</c:v>
                </c:pt>
                <c:pt idx="181">
                  <c:v>13.571428571428571</c:v>
                </c:pt>
                <c:pt idx="182">
                  <c:v>11</c:v>
                </c:pt>
                <c:pt idx="183">
                  <c:v>10.142857142857142</c:v>
                </c:pt>
                <c:pt idx="184">
                  <c:v>9.8571428571428577</c:v>
                </c:pt>
                <c:pt idx="185">
                  <c:v>10.285714285714286</c:v>
                </c:pt>
                <c:pt idx="186">
                  <c:v>8.4285714285714288</c:v>
                </c:pt>
                <c:pt idx="187">
                  <c:v>9.8571428571428577</c:v>
                </c:pt>
                <c:pt idx="188">
                  <c:v>11.285714285714286</c:v>
                </c:pt>
                <c:pt idx="189">
                  <c:v>11.142857142857142</c:v>
                </c:pt>
                <c:pt idx="190">
                  <c:v>10.857142857142858</c:v>
                </c:pt>
                <c:pt idx="191">
                  <c:v>11.714285714285714</c:v>
                </c:pt>
                <c:pt idx="192">
                  <c:v>15.285714285714286</c:v>
                </c:pt>
                <c:pt idx="193">
                  <c:v>14.428571428571429</c:v>
                </c:pt>
                <c:pt idx="194">
                  <c:v>14.857142857142858</c:v>
                </c:pt>
                <c:pt idx="195">
                  <c:v>13.285714285714286</c:v>
                </c:pt>
                <c:pt idx="196">
                  <c:v>13.571428571428571</c:v>
                </c:pt>
                <c:pt idx="197">
                  <c:v>16.714285714285715</c:v>
                </c:pt>
                <c:pt idx="198">
                  <c:v>17.714285714285715</c:v>
                </c:pt>
                <c:pt idx="199">
                  <c:v>15.142857142857142</c:v>
                </c:pt>
                <c:pt idx="200">
                  <c:v>17.857142857142858</c:v>
                </c:pt>
                <c:pt idx="201">
                  <c:v>18.428571428571427</c:v>
                </c:pt>
                <c:pt idx="202">
                  <c:v>19.142857142857142</c:v>
                </c:pt>
                <c:pt idx="203">
                  <c:v>20.571428571428573</c:v>
                </c:pt>
                <c:pt idx="204">
                  <c:v>19.857142857142858</c:v>
                </c:pt>
                <c:pt idx="205">
                  <c:v>22</c:v>
                </c:pt>
                <c:pt idx="206">
                  <c:v>27.571428571428573</c:v>
                </c:pt>
                <c:pt idx="207">
                  <c:v>35</c:v>
                </c:pt>
                <c:pt idx="208">
                  <c:v>41.285714285714285</c:v>
                </c:pt>
                <c:pt idx="209">
                  <c:v>47.857142857142854</c:v>
                </c:pt>
                <c:pt idx="210">
                  <c:v>53</c:v>
                </c:pt>
                <c:pt idx="211">
                  <c:v>58</c:v>
                </c:pt>
                <c:pt idx="212">
                  <c:v>61.714285714285715</c:v>
                </c:pt>
                <c:pt idx="213">
                  <c:v>66.285714285714292</c:v>
                </c:pt>
                <c:pt idx="214">
                  <c:v>73.428571428571431</c:v>
                </c:pt>
                <c:pt idx="215">
                  <c:v>75</c:v>
                </c:pt>
                <c:pt idx="216">
                  <c:v>79.428571428571431</c:v>
                </c:pt>
                <c:pt idx="217">
                  <c:v>79.428571428571431</c:v>
                </c:pt>
                <c:pt idx="218">
                  <c:v>83.285714285714292</c:v>
                </c:pt>
                <c:pt idx="219">
                  <c:v>87.571428571428569</c:v>
                </c:pt>
                <c:pt idx="220">
                  <c:v>92</c:v>
                </c:pt>
                <c:pt idx="221">
                  <c:v>98.571428571428569</c:v>
                </c:pt>
                <c:pt idx="222">
                  <c:v>103.42857142857143</c:v>
                </c:pt>
                <c:pt idx="223">
                  <c:v>109.14285714285714</c:v>
                </c:pt>
                <c:pt idx="224">
                  <c:v>127.14285714285714</c:v>
                </c:pt>
                <c:pt idx="225">
                  <c:v>140</c:v>
                </c:pt>
                <c:pt idx="226">
                  <c:v>146.42857142857142</c:v>
                </c:pt>
                <c:pt idx="227">
                  <c:v>158.42857142857142</c:v>
                </c:pt>
                <c:pt idx="228">
                  <c:v>155.14285714285714</c:v>
                </c:pt>
                <c:pt idx="229">
                  <c:v>159.28571428571428</c:v>
                </c:pt>
                <c:pt idx="230">
                  <c:v>181.14285714285714</c:v>
                </c:pt>
                <c:pt idx="231">
                  <c:v>184.85714285714286</c:v>
                </c:pt>
                <c:pt idx="232">
                  <c:v>198.28571428571428</c:v>
                </c:pt>
                <c:pt idx="233">
                  <c:v>210.42857142857142</c:v>
                </c:pt>
                <c:pt idx="234">
                  <c:v>214</c:v>
                </c:pt>
                <c:pt idx="235">
                  <c:v>236.71428571428572</c:v>
                </c:pt>
                <c:pt idx="236">
                  <c:v>247.14285714285714</c:v>
                </c:pt>
                <c:pt idx="237">
                  <c:v>236.14285714285714</c:v>
                </c:pt>
                <c:pt idx="238">
                  <c:v>267.14285714285717</c:v>
                </c:pt>
                <c:pt idx="239">
                  <c:v>270.28571428571428</c:v>
                </c:pt>
                <c:pt idx="240">
                  <c:v>360.85714285714283</c:v>
                </c:pt>
                <c:pt idx="241">
                  <c:v>379.71428571428572</c:v>
                </c:pt>
                <c:pt idx="242">
                  <c:v>423.14285714285717</c:v>
                </c:pt>
                <c:pt idx="243">
                  <c:v>484.85714285714283</c:v>
                </c:pt>
                <c:pt idx="244">
                  <c:v>533</c:v>
                </c:pt>
                <c:pt idx="245">
                  <c:v>517.28571428571433</c:v>
                </c:pt>
                <c:pt idx="246">
                  <c:v>565.14285714285711</c:v>
                </c:pt>
                <c:pt idx="247">
                  <c:v>571.42857142857144</c:v>
                </c:pt>
                <c:pt idx="248">
                  <c:v>603.14285714285711</c:v>
                </c:pt>
                <c:pt idx="249">
                  <c:v>603.57142857142856</c:v>
                </c:pt>
                <c:pt idx="250">
                  <c:v>662</c:v>
                </c:pt>
                <c:pt idx="251">
                  <c:v>655.42857142857144</c:v>
                </c:pt>
                <c:pt idx="252">
                  <c:v>712.28571428571433</c:v>
                </c:pt>
                <c:pt idx="253">
                  <c:v>717.57142857142856</c:v>
                </c:pt>
                <c:pt idx="254">
                  <c:v>723.42857142857144</c:v>
                </c:pt>
                <c:pt idx="255">
                  <c:v>698</c:v>
                </c:pt>
                <c:pt idx="256">
                  <c:v>709.42857142857144</c:v>
                </c:pt>
                <c:pt idx="257">
                  <c:v>662.57142857142856</c:v>
                </c:pt>
                <c:pt idx="258">
                  <c:v>661.14285714285711</c:v>
                </c:pt>
                <c:pt idx="259">
                  <c:v>632.28571428571433</c:v>
                </c:pt>
                <c:pt idx="260">
                  <c:v>606.28571428571433</c:v>
                </c:pt>
                <c:pt idx="261">
                  <c:v>545.42857142857144</c:v>
                </c:pt>
                <c:pt idx="262">
                  <c:v>591.14285714285711</c:v>
                </c:pt>
                <c:pt idx="263">
                  <c:v>624.28571428571433</c:v>
                </c:pt>
                <c:pt idx="264">
                  <c:v>644.28571428571433</c:v>
                </c:pt>
                <c:pt idx="265">
                  <c:v>639.71428571428567</c:v>
                </c:pt>
                <c:pt idx="266">
                  <c:v>610.71428571428567</c:v>
                </c:pt>
                <c:pt idx="267">
                  <c:v>606.28571428571433</c:v>
                </c:pt>
                <c:pt idx="268">
                  <c:v>598.71428571428567</c:v>
                </c:pt>
                <c:pt idx="269">
                  <c:v>565.71428571428567</c:v>
                </c:pt>
                <c:pt idx="270">
                  <c:v>502</c:v>
                </c:pt>
                <c:pt idx="271">
                  <c:v>422.28571428571428</c:v>
                </c:pt>
                <c:pt idx="272">
                  <c:v>374.14285714285717</c:v>
                </c:pt>
                <c:pt idx="273">
                  <c:v>360.85714285714283</c:v>
                </c:pt>
                <c:pt idx="274">
                  <c:v>352.85714285714283</c:v>
                </c:pt>
                <c:pt idx="275">
                  <c:v>337.42857142857144</c:v>
                </c:pt>
                <c:pt idx="276">
                  <c:v>320.57142857142856</c:v>
                </c:pt>
                <c:pt idx="277">
                  <c:v>292.85714285714283</c:v>
                </c:pt>
                <c:pt idx="278">
                  <c:v>280.85714285714283</c:v>
                </c:pt>
                <c:pt idx="279">
                  <c:v>286.14285714285717</c:v>
                </c:pt>
                <c:pt idx="280">
                  <c:v>282.85714285714283</c:v>
                </c:pt>
                <c:pt idx="281">
                  <c:v>278.14285714285717</c:v>
                </c:pt>
                <c:pt idx="282">
                  <c:v>279.28571428571428</c:v>
                </c:pt>
                <c:pt idx="283">
                  <c:v>270</c:v>
                </c:pt>
                <c:pt idx="284">
                  <c:v>279.85714285714283</c:v>
                </c:pt>
                <c:pt idx="285">
                  <c:v>281</c:v>
                </c:pt>
                <c:pt idx="286">
                  <c:v>270</c:v>
                </c:pt>
                <c:pt idx="287">
                  <c:v>266.57142857142856</c:v>
                </c:pt>
                <c:pt idx="288">
                  <c:v>268</c:v>
                </c:pt>
                <c:pt idx="289">
                  <c:v>248.85714285714286</c:v>
                </c:pt>
                <c:pt idx="290">
                  <c:v>242.85714285714286</c:v>
                </c:pt>
                <c:pt idx="291">
                  <c:v>240.71428571428572</c:v>
                </c:pt>
                <c:pt idx="292">
                  <c:v>233.14285714285714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21B-48B1-9552-DB1895525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838610"/>
        <c:axId val="1021469829"/>
      </c:lineChart>
      <c:catAx>
        <c:axId val="12590161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931393110"/>
        <c:crosses val="autoZero"/>
        <c:auto val="1"/>
        <c:lblAlgn val="ctr"/>
        <c:lblOffset val="100"/>
        <c:noMultiLvlLbl val="1"/>
      </c:catAx>
      <c:valAx>
        <c:axId val="1931393110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259016154"/>
        <c:crosses val="autoZero"/>
        <c:crossBetween val="between"/>
      </c:valAx>
      <c:catAx>
        <c:axId val="5138386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21469829"/>
        <c:crosses val="autoZero"/>
        <c:auto val="1"/>
        <c:lblAlgn val="ctr"/>
        <c:lblOffset val="100"/>
        <c:noMultiLvlLbl val="1"/>
      </c:catAx>
      <c:valAx>
        <c:axId val="1021469829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51383861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Pomorskiego</a:t>
            </a:r>
          </a:p>
        </c:rich>
      </c:tx>
      <c:layout>
        <c:manualLayout>
          <c:xMode val="edge"/>
          <c:yMode val="edge"/>
          <c:x val="1.2922705314009665E-2"/>
          <c:y val="0.05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Województwa'!$CB$2</c:f>
              <c:strCache>
                <c:ptCount val="1"/>
                <c:pt idx="0">
                  <c:v>Pomorskie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Województwa'!$CB$3:$CB$1000</c:f>
              <c:numCache>
                <c:formatCode>General</c:formatCode>
                <c:ptCount val="998"/>
                <c:pt idx="34" formatCode="0.0000">
                  <c:v>0.60802127188123234</c:v>
                </c:pt>
                <c:pt idx="35" formatCode="0.0000">
                  <c:v>0.70656579656029339</c:v>
                </c:pt>
                <c:pt idx="36" formatCode="0.0000">
                  <c:v>0.69188857205684073</c:v>
                </c:pt>
                <c:pt idx="37" formatCode="0.0000">
                  <c:v>0.7364452802882413</c:v>
                </c:pt>
                <c:pt idx="38" formatCode="0.0000">
                  <c:v>0.66008147046980281</c:v>
                </c:pt>
                <c:pt idx="39" formatCode="0.0000">
                  <c:v>0.64772838097039875</c:v>
                </c:pt>
                <c:pt idx="40" formatCode="0.0000">
                  <c:v>0.67382440808589628</c:v>
                </c:pt>
                <c:pt idx="41" formatCode="0.0000">
                  <c:v>0.64775133266250629</c:v>
                </c:pt>
                <c:pt idx="42" formatCode="0.0000">
                  <c:v>0.53273557248545578</c:v>
                </c:pt>
                <c:pt idx="43" formatCode="0.0000">
                  <c:v>0.5153467748310836</c:v>
                </c:pt>
                <c:pt idx="44" formatCode="0.0000">
                  <c:v>0.432385962227121</c:v>
                </c:pt>
                <c:pt idx="45" formatCode="0.0000">
                  <c:v>0.47374980888685309</c:v>
                </c:pt>
                <c:pt idx="46" formatCode="0.0000">
                  <c:v>0.92328284622840251</c:v>
                </c:pt>
                <c:pt idx="47" formatCode="0.0000">
                  <c:v>0.8395197535152189</c:v>
                </c:pt>
                <c:pt idx="48" formatCode="0.0000">
                  <c:v>0.89599239359075167</c:v>
                </c:pt>
                <c:pt idx="49" formatCode="0.0000">
                  <c:v>0.9762191540209858</c:v>
                </c:pt>
                <c:pt idx="50" formatCode="0.0000">
                  <c:v>1.1557215621659134</c:v>
                </c:pt>
                <c:pt idx="51" formatCode="0.0000">
                  <c:v>1.3448859414935899</c:v>
                </c:pt>
                <c:pt idx="52" formatCode="0.0000">
                  <c:v>1.5001132944136342</c:v>
                </c:pt>
                <c:pt idx="53" formatCode="0.0000">
                  <c:v>1.5905373567988563</c:v>
                </c:pt>
                <c:pt idx="54" formatCode="0.0000">
                  <c:v>2.0956279549424588</c:v>
                </c:pt>
                <c:pt idx="55" formatCode="0.0000">
                  <c:v>2.0633946480409446</c:v>
                </c:pt>
                <c:pt idx="56" formatCode="0.0000">
                  <c:v>2.2867205767426029</c:v>
                </c:pt>
                <c:pt idx="57" formatCode="0.0000">
                  <c:v>2.2420077795801485</c:v>
                </c:pt>
                <c:pt idx="58" formatCode="0.0000">
                  <c:v>2.0379454901760292</c:v>
                </c:pt>
                <c:pt idx="59" formatCode="0.0000">
                  <c:v>1.8355845621240772</c:v>
                </c:pt>
                <c:pt idx="60" formatCode="0.0000">
                  <c:v>1.2616850669086237</c:v>
                </c:pt>
                <c:pt idx="61" formatCode="0.0000">
                  <c:v>0.75831219687043683</c:v>
                </c:pt>
                <c:pt idx="62" formatCode="0.0000">
                  <c:v>0.6732857574224892</c:v>
                </c:pt>
                <c:pt idx="63" formatCode="0.0000">
                  <c:v>0.45330551470358726</c:v>
                </c:pt>
                <c:pt idx="64" formatCode="0.0000">
                  <c:v>0.35547886835682113</c:v>
                </c:pt>
                <c:pt idx="65" formatCode="0.0000">
                  <c:v>0.43355902691584153</c:v>
                </c:pt>
                <c:pt idx="66" formatCode="0.0000">
                  <c:v>0.51094423850297199</c:v>
                </c:pt>
                <c:pt idx="67" formatCode="0.0000">
                  <c:v>0.4750493985890113</c:v>
                </c:pt>
                <c:pt idx="68" formatCode="0.0000">
                  <c:v>0.48624402887179091</c:v>
                </c:pt>
                <c:pt idx="69" formatCode="0.0000">
                  <c:v>0.5566412318415338</c:v>
                </c:pt>
                <c:pt idx="70" formatCode="0.0000">
                  <c:v>0.54896545663129059</c:v>
                </c:pt>
                <c:pt idx="71" formatCode="0.0000">
                  <c:v>0.47541529188537129</c:v>
                </c:pt>
                <c:pt idx="72" formatCode="0.0000">
                  <c:v>0.39354206357326416</c:v>
                </c:pt>
                <c:pt idx="73" formatCode="0.0000">
                  <c:v>0.29701083879962781</c:v>
                </c:pt>
                <c:pt idx="74" formatCode="0.0000">
                  <c:v>0.4872601482476297</c:v>
                </c:pt>
                <c:pt idx="75" formatCode="0.0000">
                  <c:v>0.49443585891647601</c:v>
                </c:pt>
                <c:pt idx="76" formatCode="0.0000">
                  <c:v>0.42403865594673312</c:v>
                </c:pt>
                <c:pt idx="77" formatCode="0.0000">
                  <c:v>0.38328770040185128</c:v>
                </c:pt>
                <c:pt idx="78" formatCode="0.0000">
                  <c:v>0.5395573859795979</c:v>
                </c:pt>
                <c:pt idx="79" formatCode="0.0000">
                  <c:v>0.70374348025452682</c:v>
                </c:pt>
                <c:pt idx="80" formatCode="0.0000">
                  <c:v>0.82117089607933025</c:v>
                </c:pt>
                <c:pt idx="81" formatCode="0.0000">
                  <c:v>0.97486837872456999</c:v>
                </c:pt>
                <c:pt idx="82" formatCode="0.0000">
                  <c:v>1.096620879785662</c:v>
                </c:pt>
                <c:pt idx="83" formatCode="0.0000">
                  <c:v>1.2960282928523799</c:v>
                </c:pt>
                <c:pt idx="84" formatCode="0.0000">
                  <c:v>1.3148067000658179</c:v>
                </c:pt>
                <c:pt idx="85" formatCode="0.0000">
                  <c:v>1.2362410399191801</c:v>
                </c:pt>
                <c:pt idx="86" formatCode="0.0000">
                  <c:v>1.110077782093186</c:v>
                </c:pt>
                <c:pt idx="87" formatCode="0.0000">
                  <c:v>1.0991174214941746</c:v>
                </c:pt>
                <c:pt idx="88" formatCode="0.0000">
                  <c:v>0.74129887430737817</c:v>
                </c:pt>
                <c:pt idx="89" formatCode="0.0000">
                  <c:v>0.6035695423369859</c:v>
                </c:pt>
                <c:pt idx="90" formatCode="0.0000">
                  <c:v>0.62163754207788102</c:v>
                </c:pt>
                <c:pt idx="91" formatCode="0.0000">
                  <c:v>0.60818833367413672</c:v>
                </c:pt>
                <c:pt idx="92" formatCode="0.0000">
                  <c:v>0.48981257414333695</c:v>
                </c:pt>
                <c:pt idx="93" formatCode="0.0000">
                  <c:v>0.48174605695535427</c:v>
                </c:pt>
                <c:pt idx="94" formatCode="0.0000">
                  <c:v>0.58083586610093818</c:v>
                </c:pt>
                <c:pt idx="95" formatCode="0.0000">
                  <c:v>0.79334273645620457</c:v>
                </c:pt>
                <c:pt idx="96" formatCode="0.0000">
                  <c:v>0.80403333498052554</c:v>
                </c:pt>
                <c:pt idx="97" formatCode="0.0000">
                  <c:v>0.58655792217291258</c:v>
                </c:pt>
                <c:pt idx="98" formatCode="0.0000">
                  <c:v>0.86558367587208551</c:v>
                </c:pt>
                <c:pt idx="99" formatCode="0.0000">
                  <c:v>1.1371193290195996</c:v>
                </c:pt>
                <c:pt idx="100" formatCode="0.0000">
                  <c:v>1.0845126014803621</c:v>
                </c:pt>
                <c:pt idx="101" formatCode="0.0000">
                  <c:v>0.9654805015792941</c:v>
                </c:pt>
                <c:pt idx="102" formatCode="0.0000">
                  <c:v>1.1004105015923844</c:v>
                </c:pt>
                <c:pt idx="103" formatCode="0.0000">
                  <c:v>1.0988147629695499</c:v>
                </c:pt>
                <c:pt idx="104" formatCode="0.0000">
                  <c:v>1.0988147629695499</c:v>
                </c:pt>
                <c:pt idx="105" formatCode="0.0000">
                  <c:v>0.90322638387494691</c:v>
                </c:pt>
                <c:pt idx="106" formatCode="0.0000">
                  <c:v>1.0106060940998076</c:v>
                </c:pt>
                <c:pt idx="107" formatCode="0.0000">
                  <c:v>1.1638817881906689</c:v>
                </c:pt>
                <c:pt idx="108" formatCode="0.0000">
                  <c:v>1.1527420414504828</c:v>
                </c:pt>
                <c:pt idx="109" formatCode="0.0000">
                  <c:v>0.91083894253804742</c:v>
                </c:pt>
                <c:pt idx="110" formatCode="0.0000">
                  <c:v>1.5205194410063025</c:v>
                </c:pt>
                <c:pt idx="111" formatCode="0.0000">
                  <c:v>1.5928844289791448</c:v>
                </c:pt>
                <c:pt idx="112" formatCode="0.0000">
                  <c:v>2.208575779999399</c:v>
                </c:pt>
                <c:pt idx="113" formatCode="0.0000">
                  <c:v>2.0003108937596132</c:v>
                </c:pt>
                <c:pt idx="114" formatCode="0.0000">
                  <c:v>1.9181933949324588</c:v>
                </c:pt>
                <c:pt idx="115" formatCode="0.0000">
                  <c:v>1.8937174510237764</c:v>
                </c:pt>
                <c:pt idx="116" formatCode="0.0000">
                  <c:v>1.8976353281374372</c:v>
                </c:pt>
                <c:pt idx="117" formatCode="0.0000">
                  <c:v>1.3531174675693287</c:v>
                </c:pt>
                <c:pt idx="118" formatCode="0.0000">
                  <c:v>1.5433072662394551</c:v>
                </c:pt>
                <c:pt idx="119" formatCode="0.0000">
                  <c:v>0.82975776159456893</c:v>
                </c:pt>
                <c:pt idx="120" formatCode="0.0000">
                  <c:v>0.65910728446198041</c:v>
                </c:pt>
                <c:pt idx="121" formatCode="0.0000">
                  <c:v>0.93211343317168449</c:v>
                </c:pt>
                <c:pt idx="122" formatCode="0.0000">
                  <c:v>0.97005582481111152</c:v>
                </c:pt>
                <c:pt idx="123" formatCode="0.0000">
                  <c:v>0.97853353630081608</c:v>
                </c:pt>
                <c:pt idx="124" formatCode="0.0000">
                  <c:v>0.92577135589378712</c:v>
                </c:pt>
                <c:pt idx="125" formatCode="0.0000">
                  <c:v>0.69616727165914682</c:v>
                </c:pt>
                <c:pt idx="126" formatCode="0.0000">
                  <c:v>0.74415187529643134</c:v>
                </c:pt>
                <c:pt idx="127" formatCode="0.0000">
                  <c:v>0.86341766521011554</c:v>
                </c:pt>
                <c:pt idx="128" formatCode="0.0000">
                  <c:v>0.51925332123670365</c:v>
                </c:pt>
                <c:pt idx="129" formatCode="0.0000">
                  <c:v>0.83217265149076691</c:v>
                </c:pt>
                <c:pt idx="130" formatCode="0.0000">
                  <c:v>0.86214800054220719</c:v>
                </c:pt>
                <c:pt idx="131" formatCode="0.0000">
                  <c:v>0.98562825933479614</c:v>
                </c:pt>
                <c:pt idx="132" formatCode="0.0000">
                  <c:v>1.0233540403002135</c:v>
                </c:pt>
                <c:pt idx="133" formatCode="0.0000">
                  <c:v>1.0254901342754885</c:v>
                </c:pt>
                <c:pt idx="134" formatCode="0.0000">
                  <c:v>0.90622434436180421</c:v>
                </c:pt>
                <c:pt idx="135" formatCode="0.0000">
                  <c:v>1.0490545502546331</c:v>
                </c:pt>
                <c:pt idx="136" formatCode="0.0000">
                  <c:v>1.0024294151171971</c:v>
                </c:pt>
                <c:pt idx="137" formatCode="0.0000">
                  <c:v>1.4313832248999321</c:v>
                </c:pt>
                <c:pt idx="138" formatCode="0.0000">
                  <c:v>1.3547033682740035</c:v>
                </c:pt>
                <c:pt idx="139" formatCode="0.0000">
                  <c:v>1.3118345393438424</c:v>
                </c:pt>
                <c:pt idx="140" formatCode="0.0000">
                  <c:v>1.7070022403493483</c:v>
                </c:pt>
                <c:pt idx="141" formatCode="0.0000">
                  <c:v>2.0144929102205795</c:v>
                </c:pt>
                <c:pt idx="142" formatCode="0.0000">
                  <c:v>1.952900717498385</c:v>
                </c:pt>
                <c:pt idx="143" formatCode="0.0000">
                  <c:v>1.7667981179902434</c:v>
                </c:pt>
                <c:pt idx="144" formatCode="0.0000">
                  <c:v>1.663157005540423</c:v>
                </c:pt>
                <c:pt idx="145" formatCode="0.0000">
                  <c:v>1.8497287474823507</c:v>
                </c:pt>
                <c:pt idx="146" formatCode="0.0000">
                  <c:v>1.8622312419563323</c:v>
                </c:pt>
                <c:pt idx="147" formatCode="0.0000">
                  <c:v>1.6154695419029979</c:v>
                </c:pt>
                <c:pt idx="148" formatCode="0.0000">
                  <c:v>1.6955247492743908</c:v>
                </c:pt>
                <c:pt idx="149" formatCode="0.0000">
                  <c:v>1.7477265959325194</c:v>
                </c:pt>
                <c:pt idx="150" formatCode="0.0000">
                  <c:v>1.7213239456063387</c:v>
                </c:pt>
                <c:pt idx="151" formatCode="0.0000">
                  <c:v>1.4341930133203917</c:v>
                </c:pt>
                <c:pt idx="152" formatCode="0.0000">
                  <c:v>1.392172881221692</c:v>
                </c:pt>
                <c:pt idx="153" formatCode="0.0000">
                  <c:v>1.5410959941482123</c:v>
                </c:pt>
                <c:pt idx="154" formatCode="0.0000">
                  <c:v>1.4702345251413693</c:v>
                </c:pt>
                <c:pt idx="155" formatCode="0.0000">
                  <c:v>1.2347562211420182</c:v>
                </c:pt>
                <c:pt idx="156" formatCode="0.0000">
                  <c:v>1.3583582842262383</c:v>
                </c:pt>
                <c:pt idx="157" formatCode="0.0000">
                  <c:v>1.5161341520667075</c:v>
                </c:pt>
                <c:pt idx="158" formatCode="0.0000">
                  <c:v>1.686357812008042</c:v>
                </c:pt>
                <c:pt idx="159" formatCode="0.0000">
                  <c:v>1.6561436770844176</c:v>
                </c:pt>
                <c:pt idx="160" formatCode="0.0000">
                  <c:v>1.7134284118824934</c:v>
                </c:pt>
                <c:pt idx="161" formatCode="0.0000">
                  <c:v>1.6993114866782053</c:v>
                </c:pt>
                <c:pt idx="162" formatCode="0.0000">
                  <c:v>1.8973896332821241</c:v>
                </c:pt>
                <c:pt idx="163" formatCode="0.0000">
                  <c:v>1.8762359568940343</c:v>
                </c:pt>
                <c:pt idx="164" formatCode="0.0000">
                  <c:v>1.7128173276979954</c:v>
                </c:pt>
                <c:pt idx="165" formatCode="0.0000">
                  <c:v>1.5958616699000081</c:v>
                </c:pt>
                <c:pt idx="166" formatCode="0.0000">
                  <c:v>1.643159730475054</c:v>
                </c:pt>
                <c:pt idx="167" formatCode="0.0000">
                  <c:v>1.5427350007401217</c:v>
                </c:pt>
                <c:pt idx="168" formatCode="0.0000">
                  <c:v>1.5459541535534604</c:v>
                </c:pt>
                <c:pt idx="169" formatCode="0.0000">
                  <c:v>1.3638398103382976</c:v>
                </c:pt>
                <c:pt idx="170" formatCode="0.0000">
                  <c:v>1.3137107781098329</c:v>
                </c:pt>
                <c:pt idx="171" formatCode="0.0000">
                  <c:v>1.3840924864646733</c:v>
                </c:pt>
                <c:pt idx="172" formatCode="0.0000">
                  <c:v>1.3009010547305695</c:v>
                </c:pt>
                <c:pt idx="173" formatCode="0.0000">
                  <c:v>1.2358956136568682</c:v>
                </c:pt>
                <c:pt idx="174" formatCode="0.0000">
                  <c:v>1.2238754290380702</c:v>
                </c:pt>
                <c:pt idx="175" formatCode="0.0000">
                  <c:v>1.290708735300969</c:v>
                </c:pt>
                <c:pt idx="176" formatCode="0.0000">
                  <c:v>1.2494691749423059</c:v>
                </c:pt>
                <c:pt idx="177" formatCode="0.0000">
                  <c:v>1.2161966923810452</c:v>
                </c:pt>
                <c:pt idx="178" formatCode="0.0000">
                  <c:v>1.0724152677541665</c:v>
                </c:pt>
                <c:pt idx="179" formatCode="0.0000">
                  <c:v>1.0173892040913288</c:v>
                </c:pt>
                <c:pt idx="180" formatCode="0.0000">
                  <c:v>0.93778941421272688</c:v>
                </c:pt>
                <c:pt idx="181" formatCode="0.0000">
                  <c:v>0.98294196221185992</c:v>
                </c:pt>
                <c:pt idx="182" formatCode="0.0000">
                  <c:v>0.85168480832817905</c:v>
                </c:pt>
                <c:pt idx="183" formatCode="0.0000">
                  <c:v>0.82840990303258355</c:v>
                </c:pt>
                <c:pt idx="184" formatCode="0.0000">
                  <c:v>0.7888104715568558</c:v>
                </c:pt>
                <c:pt idx="185" formatCode="0.0000">
                  <c:v>0.80790776992699731</c:v>
                </c:pt>
                <c:pt idx="186" formatCode="0.0000">
                  <c:v>0.82181552368901578</c:v>
                </c:pt>
                <c:pt idx="187" formatCode="0.0000">
                  <c:v>0.8243012106761044</c:v>
                </c:pt>
                <c:pt idx="188" formatCode="0.0000">
                  <c:v>0.70234629110536584</c:v>
                </c:pt>
                <c:pt idx="189" formatCode="0.0000">
                  <c:v>0.70536895209512218</c:v>
                </c:pt>
                <c:pt idx="190" formatCode="0.0000">
                  <c:v>0.72864056947126998</c:v>
                </c:pt>
                <c:pt idx="191" formatCode="0.0000">
                  <c:v>0.7242662088422408</c:v>
                </c:pt>
                <c:pt idx="192" formatCode="0.0000">
                  <c:v>0.75277954011132608</c:v>
                </c:pt>
                <c:pt idx="193" formatCode="0.0000">
                  <c:v>0.9168013116297502</c:v>
                </c:pt>
                <c:pt idx="194" formatCode="0.0000">
                  <c:v>0.96100840767676543</c:v>
                </c:pt>
                <c:pt idx="195" formatCode="0.0000">
                  <c:v>1.0428381310385608</c:v>
                </c:pt>
                <c:pt idx="196" formatCode="0.0000">
                  <c:v>1.0858660628971653</c:v>
                </c:pt>
                <c:pt idx="197" formatCode="0.0000">
                  <c:v>1.1229667813321129</c:v>
                </c:pt>
                <c:pt idx="198" formatCode="0.0000">
                  <c:v>1.4202799565571385</c:v>
                </c:pt>
                <c:pt idx="199" formatCode="0.0000">
                  <c:v>1.458377557638348</c:v>
                </c:pt>
                <c:pt idx="200" formatCode="0.0000">
                  <c:v>1.4023354322902948</c:v>
                </c:pt>
                <c:pt idx="201" formatCode="0.0000">
                  <c:v>1.3496311249501241</c:v>
                </c:pt>
                <c:pt idx="202" formatCode="0.0000">
                  <c:v>1.4089731770333962</c:v>
                </c:pt>
                <c:pt idx="203" formatCode="0.0000">
                  <c:v>1.45789601351877</c:v>
                </c:pt>
                <c:pt idx="204" formatCode="0.0000">
                  <c:v>1.5250800527425838</c:v>
                </c:pt>
                <c:pt idx="205" formatCode="0.0000">
                  <c:v>1.3856119483463221</c:v>
                </c:pt>
                <c:pt idx="206" formatCode="0.0000">
                  <c:v>1.4227708495258635</c:v>
                </c:pt>
                <c:pt idx="207" formatCode="0.0000">
                  <c:v>1.4338522501540489</c:v>
                </c:pt>
                <c:pt idx="208" formatCode="0.0000">
                  <c:v>1.5869203356311812</c:v>
                </c:pt>
                <c:pt idx="209" formatCode="0.0000">
                  <c:v>1.5773205968848711</c:v>
                </c:pt>
                <c:pt idx="210" formatCode="0.0000">
                  <c:v>1.5568070324344592</c:v>
                </c:pt>
                <c:pt idx="211" formatCode="0.0000">
                  <c:v>1.556920794087473</c:v>
                </c:pt>
                <c:pt idx="212" formatCode="0.0000">
                  <c:v>1.487656923318863</c:v>
                </c:pt>
                <c:pt idx="213" formatCode="0.0000">
                  <c:v>1.5122554896871758</c:v>
                </c:pt>
                <c:pt idx="214" formatCode="0.0000">
                  <c:v>1.5098116312072463</c:v>
                </c:pt>
                <c:pt idx="215" formatCode="0.0000">
                  <c:v>1.432907498394201</c:v>
                </c:pt>
                <c:pt idx="216" formatCode="0.0000">
                  <c:v>1.4115653579783145</c:v>
                </c:pt>
                <c:pt idx="217" formatCode="0.0000">
                  <c:v>1.4197520332572096</c:v>
                </c:pt>
                <c:pt idx="218" formatCode="0.0000">
                  <c:v>1.3419637784849672</c:v>
                </c:pt>
                <c:pt idx="219" formatCode="0.0000">
                  <c:v>1.391050764227393</c:v>
                </c:pt>
                <c:pt idx="220" formatCode="0.0000">
                  <c:v>1.4308336453630965</c:v>
                </c:pt>
                <c:pt idx="221" formatCode="0.0000">
                  <c:v>1.4267886504557308</c:v>
                </c:pt>
                <c:pt idx="222" formatCode="0.0000">
                  <c:v>1.4241960345599716</c:v>
                </c:pt>
                <c:pt idx="223" formatCode="0.0000">
                  <c:v>1.4136243486498332</c:v>
                </c:pt>
                <c:pt idx="224" formatCode="0.0000">
                  <c:v>1.4258579221843042</c:v>
                </c:pt>
                <c:pt idx="225" formatCode="0.0000">
                  <c:v>1.4543704863746956</c:v>
                </c:pt>
                <c:pt idx="226" formatCode="0.0000">
                  <c:v>1.4412820440817682</c:v>
                </c:pt>
                <c:pt idx="227" formatCode="0.0000">
                  <c:v>1.4200370268802451</c:v>
                </c:pt>
                <c:pt idx="228" formatCode="0.0000">
                  <c:v>1.4286611146826467</c:v>
                </c:pt>
                <c:pt idx="229" formatCode="0.0000">
                  <c:v>1.4006694849240338</c:v>
                </c:pt>
                <c:pt idx="230" formatCode="0.0000">
                  <c:v>1.4245360904150661</c:v>
                </c:pt>
                <c:pt idx="231" formatCode="0.0000">
                  <c:v>1.4265317857818292</c:v>
                </c:pt>
                <c:pt idx="232" formatCode="0.0000">
                  <c:v>1.4368395955083262</c:v>
                </c:pt>
                <c:pt idx="233" formatCode="0.0000">
                  <c:v>1.4410749987689724</c:v>
                </c:pt>
                <c:pt idx="234" formatCode="0.0000">
                  <c:v>1.4120388843182694</c:v>
                </c:pt>
                <c:pt idx="235" formatCode="0.0000">
                  <c:v>1.3945428218808189</c:v>
                </c:pt>
                <c:pt idx="236" formatCode="0.0000">
                  <c:v>1.3614122378278513</c:v>
                </c:pt>
                <c:pt idx="237" formatCode="0.0000">
                  <c:v>1.3588434961559339</c:v>
                </c:pt>
                <c:pt idx="238" formatCode="0.0000">
                  <c:v>1.3482796684753722</c:v>
                </c:pt>
                <c:pt idx="239" formatCode="0.0000">
                  <c:v>1.3819233582200934</c:v>
                </c:pt>
                <c:pt idx="240" formatCode="0.0000">
                  <c:v>1.3651834217461096</c:v>
                </c:pt>
                <c:pt idx="241" formatCode="0.0000">
                  <c:v>1.3641693627282272</c:v>
                </c:pt>
                <c:pt idx="242" formatCode="0.0000">
                  <c:v>1.3859038519312481</c:v>
                </c:pt>
                <c:pt idx="243" formatCode="0.0000">
                  <c:v>1.4395471567551839</c:v>
                </c:pt>
                <c:pt idx="244" formatCode="0.0000">
                  <c:v>1.4291538249689502</c:v>
                </c:pt>
                <c:pt idx="245" formatCode="0.0000">
                  <c:v>1.487453926791743</c:v>
                </c:pt>
                <c:pt idx="246" formatCode="0.0000">
                  <c:v>1.4735392885357261</c:v>
                </c:pt>
                <c:pt idx="247" formatCode="0.0000">
                  <c:v>1.4202619551587463</c:v>
                </c:pt>
                <c:pt idx="248" formatCode="0.0000">
                  <c:v>1.402654469187699</c:v>
                </c:pt>
                <c:pt idx="249" formatCode="0.0000">
                  <c:v>1.3867914308712284</c:v>
                </c:pt>
                <c:pt idx="250" formatCode="0.0000">
                  <c:v>1.3682959697055534</c:v>
                </c:pt>
                <c:pt idx="251" formatCode="0.0000">
                  <c:v>1.3367444888281597</c:v>
                </c:pt>
                <c:pt idx="252" formatCode="0.0000">
                  <c:v>1.2501850367768861</c:v>
                </c:pt>
                <c:pt idx="253" formatCode="0.0000">
                  <c:v>1.2007934663847226</c:v>
                </c:pt>
                <c:pt idx="254" formatCode="0.0000">
                  <c:v>1.167918438653184</c:v>
                </c:pt>
                <c:pt idx="255" formatCode="0.0000">
                  <c:v>1.1331699188758673</c:v>
                </c:pt>
                <c:pt idx="256" formatCode="0.0000">
                  <c:v>1.0654554363339643</c:v>
                </c:pt>
                <c:pt idx="257" formatCode="0.0000">
                  <c:v>1.0214393962787407</c:v>
                </c:pt>
                <c:pt idx="258" formatCode="0.0000">
                  <c:v>1.0085708557622992</c:v>
                </c:pt>
                <c:pt idx="259" formatCode="0.0000">
                  <c:v>1.0329356522481474</c:v>
                </c:pt>
                <c:pt idx="260" formatCode="0.0000">
                  <c:v>1.0269264539149314</c:v>
                </c:pt>
                <c:pt idx="261" formatCode="0.0000">
                  <c:v>1.0688009347838112</c:v>
                </c:pt>
                <c:pt idx="262" formatCode="0.0000">
                  <c:v>1.0723817189284357</c:v>
                </c:pt>
                <c:pt idx="263" formatCode="0.0000">
                  <c:v>1.1043093140459252</c:v>
                </c:pt>
                <c:pt idx="264" formatCode="0.0000">
                  <c:v>1.1023343518311022</c:v>
                </c:pt>
                <c:pt idx="265" formatCode="0.0000">
                  <c:v>1.0822426700949419</c:v>
                </c:pt>
                <c:pt idx="266" formatCode="0.0000">
                  <c:v>1.0312457356663718</c:v>
                </c:pt>
                <c:pt idx="267" formatCode="0.0000">
                  <c:v>1.0053217420179361</c:v>
                </c:pt>
                <c:pt idx="268" formatCode="0.0000">
                  <c:v>0.95878641522538821</c:v>
                </c:pt>
                <c:pt idx="269" formatCode="0.0000">
                  <c:v>0.93196738192645168</c:v>
                </c:pt>
                <c:pt idx="270" formatCode="0.0000">
                  <c:v>0.86440197908133043</c:v>
                </c:pt>
                <c:pt idx="271" formatCode="0.0000">
                  <c:v>0.86264669889577517</c:v>
                </c:pt>
                <c:pt idx="272" formatCode="0.0000">
                  <c:v>0.81394756736297225</c:v>
                </c:pt>
                <c:pt idx="273" formatCode="0.0000">
                  <c:v>0.76430965134963935</c:v>
                </c:pt>
                <c:pt idx="274" formatCode="0.0000">
                  <c:v>0.79066256468423091</c:v>
                </c:pt>
                <c:pt idx="275" formatCode="0.0000">
                  <c:v>0.83991929412431376</c:v>
                </c:pt>
                <c:pt idx="276" formatCode="0.0000">
                  <c:v>0.80479396903860534</c:v>
                </c:pt>
                <c:pt idx="277" formatCode="0.0000">
                  <c:v>0.82406638755408823</c:v>
                </c:pt>
                <c:pt idx="278" formatCode="0.0000">
                  <c:v>0.83297768749339807</c:v>
                </c:pt>
                <c:pt idx="279" formatCode="0.0000">
                  <c:v>0.82783597085823502</c:v>
                </c:pt>
                <c:pt idx="280" formatCode="0.0000">
                  <c:v>0.85155776825135965</c:v>
                </c:pt>
                <c:pt idx="281" formatCode="0.0000">
                  <c:v>0.856105363769608</c:v>
                </c:pt>
                <c:pt idx="282" formatCode="0.0000">
                  <c:v>0.82782003295512374</c:v>
                </c:pt>
                <c:pt idx="283" formatCode="0.0000">
                  <c:v>0.90665085493667241</c:v>
                </c:pt>
                <c:pt idx="284" formatCode="0.0000">
                  <c:v>0.88681542798288115</c:v>
                </c:pt>
                <c:pt idx="285" formatCode="0.0000">
                  <c:v>0.92439813658634162</c:v>
                </c:pt>
                <c:pt idx="286" formatCode="0.0000">
                  <c:v>0.94881388847177206</c:v>
                </c:pt>
                <c:pt idx="287" formatCode="0.0000">
                  <c:v>0.9503208457957405</c:v>
                </c:pt>
                <c:pt idx="288" formatCode="0.0000">
                  <c:v>0.947692991101589</c:v>
                </c:pt>
                <c:pt idx="289" formatCode="0.0000">
                  <c:v>0.96828859469973161</c:v>
                </c:pt>
                <c:pt idx="290" formatCode="0.0000">
                  <c:v>0.94147735974701752</c:v>
                </c:pt>
                <c:pt idx="291" formatCode="0.0000">
                  <c:v>0.99873906075746199</c:v>
                </c:pt>
                <c:pt idx="292" formatCode="0.0000">
                  <c:v>0.96916510163413971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C30-4F60-AE8F-3935C74E3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314985"/>
        <c:axId val="2085191204"/>
      </c:lineChart>
      <c:lineChart>
        <c:grouping val="standard"/>
        <c:varyColors val="0"/>
        <c:ser>
          <c:idx val="1"/>
          <c:order val="1"/>
          <c:tx>
            <c:strRef>
              <c:f>'R(t) Województwa'!$BX$2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Województwa'!$BX$3:$BX$1000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0.2857142857142857</c:v>
                </c:pt>
                <c:pt idx="12">
                  <c:v>0.2857142857142857</c:v>
                </c:pt>
                <c:pt idx="13">
                  <c:v>0.2857142857142857</c:v>
                </c:pt>
                <c:pt idx="14">
                  <c:v>1.1428571428571428</c:v>
                </c:pt>
                <c:pt idx="15">
                  <c:v>1.2857142857142858</c:v>
                </c:pt>
                <c:pt idx="16">
                  <c:v>1.2857142857142858</c:v>
                </c:pt>
                <c:pt idx="17">
                  <c:v>1.4285714285714286</c:v>
                </c:pt>
                <c:pt idx="18">
                  <c:v>1.7142857142857142</c:v>
                </c:pt>
                <c:pt idx="19">
                  <c:v>2.1428571428571428</c:v>
                </c:pt>
                <c:pt idx="20">
                  <c:v>2.7142857142857144</c:v>
                </c:pt>
                <c:pt idx="21">
                  <c:v>2</c:v>
                </c:pt>
                <c:pt idx="22">
                  <c:v>1.8571428571428572</c:v>
                </c:pt>
                <c:pt idx="23">
                  <c:v>2.7142857142857144</c:v>
                </c:pt>
                <c:pt idx="24">
                  <c:v>3.1428571428571428</c:v>
                </c:pt>
                <c:pt idx="25">
                  <c:v>3.1428571428571428</c:v>
                </c:pt>
                <c:pt idx="26">
                  <c:v>4</c:v>
                </c:pt>
                <c:pt idx="27">
                  <c:v>3.8571428571428572</c:v>
                </c:pt>
                <c:pt idx="28">
                  <c:v>4.5714285714285712</c:v>
                </c:pt>
                <c:pt idx="29">
                  <c:v>5.4285714285714288</c:v>
                </c:pt>
                <c:pt idx="30">
                  <c:v>6</c:v>
                </c:pt>
                <c:pt idx="31">
                  <c:v>7.1428571428571432</c:v>
                </c:pt>
                <c:pt idx="32">
                  <c:v>9.7142857142857135</c:v>
                </c:pt>
                <c:pt idx="33">
                  <c:v>10.285714285714286</c:v>
                </c:pt>
                <c:pt idx="34">
                  <c:v>11</c:v>
                </c:pt>
                <c:pt idx="35">
                  <c:v>11.571428571428571</c:v>
                </c:pt>
                <c:pt idx="36">
                  <c:v>11.857142857142858</c:v>
                </c:pt>
                <c:pt idx="37">
                  <c:v>11.857142857142858</c:v>
                </c:pt>
                <c:pt idx="38">
                  <c:v>10.714285714285714</c:v>
                </c:pt>
                <c:pt idx="39">
                  <c:v>8.4285714285714288</c:v>
                </c:pt>
                <c:pt idx="40">
                  <c:v>7.7142857142857144</c:v>
                </c:pt>
                <c:pt idx="41">
                  <c:v>7.1428571428571432</c:v>
                </c:pt>
                <c:pt idx="42">
                  <c:v>5.7142857142857144</c:v>
                </c:pt>
                <c:pt idx="43">
                  <c:v>5.1428571428571432</c:v>
                </c:pt>
                <c:pt idx="44">
                  <c:v>4</c:v>
                </c:pt>
                <c:pt idx="45">
                  <c:v>4</c:v>
                </c:pt>
                <c:pt idx="46">
                  <c:v>6.2857142857142856</c:v>
                </c:pt>
                <c:pt idx="47">
                  <c:v>5.4285714285714288</c:v>
                </c:pt>
                <c:pt idx="48">
                  <c:v>5.7142857142857144</c:v>
                </c:pt>
                <c:pt idx="49">
                  <c:v>6.2857142857142856</c:v>
                </c:pt>
                <c:pt idx="50">
                  <c:v>7.4285714285714288</c:v>
                </c:pt>
                <c:pt idx="51">
                  <c:v>8.8571428571428577</c:v>
                </c:pt>
                <c:pt idx="52">
                  <c:v>10.285714285714286</c:v>
                </c:pt>
                <c:pt idx="53">
                  <c:v>12.714285714285714</c:v>
                </c:pt>
                <c:pt idx="54">
                  <c:v>19.571428571428573</c:v>
                </c:pt>
                <c:pt idx="55">
                  <c:v>20.285714285714285</c:v>
                </c:pt>
                <c:pt idx="56">
                  <c:v>25</c:v>
                </c:pt>
                <c:pt idx="57">
                  <c:v>27.571428571428573</c:v>
                </c:pt>
                <c:pt idx="58">
                  <c:v>26.428571428571427</c:v>
                </c:pt>
                <c:pt idx="59">
                  <c:v>25.285714285714285</c:v>
                </c:pt>
                <c:pt idx="60">
                  <c:v>20.571428571428573</c:v>
                </c:pt>
                <c:pt idx="61">
                  <c:v>14</c:v>
                </c:pt>
                <c:pt idx="62">
                  <c:v>12.428571428571429</c:v>
                </c:pt>
                <c:pt idx="63">
                  <c:v>8.1428571428571423</c:v>
                </c:pt>
                <c:pt idx="64">
                  <c:v>5.1428571428571432</c:v>
                </c:pt>
                <c:pt idx="65">
                  <c:v>5.7142857142857144</c:v>
                </c:pt>
                <c:pt idx="66">
                  <c:v>6.1428571428571432</c:v>
                </c:pt>
                <c:pt idx="67">
                  <c:v>5.4285714285714288</c:v>
                </c:pt>
                <c:pt idx="68">
                  <c:v>5.2857142857142856</c:v>
                </c:pt>
                <c:pt idx="69">
                  <c:v>5.8571428571428568</c:v>
                </c:pt>
                <c:pt idx="70">
                  <c:v>5.4285714285714288</c:v>
                </c:pt>
                <c:pt idx="71">
                  <c:v>4.4285714285714288</c:v>
                </c:pt>
                <c:pt idx="72">
                  <c:v>3.4285714285714284</c:v>
                </c:pt>
                <c:pt idx="73">
                  <c:v>2.2857142857142856</c:v>
                </c:pt>
                <c:pt idx="74">
                  <c:v>3.1428571428571428</c:v>
                </c:pt>
                <c:pt idx="75">
                  <c:v>3</c:v>
                </c:pt>
                <c:pt idx="76">
                  <c:v>2.4285714285714284</c:v>
                </c:pt>
                <c:pt idx="77">
                  <c:v>2</c:v>
                </c:pt>
                <c:pt idx="78">
                  <c:v>2.4285714285714284</c:v>
                </c:pt>
                <c:pt idx="79">
                  <c:v>3</c:v>
                </c:pt>
                <c:pt idx="80">
                  <c:v>3.4285714285714284</c:v>
                </c:pt>
                <c:pt idx="81">
                  <c:v>3.8571428571428572</c:v>
                </c:pt>
                <c:pt idx="82">
                  <c:v>4.4285714285714288</c:v>
                </c:pt>
                <c:pt idx="83">
                  <c:v>5.4285714285714288</c:v>
                </c:pt>
                <c:pt idx="84">
                  <c:v>5.5714285714285712</c:v>
                </c:pt>
                <c:pt idx="85">
                  <c:v>5.4285714285714288</c:v>
                </c:pt>
                <c:pt idx="86">
                  <c:v>5</c:v>
                </c:pt>
                <c:pt idx="87">
                  <c:v>5</c:v>
                </c:pt>
                <c:pt idx="88">
                  <c:v>3.5714285714285716</c:v>
                </c:pt>
                <c:pt idx="89">
                  <c:v>2.8571428571428572</c:v>
                </c:pt>
                <c:pt idx="90">
                  <c:v>2.5714285714285716</c:v>
                </c:pt>
                <c:pt idx="91">
                  <c:v>2.4285714285714284</c:v>
                </c:pt>
                <c:pt idx="92">
                  <c:v>1.8571428571428572</c:v>
                </c:pt>
                <c:pt idx="93">
                  <c:v>1.7142857142857142</c:v>
                </c:pt>
                <c:pt idx="94">
                  <c:v>1.7142857142857142</c:v>
                </c:pt>
                <c:pt idx="95">
                  <c:v>2.2857142857142856</c:v>
                </c:pt>
                <c:pt idx="96">
                  <c:v>2.2857142857142856</c:v>
                </c:pt>
                <c:pt idx="97">
                  <c:v>1.5714285714285714</c:v>
                </c:pt>
                <c:pt idx="98">
                  <c:v>2.1428571428571428</c:v>
                </c:pt>
                <c:pt idx="99">
                  <c:v>2.8571428571428572</c:v>
                </c:pt>
                <c:pt idx="100">
                  <c:v>2.7142857142857144</c:v>
                </c:pt>
                <c:pt idx="101">
                  <c:v>2.4285714285714284</c:v>
                </c:pt>
                <c:pt idx="102">
                  <c:v>2.7142857142857144</c:v>
                </c:pt>
                <c:pt idx="103">
                  <c:v>2.7142857142857144</c:v>
                </c:pt>
                <c:pt idx="104">
                  <c:v>2.7142857142857144</c:v>
                </c:pt>
                <c:pt idx="105">
                  <c:v>2.2857142857142856</c:v>
                </c:pt>
                <c:pt idx="106">
                  <c:v>2.4285714285714284</c:v>
                </c:pt>
                <c:pt idx="107">
                  <c:v>2.8571428571428572</c:v>
                </c:pt>
                <c:pt idx="108">
                  <c:v>2.8571428571428572</c:v>
                </c:pt>
                <c:pt idx="109">
                  <c:v>2.2857142857142856</c:v>
                </c:pt>
                <c:pt idx="110">
                  <c:v>3.8571428571428572</c:v>
                </c:pt>
                <c:pt idx="111">
                  <c:v>4.1428571428571432</c:v>
                </c:pt>
                <c:pt idx="112">
                  <c:v>6.5714285714285712</c:v>
                </c:pt>
                <c:pt idx="113">
                  <c:v>6.7142857142857144</c:v>
                </c:pt>
                <c:pt idx="114">
                  <c:v>6.7142857142857144</c:v>
                </c:pt>
                <c:pt idx="115">
                  <c:v>6.8571428571428568</c:v>
                </c:pt>
                <c:pt idx="116">
                  <c:v>7.1428571428571432</c:v>
                </c:pt>
                <c:pt idx="117">
                  <c:v>6</c:v>
                </c:pt>
                <c:pt idx="118">
                  <c:v>7</c:v>
                </c:pt>
                <c:pt idx="119">
                  <c:v>4.4285714285714288</c:v>
                </c:pt>
                <c:pt idx="120">
                  <c:v>3.4285714285714284</c:v>
                </c:pt>
                <c:pt idx="121">
                  <c:v>4.4285714285714288</c:v>
                </c:pt>
                <c:pt idx="122">
                  <c:v>4.5714285714285712</c:v>
                </c:pt>
                <c:pt idx="123">
                  <c:v>4.5714285714285712</c:v>
                </c:pt>
                <c:pt idx="124">
                  <c:v>4.2857142857142856</c:v>
                </c:pt>
                <c:pt idx="125">
                  <c:v>3.1428571428571428</c:v>
                </c:pt>
                <c:pt idx="126">
                  <c:v>3.2857142857142856</c:v>
                </c:pt>
                <c:pt idx="127">
                  <c:v>3.7142857142857144</c:v>
                </c:pt>
                <c:pt idx="128">
                  <c:v>2.2857142857142856</c:v>
                </c:pt>
                <c:pt idx="129">
                  <c:v>3</c:v>
                </c:pt>
                <c:pt idx="130">
                  <c:v>3</c:v>
                </c:pt>
                <c:pt idx="131">
                  <c:v>3.4285714285714284</c:v>
                </c:pt>
                <c:pt idx="132">
                  <c:v>3.5714285714285716</c:v>
                </c:pt>
                <c:pt idx="133">
                  <c:v>3.5714285714285716</c:v>
                </c:pt>
                <c:pt idx="134">
                  <c:v>3.1428571428571428</c:v>
                </c:pt>
                <c:pt idx="135">
                  <c:v>3.5714285714285716</c:v>
                </c:pt>
                <c:pt idx="136">
                  <c:v>3.4285714285714284</c:v>
                </c:pt>
                <c:pt idx="137">
                  <c:v>5</c:v>
                </c:pt>
                <c:pt idx="138">
                  <c:v>4.8571428571428568</c:v>
                </c:pt>
                <c:pt idx="139">
                  <c:v>4.7142857142857144</c:v>
                </c:pt>
                <c:pt idx="140">
                  <c:v>6.5714285714285712</c:v>
                </c:pt>
                <c:pt idx="141">
                  <c:v>8.4285714285714288</c:v>
                </c:pt>
                <c:pt idx="142">
                  <c:v>8.5714285714285712</c:v>
                </c:pt>
                <c:pt idx="143">
                  <c:v>8.7142857142857135</c:v>
                </c:pt>
                <c:pt idx="144">
                  <c:v>9.8571428571428577</c:v>
                </c:pt>
                <c:pt idx="145">
                  <c:v>12</c:v>
                </c:pt>
                <c:pt idx="146">
                  <c:v>12.285714285714286</c:v>
                </c:pt>
                <c:pt idx="147">
                  <c:v>12.285714285714286</c:v>
                </c:pt>
                <c:pt idx="148">
                  <c:v>14.428571428571429</c:v>
                </c:pt>
                <c:pt idx="149">
                  <c:v>15.571428571428571</c:v>
                </c:pt>
                <c:pt idx="150">
                  <c:v>16.428571428571427</c:v>
                </c:pt>
                <c:pt idx="151">
                  <c:v>15.571428571428571</c:v>
                </c:pt>
                <c:pt idx="152">
                  <c:v>16.285714285714285</c:v>
                </c:pt>
                <c:pt idx="153">
                  <c:v>18.714285714285715</c:v>
                </c:pt>
                <c:pt idx="154">
                  <c:v>19</c:v>
                </c:pt>
                <c:pt idx="155">
                  <c:v>17.428571428571427</c:v>
                </c:pt>
                <c:pt idx="156">
                  <c:v>19.857142857142858</c:v>
                </c:pt>
                <c:pt idx="157">
                  <c:v>23.571428571428573</c:v>
                </c:pt>
                <c:pt idx="158">
                  <c:v>28.714285714285715</c:v>
                </c:pt>
                <c:pt idx="159">
                  <c:v>31</c:v>
                </c:pt>
                <c:pt idx="160">
                  <c:v>35</c:v>
                </c:pt>
                <c:pt idx="161">
                  <c:v>36.857142857142854</c:v>
                </c:pt>
                <c:pt idx="162">
                  <c:v>45.142857142857146</c:v>
                </c:pt>
                <c:pt idx="163">
                  <c:v>49.714285714285715</c:v>
                </c:pt>
                <c:pt idx="164">
                  <c:v>50.428571428571431</c:v>
                </c:pt>
                <c:pt idx="165">
                  <c:v>52.714285714285715</c:v>
                </c:pt>
                <c:pt idx="166">
                  <c:v>59.142857142857146</c:v>
                </c:pt>
                <c:pt idx="167">
                  <c:v>59.714285714285715</c:v>
                </c:pt>
                <c:pt idx="168">
                  <c:v>62.714285714285715</c:v>
                </c:pt>
                <c:pt idx="169">
                  <c:v>60.571428571428569</c:v>
                </c:pt>
                <c:pt idx="170">
                  <c:v>61.571428571428569</c:v>
                </c:pt>
                <c:pt idx="171">
                  <c:v>67.714285714285708</c:v>
                </c:pt>
                <c:pt idx="172">
                  <c:v>67.142857142857139</c:v>
                </c:pt>
                <c:pt idx="173">
                  <c:v>67.285714285714292</c:v>
                </c:pt>
                <c:pt idx="174">
                  <c:v>68.428571428571431</c:v>
                </c:pt>
                <c:pt idx="175">
                  <c:v>74.428571428571431</c:v>
                </c:pt>
                <c:pt idx="176">
                  <c:v>74.428571428571431</c:v>
                </c:pt>
                <c:pt idx="177">
                  <c:v>74.857142857142861</c:v>
                </c:pt>
                <c:pt idx="178">
                  <c:v>68.142857142857139</c:v>
                </c:pt>
                <c:pt idx="179">
                  <c:v>65.285714285714292</c:v>
                </c:pt>
                <c:pt idx="180">
                  <c:v>60.571428571428569</c:v>
                </c:pt>
                <c:pt idx="181">
                  <c:v>62.714285714285715</c:v>
                </c:pt>
                <c:pt idx="182">
                  <c:v>54.285714285714285</c:v>
                </c:pt>
                <c:pt idx="183">
                  <c:v>51.714285714285715</c:v>
                </c:pt>
                <c:pt idx="184">
                  <c:v>47.857142857142854</c:v>
                </c:pt>
                <c:pt idx="185">
                  <c:v>47.714285714285715</c:v>
                </c:pt>
                <c:pt idx="186">
                  <c:v>47.285714285714285</c:v>
                </c:pt>
                <c:pt idx="187">
                  <c:v>46.142857142857146</c:v>
                </c:pt>
                <c:pt idx="188">
                  <c:v>38.285714285714285</c:v>
                </c:pt>
                <c:pt idx="189">
                  <c:v>37.142857142857146</c:v>
                </c:pt>
                <c:pt idx="190">
                  <c:v>36.571428571428569</c:v>
                </c:pt>
                <c:pt idx="191">
                  <c:v>34.857142857142854</c:v>
                </c:pt>
                <c:pt idx="192">
                  <c:v>34.571428571428569</c:v>
                </c:pt>
                <c:pt idx="193">
                  <c:v>39.857142857142854</c:v>
                </c:pt>
                <c:pt idx="194">
                  <c:v>41.285714285714285</c:v>
                </c:pt>
                <c:pt idx="195">
                  <c:v>45</c:v>
                </c:pt>
                <c:pt idx="196">
                  <c:v>47.142857142857146</c:v>
                </c:pt>
                <c:pt idx="197">
                  <c:v>49.285714285714285</c:v>
                </c:pt>
                <c:pt idx="198">
                  <c:v>63.857142857142854</c:v>
                </c:pt>
                <c:pt idx="199">
                  <c:v>68.714285714285708</c:v>
                </c:pt>
                <c:pt idx="200">
                  <c:v>71.142857142857139</c:v>
                </c:pt>
                <c:pt idx="201">
                  <c:v>71.142857142857139</c:v>
                </c:pt>
                <c:pt idx="202">
                  <c:v>77.428571428571431</c:v>
                </c:pt>
                <c:pt idx="203">
                  <c:v>83.428571428571431</c:v>
                </c:pt>
                <c:pt idx="204">
                  <c:v>92.142857142857139</c:v>
                </c:pt>
                <c:pt idx="205">
                  <c:v>93.428571428571431</c:v>
                </c:pt>
                <c:pt idx="206">
                  <c:v>101.28571428571429</c:v>
                </c:pt>
                <c:pt idx="207">
                  <c:v>109.14285714285714</c:v>
                </c:pt>
                <c:pt idx="208">
                  <c:v>128.57142857142858</c:v>
                </c:pt>
                <c:pt idx="209">
                  <c:v>137.14285714285714</c:v>
                </c:pt>
                <c:pt idx="210">
                  <c:v>143.42857142857142</c:v>
                </c:pt>
                <c:pt idx="211">
                  <c:v>154.85714285714286</c:v>
                </c:pt>
                <c:pt idx="212">
                  <c:v>160.14285714285714</c:v>
                </c:pt>
                <c:pt idx="213">
                  <c:v>174.42857142857142</c:v>
                </c:pt>
                <c:pt idx="214">
                  <c:v>187.71428571428572</c:v>
                </c:pt>
                <c:pt idx="215">
                  <c:v>192.28571428571428</c:v>
                </c:pt>
                <c:pt idx="216">
                  <c:v>199.71428571428572</c:v>
                </c:pt>
                <c:pt idx="217">
                  <c:v>210</c:v>
                </c:pt>
                <c:pt idx="218">
                  <c:v>209.85714285714286</c:v>
                </c:pt>
                <c:pt idx="219">
                  <c:v>228.85714285714286</c:v>
                </c:pt>
                <c:pt idx="220">
                  <c:v>251.71428571428572</c:v>
                </c:pt>
                <c:pt idx="221">
                  <c:v>268.57142857142856</c:v>
                </c:pt>
                <c:pt idx="222">
                  <c:v>284</c:v>
                </c:pt>
                <c:pt idx="223">
                  <c:v>295.71428571428572</c:v>
                </c:pt>
                <c:pt idx="224">
                  <c:v>312.71428571428572</c:v>
                </c:pt>
                <c:pt idx="225">
                  <c:v>334.28571428571428</c:v>
                </c:pt>
                <c:pt idx="226">
                  <c:v>355</c:v>
                </c:pt>
                <c:pt idx="227">
                  <c:v>377.71428571428572</c:v>
                </c:pt>
                <c:pt idx="228">
                  <c:v>406.42857142857144</c:v>
                </c:pt>
                <c:pt idx="229">
                  <c:v>420.14285714285717</c:v>
                </c:pt>
                <c:pt idx="230">
                  <c:v>448.28571428571428</c:v>
                </c:pt>
                <c:pt idx="231">
                  <c:v>472</c:v>
                </c:pt>
                <c:pt idx="232">
                  <c:v>501.14285714285717</c:v>
                </c:pt>
                <c:pt idx="233">
                  <c:v>537.14285714285711</c:v>
                </c:pt>
                <c:pt idx="234">
                  <c:v>564.85714285714289</c:v>
                </c:pt>
                <c:pt idx="235">
                  <c:v>595.28571428571433</c:v>
                </c:pt>
                <c:pt idx="236">
                  <c:v>605.57142857142856</c:v>
                </c:pt>
                <c:pt idx="237">
                  <c:v>632.85714285714289</c:v>
                </c:pt>
                <c:pt idx="238">
                  <c:v>655.57142857142856</c:v>
                </c:pt>
                <c:pt idx="239">
                  <c:v>706</c:v>
                </c:pt>
                <c:pt idx="240">
                  <c:v>740.71428571428567</c:v>
                </c:pt>
                <c:pt idx="241">
                  <c:v>784.71428571428567</c:v>
                </c:pt>
                <c:pt idx="242">
                  <c:v>847</c:v>
                </c:pt>
                <c:pt idx="243">
                  <c:v>921.42857142857144</c:v>
                </c:pt>
                <c:pt idx="244">
                  <c:v>963.57142857142856</c:v>
                </c:pt>
                <c:pt idx="245">
                  <c:v>1059.8571428571429</c:v>
                </c:pt>
                <c:pt idx="246">
                  <c:v>1124.2857142857142</c:v>
                </c:pt>
                <c:pt idx="247">
                  <c:v>1151.1428571428571</c:v>
                </c:pt>
                <c:pt idx="248">
                  <c:v>1208.5714285714287</c:v>
                </c:pt>
                <c:pt idx="249">
                  <c:v>1274.1428571428571</c:v>
                </c:pt>
                <c:pt idx="250">
                  <c:v>1319.1428571428571</c:v>
                </c:pt>
                <c:pt idx="251">
                  <c:v>1341.2857142857142</c:v>
                </c:pt>
                <c:pt idx="252">
                  <c:v>1312.5714285714287</c:v>
                </c:pt>
                <c:pt idx="253">
                  <c:v>1308.1428571428571</c:v>
                </c:pt>
                <c:pt idx="254">
                  <c:v>1304.2857142857142</c:v>
                </c:pt>
                <c:pt idx="255">
                  <c:v>1300</c:v>
                </c:pt>
                <c:pt idx="256">
                  <c:v>1251</c:v>
                </c:pt>
                <c:pt idx="257">
                  <c:v>1209.7142857142858</c:v>
                </c:pt>
                <c:pt idx="258">
                  <c:v>1197.5714285714287</c:v>
                </c:pt>
                <c:pt idx="259">
                  <c:v>1227.4285714285713</c:v>
                </c:pt>
                <c:pt idx="260">
                  <c:v>1226.2857142857142</c:v>
                </c:pt>
                <c:pt idx="261">
                  <c:v>1281.2857142857142</c:v>
                </c:pt>
                <c:pt idx="262">
                  <c:v>1299.8571428571429</c:v>
                </c:pt>
                <c:pt idx="263">
                  <c:v>1355.1428571428571</c:v>
                </c:pt>
                <c:pt idx="264">
                  <c:v>1368.4285714285713</c:v>
                </c:pt>
                <c:pt idx="265">
                  <c:v>1357.2857142857142</c:v>
                </c:pt>
                <c:pt idx="266">
                  <c:v>1307.8571428571429</c:v>
                </c:pt>
                <c:pt idx="267">
                  <c:v>1281.1428571428571</c:v>
                </c:pt>
                <c:pt idx="268">
                  <c:v>1224.8571428571429</c:v>
                </c:pt>
                <c:pt idx="269">
                  <c:v>1183</c:v>
                </c:pt>
                <c:pt idx="270">
                  <c:v>1084.5714285714287</c:v>
                </c:pt>
                <c:pt idx="271">
                  <c:v>1061.5714285714287</c:v>
                </c:pt>
                <c:pt idx="272">
                  <c:v>987.57142857142856</c:v>
                </c:pt>
                <c:pt idx="273">
                  <c:v>911</c:v>
                </c:pt>
                <c:pt idx="274">
                  <c:v>901.57142857142856</c:v>
                </c:pt>
                <c:pt idx="275">
                  <c:v>918.85714285714289</c:v>
                </c:pt>
                <c:pt idx="276">
                  <c:v>855.28571428571433</c:v>
                </c:pt>
                <c:pt idx="277">
                  <c:v>847.14285714285711</c:v>
                </c:pt>
                <c:pt idx="278">
                  <c:v>832.28571428571433</c:v>
                </c:pt>
                <c:pt idx="279">
                  <c:v>817.14285714285711</c:v>
                </c:pt>
                <c:pt idx="280">
                  <c:v>827.42857142857144</c:v>
                </c:pt>
                <c:pt idx="281">
                  <c:v>809.28571428571433</c:v>
                </c:pt>
                <c:pt idx="282">
                  <c:v>760.85714285714289</c:v>
                </c:pt>
                <c:pt idx="283">
                  <c:v>808.57142857142856</c:v>
                </c:pt>
                <c:pt idx="284">
                  <c:v>777.57142857142856</c:v>
                </c:pt>
                <c:pt idx="285">
                  <c:v>796</c:v>
                </c:pt>
                <c:pt idx="286">
                  <c:v>813.85714285714289</c:v>
                </c:pt>
                <c:pt idx="287">
                  <c:v>811</c:v>
                </c:pt>
                <c:pt idx="288">
                  <c:v>801.71428571428567</c:v>
                </c:pt>
                <c:pt idx="289">
                  <c:v>810.85714285714289</c:v>
                </c:pt>
                <c:pt idx="290">
                  <c:v>782.85714285714289</c:v>
                </c:pt>
                <c:pt idx="291">
                  <c:v>824</c:v>
                </c:pt>
                <c:pt idx="292">
                  <c:v>797.42857142857144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C30-4F60-AE8F-3935C74E3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7172279"/>
        <c:axId val="1969178807"/>
      </c:lineChart>
      <c:catAx>
        <c:axId val="5293149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2085191204"/>
        <c:crosses val="autoZero"/>
        <c:auto val="1"/>
        <c:lblAlgn val="ctr"/>
        <c:lblOffset val="100"/>
        <c:noMultiLvlLbl val="1"/>
      </c:catAx>
      <c:valAx>
        <c:axId val="2085191204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529314985"/>
        <c:crosses val="autoZero"/>
        <c:crossBetween val="between"/>
      </c:valAx>
      <c:catAx>
        <c:axId val="20371722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69178807"/>
        <c:crosses val="autoZero"/>
        <c:auto val="1"/>
        <c:lblAlgn val="ctr"/>
        <c:lblOffset val="100"/>
        <c:noMultiLvlLbl val="1"/>
      </c:catAx>
      <c:valAx>
        <c:axId val="1969178807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2037172279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Śląskiego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Województwa'!$CI$2</c:f>
              <c:strCache>
                <c:ptCount val="1"/>
                <c:pt idx="0">
                  <c:v>Śląskie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Województwa'!$CI$3:$CI$1000</c:f>
              <c:numCache>
                <c:formatCode>General</c:formatCode>
                <c:ptCount val="998"/>
                <c:pt idx="24" formatCode="0.0000">
                  <c:v>0.96970920840064689</c:v>
                </c:pt>
                <c:pt idx="25" formatCode="0.0000">
                  <c:v>1.319646282939386</c:v>
                </c:pt>
                <c:pt idx="26" formatCode="0.0000">
                  <c:v>1.5146902203291148</c:v>
                </c:pt>
                <c:pt idx="27" formatCode="0.0000">
                  <c:v>1.3328060834612041</c:v>
                </c:pt>
                <c:pt idx="28" formatCode="0.0000">
                  <c:v>1.7041183273375069</c:v>
                </c:pt>
                <c:pt idx="29" formatCode="0.0000">
                  <c:v>1.4789955844055296</c:v>
                </c:pt>
                <c:pt idx="30" formatCode="0.0000">
                  <c:v>1.4693368637114201</c:v>
                </c:pt>
                <c:pt idx="31" formatCode="0.0000">
                  <c:v>2.1844796175838419</c:v>
                </c:pt>
                <c:pt idx="32" formatCode="0.0000">
                  <c:v>2.1954606096357057</c:v>
                </c:pt>
                <c:pt idx="33" formatCode="0.0000">
                  <c:v>2.0655574414371842</c:v>
                </c:pt>
                <c:pt idx="34" formatCode="0.0000">
                  <c:v>2.0398754308789608</c:v>
                </c:pt>
                <c:pt idx="35" formatCode="0.0000">
                  <c:v>1.7276536402157954</c:v>
                </c:pt>
                <c:pt idx="36" formatCode="0.0000">
                  <c:v>1.8351944166079244</c:v>
                </c:pt>
                <c:pt idx="37" formatCode="0.0000">
                  <c:v>1.8181916091797266</c:v>
                </c:pt>
                <c:pt idx="38" formatCode="0.0000">
                  <c:v>1.0826667304681072</c:v>
                </c:pt>
                <c:pt idx="39" formatCode="0.0000">
                  <c:v>1.0184484280847699</c:v>
                </c:pt>
                <c:pt idx="40" formatCode="0.0000">
                  <c:v>1.0984098271933382</c:v>
                </c:pt>
                <c:pt idx="41" formatCode="0.0000">
                  <c:v>1.1161464639437657</c:v>
                </c:pt>
                <c:pt idx="42" formatCode="0.0000">
                  <c:v>1.1835040652092441</c:v>
                </c:pt>
                <c:pt idx="43" formatCode="0.0000">
                  <c:v>1.1642479007099362</c:v>
                </c:pt>
                <c:pt idx="44" formatCode="0.0000">
                  <c:v>1.233528314467802</c:v>
                </c:pt>
                <c:pt idx="45" formatCode="0.0000">
                  <c:v>1.5194828099671085</c:v>
                </c:pt>
                <c:pt idx="46" formatCode="0.0000">
                  <c:v>1.3894494988262791</c:v>
                </c:pt>
                <c:pt idx="47" formatCode="0.0000">
                  <c:v>1.5063381801727693</c:v>
                </c:pt>
                <c:pt idx="48" formatCode="0.0000">
                  <c:v>1.5455805168393053</c:v>
                </c:pt>
                <c:pt idx="49" formatCode="0.0000">
                  <c:v>1.4440526268984752</c:v>
                </c:pt>
                <c:pt idx="50" formatCode="0.0000">
                  <c:v>1.4015719015354533</c:v>
                </c:pt>
                <c:pt idx="51" formatCode="0.0000">
                  <c:v>1.2245082522864255</c:v>
                </c:pt>
                <c:pt idx="52" formatCode="0.0000">
                  <c:v>1.0484159451847574</c:v>
                </c:pt>
                <c:pt idx="53" formatCode="0.0000">
                  <c:v>1.1383075908625953</c:v>
                </c:pt>
                <c:pt idx="54" formatCode="0.0000">
                  <c:v>0.95918162496167192</c:v>
                </c:pt>
                <c:pt idx="55" formatCode="0.0000">
                  <c:v>0.90468249975893333</c:v>
                </c:pt>
                <c:pt idx="56" formatCode="0.0000">
                  <c:v>1.0065117395602574</c:v>
                </c:pt>
                <c:pt idx="57" formatCode="0.0000">
                  <c:v>1.244437638048272</c:v>
                </c:pt>
                <c:pt idx="58" formatCode="0.0000">
                  <c:v>1.3793192614009577</c:v>
                </c:pt>
                <c:pt idx="59" formatCode="0.0000">
                  <c:v>1.384054634007762</c:v>
                </c:pt>
                <c:pt idx="60" formatCode="0.0000">
                  <c:v>1.3388811481570684</c:v>
                </c:pt>
                <c:pt idx="61" formatCode="0.0000">
                  <c:v>1.3846635423663911</c:v>
                </c:pt>
                <c:pt idx="62" formatCode="0.0000">
                  <c:v>1.4145219784277641</c:v>
                </c:pt>
                <c:pt idx="63" formatCode="0.0000">
                  <c:v>1.4078183646564213</c:v>
                </c:pt>
                <c:pt idx="64" formatCode="0.0000">
                  <c:v>1.2991670726344198</c:v>
                </c:pt>
                <c:pt idx="65" formatCode="0.0000">
                  <c:v>1.2413717040446943</c:v>
                </c:pt>
                <c:pt idx="66" formatCode="0.0000">
                  <c:v>1.2435505322018474</c:v>
                </c:pt>
                <c:pt idx="67" formatCode="0.0000">
                  <c:v>1.3310689279934971</c:v>
                </c:pt>
                <c:pt idx="68" formatCode="0.0000">
                  <c:v>1.3220809155996387</c:v>
                </c:pt>
                <c:pt idx="69" formatCode="0.0000">
                  <c:v>1.4354937100833542</c:v>
                </c:pt>
                <c:pt idx="70" formatCode="0.0000">
                  <c:v>1.6849589127110935</c:v>
                </c:pt>
                <c:pt idx="71" formatCode="0.0000">
                  <c:v>1.5870156589999067</c:v>
                </c:pt>
                <c:pt idx="72" formatCode="0.0000">
                  <c:v>1.6674432649105184</c:v>
                </c:pt>
                <c:pt idx="73" formatCode="0.0000">
                  <c:v>1.6408294504976868</c:v>
                </c:pt>
                <c:pt idx="74" formatCode="0.0000">
                  <c:v>1.5634529899033673</c:v>
                </c:pt>
                <c:pt idx="75" formatCode="0.0000">
                  <c:v>1.4909046533256658</c:v>
                </c:pt>
                <c:pt idx="76" formatCode="0.0000">
                  <c:v>1.40250213557333</c:v>
                </c:pt>
                <c:pt idx="77" formatCode="0.0000">
                  <c:v>1.133338490262765</c:v>
                </c:pt>
                <c:pt idx="78" formatCode="0.0000">
                  <c:v>1.1910572022748884</c:v>
                </c:pt>
                <c:pt idx="79" formatCode="0.0000">
                  <c:v>1.1189720479167524</c:v>
                </c:pt>
                <c:pt idx="80" formatCode="0.0000">
                  <c:v>1.0914028757812035</c:v>
                </c:pt>
                <c:pt idx="81" formatCode="0.0000">
                  <c:v>1.0906760798357786</c:v>
                </c:pt>
                <c:pt idx="82" formatCode="0.0000">
                  <c:v>1.0834547170848283</c:v>
                </c:pt>
                <c:pt idx="83" formatCode="0.0000">
                  <c:v>1.041880967360026</c:v>
                </c:pt>
                <c:pt idx="84" formatCode="0.0000">
                  <c:v>1.0425203466679547</c:v>
                </c:pt>
                <c:pt idx="85" formatCode="0.0000">
                  <c:v>0.9713611975694485</c:v>
                </c:pt>
                <c:pt idx="86" formatCode="0.0000">
                  <c:v>0.90126138639097431</c:v>
                </c:pt>
                <c:pt idx="87" formatCode="0.0000">
                  <c:v>0.85489914772575359</c:v>
                </c:pt>
                <c:pt idx="88" formatCode="0.0000">
                  <c:v>0.90730663109425602</c:v>
                </c:pt>
                <c:pt idx="89" formatCode="0.0000">
                  <c:v>0.86347093486739313</c:v>
                </c:pt>
                <c:pt idx="90" formatCode="0.0000">
                  <c:v>0.90765231068639807</c:v>
                </c:pt>
                <c:pt idx="91" formatCode="0.0000">
                  <c:v>0.80363646219113727</c:v>
                </c:pt>
                <c:pt idx="92" formatCode="0.0000">
                  <c:v>0.77607440940621253</c:v>
                </c:pt>
                <c:pt idx="93" formatCode="0.0000">
                  <c:v>0.78494471013330447</c:v>
                </c:pt>
                <c:pt idx="94" formatCode="0.0000">
                  <c:v>0.8061032787775243</c:v>
                </c:pt>
                <c:pt idx="95" formatCode="0.0000">
                  <c:v>0.94889783148394879</c:v>
                </c:pt>
                <c:pt idx="96" formatCode="0.0000">
                  <c:v>1.118533617668924</c:v>
                </c:pt>
                <c:pt idx="97" formatCode="0.0000">
                  <c:v>1.193196205023872</c:v>
                </c:pt>
                <c:pt idx="98" formatCode="0.0000">
                  <c:v>1.1981764318949413</c:v>
                </c:pt>
                <c:pt idx="99" formatCode="0.0000">
                  <c:v>1.1622850759335663</c:v>
                </c:pt>
                <c:pt idx="100" formatCode="0.0000">
                  <c:v>1.1766656949304537</c:v>
                </c:pt>
                <c:pt idx="101" formatCode="0.0000">
                  <c:v>1.1254423617088931</c:v>
                </c:pt>
                <c:pt idx="102" formatCode="0.0000">
                  <c:v>0.98518202078917627</c:v>
                </c:pt>
                <c:pt idx="103" formatCode="0.0000">
                  <c:v>0.86557482771500671</c:v>
                </c:pt>
                <c:pt idx="104" formatCode="0.0000">
                  <c:v>0.79179743183096285</c:v>
                </c:pt>
                <c:pt idx="105" formatCode="0.0000">
                  <c:v>0.87432678783160001</c:v>
                </c:pt>
                <c:pt idx="106" formatCode="0.0000">
                  <c:v>0.94394937943944135</c:v>
                </c:pt>
                <c:pt idx="107" formatCode="0.0000">
                  <c:v>0.89710158001557072</c:v>
                </c:pt>
                <c:pt idx="108" formatCode="0.0000">
                  <c:v>0.86938768303273617</c:v>
                </c:pt>
                <c:pt idx="109" formatCode="0.0000">
                  <c:v>0.80784139162666613</c:v>
                </c:pt>
                <c:pt idx="110" formatCode="0.0000">
                  <c:v>0.80490144086494786</c:v>
                </c:pt>
                <c:pt idx="111" formatCode="0.0000">
                  <c:v>0.78220860459318764</c:v>
                </c:pt>
                <c:pt idx="112" formatCode="0.0000">
                  <c:v>0.73963705031911808</c:v>
                </c:pt>
                <c:pt idx="113" formatCode="0.0000">
                  <c:v>0.72675075145488444</c:v>
                </c:pt>
                <c:pt idx="114" formatCode="0.0000">
                  <c:v>0.78711835510021932</c:v>
                </c:pt>
                <c:pt idx="115" formatCode="0.0000">
                  <c:v>0.81094157790380716</c:v>
                </c:pt>
                <c:pt idx="116" formatCode="0.0000">
                  <c:v>0.79665873899308315</c:v>
                </c:pt>
                <c:pt idx="117" formatCode="0.0000">
                  <c:v>0.71110634554031849</c:v>
                </c:pt>
                <c:pt idx="118" formatCode="0.0000">
                  <c:v>0.68723106862031169</c:v>
                </c:pt>
                <c:pt idx="119" formatCode="0.0000">
                  <c:v>0.6745734027285929</c:v>
                </c:pt>
                <c:pt idx="120" formatCode="0.0000">
                  <c:v>0.80248539597105284</c:v>
                </c:pt>
                <c:pt idx="121" formatCode="0.0000">
                  <c:v>0.86221579184654895</c:v>
                </c:pt>
                <c:pt idx="122" formatCode="0.0000">
                  <c:v>0.8593087306072541</c:v>
                </c:pt>
                <c:pt idx="123" formatCode="0.0000">
                  <c:v>0.88956849547903649</c:v>
                </c:pt>
                <c:pt idx="124" formatCode="0.0000">
                  <c:v>0.96874145610246132</c:v>
                </c:pt>
                <c:pt idx="125" formatCode="0.0000">
                  <c:v>0.93372757572337017</c:v>
                </c:pt>
                <c:pt idx="126" formatCode="0.0000">
                  <c:v>0.95299302013100251</c:v>
                </c:pt>
                <c:pt idx="127" formatCode="0.0000">
                  <c:v>0.8591663573638828</c:v>
                </c:pt>
                <c:pt idx="128" formatCode="0.0000">
                  <c:v>0.79451148034357366</c:v>
                </c:pt>
                <c:pt idx="129" formatCode="0.0000">
                  <c:v>0.82941094869492549</c:v>
                </c:pt>
                <c:pt idx="130" formatCode="0.0000">
                  <c:v>0.82775046932148677</c:v>
                </c:pt>
                <c:pt idx="131" formatCode="0.0000">
                  <c:v>0.80288729112339652</c:v>
                </c:pt>
                <c:pt idx="132" formatCode="0.0000">
                  <c:v>0.84409188733932727</c:v>
                </c:pt>
                <c:pt idx="133" formatCode="0.0000">
                  <c:v>0.83443198758622439</c:v>
                </c:pt>
                <c:pt idx="134" formatCode="0.0000">
                  <c:v>0.84993856377440113</c:v>
                </c:pt>
                <c:pt idx="135" formatCode="0.0000">
                  <c:v>0.87905696974838221</c:v>
                </c:pt>
                <c:pt idx="136" formatCode="0.0000">
                  <c:v>0.89310792458662946</c:v>
                </c:pt>
                <c:pt idx="137" formatCode="0.0000">
                  <c:v>0.94741619654900033</c:v>
                </c:pt>
                <c:pt idx="138" formatCode="0.0000">
                  <c:v>0.94919321143060098</c:v>
                </c:pt>
                <c:pt idx="139" formatCode="0.0000">
                  <c:v>0.93769378973517614</c:v>
                </c:pt>
                <c:pt idx="140" formatCode="0.0000">
                  <c:v>1.070260831290555</c:v>
                </c:pt>
                <c:pt idx="141" formatCode="0.0000">
                  <c:v>1.0986866716187114</c:v>
                </c:pt>
                <c:pt idx="142" formatCode="0.0000">
                  <c:v>1.1187262583525359</c:v>
                </c:pt>
                <c:pt idx="143" formatCode="0.0000">
                  <c:v>1.2534079762703276</c:v>
                </c:pt>
                <c:pt idx="144" formatCode="0.0000">
                  <c:v>1.3343743826978347</c:v>
                </c:pt>
                <c:pt idx="145" formatCode="0.0000">
                  <c:v>1.4045418526500104</c:v>
                </c:pt>
                <c:pt idx="146" formatCode="0.0000">
                  <c:v>1.4870696291848555</c:v>
                </c:pt>
                <c:pt idx="147" formatCode="0.0000">
                  <c:v>1.4161251702081767</c:v>
                </c:pt>
                <c:pt idx="148" formatCode="0.0000">
                  <c:v>1.4322351936509026</c:v>
                </c:pt>
                <c:pt idx="149" formatCode="0.0000">
                  <c:v>1.4255367384160533</c:v>
                </c:pt>
                <c:pt idx="150" formatCode="0.0000">
                  <c:v>1.3751250610285684</c:v>
                </c:pt>
                <c:pt idx="151" formatCode="0.0000">
                  <c:v>1.3227151667059414</c:v>
                </c:pt>
                <c:pt idx="152" formatCode="0.0000">
                  <c:v>1.3306259393916329</c:v>
                </c:pt>
                <c:pt idx="153" formatCode="0.0000">
                  <c:v>1.2781466144448406</c:v>
                </c:pt>
                <c:pt idx="154" formatCode="0.0000">
                  <c:v>1.2879349925199792</c:v>
                </c:pt>
                <c:pt idx="155" formatCode="0.0000">
                  <c:v>1.2130200995266158</c:v>
                </c:pt>
                <c:pt idx="156" formatCode="0.0000">
                  <c:v>1.1625962070420166</c:v>
                </c:pt>
                <c:pt idx="157" formatCode="0.0000">
                  <c:v>1.1572983248356199</c:v>
                </c:pt>
                <c:pt idx="158" formatCode="0.0000">
                  <c:v>1.1245839193449139</c:v>
                </c:pt>
                <c:pt idx="159" formatCode="0.0000">
                  <c:v>1.0727098295676429</c:v>
                </c:pt>
                <c:pt idx="160" formatCode="0.0000">
                  <c:v>1.0258932026992593</c:v>
                </c:pt>
                <c:pt idx="161" formatCode="0.0000">
                  <c:v>0.94149110099528988</c:v>
                </c:pt>
                <c:pt idx="162" formatCode="0.0000">
                  <c:v>0.9438442128489738</c:v>
                </c:pt>
                <c:pt idx="163" formatCode="0.0000">
                  <c:v>0.9911129187167439</c:v>
                </c:pt>
                <c:pt idx="164" formatCode="0.0000">
                  <c:v>0.90715003413564888</c:v>
                </c:pt>
                <c:pt idx="165" formatCode="0.0000">
                  <c:v>0.85767788195689376</c:v>
                </c:pt>
                <c:pt idx="166" formatCode="0.0000">
                  <c:v>0.83881935707251976</c:v>
                </c:pt>
                <c:pt idx="167" formatCode="0.0000">
                  <c:v>0.83211552706135083</c:v>
                </c:pt>
                <c:pt idx="168" formatCode="0.0000">
                  <c:v>0.8088953578618252</c:v>
                </c:pt>
                <c:pt idx="169" formatCode="0.0000">
                  <c:v>0.85324427641135259</c:v>
                </c:pt>
                <c:pt idx="170" formatCode="0.0000">
                  <c:v>0.87498982674420589</c:v>
                </c:pt>
                <c:pt idx="171" formatCode="0.0000">
                  <c:v>0.90301274868816173</c:v>
                </c:pt>
                <c:pt idx="172" formatCode="0.0000">
                  <c:v>0.93560742886366122</c:v>
                </c:pt>
                <c:pt idx="173" formatCode="0.0000">
                  <c:v>0.93213369506858279</c:v>
                </c:pt>
                <c:pt idx="174" formatCode="0.0000">
                  <c:v>0.96030925385178623</c:v>
                </c:pt>
                <c:pt idx="175" formatCode="0.0000">
                  <c:v>0.96860568193790419</c:v>
                </c:pt>
                <c:pt idx="176" formatCode="0.0000">
                  <c:v>0.92333857081117598</c:v>
                </c:pt>
                <c:pt idx="177" formatCode="0.0000">
                  <c:v>0.87286184305379722</c:v>
                </c:pt>
                <c:pt idx="178" formatCode="0.0000">
                  <c:v>0.82297227908497061</c:v>
                </c:pt>
                <c:pt idx="179" formatCode="0.0000">
                  <c:v>0.78447205991370816</c:v>
                </c:pt>
                <c:pt idx="180" formatCode="0.0000">
                  <c:v>0.79435730647032021</c:v>
                </c:pt>
                <c:pt idx="181" formatCode="0.0000">
                  <c:v>0.79121768632129275</c:v>
                </c:pt>
                <c:pt idx="182" formatCode="0.0000">
                  <c:v>0.76613163426698228</c:v>
                </c:pt>
                <c:pt idx="183" formatCode="0.0000">
                  <c:v>0.72796773601169762</c:v>
                </c:pt>
                <c:pt idx="184" formatCode="0.0000">
                  <c:v>0.70040855260325718</c:v>
                </c:pt>
                <c:pt idx="185" formatCode="0.0000">
                  <c:v>0.6652265938177121</c:v>
                </c:pt>
                <c:pt idx="186" formatCode="0.0000">
                  <c:v>0.63307121626388707</c:v>
                </c:pt>
                <c:pt idx="187" formatCode="0.0000">
                  <c:v>0.59060497844195681</c:v>
                </c:pt>
                <c:pt idx="188" formatCode="0.0000">
                  <c:v>0.553084560728199</c:v>
                </c:pt>
                <c:pt idx="189" formatCode="0.0000">
                  <c:v>0.59227279590323045</c:v>
                </c:pt>
                <c:pt idx="190" formatCode="0.0000">
                  <c:v>0.62635384223315782</c:v>
                </c:pt>
                <c:pt idx="191" formatCode="0.0000">
                  <c:v>0.63242464157440037</c:v>
                </c:pt>
                <c:pt idx="192" formatCode="0.0000">
                  <c:v>0.65085210009805405</c:v>
                </c:pt>
                <c:pt idx="193" formatCode="0.0000">
                  <c:v>0.74257370798050182</c:v>
                </c:pt>
                <c:pt idx="194" formatCode="0.0000">
                  <c:v>0.80322193608218329</c:v>
                </c:pt>
                <c:pt idx="195" formatCode="0.0000">
                  <c:v>0.84975506330345973</c:v>
                </c:pt>
                <c:pt idx="196" formatCode="0.0000">
                  <c:v>0.89242669398722463</c:v>
                </c:pt>
                <c:pt idx="197" formatCode="0.0000">
                  <c:v>0.91904685507107853</c:v>
                </c:pt>
                <c:pt idx="198" formatCode="0.0000">
                  <c:v>0.96025023391704334</c:v>
                </c:pt>
                <c:pt idx="199" formatCode="0.0000">
                  <c:v>1.0123363428481307</c:v>
                </c:pt>
                <c:pt idx="200" formatCode="0.0000">
                  <c:v>0.99164688495598963</c:v>
                </c:pt>
                <c:pt idx="201" formatCode="0.0000">
                  <c:v>1.0418895576338187</c:v>
                </c:pt>
                <c:pt idx="202" formatCode="0.0000">
                  <c:v>1.0376678433846265</c:v>
                </c:pt>
                <c:pt idx="203" formatCode="0.0000">
                  <c:v>1.0559235683833106</c:v>
                </c:pt>
                <c:pt idx="204" formatCode="0.0000">
                  <c:v>1.0940343488085442</c:v>
                </c:pt>
                <c:pt idx="205" formatCode="0.0000">
                  <c:v>1.1818287349825649</c:v>
                </c:pt>
                <c:pt idx="206" formatCode="0.0000">
                  <c:v>1.279163808182896</c:v>
                </c:pt>
                <c:pt idx="207" formatCode="0.0000">
                  <c:v>1.3828935687656501</c:v>
                </c:pt>
                <c:pt idx="208" formatCode="0.0000">
                  <c:v>1.3609551834385936</c:v>
                </c:pt>
                <c:pt idx="209" formatCode="0.0000">
                  <c:v>1.3925327579453339</c:v>
                </c:pt>
                <c:pt idx="210" formatCode="0.0000">
                  <c:v>1.4237953299050152</c:v>
                </c:pt>
                <c:pt idx="211" formatCode="0.0000">
                  <c:v>1.4315526586573888</c:v>
                </c:pt>
                <c:pt idx="212" formatCode="0.0000">
                  <c:v>1.4051029715728056</c:v>
                </c:pt>
                <c:pt idx="213" formatCode="0.0000">
                  <c:v>1.3959476612101824</c:v>
                </c:pt>
                <c:pt idx="214" formatCode="0.0000">
                  <c:v>1.4142947549252252</c:v>
                </c:pt>
                <c:pt idx="215" formatCode="0.0000">
                  <c:v>1.3944040506684279</c:v>
                </c:pt>
                <c:pt idx="216" formatCode="0.0000">
                  <c:v>1.3989227799959318</c:v>
                </c:pt>
                <c:pt idx="217" formatCode="0.0000">
                  <c:v>1.4395019484868345</c:v>
                </c:pt>
                <c:pt idx="218" formatCode="0.0000">
                  <c:v>1.5319530403530845</c:v>
                </c:pt>
                <c:pt idx="219" formatCode="0.0000">
                  <c:v>1.6468912194290051</c:v>
                </c:pt>
                <c:pt idx="220" formatCode="0.0000">
                  <c:v>1.7674612712743714</c:v>
                </c:pt>
                <c:pt idx="221" formatCode="0.0000">
                  <c:v>1.7451308223387467</c:v>
                </c:pt>
                <c:pt idx="222" formatCode="0.0000">
                  <c:v>1.8083417928563652</c:v>
                </c:pt>
                <c:pt idx="223" formatCode="0.0000">
                  <c:v>1.8069301814292085</c:v>
                </c:pt>
                <c:pt idx="224" formatCode="0.0000">
                  <c:v>1.7964312927640156</c:v>
                </c:pt>
                <c:pt idx="225" formatCode="0.0000">
                  <c:v>1.7583174425939141</c:v>
                </c:pt>
                <c:pt idx="226" formatCode="0.0000">
                  <c:v>1.7856190859804848</c:v>
                </c:pt>
                <c:pt idx="227" formatCode="0.0000">
                  <c:v>1.6974871041478428</c:v>
                </c:pt>
                <c:pt idx="228" formatCode="0.0000">
                  <c:v>1.6890151809824505</c:v>
                </c:pt>
                <c:pt idx="229" formatCode="0.0000">
                  <c:v>1.7750397445228825</c:v>
                </c:pt>
                <c:pt idx="230" formatCode="0.0000">
                  <c:v>1.8115927375329515</c:v>
                </c:pt>
                <c:pt idx="231" formatCode="0.0000">
                  <c:v>1.7997328638267867</c:v>
                </c:pt>
                <c:pt idx="232" formatCode="0.0000">
                  <c:v>1.7787181885000014</c:v>
                </c:pt>
                <c:pt idx="233" formatCode="0.0000">
                  <c:v>1.6658379762836073</c:v>
                </c:pt>
                <c:pt idx="234" formatCode="0.0000">
                  <c:v>1.6386534373777242</c:v>
                </c:pt>
                <c:pt idx="235" formatCode="0.0000">
                  <c:v>1.6139082371411508</c:v>
                </c:pt>
                <c:pt idx="236" formatCode="0.0000">
                  <c:v>1.5152840752029273</c:v>
                </c:pt>
                <c:pt idx="237" formatCode="0.0000">
                  <c:v>1.4965108573146952</c:v>
                </c:pt>
                <c:pt idx="238" formatCode="0.0000">
                  <c:v>1.4746390304585308</c:v>
                </c:pt>
                <c:pt idx="239" formatCode="0.0000">
                  <c:v>1.5147426732886029</c:v>
                </c:pt>
                <c:pt idx="240" formatCode="0.0000">
                  <c:v>1.5253930801964819</c:v>
                </c:pt>
                <c:pt idx="241" formatCode="0.0000">
                  <c:v>1.4799161450473837</c:v>
                </c:pt>
                <c:pt idx="242" formatCode="0.0000">
                  <c:v>1.5098150218416815</c:v>
                </c:pt>
                <c:pt idx="243" formatCode="0.0000">
                  <c:v>1.4750552025183443</c:v>
                </c:pt>
                <c:pt idx="244" formatCode="0.0000">
                  <c:v>1.454011252703431</c:v>
                </c:pt>
                <c:pt idx="245" formatCode="0.0000">
                  <c:v>1.4942870351252697</c:v>
                </c:pt>
                <c:pt idx="246" formatCode="0.0000">
                  <c:v>1.4199296315538807</c:v>
                </c:pt>
                <c:pt idx="247" formatCode="0.0000">
                  <c:v>1.4946547793737832</c:v>
                </c:pt>
                <c:pt idx="248" formatCode="0.0000">
                  <c:v>1.5766170051017758</c:v>
                </c:pt>
                <c:pt idx="249" formatCode="0.0000">
                  <c:v>1.6009121590807716</c:v>
                </c:pt>
                <c:pt idx="250" formatCode="0.0000">
                  <c:v>1.6919676934898897</c:v>
                </c:pt>
                <c:pt idx="251" formatCode="0.0000">
                  <c:v>1.7823382914215082</c:v>
                </c:pt>
                <c:pt idx="252" formatCode="0.0000">
                  <c:v>1.7466739734365946</c:v>
                </c:pt>
                <c:pt idx="253" formatCode="0.0000">
                  <c:v>1.7328121366179892</c:v>
                </c:pt>
                <c:pt idx="254" formatCode="0.0000">
                  <c:v>1.5706832329399387</c:v>
                </c:pt>
                <c:pt idx="255" formatCode="0.0000">
                  <c:v>1.4469738788109081</c:v>
                </c:pt>
                <c:pt idx="256" formatCode="0.0000">
                  <c:v>1.3177837783997888</c:v>
                </c:pt>
                <c:pt idx="257" formatCode="0.0000">
                  <c:v>1.2272034365140798</c:v>
                </c:pt>
                <c:pt idx="258" formatCode="0.0000">
                  <c:v>1.1396540076350061</c:v>
                </c:pt>
                <c:pt idx="259" formatCode="0.0000">
                  <c:v>1.0380226093094487</c:v>
                </c:pt>
                <c:pt idx="260" formatCode="0.0000">
                  <c:v>0.95176553591415114</c:v>
                </c:pt>
                <c:pt idx="261" formatCode="0.0000">
                  <c:v>0.98162922114360363</c:v>
                </c:pt>
                <c:pt idx="262" formatCode="0.0000">
                  <c:v>0.93483206584858436</c:v>
                </c:pt>
                <c:pt idx="263" formatCode="0.0000">
                  <c:v>0.89247815946795106</c:v>
                </c:pt>
                <c:pt idx="264" formatCode="0.0000">
                  <c:v>0.81937432027707757</c:v>
                </c:pt>
                <c:pt idx="265" formatCode="0.0000">
                  <c:v>0.71741647070298442</c:v>
                </c:pt>
                <c:pt idx="266" formatCode="0.0000">
                  <c:v>0.6690406191934295</c:v>
                </c:pt>
                <c:pt idx="267" formatCode="0.0000">
                  <c:v>0.69211812550986329</c:v>
                </c:pt>
                <c:pt idx="268" formatCode="0.0000">
                  <c:v>0.60817199368598351</c:v>
                </c:pt>
                <c:pt idx="269" formatCode="0.0000">
                  <c:v>0.59434978458935483</c:v>
                </c:pt>
                <c:pt idx="270" formatCode="0.0000">
                  <c:v>0.58877669893950413</c:v>
                </c:pt>
                <c:pt idx="271" formatCode="0.0000">
                  <c:v>0.58355251763234983</c:v>
                </c:pt>
                <c:pt idx="272" formatCode="0.0000">
                  <c:v>0.58132579183808808</c:v>
                </c:pt>
                <c:pt idx="273" formatCode="0.0000">
                  <c:v>0.62189947418837099</c:v>
                </c:pt>
                <c:pt idx="274" formatCode="0.0000">
                  <c:v>0.63835350774026267</c:v>
                </c:pt>
                <c:pt idx="275" formatCode="0.0000">
                  <c:v>0.6636162827570492</c:v>
                </c:pt>
                <c:pt idx="276" formatCode="0.0000">
                  <c:v>0.68691491971236562</c:v>
                </c:pt>
                <c:pt idx="277" formatCode="0.0000">
                  <c:v>0.71209676923106924</c:v>
                </c:pt>
                <c:pt idx="278" formatCode="0.0000">
                  <c:v>0.72961113780219888</c:v>
                </c:pt>
                <c:pt idx="279" formatCode="0.0000">
                  <c:v>0.72424965951718256</c:v>
                </c:pt>
                <c:pt idx="280" formatCode="0.0000">
                  <c:v>0.72859728084762987</c:v>
                </c:pt>
                <c:pt idx="281" formatCode="0.0000">
                  <c:v>0.76908710201813524</c:v>
                </c:pt>
                <c:pt idx="282" formatCode="0.0000">
                  <c:v>0.77476856427055174</c:v>
                </c:pt>
                <c:pt idx="283" formatCode="0.0000">
                  <c:v>0.77593689765381202</c:v>
                </c:pt>
                <c:pt idx="284" formatCode="0.0000">
                  <c:v>0.77343143933546254</c:v>
                </c:pt>
                <c:pt idx="285" formatCode="0.0000">
                  <c:v>0.76762884702365886</c:v>
                </c:pt>
                <c:pt idx="286" formatCode="0.0000">
                  <c:v>0.77592552992023411</c:v>
                </c:pt>
                <c:pt idx="287" formatCode="0.0000">
                  <c:v>0.76639277335084033</c:v>
                </c:pt>
                <c:pt idx="288" formatCode="0.0000">
                  <c:v>0.79587281098091012</c:v>
                </c:pt>
                <c:pt idx="289" formatCode="0.0000">
                  <c:v>0.78958660767606936</c:v>
                </c:pt>
                <c:pt idx="290" formatCode="0.0000">
                  <c:v>0.79732871919153225</c:v>
                </c:pt>
                <c:pt idx="291" formatCode="0.0000">
                  <c:v>0.79760831248503095</c:v>
                </c:pt>
                <c:pt idx="292" formatCode="0.0000">
                  <c:v>0.82083593902489471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C8F-437F-AFA9-7F14FCA31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579337"/>
        <c:axId val="577004262"/>
      </c:lineChart>
      <c:lineChart>
        <c:grouping val="standard"/>
        <c:varyColors val="0"/>
        <c:ser>
          <c:idx val="1"/>
          <c:order val="1"/>
          <c:tx>
            <c:strRef>
              <c:f>'R(t) Województwa'!$CE$2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Województwa'!$CE$3:$CE$1000</c:f>
              <c:numCache>
                <c:formatCode>General</c:formatCode>
                <c:ptCount val="998"/>
                <c:pt idx="4">
                  <c:v>0</c:v>
                </c:pt>
                <c:pt idx="5">
                  <c:v>0.33333333333333331</c:v>
                </c:pt>
                <c:pt idx="6">
                  <c:v>0.7142857142857143</c:v>
                </c:pt>
                <c:pt idx="7">
                  <c:v>1</c:v>
                </c:pt>
                <c:pt idx="8">
                  <c:v>1.1428571428571428</c:v>
                </c:pt>
                <c:pt idx="9">
                  <c:v>1.5714285714285714</c:v>
                </c:pt>
                <c:pt idx="10">
                  <c:v>1.7142857142857142</c:v>
                </c:pt>
                <c:pt idx="11">
                  <c:v>1.7142857142857142</c:v>
                </c:pt>
                <c:pt idx="12">
                  <c:v>1.7142857142857142</c:v>
                </c:pt>
                <c:pt idx="13">
                  <c:v>1.8571428571428572</c:v>
                </c:pt>
                <c:pt idx="14">
                  <c:v>2.4285714285714284</c:v>
                </c:pt>
                <c:pt idx="15">
                  <c:v>3.1428571428571428</c:v>
                </c:pt>
                <c:pt idx="16">
                  <c:v>4.4285714285714288</c:v>
                </c:pt>
                <c:pt idx="17">
                  <c:v>4.8571428571428568</c:v>
                </c:pt>
                <c:pt idx="18">
                  <c:v>6.2857142857142856</c:v>
                </c:pt>
                <c:pt idx="19">
                  <c:v>7.4285714285714288</c:v>
                </c:pt>
                <c:pt idx="20">
                  <c:v>8.4285714285714288</c:v>
                </c:pt>
                <c:pt idx="21">
                  <c:v>9</c:v>
                </c:pt>
                <c:pt idx="22">
                  <c:v>11</c:v>
                </c:pt>
                <c:pt idx="23">
                  <c:v>12.142857142857142</c:v>
                </c:pt>
                <c:pt idx="24">
                  <c:v>13.571428571428571</c:v>
                </c:pt>
                <c:pt idx="25">
                  <c:v>15.571428571428571</c:v>
                </c:pt>
                <c:pt idx="26">
                  <c:v>18.428571428571427</c:v>
                </c:pt>
                <c:pt idx="27">
                  <c:v>18.857142857142858</c:v>
                </c:pt>
                <c:pt idx="28">
                  <c:v>25.285714285714285</c:v>
                </c:pt>
                <c:pt idx="29">
                  <c:v>23.571428571428573</c:v>
                </c:pt>
                <c:pt idx="30">
                  <c:v>24.857142857142858</c:v>
                </c:pt>
                <c:pt idx="31">
                  <c:v>41.428571428571431</c:v>
                </c:pt>
                <c:pt idx="32">
                  <c:v>47.285714285714285</c:v>
                </c:pt>
                <c:pt idx="33">
                  <c:v>48.857142857142854</c:v>
                </c:pt>
                <c:pt idx="34">
                  <c:v>50.428571428571431</c:v>
                </c:pt>
                <c:pt idx="35">
                  <c:v>48.142857142857146</c:v>
                </c:pt>
                <c:pt idx="36">
                  <c:v>53.142857142857146</c:v>
                </c:pt>
                <c:pt idx="37">
                  <c:v>56.285714285714285</c:v>
                </c:pt>
                <c:pt idx="38">
                  <c:v>42.571428571428569</c:v>
                </c:pt>
                <c:pt idx="39">
                  <c:v>40.714285714285715</c:v>
                </c:pt>
                <c:pt idx="40">
                  <c:v>44.142857142857146</c:v>
                </c:pt>
                <c:pt idx="41">
                  <c:v>45.285714285714285</c:v>
                </c:pt>
                <c:pt idx="42">
                  <c:v>48.857142857142854</c:v>
                </c:pt>
                <c:pt idx="43">
                  <c:v>49.142857142857146</c:v>
                </c:pt>
                <c:pt idx="44">
                  <c:v>53.571428571428569</c:v>
                </c:pt>
                <c:pt idx="45">
                  <c:v>69.428571428571431</c:v>
                </c:pt>
                <c:pt idx="46">
                  <c:v>65.571428571428569</c:v>
                </c:pt>
                <c:pt idx="47">
                  <c:v>76.285714285714292</c:v>
                </c:pt>
                <c:pt idx="48">
                  <c:v>81.714285714285708</c:v>
                </c:pt>
                <c:pt idx="49">
                  <c:v>80.285714285714292</c:v>
                </c:pt>
                <c:pt idx="50">
                  <c:v>80.428571428571431</c:v>
                </c:pt>
                <c:pt idx="51">
                  <c:v>73.714285714285708</c:v>
                </c:pt>
                <c:pt idx="52">
                  <c:v>66.857142857142861</c:v>
                </c:pt>
                <c:pt idx="53">
                  <c:v>72.857142857142861</c:v>
                </c:pt>
                <c:pt idx="54">
                  <c:v>63.428571428571431</c:v>
                </c:pt>
                <c:pt idx="55">
                  <c:v>59.285714285714285</c:v>
                </c:pt>
                <c:pt idx="56">
                  <c:v>65</c:v>
                </c:pt>
                <c:pt idx="57">
                  <c:v>81.142857142857139</c:v>
                </c:pt>
                <c:pt idx="58">
                  <c:v>93.285714285714292</c:v>
                </c:pt>
                <c:pt idx="59">
                  <c:v>99.571428571428569</c:v>
                </c:pt>
                <c:pt idx="60">
                  <c:v>99.428571428571431</c:v>
                </c:pt>
                <c:pt idx="61">
                  <c:v>107.42857142857143</c:v>
                </c:pt>
                <c:pt idx="62">
                  <c:v>112.85714285714286</c:v>
                </c:pt>
                <c:pt idx="63">
                  <c:v>118.57142857142857</c:v>
                </c:pt>
                <c:pt idx="64">
                  <c:v>118.28571428571429</c:v>
                </c:pt>
                <c:pt idx="65">
                  <c:v>117.71428571428571</c:v>
                </c:pt>
                <c:pt idx="66">
                  <c:v>123.14285714285714</c:v>
                </c:pt>
                <c:pt idx="67">
                  <c:v>136</c:v>
                </c:pt>
                <c:pt idx="68">
                  <c:v>141.85714285714286</c:v>
                </c:pt>
                <c:pt idx="69">
                  <c:v>160.85714285714286</c:v>
                </c:pt>
                <c:pt idx="70">
                  <c:v>206.42857142857142</c:v>
                </c:pt>
                <c:pt idx="71">
                  <c:v>207.85714285714286</c:v>
                </c:pt>
                <c:pt idx="72">
                  <c:v>234.42857142857142</c:v>
                </c:pt>
                <c:pt idx="73">
                  <c:v>250.71428571428572</c:v>
                </c:pt>
                <c:pt idx="74">
                  <c:v>252</c:v>
                </c:pt>
                <c:pt idx="75">
                  <c:v>253.28571428571428</c:v>
                </c:pt>
                <c:pt idx="76">
                  <c:v>252.14285714285714</c:v>
                </c:pt>
                <c:pt idx="77">
                  <c:v>225</c:v>
                </c:pt>
                <c:pt idx="78">
                  <c:v>240.42857142857142</c:v>
                </c:pt>
                <c:pt idx="79">
                  <c:v>233.14285714285714</c:v>
                </c:pt>
                <c:pt idx="80">
                  <c:v>232</c:v>
                </c:pt>
                <c:pt idx="81">
                  <c:v>234</c:v>
                </c:pt>
                <c:pt idx="82">
                  <c:v>234.71428571428572</c:v>
                </c:pt>
                <c:pt idx="83">
                  <c:v>228</c:v>
                </c:pt>
                <c:pt idx="84">
                  <c:v>229.57142857142858</c:v>
                </c:pt>
                <c:pt idx="85">
                  <c:v>215.42857142857142</c:v>
                </c:pt>
                <c:pt idx="86">
                  <c:v>199.28571428571428</c:v>
                </c:pt>
                <c:pt idx="87">
                  <c:v>185.85714285714286</c:v>
                </c:pt>
                <c:pt idx="88">
                  <c:v>192.85714285714286</c:v>
                </c:pt>
                <c:pt idx="89">
                  <c:v>181.42857142857142</c:v>
                </c:pt>
                <c:pt idx="90">
                  <c:v>186.85714285714286</c:v>
                </c:pt>
                <c:pt idx="91">
                  <c:v>163.28571428571428</c:v>
                </c:pt>
                <c:pt idx="92">
                  <c:v>153.71428571428572</c:v>
                </c:pt>
                <c:pt idx="93">
                  <c:v>151.14285714285714</c:v>
                </c:pt>
                <c:pt idx="94">
                  <c:v>149.14285714285714</c:v>
                </c:pt>
                <c:pt idx="95">
                  <c:v>166.71428571428572</c:v>
                </c:pt>
                <c:pt idx="96">
                  <c:v>198.14285714285714</c:v>
                </c:pt>
                <c:pt idx="97">
                  <c:v>216.71428571428572</c:v>
                </c:pt>
                <c:pt idx="98">
                  <c:v>220.71428571428572</c:v>
                </c:pt>
                <c:pt idx="99">
                  <c:v>216</c:v>
                </c:pt>
                <c:pt idx="100">
                  <c:v>221.28571428571428</c:v>
                </c:pt>
                <c:pt idx="101">
                  <c:v>215.71428571428572</c:v>
                </c:pt>
                <c:pt idx="102">
                  <c:v>195.42857142857142</c:v>
                </c:pt>
                <c:pt idx="103">
                  <c:v>171.85714285714286</c:v>
                </c:pt>
                <c:pt idx="104">
                  <c:v>152.14285714285714</c:v>
                </c:pt>
                <c:pt idx="105">
                  <c:v>163.42857142857142</c:v>
                </c:pt>
                <c:pt idx="106">
                  <c:v>175.14285714285714</c:v>
                </c:pt>
                <c:pt idx="107">
                  <c:v>165.28571428571428</c:v>
                </c:pt>
                <c:pt idx="108">
                  <c:v>158.57142857142858</c:v>
                </c:pt>
                <c:pt idx="109">
                  <c:v>145</c:v>
                </c:pt>
                <c:pt idx="110">
                  <c:v>140.42857142857142</c:v>
                </c:pt>
                <c:pt idx="111">
                  <c:v>132.14285714285714</c:v>
                </c:pt>
                <c:pt idx="112">
                  <c:v>119.71428571428571</c:v>
                </c:pt>
                <c:pt idx="113">
                  <c:v>112.57142857142857</c:v>
                </c:pt>
                <c:pt idx="114">
                  <c:v>117.85714285714286</c:v>
                </c:pt>
                <c:pt idx="115">
                  <c:v>118.57142857142857</c:v>
                </c:pt>
                <c:pt idx="116">
                  <c:v>113.85714285714286</c:v>
                </c:pt>
                <c:pt idx="117">
                  <c:v>99.857142857142861</c:v>
                </c:pt>
                <c:pt idx="118">
                  <c:v>92.428571428571431</c:v>
                </c:pt>
                <c:pt idx="119">
                  <c:v>86</c:v>
                </c:pt>
                <c:pt idx="120">
                  <c:v>94.714285714285708</c:v>
                </c:pt>
                <c:pt idx="121">
                  <c:v>98</c:v>
                </c:pt>
                <c:pt idx="122">
                  <c:v>95.714285714285708</c:v>
                </c:pt>
                <c:pt idx="123">
                  <c:v>97.428571428571431</c:v>
                </c:pt>
                <c:pt idx="124">
                  <c:v>105.57142857142857</c:v>
                </c:pt>
                <c:pt idx="125">
                  <c:v>101.42857142857143</c:v>
                </c:pt>
                <c:pt idx="126">
                  <c:v>102.42857142857143</c:v>
                </c:pt>
                <c:pt idx="127">
                  <c:v>92</c:v>
                </c:pt>
                <c:pt idx="128">
                  <c:v>82.857142857142861</c:v>
                </c:pt>
                <c:pt idx="129">
                  <c:v>84</c:v>
                </c:pt>
                <c:pt idx="130">
                  <c:v>81.714285714285708</c:v>
                </c:pt>
                <c:pt idx="131">
                  <c:v>77.428571428571431</c:v>
                </c:pt>
                <c:pt idx="132">
                  <c:v>79.714285714285708</c:v>
                </c:pt>
                <c:pt idx="133">
                  <c:v>77</c:v>
                </c:pt>
                <c:pt idx="134">
                  <c:v>76.142857142857139</c:v>
                </c:pt>
                <c:pt idx="135">
                  <c:v>76.857142857142861</c:v>
                </c:pt>
                <c:pt idx="136">
                  <c:v>76.571428571428569</c:v>
                </c:pt>
                <c:pt idx="137">
                  <c:v>80</c:v>
                </c:pt>
                <c:pt idx="138">
                  <c:v>79.714285714285708</c:v>
                </c:pt>
                <c:pt idx="139">
                  <c:v>78.285714285714292</c:v>
                </c:pt>
                <c:pt idx="140">
                  <c:v>88</c:v>
                </c:pt>
                <c:pt idx="141">
                  <c:v>91.285714285714292</c:v>
                </c:pt>
                <c:pt idx="142">
                  <c:v>94.285714285714292</c:v>
                </c:pt>
                <c:pt idx="143">
                  <c:v>108.28571428571429</c:v>
                </c:pt>
                <c:pt idx="144">
                  <c:v>120.71428571428571</c:v>
                </c:pt>
                <c:pt idx="145">
                  <c:v>131.85714285714286</c:v>
                </c:pt>
                <c:pt idx="146">
                  <c:v>145.42857142857142</c:v>
                </c:pt>
                <c:pt idx="147">
                  <c:v>148.42857142857142</c:v>
                </c:pt>
                <c:pt idx="148">
                  <c:v>158.42857142857142</c:v>
                </c:pt>
                <c:pt idx="149">
                  <c:v>165.57142857142858</c:v>
                </c:pt>
                <c:pt idx="150">
                  <c:v>171.71428571428572</c:v>
                </c:pt>
                <c:pt idx="151">
                  <c:v>175.42857142857142</c:v>
                </c:pt>
                <c:pt idx="152">
                  <c:v>183.71428571428572</c:v>
                </c:pt>
                <c:pt idx="153">
                  <c:v>183.14285714285714</c:v>
                </c:pt>
                <c:pt idx="154">
                  <c:v>191.85714285714286</c:v>
                </c:pt>
                <c:pt idx="155">
                  <c:v>187.42857142857142</c:v>
                </c:pt>
                <c:pt idx="156">
                  <c:v>184.14285714285714</c:v>
                </c:pt>
                <c:pt idx="157">
                  <c:v>188.71428571428572</c:v>
                </c:pt>
                <c:pt idx="158">
                  <c:v>187.85714285714286</c:v>
                </c:pt>
                <c:pt idx="159">
                  <c:v>181.85714285714286</c:v>
                </c:pt>
                <c:pt idx="160">
                  <c:v>175</c:v>
                </c:pt>
                <c:pt idx="161">
                  <c:v>161.57142857142858</c:v>
                </c:pt>
                <c:pt idx="162">
                  <c:v>160.57142857142858</c:v>
                </c:pt>
                <c:pt idx="163">
                  <c:v>166.85714285714286</c:v>
                </c:pt>
                <c:pt idx="164">
                  <c:v>152.71428571428572</c:v>
                </c:pt>
                <c:pt idx="165">
                  <c:v>142</c:v>
                </c:pt>
                <c:pt idx="166">
                  <c:v>136.14285714285714</c:v>
                </c:pt>
                <c:pt idx="167">
                  <c:v>133</c:v>
                </c:pt>
                <c:pt idx="168">
                  <c:v>126.85714285714286</c:v>
                </c:pt>
                <c:pt idx="169">
                  <c:v>129</c:v>
                </c:pt>
                <c:pt idx="170">
                  <c:v>128.28571428571428</c:v>
                </c:pt>
                <c:pt idx="171">
                  <c:v>129.42857142857142</c:v>
                </c:pt>
                <c:pt idx="172">
                  <c:v>132.28571428571428</c:v>
                </c:pt>
                <c:pt idx="173">
                  <c:v>130.71428571428572</c:v>
                </c:pt>
                <c:pt idx="174">
                  <c:v>133.85714285714286</c:v>
                </c:pt>
                <c:pt idx="175">
                  <c:v>134.42857142857142</c:v>
                </c:pt>
                <c:pt idx="176">
                  <c:v>127.85714285714286</c:v>
                </c:pt>
                <c:pt idx="177">
                  <c:v>119.57142857142857</c:v>
                </c:pt>
                <c:pt idx="178">
                  <c:v>110.42857142857143</c:v>
                </c:pt>
                <c:pt idx="179">
                  <c:v>102.14285714285714</c:v>
                </c:pt>
                <c:pt idx="180">
                  <c:v>100.57142857142857</c:v>
                </c:pt>
                <c:pt idx="181">
                  <c:v>97.571428571428569</c:v>
                </c:pt>
                <c:pt idx="182">
                  <c:v>92.428571428571431</c:v>
                </c:pt>
                <c:pt idx="183">
                  <c:v>85.142857142857139</c:v>
                </c:pt>
                <c:pt idx="184">
                  <c:v>78.428571428571431</c:v>
                </c:pt>
                <c:pt idx="185">
                  <c:v>71.285714285714292</c:v>
                </c:pt>
                <c:pt idx="186">
                  <c:v>64.571428571428569</c:v>
                </c:pt>
                <c:pt idx="187">
                  <c:v>57.285714285714285</c:v>
                </c:pt>
                <c:pt idx="188">
                  <c:v>50.714285714285715</c:v>
                </c:pt>
                <c:pt idx="189">
                  <c:v>50.571428571428569</c:v>
                </c:pt>
                <c:pt idx="190">
                  <c:v>49.714285714285715</c:v>
                </c:pt>
                <c:pt idx="191">
                  <c:v>46.857142857142854</c:v>
                </c:pt>
                <c:pt idx="192">
                  <c:v>45.571428571428569</c:v>
                </c:pt>
                <c:pt idx="193">
                  <c:v>49</c:v>
                </c:pt>
                <c:pt idx="194">
                  <c:v>51.571428571428569</c:v>
                </c:pt>
                <c:pt idx="195">
                  <c:v>53.571428571428569</c:v>
                </c:pt>
                <c:pt idx="196">
                  <c:v>55</c:v>
                </c:pt>
                <c:pt idx="197">
                  <c:v>55.714285714285715</c:v>
                </c:pt>
                <c:pt idx="198">
                  <c:v>57.571428571428569</c:v>
                </c:pt>
                <c:pt idx="199">
                  <c:v>60.428571428571431</c:v>
                </c:pt>
                <c:pt idx="200">
                  <c:v>59.285714285714285</c:v>
                </c:pt>
                <c:pt idx="201">
                  <c:v>62.285714285714285</c:v>
                </c:pt>
                <c:pt idx="202">
                  <c:v>62.285714285714285</c:v>
                </c:pt>
                <c:pt idx="203">
                  <c:v>63.714285714285715</c:v>
                </c:pt>
                <c:pt idx="204">
                  <c:v>66.571428571428569</c:v>
                </c:pt>
                <c:pt idx="205">
                  <c:v>73.142857142857139</c:v>
                </c:pt>
                <c:pt idx="206">
                  <c:v>81.857142857142861</c:v>
                </c:pt>
                <c:pt idx="207">
                  <c:v>92.857142857142861</c:v>
                </c:pt>
                <c:pt idx="208">
                  <c:v>95.571428571428569</c:v>
                </c:pt>
                <c:pt idx="209">
                  <c:v>101</c:v>
                </c:pt>
                <c:pt idx="210">
                  <c:v>108.42857142857143</c:v>
                </c:pt>
                <c:pt idx="211">
                  <c:v>115</c:v>
                </c:pt>
                <c:pt idx="212">
                  <c:v>120.42857142857143</c:v>
                </c:pt>
                <c:pt idx="213">
                  <c:v>128</c:v>
                </c:pt>
                <c:pt idx="214">
                  <c:v>139.42857142857142</c:v>
                </c:pt>
                <c:pt idx="215">
                  <c:v>143.28571428571428</c:v>
                </c:pt>
                <c:pt idx="216">
                  <c:v>149.28571428571428</c:v>
                </c:pt>
                <c:pt idx="217">
                  <c:v>162.71428571428572</c:v>
                </c:pt>
                <c:pt idx="218">
                  <c:v>185.28571428571428</c:v>
                </c:pt>
                <c:pt idx="219">
                  <c:v>217.71428571428572</c:v>
                </c:pt>
                <c:pt idx="220">
                  <c:v>262.14285714285717</c:v>
                </c:pt>
                <c:pt idx="221">
                  <c:v>289.42857142857144</c:v>
                </c:pt>
                <c:pt idx="222">
                  <c:v>322.85714285714283</c:v>
                </c:pt>
                <c:pt idx="223">
                  <c:v>342.42857142857144</c:v>
                </c:pt>
                <c:pt idx="224">
                  <c:v>374.28571428571428</c:v>
                </c:pt>
                <c:pt idx="225">
                  <c:v>407.71428571428572</c:v>
                </c:pt>
                <c:pt idx="226">
                  <c:v>471.57142857142856</c:v>
                </c:pt>
                <c:pt idx="227">
                  <c:v>511.42857142857144</c:v>
                </c:pt>
                <c:pt idx="228">
                  <c:v>561.85714285714289</c:v>
                </c:pt>
                <c:pt idx="229">
                  <c:v>650.42857142857144</c:v>
                </c:pt>
                <c:pt idx="230">
                  <c:v>710.85714285714289</c:v>
                </c:pt>
                <c:pt idx="231">
                  <c:v>775.71428571428567</c:v>
                </c:pt>
                <c:pt idx="232">
                  <c:v>845.42857142857144</c:v>
                </c:pt>
                <c:pt idx="233">
                  <c:v>894.85714285714289</c:v>
                </c:pt>
                <c:pt idx="234">
                  <c:v>971.42857142857144</c:v>
                </c:pt>
                <c:pt idx="235">
                  <c:v>1042.4285714285713</c:v>
                </c:pt>
                <c:pt idx="236">
                  <c:v>1065.2857142857142</c:v>
                </c:pt>
                <c:pt idx="237">
                  <c:v>1110.5714285714287</c:v>
                </c:pt>
                <c:pt idx="238">
                  <c:v>1168.1428571428571</c:v>
                </c:pt>
                <c:pt idx="239">
                  <c:v>1291</c:v>
                </c:pt>
                <c:pt idx="240">
                  <c:v>1409</c:v>
                </c:pt>
                <c:pt idx="241">
                  <c:v>1474.1428571428571</c:v>
                </c:pt>
                <c:pt idx="242">
                  <c:v>1618.7142857142858</c:v>
                </c:pt>
                <c:pt idx="243">
                  <c:v>1670</c:v>
                </c:pt>
                <c:pt idx="244">
                  <c:v>1721.4285714285713</c:v>
                </c:pt>
                <c:pt idx="245">
                  <c:v>1879.8571428571429</c:v>
                </c:pt>
                <c:pt idx="246">
                  <c:v>1922.2857142857142</c:v>
                </c:pt>
                <c:pt idx="247">
                  <c:v>2187.4285714285716</c:v>
                </c:pt>
                <c:pt idx="248">
                  <c:v>2499</c:v>
                </c:pt>
                <c:pt idx="249">
                  <c:v>2787</c:v>
                </c:pt>
                <c:pt idx="250">
                  <c:v>3180.1428571428573</c:v>
                </c:pt>
                <c:pt idx="251">
                  <c:v>3610.2857142857142</c:v>
                </c:pt>
                <c:pt idx="252">
                  <c:v>3877.2857142857142</c:v>
                </c:pt>
                <c:pt idx="253">
                  <c:v>4148.8571428571431</c:v>
                </c:pt>
                <c:pt idx="254">
                  <c:v>4157.5714285714284</c:v>
                </c:pt>
                <c:pt idx="255">
                  <c:v>4143.1428571428569</c:v>
                </c:pt>
                <c:pt idx="256">
                  <c:v>4023.5714285714284</c:v>
                </c:pt>
                <c:pt idx="257">
                  <c:v>3928</c:v>
                </c:pt>
                <c:pt idx="258">
                  <c:v>3777.8571428571427</c:v>
                </c:pt>
                <c:pt idx="259">
                  <c:v>3515.8571428571427</c:v>
                </c:pt>
                <c:pt idx="260">
                  <c:v>3251.2857142857142</c:v>
                </c:pt>
                <c:pt idx="261">
                  <c:v>3317.8571428571427</c:v>
                </c:pt>
                <c:pt idx="262">
                  <c:v>3150</c:v>
                </c:pt>
                <c:pt idx="263">
                  <c:v>2980</c:v>
                </c:pt>
                <c:pt idx="264">
                  <c:v>2699.2857142857142</c:v>
                </c:pt>
                <c:pt idx="265">
                  <c:v>2323.8571428571427</c:v>
                </c:pt>
                <c:pt idx="266">
                  <c:v>2110</c:v>
                </c:pt>
                <c:pt idx="267">
                  <c:v>2071</c:v>
                </c:pt>
                <c:pt idx="268">
                  <c:v>1706.2857142857142</c:v>
                </c:pt>
                <c:pt idx="269">
                  <c:v>1548.2857142857142</c:v>
                </c:pt>
                <c:pt idx="270">
                  <c:v>1425.2857142857142</c:v>
                </c:pt>
                <c:pt idx="271">
                  <c:v>1334.7142857142858</c:v>
                </c:pt>
                <c:pt idx="272">
                  <c:v>1295.7142857142858</c:v>
                </c:pt>
                <c:pt idx="273">
                  <c:v>1315.5714285714287</c:v>
                </c:pt>
                <c:pt idx="274">
                  <c:v>1251.7142857142858</c:v>
                </c:pt>
                <c:pt idx="275">
                  <c:v>1209.8571428571429</c:v>
                </c:pt>
                <c:pt idx="276">
                  <c:v>1180.5714285714287</c:v>
                </c:pt>
                <c:pt idx="277">
                  <c:v>1163.5714285714287</c:v>
                </c:pt>
                <c:pt idx="278">
                  <c:v>1153.7142857142858</c:v>
                </c:pt>
                <c:pt idx="279">
                  <c:v>1131.4285714285713</c:v>
                </c:pt>
                <c:pt idx="280">
                  <c:v>1098.2857142857142</c:v>
                </c:pt>
                <c:pt idx="281">
                  <c:v>1094.1428571428571</c:v>
                </c:pt>
                <c:pt idx="282">
                  <c:v>1054.1428571428571</c:v>
                </c:pt>
                <c:pt idx="283">
                  <c:v>1014.8571428571429</c:v>
                </c:pt>
                <c:pt idx="284">
                  <c:v>973.42857142857144</c:v>
                </c:pt>
                <c:pt idx="285">
                  <c:v>939.14285714285711</c:v>
                </c:pt>
                <c:pt idx="286">
                  <c:v>940.14285714285711</c:v>
                </c:pt>
                <c:pt idx="287">
                  <c:v>905.28571428571433</c:v>
                </c:pt>
                <c:pt idx="288">
                  <c:v>887.42857142857144</c:v>
                </c:pt>
                <c:pt idx="289">
                  <c:v>846.42857142857144</c:v>
                </c:pt>
                <c:pt idx="290">
                  <c:v>823.28571428571433</c:v>
                </c:pt>
                <c:pt idx="291">
                  <c:v>796.14285714285711</c:v>
                </c:pt>
                <c:pt idx="292">
                  <c:v>799.85714285714289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C8F-437F-AFA9-7F14FCA31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2238200"/>
        <c:axId val="550840049"/>
      </c:lineChart>
      <c:catAx>
        <c:axId val="7025793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577004262"/>
        <c:crosses val="autoZero"/>
        <c:auto val="1"/>
        <c:lblAlgn val="ctr"/>
        <c:lblOffset val="100"/>
        <c:noMultiLvlLbl val="1"/>
      </c:catAx>
      <c:valAx>
        <c:axId val="577004262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702579337"/>
        <c:crosses val="autoZero"/>
        <c:crossBetween val="between"/>
      </c:valAx>
      <c:catAx>
        <c:axId val="8522382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0840049"/>
        <c:crosses val="autoZero"/>
        <c:auto val="1"/>
        <c:lblAlgn val="ctr"/>
        <c:lblOffset val="100"/>
        <c:noMultiLvlLbl val="1"/>
      </c:catAx>
      <c:valAx>
        <c:axId val="550840049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85223820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Świętokrzyskiego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Województwa'!$CP$2</c:f>
              <c:strCache>
                <c:ptCount val="1"/>
                <c:pt idx="0">
                  <c:v>Świętokrzyskie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Województwa'!$CP$3:$CP$1000</c:f>
              <c:numCache>
                <c:formatCode>General</c:formatCode>
                <c:ptCount val="998"/>
                <c:pt idx="36" formatCode="0.0000">
                  <c:v>0.52184307759182869</c:v>
                </c:pt>
                <c:pt idx="37" formatCode="0.0000">
                  <c:v>0.34093620204115715</c:v>
                </c:pt>
                <c:pt idx="38" formatCode="0.0000">
                  <c:v>0.25759924163112585</c:v>
                </c:pt>
                <c:pt idx="39" formatCode="0.0000">
                  <c:v>0.34994340988519829</c:v>
                </c:pt>
                <c:pt idx="40" formatCode="0.0000">
                  <c:v>0.39033266044375658</c:v>
                </c:pt>
                <c:pt idx="41" formatCode="0.0000">
                  <c:v>0.32527721703646389</c:v>
                </c:pt>
                <c:pt idx="42" formatCode="0.0000">
                  <c:v>0.53431781946797041</c:v>
                </c:pt>
                <c:pt idx="43" formatCode="0.0000">
                  <c:v>0.74240205189257957</c:v>
                </c:pt>
                <c:pt idx="44" formatCode="0.0000">
                  <c:v>0.79703215714992537</c:v>
                </c:pt>
                <c:pt idx="45" formatCode="0.0000">
                  <c:v>1.0825223239210278</c:v>
                </c:pt>
                <c:pt idx="46" formatCode="0.0000">
                  <c:v>1.1364458000214726</c:v>
                </c:pt>
                <c:pt idx="47" formatCode="0.0000">
                  <c:v>1.1579847710040707</c:v>
                </c:pt>
                <c:pt idx="48" formatCode="0.0000">
                  <c:v>1.4125800133431652</c:v>
                </c:pt>
                <c:pt idx="49" formatCode="0.0000">
                  <c:v>1.3052519084330478</c:v>
                </c:pt>
                <c:pt idx="50" formatCode="0.0000">
                  <c:v>1.1432153959183802</c:v>
                </c:pt>
                <c:pt idx="51" formatCode="0.0000">
                  <c:v>1.0794286675547682</c:v>
                </c:pt>
                <c:pt idx="52" formatCode="0.0000">
                  <c:v>0.8753724169698831</c:v>
                </c:pt>
                <c:pt idx="53" formatCode="0.0000">
                  <c:v>0.74841917134777369</c:v>
                </c:pt>
                <c:pt idx="54" formatCode="0.0000">
                  <c:v>0.70482688172587282</c:v>
                </c:pt>
                <c:pt idx="55" formatCode="0.0000">
                  <c:v>0.51236769427862849</c:v>
                </c:pt>
                <c:pt idx="56" formatCode="0.0000">
                  <c:v>0.43177919114589136</c:v>
                </c:pt>
                <c:pt idx="57" formatCode="0.0000">
                  <c:v>0.35991149524064625</c:v>
                </c:pt>
                <c:pt idx="58" formatCode="0.0000">
                  <c:v>0.45379161229404641</c:v>
                </c:pt>
                <c:pt idx="59" formatCode="0.0000">
                  <c:v>0.35936836456339138</c:v>
                </c:pt>
                <c:pt idx="60" formatCode="0.0000">
                  <c:v>0.37535632771800886</c:v>
                </c:pt>
                <c:pt idx="61" formatCode="0.0000">
                  <c:v>0.57448733273335273</c:v>
                </c:pt>
                <c:pt idx="62" formatCode="0.0000">
                  <c:v>0.64373612137888003</c:v>
                </c:pt>
                <c:pt idx="63" formatCode="0.0000">
                  <c:v>1.1742372544196387</c:v>
                </c:pt>
                <c:pt idx="64" formatCode="0.0000">
                  <c:v>1.1255082193303956</c:v>
                </c:pt>
                <c:pt idx="65" formatCode="0.0000">
                  <c:v>1.0978388892316944</c:v>
                </c:pt>
                <c:pt idx="66" formatCode="0.0000">
                  <c:v>1.3536890054558339</c:v>
                </c:pt>
                <c:pt idx="67" formatCode="0.0000">
                  <c:v>1.5510385935370492</c:v>
                </c:pt>
                <c:pt idx="68" formatCode="0.0000">
                  <c:v>1.3891078045962135</c:v>
                </c:pt>
                <c:pt idx="69" formatCode="0.0000">
                  <c:v>1.2577229610588365</c:v>
                </c:pt>
                <c:pt idx="70" formatCode="0.0000">
                  <c:v>0.74609485901003381</c:v>
                </c:pt>
                <c:pt idx="71" formatCode="0.0000">
                  <c:v>1.0209924671572239</c:v>
                </c:pt>
                <c:pt idx="72" formatCode="0.0000">
                  <c:v>0.94107697095300746</c:v>
                </c:pt>
                <c:pt idx="73" formatCode="0.0000">
                  <c:v>0.77966219398432746</c:v>
                </c:pt>
                <c:pt idx="74" formatCode="0.0000">
                  <c:v>0.58286667634140366</c:v>
                </c:pt>
                <c:pt idx="75" formatCode="0.0000">
                  <c:v>0.48887839852362797</c:v>
                </c:pt>
                <c:pt idx="76" formatCode="0.0000">
                  <c:v>0.96575873874323626</c:v>
                </c:pt>
                <c:pt idx="77" formatCode="0.0000">
                  <c:v>0.91179129387778401</c:v>
                </c:pt>
                <c:pt idx="78" formatCode="0.0000">
                  <c:v>0.78301001161176043</c:v>
                </c:pt>
                <c:pt idx="79" formatCode="0.0000">
                  <c:v>0.92865166468962479</c:v>
                </c:pt>
                <c:pt idx="80" formatCode="0.0000">
                  <c:v>1.0157628735626951</c:v>
                </c:pt>
                <c:pt idx="81" formatCode="0.0000">
                  <c:v>1.262337420830099</c:v>
                </c:pt>
                <c:pt idx="82" formatCode="0.0000">
                  <c:v>1.4775894033607455</c:v>
                </c:pt>
                <c:pt idx="83" formatCode="0.0000">
                  <c:v>1.2874531062962298</c:v>
                </c:pt>
                <c:pt idx="84" formatCode="0.0000">
                  <c:v>1.4304279708955483</c:v>
                </c:pt>
                <c:pt idx="85" formatCode="0.0000">
                  <c:v>1.5027934111583325</c:v>
                </c:pt>
                <c:pt idx="86" formatCode="0.0000">
                  <c:v>1.8988073044830949</c:v>
                </c:pt>
                <c:pt idx="87" formatCode="0.0000">
                  <c:v>1.8302025979382646</c:v>
                </c:pt>
                <c:pt idx="88" formatCode="0.0000">
                  <c:v>2.116039306741528</c:v>
                </c:pt>
                <c:pt idx="89" formatCode="0.0000">
                  <c:v>1.9826247415273386</c:v>
                </c:pt>
                <c:pt idx="90" formatCode="0.0000">
                  <c:v>1.7705855240302846</c:v>
                </c:pt>
                <c:pt idx="91" formatCode="0.0000">
                  <c:v>1.6886428150838309</c:v>
                </c:pt>
                <c:pt idx="92" formatCode="0.0000">
                  <c:v>1.5966533032885406</c:v>
                </c:pt>
                <c:pt idx="93" formatCode="0.0000">
                  <c:v>1.1835944823086739</c:v>
                </c:pt>
                <c:pt idx="94" formatCode="0.0000">
                  <c:v>1.0851478738470772</c:v>
                </c:pt>
                <c:pt idx="95" formatCode="0.0000">
                  <c:v>0.5695459930865413</c:v>
                </c:pt>
                <c:pt idx="96" formatCode="0.0000">
                  <c:v>0.48770857577008414</c:v>
                </c:pt>
                <c:pt idx="97" formatCode="0.0000">
                  <c:v>1.2686080209377042</c:v>
                </c:pt>
                <c:pt idx="98" formatCode="0.0000">
                  <c:v>1.3499209057944979</c:v>
                </c:pt>
                <c:pt idx="99" formatCode="0.0000">
                  <c:v>1.3565472480337111</c:v>
                </c:pt>
                <c:pt idx="100" formatCode="0.0000">
                  <c:v>1.2890540349879374</c:v>
                </c:pt>
                <c:pt idx="101" formatCode="0.0000">
                  <c:v>1.4209549453100634</c:v>
                </c:pt>
                <c:pt idx="102" formatCode="0.0000">
                  <c:v>1.3975889316642394</c:v>
                </c:pt>
                <c:pt idx="103" formatCode="0.0000">
                  <c:v>1.5926891122690741</c:v>
                </c:pt>
                <c:pt idx="104" formatCode="0.0000">
                  <c:v>0.93676103721558079</c:v>
                </c:pt>
                <c:pt idx="105" formatCode="0.0000">
                  <c:v>0.91037169715829214</c:v>
                </c:pt>
                <c:pt idx="106" formatCode="0.0000">
                  <c:v>1.0725076735285211</c:v>
                </c:pt>
                <c:pt idx="107" formatCode="0.0000">
                  <c:v>1.2210296922568875</c:v>
                </c:pt>
                <c:pt idx="108" formatCode="0.0000">
                  <c:v>1.194720057414038</c:v>
                </c:pt>
                <c:pt idx="109" formatCode="0.0000">
                  <c:v>1.2910811143604308</c:v>
                </c:pt>
                <c:pt idx="110" formatCode="0.0000">
                  <c:v>1.1643749331024733</c:v>
                </c:pt>
                <c:pt idx="111" formatCode="0.0000">
                  <c:v>1.1494401629885833</c:v>
                </c:pt>
                <c:pt idx="112" formatCode="0.0000">
                  <c:v>1.024628671565186</c:v>
                </c:pt>
                <c:pt idx="113" formatCode="0.0000">
                  <c:v>1.0112143505919042</c:v>
                </c:pt>
                <c:pt idx="114" formatCode="0.0000">
                  <c:v>0.89585511209563795</c:v>
                </c:pt>
                <c:pt idx="115" formatCode="0.0000">
                  <c:v>0.8005387806135511</c:v>
                </c:pt>
                <c:pt idx="116" formatCode="0.0000">
                  <c:v>0.87426220309866909</c:v>
                </c:pt>
                <c:pt idx="117" formatCode="0.0000">
                  <c:v>0.93913911763198077</c:v>
                </c:pt>
                <c:pt idx="118" formatCode="0.0000">
                  <c:v>0.94278287490541768</c:v>
                </c:pt>
                <c:pt idx="119" formatCode="0.0000">
                  <c:v>1.0221019721638454</c:v>
                </c:pt>
                <c:pt idx="120" formatCode="0.0000">
                  <c:v>0.79388146839336393</c:v>
                </c:pt>
                <c:pt idx="121" formatCode="0.0000">
                  <c:v>0.80264373539262135</c:v>
                </c:pt>
                <c:pt idx="122" formatCode="0.0000">
                  <c:v>0.97714917741825069</c:v>
                </c:pt>
                <c:pt idx="123" formatCode="0.0000">
                  <c:v>0.80956157987202904</c:v>
                </c:pt>
                <c:pt idx="124" formatCode="0.0000">
                  <c:v>0.75816184511314944</c:v>
                </c:pt>
                <c:pt idx="125" formatCode="0.0000">
                  <c:v>0.744153563823995</c:v>
                </c:pt>
                <c:pt idx="126" formatCode="0.0000">
                  <c:v>0.70881191622699957</c:v>
                </c:pt>
                <c:pt idx="127" formatCode="0.0000">
                  <c:v>0.71003281347862901</c:v>
                </c:pt>
                <c:pt idx="128" formatCode="0.0000">
                  <c:v>0.70722654464106427</c:v>
                </c:pt>
                <c:pt idx="129" formatCode="0.0000">
                  <c:v>0.5916993602405578</c:v>
                </c:pt>
                <c:pt idx="130" formatCode="0.0000">
                  <c:v>0.56267886481294305</c:v>
                </c:pt>
                <c:pt idx="131" formatCode="0.0000">
                  <c:v>0.55869115749460541</c:v>
                </c:pt>
                <c:pt idx="132" formatCode="0.0000">
                  <c:v>0.46760974111477666</c:v>
                </c:pt>
                <c:pt idx="133" formatCode="0.0000">
                  <c:v>0.45903760526276771</c:v>
                </c:pt>
                <c:pt idx="134" formatCode="0.0000">
                  <c:v>0.50087003288751064</c:v>
                </c:pt>
                <c:pt idx="135" formatCode="0.0000">
                  <c:v>0.50200175605843522</c:v>
                </c:pt>
                <c:pt idx="136" formatCode="0.0000">
                  <c:v>0.77072887270181922</c:v>
                </c:pt>
                <c:pt idx="137" formatCode="0.0000">
                  <c:v>0.77072887270181922</c:v>
                </c:pt>
                <c:pt idx="138" formatCode="0.0000">
                  <c:v>0.8968212037069172</c:v>
                </c:pt>
                <c:pt idx="139" formatCode="0.0000">
                  <c:v>0.9737149998966993</c:v>
                </c:pt>
                <c:pt idx="140" formatCode="0.0000">
                  <c:v>1.8279366514569726</c:v>
                </c:pt>
                <c:pt idx="141" formatCode="0.0000">
                  <c:v>1.8557793695175935</c:v>
                </c:pt>
                <c:pt idx="142" formatCode="0.0000">
                  <c:v>1.8269066409815078</c:v>
                </c:pt>
                <c:pt idx="143" formatCode="0.0000">
                  <c:v>1.6303678431442725</c:v>
                </c:pt>
                <c:pt idx="144" formatCode="0.0000">
                  <c:v>1.7650509005432382</c:v>
                </c:pt>
                <c:pt idx="145" formatCode="0.0000">
                  <c:v>1.6192721154451839</c:v>
                </c:pt>
                <c:pt idx="146" formatCode="0.0000">
                  <c:v>1.5014692883279135</c:v>
                </c:pt>
                <c:pt idx="147" formatCode="0.0000">
                  <c:v>0.72956247125077389</c:v>
                </c:pt>
                <c:pt idx="148" formatCode="0.0000">
                  <c:v>0.72302482084502784</c:v>
                </c:pt>
                <c:pt idx="149" formatCode="0.0000">
                  <c:v>0.77153174203229413</c:v>
                </c:pt>
                <c:pt idx="150" formatCode="0.0000">
                  <c:v>0.6650722870068575</c:v>
                </c:pt>
                <c:pt idx="151" formatCode="0.0000">
                  <c:v>0.72139595249544619</c:v>
                </c:pt>
                <c:pt idx="152" formatCode="0.0000">
                  <c:v>0.71526531007784</c:v>
                </c:pt>
                <c:pt idx="153" formatCode="0.0000">
                  <c:v>0.90194109327818528</c:v>
                </c:pt>
                <c:pt idx="154" formatCode="0.0000">
                  <c:v>1.4459488768575746</c:v>
                </c:pt>
                <c:pt idx="155" formatCode="0.0000">
                  <c:v>1.3792384754799518</c:v>
                </c:pt>
                <c:pt idx="156" formatCode="0.0000">
                  <c:v>1.8226177428562391</c:v>
                </c:pt>
                <c:pt idx="157" formatCode="0.0000">
                  <c:v>1.9187143004799307</c:v>
                </c:pt>
                <c:pt idx="158" formatCode="0.0000">
                  <c:v>1.8992832855800166</c:v>
                </c:pt>
                <c:pt idx="159" formatCode="0.0000">
                  <c:v>1.9883434050757078</c:v>
                </c:pt>
                <c:pt idx="160" formatCode="0.0000">
                  <c:v>1.8620965555478268</c:v>
                </c:pt>
                <c:pt idx="161" formatCode="0.0000">
                  <c:v>1.3239946890870731</c:v>
                </c:pt>
                <c:pt idx="162" formatCode="0.0000">
                  <c:v>1.2993853677170095</c:v>
                </c:pt>
                <c:pt idx="163" formatCode="0.0000">
                  <c:v>0.91599806710403109</c:v>
                </c:pt>
                <c:pt idx="164" formatCode="0.0000">
                  <c:v>0.81400771889193291</c:v>
                </c:pt>
                <c:pt idx="165" formatCode="0.0000">
                  <c:v>1.3037219411513827</c:v>
                </c:pt>
                <c:pt idx="166" formatCode="0.0000">
                  <c:v>1.3325498659242856</c:v>
                </c:pt>
                <c:pt idx="167" formatCode="0.0000">
                  <c:v>1.3331536132165112</c:v>
                </c:pt>
                <c:pt idx="168" formatCode="0.0000">
                  <c:v>1.2720177746071377</c:v>
                </c:pt>
                <c:pt idx="169" formatCode="0.0000">
                  <c:v>1.2910152819144654</c:v>
                </c:pt>
                <c:pt idx="170" formatCode="0.0000">
                  <c:v>1.2996783859122139</c:v>
                </c:pt>
                <c:pt idx="171" formatCode="0.0000">
                  <c:v>1.5218067213848008</c:v>
                </c:pt>
                <c:pt idx="172" formatCode="0.0000">
                  <c:v>0.9788365716394285</c:v>
                </c:pt>
                <c:pt idx="173" formatCode="0.0000">
                  <c:v>0.89709747282467045</c:v>
                </c:pt>
                <c:pt idx="174" formatCode="0.0000">
                  <c:v>1.4118847629970885</c:v>
                </c:pt>
                <c:pt idx="175" formatCode="0.0000">
                  <c:v>1.4838747519387669</c:v>
                </c:pt>
                <c:pt idx="176" formatCode="0.0000">
                  <c:v>1.5939635568247301</c:v>
                </c:pt>
                <c:pt idx="177" formatCode="0.0000">
                  <c:v>1.5427070648602743</c:v>
                </c:pt>
                <c:pt idx="178" formatCode="0.0000">
                  <c:v>1.4237261010677433</c:v>
                </c:pt>
                <c:pt idx="179" formatCode="0.0000">
                  <c:v>1.5131140182356193</c:v>
                </c:pt>
                <c:pt idx="180" formatCode="0.0000">
                  <c:v>1.4682449360204026</c:v>
                </c:pt>
                <c:pt idx="181" formatCode="0.0000">
                  <c:v>0.9623566093734226</c:v>
                </c:pt>
                <c:pt idx="182" formatCode="0.0000">
                  <c:v>0.93664155887001144</c:v>
                </c:pt>
                <c:pt idx="183" formatCode="0.0000">
                  <c:v>0.90633938831579353</c:v>
                </c:pt>
                <c:pt idx="184" formatCode="0.0000">
                  <c:v>0.94668473195312475</c:v>
                </c:pt>
                <c:pt idx="185" formatCode="0.0000">
                  <c:v>0.92319826710862873</c:v>
                </c:pt>
                <c:pt idx="186" formatCode="0.0000">
                  <c:v>0.9333877804612174</c:v>
                </c:pt>
                <c:pt idx="187" formatCode="0.0000">
                  <c:v>1.0069766526841961</c:v>
                </c:pt>
                <c:pt idx="188" formatCode="0.0000">
                  <c:v>0.96668673719192277</c:v>
                </c:pt>
                <c:pt idx="189" formatCode="0.0000">
                  <c:v>0.92902475498353199</c:v>
                </c:pt>
                <c:pt idx="190" formatCode="0.0000">
                  <c:v>0.95740734775081415</c:v>
                </c:pt>
                <c:pt idx="191" formatCode="0.0000">
                  <c:v>0.93978188999635337</c:v>
                </c:pt>
                <c:pt idx="192" formatCode="0.0000">
                  <c:v>0.94838684578315668</c:v>
                </c:pt>
                <c:pt idx="193" formatCode="0.0000">
                  <c:v>0.88158211299090794</c:v>
                </c:pt>
                <c:pt idx="194" formatCode="0.0000">
                  <c:v>0.87924455979918636</c:v>
                </c:pt>
                <c:pt idx="195" formatCode="0.0000">
                  <c:v>0.84350259695115859</c:v>
                </c:pt>
                <c:pt idx="196" formatCode="0.0000">
                  <c:v>1.0838274930021075</c:v>
                </c:pt>
                <c:pt idx="197" formatCode="0.0000">
                  <c:v>0.99813539068861989</c:v>
                </c:pt>
                <c:pt idx="198" formatCode="0.0000">
                  <c:v>1.1315702699229451</c:v>
                </c:pt>
                <c:pt idx="199" formatCode="0.0000">
                  <c:v>1.2155086894818268</c:v>
                </c:pt>
                <c:pt idx="200" formatCode="0.0000">
                  <c:v>1.220842862217647</c:v>
                </c:pt>
                <c:pt idx="201" formatCode="0.0000">
                  <c:v>1.2385302495648396</c:v>
                </c:pt>
                <c:pt idx="202" formatCode="0.0000">
                  <c:v>1.2616655540527966</c:v>
                </c:pt>
                <c:pt idx="203" formatCode="0.0000">
                  <c:v>1.0967761405491736</c:v>
                </c:pt>
                <c:pt idx="204" formatCode="0.0000">
                  <c:v>1.3126220173078906</c:v>
                </c:pt>
                <c:pt idx="205" formatCode="0.0000">
                  <c:v>1.2669399056736768</c:v>
                </c:pt>
                <c:pt idx="206" formatCode="0.0000">
                  <c:v>1.3761637680829828</c:v>
                </c:pt>
                <c:pt idx="207" formatCode="0.0000">
                  <c:v>1.4365101239224793</c:v>
                </c:pt>
                <c:pt idx="208" formatCode="0.0000">
                  <c:v>1.4962315742182064</c:v>
                </c:pt>
                <c:pt idx="209" formatCode="0.0000">
                  <c:v>1.5212769027936386</c:v>
                </c:pt>
                <c:pt idx="210" formatCode="0.0000">
                  <c:v>1.5454565421270483</c:v>
                </c:pt>
                <c:pt idx="211" formatCode="0.0000">
                  <c:v>1.4984524992739037</c:v>
                </c:pt>
                <c:pt idx="212" formatCode="0.0000">
                  <c:v>1.4358603994399712</c:v>
                </c:pt>
                <c:pt idx="213" formatCode="0.0000">
                  <c:v>1.2478508135388231</c:v>
                </c:pt>
                <c:pt idx="214" formatCode="0.0000">
                  <c:v>1.6825382906701962</c:v>
                </c:pt>
                <c:pt idx="215" formatCode="0.0000">
                  <c:v>1.6843018574310518</c:v>
                </c:pt>
                <c:pt idx="216" formatCode="0.0000">
                  <c:v>1.728902773263554</c:v>
                </c:pt>
                <c:pt idx="217" formatCode="0.0000">
                  <c:v>1.9057928336445948</c:v>
                </c:pt>
                <c:pt idx="218" formatCode="0.0000">
                  <c:v>1.9927850556428337</c:v>
                </c:pt>
                <c:pt idx="219" formatCode="0.0000">
                  <c:v>2.0992168518040688</c:v>
                </c:pt>
                <c:pt idx="220" formatCode="0.0000">
                  <c:v>2.2696031173753175</c:v>
                </c:pt>
                <c:pt idx="221" formatCode="0.0000">
                  <c:v>1.9178459292460843</c:v>
                </c:pt>
                <c:pt idx="222" formatCode="0.0000">
                  <c:v>1.9047114260883558</c:v>
                </c:pt>
                <c:pt idx="223" formatCode="0.0000">
                  <c:v>1.9897829835419698</c:v>
                </c:pt>
                <c:pt idx="224" formatCode="0.0000">
                  <c:v>1.747873684652216</c:v>
                </c:pt>
                <c:pt idx="225" formatCode="0.0000">
                  <c:v>1.7002194580914034</c:v>
                </c:pt>
                <c:pt idx="226" formatCode="0.0000">
                  <c:v>1.6780673828956665</c:v>
                </c:pt>
                <c:pt idx="227" formatCode="0.0000">
                  <c:v>1.6368718688408515</c:v>
                </c:pt>
                <c:pt idx="228" formatCode="0.0000">
                  <c:v>1.6360179263156662</c:v>
                </c:pt>
                <c:pt idx="229" formatCode="0.0000">
                  <c:v>1.593130270907452</c:v>
                </c:pt>
                <c:pt idx="230" formatCode="0.0000">
                  <c:v>1.4905425416014852</c:v>
                </c:pt>
                <c:pt idx="231" formatCode="0.0000">
                  <c:v>1.572547813786809</c:v>
                </c:pt>
                <c:pt idx="232" formatCode="0.0000">
                  <c:v>1.4604336300866556</c:v>
                </c:pt>
                <c:pt idx="233" formatCode="0.0000">
                  <c:v>1.4915587120385589</c:v>
                </c:pt>
                <c:pt idx="234" formatCode="0.0000">
                  <c:v>1.5676491761878701</c:v>
                </c:pt>
                <c:pt idx="235" formatCode="0.0000">
                  <c:v>1.4527958884916525</c:v>
                </c:pt>
                <c:pt idx="236" formatCode="0.0000">
                  <c:v>1.4887712212571962</c:v>
                </c:pt>
                <c:pt idx="237" formatCode="0.0000">
                  <c:v>1.5087080438439029</c:v>
                </c:pt>
                <c:pt idx="238" formatCode="0.0000">
                  <c:v>1.4800269381809721</c:v>
                </c:pt>
                <c:pt idx="239" formatCode="0.0000">
                  <c:v>1.5327872529033872</c:v>
                </c:pt>
                <c:pt idx="240" formatCode="0.0000">
                  <c:v>1.456847694591574</c:v>
                </c:pt>
                <c:pt idx="241" formatCode="0.0000">
                  <c:v>1.3258051214932418</c:v>
                </c:pt>
                <c:pt idx="242" formatCode="0.0000">
                  <c:v>1.4124931586303247</c:v>
                </c:pt>
                <c:pt idx="243" formatCode="0.0000">
                  <c:v>1.3144394670195061</c:v>
                </c:pt>
                <c:pt idx="244" formatCode="0.0000">
                  <c:v>1.2739784850761142</c:v>
                </c:pt>
                <c:pt idx="245" formatCode="0.0000">
                  <c:v>1.2712377634198313</c:v>
                </c:pt>
                <c:pt idx="246" formatCode="0.0000">
                  <c:v>1.2957842689495913</c:v>
                </c:pt>
                <c:pt idx="247" formatCode="0.0000">
                  <c:v>1.342319671333007</c:v>
                </c:pt>
                <c:pt idx="248" formatCode="0.0000">
                  <c:v>1.3881365725077148</c:v>
                </c:pt>
                <c:pt idx="249" formatCode="0.0000">
                  <c:v>1.3978122670106046</c:v>
                </c:pt>
                <c:pt idx="250" formatCode="0.0000">
                  <c:v>1.4080367690186806</c:v>
                </c:pt>
                <c:pt idx="251" formatCode="0.0000">
                  <c:v>1.3900450089575269</c:v>
                </c:pt>
                <c:pt idx="252" formatCode="0.0000">
                  <c:v>1.3819925957372423</c:v>
                </c:pt>
                <c:pt idx="253" formatCode="0.0000">
                  <c:v>1.2513939993131165</c:v>
                </c:pt>
                <c:pt idx="254" formatCode="0.0000">
                  <c:v>1.1681621782436504</c:v>
                </c:pt>
                <c:pt idx="255" formatCode="0.0000">
                  <c:v>1.112603509565226</c:v>
                </c:pt>
                <c:pt idx="256" formatCode="0.0000">
                  <c:v>1.0757512266788134</c:v>
                </c:pt>
                <c:pt idx="257" formatCode="0.0000">
                  <c:v>1.1186161308658551</c:v>
                </c:pt>
                <c:pt idx="258" formatCode="0.0000">
                  <c:v>1.1956275622531998</c:v>
                </c:pt>
                <c:pt idx="259" formatCode="0.0000">
                  <c:v>1.1418762247713585</c:v>
                </c:pt>
                <c:pt idx="260" formatCode="0.0000">
                  <c:v>1.1998339598910399</c:v>
                </c:pt>
                <c:pt idx="261" formatCode="0.0000">
                  <c:v>1.1895703189007321</c:v>
                </c:pt>
                <c:pt idx="262" formatCode="0.0000">
                  <c:v>1.1451232548458832</c:v>
                </c:pt>
                <c:pt idx="263" formatCode="0.0000">
                  <c:v>1.0384632576932094</c:v>
                </c:pt>
                <c:pt idx="264" formatCode="0.0000">
                  <c:v>0.98053451572540762</c:v>
                </c:pt>
                <c:pt idx="265" formatCode="0.0000">
                  <c:v>0.90154446233002561</c:v>
                </c:pt>
                <c:pt idx="266" formatCode="0.0000">
                  <c:v>0.85892578984250167</c:v>
                </c:pt>
                <c:pt idx="267" formatCode="0.0000">
                  <c:v>0.7583878607065373</c:v>
                </c:pt>
                <c:pt idx="268" formatCode="0.0000">
                  <c:v>0.6948669388272668</c:v>
                </c:pt>
                <c:pt idx="269" formatCode="0.0000">
                  <c:v>0.63954982670943039</c:v>
                </c:pt>
                <c:pt idx="270" formatCode="0.0000">
                  <c:v>0.5837129125684466</c:v>
                </c:pt>
                <c:pt idx="271" formatCode="0.0000">
                  <c:v>0.58809184473947518</c:v>
                </c:pt>
                <c:pt idx="272" formatCode="0.0000">
                  <c:v>0.57439723385409158</c:v>
                </c:pt>
                <c:pt idx="273" formatCode="0.0000">
                  <c:v>0.58514220791260008</c:v>
                </c:pt>
                <c:pt idx="274" formatCode="0.0000">
                  <c:v>0.61239351064881808</c:v>
                </c:pt>
                <c:pt idx="275" formatCode="0.0000">
                  <c:v>0.62545116980726712</c:v>
                </c:pt>
                <c:pt idx="276" formatCode="0.0000">
                  <c:v>0.61666617279057945</c:v>
                </c:pt>
                <c:pt idx="277" formatCode="0.0000">
                  <c:v>0.61679428195934471</c:v>
                </c:pt>
                <c:pt idx="278" formatCode="0.0000">
                  <c:v>0.61895838517772961</c:v>
                </c:pt>
                <c:pt idx="279" formatCode="0.0000">
                  <c:v>0.59214592399358046</c:v>
                </c:pt>
                <c:pt idx="280" formatCode="0.0000">
                  <c:v>0.59667479926360634</c:v>
                </c:pt>
                <c:pt idx="281" formatCode="0.0000">
                  <c:v>0.59475545779104289</c:v>
                </c:pt>
                <c:pt idx="282" formatCode="0.0000">
                  <c:v>0.58542693048103123</c:v>
                </c:pt>
                <c:pt idx="283" formatCode="0.0000">
                  <c:v>0.61606902199389757</c:v>
                </c:pt>
                <c:pt idx="284" formatCode="0.0000">
                  <c:v>0.64071745933126578</c:v>
                </c:pt>
                <c:pt idx="285" formatCode="0.0000">
                  <c:v>0.64258733842436266</c:v>
                </c:pt>
                <c:pt idx="286" formatCode="0.0000">
                  <c:v>0.68127718618433075</c:v>
                </c:pt>
                <c:pt idx="287" formatCode="0.0000">
                  <c:v>0.71091919004906567</c:v>
                </c:pt>
                <c:pt idx="288" formatCode="0.0000">
                  <c:v>0.74539811681455259</c:v>
                </c:pt>
                <c:pt idx="289" formatCode="0.0000">
                  <c:v>0.79239524324984656</c:v>
                </c:pt>
                <c:pt idx="290" formatCode="0.0000">
                  <c:v>0.79521407503326025</c:v>
                </c:pt>
                <c:pt idx="291" formatCode="0.0000">
                  <c:v>0.80652699185120102</c:v>
                </c:pt>
                <c:pt idx="292" formatCode="0.0000">
                  <c:v>0.82182835410281363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744-4941-995F-46C22A433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902263"/>
        <c:axId val="1177810559"/>
      </c:lineChart>
      <c:lineChart>
        <c:grouping val="standard"/>
        <c:varyColors val="0"/>
        <c:ser>
          <c:idx val="1"/>
          <c:order val="1"/>
          <c:tx>
            <c:strRef>
              <c:f>'R(t) Województwa'!$CL$2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Województwa'!$CL$3:$CL$1000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0.2857142857142857</c:v>
                </c:pt>
                <c:pt idx="12">
                  <c:v>0.42857142857142855</c:v>
                </c:pt>
                <c:pt idx="13">
                  <c:v>0.42857142857142855</c:v>
                </c:pt>
                <c:pt idx="14">
                  <c:v>0.42857142857142855</c:v>
                </c:pt>
                <c:pt idx="15">
                  <c:v>0.5714285714285714</c:v>
                </c:pt>
                <c:pt idx="16">
                  <c:v>0.7142857142857143</c:v>
                </c:pt>
                <c:pt idx="17">
                  <c:v>0.8571428571428571</c:v>
                </c:pt>
                <c:pt idx="18">
                  <c:v>0.7142857142857143</c:v>
                </c:pt>
                <c:pt idx="19">
                  <c:v>0.5714285714285714</c:v>
                </c:pt>
                <c:pt idx="20">
                  <c:v>0.7142857142857143</c:v>
                </c:pt>
                <c:pt idx="21">
                  <c:v>0.7142857142857143</c:v>
                </c:pt>
                <c:pt idx="22">
                  <c:v>1.4285714285714286</c:v>
                </c:pt>
                <c:pt idx="23">
                  <c:v>1.4285714285714286</c:v>
                </c:pt>
                <c:pt idx="24">
                  <c:v>2.2857142857142856</c:v>
                </c:pt>
                <c:pt idx="25">
                  <c:v>2.8571428571428572</c:v>
                </c:pt>
                <c:pt idx="26">
                  <c:v>3.8571428571428572</c:v>
                </c:pt>
                <c:pt idx="27">
                  <c:v>4.1428571428571432</c:v>
                </c:pt>
                <c:pt idx="28">
                  <c:v>5.8571428571428568</c:v>
                </c:pt>
                <c:pt idx="29">
                  <c:v>5.8571428571428568</c:v>
                </c:pt>
                <c:pt idx="30">
                  <c:v>6.7142857142857144</c:v>
                </c:pt>
                <c:pt idx="31">
                  <c:v>8.1428571428571423</c:v>
                </c:pt>
                <c:pt idx="32">
                  <c:v>7.7142857142857144</c:v>
                </c:pt>
                <c:pt idx="33">
                  <c:v>8.4285714285714288</c:v>
                </c:pt>
                <c:pt idx="34">
                  <c:v>9.4285714285714288</c:v>
                </c:pt>
                <c:pt idx="35">
                  <c:v>10.142857142857142</c:v>
                </c:pt>
                <c:pt idx="36">
                  <c:v>10.285714285714286</c:v>
                </c:pt>
                <c:pt idx="37">
                  <c:v>9.5714285714285712</c:v>
                </c:pt>
                <c:pt idx="38">
                  <c:v>7.2857142857142856</c:v>
                </c:pt>
                <c:pt idx="39">
                  <c:v>7.8571428571428568</c:v>
                </c:pt>
                <c:pt idx="40">
                  <c:v>6.8571428571428568</c:v>
                </c:pt>
                <c:pt idx="41">
                  <c:v>5.4285714285714288</c:v>
                </c:pt>
                <c:pt idx="42">
                  <c:v>4.8571428571428568</c:v>
                </c:pt>
                <c:pt idx="43">
                  <c:v>6.1428571428571432</c:v>
                </c:pt>
                <c:pt idx="44">
                  <c:v>6.5714285714285712</c:v>
                </c:pt>
                <c:pt idx="45">
                  <c:v>9</c:v>
                </c:pt>
                <c:pt idx="46">
                  <c:v>9.5714285714285712</c:v>
                </c:pt>
                <c:pt idx="47">
                  <c:v>9.8571428571428577</c:v>
                </c:pt>
                <c:pt idx="48">
                  <c:v>12.285714285714286</c:v>
                </c:pt>
                <c:pt idx="49">
                  <c:v>12</c:v>
                </c:pt>
                <c:pt idx="50">
                  <c:v>11</c:v>
                </c:pt>
                <c:pt idx="51">
                  <c:v>10.428571428571429</c:v>
                </c:pt>
                <c:pt idx="52">
                  <c:v>8.7142857142857135</c:v>
                </c:pt>
                <c:pt idx="53">
                  <c:v>7.4285714285714288</c:v>
                </c:pt>
                <c:pt idx="54">
                  <c:v>6.8571428571428568</c:v>
                </c:pt>
                <c:pt idx="55">
                  <c:v>4.8571428571428568</c:v>
                </c:pt>
                <c:pt idx="56">
                  <c:v>3.7142857142857144</c:v>
                </c:pt>
                <c:pt idx="57">
                  <c:v>2.7142857142857144</c:v>
                </c:pt>
                <c:pt idx="58">
                  <c:v>3.1428571428571428</c:v>
                </c:pt>
                <c:pt idx="59">
                  <c:v>2.2857142857142856</c:v>
                </c:pt>
                <c:pt idx="60">
                  <c:v>2.2857142857142856</c:v>
                </c:pt>
                <c:pt idx="61">
                  <c:v>2.8571428571428572</c:v>
                </c:pt>
                <c:pt idx="62">
                  <c:v>3</c:v>
                </c:pt>
                <c:pt idx="63">
                  <c:v>5.1428571428571432</c:v>
                </c:pt>
                <c:pt idx="64">
                  <c:v>4.8571428571428568</c:v>
                </c:pt>
                <c:pt idx="65">
                  <c:v>4.7142857142857144</c:v>
                </c:pt>
                <c:pt idx="66">
                  <c:v>6</c:v>
                </c:pt>
                <c:pt idx="67">
                  <c:v>7.1428571428571432</c:v>
                </c:pt>
                <c:pt idx="68">
                  <c:v>6.7142857142857144</c:v>
                </c:pt>
                <c:pt idx="69">
                  <c:v>6.1428571428571432</c:v>
                </c:pt>
                <c:pt idx="70">
                  <c:v>4</c:v>
                </c:pt>
                <c:pt idx="71">
                  <c:v>5.2857142857142856</c:v>
                </c:pt>
                <c:pt idx="72">
                  <c:v>4.8571428571428568</c:v>
                </c:pt>
                <c:pt idx="73">
                  <c:v>4</c:v>
                </c:pt>
                <c:pt idx="74">
                  <c:v>2.8571428571428572</c:v>
                </c:pt>
                <c:pt idx="75">
                  <c:v>2.2857142857142856</c:v>
                </c:pt>
                <c:pt idx="76">
                  <c:v>3.8571428571428572</c:v>
                </c:pt>
                <c:pt idx="77">
                  <c:v>3.5714285714285716</c:v>
                </c:pt>
                <c:pt idx="78">
                  <c:v>2.8571428571428572</c:v>
                </c:pt>
                <c:pt idx="79">
                  <c:v>3.4285714285714284</c:v>
                </c:pt>
                <c:pt idx="80">
                  <c:v>3.7142857142857144</c:v>
                </c:pt>
                <c:pt idx="81">
                  <c:v>4.7142857142857144</c:v>
                </c:pt>
                <c:pt idx="82">
                  <c:v>5.7142857142857144</c:v>
                </c:pt>
                <c:pt idx="83">
                  <c:v>5.5714285714285712</c:v>
                </c:pt>
                <c:pt idx="84">
                  <c:v>6.4285714285714288</c:v>
                </c:pt>
                <c:pt idx="85">
                  <c:v>7.1428571428571432</c:v>
                </c:pt>
                <c:pt idx="86">
                  <c:v>10</c:v>
                </c:pt>
                <c:pt idx="87">
                  <c:v>10.285714285714286</c:v>
                </c:pt>
                <c:pt idx="88">
                  <c:v>14</c:v>
                </c:pt>
                <c:pt idx="89">
                  <c:v>14</c:v>
                </c:pt>
                <c:pt idx="90">
                  <c:v>13.428571428571429</c:v>
                </c:pt>
                <c:pt idx="91">
                  <c:v>13.428571428571429</c:v>
                </c:pt>
                <c:pt idx="92">
                  <c:v>13.428571428571429</c:v>
                </c:pt>
                <c:pt idx="93">
                  <c:v>11.285714285714286</c:v>
                </c:pt>
                <c:pt idx="94">
                  <c:v>10.428571428571429</c:v>
                </c:pt>
                <c:pt idx="95">
                  <c:v>6</c:v>
                </c:pt>
                <c:pt idx="96">
                  <c:v>5</c:v>
                </c:pt>
                <c:pt idx="97">
                  <c:v>9.8571428571428577</c:v>
                </c:pt>
                <c:pt idx="98">
                  <c:v>10.857142857142858</c:v>
                </c:pt>
                <c:pt idx="99">
                  <c:v>11.142857142857142</c:v>
                </c:pt>
                <c:pt idx="100">
                  <c:v>10.571428571428571</c:v>
                </c:pt>
                <c:pt idx="101">
                  <c:v>12</c:v>
                </c:pt>
                <c:pt idx="102">
                  <c:v>11.857142857142858</c:v>
                </c:pt>
                <c:pt idx="103">
                  <c:v>13.714285714285714</c:v>
                </c:pt>
                <c:pt idx="104">
                  <c:v>10</c:v>
                </c:pt>
                <c:pt idx="105">
                  <c:v>9.5714285714285712</c:v>
                </c:pt>
                <c:pt idx="106">
                  <c:v>11.142857142857142</c:v>
                </c:pt>
                <c:pt idx="107">
                  <c:v>13</c:v>
                </c:pt>
                <c:pt idx="108">
                  <c:v>13</c:v>
                </c:pt>
                <c:pt idx="109">
                  <c:v>14.285714285714286</c:v>
                </c:pt>
                <c:pt idx="110">
                  <c:v>13.285714285714286</c:v>
                </c:pt>
                <c:pt idx="111">
                  <c:v>13.428571428571429</c:v>
                </c:pt>
                <c:pt idx="112">
                  <c:v>12.142857142857142</c:v>
                </c:pt>
                <c:pt idx="113">
                  <c:v>12</c:v>
                </c:pt>
                <c:pt idx="114">
                  <c:v>10.571428571428571</c:v>
                </c:pt>
                <c:pt idx="115">
                  <c:v>9.2857142857142865</c:v>
                </c:pt>
                <c:pt idx="116">
                  <c:v>9.7142857142857135</c:v>
                </c:pt>
                <c:pt idx="117">
                  <c:v>10.285714285714286</c:v>
                </c:pt>
                <c:pt idx="118">
                  <c:v>10.142857142857142</c:v>
                </c:pt>
                <c:pt idx="119">
                  <c:v>11</c:v>
                </c:pt>
                <c:pt idx="120">
                  <c:v>8.5714285714285712</c:v>
                </c:pt>
                <c:pt idx="121">
                  <c:v>8.4285714285714288</c:v>
                </c:pt>
                <c:pt idx="122">
                  <c:v>10</c:v>
                </c:pt>
                <c:pt idx="123">
                  <c:v>8.2857142857142865</c:v>
                </c:pt>
                <c:pt idx="124">
                  <c:v>7.5714285714285712</c:v>
                </c:pt>
                <c:pt idx="125">
                  <c:v>7</c:v>
                </c:pt>
                <c:pt idx="126">
                  <c:v>6.4285714285714288</c:v>
                </c:pt>
                <c:pt idx="127">
                  <c:v>6.2857142857142856</c:v>
                </c:pt>
                <c:pt idx="128">
                  <c:v>6</c:v>
                </c:pt>
                <c:pt idx="129">
                  <c:v>4.7142857142857144</c:v>
                </c:pt>
                <c:pt idx="130">
                  <c:v>4.4285714285714288</c:v>
                </c:pt>
                <c:pt idx="131">
                  <c:v>4.1428571428571432</c:v>
                </c:pt>
                <c:pt idx="132">
                  <c:v>3.1428571428571428</c:v>
                </c:pt>
                <c:pt idx="133">
                  <c:v>2.8571428571428572</c:v>
                </c:pt>
                <c:pt idx="134">
                  <c:v>2.8571428571428572</c:v>
                </c:pt>
                <c:pt idx="135">
                  <c:v>2.5714285714285716</c:v>
                </c:pt>
                <c:pt idx="136">
                  <c:v>3.4285714285714284</c:v>
                </c:pt>
                <c:pt idx="137">
                  <c:v>3.4285714285714284</c:v>
                </c:pt>
                <c:pt idx="138">
                  <c:v>3.8571428571428572</c:v>
                </c:pt>
                <c:pt idx="139">
                  <c:v>4.1428571428571432</c:v>
                </c:pt>
                <c:pt idx="140">
                  <c:v>8</c:v>
                </c:pt>
                <c:pt idx="141">
                  <c:v>8.5714285714285712</c:v>
                </c:pt>
                <c:pt idx="142">
                  <c:v>8.7142857142857135</c:v>
                </c:pt>
                <c:pt idx="143">
                  <c:v>8.4285714285714288</c:v>
                </c:pt>
                <c:pt idx="144">
                  <c:v>9.4285714285714288</c:v>
                </c:pt>
                <c:pt idx="145">
                  <c:v>9</c:v>
                </c:pt>
                <c:pt idx="146">
                  <c:v>8.5714285714285712</c:v>
                </c:pt>
                <c:pt idx="147">
                  <c:v>5.2857142857142856</c:v>
                </c:pt>
                <c:pt idx="148">
                  <c:v>5</c:v>
                </c:pt>
                <c:pt idx="149">
                  <c:v>5.1428571428571432</c:v>
                </c:pt>
                <c:pt idx="150">
                  <c:v>4.2857142857142856</c:v>
                </c:pt>
                <c:pt idx="151">
                  <c:v>4.2857142857142856</c:v>
                </c:pt>
                <c:pt idx="152">
                  <c:v>4.1428571428571432</c:v>
                </c:pt>
                <c:pt idx="153">
                  <c:v>5</c:v>
                </c:pt>
                <c:pt idx="154">
                  <c:v>7.8571428571428568</c:v>
                </c:pt>
                <c:pt idx="155">
                  <c:v>7.5714285714285712</c:v>
                </c:pt>
                <c:pt idx="156">
                  <c:v>11.142857142857142</c:v>
                </c:pt>
                <c:pt idx="157">
                  <c:v>12.428571428571429</c:v>
                </c:pt>
                <c:pt idx="158">
                  <c:v>13.285714285714286</c:v>
                </c:pt>
                <c:pt idx="159">
                  <c:v>14.571428571428571</c:v>
                </c:pt>
                <c:pt idx="160">
                  <c:v>14.571428571428571</c:v>
                </c:pt>
                <c:pt idx="161">
                  <c:v>12.428571428571429</c:v>
                </c:pt>
                <c:pt idx="162">
                  <c:v>12.285714285714286</c:v>
                </c:pt>
                <c:pt idx="163">
                  <c:v>9.7142857142857135</c:v>
                </c:pt>
                <c:pt idx="164">
                  <c:v>8.5714285714285712</c:v>
                </c:pt>
                <c:pt idx="165">
                  <c:v>12.571428571428571</c:v>
                </c:pt>
                <c:pt idx="166">
                  <c:v>13.285714285714286</c:v>
                </c:pt>
                <c:pt idx="167">
                  <c:v>13.571428571428571</c:v>
                </c:pt>
                <c:pt idx="168">
                  <c:v>13.142857142857142</c:v>
                </c:pt>
                <c:pt idx="169">
                  <c:v>13.428571428571429</c:v>
                </c:pt>
                <c:pt idx="170">
                  <c:v>13.857142857142858</c:v>
                </c:pt>
                <c:pt idx="171">
                  <c:v>16.571428571428573</c:v>
                </c:pt>
                <c:pt idx="172">
                  <c:v>12.285714285714286</c:v>
                </c:pt>
                <c:pt idx="173">
                  <c:v>11.142857142857142</c:v>
                </c:pt>
                <c:pt idx="174">
                  <c:v>17.285714285714285</c:v>
                </c:pt>
                <c:pt idx="175">
                  <c:v>19</c:v>
                </c:pt>
                <c:pt idx="176">
                  <c:v>21.285714285714285</c:v>
                </c:pt>
                <c:pt idx="177">
                  <c:v>21.714285714285715</c:v>
                </c:pt>
                <c:pt idx="178">
                  <c:v>21.285714285714285</c:v>
                </c:pt>
                <c:pt idx="179">
                  <c:v>23.571428571428573</c:v>
                </c:pt>
                <c:pt idx="180">
                  <c:v>23.285714285714285</c:v>
                </c:pt>
                <c:pt idx="181">
                  <c:v>17.714285714285715</c:v>
                </c:pt>
                <c:pt idx="182">
                  <c:v>17.142857142857142</c:v>
                </c:pt>
                <c:pt idx="183">
                  <c:v>16.428571428571427</c:v>
                </c:pt>
                <c:pt idx="184">
                  <c:v>16.857142857142858</c:v>
                </c:pt>
                <c:pt idx="185">
                  <c:v>16.285714285714285</c:v>
                </c:pt>
                <c:pt idx="186">
                  <c:v>16.142857142857142</c:v>
                </c:pt>
                <c:pt idx="187">
                  <c:v>17.428571428571427</c:v>
                </c:pt>
                <c:pt idx="188">
                  <c:v>16.714285714285715</c:v>
                </c:pt>
                <c:pt idx="189">
                  <c:v>16</c:v>
                </c:pt>
                <c:pt idx="190">
                  <c:v>16.285714285714285</c:v>
                </c:pt>
                <c:pt idx="191">
                  <c:v>15.857142857142858</c:v>
                </c:pt>
                <c:pt idx="192">
                  <c:v>15.857142857142858</c:v>
                </c:pt>
                <c:pt idx="193">
                  <c:v>14.571428571428571</c:v>
                </c:pt>
                <c:pt idx="194">
                  <c:v>14.285714285714286</c:v>
                </c:pt>
                <c:pt idx="195">
                  <c:v>13.571428571428571</c:v>
                </c:pt>
                <c:pt idx="196">
                  <c:v>16.714285714285715</c:v>
                </c:pt>
                <c:pt idx="197">
                  <c:v>15.428571428571429</c:v>
                </c:pt>
                <c:pt idx="198">
                  <c:v>17.428571428571427</c:v>
                </c:pt>
                <c:pt idx="199">
                  <c:v>19.142857142857142</c:v>
                </c:pt>
                <c:pt idx="200">
                  <c:v>19.714285714285715</c:v>
                </c:pt>
                <c:pt idx="201">
                  <c:v>20.428571428571427</c:v>
                </c:pt>
                <c:pt idx="202">
                  <c:v>21</c:v>
                </c:pt>
                <c:pt idx="203">
                  <c:v>19.285714285714285</c:v>
                </c:pt>
                <c:pt idx="204">
                  <c:v>23.285714285714285</c:v>
                </c:pt>
                <c:pt idx="205">
                  <c:v>23.857142857142858</c:v>
                </c:pt>
                <c:pt idx="206">
                  <c:v>27.428571428571427</c:v>
                </c:pt>
                <c:pt idx="207">
                  <c:v>30.285714285714285</c:v>
                </c:pt>
                <c:pt idx="208">
                  <c:v>33.285714285714285</c:v>
                </c:pt>
                <c:pt idx="209">
                  <c:v>34.714285714285715</c:v>
                </c:pt>
                <c:pt idx="210">
                  <c:v>37.285714285714285</c:v>
                </c:pt>
                <c:pt idx="211">
                  <c:v>39.285714285714285</c:v>
                </c:pt>
                <c:pt idx="212">
                  <c:v>40.285714285714285</c:v>
                </c:pt>
                <c:pt idx="213">
                  <c:v>37.571428571428569</c:v>
                </c:pt>
                <c:pt idx="214">
                  <c:v>54</c:v>
                </c:pt>
                <c:pt idx="215">
                  <c:v>58.428571428571431</c:v>
                </c:pt>
                <c:pt idx="216">
                  <c:v>62.857142857142854</c:v>
                </c:pt>
                <c:pt idx="217">
                  <c:v>77.142857142857139</c:v>
                </c:pt>
                <c:pt idx="218">
                  <c:v>91.285714285714292</c:v>
                </c:pt>
                <c:pt idx="219">
                  <c:v>107.85714285714286</c:v>
                </c:pt>
                <c:pt idx="220">
                  <c:v>130.57142857142858</c:v>
                </c:pt>
                <c:pt idx="221">
                  <c:v>139.42857142857142</c:v>
                </c:pt>
                <c:pt idx="222">
                  <c:v>151.14285714285714</c:v>
                </c:pt>
                <c:pt idx="223">
                  <c:v>170.85714285714286</c:v>
                </c:pt>
                <c:pt idx="224">
                  <c:v>168.28571428571428</c:v>
                </c:pt>
                <c:pt idx="225">
                  <c:v>183.42857142857142</c:v>
                </c:pt>
                <c:pt idx="226">
                  <c:v>201.14285714285714</c:v>
                </c:pt>
                <c:pt idx="227">
                  <c:v>218.57142857142858</c:v>
                </c:pt>
                <c:pt idx="228">
                  <c:v>244</c:v>
                </c:pt>
                <c:pt idx="229">
                  <c:v>252.42857142857142</c:v>
                </c:pt>
                <c:pt idx="230">
                  <c:v>250</c:v>
                </c:pt>
                <c:pt idx="231">
                  <c:v>277.28571428571428</c:v>
                </c:pt>
                <c:pt idx="232">
                  <c:v>277.85714285714283</c:v>
                </c:pt>
                <c:pt idx="233">
                  <c:v>306.85714285714283</c:v>
                </c:pt>
                <c:pt idx="234">
                  <c:v>353.28571428571428</c:v>
                </c:pt>
                <c:pt idx="235">
                  <c:v>355.57142857142856</c:v>
                </c:pt>
                <c:pt idx="236">
                  <c:v>383.28571428571428</c:v>
                </c:pt>
                <c:pt idx="237">
                  <c:v>404.14285714285717</c:v>
                </c:pt>
                <c:pt idx="238">
                  <c:v>421.57142857142856</c:v>
                </c:pt>
                <c:pt idx="239">
                  <c:v>461.14285714285717</c:v>
                </c:pt>
                <c:pt idx="240">
                  <c:v>477.28571428571428</c:v>
                </c:pt>
                <c:pt idx="241">
                  <c:v>472.71428571428572</c:v>
                </c:pt>
                <c:pt idx="242">
                  <c:v>532.57142857142856</c:v>
                </c:pt>
                <c:pt idx="243">
                  <c:v>512.14285714285711</c:v>
                </c:pt>
                <c:pt idx="244">
                  <c:v>509</c:v>
                </c:pt>
                <c:pt idx="245">
                  <c:v>525.71428571428567</c:v>
                </c:pt>
                <c:pt idx="246">
                  <c:v>558.71428571428567</c:v>
                </c:pt>
                <c:pt idx="247">
                  <c:v>608.85714285714289</c:v>
                </c:pt>
                <c:pt idx="248">
                  <c:v>666.85714285714289</c:v>
                </c:pt>
                <c:pt idx="249">
                  <c:v>724</c:v>
                </c:pt>
                <c:pt idx="250">
                  <c:v>747.85714285714289</c:v>
                </c:pt>
                <c:pt idx="251">
                  <c:v>755</c:v>
                </c:pt>
                <c:pt idx="252">
                  <c:v>783.85714285714289</c:v>
                </c:pt>
                <c:pt idx="253">
                  <c:v>745.71428571428567</c:v>
                </c:pt>
                <c:pt idx="254">
                  <c:v>727.85714285714289</c:v>
                </c:pt>
                <c:pt idx="255">
                  <c:v>714.57142857142856</c:v>
                </c:pt>
                <c:pt idx="256">
                  <c:v>706.85714285714289</c:v>
                </c:pt>
                <c:pt idx="257">
                  <c:v>743.42857142857144</c:v>
                </c:pt>
                <c:pt idx="258">
                  <c:v>806.71428571428567</c:v>
                </c:pt>
                <c:pt idx="259">
                  <c:v>788.28571428571433</c:v>
                </c:pt>
                <c:pt idx="260">
                  <c:v>841.14285714285711</c:v>
                </c:pt>
                <c:pt idx="261">
                  <c:v>858.28571428571433</c:v>
                </c:pt>
                <c:pt idx="262">
                  <c:v>849.71428571428567</c:v>
                </c:pt>
                <c:pt idx="263">
                  <c:v>790.14285714285711</c:v>
                </c:pt>
                <c:pt idx="264">
                  <c:v>748.14285714285711</c:v>
                </c:pt>
                <c:pt idx="265">
                  <c:v>687.71428571428567</c:v>
                </c:pt>
                <c:pt idx="266">
                  <c:v>649.85714285714289</c:v>
                </c:pt>
                <c:pt idx="267">
                  <c:v>568.85714285714289</c:v>
                </c:pt>
                <c:pt idx="268">
                  <c:v>501.42857142857144</c:v>
                </c:pt>
                <c:pt idx="269">
                  <c:v>436.57142857142856</c:v>
                </c:pt>
                <c:pt idx="270">
                  <c:v>372.28571428571428</c:v>
                </c:pt>
                <c:pt idx="271">
                  <c:v>355</c:v>
                </c:pt>
                <c:pt idx="272">
                  <c:v>330.42857142857144</c:v>
                </c:pt>
                <c:pt idx="273">
                  <c:v>316.85714285714283</c:v>
                </c:pt>
                <c:pt idx="274">
                  <c:v>313</c:v>
                </c:pt>
                <c:pt idx="275">
                  <c:v>295.85714285714283</c:v>
                </c:pt>
                <c:pt idx="276">
                  <c:v>273.85714285714283</c:v>
                </c:pt>
                <c:pt idx="277">
                  <c:v>259.42857142857144</c:v>
                </c:pt>
                <c:pt idx="278">
                  <c:v>247.57142857142858</c:v>
                </c:pt>
                <c:pt idx="279">
                  <c:v>230</c:v>
                </c:pt>
                <c:pt idx="280">
                  <c:v>218.28571428571428</c:v>
                </c:pt>
                <c:pt idx="281">
                  <c:v>204.28571428571428</c:v>
                </c:pt>
                <c:pt idx="282">
                  <c:v>184.57142857142858</c:v>
                </c:pt>
                <c:pt idx="283">
                  <c:v>179.71428571428572</c:v>
                </c:pt>
                <c:pt idx="284">
                  <c:v>176</c:v>
                </c:pt>
                <c:pt idx="285">
                  <c:v>168.14285714285714</c:v>
                </c:pt>
                <c:pt idx="286">
                  <c:v>173.71428571428572</c:v>
                </c:pt>
                <c:pt idx="287">
                  <c:v>172.57142857142858</c:v>
                </c:pt>
                <c:pt idx="288">
                  <c:v>173</c:v>
                </c:pt>
                <c:pt idx="289">
                  <c:v>175.28571428571428</c:v>
                </c:pt>
                <c:pt idx="290">
                  <c:v>169.85714285714286</c:v>
                </c:pt>
                <c:pt idx="291">
                  <c:v>167.14285714285714</c:v>
                </c:pt>
                <c:pt idx="292">
                  <c:v>166.71428571428572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744-4941-995F-46C22A433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515423"/>
        <c:axId val="1463853307"/>
      </c:lineChart>
      <c:catAx>
        <c:axId val="812902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177810559"/>
        <c:crosses val="autoZero"/>
        <c:auto val="1"/>
        <c:lblAlgn val="ctr"/>
        <c:lblOffset val="100"/>
        <c:noMultiLvlLbl val="1"/>
      </c:catAx>
      <c:valAx>
        <c:axId val="1177810559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812902263"/>
        <c:crosses val="autoZero"/>
        <c:crossBetween val="between"/>
      </c:valAx>
      <c:catAx>
        <c:axId val="7195154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63853307"/>
        <c:crosses val="autoZero"/>
        <c:auto val="1"/>
        <c:lblAlgn val="ctr"/>
        <c:lblOffset val="100"/>
        <c:noMultiLvlLbl val="1"/>
      </c:catAx>
      <c:valAx>
        <c:axId val="1463853307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719515423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Warmińsko-Mazurskiego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Województwa'!$CW$2</c:f>
              <c:strCache>
                <c:ptCount val="1"/>
                <c:pt idx="0">
                  <c:v>Warmińsko-Mazurskie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Województwa'!$CW$3:$CW$1000</c:f>
              <c:numCache>
                <c:formatCode>General</c:formatCode>
                <c:ptCount val="998"/>
                <c:pt idx="40" formatCode="0.0000">
                  <c:v>0.92046840692851972</c:v>
                </c:pt>
                <c:pt idx="41" formatCode="0.0000">
                  <c:v>0.46023420346426025</c:v>
                </c:pt>
                <c:pt idx="42" formatCode="0.0000">
                  <c:v>0.30682280230950693</c:v>
                </c:pt>
                <c:pt idx="43" formatCode="0.0000">
                  <c:v>0.31652105115693141</c:v>
                </c:pt>
                <c:pt idx="44" formatCode="0.0000">
                  <c:v>0.35488538021410931</c:v>
                </c:pt>
                <c:pt idx="45" formatCode="0.0000">
                  <c:v>0.52354791645287424</c:v>
                </c:pt>
                <c:pt idx="46" formatCode="0.0000">
                  <c:v>0.44875535695960661</c:v>
                </c:pt>
                <c:pt idx="47" formatCode="0.0000">
                  <c:v>0.38219950130124092</c:v>
                </c:pt>
                <c:pt idx="48" formatCode="0.0000">
                  <c:v>0.40567521411347257</c:v>
                </c:pt>
                <c:pt idx="49" formatCode="0.0000">
                  <c:v>0.45899162967220652</c:v>
                </c:pt>
                <c:pt idx="50" formatCode="0.0000">
                  <c:v>0.40961794428660586</c:v>
                </c:pt>
                <c:pt idx="51" formatCode="0.0000">
                  <c:v>0.33699755908048862</c:v>
                </c:pt>
                <c:pt idx="52" formatCode="0.0000">
                  <c:v>0.18158503336174375</c:v>
                </c:pt>
                <c:pt idx="53" formatCode="0.0000">
                  <c:v>0.1815850333617437</c:v>
                </c:pt>
                <c:pt idx="54" formatCode="0.0000">
                  <c:v>0.11664540231603511</c:v>
                </c:pt>
                <c:pt idx="55" formatCode="0.0000">
                  <c:v>9.3169689503803402E-2</c:v>
                </c:pt>
                <c:pt idx="56" formatCode="0.0000">
                  <c:v>3.9853273945069531E-2</c:v>
                </c:pt>
                <c:pt idx="57" formatCode="0.0000">
                  <c:v>3.9853273945069469E-2</c:v>
                </c:pt>
                <c:pt idx="58" formatCode="0.0000">
                  <c:v>0.23191347467926277</c:v>
                </c:pt>
                <c:pt idx="59" formatCode="0.0000">
                  <c:v>0.19206020073419358</c:v>
                </c:pt>
                <c:pt idx="60" formatCode="0.0000">
                  <c:v>0.19206020073419364</c:v>
                </c:pt>
                <c:pt idx="61" formatCode="0.0000">
                  <c:v>0.19206020073419369</c:v>
                </c:pt>
                <c:pt idx="62" formatCode="0.0000">
                  <c:v>0.48274224091260681</c:v>
                </c:pt>
                <c:pt idx="63" formatCode="0.0000">
                  <c:v>0.73598822020508492</c:v>
                </c:pt>
                <c:pt idx="64" formatCode="0.0000">
                  <c:v>0.73598822020508492</c:v>
                </c:pt>
                <c:pt idx="65" formatCode="0.0000">
                  <c:v>1.0760905067242423</c:v>
                </c:pt>
                <c:pt idx="66" formatCode="0.0000">
                  <c:v>1.1718510408285412</c:v>
                </c:pt>
                <c:pt idx="67" formatCode="0.0000">
                  <c:v>1.4733313429784827</c:v>
                </c:pt>
                <c:pt idx="68" formatCode="0.0000">
                  <c:v>1.6468017819973606</c:v>
                </c:pt>
                <c:pt idx="69" formatCode="0.0000">
                  <c:v>1.3561197418189475</c:v>
                </c:pt>
                <c:pt idx="70" formatCode="0.0000">
                  <c:v>1.2992443892291132</c:v>
                </c:pt>
                <c:pt idx="71" formatCode="0.0000">
                  <c:v>1.6720362513434133</c:v>
                </c:pt>
                <c:pt idx="72" formatCode="0.0000">
                  <c:v>1.2156484894225286</c:v>
                </c:pt>
                <c:pt idx="73" formatCode="0.0000">
                  <c:v>1.2011113417736676</c:v>
                </c:pt>
                <c:pt idx="74" formatCode="0.0000">
                  <c:v>0.89963103962372615</c:v>
                </c:pt>
                <c:pt idx="75" formatCode="0.0000">
                  <c:v>0.72616060060484833</c:v>
                </c:pt>
                <c:pt idx="76" formatCode="0.0000">
                  <c:v>0.72616060060484844</c:v>
                </c:pt>
                <c:pt idx="77" formatCode="0.0000">
                  <c:v>1.0795954695605841</c:v>
                </c:pt>
                <c:pt idx="78" formatCode="0.0000">
                  <c:v>0.70680360744628445</c:v>
                </c:pt>
                <c:pt idx="79" formatCode="0.0000">
                  <c:v>0.63102888211381813</c:v>
                </c:pt>
                <c:pt idx="80" formatCode="0.0000">
                  <c:v>0.54980549565838011</c:v>
                </c:pt>
                <c:pt idx="81" formatCode="0.0000">
                  <c:v>0.70494103460704072</c:v>
                </c:pt>
                <c:pt idx="82" formatCode="0.0000">
                  <c:v>0.70494103460704061</c:v>
                </c:pt>
                <c:pt idx="83" formatCode="0.0000">
                  <c:v>0.70494103460704061</c:v>
                </c:pt>
                <c:pt idx="84" formatCode="0.0000">
                  <c:v>0.98951749002664202</c:v>
                </c:pt>
                <c:pt idx="85" formatCode="0.0000">
                  <c:v>0.98951749002664202</c:v>
                </c:pt>
                <c:pt idx="86" formatCode="0.0000">
                  <c:v>0.98951749002664191</c:v>
                </c:pt>
                <c:pt idx="87" formatCode="0.0000">
                  <c:v>0.98951749002664202</c:v>
                </c:pt>
                <c:pt idx="88" formatCode="0.0000">
                  <c:v>0.83438195107798152</c:v>
                </c:pt>
                <c:pt idx="89" formatCode="0.0000">
                  <c:v>0.83438195107798152</c:v>
                </c:pt>
                <c:pt idx="90" formatCode="0.0000">
                  <c:v>0.83438195107798163</c:v>
                </c:pt>
                <c:pt idx="91" formatCode="0.0000">
                  <c:v>3.9650822308041307E-16</c:v>
                </c:pt>
                <c:pt idx="92" formatCode="0.0000">
                  <c:v>4.282288809268461E-16</c:v>
                </c:pt>
                <c:pt idx="93" formatCode="0.0000">
                  <c:v>3.6478756523397999E-16</c:v>
                </c:pt>
                <c:pt idx="94" formatCode="0.0000">
                  <c:v>0.49379608779318679</c:v>
                </c:pt>
                <c:pt idx="95" formatCode="0.0000">
                  <c:v>0.49379608779318679</c:v>
                </c:pt>
                <c:pt idx="96" formatCode="0.0000">
                  <c:v>0.49379608779318673</c:v>
                </c:pt>
                <c:pt idx="97" formatCode="0.0000">
                  <c:v>0.99131031242775969</c:v>
                </c:pt>
                <c:pt idx="98" formatCode="0.0000">
                  <c:v>0.99131031242775958</c:v>
                </c:pt>
                <c:pt idx="99" formatCode="0.0000">
                  <c:v>0.99131031242775947</c:v>
                </c:pt>
                <c:pt idx="100" formatCode="0.0000">
                  <c:v>2.990848492813416</c:v>
                </c:pt>
                <c:pt idx="101" formatCode="0.0000">
                  <c:v>2.4970524050202298</c:v>
                </c:pt>
                <c:pt idx="102" formatCode="0.0000">
                  <c:v>2.4970524050202298</c:v>
                </c:pt>
                <c:pt idx="103" formatCode="0.0000">
                  <c:v>2.7352303463671945</c:v>
                </c:pt>
                <c:pt idx="104" formatCode="0.0000">
                  <c:v>2.2377161217326216</c:v>
                </c:pt>
                <c:pt idx="105" formatCode="0.0000">
                  <c:v>3.7598688935301388</c:v>
                </c:pt>
                <c:pt idx="106" formatCode="0.0000">
                  <c:v>4.1863684433080737</c:v>
                </c:pt>
                <c:pt idx="107" formatCode="0.0000">
                  <c:v>2.6852162006397102</c:v>
                </c:pt>
                <c:pt idx="108" formatCode="0.0000">
                  <c:v>2.9916070470305902</c:v>
                </c:pt>
                <c:pt idx="109" formatCode="0.0000">
                  <c:v>3.0969381931625324</c:v>
                </c:pt>
                <c:pt idx="110" formatCode="0.0000">
                  <c:v>2.8587602518155677</c:v>
                </c:pt>
                <c:pt idx="111" formatCode="0.0000">
                  <c:v>2.9864378168571313</c:v>
                </c:pt>
                <c:pt idx="112" formatCode="0.0000">
                  <c:v>1.593930574503819</c:v>
                </c:pt>
                <c:pt idx="113" formatCode="0.0000">
                  <c:v>1.8243374658961149</c:v>
                </c:pt>
                <c:pt idx="114" formatCode="0.0000">
                  <c:v>1.4995010795447217</c:v>
                </c:pt>
                <c:pt idx="115" formatCode="0.0000">
                  <c:v>1.5719686465365938</c:v>
                </c:pt>
                <c:pt idx="116" formatCode="0.0000">
                  <c:v>1.4666375004046517</c:v>
                </c:pt>
                <c:pt idx="117" formatCode="0.0000">
                  <c:v>1.6255735046952968</c:v>
                </c:pt>
                <c:pt idx="118" formatCode="0.0000">
                  <c:v>1.5761064065393522</c:v>
                </c:pt>
                <c:pt idx="119" formatCode="0.0000">
                  <c:v>1.5300768379053091</c:v>
                </c:pt>
                <c:pt idx="120" formatCode="0.0000">
                  <c:v>1.1398145967610742</c:v>
                </c:pt>
                <c:pt idx="121" formatCode="0.0000">
                  <c:v>1.4408108204599805</c:v>
                </c:pt>
                <c:pt idx="122" formatCode="0.0000">
                  <c:v>1.2104311141074233</c:v>
                </c:pt>
                <c:pt idx="123" formatCode="0.0000">
                  <c:v>1.3285500664608707</c:v>
                </c:pt>
                <c:pt idx="124" formatCode="0.0000">
                  <c:v>1.1998928424944679</c:v>
                </c:pt>
                <c:pt idx="125" formatCode="0.0000">
                  <c:v>1.18992227205912</c:v>
                </c:pt>
                <c:pt idx="126" formatCode="0.0000">
                  <c:v>1.1431774849256378</c:v>
                </c:pt>
                <c:pt idx="127" formatCode="0.0000">
                  <c:v>0.87653328489964188</c:v>
                </c:pt>
                <c:pt idx="128" formatCode="0.0000">
                  <c:v>0.54633547689087558</c:v>
                </c:pt>
                <c:pt idx="129" formatCode="0.0000">
                  <c:v>0.49394549649912683</c:v>
                </c:pt>
                <c:pt idx="130" formatCode="0.0000">
                  <c:v>0.47662967349361729</c:v>
                </c:pt>
                <c:pt idx="131" formatCode="0.0000">
                  <c:v>0.44635089316937482</c:v>
                </c:pt>
                <c:pt idx="132" formatCode="0.0000">
                  <c:v>0.50087747057504639</c:v>
                </c:pt>
                <c:pt idx="133" formatCode="0.0000">
                  <c:v>0.46400629689836742</c:v>
                </c:pt>
                <c:pt idx="134" formatCode="0.0000">
                  <c:v>0.61017038402461654</c:v>
                </c:pt>
                <c:pt idx="135" formatCode="0.0000">
                  <c:v>0.46582241696857629</c:v>
                </c:pt>
                <c:pt idx="136" formatCode="0.0000">
                  <c:v>0.79464046808143429</c:v>
                </c:pt>
                <c:pt idx="137" formatCode="0.0000">
                  <c:v>0.76012288122520866</c:v>
                </c:pt>
                <c:pt idx="138" formatCode="0.0000">
                  <c:v>0.9036868922908059</c:v>
                </c:pt>
                <c:pt idx="139" formatCode="0.0000">
                  <c:v>1.0678456222612687</c:v>
                </c:pt>
                <c:pt idx="140" formatCode="0.0000">
                  <c:v>1.6321317260639308</c:v>
                </c:pt>
                <c:pt idx="141" formatCode="0.0000">
                  <c:v>2.2358283642448704</c:v>
                </c:pt>
                <c:pt idx="142" formatCode="0.0000">
                  <c:v>2.2907248870797297</c:v>
                </c:pt>
                <c:pt idx="143" formatCode="0.0000">
                  <c:v>2.0463909794479163</c:v>
                </c:pt>
                <c:pt idx="144" formatCode="0.0000">
                  <c:v>2.0381087562903821</c:v>
                </c:pt>
                <c:pt idx="145" formatCode="0.0000">
                  <c:v>2.0213077057770961</c:v>
                </c:pt>
                <c:pt idx="146" formatCode="0.0000">
                  <c:v>1.7343825019506907</c:v>
                </c:pt>
                <c:pt idx="147" formatCode="0.0000">
                  <c:v>1.3579829290341858</c:v>
                </c:pt>
                <c:pt idx="148" formatCode="0.0000">
                  <c:v>0.78791287089715389</c:v>
                </c:pt>
                <c:pt idx="149" formatCode="0.0000">
                  <c:v>0.90640322673349161</c:v>
                </c:pt>
                <c:pt idx="150" formatCode="0.0000">
                  <c:v>1.0286807943664038</c:v>
                </c:pt>
                <c:pt idx="151" formatCode="0.0000">
                  <c:v>1.4638275901087976</c:v>
                </c:pt>
                <c:pt idx="152" formatCode="0.0000">
                  <c:v>1.4444814305598315</c:v>
                </c:pt>
                <c:pt idx="153" formatCode="0.0000">
                  <c:v>1.4667541433145388</c:v>
                </c:pt>
                <c:pt idx="154" formatCode="0.0000">
                  <c:v>1.3801744963049156</c:v>
                </c:pt>
                <c:pt idx="155" formatCode="0.0000">
                  <c:v>1.5439045778059983</c:v>
                </c:pt>
                <c:pt idx="156" formatCode="0.0000">
                  <c:v>1.6346183799258427</c:v>
                </c:pt>
                <c:pt idx="157" formatCode="0.0000">
                  <c:v>1.6654533713087269</c:v>
                </c:pt>
                <c:pt idx="158" formatCode="0.0000">
                  <c:v>1.6503134711008121</c:v>
                </c:pt>
                <c:pt idx="159" formatCode="0.0000">
                  <c:v>1.9132611894114986</c:v>
                </c:pt>
                <c:pt idx="160" formatCode="0.0000">
                  <c:v>1.9513326385604146</c:v>
                </c:pt>
                <c:pt idx="161" formatCode="0.0000">
                  <c:v>2.200805137358016</c:v>
                </c:pt>
                <c:pt idx="162" formatCode="0.0000">
                  <c:v>2.1567583336631584</c:v>
                </c:pt>
                <c:pt idx="163" formatCode="0.0000">
                  <c:v>1.9789651041753971</c:v>
                </c:pt>
                <c:pt idx="164" formatCode="0.0000">
                  <c:v>1.778342444602768</c:v>
                </c:pt>
                <c:pt idx="165" formatCode="0.0000">
                  <c:v>1.4179137908030957</c:v>
                </c:pt>
                <c:pt idx="166" formatCode="0.0000">
                  <c:v>1.1337139635453737</c:v>
                </c:pt>
                <c:pt idx="167" formatCode="0.0000">
                  <c:v>1.1738472772459754</c:v>
                </c:pt>
                <c:pt idx="168" formatCode="0.0000">
                  <c:v>0.89937634919971721</c:v>
                </c:pt>
                <c:pt idx="169" formatCode="0.0000">
                  <c:v>0.81449280746375252</c:v>
                </c:pt>
                <c:pt idx="170" formatCode="0.0000">
                  <c:v>0.85213567393725109</c:v>
                </c:pt>
                <c:pt idx="171" formatCode="0.0000">
                  <c:v>1.0106244126122446</c:v>
                </c:pt>
                <c:pt idx="172" formatCode="0.0000">
                  <c:v>1.0453295782955456</c:v>
                </c:pt>
                <c:pt idx="173" formatCode="0.0000">
                  <c:v>1.1686984149627992</c:v>
                </c:pt>
                <c:pt idx="174" formatCode="0.0000">
                  <c:v>1.0760783750907197</c:v>
                </c:pt>
                <c:pt idx="175" formatCode="0.0000">
                  <c:v>1.1905284112219867</c:v>
                </c:pt>
                <c:pt idx="176" formatCode="0.0000">
                  <c:v>1.1839821183944559</c:v>
                </c:pt>
                <c:pt idx="177" formatCode="0.0000">
                  <c:v>1.4750704258478058</c:v>
                </c:pt>
                <c:pt idx="178" formatCode="0.0000">
                  <c:v>1.3242506231001272</c:v>
                </c:pt>
                <c:pt idx="179" formatCode="0.0000">
                  <c:v>1.2617111884533414</c:v>
                </c:pt>
                <c:pt idx="180" formatCode="0.0000">
                  <c:v>1.1672689982404201</c:v>
                </c:pt>
                <c:pt idx="181" formatCode="0.0000">
                  <c:v>1.1733384101056676</c:v>
                </c:pt>
                <c:pt idx="182" formatCode="0.0000">
                  <c:v>1.0785091947301453</c:v>
                </c:pt>
                <c:pt idx="183" formatCode="0.0000">
                  <c:v>1.029831845943963</c:v>
                </c:pt>
                <c:pt idx="184" formatCode="0.0000">
                  <c:v>0.74681714479703776</c:v>
                </c:pt>
                <c:pt idx="185" formatCode="0.0000">
                  <c:v>0.73121340678145408</c:v>
                </c:pt>
                <c:pt idx="186" formatCode="0.0000">
                  <c:v>0.77734496664602204</c:v>
                </c:pt>
                <c:pt idx="187" formatCode="0.0000">
                  <c:v>0.73922259420304037</c:v>
                </c:pt>
                <c:pt idx="188" formatCode="0.0000">
                  <c:v>0.86262578239501031</c:v>
                </c:pt>
                <c:pt idx="189" formatCode="0.0000">
                  <c:v>0.80352138493157421</c:v>
                </c:pt>
                <c:pt idx="190" formatCode="0.0000">
                  <c:v>0.82952143705139991</c:v>
                </c:pt>
                <c:pt idx="191" formatCode="0.0000">
                  <c:v>0.82591457794953194</c:v>
                </c:pt>
                <c:pt idx="192" formatCode="0.0000">
                  <c:v>0.87117707003296496</c:v>
                </c:pt>
                <c:pt idx="193" formatCode="0.0000">
                  <c:v>0.91087736944885822</c:v>
                </c:pt>
                <c:pt idx="194" formatCode="0.0000">
                  <c:v>0.9566976572584398</c:v>
                </c:pt>
                <c:pt idx="195" formatCode="0.0000">
                  <c:v>0.83864513491129655</c:v>
                </c:pt>
                <c:pt idx="196" formatCode="0.0000">
                  <c:v>1.0327755130951872</c:v>
                </c:pt>
                <c:pt idx="197" formatCode="0.0000">
                  <c:v>0.97880521557928124</c:v>
                </c:pt>
                <c:pt idx="198" formatCode="0.0000">
                  <c:v>1.14690168696551</c:v>
                </c:pt>
                <c:pt idx="199" formatCode="0.0000">
                  <c:v>1.2069435500264336</c:v>
                </c:pt>
                <c:pt idx="200" formatCode="0.0000">
                  <c:v>1.2106450586724136</c:v>
                </c:pt>
                <c:pt idx="201" formatCode="0.0000">
                  <c:v>1.2686986531448508</c:v>
                </c:pt>
                <c:pt idx="202" formatCode="0.0000">
                  <c:v>1.3327460423951281</c:v>
                </c:pt>
                <c:pt idx="203" formatCode="0.0000">
                  <c:v>1.2709351429875311</c:v>
                </c:pt>
                <c:pt idx="204" formatCode="0.0000">
                  <c:v>1.4063769584557839</c:v>
                </c:pt>
                <c:pt idx="205" formatCode="0.0000">
                  <c:v>1.2704606678429105</c:v>
                </c:pt>
                <c:pt idx="206" formatCode="0.0000">
                  <c:v>1.6369160344878237</c:v>
                </c:pt>
                <c:pt idx="207" formatCode="0.0000">
                  <c:v>1.6605289493826052</c:v>
                </c:pt>
                <c:pt idx="208" formatCode="0.0000">
                  <c:v>1.8446861304891136</c:v>
                </c:pt>
                <c:pt idx="209" formatCode="0.0000">
                  <c:v>1.8123512379526725</c:v>
                </c:pt>
                <c:pt idx="210" formatCode="0.0000">
                  <c:v>1.8437361052126149</c:v>
                </c:pt>
                <c:pt idx="211" formatCode="0.0000">
                  <c:v>1.8309549287544493</c:v>
                </c:pt>
                <c:pt idx="212" formatCode="0.0000">
                  <c:v>2.0184260553088476</c:v>
                </c:pt>
                <c:pt idx="213" formatCode="0.0000">
                  <c:v>1.6253991629128623</c:v>
                </c:pt>
                <c:pt idx="214" formatCode="0.0000">
                  <c:v>1.625319589502785</c:v>
                </c:pt>
                <c:pt idx="215" formatCode="0.0000">
                  <c:v>1.434037728885768</c:v>
                </c:pt>
                <c:pt idx="216" formatCode="0.0000">
                  <c:v>1.4514316498390059</c:v>
                </c:pt>
                <c:pt idx="217" formatCode="0.0000">
                  <c:v>1.3432605455735822</c:v>
                </c:pt>
                <c:pt idx="218" formatCode="0.0000">
                  <c:v>1.4199219620993777</c:v>
                </c:pt>
                <c:pt idx="219" formatCode="0.0000">
                  <c:v>1.3175139819858546</c:v>
                </c:pt>
                <c:pt idx="220" formatCode="0.0000">
                  <c:v>1.3300485611657946</c:v>
                </c:pt>
                <c:pt idx="221" formatCode="0.0000">
                  <c:v>1.3446162561638062</c:v>
                </c:pt>
                <c:pt idx="222" formatCode="0.0000">
                  <c:v>1.3658465478669839</c:v>
                </c:pt>
                <c:pt idx="223" formatCode="0.0000">
                  <c:v>1.4250722228998463</c:v>
                </c:pt>
                <c:pt idx="224" formatCode="0.0000">
                  <c:v>1.4729504286507615</c:v>
                </c:pt>
                <c:pt idx="225" formatCode="0.0000">
                  <c:v>1.491074207556816</c:v>
                </c:pt>
                <c:pt idx="226" formatCode="0.0000">
                  <c:v>1.527293981810703</c:v>
                </c:pt>
                <c:pt idx="227" formatCode="0.0000">
                  <c:v>1.5454171686180433</c:v>
                </c:pt>
                <c:pt idx="228" formatCode="0.0000">
                  <c:v>1.5938989644368764</c:v>
                </c:pt>
                <c:pt idx="229" formatCode="0.0000">
                  <c:v>1.6208967325858157</c:v>
                </c:pt>
                <c:pt idx="230" formatCode="0.0000">
                  <c:v>1.6793778721120074</c:v>
                </c:pt>
                <c:pt idx="231" formatCode="0.0000">
                  <c:v>1.6940494415105432</c:v>
                </c:pt>
                <c:pt idx="232" formatCode="0.0000">
                  <c:v>1.6680316449565804</c:v>
                </c:pt>
                <c:pt idx="233" formatCode="0.0000">
                  <c:v>1.6306508189727731</c:v>
                </c:pt>
                <c:pt idx="234" formatCode="0.0000">
                  <c:v>1.6566093899614036</c:v>
                </c:pt>
                <c:pt idx="235" formatCode="0.0000">
                  <c:v>1.6104008610123066</c:v>
                </c:pt>
                <c:pt idx="236" formatCode="0.0000">
                  <c:v>1.590071715643935</c:v>
                </c:pt>
                <c:pt idx="237" formatCode="0.0000">
                  <c:v>1.6112109732873243</c:v>
                </c:pt>
                <c:pt idx="238" formatCode="0.0000">
                  <c:v>1.6146915665069195</c:v>
                </c:pt>
                <c:pt idx="239" formatCode="0.0000">
                  <c:v>1.520893680028085</c:v>
                </c:pt>
                <c:pt idx="240" formatCode="0.0000">
                  <c:v>1.5268468993153534</c:v>
                </c:pt>
                <c:pt idx="241" formatCode="0.0000">
                  <c:v>1.5222115444907323</c:v>
                </c:pt>
                <c:pt idx="242" formatCode="0.0000">
                  <c:v>1.5877656559657238</c:v>
                </c:pt>
                <c:pt idx="243" formatCode="0.0000">
                  <c:v>1.5687418133698352</c:v>
                </c:pt>
                <c:pt idx="244" formatCode="0.0000">
                  <c:v>1.5511368974555033</c:v>
                </c:pt>
                <c:pt idx="245" formatCode="0.0000">
                  <c:v>1.5686099374774665</c:v>
                </c:pt>
                <c:pt idx="246" formatCode="0.0000">
                  <c:v>1.5270009742832973</c:v>
                </c:pt>
                <c:pt idx="247" formatCode="0.0000">
                  <c:v>1.5058746455980565</c:v>
                </c:pt>
                <c:pt idx="248" formatCode="0.0000">
                  <c:v>1.4693382424627355</c:v>
                </c:pt>
                <c:pt idx="249" formatCode="0.0000">
                  <c:v>1.3516025746152585</c:v>
                </c:pt>
                <c:pt idx="250" formatCode="0.0000">
                  <c:v>1.3033319169600632</c:v>
                </c:pt>
                <c:pt idx="251" formatCode="0.0000">
                  <c:v>1.2822055960360312</c:v>
                </c:pt>
                <c:pt idx="252" formatCode="0.0000">
                  <c:v>1.259977705982781</c:v>
                </c:pt>
                <c:pt idx="253" formatCode="0.0000">
                  <c:v>1.2172954658999617</c:v>
                </c:pt>
                <c:pt idx="254" formatCode="0.0000">
                  <c:v>1.2018602778641974</c:v>
                </c:pt>
                <c:pt idx="255" formatCode="0.0000">
                  <c:v>1.1453746635546822</c:v>
                </c:pt>
                <c:pt idx="256" formatCode="0.0000">
                  <c:v>1.1897467482822162</c:v>
                </c:pt>
                <c:pt idx="257" formatCode="0.0000">
                  <c:v>1.2195681273409096</c:v>
                </c:pt>
                <c:pt idx="258" formatCode="0.0000">
                  <c:v>1.2549127691912447</c:v>
                </c:pt>
                <c:pt idx="259" formatCode="0.0000">
                  <c:v>1.1868122999821513</c:v>
                </c:pt>
                <c:pt idx="260" formatCode="0.0000">
                  <c:v>1.1965017346974267</c:v>
                </c:pt>
                <c:pt idx="261" formatCode="0.0000">
                  <c:v>1.1811835998831133</c:v>
                </c:pt>
                <c:pt idx="262" formatCode="0.0000">
                  <c:v>1.211962157970738</c:v>
                </c:pt>
                <c:pt idx="263" formatCode="0.0000">
                  <c:v>1.2081175276220348</c:v>
                </c:pt>
                <c:pt idx="264" formatCode="0.0000">
                  <c:v>1.1899004021499382</c:v>
                </c:pt>
                <c:pt idx="265" formatCode="0.0000">
                  <c:v>1.1272872656115269</c:v>
                </c:pt>
                <c:pt idx="266" formatCode="0.0000">
                  <c:v>1.1191971219731873</c:v>
                </c:pt>
                <c:pt idx="267" formatCode="0.0000">
                  <c:v>1.1150826955168751</c:v>
                </c:pt>
                <c:pt idx="268" formatCode="0.0000">
                  <c:v>1.1269178541354974</c:v>
                </c:pt>
                <c:pt idx="269" formatCode="0.0000">
                  <c:v>1.1067949845426395</c:v>
                </c:pt>
                <c:pt idx="270" formatCode="0.0000">
                  <c:v>1.0489402617694388</c:v>
                </c:pt>
                <c:pt idx="271" formatCode="0.0000">
                  <c:v>0.99998064583513491</c:v>
                </c:pt>
                <c:pt idx="272" formatCode="0.0000">
                  <c:v>0.91252603320546055</c:v>
                </c:pt>
                <c:pt idx="273" formatCode="0.0000">
                  <c:v>0.9314880430452589</c:v>
                </c:pt>
                <c:pt idx="274" formatCode="0.0000">
                  <c:v>0.92980042756696524</c:v>
                </c:pt>
                <c:pt idx="275" formatCode="0.0000">
                  <c:v>0.91855358631003414</c:v>
                </c:pt>
                <c:pt idx="276" formatCode="0.0000">
                  <c:v>0.91687182222333075</c:v>
                </c:pt>
                <c:pt idx="277" formatCode="0.0000">
                  <c:v>0.89870216445790041</c:v>
                </c:pt>
                <c:pt idx="278" formatCode="0.0000">
                  <c:v>0.92290602243771858</c:v>
                </c:pt>
                <c:pt idx="279" formatCode="0.0000">
                  <c:v>0.90796992974320445</c:v>
                </c:pt>
                <c:pt idx="280" formatCode="0.0000">
                  <c:v>0.91703978250242457</c:v>
                </c:pt>
                <c:pt idx="281" formatCode="0.0000">
                  <c:v>0.90351285830426131</c:v>
                </c:pt>
                <c:pt idx="282" formatCode="0.0000">
                  <c:v>0.89195366043101421</c:v>
                </c:pt>
                <c:pt idx="283" formatCode="0.0000">
                  <c:v>0.95998342633852851</c:v>
                </c:pt>
                <c:pt idx="284" formatCode="0.0000">
                  <c:v>0.96232034971586722</c:v>
                </c:pt>
                <c:pt idx="285" formatCode="0.0000">
                  <c:v>0.96005437592729326</c:v>
                </c:pt>
                <c:pt idx="286" formatCode="0.0000">
                  <c:v>0.97307445180973173</c:v>
                </c:pt>
                <c:pt idx="287" formatCode="0.0000">
                  <c:v>0.98626596608606432</c:v>
                </c:pt>
                <c:pt idx="288" formatCode="0.0000">
                  <c:v>1.0244404499381958</c:v>
                </c:pt>
                <c:pt idx="289" formatCode="0.0000">
                  <c:v>1.0297538576530183</c:v>
                </c:pt>
                <c:pt idx="290" formatCode="0.0000">
                  <c:v>0.95242819887452546</c:v>
                </c:pt>
                <c:pt idx="291" formatCode="0.0000">
                  <c:v>0.95435780473652443</c:v>
                </c:pt>
                <c:pt idx="292" formatCode="0.0000">
                  <c:v>0.95417389538680042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FA2-4722-8604-242241E21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40876"/>
        <c:axId val="2026125209"/>
      </c:lineChart>
      <c:lineChart>
        <c:grouping val="standard"/>
        <c:varyColors val="0"/>
        <c:ser>
          <c:idx val="1"/>
          <c:order val="1"/>
          <c:tx>
            <c:strRef>
              <c:f>'R(t) Województwa'!$CS$2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Województwa'!$CS$3:$CS$1000</c:f>
              <c:numCache>
                <c:formatCode>General</c:formatCode>
                <c:ptCount val="998"/>
                <c:pt idx="4">
                  <c:v>0.4</c:v>
                </c:pt>
                <c:pt idx="5">
                  <c:v>0.33333333333333331</c:v>
                </c:pt>
                <c:pt idx="6">
                  <c:v>0.2857142857142857</c:v>
                </c:pt>
                <c:pt idx="7">
                  <c:v>0.2857142857142857</c:v>
                </c:pt>
                <c:pt idx="8">
                  <c:v>0.5714285714285714</c:v>
                </c:pt>
                <c:pt idx="9">
                  <c:v>0.5714285714285714</c:v>
                </c:pt>
                <c:pt idx="10">
                  <c:v>0.42857142857142855</c:v>
                </c:pt>
                <c:pt idx="11">
                  <c:v>0.2857142857142857</c:v>
                </c:pt>
                <c:pt idx="12">
                  <c:v>0.42857142857142855</c:v>
                </c:pt>
                <c:pt idx="13">
                  <c:v>0.42857142857142855</c:v>
                </c:pt>
                <c:pt idx="14">
                  <c:v>0.7142857142857143</c:v>
                </c:pt>
                <c:pt idx="15">
                  <c:v>1</c:v>
                </c:pt>
                <c:pt idx="16">
                  <c:v>1.1428571428571428</c:v>
                </c:pt>
                <c:pt idx="17">
                  <c:v>1.8571428571428572</c:v>
                </c:pt>
                <c:pt idx="18">
                  <c:v>2.2857142857142856</c:v>
                </c:pt>
                <c:pt idx="19">
                  <c:v>2.4285714285714284</c:v>
                </c:pt>
                <c:pt idx="20">
                  <c:v>2.8571428571428572</c:v>
                </c:pt>
                <c:pt idx="21">
                  <c:v>3.1428571428571428</c:v>
                </c:pt>
                <c:pt idx="22">
                  <c:v>3.1428571428571428</c:v>
                </c:pt>
                <c:pt idx="23">
                  <c:v>3.8571428571428572</c:v>
                </c:pt>
                <c:pt idx="24">
                  <c:v>3.8571428571428572</c:v>
                </c:pt>
                <c:pt idx="25">
                  <c:v>3.7142857142857144</c:v>
                </c:pt>
                <c:pt idx="26">
                  <c:v>4.8571428571428568</c:v>
                </c:pt>
                <c:pt idx="27">
                  <c:v>4.5714285714285712</c:v>
                </c:pt>
                <c:pt idx="28">
                  <c:v>4.1428571428571432</c:v>
                </c:pt>
                <c:pt idx="29">
                  <c:v>4</c:v>
                </c:pt>
                <c:pt idx="30">
                  <c:v>4</c:v>
                </c:pt>
                <c:pt idx="31">
                  <c:v>4.4285714285714288</c:v>
                </c:pt>
                <c:pt idx="32">
                  <c:v>4.5714285714285712</c:v>
                </c:pt>
                <c:pt idx="33">
                  <c:v>3.4285714285714284</c:v>
                </c:pt>
                <c:pt idx="34">
                  <c:v>3.7142857142857144</c:v>
                </c:pt>
                <c:pt idx="35">
                  <c:v>4.1428571428571432</c:v>
                </c:pt>
                <c:pt idx="36">
                  <c:v>4.4285714285714288</c:v>
                </c:pt>
                <c:pt idx="37">
                  <c:v>4</c:v>
                </c:pt>
                <c:pt idx="38">
                  <c:v>5</c:v>
                </c:pt>
                <c:pt idx="39">
                  <c:v>4.7142857142857144</c:v>
                </c:pt>
                <c:pt idx="40">
                  <c:v>6</c:v>
                </c:pt>
                <c:pt idx="41">
                  <c:v>5.5714285714285712</c:v>
                </c:pt>
                <c:pt idx="42">
                  <c:v>5</c:v>
                </c:pt>
                <c:pt idx="43">
                  <c:v>4.7142857142857144</c:v>
                </c:pt>
                <c:pt idx="44">
                  <c:v>4.8571428571428568</c:v>
                </c:pt>
                <c:pt idx="45">
                  <c:v>4.1428571428571432</c:v>
                </c:pt>
                <c:pt idx="46">
                  <c:v>4</c:v>
                </c:pt>
                <c:pt idx="47">
                  <c:v>2.8571428571428572</c:v>
                </c:pt>
                <c:pt idx="48">
                  <c:v>3</c:v>
                </c:pt>
                <c:pt idx="49">
                  <c:v>3.2857142857142856</c:v>
                </c:pt>
                <c:pt idx="50">
                  <c:v>2.8571428571428572</c:v>
                </c:pt>
                <c:pt idx="51">
                  <c:v>2.2857142857142856</c:v>
                </c:pt>
                <c:pt idx="52">
                  <c:v>1</c:v>
                </c:pt>
                <c:pt idx="53">
                  <c:v>1</c:v>
                </c:pt>
                <c:pt idx="54">
                  <c:v>0.5714285714285714</c:v>
                </c:pt>
                <c:pt idx="55">
                  <c:v>0.42857142857142855</c:v>
                </c:pt>
                <c:pt idx="56">
                  <c:v>0.14285714285714285</c:v>
                </c:pt>
                <c:pt idx="57">
                  <c:v>0.14285714285714285</c:v>
                </c:pt>
                <c:pt idx="58">
                  <c:v>0.42857142857142855</c:v>
                </c:pt>
                <c:pt idx="59">
                  <c:v>0.2857142857142857</c:v>
                </c:pt>
                <c:pt idx="60">
                  <c:v>0.2857142857142857</c:v>
                </c:pt>
                <c:pt idx="61">
                  <c:v>0.2857142857142857</c:v>
                </c:pt>
                <c:pt idx="62">
                  <c:v>0.5714285714285714</c:v>
                </c:pt>
                <c:pt idx="63">
                  <c:v>0.8571428571428571</c:v>
                </c:pt>
                <c:pt idx="64">
                  <c:v>0.8571428571428571</c:v>
                </c:pt>
                <c:pt idx="65">
                  <c:v>1.1428571428571428</c:v>
                </c:pt>
                <c:pt idx="66">
                  <c:v>1.2857142857142858</c:v>
                </c:pt>
                <c:pt idx="67">
                  <c:v>1.7142857142857142</c:v>
                </c:pt>
                <c:pt idx="68">
                  <c:v>2</c:v>
                </c:pt>
                <c:pt idx="69">
                  <c:v>1.7142857142857142</c:v>
                </c:pt>
                <c:pt idx="70">
                  <c:v>1.7142857142857142</c:v>
                </c:pt>
                <c:pt idx="71">
                  <c:v>2.2857142857142856</c:v>
                </c:pt>
                <c:pt idx="72">
                  <c:v>1.8571428571428572</c:v>
                </c:pt>
                <c:pt idx="73">
                  <c:v>1.8571428571428572</c:v>
                </c:pt>
                <c:pt idx="74">
                  <c:v>1.4285714285714286</c:v>
                </c:pt>
                <c:pt idx="75">
                  <c:v>1.1428571428571428</c:v>
                </c:pt>
                <c:pt idx="76">
                  <c:v>1.1428571428571428</c:v>
                </c:pt>
                <c:pt idx="77">
                  <c:v>1.4285714285714286</c:v>
                </c:pt>
                <c:pt idx="78">
                  <c:v>0.8571428571428571</c:v>
                </c:pt>
                <c:pt idx="79">
                  <c:v>0.7142857142857143</c:v>
                </c:pt>
                <c:pt idx="80">
                  <c:v>0.5714285714285714</c:v>
                </c:pt>
                <c:pt idx="81">
                  <c:v>0.7142857142857143</c:v>
                </c:pt>
                <c:pt idx="82">
                  <c:v>0.7142857142857143</c:v>
                </c:pt>
                <c:pt idx="83">
                  <c:v>0.7142857142857143</c:v>
                </c:pt>
                <c:pt idx="84">
                  <c:v>0.7142857142857143</c:v>
                </c:pt>
                <c:pt idx="85">
                  <c:v>0.7142857142857143</c:v>
                </c:pt>
                <c:pt idx="86">
                  <c:v>0.7142857142857143</c:v>
                </c:pt>
                <c:pt idx="87">
                  <c:v>0.7142857142857143</c:v>
                </c:pt>
                <c:pt idx="88">
                  <c:v>0.5714285714285714</c:v>
                </c:pt>
                <c:pt idx="89">
                  <c:v>0.5714285714285714</c:v>
                </c:pt>
                <c:pt idx="90">
                  <c:v>0.5714285714285714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0.14285714285714285</c:v>
                </c:pt>
                <c:pt idx="95">
                  <c:v>0.14285714285714285</c:v>
                </c:pt>
                <c:pt idx="96">
                  <c:v>0.14285714285714285</c:v>
                </c:pt>
                <c:pt idx="97">
                  <c:v>0.2857142857142857</c:v>
                </c:pt>
                <c:pt idx="98">
                  <c:v>0.2857142857142857</c:v>
                </c:pt>
                <c:pt idx="99">
                  <c:v>0.2857142857142857</c:v>
                </c:pt>
                <c:pt idx="100">
                  <c:v>0.8571428571428571</c:v>
                </c:pt>
                <c:pt idx="101">
                  <c:v>0.7142857142857143</c:v>
                </c:pt>
                <c:pt idx="102">
                  <c:v>0.7142857142857143</c:v>
                </c:pt>
                <c:pt idx="103">
                  <c:v>0.8571428571428571</c:v>
                </c:pt>
                <c:pt idx="104">
                  <c:v>0.7142857142857143</c:v>
                </c:pt>
                <c:pt idx="105">
                  <c:v>1.5714285714285714</c:v>
                </c:pt>
                <c:pt idx="106">
                  <c:v>2.1428571428571428</c:v>
                </c:pt>
                <c:pt idx="107">
                  <c:v>2.4285714285714284</c:v>
                </c:pt>
                <c:pt idx="108">
                  <c:v>3.1428571428571428</c:v>
                </c:pt>
                <c:pt idx="109">
                  <c:v>3.4285714285714284</c:v>
                </c:pt>
                <c:pt idx="110">
                  <c:v>3.2857142857142856</c:v>
                </c:pt>
                <c:pt idx="111">
                  <c:v>3.5714285714285716</c:v>
                </c:pt>
                <c:pt idx="112">
                  <c:v>3</c:v>
                </c:pt>
                <c:pt idx="113">
                  <c:v>3.8571428571428572</c:v>
                </c:pt>
                <c:pt idx="114">
                  <c:v>3.5714285714285716</c:v>
                </c:pt>
                <c:pt idx="115">
                  <c:v>4.1428571428571432</c:v>
                </c:pt>
                <c:pt idx="116">
                  <c:v>3.8571428571428572</c:v>
                </c:pt>
                <c:pt idx="117">
                  <c:v>4.4285714285714288</c:v>
                </c:pt>
                <c:pt idx="118">
                  <c:v>4.4285714285714288</c:v>
                </c:pt>
                <c:pt idx="119">
                  <c:v>4.4285714285714288</c:v>
                </c:pt>
                <c:pt idx="120">
                  <c:v>3.8571428571428572</c:v>
                </c:pt>
                <c:pt idx="121">
                  <c:v>5</c:v>
                </c:pt>
                <c:pt idx="122">
                  <c:v>4.4285714285714288</c:v>
                </c:pt>
                <c:pt idx="123">
                  <c:v>5</c:v>
                </c:pt>
                <c:pt idx="124">
                  <c:v>4.5714285714285712</c:v>
                </c:pt>
                <c:pt idx="125">
                  <c:v>4.5714285714285712</c:v>
                </c:pt>
                <c:pt idx="126">
                  <c:v>4.4285714285714288</c:v>
                </c:pt>
                <c:pt idx="127">
                  <c:v>3.5714285714285716</c:v>
                </c:pt>
                <c:pt idx="128">
                  <c:v>2.2857142857142856</c:v>
                </c:pt>
                <c:pt idx="129">
                  <c:v>1.8571428571428572</c:v>
                </c:pt>
                <c:pt idx="130">
                  <c:v>1.5714285714285714</c:v>
                </c:pt>
                <c:pt idx="131">
                  <c:v>1.4285714285714286</c:v>
                </c:pt>
                <c:pt idx="132">
                  <c:v>1.4285714285714286</c:v>
                </c:pt>
                <c:pt idx="133">
                  <c:v>1.2857142857142858</c:v>
                </c:pt>
                <c:pt idx="134">
                  <c:v>1.5714285714285714</c:v>
                </c:pt>
                <c:pt idx="135">
                  <c:v>1.1428571428571428</c:v>
                </c:pt>
                <c:pt idx="136">
                  <c:v>1.5714285714285714</c:v>
                </c:pt>
                <c:pt idx="137">
                  <c:v>1.4285714285714286</c:v>
                </c:pt>
                <c:pt idx="138">
                  <c:v>1.7142857142857142</c:v>
                </c:pt>
                <c:pt idx="139">
                  <c:v>2</c:v>
                </c:pt>
                <c:pt idx="140">
                  <c:v>3.2857142857142856</c:v>
                </c:pt>
                <c:pt idx="141">
                  <c:v>5.4285714285714288</c:v>
                </c:pt>
                <c:pt idx="142">
                  <c:v>5.7142857142857144</c:v>
                </c:pt>
                <c:pt idx="143">
                  <c:v>5.8571428571428568</c:v>
                </c:pt>
                <c:pt idx="144">
                  <c:v>6</c:v>
                </c:pt>
                <c:pt idx="145">
                  <c:v>6.2857142857142856</c:v>
                </c:pt>
                <c:pt idx="146">
                  <c:v>5.7142857142857144</c:v>
                </c:pt>
                <c:pt idx="147">
                  <c:v>5.1428571428571432</c:v>
                </c:pt>
                <c:pt idx="148">
                  <c:v>3.4285714285714284</c:v>
                </c:pt>
                <c:pt idx="149">
                  <c:v>3.8571428571428572</c:v>
                </c:pt>
                <c:pt idx="150">
                  <c:v>4.2857142857142856</c:v>
                </c:pt>
                <c:pt idx="151">
                  <c:v>6.4285714285714288</c:v>
                </c:pt>
                <c:pt idx="152">
                  <c:v>6.5714285714285712</c:v>
                </c:pt>
                <c:pt idx="153">
                  <c:v>6.7142857142857144</c:v>
                </c:pt>
                <c:pt idx="154">
                  <c:v>6.5714285714285712</c:v>
                </c:pt>
                <c:pt idx="155">
                  <c:v>7.7142857142857144</c:v>
                </c:pt>
                <c:pt idx="156">
                  <c:v>8.7142857142857135</c:v>
                </c:pt>
                <c:pt idx="157">
                  <c:v>9.8571428571428577</c:v>
                </c:pt>
                <c:pt idx="158">
                  <c:v>11.571428571428571</c:v>
                </c:pt>
                <c:pt idx="159">
                  <c:v>15.142857142857142</c:v>
                </c:pt>
                <c:pt idx="160">
                  <c:v>15.857142857142858</c:v>
                </c:pt>
                <c:pt idx="161">
                  <c:v>19.857142857142858</c:v>
                </c:pt>
                <c:pt idx="162">
                  <c:v>22.714285714285715</c:v>
                </c:pt>
                <c:pt idx="163">
                  <c:v>22.571428571428573</c:v>
                </c:pt>
                <c:pt idx="164">
                  <c:v>22.428571428571427</c:v>
                </c:pt>
                <c:pt idx="165">
                  <c:v>20.285714285714285</c:v>
                </c:pt>
                <c:pt idx="166">
                  <c:v>17.428571428571427</c:v>
                </c:pt>
                <c:pt idx="167">
                  <c:v>18.142857142857142</c:v>
                </c:pt>
                <c:pt idx="168">
                  <c:v>14.714285714285714</c:v>
                </c:pt>
                <c:pt idx="169">
                  <c:v>13</c:v>
                </c:pt>
                <c:pt idx="170">
                  <c:v>13.285714285714286</c:v>
                </c:pt>
                <c:pt idx="171">
                  <c:v>15.285714285714286</c:v>
                </c:pt>
                <c:pt idx="172">
                  <c:v>15.857142857142858</c:v>
                </c:pt>
                <c:pt idx="173">
                  <c:v>18</c:v>
                </c:pt>
                <c:pt idx="174">
                  <c:v>16.571428571428573</c:v>
                </c:pt>
                <c:pt idx="175">
                  <c:v>18.428571428571427</c:v>
                </c:pt>
                <c:pt idx="176">
                  <c:v>18.857142857142858</c:v>
                </c:pt>
                <c:pt idx="177">
                  <c:v>24.285714285714285</c:v>
                </c:pt>
                <c:pt idx="178">
                  <c:v>23.142857142857142</c:v>
                </c:pt>
                <c:pt idx="179">
                  <c:v>22.571428571428573</c:v>
                </c:pt>
                <c:pt idx="180">
                  <c:v>21.428571428571427</c:v>
                </c:pt>
                <c:pt idx="181">
                  <c:v>21.571428571428573</c:v>
                </c:pt>
                <c:pt idx="182">
                  <c:v>20.285714285714285</c:v>
                </c:pt>
                <c:pt idx="183">
                  <c:v>19.571428571428573</c:v>
                </c:pt>
                <c:pt idx="184">
                  <c:v>14.571428571428571</c:v>
                </c:pt>
                <c:pt idx="185">
                  <c:v>13.571428571428571</c:v>
                </c:pt>
                <c:pt idx="186">
                  <c:v>13.857142857142858</c:v>
                </c:pt>
                <c:pt idx="187">
                  <c:v>12.714285714285714</c:v>
                </c:pt>
                <c:pt idx="188">
                  <c:v>14.571428571428571</c:v>
                </c:pt>
                <c:pt idx="189">
                  <c:v>13.428571428571429</c:v>
                </c:pt>
                <c:pt idx="190">
                  <c:v>13.285714285714286</c:v>
                </c:pt>
                <c:pt idx="191">
                  <c:v>12.857142857142858</c:v>
                </c:pt>
                <c:pt idx="192">
                  <c:v>13.142857142857142</c:v>
                </c:pt>
                <c:pt idx="193">
                  <c:v>13.428571428571429</c:v>
                </c:pt>
                <c:pt idx="194">
                  <c:v>14</c:v>
                </c:pt>
                <c:pt idx="195">
                  <c:v>12.142857142857142</c:v>
                </c:pt>
                <c:pt idx="196">
                  <c:v>14.571428571428571</c:v>
                </c:pt>
                <c:pt idx="197">
                  <c:v>13.857142857142858</c:v>
                </c:pt>
                <c:pt idx="198">
                  <c:v>16.142857142857142</c:v>
                </c:pt>
                <c:pt idx="199">
                  <c:v>17.428571428571427</c:v>
                </c:pt>
                <c:pt idx="200">
                  <c:v>18</c:v>
                </c:pt>
                <c:pt idx="201">
                  <c:v>19.428571428571427</c:v>
                </c:pt>
                <c:pt idx="202">
                  <c:v>20.714285714285715</c:v>
                </c:pt>
                <c:pt idx="203">
                  <c:v>20.714285714285715</c:v>
                </c:pt>
                <c:pt idx="204">
                  <c:v>23.714285714285715</c:v>
                </c:pt>
                <c:pt idx="205">
                  <c:v>22.857142857142858</c:v>
                </c:pt>
                <c:pt idx="206">
                  <c:v>31.571428571428573</c:v>
                </c:pt>
                <c:pt idx="207">
                  <c:v>34.571428571428569</c:v>
                </c:pt>
                <c:pt idx="208">
                  <c:v>43</c:v>
                </c:pt>
                <c:pt idx="209">
                  <c:v>43.428571428571431</c:v>
                </c:pt>
                <c:pt idx="210">
                  <c:v>47.571428571428569</c:v>
                </c:pt>
                <c:pt idx="211">
                  <c:v>52.285714285714285</c:v>
                </c:pt>
                <c:pt idx="212">
                  <c:v>63.571428571428569</c:v>
                </c:pt>
                <c:pt idx="213">
                  <c:v>61.428571428571431</c:v>
                </c:pt>
                <c:pt idx="214">
                  <c:v>66.142857142857139</c:v>
                </c:pt>
                <c:pt idx="215">
                  <c:v>64.285714285714292</c:v>
                </c:pt>
                <c:pt idx="216">
                  <c:v>66.285714285714292</c:v>
                </c:pt>
                <c:pt idx="217">
                  <c:v>64.142857142857139</c:v>
                </c:pt>
                <c:pt idx="218">
                  <c:v>71.571428571428569</c:v>
                </c:pt>
                <c:pt idx="219">
                  <c:v>72</c:v>
                </c:pt>
                <c:pt idx="220">
                  <c:v>76.285714285714292</c:v>
                </c:pt>
                <c:pt idx="221">
                  <c:v>81.142857142857139</c:v>
                </c:pt>
                <c:pt idx="222">
                  <c:v>86.428571428571431</c:v>
                </c:pt>
                <c:pt idx="223">
                  <c:v>92.857142857142861</c:v>
                </c:pt>
                <c:pt idx="224">
                  <c:v>99.142857142857139</c:v>
                </c:pt>
                <c:pt idx="225">
                  <c:v>110.14285714285714</c:v>
                </c:pt>
                <c:pt idx="226">
                  <c:v>122.42857142857143</c:v>
                </c:pt>
                <c:pt idx="227">
                  <c:v>133.71428571428572</c:v>
                </c:pt>
                <c:pt idx="228">
                  <c:v>150</c:v>
                </c:pt>
                <c:pt idx="229">
                  <c:v>164.85714285714286</c:v>
                </c:pt>
                <c:pt idx="230">
                  <c:v>181.57142857142858</c:v>
                </c:pt>
                <c:pt idx="231">
                  <c:v>193.85714285714286</c:v>
                </c:pt>
                <c:pt idx="232">
                  <c:v>215.57142857142858</c:v>
                </c:pt>
                <c:pt idx="233">
                  <c:v>232.71428571428572</c:v>
                </c:pt>
                <c:pt idx="234">
                  <c:v>259</c:v>
                </c:pt>
                <c:pt idx="235">
                  <c:v>276.14285714285717</c:v>
                </c:pt>
                <c:pt idx="236">
                  <c:v>294.71428571428572</c:v>
                </c:pt>
                <c:pt idx="237">
                  <c:v>320.42857142857144</c:v>
                </c:pt>
                <c:pt idx="238">
                  <c:v>339.85714285714283</c:v>
                </c:pt>
                <c:pt idx="239">
                  <c:v>353.28571428571428</c:v>
                </c:pt>
                <c:pt idx="240">
                  <c:v>383.85714285714283</c:v>
                </c:pt>
                <c:pt idx="241">
                  <c:v>416.57142857142856</c:v>
                </c:pt>
                <c:pt idx="242">
                  <c:v>472.71428571428572</c:v>
                </c:pt>
                <c:pt idx="243">
                  <c:v>501.14285714285717</c:v>
                </c:pt>
                <c:pt idx="244">
                  <c:v>531.42857142857144</c:v>
                </c:pt>
                <c:pt idx="245">
                  <c:v>569.14285714285711</c:v>
                </c:pt>
                <c:pt idx="246">
                  <c:v>594.85714285714289</c:v>
                </c:pt>
                <c:pt idx="247">
                  <c:v>633.42857142857144</c:v>
                </c:pt>
                <c:pt idx="248">
                  <c:v>666.57142857142856</c:v>
                </c:pt>
                <c:pt idx="249">
                  <c:v>658.28571428571433</c:v>
                </c:pt>
                <c:pt idx="250">
                  <c:v>661</c:v>
                </c:pt>
                <c:pt idx="251">
                  <c:v>677</c:v>
                </c:pt>
                <c:pt idx="252">
                  <c:v>689</c:v>
                </c:pt>
                <c:pt idx="253">
                  <c:v>688.42857142857144</c:v>
                </c:pt>
                <c:pt idx="254">
                  <c:v>705.57142857142856</c:v>
                </c:pt>
                <c:pt idx="255">
                  <c:v>694.14285714285711</c:v>
                </c:pt>
                <c:pt idx="256">
                  <c:v>738.57142857142856</c:v>
                </c:pt>
                <c:pt idx="257">
                  <c:v>776</c:v>
                </c:pt>
                <c:pt idx="258">
                  <c:v>825.42857142857144</c:v>
                </c:pt>
                <c:pt idx="259">
                  <c:v>798.85714285714289</c:v>
                </c:pt>
                <c:pt idx="260">
                  <c:v>823.14285714285711</c:v>
                </c:pt>
                <c:pt idx="261">
                  <c:v>838.85714285714289</c:v>
                </c:pt>
                <c:pt idx="262">
                  <c:v>883</c:v>
                </c:pt>
                <c:pt idx="263">
                  <c:v>911.71428571428567</c:v>
                </c:pt>
                <c:pt idx="264">
                  <c:v>921.71428571428567</c:v>
                </c:pt>
                <c:pt idx="265">
                  <c:v>896.57142857142856</c:v>
                </c:pt>
                <c:pt idx="266">
                  <c:v>898</c:v>
                </c:pt>
                <c:pt idx="267">
                  <c:v>908</c:v>
                </c:pt>
                <c:pt idx="268">
                  <c:v>934.42857142857144</c:v>
                </c:pt>
                <c:pt idx="269">
                  <c:v>935.85714285714289</c:v>
                </c:pt>
                <c:pt idx="270">
                  <c:v>901.42857142857144</c:v>
                </c:pt>
                <c:pt idx="271">
                  <c:v>862.57142857142856</c:v>
                </c:pt>
                <c:pt idx="272">
                  <c:v>785.85714285714289</c:v>
                </c:pt>
                <c:pt idx="273">
                  <c:v>794.57142857142856</c:v>
                </c:pt>
                <c:pt idx="274">
                  <c:v>784.14285714285711</c:v>
                </c:pt>
                <c:pt idx="275">
                  <c:v>762.42857142857144</c:v>
                </c:pt>
                <c:pt idx="276">
                  <c:v>748</c:v>
                </c:pt>
                <c:pt idx="277">
                  <c:v>721.14285714285711</c:v>
                </c:pt>
                <c:pt idx="278">
                  <c:v>731.71428571428567</c:v>
                </c:pt>
                <c:pt idx="279">
                  <c:v>716</c:v>
                </c:pt>
                <c:pt idx="280">
                  <c:v>715.14285714285711</c:v>
                </c:pt>
                <c:pt idx="281">
                  <c:v>696</c:v>
                </c:pt>
                <c:pt idx="282">
                  <c:v>673</c:v>
                </c:pt>
                <c:pt idx="283">
                  <c:v>706.42857142857144</c:v>
                </c:pt>
                <c:pt idx="284">
                  <c:v>702.71428571428567</c:v>
                </c:pt>
                <c:pt idx="285">
                  <c:v>696.14285714285711</c:v>
                </c:pt>
                <c:pt idx="286">
                  <c:v>704.42857142857144</c:v>
                </c:pt>
                <c:pt idx="287">
                  <c:v>710.71428571428567</c:v>
                </c:pt>
                <c:pt idx="288">
                  <c:v>734.14285714285711</c:v>
                </c:pt>
                <c:pt idx="289">
                  <c:v>739.57142857142856</c:v>
                </c:pt>
                <c:pt idx="290">
                  <c:v>686.57142857142856</c:v>
                </c:pt>
                <c:pt idx="291">
                  <c:v>682.42857142857144</c:v>
                </c:pt>
                <c:pt idx="292">
                  <c:v>677.57142857142856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FA2-4722-8604-242241E21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7245907"/>
        <c:axId val="1645148782"/>
      </c:lineChart>
      <c:catAx>
        <c:axId val="11588408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2026125209"/>
        <c:crosses val="autoZero"/>
        <c:auto val="1"/>
        <c:lblAlgn val="ctr"/>
        <c:lblOffset val="100"/>
        <c:noMultiLvlLbl val="1"/>
      </c:catAx>
      <c:valAx>
        <c:axId val="2026125209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158840876"/>
        <c:crosses val="autoZero"/>
        <c:crossBetween val="between"/>
      </c:valAx>
      <c:catAx>
        <c:axId val="8572459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45148782"/>
        <c:crosses val="autoZero"/>
        <c:auto val="1"/>
        <c:lblAlgn val="ctr"/>
        <c:lblOffset val="100"/>
        <c:noMultiLvlLbl val="1"/>
      </c:catAx>
      <c:valAx>
        <c:axId val="164514878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857245907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Wielkopolskiego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Województwa'!$DD$2</c:f>
              <c:strCache>
                <c:ptCount val="1"/>
                <c:pt idx="0">
                  <c:v>Wielkopolskie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Województwa'!$DD$3:$DD$1000</c:f>
              <c:numCache>
                <c:formatCode>General</c:formatCode>
                <c:ptCount val="998"/>
                <c:pt idx="28" formatCode="0.0000">
                  <c:v>1.0722938647909341</c:v>
                </c:pt>
                <c:pt idx="29" formatCode="0.0000">
                  <c:v>1.2326465456123974</c:v>
                </c:pt>
                <c:pt idx="30" formatCode="0.0000">
                  <c:v>1.3660928377778045</c:v>
                </c:pt>
                <c:pt idx="31" formatCode="0.0000">
                  <c:v>1.2837637098896719</c:v>
                </c:pt>
                <c:pt idx="32" formatCode="0.0000">
                  <c:v>1.2562015943236666</c:v>
                </c:pt>
                <c:pt idx="33" formatCode="0.0000">
                  <c:v>1.4210171666433322</c:v>
                </c:pt>
                <c:pt idx="34" formatCode="0.0000">
                  <c:v>1.5856124530115583</c:v>
                </c:pt>
                <c:pt idx="35" formatCode="0.0000">
                  <c:v>1.5547082370678074</c:v>
                </c:pt>
                <c:pt idx="36" formatCode="0.0000">
                  <c:v>1.6110825133071838</c:v>
                </c:pt>
                <c:pt idx="37" formatCode="0.0000">
                  <c:v>1.5665369500542154</c:v>
                </c:pt>
                <c:pt idx="38" formatCode="0.0000">
                  <c:v>1.6427798160617706</c:v>
                </c:pt>
                <c:pt idx="39" formatCode="0.0000">
                  <c:v>1.7406364628528632</c:v>
                </c:pt>
                <c:pt idx="40" formatCode="0.0000">
                  <c:v>1.5368133028411555</c:v>
                </c:pt>
                <c:pt idx="41" formatCode="0.0000">
                  <c:v>1.5209968579247468</c:v>
                </c:pt>
                <c:pt idx="42" formatCode="0.0000">
                  <c:v>1.5151110631431572</c:v>
                </c:pt>
                <c:pt idx="43" formatCode="0.0000">
                  <c:v>1.6184127729923878</c:v>
                </c:pt>
                <c:pt idx="44" formatCode="0.0000">
                  <c:v>1.5569329236532228</c:v>
                </c:pt>
                <c:pt idx="45" formatCode="0.0000">
                  <c:v>1.482420360358361</c:v>
                </c:pt>
                <c:pt idx="46" formatCode="0.0000">
                  <c:v>1.2733744635358342</c:v>
                </c:pt>
                <c:pt idx="47" formatCode="0.0000">
                  <c:v>1.5477776917115142</c:v>
                </c:pt>
                <c:pt idx="48" formatCode="0.0000">
                  <c:v>1.2730705303630414</c:v>
                </c:pt>
                <c:pt idx="49" formatCode="0.0000">
                  <c:v>1.241927064684536</c:v>
                </c:pt>
                <c:pt idx="50" formatCode="0.0000">
                  <c:v>0.93577781705862983</c:v>
                </c:pt>
                <c:pt idx="51" formatCode="0.0000">
                  <c:v>1.0234501688912923</c:v>
                </c:pt>
                <c:pt idx="52" formatCode="0.0000">
                  <c:v>1.0830669361034477</c:v>
                </c:pt>
                <c:pt idx="53" formatCode="0.0000">
                  <c:v>1.1147110120029053</c:v>
                </c:pt>
                <c:pt idx="54" formatCode="0.0000">
                  <c:v>0.84559720184588572</c:v>
                </c:pt>
                <c:pt idx="55" formatCode="0.0000">
                  <c:v>0.87807922820103967</c:v>
                </c:pt>
                <c:pt idx="56" formatCode="0.0000">
                  <c:v>0.89671385121859515</c:v>
                </c:pt>
                <c:pt idx="57" formatCode="0.0000">
                  <c:v>0.97194025203615175</c:v>
                </c:pt>
                <c:pt idx="58" formatCode="0.0000">
                  <c:v>0.84348449232792311</c:v>
                </c:pt>
                <c:pt idx="59" formatCode="0.0000">
                  <c:v>0.64107588704101481</c:v>
                </c:pt>
                <c:pt idx="60" formatCode="0.0000">
                  <c:v>0.76492146781803017</c:v>
                </c:pt>
                <c:pt idx="61" formatCode="0.0000">
                  <c:v>0.73462617764141402</c:v>
                </c:pt>
                <c:pt idx="62" formatCode="0.0000">
                  <c:v>0.66945194348068282</c:v>
                </c:pt>
                <c:pt idx="63" formatCode="0.0000">
                  <c:v>0.8743713462481798</c:v>
                </c:pt>
                <c:pt idx="64" formatCode="0.0000">
                  <c:v>0.81571051559863705</c:v>
                </c:pt>
                <c:pt idx="65" formatCode="0.0000">
                  <c:v>0.82869526409384153</c:v>
                </c:pt>
                <c:pt idx="66" formatCode="0.0000">
                  <c:v>0.88662819530444281</c:v>
                </c:pt>
                <c:pt idx="67" formatCode="0.0000">
                  <c:v>0.74909034997115376</c:v>
                </c:pt>
                <c:pt idx="68" formatCode="0.0000">
                  <c:v>0.66732076680789187</c:v>
                </c:pt>
                <c:pt idx="69" formatCode="0.0000">
                  <c:v>0.78061117867961793</c:v>
                </c:pt>
                <c:pt idx="70" formatCode="0.0000">
                  <c:v>0.53510488105113641</c:v>
                </c:pt>
                <c:pt idx="71" formatCode="0.0000">
                  <c:v>0.54103485300257326</c:v>
                </c:pt>
                <c:pt idx="72" formatCode="0.0000">
                  <c:v>0.52876373649928132</c:v>
                </c:pt>
                <c:pt idx="73" formatCode="0.0000">
                  <c:v>0.58451836102722055</c:v>
                </c:pt>
                <c:pt idx="74" formatCode="0.0000">
                  <c:v>0.55036234610396262</c:v>
                </c:pt>
                <c:pt idx="75" formatCode="0.0000">
                  <c:v>0.86538931423451104</c:v>
                </c:pt>
                <c:pt idx="76" formatCode="0.0000">
                  <c:v>0.79709856659616729</c:v>
                </c:pt>
                <c:pt idx="77" formatCode="0.0000">
                  <c:v>0.77011923012881345</c:v>
                </c:pt>
                <c:pt idx="78" formatCode="0.0000">
                  <c:v>1.3780264241824778</c:v>
                </c:pt>
                <c:pt idx="79" formatCode="0.0000">
                  <c:v>1.4280931664325931</c:v>
                </c:pt>
                <c:pt idx="80" formatCode="0.0000">
                  <c:v>1.3922968052618465</c:v>
                </c:pt>
                <c:pt idx="81" formatCode="0.0000">
                  <c:v>1.4236045169794704</c:v>
                </c:pt>
                <c:pt idx="82" formatCode="0.0000">
                  <c:v>1.5128136782958685</c:v>
                </c:pt>
                <c:pt idx="83" formatCode="0.0000">
                  <c:v>1.5144881736418836</c:v>
                </c:pt>
                <c:pt idx="84" formatCode="0.0000">
                  <c:v>1.5741989899375588</c:v>
                </c:pt>
                <c:pt idx="85" formatCode="0.0000">
                  <c:v>1.2041195027682956</c:v>
                </c:pt>
                <c:pt idx="86" formatCode="0.0000">
                  <c:v>1.1348460251782011</c:v>
                </c:pt>
                <c:pt idx="87" formatCode="0.0000">
                  <c:v>1.1135914591366325</c:v>
                </c:pt>
                <c:pt idx="88" formatCode="0.0000">
                  <c:v>1.0512897338163898</c:v>
                </c:pt>
                <c:pt idx="89" formatCode="0.0000">
                  <c:v>0.65542992874227346</c:v>
                </c:pt>
                <c:pt idx="90" formatCode="0.0000">
                  <c:v>0.59959644760663156</c:v>
                </c:pt>
                <c:pt idx="91" formatCode="0.0000">
                  <c:v>0.76407481869235894</c:v>
                </c:pt>
                <c:pt idx="92" formatCode="0.0000">
                  <c:v>0.578362737267339</c:v>
                </c:pt>
                <c:pt idx="93" formatCode="0.0000">
                  <c:v>0.58214116040635311</c:v>
                </c:pt>
                <c:pt idx="94" formatCode="0.0000">
                  <c:v>0.54163093059894107</c:v>
                </c:pt>
                <c:pt idx="95" formatCode="0.0000">
                  <c:v>0.88733169874171047</c:v>
                </c:pt>
                <c:pt idx="96" formatCode="0.0000">
                  <c:v>0.97051541699562416</c:v>
                </c:pt>
                <c:pt idx="97" formatCode="0.0000">
                  <c:v>1.0337727911050723</c:v>
                </c:pt>
                <c:pt idx="98" formatCode="0.0000">
                  <c:v>0.88424420423775929</c:v>
                </c:pt>
                <c:pt idx="99" formatCode="0.0000">
                  <c:v>0.80623549492948732</c:v>
                </c:pt>
                <c:pt idx="100" formatCode="0.0000">
                  <c:v>0.9784207818332924</c:v>
                </c:pt>
                <c:pt idx="101" formatCode="0.0000">
                  <c:v>1.0537114031300234</c:v>
                </c:pt>
                <c:pt idx="102" formatCode="0.0000">
                  <c:v>0.90877137363849381</c:v>
                </c:pt>
                <c:pt idx="103" formatCode="0.0000">
                  <c:v>0.92014750486771535</c:v>
                </c:pt>
                <c:pt idx="104" formatCode="0.0000">
                  <c:v>0.96317706450748131</c:v>
                </c:pt>
                <c:pt idx="105" formatCode="0.0000">
                  <c:v>0.91887929596391782</c:v>
                </c:pt>
                <c:pt idx="106" formatCode="0.0000">
                  <c:v>0.97802161367951768</c:v>
                </c:pt>
                <c:pt idx="107" formatCode="0.0000">
                  <c:v>0.81818884686946269</c:v>
                </c:pt>
                <c:pt idx="108" formatCode="0.0000">
                  <c:v>0.82894290976699991</c:v>
                </c:pt>
                <c:pt idx="109" formatCode="0.0000">
                  <c:v>0.70505996966130202</c:v>
                </c:pt>
                <c:pt idx="110" formatCode="0.0000">
                  <c:v>0.66856226962992149</c:v>
                </c:pt>
                <c:pt idx="111" formatCode="0.0000">
                  <c:v>0.74963419733350867</c:v>
                </c:pt>
                <c:pt idx="112" formatCode="0.0000">
                  <c:v>0.9758967368616932</c:v>
                </c:pt>
                <c:pt idx="113" formatCode="0.0000">
                  <c:v>1.0280016982413247</c:v>
                </c:pt>
                <c:pt idx="114" formatCode="0.0000">
                  <c:v>1.0273323204070823</c:v>
                </c:pt>
                <c:pt idx="115" formatCode="0.0000">
                  <c:v>1.2631112348567866</c:v>
                </c:pt>
                <c:pt idx="116" formatCode="0.0000">
                  <c:v>1.5744956850181988</c:v>
                </c:pt>
                <c:pt idx="117" formatCode="0.0000">
                  <c:v>1.51103977049373</c:v>
                </c:pt>
                <c:pt idx="118" formatCode="0.0000">
                  <c:v>1.5219910734529087</c:v>
                </c:pt>
                <c:pt idx="119" formatCode="0.0000">
                  <c:v>1.4086283908544301</c:v>
                </c:pt>
                <c:pt idx="120" formatCode="0.0000">
                  <c:v>1.9611224644596186</c:v>
                </c:pt>
                <c:pt idx="121" formatCode="0.0000">
                  <c:v>1.996496997268018</c:v>
                </c:pt>
                <c:pt idx="122" formatCode="0.0000">
                  <c:v>1.8515063909227027</c:v>
                </c:pt>
                <c:pt idx="123" formatCode="0.0000">
                  <c:v>1.6923624261902754</c:v>
                </c:pt>
                <c:pt idx="124" formatCode="0.0000">
                  <c:v>1.8111266549811145</c:v>
                </c:pt>
                <c:pt idx="125" formatCode="0.0000">
                  <c:v>1.6080716606683456</c:v>
                </c:pt>
                <c:pt idx="126" formatCode="0.0000">
                  <c:v>1.7503937735392194</c:v>
                </c:pt>
                <c:pt idx="127" formatCode="0.0000">
                  <c:v>1.1212497359658353</c:v>
                </c:pt>
                <c:pt idx="128" formatCode="0.0000">
                  <c:v>1.1107655713457594</c:v>
                </c:pt>
                <c:pt idx="129" formatCode="0.0000">
                  <c:v>0.97888275464464236</c:v>
                </c:pt>
                <c:pt idx="130" formatCode="0.0000">
                  <c:v>0.93068056454459325</c:v>
                </c:pt>
                <c:pt idx="131" formatCode="0.0000">
                  <c:v>1.1889992762384496</c:v>
                </c:pt>
                <c:pt idx="132" formatCode="0.0000">
                  <c:v>1.2250793927686439</c:v>
                </c:pt>
                <c:pt idx="133" formatCode="0.0000">
                  <c:v>1.0905196180299783</c:v>
                </c:pt>
                <c:pt idx="134" formatCode="0.0000">
                  <c:v>1.0757798490707631</c:v>
                </c:pt>
                <c:pt idx="135" formatCode="0.0000">
                  <c:v>1.0419353942022036</c:v>
                </c:pt>
                <c:pt idx="136" formatCode="0.0000">
                  <c:v>1.157707300871343</c:v>
                </c:pt>
                <c:pt idx="137" formatCode="0.0000">
                  <c:v>1.0098728419759584</c:v>
                </c:pt>
                <c:pt idx="138" formatCode="0.0000">
                  <c:v>0.70972798392948777</c:v>
                </c:pt>
                <c:pt idx="139" formatCode="0.0000">
                  <c:v>0.79709341855000326</c:v>
                </c:pt>
                <c:pt idx="140" formatCode="0.0000">
                  <c:v>0.71273359001645764</c:v>
                </c:pt>
                <c:pt idx="141" formatCode="0.0000">
                  <c:v>0.74634511603826936</c:v>
                </c:pt>
                <c:pt idx="142" formatCode="0.0000">
                  <c:v>0.74474360294858521</c:v>
                </c:pt>
                <c:pt idx="143" formatCode="0.0000">
                  <c:v>0.62876752064554187</c:v>
                </c:pt>
                <c:pt idx="144" formatCode="0.0000">
                  <c:v>0.78239725961624551</c:v>
                </c:pt>
                <c:pt idx="145" formatCode="0.0000">
                  <c:v>0.82154576925234146</c:v>
                </c:pt>
                <c:pt idx="146" formatCode="0.0000">
                  <c:v>0.73311620611832562</c:v>
                </c:pt>
                <c:pt idx="147" formatCode="0.0000">
                  <c:v>0.89632663385691314</c:v>
                </c:pt>
                <c:pt idx="148" formatCode="0.0000">
                  <c:v>0.86745189867600525</c:v>
                </c:pt>
                <c:pt idx="149" formatCode="0.0000">
                  <c:v>0.94730462475919663</c:v>
                </c:pt>
                <c:pt idx="150" formatCode="0.0000">
                  <c:v>1.2098825032747162</c:v>
                </c:pt>
                <c:pt idx="151" formatCode="0.0000">
                  <c:v>1.2018001886945426</c:v>
                </c:pt>
                <c:pt idx="152" formatCode="0.0000">
                  <c:v>1.3987962851049782</c:v>
                </c:pt>
                <c:pt idx="153" formatCode="0.0000">
                  <c:v>1.7085014892135126</c:v>
                </c:pt>
                <c:pt idx="154" formatCode="0.0000">
                  <c:v>1.7343393065734058</c:v>
                </c:pt>
                <c:pt idx="155" formatCode="0.0000">
                  <c:v>1.9228502068853823</c:v>
                </c:pt>
                <c:pt idx="156" formatCode="0.0000">
                  <c:v>1.9850567926187934</c:v>
                </c:pt>
                <c:pt idx="157" formatCode="0.0000">
                  <c:v>1.7581829722944697</c:v>
                </c:pt>
                <c:pt idx="158" formatCode="0.0000">
                  <c:v>1.7008487702660795</c:v>
                </c:pt>
                <c:pt idx="159" formatCode="0.0000">
                  <c:v>1.5248106174736218</c:v>
                </c:pt>
                <c:pt idx="160" formatCode="0.0000">
                  <c:v>1.301046077099647</c:v>
                </c:pt>
                <c:pt idx="161" formatCode="0.0000">
                  <c:v>1.0981624095534965</c:v>
                </c:pt>
                <c:pt idx="162" formatCode="0.0000">
                  <c:v>0.9326165627726235</c:v>
                </c:pt>
                <c:pt idx="163" formatCode="0.0000">
                  <c:v>0.85802599859914963</c:v>
                </c:pt>
                <c:pt idx="164" formatCode="0.0000">
                  <c:v>0.86644566628510999</c:v>
                </c:pt>
                <c:pt idx="165" formatCode="0.0000">
                  <c:v>0.90652064510229979</c:v>
                </c:pt>
                <c:pt idx="166" formatCode="0.0000">
                  <c:v>0.88766248530811609</c:v>
                </c:pt>
                <c:pt idx="167" formatCode="0.0000">
                  <c:v>0.81592822006702814</c:v>
                </c:pt>
                <c:pt idx="168" formatCode="0.0000">
                  <c:v>0.84588106089525283</c:v>
                </c:pt>
                <c:pt idx="169" formatCode="0.0000">
                  <c:v>0.87409782035392403</c:v>
                </c:pt>
                <c:pt idx="170" formatCode="0.0000">
                  <c:v>0.97037118991079419</c:v>
                </c:pt>
                <c:pt idx="171" formatCode="0.0000">
                  <c:v>1.0665556010790207</c:v>
                </c:pt>
                <c:pt idx="172" formatCode="0.0000">
                  <c:v>1.1054716512621556</c:v>
                </c:pt>
                <c:pt idx="173" formatCode="0.0000">
                  <c:v>1.0840431772205215</c:v>
                </c:pt>
                <c:pt idx="174" formatCode="0.0000">
                  <c:v>1.1352503241125838</c:v>
                </c:pt>
                <c:pt idx="175" formatCode="0.0000">
                  <c:v>1.0961422466244217</c:v>
                </c:pt>
                <c:pt idx="176" formatCode="0.0000">
                  <c:v>1.2219828423423706</c:v>
                </c:pt>
                <c:pt idx="177" formatCode="0.0000">
                  <c:v>1.2068652095065933</c:v>
                </c:pt>
                <c:pt idx="178" formatCode="0.0000">
                  <c:v>1.2039949012023314</c:v>
                </c:pt>
                <c:pt idx="179" formatCode="0.0000">
                  <c:v>1.2000715074691801</c:v>
                </c:pt>
                <c:pt idx="180" formatCode="0.0000">
                  <c:v>1.2251234878582302</c:v>
                </c:pt>
                <c:pt idx="181" formatCode="0.0000">
                  <c:v>1.1542165856232292</c:v>
                </c:pt>
                <c:pt idx="182" formatCode="0.0000">
                  <c:v>1.1396432659404747</c:v>
                </c:pt>
                <c:pt idx="183" formatCode="0.0000">
                  <c:v>1.0141755429291011</c:v>
                </c:pt>
                <c:pt idx="184" formatCode="0.0000">
                  <c:v>0.90815300029477186</c:v>
                </c:pt>
                <c:pt idx="185" formatCode="0.0000">
                  <c:v>0.9328506315859969</c:v>
                </c:pt>
                <c:pt idx="186" formatCode="0.0000">
                  <c:v>0.86541219594681007</c:v>
                </c:pt>
                <c:pt idx="187" formatCode="0.0000">
                  <c:v>0.81081875071419163</c:v>
                </c:pt>
                <c:pt idx="188" formatCode="0.0000">
                  <c:v>0.80223000619787066</c:v>
                </c:pt>
                <c:pt idx="189" formatCode="0.0000">
                  <c:v>0.82034106281805941</c:v>
                </c:pt>
                <c:pt idx="190" formatCode="0.0000">
                  <c:v>0.77526950105308023</c:v>
                </c:pt>
                <c:pt idx="191" formatCode="0.0000">
                  <c:v>0.89203424489030247</c:v>
                </c:pt>
                <c:pt idx="192" formatCode="0.0000">
                  <c:v>0.82187348781468506</c:v>
                </c:pt>
                <c:pt idx="193" formatCode="0.0000">
                  <c:v>0.82553947276849027</c:v>
                </c:pt>
                <c:pt idx="194" formatCode="0.0000">
                  <c:v>0.94756109179763259</c:v>
                </c:pt>
                <c:pt idx="195" formatCode="0.0000">
                  <c:v>0.95632357446881677</c:v>
                </c:pt>
                <c:pt idx="196" formatCode="0.0000">
                  <c:v>0.95264995591551993</c:v>
                </c:pt>
                <c:pt idx="197" formatCode="0.0000">
                  <c:v>0.93332029761941526</c:v>
                </c:pt>
                <c:pt idx="198" formatCode="0.0000">
                  <c:v>0.94642502777728432</c:v>
                </c:pt>
                <c:pt idx="199" formatCode="0.0000">
                  <c:v>1.0120834907365706</c:v>
                </c:pt>
                <c:pt idx="200" formatCode="0.0000">
                  <c:v>1.135276210197969</c:v>
                </c:pt>
                <c:pt idx="201" formatCode="0.0000">
                  <c:v>1.2384548114054823</c:v>
                </c:pt>
                <c:pt idx="202" formatCode="0.0000">
                  <c:v>1.2893752682211381</c:v>
                </c:pt>
                <c:pt idx="203" formatCode="0.0000">
                  <c:v>1.2889515509527214</c:v>
                </c:pt>
                <c:pt idx="204" formatCode="0.0000">
                  <c:v>1.4071260008359201</c:v>
                </c:pt>
                <c:pt idx="205" formatCode="0.0000">
                  <c:v>1.352753165764113</c:v>
                </c:pt>
                <c:pt idx="206" formatCode="0.0000">
                  <c:v>1.3094145762924756</c:v>
                </c:pt>
                <c:pt idx="207" formatCode="0.0000">
                  <c:v>1.3968566843674191</c:v>
                </c:pt>
                <c:pt idx="208" formatCode="0.0000">
                  <c:v>1.2678944600376774</c:v>
                </c:pt>
                <c:pt idx="209" formatCode="0.0000">
                  <c:v>1.4917183706718349</c:v>
                </c:pt>
                <c:pt idx="210" formatCode="0.0000">
                  <c:v>1.5260714402377864</c:v>
                </c:pt>
                <c:pt idx="211" formatCode="0.0000">
                  <c:v>1.5495785581441628</c:v>
                </c:pt>
                <c:pt idx="212" formatCode="0.0000">
                  <c:v>1.5947950672403308</c:v>
                </c:pt>
                <c:pt idx="213" formatCode="0.0000">
                  <c:v>1.6573370488215373</c:v>
                </c:pt>
                <c:pt idx="214" formatCode="0.0000">
                  <c:v>1.5626476693037368</c:v>
                </c:pt>
                <c:pt idx="215" formatCode="0.0000">
                  <c:v>1.557451342971135</c:v>
                </c:pt>
                <c:pt idx="216" formatCode="0.0000">
                  <c:v>1.4010533387724935</c:v>
                </c:pt>
                <c:pt idx="217" formatCode="0.0000">
                  <c:v>1.3887741796970408</c:v>
                </c:pt>
                <c:pt idx="218" formatCode="0.0000">
                  <c:v>1.4279574485853161</c:v>
                </c:pt>
                <c:pt idx="219" formatCode="0.0000">
                  <c:v>1.6508211302980154</c:v>
                </c:pt>
                <c:pt idx="220" formatCode="0.0000">
                  <c:v>1.7071870369280313</c:v>
                </c:pt>
                <c:pt idx="221" formatCode="0.0000">
                  <c:v>1.667992350676613</c:v>
                </c:pt>
                <c:pt idx="222" formatCode="0.0000">
                  <c:v>1.7080291695553307</c:v>
                </c:pt>
                <c:pt idx="223" formatCode="0.0000">
                  <c:v>1.8054497705039663</c:v>
                </c:pt>
                <c:pt idx="224" formatCode="0.0000">
                  <c:v>1.8574116656233461</c:v>
                </c:pt>
                <c:pt idx="225" formatCode="0.0000">
                  <c:v>1.8466407608778626</c:v>
                </c:pt>
                <c:pt idx="226" formatCode="0.0000">
                  <c:v>1.736478045062315</c:v>
                </c:pt>
                <c:pt idx="227" formatCode="0.0000">
                  <c:v>1.6404590547681845</c:v>
                </c:pt>
                <c:pt idx="228" formatCode="0.0000">
                  <c:v>1.7708741297670945</c:v>
                </c:pt>
                <c:pt idx="229" formatCode="0.0000">
                  <c:v>1.7558866813391398</c:v>
                </c:pt>
                <c:pt idx="230" formatCode="0.0000">
                  <c:v>1.5888701223058626</c:v>
                </c:pt>
                <c:pt idx="231" formatCode="0.0000">
                  <c:v>1.7515274002809249</c:v>
                </c:pt>
                <c:pt idx="232" formatCode="0.0000">
                  <c:v>1.6920812996095644</c:v>
                </c:pt>
                <c:pt idx="233" formatCode="0.0000">
                  <c:v>1.6779918080089644</c:v>
                </c:pt>
                <c:pt idx="234" formatCode="0.0000">
                  <c:v>1.6674375329595907</c:v>
                </c:pt>
                <c:pt idx="235" formatCode="0.0000">
                  <c:v>1.5816973950129369</c:v>
                </c:pt>
                <c:pt idx="236" formatCode="0.0000">
                  <c:v>1.5195650844107715</c:v>
                </c:pt>
                <c:pt idx="237" formatCode="0.0000">
                  <c:v>1.4835372279861454</c:v>
                </c:pt>
                <c:pt idx="238" formatCode="0.0000">
                  <c:v>1.437290640024264</c:v>
                </c:pt>
                <c:pt idx="239" formatCode="0.0000">
                  <c:v>1.7038460516377565</c:v>
                </c:pt>
                <c:pt idx="240" formatCode="0.0000">
                  <c:v>1.6777157680412109</c:v>
                </c:pt>
                <c:pt idx="241" formatCode="0.0000">
                  <c:v>1.7930934991208571</c:v>
                </c:pt>
                <c:pt idx="242" formatCode="0.0000">
                  <c:v>1.7344362808717979</c:v>
                </c:pt>
                <c:pt idx="243" formatCode="0.0000">
                  <c:v>1.6688161168065652</c:v>
                </c:pt>
                <c:pt idx="244" formatCode="0.0000">
                  <c:v>1.7064257695741483</c:v>
                </c:pt>
                <c:pt idx="245" formatCode="0.0000">
                  <c:v>1.6287584014000387</c:v>
                </c:pt>
                <c:pt idx="246" formatCode="0.0000">
                  <c:v>1.5331095537660038</c:v>
                </c:pt>
                <c:pt idx="247" formatCode="0.0000">
                  <c:v>1.5052634626679369</c:v>
                </c:pt>
                <c:pt idx="248" formatCode="0.0000">
                  <c:v>1.3262812145973604</c:v>
                </c:pt>
                <c:pt idx="249" formatCode="0.0000">
                  <c:v>1.283052186945574</c:v>
                </c:pt>
                <c:pt idx="250" formatCode="0.0000">
                  <c:v>1.3312015683269138</c:v>
                </c:pt>
                <c:pt idx="251" formatCode="0.0000">
                  <c:v>1.3496058396118689</c:v>
                </c:pt>
                <c:pt idx="252" formatCode="0.0000">
                  <c:v>1.4109485372271207</c:v>
                </c:pt>
                <c:pt idx="253" formatCode="0.0000">
                  <c:v>1.251394919355133</c:v>
                </c:pt>
                <c:pt idx="254" formatCode="0.0000">
                  <c:v>1.0979429252190027</c:v>
                </c:pt>
                <c:pt idx="255" formatCode="0.0000">
                  <c:v>1.1331367247686781</c:v>
                </c:pt>
                <c:pt idx="256" formatCode="0.0000">
                  <c:v>1.1310224628396353</c:v>
                </c:pt>
                <c:pt idx="257" formatCode="0.0000">
                  <c:v>1.1341118420157408</c:v>
                </c:pt>
                <c:pt idx="258" formatCode="0.0000">
                  <c:v>1.1426409690963291</c:v>
                </c:pt>
                <c:pt idx="259" formatCode="0.0000">
                  <c:v>0.97401271586140148</c:v>
                </c:pt>
                <c:pt idx="260" formatCode="0.0000">
                  <c:v>0.86288880560786985</c:v>
                </c:pt>
                <c:pt idx="261" formatCode="0.0000">
                  <c:v>0.87716487942153465</c:v>
                </c:pt>
                <c:pt idx="262" formatCode="0.0000">
                  <c:v>0.8597730911037168</c:v>
                </c:pt>
                <c:pt idx="263" formatCode="0.0000">
                  <c:v>0.86980093410006487</c:v>
                </c:pt>
                <c:pt idx="264" formatCode="0.0000">
                  <c:v>0.88247656412411024</c:v>
                </c:pt>
                <c:pt idx="265" formatCode="0.0000">
                  <c:v>0.86792848793619837</c:v>
                </c:pt>
                <c:pt idx="266" formatCode="0.0000">
                  <c:v>0.82460053973885061</c:v>
                </c:pt>
                <c:pt idx="267" formatCode="0.0000">
                  <c:v>0.85717669369200145</c:v>
                </c:pt>
                <c:pt idx="268" formatCode="0.0000">
                  <c:v>0.8429764042084914</c:v>
                </c:pt>
                <c:pt idx="269" formatCode="0.0000">
                  <c:v>0.8550373432466164</c:v>
                </c:pt>
                <c:pt idx="270" formatCode="0.0000">
                  <c:v>0.82294515709400784</c:v>
                </c:pt>
                <c:pt idx="271" formatCode="0.0000">
                  <c:v>0.81153038122627641</c:v>
                </c:pt>
                <c:pt idx="272" formatCode="0.0000">
                  <c:v>0.73050004435298299</c:v>
                </c:pt>
                <c:pt idx="273" formatCode="0.0000">
                  <c:v>0.75857083826366123</c:v>
                </c:pt>
                <c:pt idx="274" formatCode="0.0000">
                  <c:v>0.80316976326270606</c:v>
                </c:pt>
                <c:pt idx="275" formatCode="0.0000">
                  <c:v>0.84044667953895025</c:v>
                </c:pt>
                <c:pt idx="276" formatCode="0.0000">
                  <c:v>0.80640151787823133</c:v>
                </c:pt>
                <c:pt idx="277" formatCode="0.0000">
                  <c:v>0.78469640592455037</c:v>
                </c:pt>
                <c:pt idx="278" formatCode="0.0000">
                  <c:v>0.76915843184395249</c:v>
                </c:pt>
                <c:pt idx="279" formatCode="0.0000">
                  <c:v>0.76974078564474269</c:v>
                </c:pt>
                <c:pt idx="280" formatCode="0.0000">
                  <c:v>0.76461016353876787</c:v>
                </c:pt>
                <c:pt idx="281" formatCode="0.0000">
                  <c:v>0.76212928608128294</c:v>
                </c:pt>
                <c:pt idx="282" formatCode="0.0000">
                  <c:v>0.79853241533748687</c:v>
                </c:pt>
                <c:pt idx="283" formatCode="0.0000">
                  <c:v>0.8321630185020652</c:v>
                </c:pt>
                <c:pt idx="284" formatCode="0.0000">
                  <c:v>0.83588736502591376</c:v>
                </c:pt>
                <c:pt idx="285" formatCode="0.0000">
                  <c:v>0.86030568556153231</c:v>
                </c:pt>
                <c:pt idx="286" formatCode="0.0000">
                  <c:v>0.86348025262136829</c:v>
                </c:pt>
                <c:pt idx="287" formatCode="0.0000">
                  <c:v>0.88131194615879083</c:v>
                </c:pt>
                <c:pt idx="288" formatCode="0.0000">
                  <c:v>0.92324907388999233</c:v>
                </c:pt>
                <c:pt idx="289" formatCode="0.0000">
                  <c:v>0.92617341108911133</c:v>
                </c:pt>
                <c:pt idx="290" formatCode="0.0000">
                  <c:v>0.907743587961509</c:v>
                </c:pt>
                <c:pt idx="291" formatCode="0.0000">
                  <c:v>0.94061001531354194</c:v>
                </c:pt>
                <c:pt idx="292" formatCode="0.0000">
                  <c:v>0.95227534049400719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CE3-4167-BF64-952E766A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8400651"/>
        <c:axId val="1696710840"/>
      </c:lineChart>
      <c:lineChart>
        <c:grouping val="standard"/>
        <c:varyColors val="0"/>
        <c:ser>
          <c:idx val="1"/>
          <c:order val="1"/>
          <c:tx>
            <c:strRef>
              <c:f>'R(t) Województwa'!$CZ$2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Województwa'!$CZ$3:$CZ$1000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0.14285714285714285</c:v>
                </c:pt>
                <c:pt idx="7">
                  <c:v>0.14285714285714285</c:v>
                </c:pt>
                <c:pt idx="8">
                  <c:v>0.2857142857142857</c:v>
                </c:pt>
                <c:pt idx="9">
                  <c:v>0.7142857142857143</c:v>
                </c:pt>
                <c:pt idx="10">
                  <c:v>0.8571428571428571</c:v>
                </c:pt>
                <c:pt idx="11">
                  <c:v>1</c:v>
                </c:pt>
                <c:pt idx="12">
                  <c:v>1</c:v>
                </c:pt>
                <c:pt idx="13">
                  <c:v>1.4285714285714286</c:v>
                </c:pt>
                <c:pt idx="14">
                  <c:v>1.7142857142857142</c:v>
                </c:pt>
                <c:pt idx="15">
                  <c:v>1.5714285714285714</c:v>
                </c:pt>
                <c:pt idx="16">
                  <c:v>1.4285714285714286</c:v>
                </c:pt>
                <c:pt idx="17">
                  <c:v>1.7142857142857142</c:v>
                </c:pt>
                <c:pt idx="18">
                  <c:v>3.4285714285714284</c:v>
                </c:pt>
                <c:pt idx="19">
                  <c:v>4.2857142857142856</c:v>
                </c:pt>
                <c:pt idx="20">
                  <c:v>4.2857142857142856</c:v>
                </c:pt>
                <c:pt idx="21">
                  <c:v>4.1428571428571432</c:v>
                </c:pt>
                <c:pt idx="22">
                  <c:v>6.2857142857142856</c:v>
                </c:pt>
                <c:pt idx="23">
                  <c:v>7.7142857142857144</c:v>
                </c:pt>
                <c:pt idx="24">
                  <c:v>10.285714285714286</c:v>
                </c:pt>
                <c:pt idx="25">
                  <c:v>9.7142857142857135</c:v>
                </c:pt>
                <c:pt idx="26">
                  <c:v>10.142857142857142</c:v>
                </c:pt>
                <c:pt idx="27">
                  <c:v>13</c:v>
                </c:pt>
                <c:pt idx="28">
                  <c:v>15.142857142857142</c:v>
                </c:pt>
                <c:pt idx="29">
                  <c:v>16</c:v>
                </c:pt>
                <c:pt idx="30">
                  <c:v>18</c:v>
                </c:pt>
                <c:pt idx="31">
                  <c:v>17.571428571428573</c:v>
                </c:pt>
                <c:pt idx="32">
                  <c:v>19.142857142857142</c:v>
                </c:pt>
                <c:pt idx="33">
                  <c:v>23.571428571428573</c:v>
                </c:pt>
                <c:pt idx="34">
                  <c:v>27.857142857142858</c:v>
                </c:pt>
                <c:pt idx="35">
                  <c:v>28.714285714285715</c:v>
                </c:pt>
                <c:pt idx="36">
                  <c:v>32.142857142857146</c:v>
                </c:pt>
                <c:pt idx="37">
                  <c:v>33.714285714285715</c:v>
                </c:pt>
                <c:pt idx="38">
                  <c:v>37.714285714285715</c:v>
                </c:pt>
                <c:pt idx="39">
                  <c:v>43.142857142857146</c:v>
                </c:pt>
                <c:pt idx="40">
                  <c:v>41.571428571428569</c:v>
                </c:pt>
                <c:pt idx="41">
                  <c:v>46</c:v>
                </c:pt>
                <c:pt idx="42">
                  <c:v>47.714285714285715</c:v>
                </c:pt>
                <c:pt idx="43">
                  <c:v>55.857142857142854</c:v>
                </c:pt>
                <c:pt idx="44">
                  <c:v>56.857142857142854</c:v>
                </c:pt>
                <c:pt idx="45">
                  <c:v>57.571428571428569</c:v>
                </c:pt>
                <c:pt idx="46">
                  <c:v>51.857142857142854</c:v>
                </c:pt>
                <c:pt idx="47">
                  <c:v>65.142857142857139</c:v>
                </c:pt>
                <c:pt idx="48">
                  <c:v>57.285714285714285</c:v>
                </c:pt>
                <c:pt idx="49">
                  <c:v>56.857142857142854</c:v>
                </c:pt>
                <c:pt idx="50">
                  <c:v>44.857142857142854</c:v>
                </c:pt>
                <c:pt idx="51">
                  <c:v>48.142857142857146</c:v>
                </c:pt>
                <c:pt idx="52">
                  <c:v>50.857142857142854</c:v>
                </c:pt>
                <c:pt idx="53">
                  <c:v>52.571428571428569</c:v>
                </c:pt>
                <c:pt idx="54">
                  <c:v>41</c:v>
                </c:pt>
                <c:pt idx="55">
                  <c:v>41.857142857142854</c:v>
                </c:pt>
                <c:pt idx="56">
                  <c:v>42.142857142857146</c:v>
                </c:pt>
                <c:pt idx="57">
                  <c:v>45.142857142857146</c:v>
                </c:pt>
                <c:pt idx="58">
                  <c:v>39.285714285714285</c:v>
                </c:pt>
                <c:pt idx="59">
                  <c:v>29.571428571428573</c:v>
                </c:pt>
                <c:pt idx="60">
                  <c:v>32.571428571428569</c:v>
                </c:pt>
                <c:pt idx="61">
                  <c:v>30.142857142857142</c:v>
                </c:pt>
                <c:pt idx="62">
                  <c:v>26.571428571428573</c:v>
                </c:pt>
                <c:pt idx="63">
                  <c:v>31.714285714285715</c:v>
                </c:pt>
                <c:pt idx="64">
                  <c:v>28.714285714285715</c:v>
                </c:pt>
                <c:pt idx="65">
                  <c:v>28.428571428571427</c:v>
                </c:pt>
                <c:pt idx="66">
                  <c:v>30.285714285714285</c:v>
                </c:pt>
                <c:pt idx="67">
                  <c:v>25.142857142857142</c:v>
                </c:pt>
                <c:pt idx="68">
                  <c:v>22</c:v>
                </c:pt>
                <c:pt idx="69">
                  <c:v>24.285714285714285</c:v>
                </c:pt>
                <c:pt idx="70">
                  <c:v>16</c:v>
                </c:pt>
                <c:pt idx="71">
                  <c:v>15.142857142857142</c:v>
                </c:pt>
                <c:pt idx="72">
                  <c:v>13.571428571428571</c:v>
                </c:pt>
                <c:pt idx="73">
                  <c:v>13.857142857142858</c:v>
                </c:pt>
                <c:pt idx="74">
                  <c:v>12.428571428571429</c:v>
                </c:pt>
                <c:pt idx="75">
                  <c:v>17.857142857142858</c:v>
                </c:pt>
                <c:pt idx="76">
                  <c:v>15.857142857142858</c:v>
                </c:pt>
                <c:pt idx="77">
                  <c:v>15</c:v>
                </c:pt>
                <c:pt idx="78">
                  <c:v>25.285714285714285</c:v>
                </c:pt>
                <c:pt idx="79">
                  <c:v>27.142857142857142</c:v>
                </c:pt>
                <c:pt idx="80">
                  <c:v>27</c:v>
                </c:pt>
                <c:pt idx="81">
                  <c:v>28</c:v>
                </c:pt>
                <c:pt idx="82">
                  <c:v>32</c:v>
                </c:pt>
                <c:pt idx="83">
                  <c:v>32.857142857142854</c:v>
                </c:pt>
                <c:pt idx="84">
                  <c:v>34.857142857142854</c:v>
                </c:pt>
                <c:pt idx="85">
                  <c:v>31.285714285714285</c:v>
                </c:pt>
                <c:pt idx="86">
                  <c:v>29.714285714285715</c:v>
                </c:pt>
                <c:pt idx="87">
                  <c:v>29.285714285714285</c:v>
                </c:pt>
                <c:pt idx="88">
                  <c:v>27.714285714285715</c:v>
                </c:pt>
                <c:pt idx="89">
                  <c:v>18.428571428571427</c:v>
                </c:pt>
                <c:pt idx="90">
                  <c:v>16.428571428571427</c:v>
                </c:pt>
                <c:pt idx="91">
                  <c:v>18.428571428571427</c:v>
                </c:pt>
                <c:pt idx="92">
                  <c:v>12.571428571428571</c:v>
                </c:pt>
                <c:pt idx="93">
                  <c:v>11.857142857142858</c:v>
                </c:pt>
                <c:pt idx="94">
                  <c:v>10.428571428571429</c:v>
                </c:pt>
                <c:pt idx="95">
                  <c:v>16</c:v>
                </c:pt>
                <c:pt idx="96">
                  <c:v>17.571428571428573</c:v>
                </c:pt>
                <c:pt idx="97">
                  <c:v>18.714285714285715</c:v>
                </c:pt>
                <c:pt idx="98">
                  <c:v>16</c:v>
                </c:pt>
                <c:pt idx="99">
                  <c:v>14.285714285714286</c:v>
                </c:pt>
                <c:pt idx="100">
                  <c:v>16.714285714285715</c:v>
                </c:pt>
                <c:pt idx="101">
                  <c:v>18</c:v>
                </c:pt>
                <c:pt idx="102">
                  <c:v>15.714285714285714</c:v>
                </c:pt>
                <c:pt idx="103">
                  <c:v>15.714285714285714</c:v>
                </c:pt>
                <c:pt idx="104">
                  <c:v>16.285714285714285</c:v>
                </c:pt>
                <c:pt idx="105">
                  <c:v>15.428571428571429</c:v>
                </c:pt>
                <c:pt idx="106">
                  <c:v>16.285714285714285</c:v>
                </c:pt>
                <c:pt idx="107">
                  <c:v>13.714285714285714</c:v>
                </c:pt>
                <c:pt idx="108">
                  <c:v>13.571428571428571</c:v>
                </c:pt>
                <c:pt idx="109">
                  <c:v>11.285714285714286</c:v>
                </c:pt>
                <c:pt idx="110">
                  <c:v>10.285714285714286</c:v>
                </c:pt>
                <c:pt idx="111">
                  <c:v>10.571428571428571</c:v>
                </c:pt>
                <c:pt idx="112">
                  <c:v>13.285714285714286</c:v>
                </c:pt>
                <c:pt idx="113">
                  <c:v>14</c:v>
                </c:pt>
                <c:pt idx="114">
                  <c:v>14</c:v>
                </c:pt>
                <c:pt idx="115">
                  <c:v>17.428571428571427</c:v>
                </c:pt>
                <c:pt idx="116">
                  <c:v>23.142857142857142</c:v>
                </c:pt>
                <c:pt idx="117">
                  <c:v>22.428571428571427</c:v>
                </c:pt>
                <c:pt idx="118">
                  <c:v>24.142857142857142</c:v>
                </c:pt>
                <c:pt idx="119">
                  <c:v>24</c:v>
                </c:pt>
                <c:pt idx="120">
                  <c:v>36.857142857142854</c:v>
                </c:pt>
                <c:pt idx="121">
                  <c:v>39.571428571428569</c:v>
                </c:pt>
                <c:pt idx="122">
                  <c:v>41.142857142857146</c:v>
                </c:pt>
                <c:pt idx="123">
                  <c:v>42.428571428571431</c:v>
                </c:pt>
                <c:pt idx="124">
                  <c:v>47.142857142857146</c:v>
                </c:pt>
                <c:pt idx="125">
                  <c:v>43.857142857142854</c:v>
                </c:pt>
                <c:pt idx="126">
                  <c:v>50.857142857142854</c:v>
                </c:pt>
                <c:pt idx="127">
                  <c:v>38.857142857142854</c:v>
                </c:pt>
                <c:pt idx="128">
                  <c:v>38.857142857142854</c:v>
                </c:pt>
                <c:pt idx="129">
                  <c:v>34.714285714285715</c:v>
                </c:pt>
                <c:pt idx="130">
                  <c:v>32.714285714285715</c:v>
                </c:pt>
                <c:pt idx="131">
                  <c:v>41.142857142857146</c:v>
                </c:pt>
                <c:pt idx="132">
                  <c:v>42.857142857142854</c:v>
                </c:pt>
                <c:pt idx="133">
                  <c:v>39.571428571428569</c:v>
                </c:pt>
                <c:pt idx="134">
                  <c:v>39.142857142857146</c:v>
                </c:pt>
                <c:pt idx="135">
                  <c:v>38</c:v>
                </c:pt>
                <c:pt idx="136">
                  <c:v>42.142857142857146</c:v>
                </c:pt>
                <c:pt idx="137">
                  <c:v>37.428571428571431</c:v>
                </c:pt>
                <c:pt idx="138">
                  <c:v>27</c:v>
                </c:pt>
                <c:pt idx="139">
                  <c:v>29</c:v>
                </c:pt>
                <c:pt idx="140">
                  <c:v>24.857142857142858</c:v>
                </c:pt>
                <c:pt idx="141">
                  <c:v>25.142857142857142</c:v>
                </c:pt>
                <c:pt idx="142">
                  <c:v>24.428571428571427</c:v>
                </c:pt>
                <c:pt idx="143">
                  <c:v>19.714285714285715</c:v>
                </c:pt>
                <c:pt idx="144">
                  <c:v>23.142857142857142</c:v>
                </c:pt>
                <c:pt idx="145">
                  <c:v>23.571428571428573</c:v>
                </c:pt>
                <c:pt idx="146">
                  <c:v>20.428571428571427</c:v>
                </c:pt>
                <c:pt idx="147">
                  <c:v>23.571428571428573</c:v>
                </c:pt>
                <c:pt idx="148">
                  <c:v>22.428571428571427</c:v>
                </c:pt>
                <c:pt idx="149">
                  <c:v>24.142857142857142</c:v>
                </c:pt>
                <c:pt idx="150">
                  <c:v>30.714285714285715</c:v>
                </c:pt>
                <c:pt idx="151">
                  <c:v>31.428571428571427</c:v>
                </c:pt>
                <c:pt idx="152">
                  <c:v>38.285714285714285</c:v>
                </c:pt>
                <c:pt idx="153">
                  <c:v>50.571428571428569</c:v>
                </c:pt>
                <c:pt idx="154">
                  <c:v>57.571428571428569</c:v>
                </c:pt>
                <c:pt idx="155">
                  <c:v>69.428571428571431</c:v>
                </c:pt>
                <c:pt idx="156">
                  <c:v>78.285714285714292</c:v>
                </c:pt>
                <c:pt idx="157">
                  <c:v>76.428571428571431</c:v>
                </c:pt>
                <c:pt idx="158">
                  <c:v>78.571428571428569</c:v>
                </c:pt>
                <c:pt idx="159">
                  <c:v>77.285714285714292</c:v>
                </c:pt>
                <c:pt idx="160">
                  <c:v>72.428571428571431</c:v>
                </c:pt>
                <c:pt idx="161">
                  <c:v>64.428571428571431</c:v>
                </c:pt>
                <c:pt idx="162">
                  <c:v>56.142857142857146</c:v>
                </c:pt>
                <c:pt idx="163">
                  <c:v>51.142857142857146</c:v>
                </c:pt>
                <c:pt idx="164">
                  <c:v>50.714285714285715</c:v>
                </c:pt>
                <c:pt idx="165">
                  <c:v>51.857142857142854</c:v>
                </c:pt>
                <c:pt idx="166">
                  <c:v>50</c:v>
                </c:pt>
                <c:pt idx="167">
                  <c:v>45.142857142857146</c:v>
                </c:pt>
                <c:pt idx="168">
                  <c:v>45.714285714285715</c:v>
                </c:pt>
                <c:pt idx="169">
                  <c:v>46.285714285714285</c:v>
                </c:pt>
                <c:pt idx="170">
                  <c:v>50</c:v>
                </c:pt>
                <c:pt idx="171">
                  <c:v>54.857142857142854</c:v>
                </c:pt>
                <c:pt idx="172">
                  <c:v>57.571428571428569</c:v>
                </c:pt>
                <c:pt idx="173">
                  <c:v>57</c:v>
                </c:pt>
                <c:pt idx="174">
                  <c:v>60.285714285714285</c:v>
                </c:pt>
                <c:pt idx="175">
                  <c:v>58.857142857142854</c:v>
                </c:pt>
                <c:pt idx="176">
                  <c:v>66.142857142857139</c:v>
                </c:pt>
                <c:pt idx="177">
                  <c:v>67.857142857142861</c:v>
                </c:pt>
                <c:pt idx="178">
                  <c:v>70</c:v>
                </c:pt>
                <c:pt idx="179">
                  <c:v>72.142857142857139</c:v>
                </c:pt>
                <c:pt idx="180">
                  <c:v>75.285714285714292</c:v>
                </c:pt>
                <c:pt idx="181">
                  <c:v>72</c:v>
                </c:pt>
                <c:pt idx="182">
                  <c:v>71.714285714285708</c:v>
                </c:pt>
                <c:pt idx="183">
                  <c:v>65.857142857142861</c:v>
                </c:pt>
                <c:pt idx="184">
                  <c:v>59.571428571428569</c:v>
                </c:pt>
                <c:pt idx="185">
                  <c:v>59.714285714285715</c:v>
                </c:pt>
                <c:pt idx="186">
                  <c:v>54.428571428571431</c:v>
                </c:pt>
                <c:pt idx="187">
                  <c:v>49.714285714285715</c:v>
                </c:pt>
                <c:pt idx="188">
                  <c:v>48.428571428571431</c:v>
                </c:pt>
                <c:pt idx="189">
                  <c:v>48.571428571428569</c:v>
                </c:pt>
                <c:pt idx="190">
                  <c:v>45</c:v>
                </c:pt>
                <c:pt idx="191">
                  <c:v>49</c:v>
                </c:pt>
                <c:pt idx="192">
                  <c:v>43.857142857142854</c:v>
                </c:pt>
                <c:pt idx="193">
                  <c:v>42.571428571428569</c:v>
                </c:pt>
                <c:pt idx="194">
                  <c:v>48</c:v>
                </c:pt>
                <c:pt idx="195">
                  <c:v>48.285714285714285</c:v>
                </c:pt>
                <c:pt idx="196">
                  <c:v>47.857142857142854</c:v>
                </c:pt>
                <c:pt idx="197">
                  <c:v>46.714285714285715</c:v>
                </c:pt>
                <c:pt idx="198">
                  <c:v>46.428571428571431</c:v>
                </c:pt>
                <c:pt idx="199">
                  <c:v>49</c:v>
                </c:pt>
                <c:pt idx="200">
                  <c:v>55.285714285714285</c:v>
                </c:pt>
                <c:pt idx="201">
                  <c:v>62.428571428571431</c:v>
                </c:pt>
                <c:pt idx="202">
                  <c:v>66.571428571428569</c:v>
                </c:pt>
                <c:pt idx="203">
                  <c:v>67.714285714285708</c:v>
                </c:pt>
                <c:pt idx="204">
                  <c:v>75.714285714285708</c:v>
                </c:pt>
                <c:pt idx="205">
                  <c:v>77.142857142857139</c:v>
                </c:pt>
                <c:pt idx="206">
                  <c:v>78.428571428571431</c:v>
                </c:pt>
                <c:pt idx="207">
                  <c:v>88.857142857142861</c:v>
                </c:pt>
                <c:pt idx="208">
                  <c:v>85.857142857142861</c:v>
                </c:pt>
                <c:pt idx="209">
                  <c:v>107</c:v>
                </c:pt>
                <c:pt idx="210">
                  <c:v>113.42857142857143</c:v>
                </c:pt>
                <c:pt idx="211">
                  <c:v>122.57142857142857</c:v>
                </c:pt>
                <c:pt idx="212">
                  <c:v>135.28571428571428</c:v>
                </c:pt>
                <c:pt idx="213">
                  <c:v>151.28571428571428</c:v>
                </c:pt>
                <c:pt idx="214">
                  <c:v>159.42857142857142</c:v>
                </c:pt>
                <c:pt idx="215">
                  <c:v>168.85714285714286</c:v>
                </c:pt>
                <c:pt idx="216">
                  <c:v>166</c:v>
                </c:pt>
                <c:pt idx="217">
                  <c:v>169.57142857142858</c:v>
                </c:pt>
                <c:pt idx="218">
                  <c:v>184.14285714285714</c:v>
                </c:pt>
                <c:pt idx="219">
                  <c:v>231.57142857142858</c:v>
                </c:pt>
                <c:pt idx="220">
                  <c:v>265.85714285714283</c:v>
                </c:pt>
                <c:pt idx="221">
                  <c:v>285.28571428571428</c:v>
                </c:pt>
                <c:pt idx="222">
                  <c:v>315.57142857142856</c:v>
                </c:pt>
                <c:pt idx="223">
                  <c:v>365.57142857142856</c:v>
                </c:pt>
                <c:pt idx="224">
                  <c:v>398.14285714285717</c:v>
                </c:pt>
                <c:pt idx="225">
                  <c:v>436.14285714285717</c:v>
                </c:pt>
                <c:pt idx="226">
                  <c:v>483.28571428571428</c:v>
                </c:pt>
                <c:pt idx="227">
                  <c:v>505.57142857142856</c:v>
                </c:pt>
                <c:pt idx="228">
                  <c:v>605.28571428571433</c:v>
                </c:pt>
                <c:pt idx="229">
                  <c:v>654.42857142857144</c:v>
                </c:pt>
                <c:pt idx="230">
                  <c:v>639.14285714285711</c:v>
                </c:pt>
                <c:pt idx="231">
                  <c:v>760.85714285714289</c:v>
                </c:pt>
                <c:pt idx="232">
                  <c:v>796.14285714285711</c:v>
                </c:pt>
                <c:pt idx="233">
                  <c:v>893.42857142857144</c:v>
                </c:pt>
                <c:pt idx="234">
                  <c:v>958.85714285714289</c:v>
                </c:pt>
                <c:pt idx="235">
                  <c:v>1018</c:v>
                </c:pt>
                <c:pt idx="236">
                  <c:v>1036.1428571428571</c:v>
                </c:pt>
                <c:pt idx="237">
                  <c:v>1041.1428571428571</c:v>
                </c:pt>
                <c:pt idx="238">
                  <c:v>1097</c:v>
                </c:pt>
                <c:pt idx="239">
                  <c:v>1401.2857142857142</c:v>
                </c:pt>
                <c:pt idx="240">
                  <c:v>1560.8571428571429</c:v>
                </c:pt>
                <c:pt idx="241">
                  <c:v>1851.1428571428571</c:v>
                </c:pt>
                <c:pt idx="242">
                  <c:v>1973.5714285714287</c:v>
                </c:pt>
                <c:pt idx="243">
                  <c:v>1972.4285714285713</c:v>
                </c:pt>
                <c:pt idx="244">
                  <c:v>2086.4285714285716</c:v>
                </c:pt>
                <c:pt idx="245">
                  <c:v>2163.1428571428573</c:v>
                </c:pt>
                <c:pt idx="246">
                  <c:v>2315.5714285714284</c:v>
                </c:pt>
                <c:pt idx="247">
                  <c:v>2494.8571428571427</c:v>
                </c:pt>
                <c:pt idx="248">
                  <c:v>2349.2857142857142</c:v>
                </c:pt>
                <c:pt idx="249">
                  <c:v>2366.7142857142858</c:v>
                </c:pt>
                <c:pt idx="250">
                  <c:v>2509.8571428571427</c:v>
                </c:pt>
                <c:pt idx="251">
                  <c:v>2613.7142857142858</c:v>
                </c:pt>
                <c:pt idx="252">
                  <c:v>2861.1428571428573</c:v>
                </c:pt>
                <c:pt idx="253">
                  <c:v>2736.7142857142858</c:v>
                </c:pt>
                <c:pt idx="254">
                  <c:v>2500.1428571428573</c:v>
                </c:pt>
                <c:pt idx="255">
                  <c:v>2614.8571428571427</c:v>
                </c:pt>
                <c:pt idx="256">
                  <c:v>2656.4285714285716</c:v>
                </c:pt>
                <c:pt idx="257">
                  <c:v>2699</c:v>
                </c:pt>
                <c:pt idx="258">
                  <c:v>2758.5714285714284</c:v>
                </c:pt>
                <c:pt idx="259">
                  <c:v>2419.8571428571427</c:v>
                </c:pt>
                <c:pt idx="260">
                  <c:v>2147.4285714285716</c:v>
                </c:pt>
                <c:pt idx="261">
                  <c:v>2136.1428571428573</c:v>
                </c:pt>
                <c:pt idx="262">
                  <c:v>2049.2857142857142</c:v>
                </c:pt>
                <c:pt idx="263">
                  <c:v>2018.2857142857142</c:v>
                </c:pt>
                <c:pt idx="264">
                  <c:v>2007.8571428571429</c:v>
                </c:pt>
                <c:pt idx="265">
                  <c:v>1936.2857142857142</c:v>
                </c:pt>
                <c:pt idx="266">
                  <c:v>1815.5714285714287</c:v>
                </c:pt>
                <c:pt idx="267">
                  <c:v>1850.7142857142858</c:v>
                </c:pt>
                <c:pt idx="268">
                  <c:v>1781.4285714285713</c:v>
                </c:pt>
                <c:pt idx="269">
                  <c:v>1754.8571428571429</c:v>
                </c:pt>
                <c:pt idx="270">
                  <c:v>1643.8571428571429</c:v>
                </c:pt>
                <c:pt idx="271">
                  <c:v>1573</c:v>
                </c:pt>
                <c:pt idx="272">
                  <c:v>1377.7142857142858</c:v>
                </c:pt>
                <c:pt idx="273">
                  <c:v>1401.4285714285713</c:v>
                </c:pt>
                <c:pt idx="274">
                  <c:v>1423.8571428571429</c:v>
                </c:pt>
                <c:pt idx="275">
                  <c:v>1436.2857142857142</c:v>
                </c:pt>
                <c:pt idx="276">
                  <c:v>1337.4285714285713</c:v>
                </c:pt>
                <c:pt idx="277">
                  <c:v>1258.4285714285713</c:v>
                </c:pt>
                <c:pt idx="278">
                  <c:v>1190.1428571428571</c:v>
                </c:pt>
                <c:pt idx="279">
                  <c:v>1174.7142857142858</c:v>
                </c:pt>
                <c:pt idx="280">
                  <c:v>1143.8571428571429</c:v>
                </c:pt>
                <c:pt idx="281">
                  <c:v>1091.8571428571429</c:v>
                </c:pt>
                <c:pt idx="282">
                  <c:v>1080</c:v>
                </c:pt>
                <c:pt idx="283">
                  <c:v>1084.4285714285713</c:v>
                </c:pt>
                <c:pt idx="284">
                  <c:v>1061.1428571428571</c:v>
                </c:pt>
                <c:pt idx="285">
                  <c:v>1066.2857142857142</c:v>
                </c:pt>
                <c:pt idx="286">
                  <c:v>1061.7142857142858</c:v>
                </c:pt>
                <c:pt idx="287">
                  <c:v>1070.1428571428571</c:v>
                </c:pt>
                <c:pt idx="288">
                  <c:v>1093</c:v>
                </c:pt>
                <c:pt idx="289">
                  <c:v>1076.2857142857142</c:v>
                </c:pt>
                <c:pt idx="290">
                  <c:v>1038.7142857142858</c:v>
                </c:pt>
                <c:pt idx="291">
                  <c:v>1062.2857142857142</c:v>
                </c:pt>
                <c:pt idx="292">
                  <c:v>1065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CE3-4167-BF64-952E766A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626037"/>
        <c:axId val="86743271"/>
      </c:lineChart>
      <c:catAx>
        <c:axId val="18584006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696710840"/>
        <c:crosses val="autoZero"/>
        <c:auto val="1"/>
        <c:lblAlgn val="ctr"/>
        <c:lblOffset val="100"/>
        <c:noMultiLvlLbl val="1"/>
      </c:catAx>
      <c:valAx>
        <c:axId val="1696710840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858400651"/>
        <c:crosses val="autoZero"/>
        <c:crossBetween val="between"/>
      </c:valAx>
      <c:catAx>
        <c:axId val="180062603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6743271"/>
        <c:crosses val="autoZero"/>
        <c:auto val="1"/>
        <c:lblAlgn val="ctr"/>
        <c:lblOffset val="100"/>
        <c:noMultiLvlLbl val="1"/>
      </c:catAx>
      <c:valAx>
        <c:axId val="8674327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800626037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Zachodniopomorskiego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Województwa'!$DK$2</c:f>
              <c:strCache>
                <c:ptCount val="1"/>
                <c:pt idx="0">
                  <c:v>Zachodniopomorskie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Województwa'!$DK$3:$DK$1000</c:f>
              <c:numCache>
                <c:formatCode>General</c:formatCode>
                <c:ptCount val="998"/>
                <c:pt idx="34" formatCode="0.0000">
                  <c:v>0.9527777777777785</c:v>
                </c:pt>
                <c:pt idx="35" formatCode="0.0000">
                  <c:v>1.1740244534841027</c:v>
                </c:pt>
                <c:pt idx="36" formatCode="0.0000">
                  <c:v>1.663146329400113</c:v>
                </c:pt>
                <c:pt idx="37" formatCode="0.0000">
                  <c:v>1.3978053545721876</c:v>
                </c:pt>
                <c:pt idx="38" formatCode="0.0000">
                  <c:v>1.2600402322932784</c:v>
                </c:pt>
                <c:pt idx="39" formatCode="0.0000">
                  <c:v>1.1363357883218053</c:v>
                </c:pt>
                <c:pt idx="40" formatCode="0.0000">
                  <c:v>0.9967009330000548</c:v>
                </c:pt>
                <c:pt idx="41" formatCode="0.0000">
                  <c:v>0.98958364594180215</c:v>
                </c:pt>
                <c:pt idx="42" formatCode="0.0000">
                  <c:v>0.89490499620626818</c:v>
                </c:pt>
                <c:pt idx="43" formatCode="0.0000">
                  <c:v>0.59916604490021441</c:v>
                </c:pt>
                <c:pt idx="44" formatCode="0.0000">
                  <c:v>0.60012430972809927</c:v>
                </c:pt>
                <c:pt idx="45" formatCode="0.0000">
                  <c:v>0.60626471314251495</c:v>
                </c:pt>
                <c:pt idx="46" formatCode="0.0000">
                  <c:v>0.83457993760587557</c:v>
                </c:pt>
                <c:pt idx="47" formatCode="0.0000">
                  <c:v>1.0451581516985493</c:v>
                </c:pt>
                <c:pt idx="48" formatCode="0.0000">
                  <c:v>1.0545917067563362</c:v>
                </c:pt>
                <c:pt idx="49" formatCode="0.0000">
                  <c:v>0.97522651094032653</c:v>
                </c:pt>
                <c:pt idx="50" formatCode="0.0000">
                  <c:v>1.0225447862787069</c:v>
                </c:pt>
                <c:pt idx="51" formatCode="0.0000">
                  <c:v>1.1680493291175134</c:v>
                </c:pt>
                <c:pt idx="52" formatCode="0.0000">
                  <c:v>1.487272853059316</c:v>
                </c:pt>
                <c:pt idx="53" formatCode="0.0000">
                  <c:v>1.257682292349297</c:v>
                </c:pt>
                <c:pt idx="54" formatCode="0.0000">
                  <c:v>1.1584337667534743</c:v>
                </c:pt>
                <c:pt idx="55" formatCode="0.0000">
                  <c:v>1.189034318492683</c:v>
                </c:pt>
                <c:pt idx="56" formatCode="0.0000">
                  <c:v>1.2296405782793625</c:v>
                </c:pt>
                <c:pt idx="57" formatCode="0.0000">
                  <c:v>1.148307202969812</c:v>
                </c:pt>
                <c:pt idx="58" formatCode="0.0000">
                  <c:v>1.1262691895721366</c:v>
                </c:pt>
                <c:pt idx="59" formatCode="0.0000">
                  <c:v>0.76121099724052954</c:v>
                </c:pt>
                <c:pt idx="60" formatCode="0.0000">
                  <c:v>0.75554948521589915</c:v>
                </c:pt>
                <c:pt idx="61" formatCode="0.0000">
                  <c:v>0.73757898947063638</c:v>
                </c:pt>
                <c:pt idx="62" formatCode="0.0000">
                  <c:v>0.77724542177317069</c:v>
                </c:pt>
                <c:pt idx="63" formatCode="0.0000">
                  <c:v>0.89317583920704391</c:v>
                </c:pt>
                <c:pt idx="64" formatCode="0.0000">
                  <c:v>0.99366476657786229</c:v>
                </c:pt>
                <c:pt idx="65" formatCode="0.0000">
                  <c:v>0.89040377584777797</c:v>
                </c:pt>
                <c:pt idx="66" formatCode="0.0000">
                  <c:v>0.88436610459079934</c:v>
                </c:pt>
                <c:pt idx="67" formatCode="0.0000">
                  <c:v>0.89341053415806082</c:v>
                </c:pt>
                <c:pt idx="68" formatCode="0.0000">
                  <c:v>0.84257240765904096</c:v>
                </c:pt>
                <c:pt idx="69" formatCode="0.0000">
                  <c:v>0.6515554428043695</c:v>
                </c:pt>
                <c:pt idx="70" formatCode="0.0000">
                  <c:v>0.59097951526192838</c:v>
                </c:pt>
                <c:pt idx="71" formatCode="0.0000">
                  <c:v>0.56682317861346343</c:v>
                </c:pt>
                <c:pt idx="72" formatCode="0.0000">
                  <c:v>0.50179444649580662</c:v>
                </c:pt>
                <c:pt idx="73" formatCode="0.0000">
                  <c:v>0.51647565172584731</c:v>
                </c:pt>
                <c:pt idx="74" formatCode="0.0000">
                  <c:v>0.46563875023186702</c:v>
                </c:pt>
                <c:pt idx="75" formatCode="0.0000">
                  <c:v>0.45763649213253949</c:v>
                </c:pt>
                <c:pt idx="76" formatCode="0.0000">
                  <c:v>0.5338241020864658</c:v>
                </c:pt>
                <c:pt idx="77" formatCode="0.0000">
                  <c:v>0.57708368316684555</c:v>
                </c:pt>
                <c:pt idx="78" formatCode="0.0000">
                  <c:v>0.48536689098629487</c:v>
                </c:pt>
                <c:pt idx="79" formatCode="0.0000">
                  <c:v>0.80536253179093154</c:v>
                </c:pt>
                <c:pt idx="80" formatCode="0.0000">
                  <c:v>0.79452791813068491</c:v>
                </c:pt>
                <c:pt idx="81" formatCode="0.0000">
                  <c:v>0.89889622703655425</c:v>
                </c:pt>
                <c:pt idx="82" formatCode="0.0000">
                  <c:v>0.87451661167482153</c:v>
                </c:pt>
                <c:pt idx="83" formatCode="0.0000">
                  <c:v>0.81754904954047536</c:v>
                </c:pt>
                <c:pt idx="84" formatCode="0.0000">
                  <c:v>0.81812991947004787</c:v>
                </c:pt>
                <c:pt idx="85" formatCode="0.0000">
                  <c:v>0.86667307318879294</c:v>
                </c:pt>
                <c:pt idx="86" formatCode="0.0000">
                  <c:v>0.50457344237882229</c:v>
                </c:pt>
                <c:pt idx="87" formatCode="0.0000">
                  <c:v>0.64606124142893417</c:v>
                </c:pt>
                <c:pt idx="88" formatCode="0.0000">
                  <c:v>0.70631649779077499</c:v>
                </c:pt>
                <c:pt idx="89" formatCode="0.0000">
                  <c:v>0.71881412897149422</c:v>
                </c:pt>
                <c:pt idx="90" formatCode="0.0000">
                  <c:v>0.68191668285419704</c:v>
                </c:pt>
                <c:pt idx="91" formatCode="0.0000">
                  <c:v>0.80987008449794062</c:v>
                </c:pt>
                <c:pt idx="92" formatCode="0.0000">
                  <c:v>1.0858070250484662</c:v>
                </c:pt>
                <c:pt idx="93" formatCode="0.0000">
                  <c:v>1.1697642787259035</c:v>
                </c:pt>
                <c:pt idx="94" formatCode="0.0000">
                  <c:v>1.102696733866815</c:v>
                </c:pt>
                <c:pt idx="95" formatCode="0.0000">
                  <c:v>0.91282912187362142</c:v>
                </c:pt>
                <c:pt idx="96" formatCode="0.0000">
                  <c:v>0.92000840166046649</c:v>
                </c:pt>
                <c:pt idx="97" formatCode="0.0000">
                  <c:v>0.92000840166046616</c:v>
                </c:pt>
                <c:pt idx="98" formatCode="0.0000">
                  <c:v>1.0310861858087623</c:v>
                </c:pt>
                <c:pt idx="99" formatCode="0.0000">
                  <c:v>0.94140727486566556</c:v>
                </c:pt>
                <c:pt idx="100" formatCode="0.0000">
                  <c:v>0.95245692567111206</c:v>
                </c:pt>
                <c:pt idx="101" formatCode="0.0000">
                  <c:v>0.91842066737722661</c:v>
                </c:pt>
                <c:pt idx="102" formatCode="0.0000">
                  <c:v>1.2833765373322681</c:v>
                </c:pt>
                <c:pt idx="103" formatCode="0.0000">
                  <c:v>1.4441690557720599</c:v>
                </c:pt>
                <c:pt idx="104" formatCode="0.0000">
                  <c:v>1.5238766141017812</c:v>
                </c:pt>
                <c:pt idx="105" formatCode="0.0000">
                  <c:v>1.3324644933637431</c:v>
                </c:pt>
                <c:pt idx="106" formatCode="0.0000">
                  <c:v>1.1847490593123884</c:v>
                </c:pt>
                <c:pt idx="107" formatCode="0.0000">
                  <c:v>1.0897421548295045</c:v>
                </c:pt>
                <c:pt idx="108" formatCode="0.0000">
                  <c:v>1.180000140470373</c:v>
                </c:pt>
                <c:pt idx="109" formatCode="0.0000">
                  <c:v>0.8604135091624624</c:v>
                </c:pt>
                <c:pt idx="110" formatCode="0.0000">
                  <c:v>0.69737600903423835</c:v>
                </c:pt>
                <c:pt idx="111" formatCode="0.0000">
                  <c:v>0.61766845070451704</c:v>
                </c:pt>
                <c:pt idx="112" formatCode="0.0000">
                  <c:v>0.53423240191189025</c:v>
                </c:pt>
                <c:pt idx="113" formatCode="0.0000">
                  <c:v>0.67703554259372256</c:v>
                </c:pt>
                <c:pt idx="114" formatCode="0.0000">
                  <c:v>0.73557822860828637</c:v>
                </c:pt>
                <c:pt idx="115" formatCode="0.0000">
                  <c:v>0.80127147974866908</c:v>
                </c:pt>
                <c:pt idx="116" formatCode="0.0000">
                  <c:v>0.81335087156207619</c:v>
                </c:pt>
                <c:pt idx="117" formatCode="0.0000">
                  <c:v>0.7630809207672139</c:v>
                </c:pt>
                <c:pt idx="118" formatCode="0.0000">
                  <c:v>0.7630809207672139</c:v>
                </c:pt>
                <c:pt idx="119" formatCode="0.0000">
                  <c:v>0.80480822351930725</c:v>
                </c:pt>
                <c:pt idx="120" formatCode="0.0000">
                  <c:v>0.54271614612205832</c:v>
                </c:pt>
                <c:pt idx="121" formatCode="0.0000">
                  <c:v>0.48417346010749462</c:v>
                </c:pt>
                <c:pt idx="122" formatCode="0.0000">
                  <c:v>0.45481110276324471</c:v>
                </c:pt>
                <c:pt idx="123" formatCode="0.0000">
                  <c:v>1.128591425390892</c:v>
                </c:pt>
                <c:pt idx="124" formatCode="0.0000">
                  <c:v>1.1943576888940217</c:v>
                </c:pt>
                <c:pt idx="125" formatCode="0.0000">
                  <c:v>1.1943576888940215</c:v>
                </c:pt>
                <c:pt idx="126" formatCode="0.0000">
                  <c:v>1.1065019304462533</c:v>
                </c:pt>
                <c:pt idx="127" formatCode="0.0000">
                  <c:v>1.1065019304462533</c:v>
                </c:pt>
                <c:pt idx="128" formatCode="0.0000">
                  <c:v>1.2096547186122002</c:v>
                </c:pt>
                <c:pt idx="129" formatCode="0.0000">
                  <c:v>1.8426262892780814</c:v>
                </c:pt>
                <c:pt idx="130" formatCode="0.0000">
                  <c:v>1.361717622258775</c:v>
                </c:pt>
                <c:pt idx="131" formatCode="0.0000">
                  <c:v>1.2959513587556455</c:v>
                </c:pt>
                <c:pt idx="132" formatCode="0.0000">
                  <c:v>1.4278023984661332</c:v>
                </c:pt>
                <c:pt idx="133" formatCode="0.0000">
                  <c:v>1.4113252133767313</c:v>
                </c:pt>
                <c:pt idx="134" formatCode="0.0000">
                  <c:v>1.6999549203060442</c:v>
                </c:pt>
                <c:pt idx="135" formatCode="0.0000">
                  <c:v>1.7857334148264488</c:v>
                </c:pt>
                <c:pt idx="136" formatCode="0.0000">
                  <c:v>0.92639149303505242</c:v>
                </c:pt>
                <c:pt idx="137" formatCode="0.0000">
                  <c:v>1.2379684859658713</c:v>
                </c:pt>
                <c:pt idx="138" formatCode="0.0000">
                  <c:v>1.3864572244152811</c:v>
                </c:pt>
                <c:pt idx="139" formatCode="0.0000">
                  <c:v>1.4514824418420902</c:v>
                </c:pt>
                <c:pt idx="140" formatCode="0.0000">
                  <c:v>1.7116991674209296</c:v>
                </c:pt>
                <c:pt idx="141" formatCode="0.0000">
                  <c:v>1.6597036718706419</c:v>
                </c:pt>
                <c:pt idx="142" formatCode="0.0000">
                  <c:v>1.8313489304637218</c:v>
                </c:pt>
                <c:pt idx="143" formatCode="0.0000">
                  <c:v>1.9497921585987434</c:v>
                </c:pt>
                <c:pt idx="144" formatCode="0.0000">
                  <c:v>1.4182466932222602</c:v>
                </c:pt>
                <c:pt idx="145" formatCode="0.0000">
                  <c:v>1.5091539786150054</c:v>
                </c:pt>
                <c:pt idx="146" formatCode="0.0000">
                  <c:v>1.3746547745316409</c:v>
                </c:pt>
                <c:pt idx="147" formatCode="0.0000">
                  <c:v>1.251288503988105</c:v>
                </c:pt>
                <c:pt idx="148" formatCode="0.0000">
                  <c:v>1.3983985153944531</c:v>
                </c:pt>
                <c:pt idx="149" formatCode="0.0000">
                  <c:v>1.218217757297605</c:v>
                </c:pt>
                <c:pt idx="150" formatCode="0.0000">
                  <c:v>1.1991282309615134</c:v>
                </c:pt>
                <c:pt idx="151" formatCode="0.0000">
                  <c:v>1.5582983432281174</c:v>
                </c:pt>
                <c:pt idx="152" formatCode="0.0000">
                  <c:v>1.4230527243147182</c:v>
                </c:pt>
                <c:pt idx="153" formatCode="0.0000">
                  <c:v>1.685707820256533</c:v>
                </c:pt>
                <c:pt idx="154" formatCode="0.0000">
                  <c:v>1.7571423771537948</c:v>
                </c:pt>
                <c:pt idx="155" formatCode="0.0000">
                  <c:v>1.6486450231962166</c:v>
                </c:pt>
                <c:pt idx="156" formatCode="0.0000">
                  <c:v>1.7399126491213777</c:v>
                </c:pt>
                <c:pt idx="157" formatCode="0.0000">
                  <c:v>1.8178905623876287</c:v>
                </c:pt>
                <c:pt idx="158" formatCode="0.0000">
                  <c:v>1.6855015380280076</c:v>
                </c:pt>
                <c:pt idx="159" formatCode="0.0000">
                  <c:v>1.7461813888113349</c:v>
                </c:pt>
                <c:pt idx="160" formatCode="0.0000">
                  <c:v>1.539425855252031</c:v>
                </c:pt>
                <c:pt idx="161" formatCode="0.0000">
                  <c:v>1.5510895477982634</c:v>
                </c:pt>
                <c:pt idx="162" formatCode="0.0000">
                  <c:v>1.4107735829194579</c:v>
                </c:pt>
                <c:pt idx="163" formatCode="0.0000">
                  <c:v>1.1973997209520491</c:v>
                </c:pt>
                <c:pt idx="164" formatCode="0.0000">
                  <c:v>1.1049672156665455</c:v>
                </c:pt>
                <c:pt idx="165" formatCode="0.0000">
                  <c:v>1.0844056888699971</c:v>
                </c:pt>
                <c:pt idx="166" formatCode="0.0000">
                  <c:v>1.1049762061820589</c:v>
                </c:pt>
                <c:pt idx="167" formatCode="0.0000">
                  <c:v>1.1250157216665859</c:v>
                </c:pt>
                <c:pt idx="168" formatCode="0.0000">
                  <c:v>0.99720451534337218</c:v>
                </c:pt>
                <c:pt idx="169" formatCode="0.0000">
                  <c:v>0.98927162151290904</c:v>
                </c:pt>
                <c:pt idx="170" formatCode="0.0000">
                  <c:v>1.0501001156173402</c:v>
                </c:pt>
                <c:pt idx="171" formatCode="0.0000">
                  <c:v>1.0262082844460234</c:v>
                </c:pt>
                <c:pt idx="172" formatCode="0.0000">
                  <c:v>0.91145432616044963</c:v>
                </c:pt>
                <c:pt idx="173" formatCode="0.0000">
                  <c:v>0.75999050916486799</c:v>
                </c:pt>
                <c:pt idx="174" formatCode="0.0000">
                  <c:v>0.67245464959097989</c:v>
                </c:pt>
                <c:pt idx="175" formatCode="0.0000">
                  <c:v>0.68144840589353795</c:v>
                </c:pt>
                <c:pt idx="176" formatCode="0.0000">
                  <c:v>0.80001335171492782</c:v>
                </c:pt>
                <c:pt idx="177" formatCode="0.0000">
                  <c:v>0.81698441879964356</c:v>
                </c:pt>
                <c:pt idx="178" formatCode="0.0000">
                  <c:v>0.88053754048990274</c:v>
                </c:pt>
                <c:pt idx="179" formatCode="0.0000">
                  <c:v>0.8982902429039934</c:v>
                </c:pt>
                <c:pt idx="180" formatCode="0.0000">
                  <c:v>0.96619357935111927</c:v>
                </c:pt>
                <c:pt idx="181" formatCode="0.0000">
                  <c:v>1.0481584617069442</c:v>
                </c:pt>
                <c:pt idx="182" formatCode="0.0000">
                  <c:v>0.97423885799939991</c:v>
                </c:pt>
                <c:pt idx="183" formatCode="0.0000">
                  <c:v>0.78507937362044056</c:v>
                </c:pt>
                <c:pt idx="184" formatCode="0.0000">
                  <c:v>0.91139048146191837</c:v>
                </c:pt>
                <c:pt idx="185" formatCode="0.0000">
                  <c:v>0.81440437857357573</c:v>
                </c:pt>
                <c:pt idx="186" formatCode="0.0000">
                  <c:v>0.89300577461714103</c:v>
                </c:pt>
                <c:pt idx="187" formatCode="0.0000">
                  <c:v>0.84913431447998045</c:v>
                </c:pt>
                <c:pt idx="188" formatCode="0.0000">
                  <c:v>0.7638987978559485</c:v>
                </c:pt>
                <c:pt idx="189" formatCode="0.0000">
                  <c:v>0.95011864815772107</c:v>
                </c:pt>
                <c:pt idx="190" formatCode="0.0000">
                  <c:v>1.0630404167811303</c:v>
                </c:pt>
                <c:pt idx="191" formatCode="0.0000">
                  <c:v>0.98059556826209382</c:v>
                </c:pt>
                <c:pt idx="192" formatCode="0.0000">
                  <c:v>1.1120795770666443</c:v>
                </c:pt>
                <c:pt idx="193" formatCode="0.0000">
                  <c:v>1.0931184661369646</c:v>
                </c:pt>
                <c:pt idx="194" formatCode="0.0000">
                  <c:v>1.0620900808883538</c:v>
                </c:pt>
                <c:pt idx="195" formatCode="0.0000">
                  <c:v>1.0602895647049877</c:v>
                </c:pt>
                <c:pt idx="196" formatCode="0.0000">
                  <c:v>1.0670879420724666</c:v>
                </c:pt>
                <c:pt idx="197" formatCode="0.0000">
                  <c:v>1.2517911508982096</c:v>
                </c:pt>
                <c:pt idx="198" formatCode="0.0000">
                  <c:v>1.5711859555297487</c:v>
                </c:pt>
                <c:pt idx="199" formatCode="0.0000">
                  <c:v>1.5916976468086692</c:v>
                </c:pt>
                <c:pt idx="200" formatCode="0.0000">
                  <c:v>1.660964184032381</c:v>
                </c:pt>
                <c:pt idx="201" formatCode="0.0000">
                  <c:v>1.7340460575696139</c:v>
                </c:pt>
                <c:pt idx="202" formatCode="0.0000">
                  <c:v>1.7847970859856683</c:v>
                </c:pt>
                <c:pt idx="203" formatCode="0.0000">
                  <c:v>1.826656453683587</c:v>
                </c:pt>
                <c:pt idx="204" formatCode="0.0000">
                  <c:v>1.5863577793842703</c:v>
                </c:pt>
                <c:pt idx="205" formatCode="0.0000">
                  <c:v>1.2920057697989284</c:v>
                </c:pt>
                <c:pt idx="206" formatCode="0.0000">
                  <c:v>1.5329102025560961</c:v>
                </c:pt>
                <c:pt idx="207" formatCode="0.0000">
                  <c:v>1.5395893658112694</c:v>
                </c:pt>
                <c:pt idx="208" formatCode="0.0000">
                  <c:v>1.711162640774391</c:v>
                </c:pt>
                <c:pt idx="209" formatCode="0.0000">
                  <c:v>1.7202370154001063</c:v>
                </c:pt>
                <c:pt idx="210" formatCode="0.0000">
                  <c:v>1.6458210402345677</c:v>
                </c:pt>
                <c:pt idx="211" formatCode="0.0000">
                  <c:v>1.8200941389993621</c:v>
                </c:pt>
                <c:pt idx="212" formatCode="0.0000">
                  <c:v>1.814917007568623</c:v>
                </c:pt>
                <c:pt idx="213" formatCode="0.0000">
                  <c:v>1.7660273461568428</c:v>
                </c:pt>
                <c:pt idx="214" formatCode="0.0000">
                  <c:v>1.6553421608274714</c:v>
                </c:pt>
                <c:pt idx="215" formatCode="0.0000">
                  <c:v>1.5343513198512173</c:v>
                </c:pt>
                <c:pt idx="216" formatCode="0.0000">
                  <c:v>1.5344602928251416</c:v>
                </c:pt>
                <c:pt idx="217" formatCode="0.0000">
                  <c:v>1.5771931709825253</c:v>
                </c:pt>
                <c:pt idx="218" formatCode="0.0000">
                  <c:v>1.6277207111496623</c:v>
                </c:pt>
                <c:pt idx="219" formatCode="0.0000">
                  <c:v>1.652851910826455</c:v>
                </c:pt>
                <c:pt idx="220" formatCode="0.0000">
                  <c:v>1.5142426363801142</c:v>
                </c:pt>
                <c:pt idx="221" formatCode="0.0000">
                  <c:v>1.5996547837464337</c:v>
                </c:pt>
                <c:pt idx="222" formatCode="0.0000">
                  <c:v>1.6792297960915938</c:v>
                </c:pt>
                <c:pt idx="223" formatCode="0.0000">
                  <c:v>1.7320154201351801</c:v>
                </c:pt>
                <c:pt idx="224" formatCode="0.0000">
                  <c:v>1.6380189209484652</c:v>
                </c:pt>
                <c:pt idx="225" formatCode="0.0000">
                  <c:v>1.5214674489646249</c:v>
                </c:pt>
                <c:pt idx="226" formatCode="0.0000">
                  <c:v>1.5045694377559562</c:v>
                </c:pt>
                <c:pt idx="227" formatCode="0.0000">
                  <c:v>1.614783200950926</c:v>
                </c:pt>
                <c:pt idx="228" formatCode="0.0000">
                  <c:v>1.6774726497042884</c:v>
                </c:pt>
                <c:pt idx="229" formatCode="0.0000">
                  <c:v>1.6964371710046131</c:v>
                </c:pt>
                <c:pt idx="230" formatCode="0.0000">
                  <c:v>1.6921722525971785</c:v>
                </c:pt>
                <c:pt idx="231" formatCode="0.0000">
                  <c:v>1.6387340091826805</c:v>
                </c:pt>
                <c:pt idx="232" formatCode="0.0000">
                  <c:v>1.6156180175434485</c:v>
                </c:pt>
                <c:pt idx="233" formatCode="0.0000">
                  <c:v>1.7478543881360082</c:v>
                </c:pt>
                <c:pt idx="234" formatCode="0.0000">
                  <c:v>1.7125763581017408</c:v>
                </c:pt>
                <c:pt idx="235" formatCode="0.0000">
                  <c:v>1.6747130610329264</c:v>
                </c:pt>
                <c:pt idx="236" formatCode="0.0000">
                  <c:v>1.6239195513488336</c:v>
                </c:pt>
                <c:pt idx="237" formatCode="0.0000">
                  <c:v>1.6917732413291535</c:v>
                </c:pt>
                <c:pt idx="238" formatCode="0.0000">
                  <c:v>1.7335468870123611</c:v>
                </c:pt>
                <c:pt idx="239" formatCode="0.0000">
                  <c:v>1.6608168339245122</c:v>
                </c:pt>
                <c:pt idx="240" formatCode="0.0000">
                  <c:v>1.5161505809442317</c:v>
                </c:pt>
                <c:pt idx="241" formatCode="0.0000">
                  <c:v>1.4343362797668779</c:v>
                </c:pt>
                <c:pt idx="242" formatCode="0.0000">
                  <c:v>1.3892847204848822</c:v>
                </c:pt>
                <c:pt idx="243" formatCode="0.0000">
                  <c:v>1.3953492232970099</c:v>
                </c:pt>
                <c:pt idx="244" formatCode="0.0000">
                  <c:v>1.3282472337795037</c:v>
                </c:pt>
                <c:pt idx="245" formatCode="0.0000">
                  <c:v>1.2583356801199308</c:v>
                </c:pt>
                <c:pt idx="246" formatCode="0.0000">
                  <c:v>1.3364677402127556</c:v>
                </c:pt>
                <c:pt idx="247" formatCode="0.0000">
                  <c:v>1.3639481836234162</c:v>
                </c:pt>
                <c:pt idx="248" formatCode="0.0000">
                  <c:v>1.3532064804369561</c:v>
                </c:pt>
                <c:pt idx="249" formatCode="0.0000">
                  <c:v>1.3619266839671884</c:v>
                </c:pt>
                <c:pt idx="250" formatCode="0.0000">
                  <c:v>1.3042650274264107</c:v>
                </c:pt>
                <c:pt idx="251" formatCode="0.0000">
                  <c:v>1.3149434723545548</c:v>
                </c:pt>
                <c:pt idx="252" formatCode="0.0000">
                  <c:v>1.3393503334380727</c:v>
                </c:pt>
                <c:pt idx="253" formatCode="0.0000">
                  <c:v>1.3030113435404194</c:v>
                </c:pt>
                <c:pt idx="254" formatCode="0.0000">
                  <c:v>1.2275745849450297</c:v>
                </c:pt>
                <c:pt idx="255" formatCode="0.0000">
                  <c:v>1.2669135088224068</c:v>
                </c:pt>
                <c:pt idx="256" formatCode="0.0000">
                  <c:v>1.2083879793791681</c:v>
                </c:pt>
                <c:pt idx="257" formatCode="0.0000">
                  <c:v>1.2330787785051081</c:v>
                </c:pt>
                <c:pt idx="258" formatCode="0.0000">
                  <c:v>1.2465882602485834</c:v>
                </c:pt>
                <c:pt idx="259" formatCode="0.0000">
                  <c:v>1.2861402868415621</c:v>
                </c:pt>
                <c:pt idx="260" formatCode="0.0000">
                  <c:v>1.2893686767839958</c:v>
                </c:pt>
                <c:pt idx="261" formatCode="0.0000">
                  <c:v>1.3138094373156457</c:v>
                </c:pt>
                <c:pt idx="262" formatCode="0.0000">
                  <c:v>1.2391738571886122</c:v>
                </c:pt>
                <c:pt idx="263" formatCode="0.0000">
                  <c:v>1.2091130793059992</c:v>
                </c:pt>
                <c:pt idx="264" formatCode="0.0000">
                  <c:v>1.1673776401741029</c:v>
                </c:pt>
                <c:pt idx="265" formatCode="0.0000">
                  <c:v>1.1203955200775124</c:v>
                </c:pt>
                <c:pt idx="266" formatCode="0.0000">
                  <c:v>0.99819251261662656</c:v>
                </c:pt>
                <c:pt idx="267" formatCode="0.0000">
                  <c:v>0.97906245630743516</c:v>
                </c:pt>
                <c:pt idx="268" formatCode="0.0000">
                  <c:v>0.95461691753444644</c:v>
                </c:pt>
                <c:pt idx="269" formatCode="0.0000">
                  <c:v>0.91024514460374173</c:v>
                </c:pt>
                <c:pt idx="270" formatCode="0.0000">
                  <c:v>0.89517861845436797</c:v>
                </c:pt>
                <c:pt idx="271" formatCode="0.0000">
                  <c:v>0.88292761192507485</c:v>
                </c:pt>
                <c:pt idx="272" formatCode="0.0000">
                  <c:v>0.84335836133209618</c:v>
                </c:pt>
                <c:pt idx="273" formatCode="0.0000">
                  <c:v>0.85511265537631409</c:v>
                </c:pt>
                <c:pt idx="274" formatCode="0.0000">
                  <c:v>0.83416731141038214</c:v>
                </c:pt>
                <c:pt idx="275" formatCode="0.0000">
                  <c:v>0.85234975970806182</c:v>
                </c:pt>
                <c:pt idx="276" formatCode="0.0000">
                  <c:v>0.88914081128293654</c:v>
                </c:pt>
                <c:pt idx="277" formatCode="0.0000">
                  <c:v>0.91773959928550064</c:v>
                </c:pt>
                <c:pt idx="278" formatCode="0.0000">
                  <c:v>0.91103363545041882</c:v>
                </c:pt>
                <c:pt idx="279" formatCode="0.0000">
                  <c:v>0.9082900442063131</c:v>
                </c:pt>
                <c:pt idx="280" formatCode="0.0000">
                  <c:v>0.92041804941178196</c:v>
                </c:pt>
                <c:pt idx="281" formatCode="0.0000">
                  <c:v>0.96629037821908603</c:v>
                </c:pt>
                <c:pt idx="282" formatCode="0.0000">
                  <c:v>0.97596832893031216</c:v>
                </c:pt>
                <c:pt idx="283" formatCode="0.0000">
                  <c:v>1.0008420697561067</c:v>
                </c:pt>
                <c:pt idx="284" formatCode="0.0000">
                  <c:v>1.0015720124563254</c:v>
                </c:pt>
                <c:pt idx="285" formatCode="0.0000">
                  <c:v>0.98872810940253486</c:v>
                </c:pt>
                <c:pt idx="286" formatCode="0.0000">
                  <c:v>0.99590328627179037</c:v>
                </c:pt>
                <c:pt idx="287" formatCode="0.0000">
                  <c:v>0.96820234895646196</c:v>
                </c:pt>
                <c:pt idx="288" formatCode="0.0000">
                  <c:v>1.0015833600980979</c:v>
                </c:pt>
                <c:pt idx="289" formatCode="0.0000">
                  <c:v>1.0342080190138025</c:v>
                </c:pt>
                <c:pt idx="290" formatCode="0.0000">
                  <c:v>1.0030430814543623</c:v>
                </c:pt>
                <c:pt idx="291" formatCode="0.0000">
                  <c:v>1.0044450085387759</c:v>
                </c:pt>
                <c:pt idx="292" formatCode="0.0000">
                  <c:v>1.0349463706986148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9EA-46CD-A256-C7EB17ED6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964927"/>
        <c:axId val="1578783300"/>
      </c:lineChart>
      <c:lineChart>
        <c:grouping val="standard"/>
        <c:varyColors val="0"/>
        <c:ser>
          <c:idx val="1"/>
          <c:order val="1"/>
          <c:tx>
            <c:strRef>
              <c:f>'R(t) Województwa'!$DG$2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strRef>
              <c:f>'R(t) Województwa'!$B$3:$B$1000</c:f>
              <c:strCache>
                <c:ptCount val="294"/>
                <c:pt idx="193">
                  <c:v>12.09.2020</c:v>
                </c:pt>
                <c:pt idx="194">
                  <c:v>13.09.2020</c:v>
                </c:pt>
                <c:pt idx="195">
                  <c:v>14.09.2020</c:v>
                </c:pt>
                <c:pt idx="196">
                  <c:v>15.09.2020</c:v>
                </c:pt>
                <c:pt idx="197">
                  <c:v>16.09.2020</c:v>
                </c:pt>
                <c:pt idx="198">
                  <c:v>17.09.2020</c:v>
                </c:pt>
                <c:pt idx="199">
                  <c:v>18.09.2020</c:v>
                </c:pt>
                <c:pt idx="200">
                  <c:v>19.09.2020</c:v>
                </c:pt>
                <c:pt idx="201">
                  <c:v>20.09.2020</c:v>
                </c:pt>
                <c:pt idx="202">
                  <c:v>21.09.2020</c:v>
                </c:pt>
                <c:pt idx="203">
                  <c:v>22.09.2020</c:v>
                </c:pt>
                <c:pt idx="204">
                  <c:v>23.09.2020</c:v>
                </c:pt>
                <c:pt idx="205">
                  <c:v>24.09.2020</c:v>
                </c:pt>
                <c:pt idx="206">
                  <c:v>25.09.2020</c:v>
                </c:pt>
                <c:pt idx="207">
                  <c:v>26.09.2020</c:v>
                </c:pt>
                <c:pt idx="208">
                  <c:v>27.09.2020</c:v>
                </c:pt>
                <c:pt idx="209">
                  <c:v>28.09.2020</c:v>
                </c:pt>
                <c:pt idx="210">
                  <c:v>29.09.2020</c:v>
                </c:pt>
                <c:pt idx="211">
                  <c:v>30.09.2020</c:v>
                </c:pt>
                <c:pt idx="212">
                  <c:v>01.10.2020</c:v>
                </c:pt>
                <c:pt idx="213">
                  <c:v>02.10.2020</c:v>
                </c:pt>
                <c:pt idx="214">
                  <c:v>03.10.2020</c:v>
                </c:pt>
                <c:pt idx="215">
                  <c:v>04.10.2020</c:v>
                </c:pt>
                <c:pt idx="216">
                  <c:v>05.10.2020</c:v>
                </c:pt>
                <c:pt idx="217">
                  <c:v>06.10.2020</c:v>
                </c:pt>
                <c:pt idx="218">
                  <c:v>07.10.2020</c:v>
                </c:pt>
                <c:pt idx="219">
                  <c:v>08.10.2020</c:v>
                </c:pt>
                <c:pt idx="220">
                  <c:v>09.10.2020</c:v>
                </c:pt>
                <c:pt idx="221">
                  <c:v>10.10.2020</c:v>
                </c:pt>
                <c:pt idx="222">
                  <c:v>11.10.2020</c:v>
                </c:pt>
                <c:pt idx="223">
                  <c:v>12.10.2020</c:v>
                </c:pt>
                <c:pt idx="224">
                  <c:v>13.10.2020</c:v>
                </c:pt>
                <c:pt idx="225">
                  <c:v>14.10.2020</c:v>
                </c:pt>
                <c:pt idx="226">
                  <c:v>15.10.2020</c:v>
                </c:pt>
                <c:pt idx="227">
                  <c:v>16.10.2020</c:v>
                </c:pt>
                <c:pt idx="228">
                  <c:v>17.10.2020</c:v>
                </c:pt>
                <c:pt idx="229">
                  <c:v>18.10.2020</c:v>
                </c:pt>
                <c:pt idx="230">
                  <c:v>19.10.2020</c:v>
                </c:pt>
                <c:pt idx="231">
                  <c:v>20.10.2020</c:v>
                </c:pt>
                <c:pt idx="232">
                  <c:v>21.10.2020</c:v>
                </c:pt>
                <c:pt idx="233">
                  <c:v>22.10.2020</c:v>
                </c:pt>
                <c:pt idx="234">
                  <c:v>23.10.2020</c:v>
                </c:pt>
                <c:pt idx="235">
                  <c:v>24.10.2020</c:v>
                </c:pt>
                <c:pt idx="236">
                  <c:v>25.10.2020</c:v>
                </c:pt>
                <c:pt idx="237">
                  <c:v>26.10.2020</c:v>
                </c:pt>
                <c:pt idx="238">
                  <c:v>27.10.2020</c:v>
                </c:pt>
                <c:pt idx="239">
                  <c:v>28.10.2020</c:v>
                </c:pt>
                <c:pt idx="240">
                  <c:v>29.10.2020</c:v>
                </c:pt>
                <c:pt idx="241">
                  <c:v>30.10.2020</c:v>
                </c:pt>
                <c:pt idx="242">
                  <c:v>31.10.2020</c:v>
                </c:pt>
                <c:pt idx="243">
                  <c:v>01.11.2020</c:v>
                </c:pt>
                <c:pt idx="244">
                  <c:v>02.11.2020</c:v>
                </c:pt>
                <c:pt idx="245">
                  <c:v>03.11.2020</c:v>
                </c:pt>
                <c:pt idx="246">
                  <c:v>04.11.2020</c:v>
                </c:pt>
                <c:pt idx="247">
                  <c:v>05.11.2020</c:v>
                </c:pt>
                <c:pt idx="248">
                  <c:v>06.11.2020</c:v>
                </c:pt>
                <c:pt idx="249">
                  <c:v>07.11.2020</c:v>
                </c:pt>
                <c:pt idx="250">
                  <c:v>08.11.2020</c:v>
                </c:pt>
                <c:pt idx="251">
                  <c:v>09.11.2020</c:v>
                </c:pt>
                <c:pt idx="252">
                  <c:v>10.11.2020</c:v>
                </c:pt>
                <c:pt idx="253">
                  <c:v>11.11.2020</c:v>
                </c:pt>
                <c:pt idx="254">
                  <c:v>12.11.2020</c:v>
                </c:pt>
                <c:pt idx="255">
                  <c:v>13.11.2020</c:v>
                </c:pt>
                <c:pt idx="256">
                  <c:v>14.11.2020</c:v>
                </c:pt>
                <c:pt idx="257">
                  <c:v>15.11.2020</c:v>
                </c:pt>
                <c:pt idx="258">
                  <c:v>16.11.2020</c:v>
                </c:pt>
                <c:pt idx="259">
                  <c:v>17.11.2020</c:v>
                </c:pt>
                <c:pt idx="260">
                  <c:v>18.11.2020</c:v>
                </c:pt>
                <c:pt idx="261">
                  <c:v>19.11.2020</c:v>
                </c:pt>
                <c:pt idx="262">
                  <c:v>20.11.2020</c:v>
                </c:pt>
                <c:pt idx="263">
                  <c:v>21.11.2020</c:v>
                </c:pt>
                <c:pt idx="264">
                  <c:v>22.11.2020</c:v>
                </c:pt>
                <c:pt idx="265">
                  <c:v>23.11.2020</c:v>
                </c:pt>
                <c:pt idx="266">
                  <c:v>24.11.2020</c:v>
                </c:pt>
                <c:pt idx="267">
                  <c:v>25.11.2020</c:v>
                </c:pt>
                <c:pt idx="268">
                  <c:v>26.11.2020</c:v>
                </c:pt>
                <c:pt idx="269">
                  <c:v>27.11.2020</c:v>
                </c:pt>
                <c:pt idx="270">
                  <c:v>28.11.2020</c:v>
                </c:pt>
                <c:pt idx="271">
                  <c:v>29.11.2020</c:v>
                </c:pt>
                <c:pt idx="272">
                  <c:v>30.11.2020</c:v>
                </c:pt>
                <c:pt idx="273">
                  <c:v>01.12.2020</c:v>
                </c:pt>
                <c:pt idx="274">
                  <c:v>02.12.2020</c:v>
                </c:pt>
                <c:pt idx="275">
                  <c:v>03.12.2020</c:v>
                </c:pt>
                <c:pt idx="276">
                  <c:v>04.12.2020</c:v>
                </c:pt>
                <c:pt idx="277">
                  <c:v>05.12.2020</c:v>
                </c:pt>
                <c:pt idx="278">
                  <c:v>06.12.2020</c:v>
                </c:pt>
                <c:pt idx="279">
                  <c:v>07.12.2020</c:v>
                </c:pt>
                <c:pt idx="280">
                  <c:v>08.12.2020</c:v>
                </c:pt>
                <c:pt idx="281">
                  <c:v>09.12.2020</c:v>
                </c:pt>
                <c:pt idx="282">
                  <c:v>10.12.2020</c:v>
                </c:pt>
                <c:pt idx="283">
                  <c:v>11.12.2020</c:v>
                </c:pt>
                <c:pt idx="284">
                  <c:v>12.12.2020</c:v>
                </c:pt>
                <c:pt idx="285">
                  <c:v>13.12.2020</c:v>
                </c:pt>
                <c:pt idx="286">
                  <c:v>14.12.2020</c:v>
                </c:pt>
                <c:pt idx="287">
                  <c:v>15.12.2020</c:v>
                </c:pt>
                <c:pt idx="288">
                  <c:v>16.12.2020</c:v>
                </c:pt>
                <c:pt idx="289">
                  <c:v>17.12.2020</c:v>
                </c:pt>
                <c:pt idx="290">
                  <c:v>18.12.2020</c:v>
                </c:pt>
                <c:pt idx="291">
                  <c:v>19.12.2020</c:v>
                </c:pt>
                <c:pt idx="292">
                  <c:v>20.12.2020</c:v>
                </c:pt>
                <c:pt idx="293">
                  <c:v>#LICZBA!</c:v>
                </c:pt>
              </c:strCache>
            </c:strRef>
          </c:cat>
          <c:val>
            <c:numRef>
              <c:f>'R(t) Województwa'!$DG$3:$DG$1000</c:f>
              <c:numCache>
                <c:formatCode>General</c:formatCode>
                <c:ptCount val="998"/>
                <c:pt idx="4">
                  <c:v>0.4</c:v>
                </c:pt>
                <c:pt idx="5">
                  <c:v>0.33333333333333331</c:v>
                </c:pt>
                <c:pt idx="6">
                  <c:v>0.2857142857142857</c:v>
                </c:pt>
                <c:pt idx="7">
                  <c:v>0.2857142857142857</c:v>
                </c:pt>
                <c:pt idx="8">
                  <c:v>0.2857142857142857</c:v>
                </c:pt>
                <c:pt idx="9">
                  <c:v>0.42857142857142855</c:v>
                </c:pt>
                <c:pt idx="10">
                  <c:v>0.42857142857142855</c:v>
                </c:pt>
                <c:pt idx="11">
                  <c:v>0.42857142857142855</c:v>
                </c:pt>
                <c:pt idx="12">
                  <c:v>0.5714285714285714</c:v>
                </c:pt>
                <c:pt idx="13">
                  <c:v>0.5714285714285714</c:v>
                </c:pt>
                <c:pt idx="14">
                  <c:v>0.8571428571428571</c:v>
                </c:pt>
                <c:pt idx="15">
                  <c:v>0.8571428571428571</c:v>
                </c:pt>
                <c:pt idx="16">
                  <c:v>0.8571428571428571</c:v>
                </c:pt>
                <c:pt idx="17">
                  <c:v>0.5714285714285714</c:v>
                </c:pt>
                <c:pt idx="18">
                  <c:v>0.7142857142857143</c:v>
                </c:pt>
                <c:pt idx="19">
                  <c:v>0.8571428571428571</c:v>
                </c:pt>
                <c:pt idx="20">
                  <c:v>1.4285714285714286</c:v>
                </c:pt>
                <c:pt idx="21">
                  <c:v>2.7142857142857144</c:v>
                </c:pt>
                <c:pt idx="22">
                  <c:v>3.2857142857142856</c:v>
                </c:pt>
                <c:pt idx="23">
                  <c:v>3.4285714285714284</c:v>
                </c:pt>
                <c:pt idx="24">
                  <c:v>4.4285714285714288</c:v>
                </c:pt>
                <c:pt idx="25">
                  <c:v>5.8571428571428568</c:v>
                </c:pt>
                <c:pt idx="26">
                  <c:v>6.4285714285714288</c:v>
                </c:pt>
                <c:pt idx="27">
                  <c:v>6.1428571428571432</c:v>
                </c:pt>
                <c:pt idx="28">
                  <c:v>6</c:v>
                </c:pt>
                <c:pt idx="29">
                  <c:v>6.8571428571428568</c:v>
                </c:pt>
                <c:pt idx="30">
                  <c:v>8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8.2857142857142865</c:v>
                </c:pt>
                <c:pt idx="35">
                  <c:v>9.1428571428571423</c:v>
                </c:pt>
                <c:pt idx="36">
                  <c:v>12.285714285714286</c:v>
                </c:pt>
                <c:pt idx="37">
                  <c:v>12.142857142857142</c:v>
                </c:pt>
                <c:pt idx="38">
                  <c:v>13.571428571428571</c:v>
                </c:pt>
                <c:pt idx="39">
                  <c:v>13</c:v>
                </c:pt>
                <c:pt idx="40">
                  <c:v>12.428571428571429</c:v>
                </c:pt>
                <c:pt idx="41">
                  <c:v>12.285714285714286</c:v>
                </c:pt>
                <c:pt idx="42">
                  <c:v>11.142857142857142</c:v>
                </c:pt>
                <c:pt idx="43">
                  <c:v>7.4285714285714288</c:v>
                </c:pt>
                <c:pt idx="44">
                  <c:v>7</c:v>
                </c:pt>
                <c:pt idx="45">
                  <c:v>6.5714285714285712</c:v>
                </c:pt>
                <c:pt idx="46">
                  <c:v>8.2857142857142865</c:v>
                </c:pt>
                <c:pt idx="47">
                  <c:v>10.428571428571429</c:v>
                </c:pt>
                <c:pt idx="48">
                  <c:v>10.571428571428571</c:v>
                </c:pt>
                <c:pt idx="49">
                  <c:v>9.7142857142857135</c:v>
                </c:pt>
                <c:pt idx="50">
                  <c:v>10.142857142857142</c:v>
                </c:pt>
                <c:pt idx="51">
                  <c:v>11.571428571428571</c:v>
                </c:pt>
                <c:pt idx="52">
                  <c:v>15.142857142857142</c:v>
                </c:pt>
                <c:pt idx="53">
                  <c:v>13.428571428571429</c:v>
                </c:pt>
                <c:pt idx="54">
                  <c:v>12.714285714285714</c:v>
                </c:pt>
                <c:pt idx="55">
                  <c:v>13.285714285714286</c:v>
                </c:pt>
                <c:pt idx="56">
                  <c:v>13.857142857142858</c:v>
                </c:pt>
                <c:pt idx="57">
                  <c:v>13.142857142857142</c:v>
                </c:pt>
                <c:pt idx="58">
                  <c:v>13.142857142857142</c:v>
                </c:pt>
                <c:pt idx="59">
                  <c:v>9.2857142857142865</c:v>
                </c:pt>
                <c:pt idx="60">
                  <c:v>9</c:v>
                </c:pt>
                <c:pt idx="61">
                  <c:v>8.4285714285714288</c:v>
                </c:pt>
                <c:pt idx="62">
                  <c:v>8.2857142857142865</c:v>
                </c:pt>
                <c:pt idx="63">
                  <c:v>9.2857142857142865</c:v>
                </c:pt>
                <c:pt idx="64">
                  <c:v>10.285714285714286</c:v>
                </c:pt>
                <c:pt idx="65">
                  <c:v>9.1428571428571423</c:v>
                </c:pt>
                <c:pt idx="66">
                  <c:v>9</c:v>
                </c:pt>
                <c:pt idx="67">
                  <c:v>9</c:v>
                </c:pt>
                <c:pt idx="68">
                  <c:v>8.4285714285714288</c:v>
                </c:pt>
                <c:pt idx="69">
                  <c:v>6.5714285714285712</c:v>
                </c:pt>
                <c:pt idx="70">
                  <c:v>5.5714285714285712</c:v>
                </c:pt>
                <c:pt idx="71">
                  <c:v>4.8571428571428568</c:v>
                </c:pt>
                <c:pt idx="72">
                  <c:v>4</c:v>
                </c:pt>
                <c:pt idx="73">
                  <c:v>3.8571428571428572</c:v>
                </c:pt>
                <c:pt idx="74">
                  <c:v>3.2857142857142856</c:v>
                </c:pt>
                <c:pt idx="75">
                  <c:v>3</c:v>
                </c:pt>
                <c:pt idx="76">
                  <c:v>3.2857142857142856</c:v>
                </c:pt>
                <c:pt idx="77">
                  <c:v>3.1428571428571428</c:v>
                </c:pt>
                <c:pt idx="78">
                  <c:v>2.4285714285714284</c:v>
                </c:pt>
                <c:pt idx="79">
                  <c:v>3.5714285714285716</c:v>
                </c:pt>
                <c:pt idx="80">
                  <c:v>3.4285714285714284</c:v>
                </c:pt>
                <c:pt idx="81">
                  <c:v>3.8571428571428572</c:v>
                </c:pt>
                <c:pt idx="82">
                  <c:v>3.7142857142857144</c:v>
                </c:pt>
                <c:pt idx="83">
                  <c:v>3.4285714285714284</c:v>
                </c:pt>
                <c:pt idx="84">
                  <c:v>3.2857142857142856</c:v>
                </c:pt>
                <c:pt idx="85">
                  <c:v>3.4285714285714284</c:v>
                </c:pt>
                <c:pt idx="86">
                  <c:v>2</c:v>
                </c:pt>
                <c:pt idx="87">
                  <c:v>2.2857142857142856</c:v>
                </c:pt>
                <c:pt idx="88">
                  <c:v>2.2857142857142856</c:v>
                </c:pt>
                <c:pt idx="89">
                  <c:v>2.2857142857142856</c:v>
                </c:pt>
                <c:pt idx="90">
                  <c:v>2.1428571428571428</c:v>
                </c:pt>
                <c:pt idx="91">
                  <c:v>2.2857142857142856</c:v>
                </c:pt>
                <c:pt idx="92">
                  <c:v>3</c:v>
                </c:pt>
                <c:pt idx="93">
                  <c:v>3.2857142857142856</c:v>
                </c:pt>
                <c:pt idx="94">
                  <c:v>3.1428571428571428</c:v>
                </c:pt>
                <c:pt idx="95">
                  <c:v>2.5714285714285716</c:v>
                </c:pt>
                <c:pt idx="96">
                  <c:v>2.5714285714285716</c:v>
                </c:pt>
                <c:pt idx="97">
                  <c:v>2.5714285714285716</c:v>
                </c:pt>
                <c:pt idx="98">
                  <c:v>2.7142857142857144</c:v>
                </c:pt>
                <c:pt idx="99">
                  <c:v>2.4285714285714284</c:v>
                </c:pt>
                <c:pt idx="100">
                  <c:v>2.4285714285714284</c:v>
                </c:pt>
                <c:pt idx="101">
                  <c:v>2.2857142857142856</c:v>
                </c:pt>
                <c:pt idx="102">
                  <c:v>3.2857142857142856</c:v>
                </c:pt>
                <c:pt idx="103">
                  <c:v>3.8571428571428572</c:v>
                </c:pt>
                <c:pt idx="104">
                  <c:v>4.1428571428571432</c:v>
                </c:pt>
                <c:pt idx="105">
                  <c:v>4</c:v>
                </c:pt>
                <c:pt idx="106">
                  <c:v>3.7142857142857144</c:v>
                </c:pt>
                <c:pt idx="107">
                  <c:v>3.4285714285714284</c:v>
                </c:pt>
                <c:pt idx="108">
                  <c:v>3.7142857142857144</c:v>
                </c:pt>
                <c:pt idx="109">
                  <c:v>2.8571428571428572</c:v>
                </c:pt>
                <c:pt idx="110">
                  <c:v>2.2857142857142856</c:v>
                </c:pt>
                <c:pt idx="111">
                  <c:v>2</c:v>
                </c:pt>
                <c:pt idx="112">
                  <c:v>1.5714285714285714</c:v>
                </c:pt>
                <c:pt idx="113">
                  <c:v>1.7142857142857142</c:v>
                </c:pt>
                <c:pt idx="114">
                  <c:v>1.8571428571428572</c:v>
                </c:pt>
                <c:pt idx="115">
                  <c:v>1.8571428571428572</c:v>
                </c:pt>
                <c:pt idx="116">
                  <c:v>1.8571428571428572</c:v>
                </c:pt>
                <c:pt idx="117">
                  <c:v>1.7142857142857142</c:v>
                </c:pt>
                <c:pt idx="118">
                  <c:v>1.7142857142857142</c:v>
                </c:pt>
                <c:pt idx="119">
                  <c:v>1.7142857142857142</c:v>
                </c:pt>
                <c:pt idx="120">
                  <c:v>1.1428571428571428</c:v>
                </c:pt>
                <c:pt idx="121">
                  <c:v>1</c:v>
                </c:pt>
                <c:pt idx="122">
                  <c:v>0.7142857142857143</c:v>
                </c:pt>
                <c:pt idx="123">
                  <c:v>1.5714285714285714</c:v>
                </c:pt>
                <c:pt idx="124">
                  <c:v>1.7142857142857142</c:v>
                </c:pt>
                <c:pt idx="125">
                  <c:v>1.7142857142857142</c:v>
                </c:pt>
                <c:pt idx="126">
                  <c:v>1.5714285714285714</c:v>
                </c:pt>
                <c:pt idx="127">
                  <c:v>1.5714285714285714</c:v>
                </c:pt>
                <c:pt idx="128">
                  <c:v>1.7142857142857142</c:v>
                </c:pt>
                <c:pt idx="129">
                  <c:v>2.5714285714285716</c:v>
                </c:pt>
                <c:pt idx="130">
                  <c:v>2.1428571428571428</c:v>
                </c:pt>
                <c:pt idx="131">
                  <c:v>2</c:v>
                </c:pt>
                <c:pt idx="132">
                  <c:v>2.2857142857142856</c:v>
                </c:pt>
                <c:pt idx="133">
                  <c:v>2.2857142857142856</c:v>
                </c:pt>
                <c:pt idx="134">
                  <c:v>2.8571428571428572</c:v>
                </c:pt>
                <c:pt idx="135">
                  <c:v>3.1428571428571428</c:v>
                </c:pt>
                <c:pt idx="136">
                  <c:v>2</c:v>
                </c:pt>
                <c:pt idx="137">
                  <c:v>2.5714285714285716</c:v>
                </c:pt>
                <c:pt idx="138">
                  <c:v>3</c:v>
                </c:pt>
                <c:pt idx="139">
                  <c:v>3.2857142857142856</c:v>
                </c:pt>
                <c:pt idx="140">
                  <c:v>4.1428571428571432</c:v>
                </c:pt>
                <c:pt idx="141">
                  <c:v>4.4285714285714288</c:v>
                </c:pt>
                <c:pt idx="142">
                  <c:v>5.4285714285714288</c:v>
                </c:pt>
                <c:pt idx="143">
                  <c:v>6</c:v>
                </c:pt>
                <c:pt idx="144">
                  <c:v>5</c:v>
                </c:pt>
                <c:pt idx="145">
                  <c:v>5.5714285714285712</c:v>
                </c:pt>
                <c:pt idx="146">
                  <c:v>5.2857142857142856</c:v>
                </c:pt>
                <c:pt idx="147">
                  <c:v>5.1428571428571432</c:v>
                </c:pt>
                <c:pt idx="148">
                  <c:v>6</c:v>
                </c:pt>
                <c:pt idx="149">
                  <c:v>5.5714285714285712</c:v>
                </c:pt>
                <c:pt idx="150">
                  <c:v>5.5714285714285712</c:v>
                </c:pt>
                <c:pt idx="151">
                  <c:v>7.5714285714285712</c:v>
                </c:pt>
                <c:pt idx="152">
                  <c:v>7.2857142857142856</c:v>
                </c:pt>
                <c:pt idx="153">
                  <c:v>9.1428571428571423</c:v>
                </c:pt>
                <c:pt idx="154">
                  <c:v>10.428571428571429</c:v>
                </c:pt>
                <c:pt idx="155">
                  <c:v>11.142857142857142</c:v>
                </c:pt>
                <c:pt idx="156">
                  <c:v>12.857142857142858</c:v>
                </c:pt>
                <c:pt idx="157">
                  <c:v>14.285714285714286</c:v>
                </c:pt>
                <c:pt idx="158">
                  <c:v>15.142857142857142</c:v>
                </c:pt>
                <c:pt idx="159">
                  <c:v>16.571428571428573</c:v>
                </c:pt>
                <c:pt idx="160">
                  <c:v>16</c:v>
                </c:pt>
                <c:pt idx="161">
                  <c:v>17.571428571428573</c:v>
                </c:pt>
                <c:pt idx="162">
                  <c:v>17.142857142857142</c:v>
                </c:pt>
                <c:pt idx="163">
                  <c:v>15.285714285714286</c:v>
                </c:pt>
                <c:pt idx="164">
                  <c:v>14.428571428571429</c:v>
                </c:pt>
                <c:pt idx="165">
                  <c:v>14.428571428571429</c:v>
                </c:pt>
                <c:pt idx="166">
                  <c:v>14.857142857142858</c:v>
                </c:pt>
                <c:pt idx="167">
                  <c:v>15.285714285714286</c:v>
                </c:pt>
                <c:pt idx="168">
                  <c:v>13.857142857142858</c:v>
                </c:pt>
                <c:pt idx="169">
                  <c:v>13.714285714285714</c:v>
                </c:pt>
                <c:pt idx="170">
                  <c:v>14.571428571428571</c:v>
                </c:pt>
                <c:pt idx="171">
                  <c:v>14.285714285714286</c:v>
                </c:pt>
                <c:pt idx="172">
                  <c:v>12.857142857142858</c:v>
                </c:pt>
                <c:pt idx="173">
                  <c:v>10.714285714285714</c:v>
                </c:pt>
                <c:pt idx="174">
                  <c:v>9.2857142857142865</c:v>
                </c:pt>
                <c:pt idx="175">
                  <c:v>8.7142857142857135</c:v>
                </c:pt>
                <c:pt idx="176">
                  <c:v>9.4285714285714288</c:v>
                </c:pt>
                <c:pt idx="177">
                  <c:v>9.2857142857142865</c:v>
                </c:pt>
                <c:pt idx="178">
                  <c:v>9.8571428571428577</c:v>
                </c:pt>
                <c:pt idx="179">
                  <c:v>9.8571428571428577</c:v>
                </c:pt>
                <c:pt idx="180">
                  <c:v>10.571428571428571</c:v>
                </c:pt>
                <c:pt idx="181">
                  <c:v>11.428571428571429</c:v>
                </c:pt>
                <c:pt idx="182">
                  <c:v>10.714285714285714</c:v>
                </c:pt>
                <c:pt idx="183">
                  <c:v>8.7142857142857135</c:v>
                </c:pt>
                <c:pt idx="184">
                  <c:v>9.5714285714285712</c:v>
                </c:pt>
                <c:pt idx="185">
                  <c:v>8.4285714285714288</c:v>
                </c:pt>
                <c:pt idx="186">
                  <c:v>8.8571428571428577</c:v>
                </c:pt>
                <c:pt idx="187">
                  <c:v>8.2857142857142865</c:v>
                </c:pt>
                <c:pt idx="188">
                  <c:v>7.2857142857142856</c:v>
                </c:pt>
                <c:pt idx="189">
                  <c:v>8.5714285714285712</c:v>
                </c:pt>
                <c:pt idx="190">
                  <c:v>9.5714285714285712</c:v>
                </c:pt>
                <c:pt idx="191">
                  <c:v>8.8571428571428577</c:v>
                </c:pt>
                <c:pt idx="192">
                  <c:v>10.142857142857142</c:v>
                </c:pt>
                <c:pt idx="193">
                  <c:v>10.142857142857142</c:v>
                </c:pt>
                <c:pt idx="194">
                  <c:v>9.8571428571428577</c:v>
                </c:pt>
                <c:pt idx="195">
                  <c:v>9.8571428571428577</c:v>
                </c:pt>
                <c:pt idx="196">
                  <c:v>10</c:v>
                </c:pt>
                <c:pt idx="197">
                  <c:v>11.857142857142858</c:v>
                </c:pt>
                <c:pt idx="198">
                  <c:v>16</c:v>
                </c:pt>
                <c:pt idx="199">
                  <c:v>17.285714285714285</c:v>
                </c:pt>
                <c:pt idx="200">
                  <c:v>19.714285714285715</c:v>
                </c:pt>
                <c:pt idx="201">
                  <c:v>21.285714285714285</c:v>
                </c:pt>
                <c:pt idx="202">
                  <c:v>22.571428571428573</c:v>
                </c:pt>
                <c:pt idx="203">
                  <c:v>25.714285714285715</c:v>
                </c:pt>
                <c:pt idx="204">
                  <c:v>24.571428571428573</c:v>
                </c:pt>
                <c:pt idx="205">
                  <c:v>22.714285714285715</c:v>
                </c:pt>
                <c:pt idx="206">
                  <c:v>28.571428571428573</c:v>
                </c:pt>
                <c:pt idx="207">
                  <c:v>31.428571428571427</c:v>
                </c:pt>
                <c:pt idx="208">
                  <c:v>37.714285714285715</c:v>
                </c:pt>
                <c:pt idx="209">
                  <c:v>39.571428571428569</c:v>
                </c:pt>
                <c:pt idx="210">
                  <c:v>42.285714285714285</c:v>
                </c:pt>
                <c:pt idx="211">
                  <c:v>50.428571428571431</c:v>
                </c:pt>
                <c:pt idx="212">
                  <c:v>54.714285714285715</c:v>
                </c:pt>
                <c:pt idx="213">
                  <c:v>62.285714285714285</c:v>
                </c:pt>
                <c:pt idx="214">
                  <c:v>63.857142857142854</c:v>
                </c:pt>
                <c:pt idx="215">
                  <c:v>64</c:v>
                </c:pt>
                <c:pt idx="216">
                  <c:v>66.285714285714292</c:v>
                </c:pt>
                <c:pt idx="217">
                  <c:v>73.857142857142861</c:v>
                </c:pt>
                <c:pt idx="218">
                  <c:v>84.285714285714292</c:v>
                </c:pt>
                <c:pt idx="219">
                  <c:v>92.571428571428569</c:v>
                </c:pt>
                <c:pt idx="220">
                  <c:v>94.857142857142861</c:v>
                </c:pt>
                <c:pt idx="221">
                  <c:v>107.71428571428571</c:v>
                </c:pt>
                <c:pt idx="222">
                  <c:v>121.57142857142857</c:v>
                </c:pt>
                <c:pt idx="223">
                  <c:v>132.28571428571428</c:v>
                </c:pt>
                <c:pt idx="224">
                  <c:v>138</c:v>
                </c:pt>
                <c:pt idx="225">
                  <c:v>142.14285714285714</c:v>
                </c:pt>
                <c:pt idx="226">
                  <c:v>150.85714285714286</c:v>
                </c:pt>
                <c:pt idx="227">
                  <c:v>176.71428571428572</c:v>
                </c:pt>
                <c:pt idx="228">
                  <c:v>203.57142857142858</c:v>
                </c:pt>
                <c:pt idx="229">
                  <c:v>226.71428571428572</c:v>
                </c:pt>
                <c:pt idx="230">
                  <c:v>241.14285714285714</c:v>
                </c:pt>
                <c:pt idx="231">
                  <c:v>250</c:v>
                </c:pt>
                <c:pt idx="232">
                  <c:v>265.71428571428572</c:v>
                </c:pt>
                <c:pt idx="233">
                  <c:v>314</c:v>
                </c:pt>
                <c:pt idx="234">
                  <c:v>349.28571428571428</c:v>
                </c:pt>
                <c:pt idx="235">
                  <c:v>383.57142857142856</c:v>
                </c:pt>
                <c:pt idx="236">
                  <c:v>406</c:v>
                </c:pt>
                <c:pt idx="237">
                  <c:v>455</c:v>
                </c:pt>
                <c:pt idx="238">
                  <c:v>499</c:v>
                </c:pt>
                <c:pt idx="239">
                  <c:v>509.71428571428572</c:v>
                </c:pt>
                <c:pt idx="240">
                  <c:v>514.57142857142856</c:v>
                </c:pt>
                <c:pt idx="241">
                  <c:v>530.28571428571433</c:v>
                </c:pt>
                <c:pt idx="242">
                  <c:v>552.42857142857144</c:v>
                </c:pt>
                <c:pt idx="243">
                  <c:v>586.28571428571433</c:v>
                </c:pt>
                <c:pt idx="244">
                  <c:v>588</c:v>
                </c:pt>
                <c:pt idx="245">
                  <c:v>578.42857142857144</c:v>
                </c:pt>
                <c:pt idx="246">
                  <c:v>633.71428571428567</c:v>
                </c:pt>
                <c:pt idx="247">
                  <c:v>679</c:v>
                </c:pt>
                <c:pt idx="248">
                  <c:v>712.57142857142856</c:v>
                </c:pt>
                <c:pt idx="249">
                  <c:v>760.71428571428567</c:v>
                </c:pt>
                <c:pt idx="250">
                  <c:v>762.42857142857144</c:v>
                </c:pt>
                <c:pt idx="251">
                  <c:v>797.71428571428567</c:v>
                </c:pt>
                <c:pt idx="252">
                  <c:v>838.28571428571433</c:v>
                </c:pt>
                <c:pt idx="253">
                  <c:v>853.28571428571433</c:v>
                </c:pt>
                <c:pt idx="254">
                  <c:v>839.28571428571433</c:v>
                </c:pt>
                <c:pt idx="255">
                  <c:v>900.42857142857144</c:v>
                </c:pt>
                <c:pt idx="256">
                  <c:v>896.57142857142856</c:v>
                </c:pt>
                <c:pt idx="257">
                  <c:v>940.85714285714289</c:v>
                </c:pt>
                <c:pt idx="258">
                  <c:v>982.42857142857144</c:v>
                </c:pt>
                <c:pt idx="259">
                  <c:v>1047.1428571428571</c:v>
                </c:pt>
                <c:pt idx="260">
                  <c:v>1089.1428571428571</c:v>
                </c:pt>
                <c:pt idx="261">
                  <c:v>1148.7142857142858</c:v>
                </c:pt>
                <c:pt idx="262">
                  <c:v>1140.8571428571429</c:v>
                </c:pt>
                <c:pt idx="263">
                  <c:v>1148.8571428571429</c:v>
                </c:pt>
                <c:pt idx="264">
                  <c:v>1138.4285714285713</c:v>
                </c:pt>
                <c:pt idx="265">
                  <c:v>1117.7142857142858</c:v>
                </c:pt>
                <c:pt idx="266">
                  <c:v>1012.8571428571429</c:v>
                </c:pt>
                <c:pt idx="267">
                  <c:v>993.57142857142856</c:v>
                </c:pt>
                <c:pt idx="268">
                  <c:v>965.85714285714289</c:v>
                </c:pt>
                <c:pt idx="269">
                  <c:v>914.28571428571433</c:v>
                </c:pt>
                <c:pt idx="270">
                  <c:v>885.85714285714289</c:v>
                </c:pt>
                <c:pt idx="271">
                  <c:v>860.14285714285711</c:v>
                </c:pt>
                <c:pt idx="272">
                  <c:v>807.85714285714289</c:v>
                </c:pt>
                <c:pt idx="273">
                  <c:v>808.42857142857144</c:v>
                </c:pt>
                <c:pt idx="274">
                  <c:v>771.28571428571433</c:v>
                </c:pt>
                <c:pt idx="275">
                  <c:v>763.85714285714289</c:v>
                </c:pt>
                <c:pt idx="276">
                  <c:v>775.85714285714289</c:v>
                </c:pt>
                <c:pt idx="277">
                  <c:v>786.14285714285711</c:v>
                </c:pt>
                <c:pt idx="278">
                  <c:v>771</c:v>
                </c:pt>
                <c:pt idx="279">
                  <c:v>761</c:v>
                </c:pt>
                <c:pt idx="280">
                  <c:v>764.57142857142856</c:v>
                </c:pt>
                <c:pt idx="281">
                  <c:v>790.42857142857144</c:v>
                </c:pt>
                <c:pt idx="282">
                  <c:v>792.85714285714289</c:v>
                </c:pt>
                <c:pt idx="283">
                  <c:v>808.71428571428567</c:v>
                </c:pt>
                <c:pt idx="284">
                  <c:v>808.57142857142856</c:v>
                </c:pt>
                <c:pt idx="285">
                  <c:v>797</c:v>
                </c:pt>
                <c:pt idx="286">
                  <c:v>801.57142857142856</c:v>
                </c:pt>
                <c:pt idx="287">
                  <c:v>779</c:v>
                </c:pt>
                <c:pt idx="288">
                  <c:v>797.85714285714289</c:v>
                </c:pt>
                <c:pt idx="289">
                  <c:v>821.85714285714289</c:v>
                </c:pt>
                <c:pt idx="290">
                  <c:v>799.85714285714289</c:v>
                </c:pt>
                <c:pt idx="291">
                  <c:v>800</c:v>
                </c:pt>
                <c:pt idx="292">
                  <c:v>825.71428571428567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9EA-46CD-A256-C7EB17ED6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029385"/>
        <c:axId val="688630265"/>
      </c:lineChart>
      <c:catAx>
        <c:axId val="781964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578783300"/>
        <c:crosses val="autoZero"/>
        <c:auto val="1"/>
        <c:lblAlgn val="ctr"/>
        <c:lblOffset val="100"/>
        <c:noMultiLvlLbl val="1"/>
      </c:catAx>
      <c:valAx>
        <c:axId val="1578783300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781964927"/>
        <c:crosses val="autoZero"/>
        <c:crossBetween val="between"/>
      </c:valAx>
      <c:catAx>
        <c:axId val="80102938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88630265"/>
        <c:crosses val="autoZero"/>
        <c:auto val="1"/>
        <c:lblAlgn val="ctr"/>
        <c:lblOffset val="100"/>
        <c:noMultiLvlLbl val="1"/>
      </c:catAx>
      <c:valAx>
        <c:axId val="688630265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801029385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Mazowieckiego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Województwa'!$AZ$2</c:f>
              <c:strCache>
                <c:ptCount val="1"/>
                <c:pt idx="0">
                  <c:v>Mazowieckie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Województwa'!$AZ$3:$AZ$1000</c:f>
              <c:numCache>
                <c:formatCode>General</c:formatCode>
                <c:ptCount val="998"/>
                <c:pt idx="19" formatCode="0.0000">
                  <c:v>1.3769570453633082</c:v>
                </c:pt>
                <c:pt idx="20" formatCode="0.0000">
                  <c:v>1.6030954142793905</c:v>
                </c:pt>
                <c:pt idx="21" formatCode="0.0000">
                  <c:v>1.7891248453575026</c:v>
                </c:pt>
                <c:pt idx="22" formatCode="0.0000">
                  <c:v>1.8303153959189753</c:v>
                </c:pt>
                <c:pt idx="23" formatCode="0.0000">
                  <c:v>1.8169831746032561</c:v>
                </c:pt>
                <c:pt idx="24" formatCode="0.0000">
                  <c:v>1.6930474933532291</c:v>
                </c:pt>
                <c:pt idx="25" formatCode="0.0000">
                  <c:v>2.0300738010381645</c:v>
                </c:pt>
                <c:pt idx="26" formatCode="0.0000">
                  <c:v>1.9899161818023514</c:v>
                </c:pt>
                <c:pt idx="27" formatCode="0.0000">
                  <c:v>1.8289803276622725</c:v>
                </c:pt>
                <c:pt idx="28" formatCode="0.0000">
                  <c:v>1.7500726816448855</c:v>
                </c:pt>
                <c:pt idx="29" formatCode="0.0000">
                  <c:v>1.7231931706181949</c:v>
                </c:pt>
                <c:pt idx="30" formatCode="0.0000">
                  <c:v>1.9460543868608589</c:v>
                </c:pt>
                <c:pt idx="31" formatCode="0.0000">
                  <c:v>1.9282777984458106</c:v>
                </c:pt>
                <c:pt idx="32" formatCode="0.0000">
                  <c:v>1.3493875631389856</c:v>
                </c:pt>
                <c:pt idx="33" formatCode="0.0000">
                  <c:v>1.6619393382407652</c:v>
                </c:pt>
                <c:pt idx="34" formatCode="0.0000">
                  <c:v>1.7795642185355198</c:v>
                </c:pt>
                <c:pt idx="35" formatCode="0.0000">
                  <c:v>1.9263037960541267</c:v>
                </c:pt>
                <c:pt idx="36" formatCode="0.0000">
                  <c:v>1.7864231275732523</c:v>
                </c:pt>
                <c:pt idx="37" formatCode="0.0000">
                  <c:v>1.5018955618657372</c:v>
                </c:pt>
                <c:pt idx="38" formatCode="0.0000">
                  <c:v>1.4935014918346163</c:v>
                </c:pt>
                <c:pt idx="39" formatCode="0.0000">
                  <c:v>1.7082668167950981</c:v>
                </c:pt>
                <c:pt idx="40" formatCode="0.0000">
                  <c:v>1.2939498882910851</c:v>
                </c:pt>
                <c:pt idx="41" formatCode="0.0000">
                  <c:v>1.1171370045016056</c:v>
                </c:pt>
                <c:pt idx="42" formatCode="0.0000">
                  <c:v>0.79215387307873519</c:v>
                </c:pt>
                <c:pt idx="43" formatCode="0.0000">
                  <c:v>0.84168885499978718</c:v>
                </c:pt>
                <c:pt idx="44" formatCode="0.0000">
                  <c:v>0.76282400613097801</c:v>
                </c:pt>
                <c:pt idx="45" formatCode="0.0000">
                  <c:v>0.71447710514086082</c:v>
                </c:pt>
                <c:pt idx="46" formatCode="0.0000">
                  <c:v>0.62034208075177244</c:v>
                </c:pt>
                <c:pt idx="47" formatCode="0.0000">
                  <c:v>0.69591253330239089</c:v>
                </c:pt>
                <c:pt idx="48" formatCode="0.0000">
                  <c:v>0.74429283241312227</c:v>
                </c:pt>
                <c:pt idx="49" formatCode="0.0000">
                  <c:v>0.76491113060170413</c:v>
                </c:pt>
                <c:pt idx="50" formatCode="0.0000">
                  <c:v>0.70749850715846763</c:v>
                </c:pt>
                <c:pt idx="51" formatCode="0.0000">
                  <c:v>0.78553391583947241</c:v>
                </c:pt>
                <c:pt idx="52" formatCode="0.0000">
                  <c:v>0.81319522478845141</c:v>
                </c:pt>
                <c:pt idx="53" formatCode="0.0000">
                  <c:v>0.95776896585509996</c:v>
                </c:pt>
                <c:pt idx="54" formatCode="0.0000">
                  <c:v>0.94063743183507742</c:v>
                </c:pt>
                <c:pt idx="55" formatCode="0.0000">
                  <c:v>0.92208565134037879</c:v>
                </c:pt>
                <c:pt idx="56" formatCode="0.0000">
                  <c:v>0.89087114742127582</c:v>
                </c:pt>
                <c:pt idx="57" formatCode="0.0000">
                  <c:v>0.89592412036491065</c:v>
                </c:pt>
                <c:pt idx="58" formatCode="0.0000">
                  <c:v>0.78516170106214922</c:v>
                </c:pt>
                <c:pt idx="59" formatCode="0.0000">
                  <c:v>0.67867951053472919</c:v>
                </c:pt>
                <c:pt idx="60" formatCode="0.0000">
                  <c:v>0.51157799641723067</c:v>
                </c:pt>
                <c:pt idx="61" formatCode="0.0000">
                  <c:v>0.52570017789193757</c:v>
                </c:pt>
                <c:pt idx="62" formatCode="0.0000">
                  <c:v>0.64244663514346989</c:v>
                </c:pt>
                <c:pt idx="63" formatCode="0.0000">
                  <c:v>0.91293243015273073</c:v>
                </c:pt>
                <c:pt idx="64" formatCode="0.0000">
                  <c:v>0.94690954793972859</c:v>
                </c:pt>
                <c:pt idx="65" formatCode="0.0000">
                  <c:v>0.99115205773164994</c:v>
                </c:pt>
                <c:pt idx="66" formatCode="0.0000">
                  <c:v>1.0678060681447106</c:v>
                </c:pt>
                <c:pt idx="67" formatCode="0.0000">
                  <c:v>1.096567629524198</c:v>
                </c:pt>
                <c:pt idx="68" formatCode="0.0000">
                  <c:v>1.0678116306928147</c:v>
                </c:pt>
                <c:pt idx="69" formatCode="0.0000">
                  <c:v>0.94749013590902342</c:v>
                </c:pt>
                <c:pt idx="70" formatCode="0.0000">
                  <c:v>0.72612562707351869</c:v>
                </c:pt>
                <c:pt idx="71" formatCode="0.0000">
                  <c:v>0.81364131861127753</c:v>
                </c:pt>
                <c:pt idx="72" formatCode="0.0000">
                  <c:v>0.7822925811749476</c:v>
                </c:pt>
                <c:pt idx="73" formatCode="0.0000">
                  <c:v>0.82850212833784109</c:v>
                </c:pt>
                <c:pt idx="74" formatCode="0.0000">
                  <c:v>0.78671064562845883</c:v>
                </c:pt>
                <c:pt idx="75" formatCode="0.0000">
                  <c:v>0.78791434544331707</c:v>
                </c:pt>
                <c:pt idx="76" formatCode="0.0000">
                  <c:v>0.88434203705658554</c:v>
                </c:pt>
                <c:pt idx="77" formatCode="0.0000">
                  <c:v>0.97418528208568189</c:v>
                </c:pt>
                <c:pt idx="78" formatCode="0.0000">
                  <c:v>0.94011922027416184</c:v>
                </c:pt>
                <c:pt idx="79" formatCode="0.0000">
                  <c:v>1.0531864809869897</c:v>
                </c:pt>
                <c:pt idx="80" formatCode="0.0000">
                  <c:v>1.0518345972733181</c:v>
                </c:pt>
                <c:pt idx="81" formatCode="0.0000">
                  <c:v>1.1380198798122336</c:v>
                </c:pt>
                <c:pt idx="82" formatCode="0.0000">
                  <c:v>1.1214898816846872</c:v>
                </c:pt>
                <c:pt idx="83" formatCode="0.0000">
                  <c:v>1.2497973515250727</c:v>
                </c:pt>
                <c:pt idx="84" formatCode="0.0000">
                  <c:v>1.3625799314534295</c:v>
                </c:pt>
                <c:pt idx="85" formatCode="0.0000">
                  <c:v>1.2895528431892604</c:v>
                </c:pt>
                <c:pt idx="86" formatCode="0.0000">
                  <c:v>1.3068325311043922</c:v>
                </c:pt>
                <c:pt idx="87" formatCode="0.0000">
                  <c:v>1.2897377307199147</c:v>
                </c:pt>
                <c:pt idx="88" formatCode="0.0000">
                  <c:v>1.2895931635864708</c:v>
                </c:pt>
                <c:pt idx="89" formatCode="0.0000">
                  <c:v>1.318336507421866</c:v>
                </c:pt>
                <c:pt idx="90" formatCode="0.0000">
                  <c:v>1.1813505096048789</c:v>
                </c:pt>
                <c:pt idx="91" formatCode="0.0000">
                  <c:v>0.99298881893873403</c:v>
                </c:pt>
                <c:pt idx="92" formatCode="0.0000">
                  <c:v>0.96403344742242159</c:v>
                </c:pt>
                <c:pt idx="93" formatCode="0.0000">
                  <c:v>0.92024649923275903</c:v>
                </c:pt>
                <c:pt idx="94" formatCode="0.0000">
                  <c:v>1.0154352992645366</c:v>
                </c:pt>
                <c:pt idx="95" formatCode="0.0000">
                  <c:v>0.99738528496772905</c:v>
                </c:pt>
                <c:pt idx="96" formatCode="0.0000">
                  <c:v>1.0014332601278975</c:v>
                </c:pt>
                <c:pt idx="97" formatCode="0.0000">
                  <c:v>1.0913637292984488</c:v>
                </c:pt>
                <c:pt idx="98" formatCode="0.0000">
                  <c:v>1.227401186959894</c:v>
                </c:pt>
                <c:pt idx="99" formatCode="0.0000">
                  <c:v>1.3651515214919729</c:v>
                </c:pt>
                <c:pt idx="100" formatCode="0.0000">
                  <c:v>1.3226681832377427</c:v>
                </c:pt>
                <c:pt idx="101" formatCode="0.0000">
                  <c:v>1.2951351379393898</c:v>
                </c:pt>
                <c:pt idx="102" formatCode="0.0000">
                  <c:v>1.3043426776439975</c:v>
                </c:pt>
                <c:pt idx="103" formatCode="0.0000">
                  <c:v>1.3137021678458234</c:v>
                </c:pt>
                <c:pt idx="104" formatCode="0.0000">
                  <c:v>1.2060336919126289</c:v>
                </c:pt>
                <c:pt idx="105" formatCode="0.0000">
                  <c:v>1.0544642907303736</c:v>
                </c:pt>
                <c:pt idx="106" formatCode="0.0000">
                  <c:v>0.97043324203809411</c:v>
                </c:pt>
                <c:pt idx="107" formatCode="0.0000">
                  <c:v>0.94889314850257933</c:v>
                </c:pt>
                <c:pt idx="108" formatCode="0.0000">
                  <c:v>1.0011368084436063</c:v>
                </c:pt>
                <c:pt idx="109" formatCode="0.0000">
                  <c:v>0.96726883703454791</c:v>
                </c:pt>
                <c:pt idx="110" formatCode="0.0000">
                  <c:v>0.93956839717773821</c:v>
                </c:pt>
                <c:pt idx="111" formatCode="0.0000">
                  <c:v>0.88869896429346429</c:v>
                </c:pt>
                <c:pt idx="112" formatCode="0.0000">
                  <c:v>0.91106824466787228</c:v>
                </c:pt>
                <c:pt idx="113" formatCode="0.0000">
                  <c:v>0.85711394603065549</c:v>
                </c:pt>
                <c:pt idx="114" formatCode="0.0000">
                  <c:v>0.81839998864220065</c:v>
                </c:pt>
                <c:pt idx="115" formatCode="0.0000">
                  <c:v>0.73963683757640919</c:v>
                </c:pt>
                <c:pt idx="116" formatCode="0.0000">
                  <c:v>0.74349247425224385</c:v>
                </c:pt>
                <c:pt idx="117" formatCode="0.0000">
                  <c:v>0.75010985686999798</c:v>
                </c:pt>
                <c:pt idx="118" formatCode="0.0000">
                  <c:v>0.7550767303617425</c:v>
                </c:pt>
                <c:pt idx="119" formatCode="0.0000">
                  <c:v>0.71892277020346806</c:v>
                </c:pt>
                <c:pt idx="120" formatCode="0.0000">
                  <c:v>0.70085814610881891</c:v>
                </c:pt>
                <c:pt idx="121" formatCode="0.0000">
                  <c:v>0.81022045515723451</c:v>
                </c:pt>
                <c:pt idx="122" formatCode="0.0000">
                  <c:v>0.80653784074156598</c:v>
                </c:pt>
                <c:pt idx="123" formatCode="0.0000">
                  <c:v>0.78473204320392576</c:v>
                </c:pt>
                <c:pt idx="124" formatCode="0.0000">
                  <c:v>0.74970652311472386</c:v>
                </c:pt>
                <c:pt idx="125" formatCode="0.0000">
                  <c:v>0.82976901548472493</c:v>
                </c:pt>
                <c:pt idx="126" formatCode="0.0000">
                  <c:v>0.78037195415026983</c:v>
                </c:pt>
                <c:pt idx="127" formatCode="0.0000">
                  <c:v>0.88296188259589869</c:v>
                </c:pt>
                <c:pt idx="128" formatCode="0.0000">
                  <c:v>0.93194316207734695</c:v>
                </c:pt>
                <c:pt idx="129" formatCode="0.0000">
                  <c:v>0.8886394766941681</c:v>
                </c:pt>
                <c:pt idx="130" formatCode="0.0000">
                  <c:v>0.97997205412085897</c:v>
                </c:pt>
                <c:pt idx="131" formatCode="0.0000">
                  <c:v>0.94454229508894338</c:v>
                </c:pt>
                <c:pt idx="132" formatCode="0.0000">
                  <c:v>1.1151033854921772</c:v>
                </c:pt>
                <c:pt idx="133" formatCode="0.0000">
                  <c:v>1.2003930144345543</c:v>
                </c:pt>
                <c:pt idx="134" formatCode="0.0000">
                  <c:v>1.1111679678796891</c:v>
                </c:pt>
                <c:pt idx="135" formatCode="0.0000">
                  <c:v>1.0373089711348187</c:v>
                </c:pt>
                <c:pt idx="136" formatCode="0.0000">
                  <c:v>1.091708105920175</c:v>
                </c:pt>
                <c:pt idx="137" formatCode="0.0000">
                  <c:v>1.0203252955169797</c:v>
                </c:pt>
                <c:pt idx="138" formatCode="0.0000">
                  <c:v>1.1866490599321797</c:v>
                </c:pt>
                <c:pt idx="139" formatCode="0.0000">
                  <c:v>1.0620110235899616</c:v>
                </c:pt>
                <c:pt idx="140" formatCode="0.0000">
                  <c:v>1.1722242030950707</c:v>
                </c:pt>
                <c:pt idx="141" formatCode="0.0000">
                  <c:v>1.2420857399652958</c:v>
                </c:pt>
                <c:pt idx="142" formatCode="0.0000">
                  <c:v>1.4376716816591413</c:v>
                </c:pt>
                <c:pt idx="143" formatCode="0.0000">
                  <c:v>1.3749054886810779</c:v>
                </c:pt>
                <c:pt idx="144" formatCode="0.0000">
                  <c:v>1.4289791038628326</c:v>
                </c:pt>
                <c:pt idx="145" formatCode="0.0000">
                  <c:v>1.3830315728692304</c:v>
                </c:pt>
                <c:pt idx="146" formatCode="0.0000">
                  <c:v>1.3293009566886373</c:v>
                </c:pt>
                <c:pt idx="147" formatCode="0.0000">
                  <c:v>1.2796488203520917</c:v>
                </c:pt>
                <c:pt idx="148" formatCode="0.0000">
                  <c:v>1.2353761348030461</c:v>
                </c:pt>
                <c:pt idx="149" formatCode="0.0000">
                  <c:v>1.142529136675938</c:v>
                </c:pt>
                <c:pt idx="150" formatCode="0.0000">
                  <c:v>1.3090891829689169</c:v>
                </c:pt>
                <c:pt idx="151" formatCode="0.0000">
                  <c:v>1.2575965780502771</c:v>
                </c:pt>
                <c:pt idx="152" formatCode="0.0000">
                  <c:v>1.262276740546205</c:v>
                </c:pt>
                <c:pt idx="153" formatCode="0.0000">
                  <c:v>1.2791168060613987</c:v>
                </c:pt>
                <c:pt idx="154" formatCode="0.0000">
                  <c:v>1.2116206251542254</c:v>
                </c:pt>
                <c:pt idx="155" formatCode="0.0000">
                  <c:v>1.2859218511444317</c:v>
                </c:pt>
                <c:pt idx="156" formatCode="0.0000">
                  <c:v>1.2489853331733602</c:v>
                </c:pt>
                <c:pt idx="157" formatCode="0.0000">
                  <c:v>1.1948114448710687</c:v>
                </c:pt>
                <c:pt idx="158" formatCode="0.0000">
                  <c:v>1.3026257536184644</c:v>
                </c:pt>
                <c:pt idx="159" formatCode="0.0000">
                  <c:v>1.2793013487662355</c:v>
                </c:pt>
                <c:pt idx="160" formatCode="0.0000">
                  <c:v>1.1880284685880331</c:v>
                </c:pt>
                <c:pt idx="161" formatCode="0.0000">
                  <c:v>1.1730933724726869</c:v>
                </c:pt>
                <c:pt idx="162" formatCode="0.0000">
                  <c:v>1.1262550258060811</c:v>
                </c:pt>
                <c:pt idx="163" formatCode="0.0000">
                  <c:v>1.1791652144662714</c:v>
                </c:pt>
                <c:pt idx="164" formatCode="0.0000">
                  <c:v>1.213597900535021</c:v>
                </c:pt>
                <c:pt idx="165" formatCode="0.0000">
                  <c:v>1.1182241530065518</c:v>
                </c:pt>
                <c:pt idx="166" formatCode="0.0000">
                  <c:v>1.0929152538014777</c:v>
                </c:pt>
                <c:pt idx="167" formatCode="0.0000">
                  <c:v>1.2378063551876697</c:v>
                </c:pt>
                <c:pt idx="168" formatCode="0.0000">
                  <c:v>1.23744359355825</c:v>
                </c:pt>
                <c:pt idx="169" formatCode="0.0000">
                  <c:v>1.2849650114630293</c:v>
                </c:pt>
                <c:pt idx="170" formatCode="0.0000">
                  <c:v>1.1449754266209797</c:v>
                </c:pt>
                <c:pt idx="171" formatCode="0.0000">
                  <c:v>1.1196670652007692</c:v>
                </c:pt>
                <c:pt idx="172" formatCode="0.0000">
                  <c:v>1.1777420138700041</c:v>
                </c:pt>
                <c:pt idx="173" formatCode="0.0000">
                  <c:v>1.1301178467219524</c:v>
                </c:pt>
                <c:pt idx="174" formatCode="0.0000">
                  <c:v>0.9709393385685493</c:v>
                </c:pt>
                <c:pt idx="175" formatCode="0.0000">
                  <c:v>1.0298938689833057</c:v>
                </c:pt>
                <c:pt idx="176" formatCode="0.0000">
                  <c:v>0.99662878092746876</c:v>
                </c:pt>
                <c:pt idx="177" formatCode="0.0000">
                  <c:v>1.0145856849857158</c:v>
                </c:pt>
                <c:pt idx="178" formatCode="0.0000">
                  <c:v>0.99053076905684478</c:v>
                </c:pt>
                <c:pt idx="179" formatCode="0.0000">
                  <c:v>0.98045703514376359</c:v>
                </c:pt>
                <c:pt idx="180" formatCode="0.0000">
                  <c:v>0.97959146742772707</c:v>
                </c:pt>
                <c:pt idx="181" formatCode="0.0000">
                  <c:v>1.0118313655526883</c:v>
                </c:pt>
                <c:pt idx="182" formatCode="0.0000">
                  <c:v>0.99621398724082977</c:v>
                </c:pt>
                <c:pt idx="183" formatCode="0.0000">
                  <c:v>1.0383548908241198</c:v>
                </c:pt>
                <c:pt idx="184" formatCode="0.0000">
                  <c:v>1.0138036789152307</c:v>
                </c:pt>
                <c:pt idx="185" formatCode="0.0000">
                  <c:v>0.99980055246586319</c:v>
                </c:pt>
                <c:pt idx="186" formatCode="0.0000">
                  <c:v>0.90104946289741872</c:v>
                </c:pt>
                <c:pt idx="187" formatCode="0.0000">
                  <c:v>0.92554151512690297</c:v>
                </c:pt>
                <c:pt idx="188" formatCode="0.0000">
                  <c:v>0.85697036516124503</c:v>
                </c:pt>
                <c:pt idx="189" formatCode="0.0000">
                  <c:v>0.81490180191654404</c:v>
                </c:pt>
                <c:pt idx="190" formatCode="0.0000">
                  <c:v>0.72685916341620704</c:v>
                </c:pt>
                <c:pt idx="191" formatCode="0.0000">
                  <c:v>0.72311280834568337</c:v>
                </c:pt>
                <c:pt idx="192" formatCode="0.0000">
                  <c:v>0.69877766655086238</c:v>
                </c:pt>
                <c:pt idx="193" formatCode="0.0000">
                  <c:v>0.72583369539447085</c:v>
                </c:pt>
                <c:pt idx="194" formatCode="0.0000">
                  <c:v>0.80469393867840722</c:v>
                </c:pt>
                <c:pt idx="195" formatCode="0.0000">
                  <c:v>0.88187528313582764</c:v>
                </c:pt>
                <c:pt idx="196" formatCode="0.0000">
                  <c:v>0.9833049564594637</c:v>
                </c:pt>
                <c:pt idx="197" formatCode="0.0000">
                  <c:v>1.0022432502559389</c:v>
                </c:pt>
                <c:pt idx="198" formatCode="0.0000">
                  <c:v>1.1908668853055853</c:v>
                </c:pt>
                <c:pt idx="199" formatCode="0.0000">
                  <c:v>1.1829373220679205</c:v>
                </c:pt>
                <c:pt idx="200" formatCode="0.0000">
                  <c:v>1.2028027220661139</c:v>
                </c:pt>
                <c:pt idx="201" formatCode="0.0000">
                  <c:v>1.301856457732935</c:v>
                </c:pt>
                <c:pt idx="202" formatCode="0.0000">
                  <c:v>1.3583201523100712</c:v>
                </c:pt>
                <c:pt idx="203" formatCode="0.0000">
                  <c:v>1.3176123039811856</c:v>
                </c:pt>
                <c:pt idx="204" formatCode="0.0000">
                  <c:v>1.4142914786489023</c:v>
                </c:pt>
                <c:pt idx="205" formatCode="0.0000">
                  <c:v>1.2876731260612204</c:v>
                </c:pt>
                <c:pt idx="206" formatCode="0.0000">
                  <c:v>1.5059593789392995</c:v>
                </c:pt>
                <c:pt idx="207" formatCode="0.0000">
                  <c:v>1.5106537141125422</c:v>
                </c:pt>
                <c:pt idx="208" formatCode="0.0000">
                  <c:v>1.4391593786256338</c:v>
                </c:pt>
                <c:pt idx="209" formatCode="0.0000">
                  <c:v>1.4113253642876777</c:v>
                </c:pt>
                <c:pt idx="210" formatCode="0.0000">
                  <c:v>1.40398830051329</c:v>
                </c:pt>
                <c:pt idx="211" formatCode="0.0000">
                  <c:v>1.32780584503906</c:v>
                </c:pt>
                <c:pt idx="212" formatCode="0.0000">
                  <c:v>1.389832314460022</c:v>
                </c:pt>
                <c:pt idx="213" formatCode="0.0000">
                  <c:v>1.2389066783433793</c:v>
                </c:pt>
                <c:pt idx="214" formatCode="0.0000">
                  <c:v>1.3131400281299981</c:v>
                </c:pt>
                <c:pt idx="215" formatCode="0.0000">
                  <c:v>1.2415713599850549</c:v>
                </c:pt>
                <c:pt idx="216" formatCode="0.0000">
                  <c:v>1.3507223502469163</c:v>
                </c:pt>
                <c:pt idx="217" formatCode="0.0000">
                  <c:v>1.4235127191917678</c:v>
                </c:pt>
                <c:pt idx="218" formatCode="0.0000">
                  <c:v>1.6063881348264073</c:v>
                </c:pt>
                <c:pt idx="219" formatCode="0.0000">
                  <c:v>1.6721019019292132</c:v>
                </c:pt>
                <c:pt idx="220" formatCode="0.0000">
                  <c:v>1.6991268285393351</c:v>
                </c:pt>
                <c:pt idx="221" formatCode="0.0000">
                  <c:v>1.8164814945652275</c:v>
                </c:pt>
                <c:pt idx="222" formatCode="0.0000">
                  <c:v>1.8453598461556022</c:v>
                </c:pt>
                <c:pt idx="223" formatCode="0.0000">
                  <c:v>1.7433519325465829</c:v>
                </c:pt>
                <c:pt idx="224" formatCode="0.0000">
                  <c:v>1.7154210206465552</c:v>
                </c:pt>
                <c:pt idx="225" formatCode="0.0000">
                  <c:v>1.7691808910896669</c:v>
                </c:pt>
                <c:pt idx="226" formatCode="0.0000">
                  <c:v>1.7934347418966285</c:v>
                </c:pt>
                <c:pt idx="227" formatCode="0.0000">
                  <c:v>1.7567198387697616</c:v>
                </c:pt>
                <c:pt idx="228" formatCode="0.0000">
                  <c:v>1.7260562116005023</c:v>
                </c:pt>
                <c:pt idx="229" formatCode="0.0000">
                  <c:v>1.8144660261958596</c:v>
                </c:pt>
                <c:pt idx="230" formatCode="0.0000">
                  <c:v>1.8004374491465602</c:v>
                </c:pt>
                <c:pt idx="231" formatCode="0.0000">
                  <c:v>1.8211917490415834</c:v>
                </c:pt>
                <c:pt idx="232" formatCode="0.0000">
                  <c:v>1.611340198898892</c:v>
                </c:pt>
                <c:pt idx="233" formatCode="0.0000">
                  <c:v>1.5023794106587101</c:v>
                </c:pt>
                <c:pt idx="234" formatCode="0.0000">
                  <c:v>1.5844911140147426</c:v>
                </c:pt>
                <c:pt idx="235" formatCode="0.0000">
                  <c:v>1.5184496878243756</c:v>
                </c:pt>
                <c:pt idx="236" formatCode="0.0000">
                  <c:v>1.4805173528961448</c:v>
                </c:pt>
                <c:pt idx="237" formatCode="0.0000">
                  <c:v>1.5123251758524743</c:v>
                </c:pt>
                <c:pt idx="238" formatCode="0.0000">
                  <c:v>1.6555889454064869</c:v>
                </c:pt>
                <c:pt idx="239" formatCode="0.0000">
                  <c:v>1.6961329245961179</c:v>
                </c:pt>
                <c:pt idx="240" formatCode="0.0000">
                  <c:v>1.6358900120562205</c:v>
                </c:pt>
                <c:pt idx="241" formatCode="0.0000">
                  <c:v>1.6092092023615403</c:v>
                </c:pt>
                <c:pt idx="242" formatCode="0.0000">
                  <c:v>1.578338185457254</c:v>
                </c:pt>
                <c:pt idx="243" formatCode="0.0000">
                  <c:v>1.5272538084887348</c:v>
                </c:pt>
                <c:pt idx="244" formatCode="0.0000">
                  <c:v>1.4961046919753191</c:v>
                </c:pt>
                <c:pt idx="245" formatCode="0.0000">
                  <c:v>1.329252855677193</c:v>
                </c:pt>
                <c:pt idx="246" formatCode="0.0000">
                  <c:v>1.2791310910910574</c:v>
                </c:pt>
                <c:pt idx="247" formatCode="0.0000">
                  <c:v>1.277933461615145</c:v>
                </c:pt>
                <c:pt idx="248" formatCode="0.0000">
                  <c:v>1.1915540024419768</c:v>
                </c:pt>
                <c:pt idx="249" formatCode="0.0000">
                  <c:v>1.1478325876265958</c:v>
                </c:pt>
                <c:pt idx="250" formatCode="0.0000">
                  <c:v>1.1123339524491886</c:v>
                </c:pt>
                <c:pt idx="251" formatCode="0.0000">
                  <c:v>1.0650950420861611</c:v>
                </c:pt>
                <c:pt idx="252" formatCode="0.0000">
                  <c:v>0.99652095636126858</c:v>
                </c:pt>
                <c:pt idx="253" formatCode="0.0000">
                  <c:v>0.94800794551728751</c:v>
                </c:pt>
                <c:pt idx="254" formatCode="0.0000">
                  <c:v>0.88431805503438665</c:v>
                </c:pt>
                <c:pt idx="255" formatCode="0.0000">
                  <c:v>0.80671150108714429</c:v>
                </c:pt>
                <c:pt idx="256" formatCode="0.0000">
                  <c:v>0.80397626277168244</c:v>
                </c:pt>
                <c:pt idx="257" formatCode="0.0000">
                  <c:v>0.79898113890958178</c:v>
                </c:pt>
                <c:pt idx="258" formatCode="0.0000">
                  <c:v>0.8751551538062774</c:v>
                </c:pt>
                <c:pt idx="259" formatCode="0.0000">
                  <c:v>0.91062736331030847</c:v>
                </c:pt>
                <c:pt idx="260" formatCode="0.0000">
                  <c:v>1.012837343874547</c:v>
                </c:pt>
                <c:pt idx="261" formatCode="0.0000">
                  <c:v>1.0918191681164595</c:v>
                </c:pt>
                <c:pt idx="262" formatCode="0.0000">
                  <c:v>1.159205817115043</c:v>
                </c:pt>
                <c:pt idx="263" formatCode="0.0000">
                  <c:v>1.1745436626023538</c:v>
                </c:pt>
                <c:pt idx="264" formatCode="0.0000">
                  <c:v>1.2116777880608638</c:v>
                </c:pt>
                <c:pt idx="265" formatCode="0.0000">
                  <c:v>1.172570658782266</c:v>
                </c:pt>
                <c:pt idx="266" formatCode="0.0000">
                  <c:v>1.0863621800481733</c:v>
                </c:pt>
                <c:pt idx="267" formatCode="0.0000">
                  <c:v>0.96138510069703409</c:v>
                </c:pt>
                <c:pt idx="268" formatCode="0.0000">
                  <c:v>0.88909673936550426</c:v>
                </c:pt>
                <c:pt idx="269" formatCode="0.0000">
                  <c:v>0.8674001887094972</c:v>
                </c:pt>
                <c:pt idx="270" formatCode="0.0000">
                  <c:v>0.82059150491290656</c:v>
                </c:pt>
                <c:pt idx="271" formatCode="0.0000">
                  <c:v>0.76970617374008321</c:v>
                </c:pt>
                <c:pt idx="272" formatCode="0.0000">
                  <c:v>0.68814572130745066</c:v>
                </c:pt>
                <c:pt idx="273" formatCode="0.0000">
                  <c:v>0.68192811478047777</c:v>
                </c:pt>
                <c:pt idx="274" formatCode="0.0000">
                  <c:v>0.72388425559849856</c:v>
                </c:pt>
                <c:pt idx="275" formatCode="0.0000">
                  <c:v>0.76154784542575082</c:v>
                </c:pt>
                <c:pt idx="276" formatCode="0.0000">
                  <c:v>0.76480474149691013</c:v>
                </c:pt>
                <c:pt idx="277" formatCode="0.0000">
                  <c:v>0.7664807072582952</c:v>
                </c:pt>
                <c:pt idx="278" formatCode="0.0000">
                  <c:v>0.77183005136425564</c:v>
                </c:pt>
                <c:pt idx="279" formatCode="0.0000">
                  <c:v>0.779856863490065</c:v>
                </c:pt>
                <c:pt idx="280" formatCode="0.0000">
                  <c:v>0.81444873976020105</c:v>
                </c:pt>
                <c:pt idx="281" formatCode="0.0000">
                  <c:v>0.83036712907405585</c:v>
                </c:pt>
                <c:pt idx="282" formatCode="0.0000">
                  <c:v>0.85165972806389612</c:v>
                </c:pt>
                <c:pt idx="283" formatCode="0.0000">
                  <c:v>0.88290190743143315</c:v>
                </c:pt>
                <c:pt idx="284" formatCode="0.0000">
                  <c:v>0.89563319793076523</c:v>
                </c:pt>
                <c:pt idx="285" formatCode="0.0000">
                  <c:v>0.91806494431563357</c:v>
                </c:pt>
                <c:pt idx="286" formatCode="0.0000">
                  <c:v>0.93350495692564162</c:v>
                </c:pt>
                <c:pt idx="287" formatCode="0.0000">
                  <c:v>0.92022284057211701</c:v>
                </c:pt>
                <c:pt idx="288" formatCode="0.0000">
                  <c:v>0.93011733692191334</c:v>
                </c:pt>
                <c:pt idx="289" formatCode="0.0000">
                  <c:v>0.90160399248728462</c:v>
                </c:pt>
                <c:pt idx="290" formatCode="0.0000">
                  <c:v>0.88731360317645291</c:v>
                </c:pt>
                <c:pt idx="291" formatCode="0.0000">
                  <c:v>0.89061148972131987</c:v>
                </c:pt>
                <c:pt idx="292" formatCode="0.0000">
                  <c:v>0.88670274011233496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F09-4F5B-B0C9-11A34B61B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6795321"/>
        <c:axId val="1989633625"/>
      </c:lineChart>
      <c:lineChart>
        <c:grouping val="standard"/>
        <c:varyColors val="0"/>
        <c:ser>
          <c:idx val="1"/>
          <c:order val="1"/>
          <c:tx>
            <c:strRef>
              <c:f>'R(t) Województwa'!$AV$2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Województwa'!$AV$3:$AV$1000</c:f>
              <c:numCache>
                <c:formatCode>General</c:formatCode>
                <c:ptCount val="998"/>
                <c:pt idx="4">
                  <c:v>0</c:v>
                </c:pt>
                <c:pt idx="5">
                  <c:v>0.33333333333333331</c:v>
                </c:pt>
                <c:pt idx="6">
                  <c:v>0.2857142857142857</c:v>
                </c:pt>
                <c:pt idx="7">
                  <c:v>0.42857142857142855</c:v>
                </c:pt>
                <c:pt idx="8">
                  <c:v>0.5714285714285714</c:v>
                </c:pt>
                <c:pt idx="9">
                  <c:v>0.8571428571428571</c:v>
                </c:pt>
                <c:pt idx="10">
                  <c:v>1.5714285714285714</c:v>
                </c:pt>
                <c:pt idx="11">
                  <c:v>2.2857142857142856</c:v>
                </c:pt>
                <c:pt idx="12">
                  <c:v>2.8571428571428572</c:v>
                </c:pt>
                <c:pt idx="13">
                  <c:v>4.7142857142857144</c:v>
                </c:pt>
                <c:pt idx="14">
                  <c:v>5</c:v>
                </c:pt>
                <c:pt idx="15">
                  <c:v>8.8571428571428577</c:v>
                </c:pt>
                <c:pt idx="16">
                  <c:v>10.857142857142858</c:v>
                </c:pt>
                <c:pt idx="17">
                  <c:v>13.714285714285714</c:v>
                </c:pt>
                <c:pt idx="18">
                  <c:v>15.857142857142858</c:v>
                </c:pt>
                <c:pt idx="19">
                  <c:v>17.857142857142858</c:v>
                </c:pt>
                <c:pt idx="20">
                  <c:v>20</c:v>
                </c:pt>
                <c:pt idx="21">
                  <c:v>24.857142857142858</c:v>
                </c:pt>
                <c:pt idx="22">
                  <c:v>26.428571428571427</c:v>
                </c:pt>
                <c:pt idx="23">
                  <c:v>29.857142857142858</c:v>
                </c:pt>
                <c:pt idx="24">
                  <c:v>30.142857142857142</c:v>
                </c:pt>
                <c:pt idx="25">
                  <c:v>42</c:v>
                </c:pt>
                <c:pt idx="26">
                  <c:v>44.857142857142854</c:v>
                </c:pt>
                <c:pt idx="27">
                  <c:v>44.571428571428569</c:v>
                </c:pt>
                <c:pt idx="28">
                  <c:v>47.428571428571431</c:v>
                </c:pt>
                <c:pt idx="29">
                  <c:v>51.571428571428569</c:v>
                </c:pt>
                <c:pt idx="30">
                  <c:v>66.142857142857139</c:v>
                </c:pt>
                <c:pt idx="31">
                  <c:v>70</c:v>
                </c:pt>
                <c:pt idx="32">
                  <c:v>55.285714285714285</c:v>
                </c:pt>
                <c:pt idx="33">
                  <c:v>72.285714285714292</c:v>
                </c:pt>
                <c:pt idx="34">
                  <c:v>82.571428571428569</c:v>
                </c:pt>
                <c:pt idx="35">
                  <c:v>100.42857142857143</c:v>
                </c:pt>
                <c:pt idx="36">
                  <c:v>100.28571428571429</c:v>
                </c:pt>
                <c:pt idx="37">
                  <c:v>95.714285714285708</c:v>
                </c:pt>
                <c:pt idx="38">
                  <c:v>99</c:v>
                </c:pt>
                <c:pt idx="39">
                  <c:v>117.28571428571429</c:v>
                </c:pt>
                <c:pt idx="40">
                  <c:v>99.571428571428569</c:v>
                </c:pt>
                <c:pt idx="41">
                  <c:v>89</c:v>
                </c:pt>
                <c:pt idx="42">
                  <c:v>66.857142857142861</c:v>
                </c:pt>
                <c:pt idx="43">
                  <c:v>68.285714285714292</c:v>
                </c:pt>
                <c:pt idx="44">
                  <c:v>60.285714285714285</c:v>
                </c:pt>
                <c:pt idx="45">
                  <c:v>54.571428571428569</c:v>
                </c:pt>
                <c:pt idx="46">
                  <c:v>43.857142857142854</c:v>
                </c:pt>
                <c:pt idx="47">
                  <c:v>46.857142857142854</c:v>
                </c:pt>
                <c:pt idx="48">
                  <c:v>48.857142857142854</c:v>
                </c:pt>
                <c:pt idx="49">
                  <c:v>49.142857142857146</c:v>
                </c:pt>
                <c:pt idx="50">
                  <c:v>43.714285714285715</c:v>
                </c:pt>
                <c:pt idx="51">
                  <c:v>45.714285714285715</c:v>
                </c:pt>
                <c:pt idx="52">
                  <c:v>46.142857142857146</c:v>
                </c:pt>
                <c:pt idx="53">
                  <c:v>52.285714285714285</c:v>
                </c:pt>
                <c:pt idx="54">
                  <c:v>50.857142857142854</c:v>
                </c:pt>
                <c:pt idx="55">
                  <c:v>49.428571428571431</c:v>
                </c:pt>
                <c:pt idx="56">
                  <c:v>47.428571428571431</c:v>
                </c:pt>
                <c:pt idx="57">
                  <c:v>47</c:v>
                </c:pt>
                <c:pt idx="58">
                  <c:v>40.857142857142854</c:v>
                </c:pt>
                <c:pt idx="59">
                  <c:v>35.142857142857146</c:v>
                </c:pt>
                <c:pt idx="60">
                  <c:v>25</c:v>
                </c:pt>
                <c:pt idx="61">
                  <c:v>22.857142857142858</c:v>
                </c:pt>
                <c:pt idx="62">
                  <c:v>25.285714285714285</c:v>
                </c:pt>
                <c:pt idx="63">
                  <c:v>34.285714285714285</c:v>
                </c:pt>
                <c:pt idx="64">
                  <c:v>35.142857142857146</c:v>
                </c:pt>
                <c:pt idx="65">
                  <c:v>36.714285714285715</c:v>
                </c:pt>
                <c:pt idx="66">
                  <c:v>39.857142857142854</c:v>
                </c:pt>
                <c:pt idx="67">
                  <c:v>41.142857142857146</c:v>
                </c:pt>
                <c:pt idx="68">
                  <c:v>40.428571428571431</c:v>
                </c:pt>
                <c:pt idx="69">
                  <c:v>36.428571428571431</c:v>
                </c:pt>
                <c:pt idx="70">
                  <c:v>28.285714285714285</c:v>
                </c:pt>
                <c:pt idx="71">
                  <c:v>29.571428571428573</c:v>
                </c:pt>
                <c:pt idx="72">
                  <c:v>27.571428571428573</c:v>
                </c:pt>
                <c:pt idx="73">
                  <c:v>28.428571428571427</c:v>
                </c:pt>
                <c:pt idx="74">
                  <c:v>26.285714285714285</c:v>
                </c:pt>
                <c:pt idx="75">
                  <c:v>25.571428571428573</c:v>
                </c:pt>
                <c:pt idx="76">
                  <c:v>27.857142857142858</c:v>
                </c:pt>
                <c:pt idx="77">
                  <c:v>30.142857142857142</c:v>
                </c:pt>
                <c:pt idx="78">
                  <c:v>28.857142857142858</c:v>
                </c:pt>
                <c:pt idx="79">
                  <c:v>32.285714285714285</c:v>
                </c:pt>
                <c:pt idx="80">
                  <c:v>32.428571428571431</c:v>
                </c:pt>
                <c:pt idx="81">
                  <c:v>35.428571428571431</c:v>
                </c:pt>
                <c:pt idx="82">
                  <c:v>35.285714285714285</c:v>
                </c:pt>
                <c:pt idx="83">
                  <c:v>40</c:v>
                </c:pt>
                <c:pt idx="84">
                  <c:v>45.571428571428569</c:v>
                </c:pt>
                <c:pt idx="85">
                  <c:v>44.857142857142854</c:v>
                </c:pt>
                <c:pt idx="86">
                  <c:v>47.571428571428569</c:v>
                </c:pt>
                <c:pt idx="87">
                  <c:v>48.142857142857146</c:v>
                </c:pt>
                <c:pt idx="88">
                  <c:v>49.857142857142854</c:v>
                </c:pt>
                <c:pt idx="89">
                  <c:v>52</c:v>
                </c:pt>
                <c:pt idx="90">
                  <c:v>49.285714285714285</c:v>
                </c:pt>
                <c:pt idx="91">
                  <c:v>43</c:v>
                </c:pt>
                <c:pt idx="92">
                  <c:v>41.714285714285715</c:v>
                </c:pt>
                <c:pt idx="93">
                  <c:v>39.571428571428569</c:v>
                </c:pt>
                <c:pt idx="94">
                  <c:v>43.142857142857146</c:v>
                </c:pt>
                <c:pt idx="95">
                  <c:v>42.428571428571431</c:v>
                </c:pt>
                <c:pt idx="96">
                  <c:v>42.571428571428569</c:v>
                </c:pt>
                <c:pt idx="97">
                  <c:v>46.428571428571431</c:v>
                </c:pt>
                <c:pt idx="98">
                  <c:v>53.285714285714285</c:v>
                </c:pt>
                <c:pt idx="99">
                  <c:v>61.428571428571431</c:v>
                </c:pt>
                <c:pt idx="100">
                  <c:v>62</c:v>
                </c:pt>
                <c:pt idx="101">
                  <c:v>63.428571428571431</c:v>
                </c:pt>
                <c:pt idx="102">
                  <c:v>66.142857142857139</c:v>
                </c:pt>
                <c:pt idx="103">
                  <c:v>68.428571428571431</c:v>
                </c:pt>
                <c:pt idx="104">
                  <c:v>65.857142857142861</c:v>
                </c:pt>
                <c:pt idx="105">
                  <c:v>59.571428571428569</c:v>
                </c:pt>
                <c:pt idx="106">
                  <c:v>55.571428571428569</c:v>
                </c:pt>
                <c:pt idx="107">
                  <c:v>54.142857142857146</c:v>
                </c:pt>
                <c:pt idx="108">
                  <c:v>56.428571428571431</c:v>
                </c:pt>
                <c:pt idx="109">
                  <c:v>54.428571428571431</c:v>
                </c:pt>
                <c:pt idx="110">
                  <c:v>52.571428571428569</c:v>
                </c:pt>
                <c:pt idx="111">
                  <c:v>49.285714285714285</c:v>
                </c:pt>
                <c:pt idx="112">
                  <c:v>49.857142857142854</c:v>
                </c:pt>
                <c:pt idx="113">
                  <c:v>46.428571428571431</c:v>
                </c:pt>
                <c:pt idx="114">
                  <c:v>43.714285714285715</c:v>
                </c:pt>
                <c:pt idx="115">
                  <c:v>38.142857142857146</c:v>
                </c:pt>
                <c:pt idx="116">
                  <c:v>36.571428571428569</c:v>
                </c:pt>
                <c:pt idx="117">
                  <c:v>35.571428571428569</c:v>
                </c:pt>
                <c:pt idx="118">
                  <c:v>34.714285714285715</c:v>
                </c:pt>
                <c:pt idx="119">
                  <c:v>32</c:v>
                </c:pt>
                <c:pt idx="120">
                  <c:v>30.142857142857142</c:v>
                </c:pt>
                <c:pt idx="121">
                  <c:v>33</c:v>
                </c:pt>
                <c:pt idx="122">
                  <c:v>31.714285714285715</c:v>
                </c:pt>
                <c:pt idx="123">
                  <c:v>29.857142857142858</c:v>
                </c:pt>
                <c:pt idx="124">
                  <c:v>27.714285714285715</c:v>
                </c:pt>
                <c:pt idx="125">
                  <c:v>29.428571428571427</c:v>
                </c:pt>
                <c:pt idx="126">
                  <c:v>27.285714285714285</c:v>
                </c:pt>
                <c:pt idx="127">
                  <c:v>29.714285714285715</c:v>
                </c:pt>
                <c:pt idx="128">
                  <c:v>30.428571428571427</c:v>
                </c:pt>
                <c:pt idx="129">
                  <c:v>28.571428571428573</c:v>
                </c:pt>
                <c:pt idx="130">
                  <c:v>31</c:v>
                </c:pt>
                <c:pt idx="131">
                  <c:v>29.714285714285715</c:v>
                </c:pt>
                <c:pt idx="132">
                  <c:v>34.428571428571431</c:v>
                </c:pt>
                <c:pt idx="133">
                  <c:v>37.571428571428569</c:v>
                </c:pt>
                <c:pt idx="134">
                  <c:v>35.428571428571431</c:v>
                </c:pt>
                <c:pt idx="135">
                  <c:v>33.571428571428569</c:v>
                </c:pt>
                <c:pt idx="136">
                  <c:v>35.428571428571431</c:v>
                </c:pt>
                <c:pt idx="137">
                  <c:v>33.428571428571431</c:v>
                </c:pt>
                <c:pt idx="138">
                  <c:v>39</c:v>
                </c:pt>
                <c:pt idx="139">
                  <c:v>36.428571428571431</c:v>
                </c:pt>
                <c:pt idx="140">
                  <c:v>40.857142857142854</c:v>
                </c:pt>
                <c:pt idx="141">
                  <c:v>44.285714285714285</c:v>
                </c:pt>
                <c:pt idx="142">
                  <c:v>53.857142857142854</c:v>
                </c:pt>
                <c:pt idx="143">
                  <c:v>53.285714285714285</c:v>
                </c:pt>
                <c:pt idx="144">
                  <c:v>57.714285714285715</c:v>
                </c:pt>
                <c:pt idx="145">
                  <c:v>58.714285714285715</c:v>
                </c:pt>
                <c:pt idx="146">
                  <c:v>59.285714285714285</c:v>
                </c:pt>
                <c:pt idx="147">
                  <c:v>59.714285714285715</c:v>
                </c:pt>
                <c:pt idx="148">
                  <c:v>59.285714285714285</c:v>
                </c:pt>
                <c:pt idx="149">
                  <c:v>58</c:v>
                </c:pt>
                <c:pt idx="150">
                  <c:v>68.285714285714292</c:v>
                </c:pt>
                <c:pt idx="151">
                  <c:v>68</c:v>
                </c:pt>
                <c:pt idx="152">
                  <c:v>70.428571428571431</c:v>
                </c:pt>
                <c:pt idx="153">
                  <c:v>73.857142857142861</c:v>
                </c:pt>
                <c:pt idx="154">
                  <c:v>72</c:v>
                </c:pt>
                <c:pt idx="155">
                  <c:v>78.142857142857139</c:v>
                </c:pt>
                <c:pt idx="156">
                  <c:v>79.857142857142861</c:v>
                </c:pt>
                <c:pt idx="157">
                  <c:v>79.857142857142861</c:v>
                </c:pt>
                <c:pt idx="158">
                  <c:v>90</c:v>
                </c:pt>
                <c:pt idx="159">
                  <c:v>91.428571428571431</c:v>
                </c:pt>
                <c:pt idx="160">
                  <c:v>87.285714285714292</c:v>
                </c:pt>
                <c:pt idx="161">
                  <c:v>87.428571428571431</c:v>
                </c:pt>
                <c:pt idx="162">
                  <c:v>86</c:v>
                </c:pt>
                <c:pt idx="163">
                  <c:v>91.857142857142861</c:v>
                </c:pt>
                <c:pt idx="164">
                  <c:v>97.428571428571431</c:v>
                </c:pt>
                <c:pt idx="165">
                  <c:v>92.428571428571431</c:v>
                </c:pt>
                <c:pt idx="166">
                  <c:v>91.285714285714292</c:v>
                </c:pt>
                <c:pt idx="167">
                  <c:v>105.14285714285714</c:v>
                </c:pt>
                <c:pt idx="168">
                  <c:v>106.85714285714286</c:v>
                </c:pt>
                <c:pt idx="169">
                  <c:v>114</c:v>
                </c:pt>
                <c:pt idx="170">
                  <c:v>106.57142857142857</c:v>
                </c:pt>
                <c:pt idx="171">
                  <c:v>107</c:v>
                </c:pt>
                <c:pt idx="172">
                  <c:v>114.71428571428571</c:v>
                </c:pt>
                <c:pt idx="173">
                  <c:v>111.28571428571429</c:v>
                </c:pt>
                <c:pt idx="174">
                  <c:v>97.571428571428569</c:v>
                </c:pt>
                <c:pt idx="175">
                  <c:v>102.85714285714286</c:v>
                </c:pt>
                <c:pt idx="176">
                  <c:v>100</c:v>
                </c:pt>
                <c:pt idx="177">
                  <c:v>101.57142857142857</c:v>
                </c:pt>
                <c:pt idx="178">
                  <c:v>99.285714285714292</c:v>
                </c:pt>
                <c:pt idx="179">
                  <c:v>97.857142857142861</c:v>
                </c:pt>
                <c:pt idx="180">
                  <c:v>97.571428571428569</c:v>
                </c:pt>
                <c:pt idx="181">
                  <c:v>100.57142857142857</c:v>
                </c:pt>
                <c:pt idx="182">
                  <c:v>99.142857142857139</c:v>
                </c:pt>
                <c:pt idx="183">
                  <c:v>103</c:v>
                </c:pt>
                <c:pt idx="184">
                  <c:v>101</c:v>
                </c:pt>
                <c:pt idx="185">
                  <c:v>99.714285714285708</c:v>
                </c:pt>
                <c:pt idx="186">
                  <c:v>89.428571428571431</c:v>
                </c:pt>
                <c:pt idx="187">
                  <c:v>91.142857142857139</c:v>
                </c:pt>
                <c:pt idx="188">
                  <c:v>84</c:v>
                </c:pt>
                <c:pt idx="189">
                  <c:v>78.714285714285708</c:v>
                </c:pt>
                <c:pt idx="190">
                  <c:v>68.428571428571431</c:v>
                </c:pt>
                <c:pt idx="191">
                  <c:v>64.857142857142861</c:v>
                </c:pt>
                <c:pt idx="192">
                  <c:v>58.714285714285715</c:v>
                </c:pt>
                <c:pt idx="193">
                  <c:v>58.142857142857146</c:v>
                </c:pt>
                <c:pt idx="194">
                  <c:v>61.857142857142854</c:v>
                </c:pt>
                <c:pt idx="195">
                  <c:v>67</c:v>
                </c:pt>
                <c:pt idx="196">
                  <c:v>73.571428571428569</c:v>
                </c:pt>
                <c:pt idx="197">
                  <c:v>74.857142857142861</c:v>
                </c:pt>
                <c:pt idx="198">
                  <c:v>89.142857142857139</c:v>
                </c:pt>
                <c:pt idx="199">
                  <c:v>90.571428571428569</c:v>
                </c:pt>
                <c:pt idx="200">
                  <c:v>94</c:v>
                </c:pt>
                <c:pt idx="201">
                  <c:v>105.28571428571429</c:v>
                </c:pt>
                <c:pt idx="202">
                  <c:v>113.71428571428571</c:v>
                </c:pt>
                <c:pt idx="203">
                  <c:v>115.14285714285714</c:v>
                </c:pt>
                <c:pt idx="204">
                  <c:v>128.57142857142858</c:v>
                </c:pt>
                <c:pt idx="205">
                  <c:v>125.85714285714286</c:v>
                </c:pt>
                <c:pt idx="206">
                  <c:v>155.42857142857142</c:v>
                </c:pt>
                <c:pt idx="207">
                  <c:v>163.71428571428572</c:v>
                </c:pt>
                <c:pt idx="208">
                  <c:v>167.85714285714286</c:v>
                </c:pt>
                <c:pt idx="209">
                  <c:v>172.42857142857142</c:v>
                </c:pt>
                <c:pt idx="210">
                  <c:v>178.57142857142858</c:v>
                </c:pt>
                <c:pt idx="211">
                  <c:v>177.85714285714286</c:v>
                </c:pt>
                <c:pt idx="212">
                  <c:v>194.85714285714286</c:v>
                </c:pt>
                <c:pt idx="213">
                  <c:v>187.85714285714286</c:v>
                </c:pt>
                <c:pt idx="214">
                  <c:v>206.57142857142858</c:v>
                </c:pt>
                <c:pt idx="215">
                  <c:v>202.42857142857142</c:v>
                </c:pt>
                <c:pt idx="216">
                  <c:v>228.71428571428572</c:v>
                </c:pt>
                <c:pt idx="217">
                  <c:v>252.57142857142858</c:v>
                </c:pt>
                <c:pt idx="218">
                  <c:v>305.14285714285717</c:v>
                </c:pt>
                <c:pt idx="219">
                  <c:v>352.28571428571428</c:v>
                </c:pt>
                <c:pt idx="220">
                  <c:v>391.57142857142856</c:v>
                </c:pt>
                <c:pt idx="221">
                  <c:v>468.57142857142856</c:v>
                </c:pt>
                <c:pt idx="222">
                  <c:v>507</c:v>
                </c:pt>
                <c:pt idx="223">
                  <c:v>522</c:v>
                </c:pt>
                <c:pt idx="224">
                  <c:v>555.42857142857144</c:v>
                </c:pt>
                <c:pt idx="225">
                  <c:v>649.85714285714289</c:v>
                </c:pt>
                <c:pt idx="226">
                  <c:v>751</c:v>
                </c:pt>
                <c:pt idx="227">
                  <c:v>806.71428571428567</c:v>
                </c:pt>
                <c:pt idx="228">
                  <c:v>902.28571428571433</c:v>
                </c:pt>
                <c:pt idx="229">
                  <c:v>1032.1428571428571</c:v>
                </c:pt>
                <c:pt idx="230">
                  <c:v>1090.4285714285713</c:v>
                </c:pt>
                <c:pt idx="231">
                  <c:v>1194.7142857142858</c:v>
                </c:pt>
                <c:pt idx="232">
                  <c:v>1191</c:v>
                </c:pt>
                <c:pt idx="233">
                  <c:v>1230</c:v>
                </c:pt>
                <c:pt idx="234">
                  <c:v>1396.2857142857142</c:v>
                </c:pt>
                <c:pt idx="235">
                  <c:v>1473.5714285714287</c:v>
                </c:pt>
                <c:pt idx="236">
                  <c:v>1546.1428571428571</c:v>
                </c:pt>
                <c:pt idx="237">
                  <c:v>1661.1428571428571</c:v>
                </c:pt>
                <c:pt idx="238">
                  <c:v>1982.1428571428571</c:v>
                </c:pt>
                <c:pt idx="239">
                  <c:v>2193.8571428571427</c:v>
                </c:pt>
                <c:pt idx="240">
                  <c:v>2290.4285714285716</c:v>
                </c:pt>
                <c:pt idx="241">
                  <c:v>2482</c:v>
                </c:pt>
                <c:pt idx="242">
                  <c:v>2640.8571428571427</c:v>
                </c:pt>
                <c:pt idx="243">
                  <c:v>2716.5714285714284</c:v>
                </c:pt>
                <c:pt idx="244">
                  <c:v>2797.1428571428573</c:v>
                </c:pt>
                <c:pt idx="245">
                  <c:v>2715.7142857142858</c:v>
                </c:pt>
                <c:pt idx="246">
                  <c:v>2737.5714285714284</c:v>
                </c:pt>
                <c:pt idx="247">
                  <c:v>2834.2857142857142</c:v>
                </c:pt>
                <c:pt idx="248">
                  <c:v>2767.8571428571427</c:v>
                </c:pt>
                <c:pt idx="249">
                  <c:v>2747.8571428571427</c:v>
                </c:pt>
                <c:pt idx="250">
                  <c:v>2707.7142857142858</c:v>
                </c:pt>
                <c:pt idx="251">
                  <c:v>2623.7142857142858</c:v>
                </c:pt>
                <c:pt idx="252">
                  <c:v>2484.1428571428573</c:v>
                </c:pt>
                <c:pt idx="253">
                  <c:v>2366.8571428571427</c:v>
                </c:pt>
                <c:pt idx="254">
                  <c:v>2197.4285714285716</c:v>
                </c:pt>
                <c:pt idx="255">
                  <c:v>1977.2857142857142</c:v>
                </c:pt>
                <c:pt idx="256">
                  <c:v>1894.5714285714287</c:v>
                </c:pt>
                <c:pt idx="257">
                  <c:v>1829.2857142857142</c:v>
                </c:pt>
                <c:pt idx="258">
                  <c:v>1944.4285714285713</c:v>
                </c:pt>
                <c:pt idx="259">
                  <c:v>1985.8571428571429</c:v>
                </c:pt>
                <c:pt idx="260">
                  <c:v>2180.7142857142858</c:v>
                </c:pt>
                <c:pt idx="261">
                  <c:v>2365.7142857142858</c:v>
                </c:pt>
                <c:pt idx="262">
                  <c:v>2547</c:v>
                </c:pt>
                <c:pt idx="263">
                  <c:v>2642.2857142857142</c:v>
                </c:pt>
                <c:pt idx="264">
                  <c:v>2780.1428571428573</c:v>
                </c:pt>
                <c:pt idx="265">
                  <c:v>2760</c:v>
                </c:pt>
                <c:pt idx="266">
                  <c:v>2602</c:v>
                </c:pt>
                <c:pt idx="267">
                  <c:v>2350.1428571428573</c:v>
                </c:pt>
                <c:pt idx="268">
                  <c:v>2170.7142857142858</c:v>
                </c:pt>
                <c:pt idx="269">
                  <c:v>2081.8571428571427</c:v>
                </c:pt>
                <c:pt idx="270">
                  <c:v>1924.7142857142858</c:v>
                </c:pt>
                <c:pt idx="271">
                  <c:v>1754.1428571428571</c:v>
                </c:pt>
                <c:pt idx="272">
                  <c:v>1520.4285714285713</c:v>
                </c:pt>
                <c:pt idx="273">
                  <c:v>1463.1428571428571</c:v>
                </c:pt>
                <c:pt idx="274">
                  <c:v>1470.1428571428571</c:v>
                </c:pt>
                <c:pt idx="275">
                  <c:v>1469.4285714285713</c:v>
                </c:pt>
                <c:pt idx="276">
                  <c:v>1410.2857142857142</c:v>
                </c:pt>
                <c:pt idx="277">
                  <c:v>1351.4285714285713</c:v>
                </c:pt>
                <c:pt idx="278">
                  <c:v>1316.7142857142858</c:v>
                </c:pt>
                <c:pt idx="279">
                  <c:v>1309.5714285714287</c:v>
                </c:pt>
                <c:pt idx="280">
                  <c:v>1337.4285714285713</c:v>
                </c:pt>
                <c:pt idx="281">
                  <c:v>1318.8571428571429</c:v>
                </c:pt>
                <c:pt idx="282">
                  <c:v>1307.5714285714287</c:v>
                </c:pt>
                <c:pt idx="283">
                  <c:v>1318.8571428571429</c:v>
                </c:pt>
                <c:pt idx="284">
                  <c:v>1311.4285714285713</c:v>
                </c:pt>
                <c:pt idx="285">
                  <c:v>1327.1428571428571</c:v>
                </c:pt>
                <c:pt idx="286">
                  <c:v>1342.2857142857142</c:v>
                </c:pt>
                <c:pt idx="287">
                  <c:v>1314.8571428571429</c:v>
                </c:pt>
                <c:pt idx="288">
                  <c:v>1309.8571428571429</c:v>
                </c:pt>
                <c:pt idx="289">
                  <c:v>1255.1428571428571</c:v>
                </c:pt>
                <c:pt idx="290">
                  <c:v>1212.2857142857142</c:v>
                </c:pt>
                <c:pt idx="291">
                  <c:v>1192.4285714285713</c:v>
                </c:pt>
                <c:pt idx="292">
                  <c:v>1167.4285714285713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F09-4F5B-B0C9-11A34B61B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612917"/>
        <c:axId val="962764674"/>
      </c:lineChart>
      <c:dateAx>
        <c:axId val="18267953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989633625"/>
        <c:crosses val="autoZero"/>
        <c:auto val="1"/>
        <c:lblOffset val="100"/>
        <c:baseTimeUnit val="days"/>
      </c:dateAx>
      <c:valAx>
        <c:axId val="1989633625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826795321"/>
        <c:crosses val="autoZero"/>
        <c:crossBetween val="between"/>
      </c:valAx>
      <c:dateAx>
        <c:axId val="1127612917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962764674"/>
        <c:crosses val="autoZero"/>
        <c:auto val="1"/>
        <c:lblOffset val="100"/>
        <c:baseTimeUnit val="days"/>
      </c:dateAx>
      <c:valAx>
        <c:axId val="962764674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127612917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COVID-19 współczynnik R(t) dla Opolskiego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'R(t) Województwa'!$BG$2</c:f>
              <c:strCache>
                <c:ptCount val="1"/>
                <c:pt idx="0">
                  <c:v>Opolskie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Województwa'!$BG$3:$BG$1000</c:f>
              <c:numCache>
                <c:formatCode>General</c:formatCode>
                <c:ptCount val="998"/>
                <c:pt idx="36" formatCode="0.0000">
                  <c:v>0.77719033232628398</c:v>
                </c:pt>
                <c:pt idx="37" formatCode="0.0000">
                  <c:v>0.78996594516681973</c:v>
                </c:pt>
                <c:pt idx="38" formatCode="0.0000">
                  <c:v>0.67961036671812025</c:v>
                </c:pt>
                <c:pt idx="39" formatCode="0.0000">
                  <c:v>0.83298134486137099</c:v>
                </c:pt>
                <c:pt idx="40" formatCode="0.0000">
                  <c:v>0.8191392311682939</c:v>
                </c:pt>
                <c:pt idx="41" formatCode="0.0000">
                  <c:v>1.0119685185598635</c:v>
                </c:pt>
                <c:pt idx="42" formatCode="0.0000">
                  <c:v>1.3009712125796613</c:v>
                </c:pt>
                <c:pt idx="43" formatCode="0.0000">
                  <c:v>1.3147124340481253</c:v>
                </c:pt>
                <c:pt idx="44" formatCode="0.0000">
                  <c:v>1.3075532068279998</c:v>
                </c:pt>
                <c:pt idx="45" formatCode="0.0000">
                  <c:v>1.4851748996908865</c:v>
                </c:pt>
                <c:pt idx="46" formatCode="0.0000">
                  <c:v>1.4569937392269598</c:v>
                </c:pt>
                <c:pt idx="47" formatCode="0.0000">
                  <c:v>1.3933049511463274</c:v>
                </c:pt>
                <c:pt idx="48" formatCode="0.0000">
                  <c:v>1.2720420363307585</c:v>
                </c:pt>
                <c:pt idx="49" formatCode="0.0000">
                  <c:v>0.89778371639219579</c:v>
                </c:pt>
                <c:pt idx="50" formatCode="0.0000">
                  <c:v>1.0534610342844393</c:v>
                </c:pt>
                <c:pt idx="51" formatCode="0.0000">
                  <c:v>1.0028336262235154</c:v>
                </c:pt>
                <c:pt idx="52" formatCode="0.0000">
                  <c:v>0.91525840346427911</c:v>
                </c:pt>
                <c:pt idx="53" formatCode="0.0000">
                  <c:v>0.83041284938249915</c:v>
                </c:pt>
                <c:pt idx="54" formatCode="0.0000">
                  <c:v>0.90629615338699165</c:v>
                </c:pt>
                <c:pt idx="55" formatCode="0.0000">
                  <c:v>0.85796296374999148</c:v>
                </c:pt>
                <c:pt idx="56" formatCode="0.0000">
                  <c:v>0.85675660309547363</c:v>
                </c:pt>
                <c:pt idx="57" formatCode="0.0000">
                  <c:v>0.72867602181998292</c:v>
                </c:pt>
                <c:pt idx="58" formatCode="0.0000">
                  <c:v>0.72209532638743379</c:v>
                </c:pt>
                <c:pt idx="59" formatCode="0.0000">
                  <c:v>0.6219327590204754</c:v>
                </c:pt>
                <c:pt idx="60" formatCode="0.0000">
                  <c:v>0.68692283748706251</c:v>
                </c:pt>
                <c:pt idx="61" formatCode="0.0000">
                  <c:v>0.79485019088910025</c:v>
                </c:pt>
                <c:pt idx="62" formatCode="0.0000">
                  <c:v>0.86501632171648957</c:v>
                </c:pt>
                <c:pt idx="63" formatCode="0.0000">
                  <c:v>0.874540638093524</c:v>
                </c:pt>
                <c:pt idx="64" formatCode="0.0000">
                  <c:v>0.86843695171153301</c:v>
                </c:pt>
                <c:pt idx="65" formatCode="0.0000">
                  <c:v>0.94931562459423702</c:v>
                </c:pt>
                <c:pt idx="66" formatCode="0.0000">
                  <c:v>1.1298525533464649</c:v>
                </c:pt>
                <c:pt idx="67" formatCode="0.0000">
                  <c:v>1.0336380708690751</c:v>
                </c:pt>
                <c:pt idx="68" formatCode="0.0000">
                  <c:v>0.98477933766309467</c:v>
                </c:pt>
                <c:pt idx="69" formatCode="0.0000">
                  <c:v>0.87434510543068511</c:v>
                </c:pt>
                <c:pt idx="70" formatCode="0.0000">
                  <c:v>0.85347106886435709</c:v>
                </c:pt>
                <c:pt idx="71" formatCode="0.0000">
                  <c:v>0.77617789047620878</c:v>
                </c:pt>
                <c:pt idx="72" formatCode="0.0000">
                  <c:v>0.79393088244185983</c:v>
                </c:pt>
                <c:pt idx="73" formatCode="0.0000">
                  <c:v>0.87254001017771521</c:v>
                </c:pt>
                <c:pt idx="74" formatCode="0.0000">
                  <c:v>0.95840728953657106</c:v>
                </c:pt>
                <c:pt idx="75" formatCode="0.0000">
                  <c:v>0.92255749557629374</c:v>
                </c:pt>
                <c:pt idx="76" formatCode="0.0000">
                  <c:v>0.96233970153942094</c:v>
                </c:pt>
                <c:pt idx="77" formatCode="0.0000">
                  <c:v>0.98173698420070232</c:v>
                </c:pt>
                <c:pt idx="78" formatCode="0.0000">
                  <c:v>1.1456255483901789</c:v>
                </c:pt>
                <c:pt idx="79" formatCode="0.0000">
                  <c:v>1.128148583257482</c:v>
                </c:pt>
                <c:pt idx="80" formatCode="0.0000">
                  <c:v>0.97978621082246276</c:v>
                </c:pt>
                <c:pt idx="81" formatCode="0.0000">
                  <c:v>0.91841391981333431</c:v>
                </c:pt>
                <c:pt idx="82" formatCode="0.0000">
                  <c:v>0.82673500934388411</c:v>
                </c:pt>
                <c:pt idx="83" formatCode="0.0000">
                  <c:v>0.81130108944351964</c:v>
                </c:pt>
                <c:pt idx="84" formatCode="0.0000">
                  <c:v>0.80602494264739877</c:v>
                </c:pt>
                <c:pt idx="85" formatCode="0.0000">
                  <c:v>0.77210628423091043</c:v>
                </c:pt>
                <c:pt idx="86" formatCode="0.0000">
                  <c:v>0.89180685580522312</c:v>
                </c:pt>
                <c:pt idx="87" formatCode="0.0000">
                  <c:v>0.89554758421123382</c:v>
                </c:pt>
                <c:pt idx="88" formatCode="0.0000">
                  <c:v>1.0328286746085706</c:v>
                </c:pt>
                <c:pt idx="89" formatCode="0.0000">
                  <c:v>0.99733988739203916</c:v>
                </c:pt>
                <c:pt idx="90" formatCode="0.0000">
                  <c:v>1.0791723628677194</c:v>
                </c:pt>
                <c:pt idx="91" formatCode="0.0000">
                  <c:v>1.2865539805804593</c:v>
                </c:pt>
                <c:pt idx="92" formatCode="0.0000">
                  <c:v>1.4111133285575028</c:v>
                </c:pt>
                <c:pt idx="93" formatCode="0.0000">
                  <c:v>1.2753171815777289</c:v>
                </c:pt>
                <c:pt idx="94" formatCode="0.0000">
                  <c:v>1.2239818966105138</c:v>
                </c:pt>
                <c:pt idx="95" formatCode="0.0000">
                  <c:v>1.3104709457888224</c:v>
                </c:pt>
                <c:pt idx="96" formatCode="0.0000">
                  <c:v>1.3992126780499081</c:v>
                </c:pt>
                <c:pt idx="97" formatCode="0.0000">
                  <c:v>1.3445087224636214</c:v>
                </c:pt>
                <c:pt idx="98" formatCode="0.0000">
                  <c:v>1.2165921897615808</c:v>
                </c:pt>
                <c:pt idx="99" formatCode="0.0000">
                  <c:v>1.0759986624659006</c:v>
                </c:pt>
                <c:pt idx="100" formatCode="0.0000">
                  <c:v>1.0012128839056127</c:v>
                </c:pt>
                <c:pt idx="101" formatCode="0.0000">
                  <c:v>1.0182033907500332</c:v>
                </c:pt>
                <c:pt idx="102" formatCode="0.0000">
                  <c:v>1.0026799262249835</c:v>
                </c:pt>
                <c:pt idx="103" formatCode="0.0000">
                  <c:v>0.96372378675357451</c:v>
                </c:pt>
                <c:pt idx="104" formatCode="0.0000">
                  <c:v>0.95603537585258036</c:v>
                </c:pt>
                <c:pt idx="105" formatCode="0.0000">
                  <c:v>0.9351001411765445</c:v>
                </c:pt>
                <c:pt idx="106" formatCode="0.0000">
                  <c:v>0.85918556741989438</c:v>
                </c:pt>
                <c:pt idx="107" formatCode="0.0000">
                  <c:v>0.91371904153123418</c:v>
                </c:pt>
                <c:pt idx="108" formatCode="0.0000">
                  <c:v>0.94457416279768514</c:v>
                </c:pt>
                <c:pt idx="109" formatCode="0.0000">
                  <c:v>0.73640966298113919</c:v>
                </c:pt>
                <c:pt idx="110" formatCode="0.0000">
                  <c:v>0.91616608402941879</c:v>
                </c:pt>
                <c:pt idx="111" formatCode="0.0000">
                  <c:v>0.79993975833331532</c:v>
                </c:pt>
                <c:pt idx="112" formatCode="0.0000">
                  <c:v>0.7737131536166858</c:v>
                </c:pt>
                <c:pt idx="113" formatCode="0.0000">
                  <c:v>0.84321464241872879</c:v>
                </c:pt>
                <c:pt idx="114" formatCode="0.0000">
                  <c:v>1.184453847398329</c:v>
                </c:pt>
                <c:pt idx="115" formatCode="0.0000">
                  <c:v>1.0619797481337792</c:v>
                </c:pt>
                <c:pt idx="116" formatCode="0.0000">
                  <c:v>1.3387258952529457</c:v>
                </c:pt>
                <c:pt idx="117" formatCode="0.0000">
                  <c:v>1.3497616734777982</c:v>
                </c:pt>
                <c:pt idx="118" formatCode="0.0000">
                  <c:v>1.4471573303844008</c:v>
                </c:pt>
                <c:pt idx="119" formatCode="0.0000">
                  <c:v>1.3667320103436453</c:v>
                </c:pt>
                <c:pt idx="120" formatCode="0.0000">
                  <c:v>1.2928739102754796</c:v>
                </c:pt>
                <c:pt idx="121" formatCode="0.0000">
                  <c:v>0.96345203021499837</c:v>
                </c:pt>
                <c:pt idx="122" formatCode="0.0000">
                  <c:v>1.0620602088342221</c:v>
                </c:pt>
                <c:pt idx="123" formatCode="0.0000">
                  <c:v>0.76780861400859446</c:v>
                </c:pt>
                <c:pt idx="124" formatCode="0.0000">
                  <c:v>0.59747097967353746</c:v>
                </c:pt>
                <c:pt idx="125" formatCode="0.0000">
                  <c:v>0.51861926652637269</c:v>
                </c:pt>
                <c:pt idx="126" formatCode="0.0000">
                  <c:v>0.56939435119428217</c:v>
                </c:pt>
                <c:pt idx="127" formatCode="0.0000">
                  <c:v>0.55876585173490811</c:v>
                </c:pt>
                <c:pt idx="128" formatCode="0.0000">
                  <c:v>0.5972321864430129</c:v>
                </c:pt>
                <c:pt idx="129" formatCode="0.0000">
                  <c:v>0.67216988608622097</c:v>
                </c:pt>
                <c:pt idx="130" formatCode="0.0000">
                  <c:v>0.80455757950389029</c:v>
                </c:pt>
                <c:pt idx="131" formatCode="0.0000">
                  <c:v>0.84708873138196961</c:v>
                </c:pt>
                <c:pt idx="132" formatCode="0.0000">
                  <c:v>0.85051227967233489</c:v>
                </c:pt>
                <c:pt idx="133" formatCode="0.0000">
                  <c:v>0.83695955212492978</c:v>
                </c:pt>
                <c:pt idx="134" formatCode="0.0000">
                  <c:v>0.82759589790648069</c:v>
                </c:pt>
                <c:pt idx="135" formatCode="0.0000">
                  <c:v>0.79944319505586314</c:v>
                </c:pt>
                <c:pt idx="136" formatCode="0.0000">
                  <c:v>0.70222509372092368</c:v>
                </c:pt>
                <c:pt idx="137" formatCode="0.0000">
                  <c:v>0.67616729097546546</c:v>
                </c:pt>
                <c:pt idx="138" formatCode="0.0000">
                  <c:v>0.78956154086823283</c:v>
                </c:pt>
                <c:pt idx="139" formatCode="0.0000">
                  <c:v>0.87821876118509667</c:v>
                </c:pt>
                <c:pt idx="140" formatCode="0.0000">
                  <c:v>0.94255129306298235</c:v>
                </c:pt>
                <c:pt idx="141" formatCode="0.0000">
                  <c:v>1.448252460118747</c:v>
                </c:pt>
                <c:pt idx="142" formatCode="0.0000">
                  <c:v>1.7583761264846238</c:v>
                </c:pt>
                <c:pt idx="143" formatCode="0.0000">
                  <c:v>1.764793638740171</c:v>
                </c:pt>
                <c:pt idx="144" formatCode="0.0000">
                  <c:v>1.9329709930264041</c:v>
                </c:pt>
                <c:pt idx="145" formatCode="0.0000">
                  <c:v>1.9079408713598269</c:v>
                </c:pt>
                <c:pt idx="146" formatCode="0.0000">
                  <c:v>1.8100116473626595</c:v>
                </c:pt>
                <c:pt idx="147" formatCode="0.0000">
                  <c:v>1.9292261093073915</c:v>
                </c:pt>
                <c:pt idx="148" formatCode="0.0000">
                  <c:v>1.4077939420620944</c:v>
                </c:pt>
                <c:pt idx="149" formatCode="0.0000">
                  <c:v>1.2266128865736792</c:v>
                </c:pt>
                <c:pt idx="150" formatCode="0.0000">
                  <c:v>1.2704973738396077</c:v>
                </c:pt>
                <c:pt idx="151" formatCode="0.0000">
                  <c:v>1.0378373134303851</c:v>
                </c:pt>
                <c:pt idx="152" formatCode="0.0000">
                  <c:v>1.0352197237619054</c:v>
                </c:pt>
                <c:pt idx="153" formatCode="0.0000">
                  <c:v>1.0602462109151538</c:v>
                </c:pt>
                <c:pt idx="154" formatCode="0.0000">
                  <c:v>0.92508149898565251</c:v>
                </c:pt>
                <c:pt idx="155" formatCode="0.0000">
                  <c:v>1.1669904823170343</c:v>
                </c:pt>
                <c:pt idx="156" formatCode="0.0000">
                  <c:v>1.2361117163656417</c:v>
                </c:pt>
                <c:pt idx="157" formatCode="0.0000">
                  <c:v>1.3451706235192862</c:v>
                </c:pt>
                <c:pt idx="158" formatCode="0.0000">
                  <c:v>1.4166381061865052</c:v>
                </c:pt>
                <c:pt idx="159" formatCode="0.0000">
                  <c:v>1.3216016211493342</c:v>
                </c:pt>
                <c:pt idx="160" formatCode="0.0000">
                  <c:v>1.3504108040937974</c:v>
                </c:pt>
                <c:pt idx="161" formatCode="0.0000">
                  <c:v>1.4578485357679318</c:v>
                </c:pt>
                <c:pt idx="162" formatCode="0.0000">
                  <c:v>1.2264742339586545</c:v>
                </c:pt>
                <c:pt idx="163" formatCode="0.0000">
                  <c:v>1.0665340185043501</c:v>
                </c:pt>
                <c:pt idx="164" formatCode="0.0000">
                  <c:v>1.103976035589602</c:v>
                </c:pt>
                <c:pt idx="165" formatCode="0.0000">
                  <c:v>1.0040957577763605</c:v>
                </c:pt>
                <c:pt idx="166" formatCode="0.0000">
                  <c:v>1.0161004662150215</c:v>
                </c:pt>
                <c:pt idx="167" formatCode="0.0000">
                  <c:v>1.1700173083937948</c:v>
                </c:pt>
                <c:pt idx="168" formatCode="0.0000">
                  <c:v>1.0976390398350568</c:v>
                </c:pt>
                <c:pt idx="169" formatCode="0.0000">
                  <c:v>1.1279464399034098</c:v>
                </c:pt>
                <c:pt idx="170" formatCode="0.0000">
                  <c:v>1.0470230280414206</c:v>
                </c:pt>
                <c:pt idx="171" formatCode="0.0000">
                  <c:v>0.97962492310697857</c:v>
                </c:pt>
                <c:pt idx="172" formatCode="0.0000">
                  <c:v>1.180361996950424</c:v>
                </c:pt>
                <c:pt idx="173" formatCode="0.0000">
                  <c:v>1.0878505046540972</c:v>
                </c:pt>
                <c:pt idx="174" formatCode="0.0000">
                  <c:v>0.95727780061777679</c:v>
                </c:pt>
                <c:pt idx="175" formatCode="0.0000">
                  <c:v>0.9187628695615534</c:v>
                </c:pt>
                <c:pt idx="176" formatCode="0.0000">
                  <c:v>0.98047333142887561</c:v>
                </c:pt>
                <c:pt idx="177" formatCode="0.0000">
                  <c:v>1.0613857750362972</c:v>
                </c:pt>
                <c:pt idx="178" formatCode="0.0000">
                  <c:v>0.9555034065792779</c:v>
                </c:pt>
                <c:pt idx="179" formatCode="0.0000">
                  <c:v>0.770428324061881</c:v>
                </c:pt>
                <c:pt idx="180" formatCode="0.0000">
                  <c:v>0.81217739708523928</c:v>
                </c:pt>
                <c:pt idx="181" formatCode="0.0000">
                  <c:v>0.8424644835304268</c:v>
                </c:pt>
                <c:pt idx="182" formatCode="0.0000">
                  <c:v>0.90404636581175768</c:v>
                </c:pt>
                <c:pt idx="183" formatCode="0.0000">
                  <c:v>0.82280209355817657</c:v>
                </c:pt>
                <c:pt idx="184" formatCode="0.0000">
                  <c:v>0.76075831283322581</c:v>
                </c:pt>
                <c:pt idx="185" formatCode="0.0000">
                  <c:v>0.72735967509843424</c:v>
                </c:pt>
                <c:pt idx="186" formatCode="0.0000">
                  <c:v>0.76486710402366265</c:v>
                </c:pt>
                <c:pt idx="187" formatCode="0.0000">
                  <c:v>1.1528906372991539</c:v>
                </c:pt>
                <c:pt idx="188" formatCode="0.0000">
                  <c:v>1.0819219116860554</c:v>
                </c:pt>
                <c:pt idx="189" formatCode="0.0000">
                  <c:v>1.0014250373207934</c:v>
                </c:pt>
                <c:pt idx="190" formatCode="0.0000">
                  <c:v>1.0528079600116098</c:v>
                </c:pt>
                <c:pt idx="191" formatCode="0.0000">
                  <c:v>1.2396051269045849</c:v>
                </c:pt>
                <c:pt idx="192" formatCode="0.0000">
                  <c:v>1.2933563622003035</c:v>
                </c:pt>
                <c:pt idx="193" formatCode="0.0000">
                  <c:v>1.3198800184054531</c:v>
                </c:pt>
                <c:pt idx="194" formatCode="0.0000">
                  <c:v>0.90012827314185484</c:v>
                </c:pt>
                <c:pt idx="195" formatCode="0.0000">
                  <c:v>1.139450244840803</c:v>
                </c:pt>
                <c:pt idx="196" formatCode="0.0000">
                  <c:v>1.3346675038142295</c:v>
                </c:pt>
                <c:pt idx="197" formatCode="0.0000">
                  <c:v>1.3581655769057797</c:v>
                </c:pt>
                <c:pt idx="198" formatCode="0.0000">
                  <c:v>1.2379147417587184</c:v>
                </c:pt>
                <c:pt idx="199" formatCode="0.0000">
                  <c:v>1.2309001992386317</c:v>
                </c:pt>
                <c:pt idx="200" formatCode="0.0000">
                  <c:v>1.3756931252672724</c:v>
                </c:pt>
                <c:pt idx="201" formatCode="0.0000">
                  <c:v>1.9249551173143045</c:v>
                </c:pt>
                <c:pt idx="202" formatCode="0.0000">
                  <c:v>1.9794465813683846</c:v>
                </c:pt>
                <c:pt idx="203" formatCode="0.0000">
                  <c:v>1.8225622697896786</c:v>
                </c:pt>
                <c:pt idx="204" formatCode="0.0000">
                  <c:v>1.7603314592656578</c:v>
                </c:pt>
                <c:pt idx="205" formatCode="0.0000">
                  <c:v>1.6838223174915488</c:v>
                </c:pt>
                <c:pt idx="206" formatCode="0.0000">
                  <c:v>1.7038874611730004</c:v>
                </c:pt>
                <c:pt idx="207" formatCode="0.0000">
                  <c:v>1.5627223606232465</c:v>
                </c:pt>
                <c:pt idx="208" formatCode="0.0000">
                  <c:v>1.0351567774477342</c:v>
                </c:pt>
                <c:pt idx="209" formatCode="0.0000">
                  <c:v>0.86176414057433415</c:v>
                </c:pt>
                <c:pt idx="210" formatCode="0.0000">
                  <c:v>0.91735686608583766</c:v>
                </c:pt>
                <c:pt idx="211" formatCode="0.0000">
                  <c:v>0.98192662417146259</c:v>
                </c:pt>
                <c:pt idx="212" formatCode="0.0000">
                  <c:v>0.99294713188676753</c:v>
                </c:pt>
                <c:pt idx="213" formatCode="0.0000">
                  <c:v>1.080180269434464</c:v>
                </c:pt>
                <c:pt idx="214" formatCode="0.0000">
                  <c:v>1.1590508632710044</c:v>
                </c:pt>
                <c:pt idx="215" formatCode="0.0000">
                  <c:v>1.2585054277014456</c:v>
                </c:pt>
                <c:pt idx="216" formatCode="0.0000">
                  <c:v>1.2707741968968151</c:v>
                </c:pt>
                <c:pt idx="217" formatCode="0.0000">
                  <c:v>1.2941462510369111</c:v>
                </c:pt>
                <c:pt idx="218" formatCode="0.0000">
                  <c:v>1.3022997794253814</c:v>
                </c:pt>
                <c:pt idx="219" formatCode="0.0000">
                  <c:v>1.5110729170190715</c:v>
                </c:pt>
                <c:pt idx="220" formatCode="0.0000">
                  <c:v>1.5833310519751573</c:v>
                </c:pt>
                <c:pt idx="221" formatCode="0.0000">
                  <c:v>1.7030034860481693</c:v>
                </c:pt>
                <c:pt idx="222" formatCode="0.0000">
                  <c:v>1.7807360009454116</c:v>
                </c:pt>
                <c:pt idx="223" formatCode="0.0000">
                  <c:v>1.8790678192837025</c:v>
                </c:pt>
                <c:pt idx="224" formatCode="0.0000">
                  <c:v>2.0738604198317181</c:v>
                </c:pt>
                <c:pt idx="225" formatCode="0.0000">
                  <c:v>2.2015780208533724</c:v>
                </c:pt>
                <c:pt idx="226" formatCode="0.0000">
                  <c:v>2.2132251253318826</c:v>
                </c:pt>
                <c:pt idx="227" formatCode="0.0000">
                  <c:v>2.0869855923963518</c:v>
                </c:pt>
                <c:pt idx="228" formatCode="0.0000">
                  <c:v>1.9966215201196766</c:v>
                </c:pt>
                <c:pt idx="229" formatCode="0.0000">
                  <c:v>1.9982420884909577</c:v>
                </c:pt>
                <c:pt idx="230" formatCode="0.0000">
                  <c:v>1.9705546317196061</c:v>
                </c:pt>
                <c:pt idx="231" formatCode="0.0000">
                  <c:v>1.7832343390405456</c:v>
                </c:pt>
                <c:pt idx="232" formatCode="0.0000">
                  <c:v>1.7056938300094724</c:v>
                </c:pt>
                <c:pt idx="233" formatCode="0.0000">
                  <c:v>1.6219362718353996</c:v>
                </c:pt>
                <c:pt idx="234" formatCode="0.0000">
                  <c:v>1.6221680588280007</c:v>
                </c:pt>
                <c:pt idx="235" formatCode="0.0000">
                  <c:v>1.6442919363516342</c:v>
                </c:pt>
                <c:pt idx="236" formatCode="0.0000">
                  <c:v>1.5591095192477058</c:v>
                </c:pt>
                <c:pt idx="237" formatCode="0.0000">
                  <c:v>1.4490028411517455</c:v>
                </c:pt>
                <c:pt idx="238" formatCode="0.0000">
                  <c:v>1.4119935353648772</c:v>
                </c:pt>
                <c:pt idx="239" formatCode="0.0000">
                  <c:v>1.3527893625924352</c:v>
                </c:pt>
                <c:pt idx="240" formatCode="0.0000">
                  <c:v>1.3182960253987215</c:v>
                </c:pt>
                <c:pt idx="241" formatCode="0.0000">
                  <c:v>1.320402460260466</c:v>
                </c:pt>
                <c:pt idx="242" formatCode="0.0000">
                  <c:v>1.2161462371506662</c:v>
                </c:pt>
                <c:pt idx="243" formatCode="0.0000">
                  <c:v>1.2127455117221262</c:v>
                </c:pt>
                <c:pt idx="244" formatCode="0.0000">
                  <c:v>1.1929047968256619</c:v>
                </c:pt>
                <c:pt idx="245" formatCode="0.0000">
                  <c:v>1.1859926424387333</c:v>
                </c:pt>
                <c:pt idx="246" formatCode="0.0000">
                  <c:v>1.2452721492781269</c:v>
                </c:pt>
                <c:pt idx="247" formatCode="0.0000">
                  <c:v>1.2783100471260593</c:v>
                </c:pt>
                <c:pt idx="248" formatCode="0.0000">
                  <c:v>1.2841223371511585</c:v>
                </c:pt>
                <c:pt idx="249" formatCode="0.0000">
                  <c:v>1.3241738215550909</c:v>
                </c:pt>
                <c:pt idx="250" formatCode="0.0000">
                  <c:v>1.3829510140658889</c:v>
                </c:pt>
                <c:pt idx="251" formatCode="0.0000">
                  <c:v>1.4015898330576422</c:v>
                </c:pt>
                <c:pt idx="252" formatCode="0.0000">
                  <c:v>1.4271308890786536</c:v>
                </c:pt>
                <c:pt idx="253" formatCode="0.0000">
                  <c:v>1.4128072248098447</c:v>
                </c:pt>
                <c:pt idx="254" formatCode="0.0000">
                  <c:v>1.3654051555036697</c:v>
                </c:pt>
                <c:pt idx="255" formatCode="0.0000">
                  <c:v>1.313311943993426</c:v>
                </c:pt>
                <c:pt idx="256" formatCode="0.0000">
                  <c:v>1.2650083575211275</c:v>
                </c:pt>
                <c:pt idx="257" formatCode="0.0000">
                  <c:v>1.1641830989639275</c:v>
                </c:pt>
                <c:pt idx="258" formatCode="0.0000">
                  <c:v>1.1364003618404783</c:v>
                </c:pt>
                <c:pt idx="259" formatCode="0.0000">
                  <c:v>1.1076172018462382</c:v>
                </c:pt>
                <c:pt idx="260" formatCode="0.0000">
                  <c:v>1.0768406099714321</c:v>
                </c:pt>
                <c:pt idx="261" formatCode="0.0000">
                  <c:v>1.0313393351510265</c:v>
                </c:pt>
                <c:pt idx="262" formatCode="0.0000">
                  <c:v>1.0244852801784394</c:v>
                </c:pt>
                <c:pt idx="263" formatCode="0.0000">
                  <c:v>1.0018004077208347</c:v>
                </c:pt>
                <c:pt idx="264" formatCode="0.0000">
                  <c:v>0.99361180877033828</c:v>
                </c:pt>
                <c:pt idx="265" formatCode="0.0000">
                  <c:v>0.98140111526049589</c:v>
                </c:pt>
                <c:pt idx="266" formatCode="0.0000">
                  <c:v>0.93749966165062426</c:v>
                </c:pt>
                <c:pt idx="267" formatCode="0.0000">
                  <c:v>0.86046770003244022</c:v>
                </c:pt>
                <c:pt idx="268" formatCode="0.0000">
                  <c:v>0.85944674978889957</c:v>
                </c:pt>
                <c:pt idx="269" formatCode="0.0000">
                  <c:v>0.82450616221685524</c:v>
                </c:pt>
                <c:pt idx="270" formatCode="0.0000">
                  <c:v>0.78679452137221972</c:v>
                </c:pt>
                <c:pt idx="271" formatCode="0.0000">
                  <c:v>0.78156767631606638</c:v>
                </c:pt>
                <c:pt idx="272" formatCode="0.0000">
                  <c:v>0.73112674818891144</c:v>
                </c:pt>
                <c:pt idx="273" formatCode="0.0000">
                  <c:v>0.72341522187423102</c:v>
                </c:pt>
                <c:pt idx="274" formatCode="0.0000">
                  <c:v>0.69739980867946283</c:v>
                </c:pt>
                <c:pt idx="275" formatCode="0.0000">
                  <c:v>0.70982612391816213</c:v>
                </c:pt>
                <c:pt idx="276" formatCode="0.0000">
                  <c:v>0.72608839459843977</c:v>
                </c:pt>
                <c:pt idx="277" formatCode="0.0000">
                  <c:v>0.73735550313768539</c:v>
                </c:pt>
                <c:pt idx="278" formatCode="0.0000">
                  <c:v>0.73012883274787332</c:v>
                </c:pt>
                <c:pt idx="279" formatCode="0.0000">
                  <c:v>0.74545761711206016</c:v>
                </c:pt>
                <c:pt idx="280" formatCode="0.0000">
                  <c:v>0.69488723447816392</c:v>
                </c:pt>
                <c:pt idx="281" formatCode="0.0000">
                  <c:v>0.70972882266179904</c:v>
                </c:pt>
                <c:pt idx="282" formatCode="0.0000">
                  <c:v>0.77191008206389078</c:v>
                </c:pt>
                <c:pt idx="283" formatCode="0.0000">
                  <c:v>0.76553245249004076</c:v>
                </c:pt>
                <c:pt idx="284" formatCode="0.0000">
                  <c:v>0.77946829734903744</c:v>
                </c:pt>
                <c:pt idx="285" formatCode="0.0000">
                  <c:v>0.73433693189789884</c:v>
                </c:pt>
                <c:pt idx="286" formatCode="0.0000">
                  <c:v>0.74726627676808532</c:v>
                </c:pt>
                <c:pt idx="287" formatCode="0.0000">
                  <c:v>0.75773854910803295</c:v>
                </c:pt>
                <c:pt idx="288" formatCode="0.0000">
                  <c:v>0.79613147098540227</c:v>
                </c:pt>
                <c:pt idx="289" formatCode="0.0000">
                  <c:v>0.71873561357410032</c:v>
                </c:pt>
                <c:pt idx="290" formatCode="0.0000">
                  <c:v>0.71775641408607549</c:v>
                </c:pt>
                <c:pt idx="291" formatCode="0.0000">
                  <c:v>0.71065516244811167</c:v>
                </c:pt>
                <c:pt idx="292" formatCode="0.0000">
                  <c:v>0.75176795740501046</c:v>
                </c:pt>
                <c:pt idx="293" formatCode="0.0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270-47F3-AB40-4767F1A1B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458384"/>
        <c:axId val="1732459078"/>
      </c:lineChart>
      <c:lineChart>
        <c:grouping val="standard"/>
        <c:varyColors val="0"/>
        <c:ser>
          <c:idx val="1"/>
          <c:order val="1"/>
          <c:tx>
            <c:strRef>
              <c:f>'R(t) Województwa'!$BC$2</c:f>
              <c:strCache>
                <c:ptCount val="1"/>
                <c:pt idx="0">
                  <c:v>Nowe przypadki (średnia 7 dni)</c:v>
                </c:pt>
              </c:strCache>
            </c:strRef>
          </c:tx>
          <c:marker>
            <c:symbol val="none"/>
          </c:marker>
          <c:cat>
            <c:numRef>
              <c:f>'R(t) Województwa'!$A$3:$A$1000</c:f>
              <c:numCache>
                <c:formatCode>dd\.mm\.yyyy</c:formatCode>
                <c:ptCount val="998"/>
                <c:pt idx="0">
                  <c:v>43893</c:v>
                </c:pt>
                <c:pt idx="1">
                  <c:v>43894</c:v>
                </c:pt>
                <c:pt idx="2">
                  <c:v>43895</c:v>
                </c:pt>
                <c:pt idx="3">
                  <c:v>43896</c:v>
                </c:pt>
                <c:pt idx="4">
                  <c:v>43897</c:v>
                </c:pt>
                <c:pt idx="5">
                  <c:v>43898</c:v>
                </c:pt>
                <c:pt idx="6">
                  <c:v>43899</c:v>
                </c:pt>
                <c:pt idx="7">
                  <c:v>43900</c:v>
                </c:pt>
                <c:pt idx="8">
                  <c:v>43901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</c:numCache>
            </c:numRef>
          </c:cat>
          <c:val>
            <c:numRef>
              <c:f>'R(t) Województwa'!$BC$3:$BC$1000</c:f>
              <c:numCache>
                <c:formatCode>General</c:formatCode>
                <c:ptCount val="998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0.14285714285714285</c:v>
                </c:pt>
                <c:pt idx="9">
                  <c:v>0.2857142857142857</c:v>
                </c:pt>
                <c:pt idx="10">
                  <c:v>0.2857142857142857</c:v>
                </c:pt>
                <c:pt idx="11">
                  <c:v>0.5714285714285714</c:v>
                </c:pt>
                <c:pt idx="12">
                  <c:v>0.5714285714285714</c:v>
                </c:pt>
                <c:pt idx="13">
                  <c:v>0.8571428571428571</c:v>
                </c:pt>
                <c:pt idx="14">
                  <c:v>1.1428571428571428</c:v>
                </c:pt>
                <c:pt idx="15">
                  <c:v>1.1428571428571428</c:v>
                </c:pt>
                <c:pt idx="16">
                  <c:v>1.1428571428571428</c:v>
                </c:pt>
                <c:pt idx="17">
                  <c:v>1.1428571428571428</c:v>
                </c:pt>
                <c:pt idx="18">
                  <c:v>0.8571428571428571</c:v>
                </c:pt>
                <c:pt idx="19">
                  <c:v>1.4285714285714286</c:v>
                </c:pt>
                <c:pt idx="20">
                  <c:v>1.8571428571428572</c:v>
                </c:pt>
                <c:pt idx="21">
                  <c:v>1.8571428571428572</c:v>
                </c:pt>
                <c:pt idx="22">
                  <c:v>2</c:v>
                </c:pt>
                <c:pt idx="23">
                  <c:v>2.2857142857142856</c:v>
                </c:pt>
                <c:pt idx="24">
                  <c:v>2.5714285714285716</c:v>
                </c:pt>
                <c:pt idx="25">
                  <c:v>3</c:v>
                </c:pt>
                <c:pt idx="26">
                  <c:v>4.1428571428571432</c:v>
                </c:pt>
                <c:pt idx="27">
                  <c:v>5</c:v>
                </c:pt>
                <c:pt idx="28">
                  <c:v>7</c:v>
                </c:pt>
                <c:pt idx="29">
                  <c:v>7.4285714285714288</c:v>
                </c:pt>
                <c:pt idx="30">
                  <c:v>7.4285714285714288</c:v>
                </c:pt>
                <c:pt idx="31">
                  <c:v>8.8571428571428577</c:v>
                </c:pt>
                <c:pt idx="32">
                  <c:v>8.4285714285714288</c:v>
                </c:pt>
                <c:pt idx="33">
                  <c:v>7.2857142857142856</c:v>
                </c:pt>
                <c:pt idx="34">
                  <c:v>6.7142857142857144</c:v>
                </c:pt>
                <c:pt idx="35">
                  <c:v>5.2857142857142856</c:v>
                </c:pt>
                <c:pt idx="36">
                  <c:v>5.8571428571428568</c:v>
                </c:pt>
                <c:pt idx="37">
                  <c:v>6.7142857142857144</c:v>
                </c:pt>
                <c:pt idx="38">
                  <c:v>5.7142857142857144</c:v>
                </c:pt>
                <c:pt idx="39">
                  <c:v>7.5714285714285712</c:v>
                </c:pt>
                <c:pt idx="40">
                  <c:v>8.1428571428571423</c:v>
                </c:pt>
                <c:pt idx="41">
                  <c:v>10</c:v>
                </c:pt>
                <c:pt idx="42">
                  <c:v>14.142857142857142</c:v>
                </c:pt>
                <c:pt idx="43">
                  <c:v>14.714285714285714</c:v>
                </c:pt>
                <c:pt idx="44">
                  <c:v>15</c:v>
                </c:pt>
                <c:pt idx="45">
                  <c:v>17.714285714285715</c:v>
                </c:pt>
                <c:pt idx="46">
                  <c:v>18.285714285714285</c:v>
                </c:pt>
                <c:pt idx="47">
                  <c:v>17.857142857142858</c:v>
                </c:pt>
                <c:pt idx="48">
                  <c:v>17.285714285714285</c:v>
                </c:pt>
                <c:pt idx="49">
                  <c:v>13.142857142857142</c:v>
                </c:pt>
                <c:pt idx="50">
                  <c:v>15</c:v>
                </c:pt>
                <c:pt idx="51">
                  <c:v>14.285714285714286</c:v>
                </c:pt>
                <c:pt idx="52">
                  <c:v>13</c:v>
                </c:pt>
                <c:pt idx="53">
                  <c:v>11.571428571428571</c:v>
                </c:pt>
                <c:pt idx="54">
                  <c:v>12.428571428571429</c:v>
                </c:pt>
                <c:pt idx="55">
                  <c:v>11.571428571428571</c:v>
                </c:pt>
                <c:pt idx="56">
                  <c:v>11.428571428571429</c:v>
                </c:pt>
                <c:pt idx="57">
                  <c:v>9.4285714285714288</c:v>
                </c:pt>
                <c:pt idx="58">
                  <c:v>9.1428571428571423</c:v>
                </c:pt>
                <c:pt idx="59">
                  <c:v>7.5714285714285712</c:v>
                </c:pt>
                <c:pt idx="60">
                  <c:v>7.8571428571428568</c:v>
                </c:pt>
                <c:pt idx="61">
                  <c:v>8.4285714285714288</c:v>
                </c:pt>
                <c:pt idx="62">
                  <c:v>8.8571428571428577</c:v>
                </c:pt>
                <c:pt idx="63">
                  <c:v>8.8571428571428577</c:v>
                </c:pt>
                <c:pt idx="64">
                  <c:v>8.5714285714285712</c:v>
                </c:pt>
                <c:pt idx="65">
                  <c:v>9.2857142857142865</c:v>
                </c:pt>
                <c:pt idx="66">
                  <c:v>11</c:v>
                </c:pt>
                <c:pt idx="67">
                  <c:v>10.142857142857142</c:v>
                </c:pt>
                <c:pt idx="68">
                  <c:v>9.7142857142857135</c:v>
                </c:pt>
                <c:pt idx="69">
                  <c:v>8.5714285714285712</c:v>
                </c:pt>
                <c:pt idx="70">
                  <c:v>8.2857142857142865</c:v>
                </c:pt>
                <c:pt idx="71">
                  <c:v>7.4285714285714288</c:v>
                </c:pt>
                <c:pt idx="72">
                  <c:v>7.2857142857142856</c:v>
                </c:pt>
                <c:pt idx="73">
                  <c:v>7.4285714285714288</c:v>
                </c:pt>
                <c:pt idx="74">
                  <c:v>8.1428571428571423</c:v>
                </c:pt>
                <c:pt idx="75">
                  <c:v>7.7142857142857144</c:v>
                </c:pt>
                <c:pt idx="76">
                  <c:v>8</c:v>
                </c:pt>
                <c:pt idx="77">
                  <c:v>8.1428571428571423</c:v>
                </c:pt>
                <c:pt idx="78">
                  <c:v>9.4285714285714288</c:v>
                </c:pt>
                <c:pt idx="79">
                  <c:v>9.4285714285714288</c:v>
                </c:pt>
                <c:pt idx="80">
                  <c:v>8.4285714285714288</c:v>
                </c:pt>
                <c:pt idx="81">
                  <c:v>7.8571428571428568</c:v>
                </c:pt>
                <c:pt idx="82">
                  <c:v>7</c:v>
                </c:pt>
                <c:pt idx="83">
                  <c:v>6.7142857142857144</c:v>
                </c:pt>
                <c:pt idx="84">
                  <c:v>6.5714285714285712</c:v>
                </c:pt>
                <c:pt idx="85">
                  <c:v>6</c:v>
                </c:pt>
                <c:pt idx="86">
                  <c:v>6.5714285714285712</c:v>
                </c:pt>
                <c:pt idx="87">
                  <c:v>6.4285714285714288</c:v>
                </c:pt>
                <c:pt idx="88">
                  <c:v>7.4285714285714288</c:v>
                </c:pt>
                <c:pt idx="89">
                  <c:v>7.1428571428571432</c:v>
                </c:pt>
                <c:pt idx="90">
                  <c:v>7.7142857142857144</c:v>
                </c:pt>
                <c:pt idx="91">
                  <c:v>9.2857142857142865</c:v>
                </c:pt>
                <c:pt idx="92">
                  <c:v>10.714285714285714</c:v>
                </c:pt>
                <c:pt idx="93">
                  <c:v>10.142857142857142</c:v>
                </c:pt>
                <c:pt idx="94">
                  <c:v>10</c:v>
                </c:pt>
                <c:pt idx="95">
                  <c:v>11.142857142857142</c:v>
                </c:pt>
                <c:pt idx="96">
                  <c:v>12.142857142857142</c:v>
                </c:pt>
                <c:pt idx="97">
                  <c:v>12.142857142857142</c:v>
                </c:pt>
                <c:pt idx="98">
                  <c:v>11.571428571428571</c:v>
                </c:pt>
                <c:pt idx="99">
                  <c:v>10.714285714285714</c:v>
                </c:pt>
                <c:pt idx="100">
                  <c:v>10</c:v>
                </c:pt>
                <c:pt idx="101">
                  <c:v>10.142857142857142</c:v>
                </c:pt>
                <c:pt idx="102">
                  <c:v>10</c:v>
                </c:pt>
                <c:pt idx="103">
                  <c:v>9.5714285714285712</c:v>
                </c:pt>
                <c:pt idx="104">
                  <c:v>9.4285714285714288</c:v>
                </c:pt>
                <c:pt idx="105">
                  <c:v>9.1428571428571423</c:v>
                </c:pt>
                <c:pt idx="106">
                  <c:v>8.2857142857142865</c:v>
                </c:pt>
                <c:pt idx="107">
                  <c:v>8.7142857142857135</c:v>
                </c:pt>
                <c:pt idx="108">
                  <c:v>8.8571428571428577</c:v>
                </c:pt>
                <c:pt idx="109">
                  <c:v>6.8571428571428568</c:v>
                </c:pt>
                <c:pt idx="110">
                  <c:v>8.1428571428571423</c:v>
                </c:pt>
                <c:pt idx="111">
                  <c:v>7</c:v>
                </c:pt>
                <c:pt idx="112">
                  <c:v>6.5714285714285712</c:v>
                </c:pt>
                <c:pt idx="113">
                  <c:v>6.8571428571428568</c:v>
                </c:pt>
                <c:pt idx="114">
                  <c:v>9.2857142857142865</c:v>
                </c:pt>
                <c:pt idx="115">
                  <c:v>8.2857142857142865</c:v>
                </c:pt>
                <c:pt idx="116">
                  <c:v>10.714285714285714</c:v>
                </c:pt>
                <c:pt idx="117">
                  <c:v>11.428571428571429</c:v>
                </c:pt>
                <c:pt idx="118">
                  <c:v>12.571428571428571</c:v>
                </c:pt>
                <c:pt idx="119">
                  <c:v>12</c:v>
                </c:pt>
                <c:pt idx="120">
                  <c:v>11.714285714285714</c:v>
                </c:pt>
                <c:pt idx="121">
                  <c:v>9.4285714285714288</c:v>
                </c:pt>
                <c:pt idx="122">
                  <c:v>10.285714285714286</c:v>
                </c:pt>
                <c:pt idx="123">
                  <c:v>7.7142857142857144</c:v>
                </c:pt>
                <c:pt idx="124">
                  <c:v>5.7142857142857144</c:v>
                </c:pt>
                <c:pt idx="125">
                  <c:v>4.7142857142857144</c:v>
                </c:pt>
                <c:pt idx="126">
                  <c:v>5</c:v>
                </c:pt>
                <c:pt idx="127">
                  <c:v>4.5714285714285712</c:v>
                </c:pt>
                <c:pt idx="128">
                  <c:v>4.4285714285714288</c:v>
                </c:pt>
                <c:pt idx="129">
                  <c:v>4.4285714285714288</c:v>
                </c:pt>
                <c:pt idx="130">
                  <c:v>5.1428571428571432</c:v>
                </c:pt>
                <c:pt idx="131">
                  <c:v>5.2857142857142856</c:v>
                </c:pt>
                <c:pt idx="132">
                  <c:v>5.2857142857142856</c:v>
                </c:pt>
                <c:pt idx="133">
                  <c:v>5.1428571428571432</c:v>
                </c:pt>
                <c:pt idx="134">
                  <c:v>5</c:v>
                </c:pt>
                <c:pt idx="135">
                  <c:v>4.7142857142857144</c:v>
                </c:pt>
                <c:pt idx="136">
                  <c:v>4</c:v>
                </c:pt>
                <c:pt idx="137">
                  <c:v>3.5714285714285716</c:v>
                </c:pt>
                <c:pt idx="138">
                  <c:v>3.8571428571428572</c:v>
                </c:pt>
                <c:pt idx="139">
                  <c:v>4.2857142857142856</c:v>
                </c:pt>
                <c:pt idx="140">
                  <c:v>4.5714285714285712</c:v>
                </c:pt>
                <c:pt idx="141">
                  <c:v>7</c:v>
                </c:pt>
                <c:pt idx="142">
                  <c:v>9.4285714285714288</c:v>
                </c:pt>
                <c:pt idx="143">
                  <c:v>10</c:v>
                </c:pt>
                <c:pt idx="144">
                  <c:v>12.142857142857142</c:v>
                </c:pt>
                <c:pt idx="145">
                  <c:v>13.285714285714286</c:v>
                </c:pt>
                <c:pt idx="146">
                  <c:v>12.857142857142858</c:v>
                </c:pt>
                <c:pt idx="147">
                  <c:v>14.571428571428571</c:v>
                </c:pt>
                <c:pt idx="148">
                  <c:v>12.428571428571429</c:v>
                </c:pt>
                <c:pt idx="149">
                  <c:v>11.857142857142858</c:v>
                </c:pt>
                <c:pt idx="150">
                  <c:v>12.571428571428571</c:v>
                </c:pt>
                <c:pt idx="151">
                  <c:v>10.714285714285714</c:v>
                </c:pt>
                <c:pt idx="152">
                  <c:v>10.714285714285714</c:v>
                </c:pt>
                <c:pt idx="153">
                  <c:v>11</c:v>
                </c:pt>
                <c:pt idx="154">
                  <c:v>9.7142857142857135</c:v>
                </c:pt>
                <c:pt idx="155">
                  <c:v>12</c:v>
                </c:pt>
                <c:pt idx="156">
                  <c:v>13.142857142857142</c:v>
                </c:pt>
                <c:pt idx="157">
                  <c:v>15</c:v>
                </c:pt>
                <c:pt idx="158">
                  <c:v>16.428571428571427</c:v>
                </c:pt>
                <c:pt idx="159">
                  <c:v>16</c:v>
                </c:pt>
                <c:pt idx="160">
                  <c:v>16.571428571428573</c:v>
                </c:pt>
                <c:pt idx="161">
                  <c:v>18.428571428571427</c:v>
                </c:pt>
                <c:pt idx="162">
                  <c:v>16.571428571428573</c:v>
                </c:pt>
                <c:pt idx="163">
                  <c:v>15.142857142857142</c:v>
                </c:pt>
                <c:pt idx="164">
                  <c:v>15.857142857142858</c:v>
                </c:pt>
                <c:pt idx="165">
                  <c:v>14.428571428571429</c:v>
                </c:pt>
                <c:pt idx="166">
                  <c:v>14.571428571428571</c:v>
                </c:pt>
                <c:pt idx="167">
                  <c:v>16.857142857142858</c:v>
                </c:pt>
                <c:pt idx="168">
                  <c:v>16.142857142857142</c:v>
                </c:pt>
                <c:pt idx="169">
                  <c:v>16.714285714285715</c:v>
                </c:pt>
                <c:pt idx="170">
                  <c:v>15.714285714285714</c:v>
                </c:pt>
                <c:pt idx="171">
                  <c:v>14.857142857142858</c:v>
                </c:pt>
                <c:pt idx="172">
                  <c:v>18</c:v>
                </c:pt>
                <c:pt idx="173">
                  <c:v>16.714285714285715</c:v>
                </c:pt>
                <c:pt idx="174">
                  <c:v>14.857142857142858</c:v>
                </c:pt>
                <c:pt idx="175">
                  <c:v>14.142857142857142</c:v>
                </c:pt>
                <c:pt idx="176">
                  <c:v>14.857142857142858</c:v>
                </c:pt>
                <c:pt idx="177">
                  <c:v>16</c:v>
                </c:pt>
                <c:pt idx="178">
                  <c:v>14.571428571428571</c:v>
                </c:pt>
                <c:pt idx="179">
                  <c:v>11.571428571428571</c:v>
                </c:pt>
                <c:pt idx="180">
                  <c:v>12</c:v>
                </c:pt>
                <c:pt idx="181">
                  <c:v>12.142857142857142</c:v>
                </c:pt>
                <c:pt idx="182">
                  <c:v>12.714285714285714</c:v>
                </c:pt>
                <c:pt idx="183">
                  <c:v>11.428571428571429</c:v>
                </c:pt>
                <c:pt idx="184">
                  <c:v>10.285714285714286</c:v>
                </c:pt>
                <c:pt idx="185">
                  <c:v>9.4285714285714288</c:v>
                </c:pt>
                <c:pt idx="186">
                  <c:v>9.5714285714285712</c:v>
                </c:pt>
                <c:pt idx="187">
                  <c:v>13.571428571428571</c:v>
                </c:pt>
                <c:pt idx="188">
                  <c:v>12.714285714285714</c:v>
                </c:pt>
                <c:pt idx="189">
                  <c:v>11.714285714285714</c:v>
                </c:pt>
                <c:pt idx="190">
                  <c:v>12.285714285714286</c:v>
                </c:pt>
                <c:pt idx="191">
                  <c:v>14.571428571428571</c:v>
                </c:pt>
                <c:pt idx="192">
                  <c:v>15.571428571428571</c:v>
                </c:pt>
                <c:pt idx="193">
                  <c:v>16.285714285714285</c:v>
                </c:pt>
                <c:pt idx="194">
                  <c:v>11.857142857142858</c:v>
                </c:pt>
                <c:pt idx="195">
                  <c:v>14.857142857142858</c:v>
                </c:pt>
                <c:pt idx="196">
                  <c:v>17.857142857142858</c:v>
                </c:pt>
                <c:pt idx="197">
                  <c:v>18.857142857142858</c:v>
                </c:pt>
                <c:pt idx="198">
                  <c:v>18.142857142857142</c:v>
                </c:pt>
                <c:pt idx="199">
                  <c:v>18.571428571428573</c:v>
                </c:pt>
                <c:pt idx="200">
                  <c:v>21.571428571428573</c:v>
                </c:pt>
                <c:pt idx="201">
                  <c:v>32.857142857142854</c:v>
                </c:pt>
                <c:pt idx="202">
                  <c:v>39.142857142857146</c:v>
                </c:pt>
                <c:pt idx="203">
                  <c:v>39.142857142857146</c:v>
                </c:pt>
                <c:pt idx="204">
                  <c:v>39.857142857142854</c:v>
                </c:pt>
                <c:pt idx="205">
                  <c:v>39.857142857142854</c:v>
                </c:pt>
                <c:pt idx="206">
                  <c:v>42.571428571428569</c:v>
                </c:pt>
                <c:pt idx="207">
                  <c:v>42.142857142857146</c:v>
                </c:pt>
                <c:pt idx="208">
                  <c:v>32.428571428571431</c:v>
                </c:pt>
                <c:pt idx="209">
                  <c:v>27.428571428571427</c:v>
                </c:pt>
                <c:pt idx="210">
                  <c:v>28.571428571428573</c:v>
                </c:pt>
                <c:pt idx="211">
                  <c:v>30.285714285714285</c:v>
                </c:pt>
                <c:pt idx="212">
                  <c:v>30.571428571428573</c:v>
                </c:pt>
                <c:pt idx="213">
                  <c:v>33.142857142857146</c:v>
                </c:pt>
                <c:pt idx="214">
                  <c:v>36.142857142857146</c:v>
                </c:pt>
                <c:pt idx="215">
                  <c:v>40.142857142857146</c:v>
                </c:pt>
                <c:pt idx="216">
                  <c:v>42</c:v>
                </c:pt>
                <c:pt idx="217">
                  <c:v>44.428571428571431</c:v>
                </c:pt>
                <c:pt idx="218">
                  <c:v>46.428571428571431</c:v>
                </c:pt>
                <c:pt idx="219">
                  <c:v>56.285714285714285</c:v>
                </c:pt>
                <c:pt idx="220">
                  <c:v>64.857142857142861</c:v>
                </c:pt>
                <c:pt idx="221">
                  <c:v>77.428571428571431</c:v>
                </c:pt>
                <c:pt idx="222">
                  <c:v>88.714285714285708</c:v>
                </c:pt>
                <c:pt idx="223">
                  <c:v>103.71428571428571</c:v>
                </c:pt>
                <c:pt idx="224">
                  <c:v>130.57142857142858</c:v>
                </c:pt>
                <c:pt idx="225">
                  <c:v>156.71428571428572</c:v>
                </c:pt>
                <c:pt idx="226">
                  <c:v>184.14285714285714</c:v>
                </c:pt>
                <c:pt idx="227">
                  <c:v>199.14285714285714</c:v>
                </c:pt>
                <c:pt idx="228">
                  <c:v>219.42857142857142</c:v>
                </c:pt>
                <c:pt idx="229">
                  <c:v>246.42857142857142</c:v>
                </c:pt>
                <c:pt idx="230">
                  <c:v>274.28571428571428</c:v>
                </c:pt>
                <c:pt idx="231">
                  <c:v>283.71428571428572</c:v>
                </c:pt>
                <c:pt idx="232">
                  <c:v>302.14285714285717</c:v>
                </c:pt>
                <c:pt idx="233">
                  <c:v>319.57142857142856</c:v>
                </c:pt>
                <c:pt idx="234">
                  <c:v>345.28571428571428</c:v>
                </c:pt>
                <c:pt idx="235">
                  <c:v>384.57142857142856</c:v>
                </c:pt>
                <c:pt idx="236">
                  <c:v>394.42857142857144</c:v>
                </c:pt>
                <c:pt idx="237">
                  <c:v>392.57142857142856</c:v>
                </c:pt>
                <c:pt idx="238">
                  <c:v>403.71428571428572</c:v>
                </c:pt>
                <c:pt idx="239">
                  <c:v>408.42857142857144</c:v>
                </c:pt>
                <c:pt idx="240">
                  <c:v>419.57142857142856</c:v>
                </c:pt>
                <c:pt idx="241">
                  <c:v>440.85714285714283</c:v>
                </c:pt>
                <c:pt idx="242">
                  <c:v>428.42857142857144</c:v>
                </c:pt>
                <c:pt idx="243">
                  <c:v>439.85714285714283</c:v>
                </c:pt>
                <c:pt idx="244">
                  <c:v>442.71428571428572</c:v>
                </c:pt>
                <c:pt idx="245">
                  <c:v>451.28571428571428</c:v>
                </c:pt>
                <c:pt idx="246">
                  <c:v>486.85714285714283</c:v>
                </c:pt>
                <c:pt idx="247">
                  <c:v>520</c:v>
                </c:pt>
                <c:pt idx="248">
                  <c:v>547</c:v>
                </c:pt>
                <c:pt idx="249">
                  <c:v>589</c:v>
                </c:pt>
                <c:pt idx="250">
                  <c:v>645.71428571428567</c:v>
                </c:pt>
                <c:pt idx="251">
                  <c:v>679.42857142857144</c:v>
                </c:pt>
                <c:pt idx="252">
                  <c:v>724.71428571428567</c:v>
                </c:pt>
                <c:pt idx="253">
                  <c:v>762.71428571428567</c:v>
                </c:pt>
                <c:pt idx="254">
                  <c:v>781.28571428571433</c:v>
                </c:pt>
                <c:pt idx="255">
                  <c:v>790.28571428571433</c:v>
                </c:pt>
                <c:pt idx="256">
                  <c:v>795.14285714285711</c:v>
                </c:pt>
                <c:pt idx="257">
                  <c:v>758.85714285714289</c:v>
                </c:pt>
                <c:pt idx="258">
                  <c:v>754</c:v>
                </c:pt>
                <c:pt idx="259">
                  <c:v>749.71428571428567</c:v>
                </c:pt>
                <c:pt idx="260">
                  <c:v>742.71428571428567</c:v>
                </c:pt>
                <c:pt idx="261">
                  <c:v>719.57142857142856</c:v>
                </c:pt>
                <c:pt idx="262">
                  <c:v>718.14285714285711</c:v>
                </c:pt>
                <c:pt idx="263">
                  <c:v>704.42857142857144</c:v>
                </c:pt>
                <c:pt idx="264">
                  <c:v>698.57142857142856</c:v>
                </c:pt>
                <c:pt idx="265">
                  <c:v>689.42857142857144</c:v>
                </c:pt>
                <c:pt idx="266">
                  <c:v>658</c:v>
                </c:pt>
                <c:pt idx="267">
                  <c:v>600.57142857142856</c:v>
                </c:pt>
                <c:pt idx="268">
                  <c:v>587</c:v>
                </c:pt>
                <c:pt idx="269">
                  <c:v>550.42857142857144</c:v>
                </c:pt>
                <c:pt idx="270">
                  <c:v>511.28571428571428</c:v>
                </c:pt>
                <c:pt idx="271">
                  <c:v>492.57142857142856</c:v>
                </c:pt>
                <c:pt idx="272">
                  <c:v>450.42857142857144</c:v>
                </c:pt>
                <c:pt idx="273">
                  <c:v>428.85714285714283</c:v>
                </c:pt>
                <c:pt idx="274">
                  <c:v>400</c:v>
                </c:pt>
                <c:pt idx="275">
                  <c:v>383.14285714285717</c:v>
                </c:pt>
                <c:pt idx="276">
                  <c:v>370.71428571428572</c:v>
                </c:pt>
                <c:pt idx="277">
                  <c:v>360.71428571428572</c:v>
                </c:pt>
                <c:pt idx="278">
                  <c:v>342.85714285714283</c:v>
                </c:pt>
                <c:pt idx="279">
                  <c:v>342.42857142857144</c:v>
                </c:pt>
                <c:pt idx="280">
                  <c:v>310.85714285714283</c:v>
                </c:pt>
                <c:pt idx="281">
                  <c:v>306.14285714285717</c:v>
                </c:pt>
                <c:pt idx="282">
                  <c:v>309.57142857142856</c:v>
                </c:pt>
                <c:pt idx="283">
                  <c:v>293.57142857142856</c:v>
                </c:pt>
                <c:pt idx="284">
                  <c:v>287.28571428571428</c:v>
                </c:pt>
                <c:pt idx="285">
                  <c:v>262.42857142857144</c:v>
                </c:pt>
                <c:pt idx="286">
                  <c:v>259.71428571428572</c:v>
                </c:pt>
                <c:pt idx="287">
                  <c:v>258.14285714285717</c:v>
                </c:pt>
                <c:pt idx="288">
                  <c:v>261.42857142857144</c:v>
                </c:pt>
                <c:pt idx="289">
                  <c:v>226.85714285714286</c:v>
                </c:pt>
                <c:pt idx="290">
                  <c:v>214.42857142857142</c:v>
                </c:pt>
                <c:pt idx="291">
                  <c:v>201.14285714285714</c:v>
                </c:pt>
                <c:pt idx="292">
                  <c:v>206.85714285714286</c:v>
                </c:pt>
                <c:pt idx="29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270-47F3-AB40-4767F1A1B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093382"/>
        <c:axId val="1857870408"/>
      </c:lineChart>
      <c:dateAx>
        <c:axId val="573458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>
                    <a:solidFill>
                      <a:srgbClr val="000000"/>
                    </a:solidFill>
                    <a:latin typeface="+mn-lt"/>
                  </a:rPr>
                  <a:t>Dzień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732459078"/>
        <c:crosses val="autoZero"/>
        <c:auto val="1"/>
        <c:lblOffset val="100"/>
        <c:baseTimeUnit val="days"/>
      </c:dateAx>
      <c:valAx>
        <c:axId val="1732459078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F0000"/>
                    </a:solidFill>
                    <a:latin typeface="+mn-lt"/>
                  </a:defRPr>
                </a:pPr>
                <a:r>
                  <a:rPr b="1" i="1">
                    <a:solidFill>
                      <a:srgbClr val="FF0000"/>
                    </a:solidFill>
                    <a:latin typeface="+mn-lt"/>
                  </a:rPr>
                  <a:t>R(t)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573458384"/>
        <c:crosses val="autoZero"/>
        <c:crossBetween val="between"/>
      </c:valAx>
      <c:dateAx>
        <c:axId val="2125093382"/>
        <c:scaling>
          <c:orientation val="minMax"/>
        </c:scaling>
        <c:delete val="1"/>
        <c:axPos val="b"/>
        <c:numFmt formatCode="dd\.mm\.yyyy" sourceLinked="1"/>
        <c:majorTickMark val="none"/>
        <c:minorTickMark val="none"/>
        <c:tickLblPos val="nextTo"/>
        <c:crossAx val="1857870408"/>
        <c:crosses val="autoZero"/>
        <c:auto val="1"/>
        <c:lblOffset val="100"/>
        <c:baseTimeUnit val="days"/>
      </c:dateAx>
      <c:valAx>
        <c:axId val="1857870408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0000FF"/>
                    </a:solidFill>
                    <a:latin typeface="+mn-lt"/>
                  </a:defRPr>
                </a:pPr>
                <a:r>
                  <a:rPr b="1" i="1">
                    <a:solidFill>
                      <a:srgbClr val="0000FF"/>
                    </a:solidFill>
                    <a:latin typeface="+mn-lt"/>
                  </a:rPr>
                  <a:t>Nowe przypadki 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2125093382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COVID-19 Szkoły w nauczaniu zdalnym i mieszanym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zdalne</c:v>
          </c:tx>
          <c:marker>
            <c:symbol val="none"/>
          </c:marker>
          <c:cat>
            <c:numRef>
              <c:f>'Szkoły w nauczaniu zdalnym'!$A$3:$A$300</c:f>
              <c:numCache>
                <c:formatCode>dd\.mm\.yyyy</c:formatCode>
                <c:ptCount val="298"/>
                <c:pt idx="0">
                  <c:v>44075</c:v>
                </c:pt>
                <c:pt idx="1">
                  <c:v>44076</c:v>
                </c:pt>
                <c:pt idx="2">
                  <c:v>44077</c:v>
                </c:pt>
                <c:pt idx="3">
                  <c:v>44078</c:v>
                </c:pt>
                <c:pt idx="4">
                  <c:v>44079</c:v>
                </c:pt>
                <c:pt idx="5">
                  <c:v>44080</c:v>
                </c:pt>
                <c:pt idx="6">
                  <c:v>44081</c:v>
                </c:pt>
                <c:pt idx="7">
                  <c:v>44082</c:v>
                </c:pt>
                <c:pt idx="8">
                  <c:v>44083</c:v>
                </c:pt>
                <c:pt idx="9">
                  <c:v>44084</c:v>
                </c:pt>
                <c:pt idx="10">
                  <c:v>44085</c:v>
                </c:pt>
                <c:pt idx="11">
                  <c:v>44086</c:v>
                </c:pt>
                <c:pt idx="12">
                  <c:v>44087</c:v>
                </c:pt>
                <c:pt idx="13">
                  <c:v>44088</c:v>
                </c:pt>
                <c:pt idx="14">
                  <c:v>44089</c:v>
                </c:pt>
                <c:pt idx="15">
                  <c:v>44090</c:v>
                </c:pt>
                <c:pt idx="16">
                  <c:v>44091</c:v>
                </c:pt>
                <c:pt idx="17">
                  <c:v>44092</c:v>
                </c:pt>
                <c:pt idx="18">
                  <c:v>44093</c:v>
                </c:pt>
                <c:pt idx="19">
                  <c:v>44094</c:v>
                </c:pt>
                <c:pt idx="20">
                  <c:v>44095</c:v>
                </c:pt>
                <c:pt idx="21">
                  <c:v>44096</c:v>
                </c:pt>
                <c:pt idx="22">
                  <c:v>44097</c:v>
                </c:pt>
                <c:pt idx="23">
                  <c:v>44098</c:v>
                </c:pt>
                <c:pt idx="24">
                  <c:v>44099</c:v>
                </c:pt>
                <c:pt idx="25">
                  <c:v>44100</c:v>
                </c:pt>
                <c:pt idx="26">
                  <c:v>44101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44105</c:v>
                </c:pt>
                <c:pt idx="31">
                  <c:v>44106</c:v>
                </c:pt>
                <c:pt idx="32">
                  <c:v>44107</c:v>
                </c:pt>
                <c:pt idx="33">
                  <c:v>44108</c:v>
                </c:pt>
                <c:pt idx="34">
                  <c:v>44109</c:v>
                </c:pt>
                <c:pt idx="35">
                  <c:v>44110</c:v>
                </c:pt>
                <c:pt idx="36">
                  <c:v>44111</c:v>
                </c:pt>
                <c:pt idx="37">
                  <c:v>44112</c:v>
                </c:pt>
                <c:pt idx="38">
                  <c:v>44113</c:v>
                </c:pt>
                <c:pt idx="39">
                  <c:v>44114</c:v>
                </c:pt>
                <c:pt idx="40">
                  <c:v>44115</c:v>
                </c:pt>
                <c:pt idx="41">
                  <c:v>44116</c:v>
                </c:pt>
                <c:pt idx="42">
                  <c:v>44117</c:v>
                </c:pt>
                <c:pt idx="43">
                  <c:v>44118</c:v>
                </c:pt>
                <c:pt idx="44">
                  <c:v>44119</c:v>
                </c:pt>
                <c:pt idx="45">
                  <c:v>44120</c:v>
                </c:pt>
                <c:pt idx="46">
                  <c:v>44121</c:v>
                </c:pt>
                <c:pt idx="47">
                  <c:v>44122</c:v>
                </c:pt>
                <c:pt idx="48">
                  <c:v>44123</c:v>
                </c:pt>
                <c:pt idx="49">
                  <c:v>44124</c:v>
                </c:pt>
                <c:pt idx="50">
                  <c:v>44125</c:v>
                </c:pt>
                <c:pt idx="51">
                  <c:v>44126</c:v>
                </c:pt>
                <c:pt idx="52">
                  <c:v>44127</c:v>
                </c:pt>
                <c:pt idx="53">
                  <c:v>44128</c:v>
                </c:pt>
                <c:pt idx="54">
                  <c:v>44129</c:v>
                </c:pt>
                <c:pt idx="55">
                  <c:v>44130</c:v>
                </c:pt>
                <c:pt idx="56">
                  <c:v>44131</c:v>
                </c:pt>
                <c:pt idx="57">
                  <c:v>44132</c:v>
                </c:pt>
                <c:pt idx="58">
                  <c:v>44133</c:v>
                </c:pt>
                <c:pt idx="59">
                  <c:v>44134</c:v>
                </c:pt>
                <c:pt idx="60">
                  <c:v>44135</c:v>
                </c:pt>
                <c:pt idx="61">
                  <c:v>44136</c:v>
                </c:pt>
                <c:pt idx="62">
                  <c:v>44137</c:v>
                </c:pt>
                <c:pt idx="63">
                  <c:v>44138</c:v>
                </c:pt>
                <c:pt idx="64">
                  <c:v>44139</c:v>
                </c:pt>
                <c:pt idx="65">
                  <c:v>44140</c:v>
                </c:pt>
                <c:pt idx="66">
                  <c:v>44141</c:v>
                </c:pt>
                <c:pt idx="67">
                  <c:v>44142</c:v>
                </c:pt>
                <c:pt idx="68">
                  <c:v>44143</c:v>
                </c:pt>
                <c:pt idx="69">
                  <c:v>44144</c:v>
                </c:pt>
                <c:pt idx="70">
                  <c:v>44145</c:v>
                </c:pt>
                <c:pt idx="71">
                  <c:v>44146</c:v>
                </c:pt>
              </c:numCache>
            </c:numRef>
          </c:cat>
          <c:val>
            <c:numRef>
              <c:f>'Szkoły w nauczaniu zdalnym'!$C$3:$C$300</c:f>
              <c:numCache>
                <c:formatCode>General</c:formatCode>
                <c:ptCount val="298"/>
                <c:pt idx="0">
                  <c:v>0</c:v>
                </c:pt>
                <c:pt idx="1">
                  <c:v>47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45</c:v>
                </c:pt>
                <c:pt idx="7">
                  <c:v>37</c:v>
                </c:pt>
                <c:pt idx="8">
                  <c:v>45</c:v>
                </c:pt>
                <c:pt idx="9">
                  <c:v>51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43</c:v>
                </c:pt>
                <c:pt idx="14">
                  <c:v>54</c:v>
                </c:pt>
                <c:pt idx="15">
                  <c:v>61</c:v>
                </c:pt>
                <c:pt idx="16">
                  <c:v>64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71</c:v>
                </c:pt>
                <c:pt idx="21">
                  <c:v>68</c:v>
                </c:pt>
                <c:pt idx="22">
                  <c:v>72</c:v>
                </c:pt>
                <c:pt idx="23">
                  <c:v>92</c:v>
                </c:pt>
                <c:pt idx="24">
                  <c:v>106</c:v>
                </c:pt>
                <c:pt idx="25">
                  <c:v>106</c:v>
                </c:pt>
                <c:pt idx="26">
                  <c:v>106</c:v>
                </c:pt>
                <c:pt idx="27">
                  <c:v>96</c:v>
                </c:pt>
                <c:pt idx="28">
                  <c:v>89</c:v>
                </c:pt>
                <c:pt idx="29">
                  <c:v>104</c:v>
                </c:pt>
                <c:pt idx="30">
                  <c:v>109</c:v>
                </c:pt>
                <c:pt idx="31">
                  <c:v>116</c:v>
                </c:pt>
                <c:pt idx="32">
                  <c:v>116</c:v>
                </c:pt>
                <c:pt idx="33">
                  <c:v>116</c:v>
                </c:pt>
                <c:pt idx="34">
                  <c:v>94</c:v>
                </c:pt>
                <c:pt idx="35">
                  <c:v>86</c:v>
                </c:pt>
                <c:pt idx="36">
                  <c:v>110</c:v>
                </c:pt>
                <c:pt idx="37">
                  <c:v>147</c:v>
                </c:pt>
                <c:pt idx="38">
                  <c:v>208</c:v>
                </c:pt>
                <c:pt idx="39">
                  <c:v>208</c:v>
                </c:pt>
                <c:pt idx="40">
                  <c:v>208</c:v>
                </c:pt>
                <c:pt idx="41">
                  <c:v>264</c:v>
                </c:pt>
                <c:pt idx="42">
                  <c:v>284</c:v>
                </c:pt>
                <c:pt idx="43">
                  <c:v>375</c:v>
                </c:pt>
                <c:pt idx="44">
                  <c:v>483</c:v>
                </c:pt>
                <c:pt idx="45">
                  <c:v>553</c:v>
                </c:pt>
                <c:pt idx="46">
                  <c:v>6731</c:v>
                </c:pt>
                <c:pt idx="47">
                  <c:v>6731</c:v>
                </c:pt>
                <c:pt idx="48">
                  <c:v>6731</c:v>
                </c:pt>
                <c:pt idx="49">
                  <c:v>6114</c:v>
                </c:pt>
                <c:pt idx="50">
                  <c:v>6247</c:v>
                </c:pt>
                <c:pt idx="51">
                  <c:v>6354</c:v>
                </c:pt>
                <c:pt idx="52">
                  <c:v>6494</c:v>
                </c:pt>
                <c:pt idx="53">
                  <c:v>11997</c:v>
                </c:pt>
                <c:pt idx="54">
                  <c:v>11997</c:v>
                </c:pt>
                <c:pt idx="55">
                  <c:v>11927</c:v>
                </c:pt>
                <c:pt idx="56">
                  <c:v>11993</c:v>
                </c:pt>
                <c:pt idx="57">
                  <c:v>12040</c:v>
                </c:pt>
                <c:pt idx="58">
                  <c:v>12136</c:v>
                </c:pt>
                <c:pt idx="59">
                  <c:v>12174</c:v>
                </c:pt>
                <c:pt idx="60">
                  <c:v>12174</c:v>
                </c:pt>
                <c:pt idx="61">
                  <c:v>12174</c:v>
                </c:pt>
                <c:pt idx="62">
                  <c:v>12007</c:v>
                </c:pt>
                <c:pt idx="63">
                  <c:v>12036</c:v>
                </c:pt>
                <c:pt idx="64">
                  <c:v>12088</c:v>
                </c:pt>
                <c:pt idx="65">
                  <c:v>12130</c:v>
                </c:pt>
                <c:pt idx="66">
                  <c:v>12130</c:v>
                </c:pt>
                <c:pt idx="67">
                  <c:v>12130</c:v>
                </c:pt>
                <c:pt idx="68">
                  <c:v>12130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59-4B4E-97B5-F7A66C7E0D42}"/>
            </c:ext>
          </c:extLst>
        </c:ser>
        <c:ser>
          <c:idx val="1"/>
          <c:order val="1"/>
          <c:tx>
            <c:v>mieszane</c:v>
          </c:tx>
          <c:marker>
            <c:symbol val="none"/>
          </c:marker>
          <c:cat>
            <c:numRef>
              <c:f>'Szkoły w nauczaniu zdalnym'!$A$3:$A$300</c:f>
              <c:numCache>
                <c:formatCode>dd\.mm\.yyyy</c:formatCode>
                <c:ptCount val="298"/>
                <c:pt idx="0">
                  <c:v>44075</c:v>
                </c:pt>
                <c:pt idx="1">
                  <c:v>44076</c:v>
                </c:pt>
                <c:pt idx="2">
                  <c:v>44077</c:v>
                </c:pt>
                <c:pt idx="3">
                  <c:v>44078</c:v>
                </c:pt>
                <c:pt idx="4">
                  <c:v>44079</c:v>
                </c:pt>
                <c:pt idx="5">
                  <c:v>44080</c:v>
                </c:pt>
                <c:pt idx="6">
                  <c:v>44081</c:v>
                </c:pt>
                <c:pt idx="7">
                  <c:v>44082</c:v>
                </c:pt>
                <c:pt idx="8">
                  <c:v>44083</c:v>
                </c:pt>
                <c:pt idx="9">
                  <c:v>44084</c:v>
                </c:pt>
                <c:pt idx="10">
                  <c:v>44085</c:v>
                </c:pt>
                <c:pt idx="11">
                  <c:v>44086</c:v>
                </c:pt>
                <c:pt idx="12">
                  <c:v>44087</c:v>
                </c:pt>
                <c:pt idx="13">
                  <c:v>44088</c:v>
                </c:pt>
                <c:pt idx="14">
                  <c:v>44089</c:v>
                </c:pt>
                <c:pt idx="15">
                  <c:v>44090</c:v>
                </c:pt>
                <c:pt idx="16">
                  <c:v>44091</c:v>
                </c:pt>
                <c:pt idx="17">
                  <c:v>44092</c:v>
                </c:pt>
                <c:pt idx="18">
                  <c:v>44093</c:v>
                </c:pt>
                <c:pt idx="19">
                  <c:v>44094</c:v>
                </c:pt>
                <c:pt idx="20">
                  <c:v>44095</c:v>
                </c:pt>
                <c:pt idx="21">
                  <c:v>44096</c:v>
                </c:pt>
                <c:pt idx="22">
                  <c:v>44097</c:v>
                </c:pt>
                <c:pt idx="23">
                  <c:v>44098</c:v>
                </c:pt>
                <c:pt idx="24">
                  <c:v>44099</c:v>
                </c:pt>
                <c:pt idx="25">
                  <c:v>44100</c:v>
                </c:pt>
                <c:pt idx="26">
                  <c:v>44101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44105</c:v>
                </c:pt>
                <c:pt idx="31">
                  <c:v>44106</c:v>
                </c:pt>
                <c:pt idx="32">
                  <c:v>44107</c:v>
                </c:pt>
                <c:pt idx="33">
                  <c:v>44108</c:v>
                </c:pt>
                <c:pt idx="34">
                  <c:v>44109</c:v>
                </c:pt>
                <c:pt idx="35">
                  <c:v>44110</c:v>
                </c:pt>
                <c:pt idx="36">
                  <c:v>44111</c:v>
                </c:pt>
                <c:pt idx="37">
                  <c:v>44112</c:v>
                </c:pt>
                <c:pt idx="38">
                  <c:v>44113</c:v>
                </c:pt>
                <c:pt idx="39">
                  <c:v>44114</c:v>
                </c:pt>
                <c:pt idx="40">
                  <c:v>44115</c:v>
                </c:pt>
                <c:pt idx="41">
                  <c:v>44116</c:v>
                </c:pt>
                <c:pt idx="42">
                  <c:v>44117</c:v>
                </c:pt>
                <c:pt idx="43">
                  <c:v>44118</c:v>
                </c:pt>
                <c:pt idx="44">
                  <c:v>44119</c:v>
                </c:pt>
                <c:pt idx="45">
                  <c:v>44120</c:v>
                </c:pt>
                <c:pt idx="46">
                  <c:v>44121</c:v>
                </c:pt>
                <c:pt idx="47">
                  <c:v>44122</c:v>
                </c:pt>
                <c:pt idx="48">
                  <c:v>44123</c:v>
                </c:pt>
                <c:pt idx="49">
                  <c:v>44124</c:v>
                </c:pt>
                <c:pt idx="50">
                  <c:v>44125</c:v>
                </c:pt>
                <c:pt idx="51">
                  <c:v>44126</c:v>
                </c:pt>
                <c:pt idx="52">
                  <c:v>44127</c:v>
                </c:pt>
                <c:pt idx="53">
                  <c:v>44128</c:v>
                </c:pt>
                <c:pt idx="54">
                  <c:v>44129</c:v>
                </c:pt>
                <c:pt idx="55">
                  <c:v>44130</c:v>
                </c:pt>
                <c:pt idx="56">
                  <c:v>44131</c:v>
                </c:pt>
                <c:pt idx="57">
                  <c:v>44132</c:v>
                </c:pt>
                <c:pt idx="58">
                  <c:v>44133</c:v>
                </c:pt>
                <c:pt idx="59">
                  <c:v>44134</c:v>
                </c:pt>
                <c:pt idx="60">
                  <c:v>44135</c:v>
                </c:pt>
                <c:pt idx="61">
                  <c:v>44136</c:v>
                </c:pt>
                <c:pt idx="62">
                  <c:v>44137</c:v>
                </c:pt>
                <c:pt idx="63">
                  <c:v>44138</c:v>
                </c:pt>
                <c:pt idx="64">
                  <c:v>44139</c:v>
                </c:pt>
                <c:pt idx="65">
                  <c:v>44140</c:v>
                </c:pt>
                <c:pt idx="66">
                  <c:v>44141</c:v>
                </c:pt>
                <c:pt idx="67">
                  <c:v>44142</c:v>
                </c:pt>
                <c:pt idx="68">
                  <c:v>44143</c:v>
                </c:pt>
                <c:pt idx="69">
                  <c:v>44144</c:v>
                </c:pt>
                <c:pt idx="70">
                  <c:v>44145</c:v>
                </c:pt>
                <c:pt idx="71">
                  <c:v>44146</c:v>
                </c:pt>
              </c:numCache>
            </c:numRef>
          </c:cat>
          <c:val>
            <c:numRef>
              <c:f>'Szkoły w nauczaniu zdalnym'!$D$3:$D$300</c:f>
              <c:numCache>
                <c:formatCode>General</c:formatCode>
                <c:ptCount val="298"/>
                <c:pt idx="0">
                  <c:v>0</c:v>
                </c:pt>
                <c:pt idx="1">
                  <c:v>12</c:v>
                </c:pt>
                <c:pt idx="2">
                  <c:v>15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35</c:v>
                </c:pt>
                <c:pt idx="7">
                  <c:v>58</c:v>
                </c:pt>
                <c:pt idx="8">
                  <c:v>87</c:v>
                </c:pt>
                <c:pt idx="9">
                  <c:v>100</c:v>
                </c:pt>
                <c:pt idx="10">
                  <c:v>124</c:v>
                </c:pt>
                <c:pt idx="11">
                  <c:v>124</c:v>
                </c:pt>
                <c:pt idx="12">
                  <c:v>124</c:v>
                </c:pt>
                <c:pt idx="13">
                  <c:v>134</c:v>
                </c:pt>
                <c:pt idx="14">
                  <c:v>133</c:v>
                </c:pt>
                <c:pt idx="15">
                  <c:v>170</c:v>
                </c:pt>
                <c:pt idx="16">
                  <c:v>204</c:v>
                </c:pt>
                <c:pt idx="17">
                  <c:v>246</c:v>
                </c:pt>
                <c:pt idx="18">
                  <c:v>246</c:v>
                </c:pt>
                <c:pt idx="19">
                  <c:v>246</c:v>
                </c:pt>
                <c:pt idx="20">
                  <c:v>213</c:v>
                </c:pt>
                <c:pt idx="21">
                  <c:v>185</c:v>
                </c:pt>
                <c:pt idx="22">
                  <c:v>218</c:v>
                </c:pt>
                <c:pt idx="23">
                  <c:v>274</c:v>
                </c:pt>
                <c:pt idx="24">
                  <c:v>321</c:v>
                </c:pt>
                <c:pt idx="25">
                  <c:v>321</c:v>
                </c:pt>
                <c:pt idx="26">
                  <c:v>321</c:v>
                </c:pt>
                <c:pt idx="27">
                  <c:v>288</c:v>
                </c:pt>
                <c:pt idx="28">
                  <c:v>289</c:v>
                </c:pt>
                <c:pt idx="29">
                  <c:v>343</c:v>
                </c:pt>
                <c:pt idx="30">
                  <c:v>422</c:v>
                </c:pt>
                <c:pt idx="31">
                  <c:v>458</c:v>
                </c:pt>
                <c:pt idx="32">
                  <c:v>458</c:v>
                </c:pt>
                <c:pt idx="33">
                  <c:v>458</c:v>
                </c:pt>
                <c:pt idx="34">
                  <c:v>418</c:v>
                </c:pt>
                <c:pt idx="35">
                  <c:v>401</c:v>
                </c:pt>
                <c:pt idx="36">
                  <c:v>498</c:v>
                </c:pt>
                <c:pt idx="37">
                  <c:v>674</c:v>
                </c:pt>
                <c:pt idx="38">
                  <c:v>811</c:v>
                </c:pt>
                <c:pt idx="39">
                  <c:v>811</c:v>
                </c:pt>
                <c:pt idx="40">
                  <c:v>811</c:v>
                </c:pt>
                <c:pt idx="41">
                  <c:v>821</c:v>
                </c:pt>
                <c:pt idx="42">
                  <c:v>801</c:v>
                </c:pt>
                <c:pt idx="43">
                  <c:v>1037</c:v>
                </c:pt>
                <c:pt idx="44">
                  <c:v>1382</c:v>
                </c:pt>
                <c:pt idx="45">
                  <c:v>1604</c:v>
                </c:pt>
                <c:pt idx="46">
                  <c:v>7582</c:v>
                </c:pt>
                <c:pt idx="47">
                  <c:v>7582</c:v>
                </c:pt>
                <c:pt idx="48">
                  <c:v>7582</c:v>
                </c:pt>
                <c:pt idx="49">
                  <c:v>6247</c:v>
                </c:pt>
                <c:pt idx="50">
                  <c:v>6670</c:v>
                </c:pt>
                <c:pt idx="51">
                  <c:v>6972</c:v>
                </c:pt>
                <c:pt idx="52">
                  <c:v>7018</c:v>
                </c:pt>
                <c:pt idx="53">
                  <c:v>14773</c:v>
                </c:pt>
                <c:pt idx="54">
                  <c:v>14773</c:v>
                </c:pt>
                <c:pt idx="55">
                  <c:v>14782</c:v>
                </c:pt>
                <c:pt idx="56">
                  <c:v>14822</c:v>
                </c:pt>
                <c:pt idx="57">
                  <c:v>14883</c:v>
                </c:pt>
                <c:pt idx="58">
                  <c:v>15034</c:v>
                </c:pt>
                <c:pt idx="59">
                  <c:v>15038</c:v>
                </c:pt>
                <c:pt idx="60">
                  <c:v>15038</c:v>
                </c:pt>
                <c:pt idx="61">
                  <c:v>15038</c:v>
                </c:pt>
                <c:pt idx="62">
                  <c:v>14873</c:v>
                </c:pt>
                <c:pt idx="63">
                  <c:v>14856</c:v>
                </c:pt>
                <c:pt idx="64">
                  <c:v>14922</c:v>
                </c:pt>
                <c:pt idx="65">
                  <c:v>15017</c:v>
                </c:pt>
                <c:pt idx="66">
                  <c:v>15017</c:v>
                </c:pt>
                <c:pt idx="67">
                  <c:v>15017</c:v>
                </c:pt>
                <c:pt idx="68">
                  <c:v>15017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59-4B4E-97B5-F7A66C7E0D42}"/>
            </c:ext>
          </c:extLst>
        </c:ser>
        <c:ser>
          <c:idx val="2"/>
          <c:order val="2"/>
          <c:tx>
            <c:v>łącznie</c:v>
          </c:tx>
          <c:marker>
            <c:symbol val="circle"/>
            <c:size val="7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cat>
            <c:numRef>
              <c:f>'Szkoły w nauczaniu zdalnym'!$A$3:$A$300</c:f>
              <c:numCache>
                <c:formatCode>dd\.mm\.yyyy</c:formatCode>
                <c:ptCount val="298"/>
                <c:pt idx="0">
                  <c:v>44075</c:v>
                </c:pt>
                <c:pt idx="1">
                  <c:v>44076</c:v>
                </c:pt>
                <c:pt idx="2">
                  <c:v>44077</c:v>
                </c:pt>
                <c:pt idx="3">
                  <c:v>44078</c:v>
                </c:pt>
                <c:pt idx="4">
                  <c:v>44079</c:v>
                </c:pt>
                <c:pt idx="5">
                  <c:v>44080</c:v>
                </c:pt>
                <c:pt idx="6">
                  <c:v>44081</c:v>
                </c:pt>
                <c:pt idx="7">
                  <c:v>44082</c:v>
                </c:pt>
                <c:pt idx="8">
                  <c:v>44083</c:v>
                </c:pt>
                <c:pt idx="9">
                  <c:v>44084</c:v>
                </c:pt>
                <c:pt idx="10">
                  <c:v>44085</c:v>
                </c:pt>
                <c:pt idx="11">
                  <c:v>44086</c:v>
                </c:pt>
                <c:pt idx="12">
                  <c:v>44087</c:v>
                </c:pt>
                <c:pt idx="13">
                  <c:v>44088</c:v>
                </c:pt>
                <c:pt idx="14">
                  <c:v>44089</c:v>
                </c:pt>
                <c:pt idx="15">
                  <c:v>44090</c:v>
                </c:pt>
                <c:pt idx="16">
                  <c:v>44091</c:v>
                </c:pt>
                <c:pt idx="17">
                  <c:v>44092</c:v>
                </c:pt>
                <c:pt idx="18">
                  <c:v>44093</c:v>
                </c:pt>
                <c:pt idx="19">
                  <c:v>44094</c:v>
                </c:pt>
                <c:pt idx="20">
                  <c:v>44095</c:v>
                </c:pt>
                <c:pt idx="21">
                  <c:v>44096</c:v>
                </c:pt>
                <c:pt idx="22">
                  <c:v>44097</c:v>
                </c:pt>
                <c:pt idx="23">
                  <c:v>44098</c:v>
                </c:pt>
                <c:pt idx="24">
                  <c:v>44099</c:v>
                </c:pt>
                <c:pt idx="25">
                  <c:v>44100</c:v>
                </c:pt>
                <c:pt idx="26">
                  <c:v>44101</c:v>
                </c:pt>
                <c:pt idx="27">
                  <c:v>44102</c:v>
                </c:pt>
                <c:pt idx="28">
                  <c:v>44103</c:v>
                </c:pt>
                <c:pt idx="29">
                  <c:v>44104</c:v>
                </c:pt>
                <c:pt idx="30">
                  <c:v>44105</c:v>
                </c:pt>
                <c:pt idx="31">
                  <c:v>44106</c:v>
                </c:pt>
                <c:pt idx="32">
                  <c:v>44107</c:v>
                </c:pt>
                <c:pt idx="33">
                  <c:v>44108</c:v>
                </c:pt>
                <c:pt idx="34">
                  <c:v>44109</c:v>
                </c:pt>
                <c:pt idx="35">
                  <c:v>44110</c:v>
                </c:pt>
                <c:pt idx="36">
                  <c:v>44111</c:v>
                </c:pt>
                <c:pt idx="37">
                  <c:v>44112</c:v>
                </c:pt>
                <c:pt idx="38">
                  <c:v>44113</c:v>
                </c:pt>
                <c:pt idx="39">
                  <c:v>44114</c:v>
                </c:pt>
                <c:pt idx="40">
                  <c:v>44115</c:v>
                </c:pt>
                <c:pt idx="41">
                  <c:v>44116</c:v>
                </c:pt>
                <c:pt idx="42">
                  <c:v>44117</c:v>
                </c:pt>
                <c:pt idx="43">
                  <c:v>44118</c:v>
                </c:pt>
                <c:pt idx="44">
                  <c:v>44119</c:v>
                </c:pt>
                <c:pt idx="45">
                  <c:v>44120</c:v>
                </c:pt>
                <c:pt idx="46">
                  <c:v>44121</c:v>
                </c:pt>
                <c:pt idx="47">
                  <c:v>44122</c:v>
                </c:pt>
                <c:pt idx="48">
                  <c:v>44123</c:v>
                </c:pt>
                <c:pt idx="49">
                  <c:v>44124</c:v>
                </c:pt>
                <c:pt idx="50">
                  <c:v>44125</c:v>
                </c:pt>
                <c:pt idx="51">
                  <c:v>44126</c:v>
                </c:pt>
                <c:pt idx="52">
                  <c:v>44127</c:v>
                </c:pt>
                <c:pt idx="53">
                  <c:v>44128</c:v>
                </c:pt>
                <c:pt idx="54">
                  <c:v>44129</c:v>
                </c:pt>
                <c:pt idx="55">
                  <c:v>44130</c:v>
                </c:pt>
                <c:pt idx="56">
                  <c:v>44131</c:v>
                </c:pt>
                <c:pt idx="57">
                  <c:v>44132</c:v>
                </c:pt>
                <c:pt idx="58">
                  <c:v>44133</c:v>
                </c:pt>
                <c:pt idx="59">
                  <c:v>44134</c:v>
                </c:pt>
                <c:pt idx="60">
                  <c:v>44135</c:v>
                </c:pt>
                <c:pt idx="61">
                  <c:v>44136</c:v>
                </c:pt>
                <c:pt idx="62">
                  <c:v>44137</c:v>
                </c:pt>
                <c:pt idx="63">
                  <c:v>44138</c:v>
                </c:pt>
                <c:pt idx="64">
                  <c:v>44139</c:v>
                </c:pt>
                <c:pt idx="65">
                  <c:v>44140</c:v>
                </c:pt>
                <c:pt idx="66">
                  <c:v>44141</c:v>
                </c:pt>
                <c:pt idx="67">
                  <c:v>44142</c:v>
                </c:pt>
                <c:pt idx="68">
                  <c:v>44143</c:v>
                </c:pt>
                <c:pt idx="69">
                  <c:v>44144</c:v>
                </c:pt>
                <c:pt idx="70">
                  <c:v>44145</c:v>
                </c:pt>
                <c:pt idx="71">
                  <c:v>44146</c:v>
                </c:pt>
              </c:numCache>
            </c:numRef>
          </c:cat>
          <c:val>
            <c:numRef>
              <c:f>'Szkoły w nauczaniu zdalnym'!$F$3:$F$300</c:f>
              <c:numCache>
                <c:formatCode>General</c:formatCode>
                <c:ptCount val="298"/>
                <c:pt idx="0">
                  <c:v>0</c:v>
                </c:pt>
                <c:pt idx="1">
                  <c:v>59</c:v>
                </c:pt>
                <c:pt idx="2">
                  <c:v>69</c:v>
                </c:pt>
                <c:pt idx="3">
                  <c:v>76</c:v>
                </c:pt>
                <c:pt idx="4">
                  <c:v>76</c:v>
                </c:pt>
                <c:pt idx="5">
                  <c:v>76</c:v>
                </c:pt>
                <c:pt idx="6">
                  <c:v>80</c:v>
                </c:pt>
                <c:pt idx="7">
                  <c:v>95</c:v>
                </c:pt>
                <c:pt idx="8">
                  <c:v>132</c:v>
                </c:pt>
                <c:pt idx="9">
                  <c:v>151</c:v>
                </c:pt>
                <c:pt idx="10">
                  <c:v>174</c:v>
                </c:pt>
                <c:pt idx="11">
                  <c:v>174</c:v>
                </c:pt>
                <c:pt idx="12">
                  <c:v>174</c:v>
                </c:pt>
                <c:pt idx="13">
                  <c:v>177</c:v>
                </c:pt>
                <c:pt idx="14">
                  <c:v>187</c:v>
                </c:pt>
                <c:pt idx="15">
                  <c:v>231</c:v>
                </c:pt>
                <c:pt idx="16">
                  <c:v>268</c:v>
                </c:pt>
                <c:pt idx="17">
                  <c:v>326</c:v>
                </c:pt>
                <c:pt idx="18">
                  <c:v>326</c:v>
                </c:pt>
                <c:pt idx="19">
                  <c:v>326</c:v>
                </c:pt>
                <c:pt idx="20">
                  <c:v>284</c:v>
                </c:pt>
                <c:pt idx="21">
                  <c:v>253</c:v>
                </c:pt>
                <c:pt idx="22">
                  <c:v>290</c:v>
                </c:pt>
                <c:pt idx="23">
                  <c:v>366</c:v>
                </c:pt>
                <c:pt idx="24">
                  <c:v>427</c:v>
                </c:pt>
                <c:pt idx="25">
                  <c:v>427</c:v>
                </c:pt>
                <c:pt idx="26">
                  <c:v>427</c:v>
                </c:pt>
                <c:pt idx="27">
                  <c:v>384</c:v>
                </c:pt>
                <c:pt idx="28">
                  <c:v>378</c:v>
                </c:pt>
                <c:pt idx="29">
                  <c:v>447</c:v>
                </c:pt>
                <c:pt idx="30">
                  <c:v>531</c:v>
                </c:pt>
                <c:pt idx="31">
                  <c:v>574</c:v>
                </c:pt>
                <c:pt idx="32">
                  <c:v>574</c:v>
                </c:pt>
                <c:pt idx="33">
                  <c:v>574</c:v>
                </c:pt>
                <c:pt idx="34">
                  <c:v>512</c:v>
                </c:pt>
                <c:pt idx="35">
                  <c:v>487</c:v>
                </c:pt>
                <c:pt idx="36">
                  <c:v>608</c:v>
                </c:pt>
                <c:pt idx="37">
                  <c:v>821</c:v>
                </c:pt>
                <c:pt idx="38">
                  <c:v>1019</c:v>
                </c:pt>
                <c:pt idx="39">
                  <c:v>1019</c:v>
                </c:pt>
                <c:pt idx="40">
                  <c:v>1019</c:v>
                </c:pt>
                <c:pt idx="41">
                  <c:v>1085</c:v>
                </c:pt>
                <c:pt idx="42">
                  <c:v>1085</c:v>
                </c:pt>
                <c:pt idx="43">
                  <c:v>1412</c:v>
                </c:pt>
                <c:pt idx="44">
                  <c:v>1865</c:v>
                </c:pt>
                <c:pt idx="45">
                  <c:v>2157</c:v>
                </c:pt>
                <c:pt idx="46">
                  <c:v>14313</c:v>
                </c:pt>
                <c:pt idx="47">
                  <c:v>14313</c:v>
                </c:pt>
                <c:pt idx="48">
                  <c:v>14313</c:v>
                </c:pt>
                <c:pt idx="49">
                  <c:v>12361</c:v>
                </c:pt>
                <c:pt idx="50">
                  <c:v>12917</c:v>
                </c:pt>
                <c:pt idx="51">
                  <c:v>13326</c:v>
                </c:pt>
                <c:pt idx="52">
                  <c:v>13512</c:v>
                </c:pt>
                <c:pt idx="53">
                  <c:v>26770</c:v>
                </c:pt>
                <c:pt idx="54">
                  <c:v>26770</c:v>
                </c:pt>
                <c:pt idx="55">
                  <c:v>26709</c:v>
                </c:pt>
                <c:pt idx="56">
                  <c:v>26815</c:v>
                </c:pt>
                <c:pt idx="57">
                  <c:v>26923</c:v>
                </c:pt>
                <c:pt idx="58">
                  <c:v>27170</c:v>
                </c:pt>
                <c:pt idx="59">
                  <c:v>27212</c:v>
                </c:pt>
                <c:pt idx="60">
                  <c:v>27212</c:v>
                </c:pt>
                <c:pt idx="61">
                  <c:v>27212</c:v>
                </c:pt>
                <c:pt idx="62">
                  <c:v>26880</c:v>
                </c:pt>
                <c:pt idx="63">
                  <c:v>26892</c:v>
                </c:pt>
                <c:pt idx="64">
                  <c:v>27010</c:v>
                </c:pt>
                <c:pt idx="65">
                  <c:v>27147</c:v>
                </c:pt>
                <c:pt idx="66">
                  <c:v>27147</c:v>
                </c:pt>
                <c:pt idx="67">
                  <c:v>27147</c:v>
                </c:pt>
                <c:pt idx="68">
                  <c:v>27147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59-4B4E-97B5-F7A66C7E0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696690"/>
        <c:axId val="154503161"/>
      </c:lineChart>
      <c:dateAx>
        <c:axId val="10216966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54503161"/>
        <c:crosses val="autoZero"/>
        <c:auto val="1"/>
        <c:lblOffset val="100"/>
        <c:baseTimeUnit val="days"/>
      </c:dateAx>
      <c:valAx>
        <c:axId val="154503161"/>
        <c:scaling>
          <c:orientation val="minMax"/>
          <c:max val="3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l-PL"/>
          </a:p>
        </c:txPr>
        <c:crossAx val="102169669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l-PL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1.xml"/><Relationship Id="rId18" Type="http://schemas.openxmlformats.org/officeDocument/2006/relationships/chart" Target="../charts/chart26.xml"/><Relationship Id="rId26" Type="http://schemas.openxmlformats.org/officeDocument/2006/relationships/chart" Target="../charts/chart34.xml"/><Relationship Id="rId3" Type="http://schemas.openxmlformats.org/officeDocument/2006/relationships/chart" Target="../charts/chart11.xml"/><Relationship Id="rId21" Type="http://schemas.openxmlformats.org/officeDocument/2006/relationships/chart" Target="../charts/chart29.xml"/><Relationship Id="rId34" Type="http://schemas.openxmlformats.org/officeDocument/2006/relationships/chart" Target="../charts/chart42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17" Type="http://schemas.openxmlformats.org/officeDocument/2006/relationships/chart" Target="../charts/chart25.xml"/><Relationship Id="rId25" Type="http://schemas.openxmlformats.org/officeDocument/2006/relationships/chart" Target="../charts/chart33.xml"/><Relationship Id="rId33" Type="http://schemas.openxmlformats.org/officeDocument/2006/relationships/chart" Target="../charts/chart41.xml"/><Relationship Id="rId2" Type="http://schemas.openxmlformats.org/officeDocument/2006/relationships/chart" Target="../charts/chart10.xml"/><Relationship Id="rId16" Type="http://schemas.openxmlformats.org/officeDocument/2006/relationships/chart" Target="../charts/chart24.xml"/><Relationship Id="rId20" Type="http://schemas.openxmlformats.org/officeDocument/2006/relationships/chart" Target="../charts/chart28.xml"/><Relationship Id="rId29" Type="http://schemas.openxmlformats.org/officeDocument/2006/relationships/chart" Target="../charts/chart37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24" Type="http://schemas.openxmlformats.org/officeDocument/2006/relationships/chart" Target="../charts/chart32.xml"/><Relationship Id="rId32" Type="http://schemas.openxmlformats.org/officeDocument/2006/relationships/chart" Target="../charts/chart40.xml"/><Relationship Id="rId5" Type="http://schemas.openxmlformats.org/officeDocument/2006/relationships/chart" Target="../charts/chart13.xml"/><Relationship Id="rId15" Type="http://schemas.openxmlformats.org/officeDocument/2006/relationships/chart" Target="../charts/chart23.xml"/><Relationship Id="rId23" Type="http://schemas.openxmlformats.org/officeDocument/2006/relationships/chart" Target="../charts/chart31.xml"/><Relationship Id="rId28" Type="http://schemas.openxmlformats.org/officeDocument/2006/relationships/chart" Target="../charts/chart36.xml"/><Relationship Id="rId10" Type="http://schemas.openxmlformats.org/officeDocument/2006/relationships/chart" Target="../charts/chart18.xml"/><Relationship Id="rId19" Type="http://schemas.openxmlformats.org/officeDocument/2006/relationships/chart" Target="../charts/chart27.xml"/><Relationship Id="rId31" Type="http://schemas.openxmlformats.org/officeDocument/2006/relationships/chart" Target="../charts/chart39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Relationship Id="rId14" Type="http://schemas.openxmlformats.org/officeDocument/2006/relationships/chart" Target="../charts/chart22.xml"/><Relationship Id="rId22" Type="http://schemas.openxmlformats.org/officeDocument/2006/relationships/chart" Target="../charts/chart30.xml"/><Relationship Id="rId27" Type="http://schemas.openxmlformats.org/officeDocument/2006/relationships/chart" Target="../charts/chart35.xml"/><Relationship Id="rId30" Type="http://schemas.openxmlformats.org/officeDocument/2006/relationships/chart" Target="../charts/chart38.xml"/><Relationship Id="rId8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257175</xdr:colOff>
      <xdr:row>5</xdr:row>
      <xdr:rowOff>9525</xdr:rowOff>
    </xdr:from>
    <xdr:ext cx="7886700" cy="4972050"/>
    <xdr:graphicFrame macro="">
      <xdr:nvGraphicFramePr>
        <xdr:cNvPr id="2" name="Chart 1" title="Wykres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19</xdr:col>
      <xdr:colOff>257175</xdr:colOff>
      <xdr:row>33</xdr:row>
      <xdr:rowOff>180975</xdr:rowOff>
    </xdr:from>
    <xdr:ext cx="7886700" cy="4972050"/>
    <xdr:graphicFrame macro="">
      <xdr:nvGraphicFramePr>
        <xdr:cNvPr id="3" name="Chart 2" title="Wykr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30</xdr:col>
      <xdr:colOff>457200</xdr:colOff>
      <xdr:row>5</xdr:row>
      <xdr:rowOff>9525</xdr:rowOff>
    </xdr:from>
    <xdr:ext cx="7886700" cy="4972050"/>
    <xdr:graphicFrame macro="">
      <xdr:nvGraphicFramePr>
        <xdr:cNvPr id="4" name="Chart 3" title="Wykres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30</xdr:col>
      <xdr:colOff>457200</xdr:colOff>
      <xdr:row>33</xdr:row>
      <xdr:rowOff>180975</xdr:rowOff>
    </xdr:from>
    <xdr:ext cx="7886700" cy="4972050"/>
    <xdr:graphicFrame macro="">
      <xdr:nvGraphicFramePr>
        <xdr:cNvPr id="5" name="Chart 4" title="Wykres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19</xdr:col>
      <xdr:colOff>257175</xdr:colOff>
      <xdr:row>62</xdr:row>
      <xdr:rowOff>180975</xdr:rowOff>
    </xdr:from>
    <xdr:ext cx="7886700" cy="4972050"/>
    <xdr:graphicFrame macro="">
      <xdr:nvGraphicFramePr>
        <xdr:cNvPr id="6" name="Chart 5" title="Wykres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30</xdr:col>
      <xdr:colOff>457200</xdr:colOff>
      <xdr:row>62</xdr:row>
      <xdr:rowOff>180975</xdr:rowOff>
    </xdr:from>
    <xdr:ext cx="7886700" cy="4972050"/>
    <xdr:graphicFrame macro="">
      <xdr:nvGraphicFramePr>
        <xdr:cNvPr id="7" name="Chart 6" title="Wykres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30</xdr:col>
      <xdr:colOff>457200</xdr:colOff>
      <xdr:row>91</xdr:row>
      <xdr:rowOff>123825</xdr:rowOff>
    </xdr:from>
    <xdr:ext cx="7886700" cy="4381500"/>
    <xdr:graphicFrame macro="">
      <xdr:nvGraphicFramePr>
        <xdr:cNvPr id="8" name="Chart 7" title="Wykres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19</xdr:col>
      <xdr:colOff>257175</xdr:colOff>
      <xdr:row>91</xdr:row>
      <xdr:rowOff>123825</xdr:rowOff>
    </xdr:from>
    <xdr:ext cx="7886700" cy="4381500"/>
    <xdr:graphicFrame macro="">
      <xdr:nvGraphicFramePr>
        <xdr:cNvPr id="9" name="Chart 8" title="Wykres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115</xdr:col>
      <xdr:colOff>257175</xdr:colOff>
      <xdr:row>4</xdr:row>
      <xdr:rowOff>190500</xdr:rowOff>
    </xdr:from>
    <xdr:ext cx="7886700" cy="4895850"/>
    <xdr:graphicFrame macro="">
      <xdr:nvGraphicFramePr>
        <xdr:cNvPr id="9" name="Chart 9" title="Wykres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115</xdr:col>
      <xdr:colOff>257175</xdr:colOff>
      <xdr:row>31</xdr:row>
      <xdr:rowOff>190500</xdr:rowOff>
    </xdr:from>
    <xdr:ext cx="7886700" cy="4895850"/>
    <xdr:graphicFrame macro="">
      <xdr:nvGraphicFramePr>
        <xdr:cNvPr id="10" name="Chart 10" title="Wykres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115</xdr:col>
      <xdr:colOff>257175</xdr:colOff>
      <xdr:row>58</xdr:row>
      <xdr:rowOff>180975</xdr:rowOff>
    </xdr:from>
    <xdr:ext cx="7886700" cy="4895850"/>
    <xdr:graphicFrame macro="">
      <xdr:nvGraphicFramePr>
        <xdr:cNvPr id="11" name="Chart 11" title="Wykres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115</xdr:col>
      <xdr:colOff>257175</xdr:colOff>
      <xdr:row>85</xdr:row>
      <xdr:rowOff>161925</xdr:rowOff>
    </xdr:from>
    <xdr:ext cx="7886700" cy="4895850"/>
    <xdr:graphicFrame macro="">
      <xdr:nvGraphicFramePr>
        <xdr:cNvPr id="12" name="Chart 12" title="Wykres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115</xdr:col>
      <xdr:colOff>257175</xdr:colOff>
      <xdr:row>139</xdr:row>
      <xdr:rowOff>180975</xdr:rowOff>
    </xdr:from>
    <xdr:ext cx="7886700" cy="4895850"/>
    <xdr:graphicFrame macro="">
      <xdr:nvGraphicFramePr>
        <xdr:cNvPr id="13" name="Chart 13" title="Wykres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115</xdr:col>
      <xdr:colOff>257175</xdr:colOff>
      <xdr:row>112</xdr:row>
      <xdr:rowOff>142875</xdr:rowOff>
    </xdr:from>
    <xdr:ext cx="7886700" cy="4895850"/>
    <xdr:graphicFrame macro="">
      <xdr:nvGraphicFramePr>
        <xdr:cNvPr id="14" name="Chart 14" title="Wykres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115</xdr:col>
      <xdr:colOff>257175</xdr:colOff>
      <xdr:row>166</xdr:row>
      <xdr:rowOff>133350</xdr:rowOff>
    </xdr:from>
    <xdr:ext cx="7886700" cy="4895850"/>
    <xdr:graphicFrame macro="">
      <xdr:nvGraphicFramePr>
        <xdr:cNvPr id="15" name="Chart 15" title="Wykres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115</xdr:col>
      <xdr:colOff>257175</xdr:colOff>
      <xdr:row>247</xdr:row>
      <xdr:rowOff>28575</xdr:rowOff>
    </xdr:from>
    <xdr:ext cx="7886700" cy="4895850"/>
    <xdr:graphicFrame macro="">
      <xdr:nvGraphicFramePr>
        <xdr:cNvPr id="16" name="Chart 16" title="Wykres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115</xdr:col>
      <xdr:colOff>257175</xdr:colOff>
      <xdr:row>273</xdr:row>
      <xdr:rowOff>133350</xdr:rowOff>
    </xdr:from>
    <xdr:ext cx="7886700" cy="4895850"/>
    <xdr:graphicFrame macro="">
      <xdr:nvGraphicFramePr>
        <xdr:cNvPr id="17" name="Chart 17" title="Wykres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115</xdr:col>
      <xdr:colOff>257175</xdr:colOff>
      <xdr:row>300</xdr:row>
      <xdr:rowOff>38100</xdr:rowOff>
    </xdr:from>
    <xdr:ext cx="7886700" cy="4895850"/>
    <xdr:graphicFrame macro="">
      <xdr:nvGraphicFramePr>
        <xdr:cNvPr id="18" name="Chart 18" title="Wykres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115</xdr:col>
      <xdr:colOff>257175</xdr:colOff>
      <xdr:row>326</xdr:row>
      <xdr:rowOff>85725</xdr:rowOff>
    </xdr:from>
    <xdr:ext cx="7886700" cy="4895850"/>
    <xdr:graphicFrame macro="">
      <xdr:nvGraphicFramePr>
        <xdr:cNvPr id="19" name="Chart 19" title="Wykres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115</xdr:col>
      <xdr:colOff>257175</xdr:colOff>
      <xdr:row>352</xdr:row>
      <xdr:rowOff>133350</xdr:rowOff>
    </xdr:from>
    <xdr:ext cx="7886700" cy="4895850"/>
    <xdr:graphicFrame macro="">
      <xdr:nvGraphicFramePr>
        <xdr:cNvPr id="20" name="Chart 20" title="Wykres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115</xdr:col>
      <xdr:colOff>257175</xdr:colOff>
      <xdr:row>379</xdr:row>
      <xdr:rowOff>38100</xdr:rowOff>
    </xdr:from>
    <xdr:ext cx="7886700" cy="4895850"/>
    <xdr:graphicFrame macro="">
      <xdr:nvGraphicFramePr>
        <xdr:cNvPr id="21" name="Chart 21" title="Wykres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115</xdr:col>
      <xdr:colOff>257175</xdr:colOff>
      <xdr:row>405</xdr:row>
      <xdr:rowOff>142875</xdr:rowOff>
    </xdr:from>
    <xdr:ext cx="7886700" cy="4895850"/>
    <xdr:graphicFrame macro="">
      <xdr:nvGraphicFramePr>
        <xdr:cNvPr id="22" name="Chart 22" title="Wykres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115</xdr:col>
      <xdr:colOff>257175</xdr:colOff>
      <xdr:row>432</xdr:row>
      <xdr:rowOff>142875</xdr:rowOff>
    </xdr:from>
    <xdr:ext cx="7886700" cy="4895850"/>
    <xdr:graphicFrame macro="">
      <xdr:nvGraphicFramePr>
        <xdr:cNvPr id="23" name="Chart 23" title="Wykres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127</xdr:col>
      <xdr:colOff>257175</xdr:colOff>
      <xdr:row>31</xdr:row>
      <xdr:rowOff>190500</xdr:rowOff>
    </xdr:from>
    <xdr:ext cx="7886700" cy="4895850"/>
    <xdr:graphicFrame macro="">
      <xdr:nvGraphicFramePr>
        <xdr:cNvPr id="24" name="Chart 24" title="Wykres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137</xdr:col>
      <xdr:colOff>257175</xdr:colOff>
      <xdr:row>4</xdr:row>
      <xdr:rowOff>190500</xdr:rowOff>
    </xdr:from>
    <xdr:ext cx="7886700" cy="4895850"/>
    <xdr:graphicFrame macro="">
      <xdr:nvGraphicFramePr>
        <xdr:cNvPr id="25" name="Chart 25" title="Wykres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137</xdr:col>
      <xdr:colOff>257175</xdr:colOff>
      <xdr:row>58</xdr:row>
      <xdr:rowOff>180975</xdr:rowOff>
    </xdr:from>
    <xdr:ext cx="7886700" cy="4895850"/>
    <xdr:graphicFrame macro="">
      <xdr:nvGraphicFramePr>
        <xdr:cNvPr id="26" name="Chart 26" title="Wykres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137</xdr:col>
      <xdr:colOff>257175</xdr:colOff>
      <xdr:row>85</xdr:row>
      <xdr:rowOff>161925</xdr:rowOff>
    </xdr:from>
    <xdr:ext cx="7886700" cy="4895850"/>
    <xdr:graphicFrame macro="">
      <xdr:nvGraphicFramePr>
        <xdr:cNvPr id="27" name="Chart 27" title="Wykres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137</xdr:col>
      <xdr:colOff>257175</xdr:colOff>
      <xdr:row>112</xdr:row>
      <xdr:rowOff>142875</xdr:rowOff>
    </xdr:from>
    <xdr:ext cx="7886700" cy="4895850"/>
    <xdr:graphicFrame macro="">
      <xdr:nvGraphicFramePr>
        <xdr:cNvPr id="28" name="Chart 28" title="Wykres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137</xdr:col>
      <xdr:colOff>257175</xdr:colOff>
      <xdr:row>139</xdr:row>
      <xdr:rowOff>180975</xdr:rowOff>
    </xdr:from>
    <xdr:ext cx="7886700" cy="4895850"/>
    <xdr:graphicFrame macro="">
      <xdr:nvGraphicFramePr>
        <xdr:cNvPr id="29" name="Chart 29" title="Wykres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137</xdr:col>
      <xdr:colOff>257175</xdr:colOff>
      <xdr:row>166</xdr:row>
      <xdr:rowOff>133350</xdr:rowOff>
    </xdr:from>
    <xdr:ext cx="7886700" cy="4895850"/>
    <xdr:graphicFrame macro="">
      <xdr:nvGraphicFramePr>
        <xdr:cNvPr id="30" name="Chart 30" title="Wykres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137</xdr:col>
      <xdr:colOff>257175</xdr:colOff>
      <xdr:row>193</xdr:row>
      <xdr:rowOff>104775</xdr:rowOff>
    </xdr:from>
    <xdr:ext cx="7886700" cy="4895850"/>
    <xdr:graphicFrame macro="">
      <xdr:nvGraphicFramePr>
        <xdr:cNvPr id="31" name="Chart 31" title="Wykres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137</xdr:col>
      <xdr:colOff>257175</xdr:colOff>
      <xdr:row>220</xdr:row>
      <xdr:rowOff>180975</xdr:rowOff>
    </xdr:from>
    <xdr:ext cx="7886700" cy="4895850"/>
    <xdr:graphicFrame macro="">
      <xdr:nvGraphicFramePr>
        <xdr:cNvPr id="32" name="Chart 32" title="Wykres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  <xdr:oneCellAnchor>
    <xdr:from>
      <xdr:col>127</xdr:col>
      <xdr:colOff>257175</xdr:colOff>
      <xdr:row>247</xdr:row>
      <xdr:rowOff>28575</xdr:rowOff>
    </xdr:from>
    <xdr:ext cx="7886700" cy="4895850"/>
    <xdr:graphicFrame macro="">
      <xdr:nvGraphicFramePr>
        <xdr:cNvPr id="33" name="Chart 33" title="Wykres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 fLocksWithSheet="0"/>
  </xdr:oneCellAnchor>
  <xdr:oneCellAnchor>
    <xdr:from>
      <xdr:col>137</xdr:col>
      <xdr:colOff>257175</xdr:colOff>
      <xdr:row>273</xdr:row>
      <xdr:rowOff>133350</xdr:rowOff>
    </xdr:from>
    <xdr:ext cx="7886700" cy="4895850"/>
    <xdr:graphicFrame macro="">
      <xdr:nvGraphicFramePr>
        <xdr:cNvPr id="34" name="Chart 34" title="Wykres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 fLocksWithSheet="0"/>
  </xdr:oneCellAnchor>
  <xdr:oneCellAnchor>
    <xdr:from>
      <xdr:col>127</xdr:col>
      <xdr:colOff>257175</xdr:colOff>
      <xdr:row>300</xdr:row>
      <xdr:rowOff>38100</xdr:rowOff>
    </xdr:from>
    <xdr:ext cx="7886700" cy="4895850"/>
    <xdr:graphicFrame macro="">
      <xdr:nvGraphicFramePr>
        <xdr:cNvPr id="35" name="Chart 35" title="Wykres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 fLocksWithSheet="0"/>
  </xdr:oneCellAnchor>
  <xdr:oneCellAnchor>
    <xdr:from>
      <xdr:col>137</xdr:col>
      <xdr:colOff>257175</xdr:colOff>
      <xdr:row>326</xdr:row>
      <xdr:rowOff>85725</xdr:rowOff>
    </xdr:from>
    <xdr:ext cx="7886700" cy="4895850"/>
    <xdr:graphicFrame macro="">
      <xdr:nvGraphicFramePr>
        <xdr:cNvPr id="36" name="Chart 36" title="Wykres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 fLocksWithSheet="0"/>
  </xdr:oneCellAnchor>
  <xdr:oneCellAnchor>
    <xdr:from>
      <xdr:col>137</xdr:col>
      <xdr:colOff>257175</xdr:colOff>
      <xdr:row>352</xdr:row>
      <xdr:rowOff>133350</xdr:rowOff>
    </xdr:from>
    <xdr:ext cx="7886700" cy="4895850"/>
    <xdr:graphicFrame macro="">
      <xdr:nvGraphicFramePr>
        <xdr:cNvPr id="37" name="Chart 37" title="Wykres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 fLocksWithSheet="0"/>
  </xdr:oneCellAnchor>
  <xdr:oneCellAnchor>
    <xdr:from>
      <xdr:col>137</xdr:col>
      <xdr:colOff>257175</xdr:colOff>
      <xdr:row>379</xdr:row>
      <xdr:rowOff>38100</xdr:rowOff>
    </xdr:from>
    <xdr:ext cx="7886700" cy="4895850"/>
    <xdr:graphicFrame macro="">
      <xdr:nvGraphicFramePr>
        <xdr:cNvPr id="38" name="Chart 38" title="Wykres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 fLocksWithSheet="0"/>
  </xdr:oneCellAnchor>
  <xdr:oneCellAnchor>
    <xdr:from>
      <xdr:col>137</xdr:col>
      <xdr:colOff>257175</xdr:colOff>
      <xdr:row>405</xdr:row>
      <xdr:rowOff>142875</xdr:rowOff>
    </xdr:from>
    <xdr:ext cx="7886700" cy="4895850"/>
    <xdr:graphicFrame macro="">
      <xdr:nvGraphicFramePr>
        <xdr:cNvPr id="39" name="Chart 39" title="Wykres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 fLocksWithSheet="0"/>
  </xdr:oneCellAnchor>
  <xdr:oneCellAnchor>
    <xdr:from>
      <xdr:col>137</xdr:col>
      <xdr:colOff>257175</xdr:colOff>
      <xdr:row>432</xdr:row>
      <xdr:rowOff>142875</xdr:rowOff>
    </xdr:from>
    <xdr:ext cx="7886700" cy="4895850"/>
    <xdr:graphicFrame macro="">
      <xdr:nvGraphicFramePr>
        <xdr:cNvPr id="40" name="Chart 40" title="Wykres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 fLocksWithSheet="0"/>
  </xdr:oneCellAnchor>
  <xdr:oneCellAnchor>
    <xdr:from>
      <xdr:col>115</xdr:col>
      <xdr:colOff>257175</xdr:colOff>
      <xdr:row>193</xdr:row>
      <xdr:rowOff>104775</xdr:rowOff>
    </xdr:from>
    <xdr:ext cx="7886700" cy="4895850"/>
    <xdr:graphicFrame macro="">
      <xdr:nvGraphicFramePr>
        <xdr:cNvPr id="41" name="Chart 41" title="Wykres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 fLocksWithSheet="0"/>
  </xdr:oneCellAnchor>
  <xdr:oneCellAnchor>
    <xdr:from>
      <xdr:col>115</xdr:col>
      <xdr:colOff>257175</xdr:colOff>
      <xdr:row>220</xdr:row>
      <xdr:rowOff>180975</xdr:rowOff>
    </xdr:from>
    <xdr:ext cx="7886700" cy="4895850"/>
    <xdr:graphicFrame macro="">
      <xdr:nvGraphicFramePr>
        <xdr:cNvPr id="42" name="Chart 42" title="Wykres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295275</xdr:colOff>
      <xdr:row>3</xdr:row>
      <xdr:rowOff>19050</xdr:rowOff>
    </xdr:from>
    <xdr:ext cx="6858000" cy="4800600"/>
    <xdr:graphicFrame macro="">
      <xdr:nvGraphicFramePr>
        <xdr:cNvPr id="43" name="Chart 43" title="Wykres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8</xdr:row>
      <xdr:rowOff>57150</xdr:rowOff>
    </xdr:from>
    <xdr:ext cx="7553325" cy="4762500"/>
    <xdr:pic>
      <xdr:nvPicPr>
        <xdr:cNvPr id="2" name="image1.png" title="Obraz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ailykos.com/stories/2020/4/9/1932058/-Coronavirus-Modeling-from-Exponential-Growth-to-Bell-Curves" TargetMode="External"/><Relationship Id="rId13" Type="http://schemas.openxmlformats.org/officeDocument/2006/relationships/hyperlink" Target="https://covid19-projections.com/estimating-true-infections/" TargetMode="External"/><Relationship Id="rId18" Type="http://schemas.openxmlformats.org/officeDocument/2006/relationships/hyperlink" Target="https://twitter.com/PiotrekT" TargetMode="External"/><Relationship Id="rId26" Type="http://schemas.openxmlformats.org/officeDocument/2006/relationships/hyperlink" Target="https://twitter.com/RafalMostowy" TargetMode="External"/><Relationship Id="rId3" Type="http://schemas.openxmlformats.org/officeDocument/2006/relationships/hyperlink" Target="http://twitter.com/adas_torun" TargetMode="External"/><Relationship Id="rId21" Type="http://schemas.openxmlformats.org/officeDocument/2006/relationships/hyperlink" Target="http://bit.ly/covid19-R" TargetMode="External"/><Relationship Id="rId7" Type="http://schemas.openxmlformats.org/officeDocument/2006/relationships/hyperlink" Target="https://bit.ly/covid19-Rt-doc" TargetMode="External"/><Relationship Id="rId12" Type="http://schemas.openxmlformats.org/officeDocument/2006/relationships/hyperlink" Target="https://arxiv.org/abs/2003.00122" TargetMode="External"/><Relationship Id="rId17" Type="http://schemas.openxmlformats.org/officeDocument/2006/relationships/hyperlink" Target="http://bit.ly/covid19_powiaty" TargetMode="External"/><Relationship Id="rId25" Type="http://schemas.openxmlformats.org/officeDocument/2006/relationships/hyperlink" Target="https://rmostowy.github.io/covid-19/czas-rzeczywisty/" TargetMode="External"/><Relationship Id="rId2" Type="http://schemas.openxmlformats.org/officeDocument/2006/relationships/hyperlink" Target="http://bit.ly/covid19-Rt" TargetMode="External"/><Relationship Id="rId16" Type="http://schemas.openxmlformats.org/officeDocument/2006/relationships/hyperlink" Target="https://twitter.com/micalrg" TargetMode="External"/><Relationship Id="rId20" Type="http://schemas.openxmlformats.org/officeDocument/2006/relationships/hyperlink" Target="https://twitter.com/PiotrekT" TargetMode="External"/><Relationship Id="rId29" Type="http://schemas.openxmlformats.org/officeDocument/2006/relationships/hyperlink" Target="https://covid19.mimuw.edu.pl/" TargetMode="External"/><Relationship Id="rId1" Type="http://schemas.openxmlformats.org/officeDocument/2006/relationships/hyperlink" Target="https://docs.google.com/spreadsheets/d/1Kn63ZZeIJB4h24lOHkNbd8TLNd_TwwaF9BzhJNb7VeQ/copy?usp=sharing" TargetMode="External"/><Relationship Id="rId6" Type="http://schemas.openxmlformats.org/officeDocument/2006/relationships/hyperlink" Target="https://youtu.be/3ye5SPYGwe0?list=TLPQMTAxMDIwMjAXRpoLm64SMQ&amp;t=1326" TargetMode="External"/><Relationship Id="rId11" Type="http://schemas.openxmlformats.org/officeDocument/2006/relationships/hyperlink" Target="https://papers.ssrn.com/sol3/papers.cfm?abstract_id=3581633" TargetMode="External"/><Relationship Id="rId24" Type="http://schemas.openxmlformats.org/officeDocument/2006/relationships/hyperlink" Target="https://twitter.com/RafalMostowy" TargetMode="External"/><Relationship Id="rId5" Type="http://schemas.openxmlformats.org/officeDocument/2006/relationships/hyperlink" Target="https://drive.google.com/file/d/1x-kqTIiUBeDYAmSqUG5KVBxYk80x43qc/view?usp=sharing" TargetMode="External"/><Relationship Id="rId15" Type="http://schemas.openxmlformats.org/officeDocument/2006/relationships/hyperlink" Target="http://bit.ly/covid19-poland" TargetMode="External"/><Relationship Id="rId23" Type="http://schemas.openxmlformats.org/officeDocument/2006/relationships/hyperlink" Target="http://bit.ly/covid19-prognoza" TargetMode="External"/><Relationship Id="rId28" Type="http://schemas.openxmlformats.org/officeDocument/2006/relationships/hyperlink" Target="https://mocos.pl/" TargetMode="External"/><Relationship Id="rId10" Type="http://schemas.openxmlformats.org/officeDocument/2006/relationships/hyperlink" Target="https://www.dailykos.com/stories/2020/4/9/1932058/-Coronavirus-Modeling-from-Exponential-Growth-to-Bell-Curves" TargetMode="External"/><Relationship Id="rId19" Type="http://schemas.openxmlformats.org/officeDocument/2006/relationships/hyperlink" Target="http://bit.ly/powiaty" TargetMode="External"/><Relationship Id="rId4" Type="http://schemas.openxmlformats.org/officeDocument/2006/relationships/hyperlink" Target="http://twitter.com/micalrg" TargetMode="External"/><Relationship Id="rId9" Type="http://schemas.openxmlformats.org/officeDocument/2006/relationships/hyperlink" Target="https://medium.com/@jst.janik/koronawirus-m%C5%82ot-i-taniec-3bf0924fc608" TargetMode="External"/><Relationship Id="rId14" Type="http://schemas.openxmlformats.org/officeDocument/2006/relationships/hyperlink" Target="https://twitter.com/micalrg" TargetMode="External"/><Relationship Id="rId22" Type="http://schemas.openxmlformats.org/officeDocument/2006/relationships/hyperlink" Target="https://twitter.com/WroclawskiLewak" TargetMode="External"/><Relationship Id="rId27" Type="http://schemas.openxmlformats.org/officeDocument/2006/relationships/hyperlink" Target="https://rmostowy.github.io/covid-19/pomiar-rt/index" TargetMode="External"/><Relationship Id="rId30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twitter.com/adas_torun" TargetMode="External"/><Relationship Id="rId2" Type="http://schemas.openxmlformats.org/officeDocument/2006/relationships/hyperlink" Target="http://bit.ly/covid19-Rt" TargetMode="External"/><Relationship Id="rId1" Type="http://schemas.openxmlformats.org/officeDocument/2006/relationships/hyperlink" Target="https://docs.google.com/spreadsheets/d/1Kn63ZZeIJB4h24lOHkNbd8TLNd_TwwaF9BzhJNb7VeQ/copy?usp=sharing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://twitter.com/micalr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S1001"/>
  <sheetViews>
    <sheetView showGridLines="0"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4140625" defaultRowHeight="15.75" customHeight="1" x14ac:dyDescent="0.25"/>
  <cols>
    <col min="1" max="1" width="11.109375" customWidth="1"/>
    <col min="2" max="2" width="10.88671875" hidden="1" customWidth="1"/>
    <col min="3" max="3" width="5.6640625" customWidth="1"/>
    <col min="4" max="4" width="7.109375" customWidth="1"/>
    <col min="5" max="5" width="8.5546875" customWidth="1"/>
    <col min="6" max="6" width="7.109375" customWidth="1"/>
    <col min="7" max="7" width="7.5546875" customWidth="1"/>
    <col min="8" max="8" width="7.88671875" customWidth="1"/>
    <col min="9" max="9" width="7.5546875" customWidth="1"/>
    <col min="10" max="10" width="9.109375" customWidth="1"/>
    <col min="11" max="11" width="8.109375" customWidth="1"/>
    <col min="12" max="12" width="9.44140625" hidden="1" customWidth="1"/>
    <col min="13" max="14" width="8.109375" hidden="1" customWidth="1"/>
    <col min="15" max="16" width="8.33203125" hidden="1" customWidth="1"/>
    <col min="17" max="17" width="8.33203125" customWidth="1"/>
    <col min="18" max="18" width="8.109375" customWidth="1"/>
    <col min="19" max="19" width="5.88671875" customWidth="1"/>
    <col min="20" max="20" width="5.109375" customWidth="1"/>
    <col min="21" max="45" width="11.5546875" customWidth="1"/>
  </cols>
  <sheetData>
    <row r="1" spans="1:45" x14ac:dyDescent="0.25">
      <c r="A1" s="1" t="s">
        <v>0</v>
      </c>
      <c r="B1" s="2"/>
      <c r="C1" s="3"/>
      <c r="D1" s="361" t="s">
        <v>1</v>
      </c>
      <c r="E1" s="362"/>
      <c r="F1" s="362"/>
      <c r="G1" s="362"/>
      <c r="H1" s="362"/>
      <c r="I1" s="362"/>
      <c r="J1" s="362"/>
      <c r="K1" s="363"/>
      <c r="L1" s="4"/>
      <c r="M1" s="5"/>
      <c r="N1" s="6"/>
      <c r="O1" s="364" t="s">
        <v>2</v>
      </c>
      <c r="P1" s="362"/>
      <c r="Q1" s="362"/>
      <c r="R1" s="362"/>
      <c r="S1" s="363"/>
      <c r="T1" s="7"/>
      <c r="U1" s="365" t="s">
        <v>3</v>
      </c>
      <c r="V1" s="366"/>
      <c r="W1" s="366"/>
      <c r="X1" s="366"/>
      <c r="Y1" s="367" t="s">
        <v>4</v>
      </c>
      <c r="Z1" s="362"/>
      <c r="AA1" s="363"/>
      <c r="AB1" s="8" t="s">
        <v>5</v>
      </c>
      <c r="AC1" s="7" t="s">
        <v>6</v>
      </c>
      <c r="AD1" s="7"/>
      <c r="AE1" s="7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</row>
    <row r="2" spans="1:45" x14ac:dyDescent="0.25">
      <c r="A2" s="10" t="s">
        <v>7</v>
      </c>
      <c r="B2" s="11" t="s">
        <v>8</v>
      </c>
      <c r="C2" s="12" t="s">
        <v>9</v>
      </c>
      <c r="D2" s="13" t="s">
        <v>10</v>
      </c>
      <c r="E2" s="14" t="s">
        <v>11</v>
      </c>
      <c r="F2" s="15" t="s">
        <v>12</v>
      </c>
      <c r="G2" s="16" t="s">
        <v>13</v>
      </c>
      <c r="H2" s="17" t="s">
        <v>14</v>
      </c>
      <c r="I2" s="18" t="s">
        <v>15</v>
      </c>
      <c r="J2" s="19" t="s">
        <v>16</v>
      </c>
      <c r="K2" s="20" t="s">
        <v>17</v>
      </c>
      <c r="L2" s="21" t="s">
        <v>18</v>
      </c>
      <c r="M2" s="22" t="s">
        <v>19</v>
      </c>
      <c r="N2" s="23" t="s">
        <v>20</v>
      </c>
      <c r="O2" s="24" t="s">
        <v>21</v>
      </c>
      <c r="P2" s="25" t="s">
        <v>22</v>
      </c>
      <c r="Q2" s="26" t="s">
        <v>23</v>
      </c>
      <c r="R2" s="26" t="s">
        <v>24</v>
      </c>
      <c r="S2" s="27" t="s">
        <v>25</v>
      </c>
      <c r="T2" s="28"/>
      <c r="U2" s="368" t="s">
        <v>26</v>
      </c>
      <c r="V2" s="362"/>
      <c r="W2" s="363"/>
      <c r="X2" s="28">
        <v>100</v>
      </c>
      <c r="Y2" s="369">
        <f>1/AA2</f>
        <v>0.14285714285714285</v>
      </c>
      <c r="Z2" s="370"/>
      <c r="AA2" s="29">
        <v>7</v>
      </c>
      <c r="AB2" s="30">
        <v>7</v>
      </c>
      <c r="AC2" s="28">
        <v>7</v>
      </c>
      <c r="AD2" s="28"/>
      <c r="AE2" s="28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</row>
    <row r="3" spans="1:45" x14ac:dyDescent="0.25">
      <c r="A3" s="32">
        <v>43893</v>
      </c>
      <c r="B3" s="33" t="str">
        <f t="shared" ref="B3:B212" ca="1" si="0">IF(DATEDIF(A3,TODAY(),"D")&lt;$X$2,A3,"")</f>
        <v/>
      </c>
      <c r="C3" s="34">
        <v>0</v>
      </c>
      <c r="D3" s="35">
        <f>DANE!D3</f>
        <v>0</v>
      </c>
      <c r="E3" s="36">
        <v>0</v>
      </c>
      <c r="F3" s="37">
        <f>DANE!E3</f>
        <v>0</v>
      </c>
      <c r="G3" s="38">
        <v>0</v>
      </c>
      <c r="H3" s="39">
        <v>0</v>
      </c>
      <c r="I3" s="40">
        <f>DANE!F3</f>
        <v>0</v>
      </c>
      <c r="J3" s="41">
        <f>K3-H3-L3</f>
        <v>0</v>
      </c>
      <c r="K3" s="42">
        <f t="shared" ref="K3:K15" si="1">E3-I3-G3</f>
        <v>0</v>
      </c>
      <c r="L3" s="43"/>
      <c r="M3" s="44"/>
      <c r="N3" s="45"/>
      <c r="O3" s="46"/>
      <c r="P3" s="46"/>
      <c r="Q3" s="47"/>
      <c r="R3" s="48"/>
      <c r="S3" s="49"/>
      <c r="T3" s="50"/>
      <c r="U3" s="371" t="s">
        <v>27</v>
      </c>
      <c r="V3" s="372"/>
      <c r="W3" s="372"/>
      <c r="X3" s="372"/>
      <c r="Y3" s="372"/>
      <c r="Z3" s="372"/>
      <c r="AA3" s="372"/>
      <c r="AB3" s="372"/>
      <c r="AC3" s="372"/>
      <c r="AD3" s="372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</row>
    <row r="4" spans="1:45" x14ac:dyDescent="0.25">
      <c r="A4" s="32">
        <v>43894</v>
      </c>
      <c r="B4" s="33" t="str">
        <f t="shared" ca="1" si="0"/>
        <v/>
      </c>
      <c r="C4" s="51">
        <v>1</v>
      </c>
      <c r="D4" s="35">
        <f>DANE!D4</f>
        <v>1</v>
      </c>
      <c r="E4" s="52">
        <f t="shared" ref="E4:E15" si="2">E3+D4</f>
        <v>1</v>
      </c>
      <c r="F4" s="37">
        <f>DANE!E4</f>
        <v>0</v>
      </c>
      <c r="G4" s="53">
        <f t="shared" ref="G4:G15" si="3">G3+F4</f>
        <v>0</v>
      </c>
      <c r="H4" s="39">
        <f t="shared" ref="H4:H298" si="4">IF(ISBLANK(I4),"",I4-I3)</f>
        <v>0</v>
      </c>
      <c r="I4" s="40">
        <f>DANE!F4</f>
        <v>0</v>
      </c>
      <c r="J4" s="54">
        <f t="shared" ref="J4:J298" si="5">IF(ISBLANK(D4),"",K4-K3)</f>
        <v>1</v>
      </c>
      <c r="K4" s="42">
        <f t="shared" si="1"/>
        <v>1</v>
      </c>
      <c r="L4" s="55"/>
      <c r="M4" s="44"/>
      <c r="N4" s="45"/>
      <c r="O4" s="46"/>
      <c r="P4" s="46"/>
      <c r="Q4" s="56"/>
      <c r="R4" s="57"/>
      <c r="S4" s="58"/>
      <c r="T4" s="50"/>
      <c r="U4" s="373" t="s">
        <v>28</v>
      </c>
      <c r="V4" s="372"/>
      <c r="W4" s="372"/>
      <c r="X4" s="374" t="s">
        <v>29</v>
      </c>
      <c r="Y4" s="372"/>
      <c r="Z4" s="372"/>
      <c r="AA4" s="374" t="s">
        <v>30</v>
      </c>
      <c r="AB4" s="372"/>
      <c r="AC4" s="372"/>
      <c r="AD4" s="372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</row>
    <row r="5" spans="1:45" x14ac:dyDescent="0.25">
      <c r="A5" s="32">
        <v>43895</v>
      </c>
      <c r="B5" s="33" t="str">
        <f t="shared" ca="1" si="0"/>
        <v/>
      </c>
      <c r="C5" s="51">
        <v>2</v>
      </c>
      <c r="D5" s="35">
        <f>DANE!D5</f>
        <v>0</v>
      </c>
      <c r="E5" s="52">
        <f t="shared" si="2"/>
        <v>1</v>
      </c>
      <c r="F5" s="37">
        <f>DANE!E5</f>
        <v>0</v>
      </c>
      <c r="G5" s="53">
        <f t="shared" si="3"/>
        <v>0</v>
      </c>
      <c r="H5" s="39">
        <f t="shared" si="4"/>
        <v>0</v>
      </c>
      <c r="I5" s="40">
        <f>DANE!F5</f>
        <v>0</v>
      </c>
      <c r="J5" s="54">
        <f t="shared" si="5"/>
        <v>0</v>
      </c>
      <c r="K5" s="42">
        <f t="shared" si="1"/>
        <v>1</v>
      </c>
      <c r="L5" s="55"/>
      <c r="M5" s="44"/>
      <c r="N5" s="45"/>
      <c r="O5" s="46"/>
      <c r="P5" s="46"/>
      <c r="Q5" s="56"/>
      <c r="R5" s="57"/>
      <c r="S5" s="58"/>
      <c r="T5" s="50"/>
      <c r="U5" s="378"/>
      <c r="V5" s="372"/>
      <c r="W5" s="372"/>
      <c r="X5" s="375"/>
      <c r="Y5" s="372"/>
      <c r="Z5" s="372"/>
      <c r="AA5" s="375"/>
      <c r="AB5" s="372"/>
      <c r="AC5" s="372"/>
      <c r="AD5" s="372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</row>
    <row r="6" spans="1:45" x14ac:dyDescent="0.25">
      <c r="A6" s="32">
        <v>43896</v>
      </c>
      <c r="B6" s="33" t="str">
        <f t="shared" ca="1" si="0"/>
        <v/>
      </c>
      <c r="C6" s="51">
        <v>3</v>
      </c>
      <c r="D6" s="35">
        <f>DANE!D6</f>
        <v>4</v>
      </c>
      <c r="E6" s="52">
        <f t="shared" si="2"/>
        <v>5</v>
      </c>
      <c r="F6" s="37">
        <f>DANE!E6</f>
        <v>0</v>
      </c>
      <c r="G6" s="53">
        <f t="shared" si="3"/>
        <v>0</v>
      </c>
      <c r="H6" s="39">
        <f t="shared" si="4"/>
        <v>0</v>
      </c>
      <c r="I6" s="40">
        <f>DANE!F6</f>
        <v>0</v>
      </c>
      <c r="J6" s="54">
        <f t="shared" si="5"/>
        <v>4</v>
      </c>
      <c r="K6" s="42">
        <f t="shared" si="1"/>
        <v>5</v>
      </c>
      <c r="L6" s="55"/>
      <c r="M6" s="44"/>
      <c r="N6" s="45"/>
      <c r="O6" s="46"/>
      <c r="P6" s="46"/>
      <c r="Q6" s="56"/>
      <c r="R6" s="57"/>
      <c r="S6" s="58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</row>
    <row r="7" spans="1:45" x14ac:dyDescent="0.25">
      <c r="A7" s="61">
        <v>43897</v>
      </c>
      <c r="B7" s="62" t="str">
        <f t="shared" ca="1" si="0"/>
        <v/>
      </c>
      <c r="C7" s="12">
        <v>4</v>
      </c>
      <c r="D7" s="63">
        <f>DANE!D7</f>
        <v>1</v>
      </c>
      <c r="E7" s="64">
        <f t="shared" si="2"/>
        <v>6</v>
      </c>
      <c r="F7" s="65">
        <f>DANE!E7</f>
        <v>0</v>
      </c>
      <c r="G7" s="66">
        <f t="shared" si="3"/>
        <v>0</v>
      </c>
      <c r="H7" s="67">
        <f t="shared" si="4"/>
        <v>0</v>
      </c>
      <c r="I7" s="68">
        <f>DANE!F7</f>
        <v>0</v>
      </c>
      <c r="J7" s="54">
        <f t="shared" si="5"/>
        <v>1</v>
      </c>
      <c r="K7" s="69">
        <f t="shared" si="1"/>
        <v>6</v>
      </c>
      <c r="L7" s="70"/>
      <c r="M7" s="44"/>
      <c r="N7" s="45"/>
      <c r="O7" s="71"/>
      <c r="P7" s="71"/>
      <c r="Q7" s="72"/>
      <c r="R7" s="73"/>
      <c r="S7" s="74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</row>
    <row r="8" spans="1:45" x14ac:dyDescent="0.25">
      <c r="A8" s="61">
        <v>43898</v>
      </c>
      <c r="B8" s="62" t="str">
        <f t="shared" ca="1" si="0"/>
        <v/>
      </c>
      <c r="C8" s="12">
        <v>5</v>
      </c>
      <c r="D8" s="63">
        <f>DANE!D8</f>
        <v>5</v>
      </c>
      <c r="E8" s="64">
        <f t="shared" si="2"/>
        <v>11</v>
      </c>
      <c r="F8" s="65">
        <f>DANE!E8</f>
        <v>0</v>
      </c>
      <c r="G8" s="66">
        <f t="shared" si="3"/>
        <v>0</v>
      </c>
      <c r="H8" s="67">
        <f t="shared" si="4"/>
        <v>0</v>
      </c>
      <c r="I8" s="68">
        <f>DANE!F8</f>
        <v>0</v>
      </c>
      <c r="J8" s="54">
        <f t="shared" si="5"/>
        <v>5</v>
      </c>
      <c r="K8" s="69">
        <f t="shared" si="1"/>
        <v>11</v>
      </c>
      <c r="L8" s="70"/>
      <c r="M8" s="44"/>
      <c r="N8" s="45"/>
      <c r="O8" s="71"/>
      <c r="P8" s="71"/>
      <c r="Q8" s="72"/>
      <c r="R8" s="73"/>
      <c r="S8" s="74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</row>
    <row r="9" spans="1:45" x14ac:dyDescent="0.25">
      <c r="A9" s="32">
        <v>43899</v>
      </c>
      <c r="B9" s="33" t="str">
        <f t="shared" ca="1" si="0"/>
        <v/>
      </c>
      <c r="C9" s="51">
        <v>6</v>
      </c>
      <c r="D9" s="35">
        <f>DANE!D9</f>
        <v>6</v>
      </c>
      <c r="E9" s="52">
        <f t="shared" si="2"/>
        <v>17</v>
      </c>
      <c r="F9" s="37">
        <f>DANE!E9</f>
        <v>0</v>
      </c>
      <c r="G9" s="53">
        <f t="shared" si="3"/>
        <v>0</v>
      </c>
      <c r="H9" s="39">
        <f t="shared" si="4"/>
        <v>0</v>
      </c>
      <c r="I9" s="40">
        <f>DANE!F9</f>
        <v>0</v>
      </c>
      <c r="J9" s="54">
        <f t="shared" si="5"/>
        <v>6</v>
      </c>
      <c r="K9" s="42">
        <f t="shared" si="1"/>
        <v>17</v>
      </c>
      <c r="L9" s="55">
        <f>ROUND(RSQ(O16:O1000,K16:K1000),4)</f>
        <v>0.59789999999999999</v>
      </c>
      <c r="M9" s="44"/>
      <c r="N9" s="45"/>
      <c r="O9" s="46"/>
      <c r="P9" s="46"/>
      <c r="Q9" s="56"/>
      <c r="R9" s="57"/>
      <c r="S9" s="58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</row>
    <row r="10" spans="1:45" x14ac:dyDescent="0.25">
      <c r="A10" s="32">
        <v>43900</v>
      </c>
      <c r="B10" s="33" t="str">
        <f t="shared" ca="1" si="0"/>
        <v/>
      </c>
      <c r="C10" s="51">
        <v>7</v>
      </c>
      <c r="D10" s="35">
        <f>DANE!D10</f>
        <v>5</v>
      </c>
      <c r="E10" s="52">
        <f t="shared" si="2"/>
        <v>22</v>
      </c>
      <c r="F10" s="37">
        <f>DANE!E10</f>
        <v>0</v>
      </c>
      <c r="G10" s="53">
        <f t="shared" si="3"/>
        <v>0</v>
      </c>
      <c r="H10" s="39">
        <f t="shared" si="4"/>
        <v>0</v>
      </c>
      <c r="I10" s="40">
        <f>DANE!F10</f>
        <v>0</v>
      </c>
      <c r="J10" s="54">
        <f t="shared" si="5"/>
        <v>5</v>
      </c>
      <c r="K10" s="42">
        <f t="shared" si="1"/>
        <v>22</v>
      </c>
      <c r="L10" s="55" t="str">
        <f>CONCATENATE("R^2=",L9)</f>
        <v>R^2=0,5979</v>
      </c>
      <c r="M10" s="44"/>
      <c r="N10" s="45"/>
      <c r="O10" s="46"/>
      <c r="P10" s="46"/>
      <c r="Q10" s="56"/>
      <c r="R10" s="57"/>
      <c r="S10" s="58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</row>
    <row r="11" spans="1:45" x14ac:dyDescent="0.25">
      <c r="A11" s="32">
        <v>43901</v>
      </c>
      <c r="B11" s="33" t="str">
        <f t="shared" ca="1" si="0"/>
        <v/>
      </c>
      <c r="C11" s="51">
        <v>8</v>
      </c>
      <c r="D11" s="35">
        <f>DANE!D11</f>
        <v>9</v>
      </c>
      <c r="E11" s="52">
        <f t="shared" si="2"/>
        <v>31</v>
      </c>
      <c r="F11" s="37">
        <f>DANE!E11</f>
        <v>0</v>
      </c>
      <c r="G11" s="53">
        <f t="shared" si="3"/>
        <v>0</v>
      </c>
      <c r="H11" s="39">
        <f t="shared" si="4"/>
        <v>0</v>
      </c>
      <c r="I11" s="40">
        <f>DANE!F11</f>
        <v>0</v>
      </c>
      <c r="J11" s="54">
        <f t="shared" si="5"/>
        <v>9</v>
      </c>
      <c r="K11" s="42">
        <f t="shared" si="1"/>
        <v>31</v>
      </c>
      <c r="L11" s="55"/>
      <c r="M11" s="44"/>
      <c r="N11" s="45"/>
      <c r="O11" s="46"/>
      <c r="P11" s="46"/>
      <c r="Q11" s="56"/>
      <c r="R11" s="57"/>
      <c r="S11" s="58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</row>
    <row r="12" spans="1:45" x14ac:dyDescent="0.25">
      <c r="A12" s="32">
        <v>43902</v>
      </c>
      <c r="B12" s="33" t="str">
        <f t="shared" ca="1" si="0"/>
        <v/>
      </c>
      <c r="C12" s="51">
        <v>9</v>
      </c>
      <c r="D12" s="35">
        <f>DANE!D12</f>
        <v>20</v>
      </c>
      <c r="E12" s="52">
        <f t="shared" si="2"/>
        <v>51</v>
      </c>
      <c r="F12" s="37">
        <f>DANE!E12</f>
        <v>1</v>
      </c>
      <c r="G12" s="53">
        <f t="shared" si="3"/>
        <v>1</v>
      </c>
      <c r="H12" s="39">
        <f t="shared" si="4"/>
        <v>0</v>
      </c>
      <c r="I12" s="40">
        <f>DANE!F12</f>
        <v>0</v>
      </c>
      <c r="J12" s="54">
        <f t="shared" si="5"/>
        <v>19</v>
      </c>
      <c r="K12" s="42">
        <f t="shared" si="1"/>
        <v>50</v>
      </c>
      <c r="L12" s="55"/>
      <c r="M12" s="44"/>
      <c r="N12" s="45"/>
      <c r="O12" s="46"/>
      <c r="P12" s="46"/>
      <c r="Q12" s="56"/>
      <c r="R12" s="57"/>
      <c r="S12" s="58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</row>
    <row r="13" spans="1:45" x14ac:dyDescent="0.25">
      <c r="A13" s="32">
        <v>43903</v>
      </c>
      <c r="B13" s="33" t="str">
        <f t="shared" ca="1" si="0"/>
        <v/>
      </c>
      <c r="C13" s="51">
        <v>10</v>
      </c>
      <c r="D13" s="35">
        <f>DANE!D13</f>
        <v>17</v>
      </c>
      <c r="E13" s="52">
        <f t="shared" si="2"/>
        <v>68</v>
      </c>
      <c r="F13" s="37">
        <f>DANE!E13</f>
        <v>1</v>
      </c>
      <c r="G13" s="53">
        <f t="shared" si="3"/>
        <v>2</v>
      </c>
      <c r="H13" s="39">
        <f t="shared" si="4"/>
        <v>0</v>
      </c>
      <c r="I13" s="40">
        <f>DANE!F13</f>
        <v>0</v>
      </c>
      <c r="J13" s="54">
        <f t="shared" si="5"/>
        <v>16</v>
      </c>
      <c r="K13" s="42">
        <f t="shared" si="1"/>
        <v>66</v>
      </c>
      <c r="L13" s="55"/>
      <c r="M13" s="44"/>
      <c r="N13" s="45"/>
      <c r="O13" s="46"/>
      <c r="P13" s="46"/>
      <c r="Q13" s="56"/>
      <c r="R13" s="57"/>
      <c r="S13" s="58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</row>
    <row r="14" spans="1:45" x14ac:dyDescent="0.25">
      <c r="A14" s="61">
        <v>43904</v>
      </c>
      <c r="B14" s="62" t="str">
        <f t="shared" ca="1" si="0"/>
        <v/>
      </c>
      <c r="C14" s="12">
        <v>11</v>
      </c>
      <c r="D14" s="63">
        <f>DANE!D14</f>
        <v>36</v>
      </c>
      <c r="E14" s="64">
        <f t="shared" si="2"/>
        <v>104</v>
      </c>
      <c r="F14" s="65">
        <f>DANE!E14</f>
        <v>1</v>
      </c>
      <c r="G14" s="66">
        <f t="shared" si="3"/>
        <v>3</v>
      </c>
      <c r="H14" s="67">
        <f t="shared" si="4"/>
        <v>0</v>
      </c>
      <c r="I14" s="68">
        <f>DANE!F14</f>
        <v>0</v>
      </c>
      <c r="J14" s="54">
        <f t="shared" si="5"/>
        <v>35</v>
      </c>
      <c r="K14" s="69">
        <f t="shared" si="1"/>
        <v>101</v>
      </c>
      <c r="L14" s="70"/>
      <c r="M14" s="44">
        <f t="shared" ref="M14:M298" si="6">IF(ISBLANK(G14),,G14/(G14+I14)*100)</f>
        <v>100</v>
      </c>
      <c r="N14" s="45">
        <f t="shared" ref="N14:N298" si="7">IF(ISBLANK(G14),,G14/E14*100)</f>
        <v>2.8846153846153846</v>
      </c>
      <c r="O14" s="76">
        <f>(1-$Y$2)*E13+D14</f>
        <v>94.285714285714292</v>
      </c>
      <c r="P14" s="71"/>
      <c r="Q14" s="72"/>
      <c r="R14" s="73"/>
      <c r="S14" s="74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</row>
    <row r="15" spans="1:45" x14ac:dyDescent="0.25">
      <c r="A15" s="61">
        <v>43905</v>
      </c>
      <c r="B15" s="62" t="str">
        <f t="shared" ca="1" si="0"/>
        <v/>
      </c>
      <c r="C15" s="12">
        <v>12</v>
      </c>
      <c r="D15" s="63">
        <f>DANE!D15</f>
        <v>21</v>
      </c>
      <c r="E15" s="64">
        <f t="shared" si="2"/>
        <v>125</v>
      </c>
      <c r="F15" s="65">
        <f>DANE!E15</f>
        <v>0</v>
      </c>
      <c r="G15" s="66">
        <f t="shared" si="3"/>
        <v>3</v>
      </c>
      <c r="H15" s="67">
        <f t="shared" si="4"/>
        <v>0</v>
      </c>
      <c r="I15" s="68">
        <f>DANE!F15</f>
        <v>0</v>
      </c>
      <c r="J15" s="54">
        <f t="shared" si="5"/>
        <v>21</v>
      </c>
      <c r="K15" s="69">
        <f t="shared" si="1"/>
        <v>122</v>
      </c>
      <c r="L15" s="70" t="str">
        <f>"Nowe przypadki (średnia "&amp;$AB$2&amp;" dni)"</f>
        <v>Nowe przypadki (średnia 7 dni)</v>
      </c>
      <c r="M15" s="44">
        <f t="shared" si="6"/>
        <v>100</v>
      </c>
      <c r="N15" s="45">
        <f t="shared" si="7"/>
        <v>2.4</v>
      </c>
      <c r="O15" s="71">
        <f>(1-$Y$2)*O14+D15</f>
        <v>101.81632653061226</v>
      </c>
      <c r="P15" s="71">
        <f>(O15-O14)/O14</f>
        <v>7.9870129870129938E-2</v>
      </c>
      <c r="Q15" s="77" t="s">
        <v>23</v>
      </c>
      <c r="R15" s="78" t="str">
        <f>"R(t) (średnia "&amp;$AC$2&amp;" dni)"</f>
        <v>R(t) (średnia 7 dni)</v>
      </c>
      <c r="S15" s="74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</row>
    <row r="16" spans="1:45" x14ac:dyDescent="0.25">
      <c r="A16" s="32">
        <v>43906</v>
      </c>
      <c r="B16" s="33" t="str">
        <f t="shared" ca="1" si="0"/>
        <v/>
      </c>
      <c r="C16" s="51">
        <v>13</v>
      </c>
      <c r="D16" s="35">
        <f>DANE!D16</f>
        <v>52</v>
      </c>
      <c r="E16" s="52">
        <f t="shared" ref="E16:E298" si="8">IF(ISBLANK(D16), "",E15+D16)</f>
        <v>177</v>
      </c>
      <c r="F16" s="37">
        <f>DANE!E16</f>
        <v>1</v>
      </c>
      <c r="G16" s="53">
        <f t="shared" ref="G16:G212" si="9">IF(ISBLANK(D16),"",G15+F16)</f>
        <v>4</v>
      </c>
      <c r="H16" s="39">
        <f t="shared" si="4"/>
        <v>0</v>
      </c>
      <c r="I16" s="40">
        <f>DANE!F16</f>
        <v>0</v>
      </c>
      <c r="J16" s="54">
        <f t="shared" si="5"/>
        <v>51</v>
      </c>
      <c r="K16" s="42">
        <f t="shared" ref="K16:K298" si="10">IF(ISBLANK(D16),"",E16-I16-G16)</f>
        <v>173</v>
      </c>
      <c r="L16" s="79">
        <f t="shared" ref="L16:L298" ca="1" si="11">IF(ISBLANK(D16),"",AVERAGE((OFFSET(D16,(-1)*($AB$2-1),0)):D16))</f>
        <v>22.857142857142858</v>
      </c>
      <c r="M16" s="44">
        <f t="shared" si="6"/>
        <v>100</v>
      </c>
      <c r="N16" s="45">
        <f t="shared" si="7"/>
        <v>2.2598870056497176</v>
      </c>
      <c r="O16" s="46">
        <f t="shared" ref="O16:O298" si="12">IF(ISBLANK(D16),"",(1-$Y$2)*O15+D16)</f>
        <v>139.2711370262391</v>
      </c>
      <c r="P16" s="46">
        <f t="shared" ref="P16:P298" si="13">IF(ISBLANK(D16),"",(O16-O15)/O15)</f>
        <v>0.36786644904504212</v>
      </c>
      <c r="Q16" s="80">
        <f t="shared" ref="Q16:Q298" si="14">IF(ISBLANK(D16),"",1+P16/$Y$2)</f>
        <v>3.5750651433152951</v>
      </c>
      <c r="R16" s="80">
        <f t="shared" ref="R16:R298" ca="1" si="15">IF(ISBLANK(D16),"",AVERAGE((OFFSET(Q16,(-1)*($AC$2-1),0)):Q16))</f>
        <v>3.5750651433152951</v>
      </c>
      <c r="S16" s="81">
        <f>0</f>
        <v>0</v>
      </c>
      <c r="T16" s="82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</row>
    <row r="17" spans="1:45" x14ac:dyDescent="0.25">
      <c r="A17" s="32">
        <v>43907</v>
      </c>
      <c r="B17" s="33" t="str">
        <f t="shared" ca="1" si="0"/>
        <v/>
      </c>
      <c r="C17" s="51">
        <v>14</v>
      </c>
      <c r="D17" s="35">
        <f>DANE!D17</f>
        <v>61</v>
      </c>
      <c r="E17" s="52">
        <f t="shared" si="8"/>
        <v>238</v>
      </c>
      <c r="F17" s="37">
        <f>DANE!E17</f>
        <v>1</v>
      </c>
      <c r="G17" s="53">
        <f t="shared" si="9"/>
        <v>5</v>
      </c>
      <c r="H17" s="39">
        <f t="shared" si="4"/>
        <v>1</v>
      </c>
      <c r="I17" s="40">
        <f>DANE!F17</f>
        <v>1</v>
      </c>
      <c r="J17" s="54">
        <f t="shared" si="5"/>
        <v>59</v>
      </c>
      <c r="K17" s="42">
        <f t="shared" si="10"/>
        <v>232</v>
      </c>
      <c r="L17" s="79">
        <f t="shared" ca="1" si="11"/>
        <v>30.857142857142858</v>
      </c>
      <c r="M17" s="44">
        <f t="shared" si="6"/>
        <v>83.333333333333343</v>
      </c>
      <c r="N17" s="45">
        <f t="shared" si="7"/>
        <v>2.1008403361344539</v>
      </c>
      <c r="O17" s="46">
        <f t="shared" si="12"/>
        <v>180.37526030820496</v>
      </c>
      <c r="P17" s="46">
        <f t="shared" si="13"/>
        <v>0.29513741439636348</v>
      </c>
      <c r="Q17" s="80">
        <f t="shared" si="14"/>
        <v>3.0659619007745444</v>
      </c>
      <c r="R17" s="80">
        <f t="shared" ca="1" si="15"/>
        <v>3.3205135220449198</v>
      </c>
      <c r="S17" s="81">
        <f t="shared" ref="S17:S298" ca="1" si="16">IF(ISBLANK(D17),"",ROUND(R17,2)-ROUND(R16,2))</f>
        <v>-0.26000000000000023</v>
      </c>
      <c r="T17" s="83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</row>
    <row r="18" spans="1:45" x14ac:dyDescent="0.25">
      <c r="A18" s="32">
        <v>43908</v>
      </c>
      <c r="B18" s="33" t="str">
        <f t="shared" ca="1" si="0"/>
        <v/>
      </c>
      <c r="C18" s="51">
        <v>15</v>
      </c>
      <c r="D18" s="35">
        <f>DANE!D18</f>
        <v>49</v>
      </c>
      <c r="E18" s="52">
        <f t="shared" si="8"/>
        <v>287</v>
      </c>
      <c r="F18" s="37">
        <f>DANE!E18</f>
        <v>0</v>
      </c>
      <c r="G18" s="53">
        <f t="shared" si="9"/>
        <v>5</v>
      </c>
      <c r="H18" s="39">
        <f t="shared" si="4"/>
        <v>0</v>
      </c>
      <c r="I18" s="40">
        <f>DANE!F18</f>
        <v>1</v>
      </c>
      <c r="J18" s="54">
        <f t="shared" si="5"/>
        <v>49</v>
      </c>
      <c r="K18" s="42">
        <f t="shared" si="10"/>
        <v>281</v>
      </c>
      <c r="L18" s="79">
        <f t="shared" ca="1" si="11"/>
        <v>36.571428571428569</v>
      </c>
      <c r="M18" s="44">
        <f t="shared" si="6"/>
        <v>83.333333333333343</v>
      </c>
      <c r="N18" s="45">
        <f t="shared" si="7"/>
        <v>1.7421602787456445</v>
      </c>
      <c r="O18" s="46">
        <f t="shared" si="12"/>
        <v>203.60736597846142</v>
      </c>
      <c r="P18" s="46">
        <f t="shared" si="13"/>
        <v>0.12879873675891057</v>
      </c>
      <c r="Q18" s="80">
        <f t="shared" si="14"/>
        <v>1.901591157312374</v>
      </c>
      <c r="R18" s="80">
        <f t="shared" ca="1" si="15"/>
        <v>2.8475394004674044</v>
      </c>
      <c r="S18" s="81">
        <f t="shared" ca="1" si="16"/>
        <v>-0.46999999999999975</v>
      </c>
      <c r="T18" s="83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</row>
    <row r="19" spans="1:45" x14ac:dyDescent="0.25">
      <c r="A19" s="32">
        <v>43909</v>
      </c>
      <c r="B19" s="33" t="str">
        <f t="shared" ca="1" si="0"/>
        <v/>
      </c>
      <c r="C19" s="51">
        <v>16</v>
      </c>
      <c r="D19" s="35">
        <f>DANE!D19</f>
        <v>68</v>
      </c>
      <c r="E19" s="52">
        <f t="shared" si="8"/>
        <v>355</v>
      </c>
      <c r="F19" s="37">
        <f>DANE!E19</f>
        <v>0</v>
      </c>
      <c r="G19" s="53">
        <f t="shared" si="9"/>
        <v>5</v>
      </c>
      <c r="H19" s="39">
        <f t="shared" si="4"/>
        <v>0</v>
      </c>
      <c r="I19" s="40">
        <f>DANE!F19</f>
        <v>1</v>
      </c>
      <c r="J19" s="54">
        <f t="shared" si="5"/>
        <v>68</v>
      </c>
      <c r="K19" s="42">
        <f t="shared" si="10"/>
        <v>349</v>
      </c>
      <c r="L19" s="79">
        <f t="shared" ca="1" si="11"/>
        <v>43.428571428571431</v>
      </c>
      <c r="M19" s="44">
        <f t="shared" si="6"/>
        <v>83.333333333333343</v>
      </c>
      <c r="N19" s="45">
        <f t="shared" si="7"/>
        <v>1.4084507042253522</v>
      </c>
      <c r="O19" s="46">
        <f t="shared" si="12"/>
        <v>242.52059941010981</v>
      </c>
      <c r="P19" s="46">
        <f t="shared" si="13"/>
        <v>0.19111898650938211</v>
      </c>
      <c r="Q19" s="80">
        <f t="shared" si="14"/>
        <v>2.3378329055656746</v>
      </c>
      <c r="R19" s="80">
        <f t="shared" ca="1" si="15"/>
        <v>2.7201127767419719</v>
      </c>
      <c r="S19" s="81">
        <f t="shared" ca="1" si="16"/>
        <v>-0.12999999999999989</v>
      </c>
      <c r="T19" s="83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</row>
    <row r="20" spans="1:45" x14ac:dyDescent="0.25">
      <c r="A20" s="32">
        <v>43910</v>
      </c>
      <c r="B20" s="33" t="str">
        <f t="shared" ca="1" si="0"/>
        <v/>
      </c>
      <c r="C20" s="51">
        <v>17</v>
      </c>
      <c r="D20" s="35">
        <f>DANE!D20</f>
        <v>70</v>
      </c>
      <c r="E20" s="52">
        <f t="shared" si="8"/>
        <v>425</v>
      </c>
      <c r="F20" s="37">
        <f>DANE!E20</f>
        <v>0</v>
      </c>
      <c r="G20" s="53">
        <f t="shared" si="9"/>
        <v>5</v>
      </c>
      <c r="H20" s="39">
        <f t="shared" si="4"/>
        <v>0</v>
      </c>
      <c r="I20" s="40">
        <f>DANE!F20</f>
        <v>1</v>
      </c>
      <c r="J20" s="54">
        <f t="shared" si="5"/>
        <v>70</v>
      </c>
      <c r="K20" s="42">
        <f t="shared" si="10"/>
        <v>419</v>
      </c>
      <c r="L20" s="79">
        <f t="shared" ca="1" si="11"/>
        <v>51</v>
      </c>
      <c r="M20" s="44">
        <f t="shared" si="6"/>
        <v>83.333333333333343</v>
      </c>
      <c r="N20" s="45">
        <f t="shared" si="7"/>
        <v>1.1764705882352942</v>
      </c>
      <c r="O20" s="46">
        <f t="shared" si="12"/>
        <v>277.87479949437989</v>
      </c>
      <c r="P20" s="46">
        <f t="shared" si="13"/>
        <v>0.14577813253910457</v>
      </c>
      <c r="Q20" s="80">
        <f t="shared" si="14"/>
        <v>2.0204469277737322</v>
      </c>
      <c r="R20" s="80">
        <f t="shared" ca="1" si="15"/>
        <v>2.5801796069483238</v>
      </c>
      <c r="S20" s="81">
        <f t="shared" ca="1" si="16"/>
        <v>-0.14000000000000012</v>
      </c>
      <c r="T20" s="83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</row>
    <row r="21" spans="1:45" x14ac:dyDescent="0.25">
      <c r="A21" s="61">
        <v>43911</v>
      </c>
      <c r="B21" s="62" t="str">
        <f t="shared" ca="1" si="0"/>
        <v/>
      </c>
      <c r="C21" s="12">
        <v>18</v>
      </c>
      <c r="D21" s="63">
        <f>DANE!D21</f>
        <v>111</v>
      </c>
      <c r="E21" s="64">
        <f t="shared" si="8"/>
        <v>536</v>
      </c>
      <c r="F21" s="65">
        <f>DANE!E21</f>
        <v>0</v>
      </c>
      <c r="G21" s="66">
        <f t="shared" si="9"/>
        <v>5</v>
      </c>
      <c r="H21" s="67">
        <f t="shared" si="4"/>
        <v>0</v>
      </c>
      <c r="I21" s="68">
        <f>DANE!F21</f>
        <v>1</v>
      </c>
      <c r="J21" s="54">
        <f t="shared" si="5"/>
        <v>111</v>
      </c>
      <c r="K21" s="69">
        <f t="shared" si="10"/>
        <v>530</v>
      </c>
      <c r="L21" s="84">
        <f t="shared" ca="1" si="11"/>
        <v>61.714285714285715</v>
      </c>
      <c r="M21" s="44">
        <f t="shared" si="6"/>
        <v>83.333333333333343</v>
      </c>
      <c r="N21" s="45">
        <f t="shared" si="7"/>
        <v>0.93283582089552231</v>
      </c>
      <c r="O21" s="71">
        <f t="shared" si="12"/>
        <v>349.17839956661135</v>
      </c>
      <c r="P21" s="71">
        <f t="shared" si="13"/>
        <v>0.25660333431450161</v>
      </c>
      <c r="Q21" s="85">
        <f t="shared" si="14"/>
        <v>2.7962233402015113</v>
      </c>
      <c r="R21" s="85">
        <f t="shared" ca="1" si="15"/>
        <v>2.616186895823855</v>
      </c>
      <c r="S21" s="86">
        <f t="shared" ca="1" si="16"/>
        <v>4.0000000000000036E-2</v>
      </c>
      <c r="T21" s="87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</row>
    <row r="22" spans="1:45" x14ac:dyDescent="0.25">
      <c r="A22" s="61">
        <v>43912</v>
      </c>
      <c r="B22" s="62" t="str">
        <f t="shared" ca="1" si="0"/>
        <v/>
      </c>
      <c r="C22" s="12">
        <v>19</v>
      </c>
      <c r="D22" s="63">
        <f>DANE!D22</f>
        <v>98</v>
      </c>
      <c r="E22" s="64">
        <f t="shared" si="8"/>
        <v>634</v>
      </c>
      <c r="F22" s="65">
        <f>DANE!E22</f>
        <v>2</v>
      </c>
      <c r="G22" s="66">
        <f t="shared" si="9"/>
        <v>7</v>
      </c>
      <c r="H22" s="67">
        <f t="shared" si="4"/>
        <v>0</v>
      </c>
      <c r="I22" s="68">
        <f>DANE!F22</f>
        <v>1</v>
      </c>
      <c r="J22" s="54">
        <f t="shared" si="5"/>
        <v>96</v>
      </c>
      <c r="K22" s="69">
        <f t="shared" si="10"/>
        <v>626</v>
      </c>
      <c r="L22" s="84">
        <f t="shared" ca="1" si="11"/>
        <v>72.714285714285708</v>
      </c>
      <c r="M22" s="44">
        <f t="shared" si="6"/>
        <v>87.5</v>
      </c>
      <c r="N22" s="45">
        <f t="shared" si="7"/>
        <v>1.1041009463722398</v>
      </c>
      <c r="O22" s="71">
        <f t="shared" si="12"/>
        <v>397.29577105709546</v>
      </c>
      <c r="P22" s="71">
        <f t="shared" si="13"/>
        <v>0.13780168403946466</v>
      </c>
      <c r="Q22" s="85">
        <f t="shared" si="14"/>
        <v>1.9646117882762528</v>
      </c>
      <c r="R22" s="85">
        <f t="shared" ca="1" si="15"/>
        <v>2.5231047376027687</v>
      </c>
      <c r="S22" s="86">
        <f t="shared" ca="1" si="16"/>
        <v>-0.10000000000000009</v>
      </c>
      <c r="T22" s="87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</row>
    <row r="23" spans="1:45" x14ac:dyDescent="0.25">
      <c r="A23" s="32">
        <v>43913</v>
      </c>
      <c r="B23" s="33" t="str">
        <f t="shared" ca="1" si="0"/>
        <v/>
      </c>
      <c r="C23" s="51">
        <v>20</v>
      </c>
      <c r="D23" s="35">
        <f>DANE!D23</f>
        <v>115</v>
      </c>
      <c r="E23" s="52">
        <f t="shared" si="8"/>
        <v>749</v>
      </c>
      <c r="F23" s="37">
        <f>DANE!E23</f>
        <v>1</v>
      </c>
      <c r="G23" s="53">
        <f t="shared" si="9"/>
        <v>8</v>
      </c>
      <c r="H23" s="39">
        <f t="shared" si="4"/>
        <v>0</v>
      </c>
      <c r="I23" s="40">
        <f>DANE!F23</f>
        <v>1</v>
      </c>
      <c r="J23" s="54">
        <f t="shared" si="5"/>
        <v>114</v>
      </c>
      <c r="K23" s="42">
        <f t="shared" si="10"/>
        <v>740</v>
      </c>
      <c r="L23" s="79">
        <f t="shared" ca="1" si="11"/>
        <v>81.714285714285708</v>
      </c>
      <c r="M23" s="44">
        <f t="shared" si="6"/>
        <v>88.888888888888886</v>
      </c>
      <c r="N23" s="45">
        <f t="shared" si="7"/>
        <v>1.0680907877169559</v>
      </c>
      <c r="O23" s="46">
        <f t="shared" si="12"/>
        <v>455.53923233465326</v>
      </c>
      <c r="P23" s="46">
        <f t="shared" si="13"/>
        <v>0.14659975142093223</v>
      </c>
      <c r="Q23" s="80">
        <f t="shared" si="14"/>
        <v>2.0261982599465256</v>
      </c>
      <c r="R23" s="80">
        <f t="shared" ca="1" si="15"/>
        <v>2.3018380399786591</v>
      </c>
      <c r="S23" s="81">
        <f t="shared" ca="1" si="16"/>
        <v>-0.2200000000000002</v>
      </c>
      <c r="T23" s="83"/>
      <c r="U23" s="89"/>
      <c r="V23" s="89"/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/>
      <c r="AS23" s="89"/>
    </row>
    <row r="24" spans="1:45" x14ac:dyDescent="0.25">
      <c r="A24" s="32">
        <v>43914</v>
      </c>
      <c r="B24" s="33" t="str">
        <f t="shared" ca="1" si="0"/>
        <v/>
      </c>
      <c r="C24" s="51">
        <v>21</v>
      </c>
      <c r="D24" s="35">
        <f>DANE!D24</f>
        <v>152</v>
      </c>
      <c r="E24" s="52">
        <f t="shared" si="8"/>
        <v>901</v>
      </c>
      <c r="F24" s="37">
        <f>DANE!E24</f>
        <v>2</v>
      </c>
      <c r="G24" s="53">
        <f t="shared" si="9"/>
        <v>10</v>
      </c>
      <c r="H24" s="39">
        <f t="shared" si="4"/>
        <v>0</v>
      </c>
      <c r="I24" s="40">
        <f>DANE!F24</f>
        <v>1</v>
      </c>
      <c r="J24" s="54">
        <f t="shared" si="5"/>
        <v>150</v>
      </c>
      <c r="K24" s="42">
        <f t="shared" si="10"/>
        <v>890</v>
      </c>
      <c r="L24" s="79">
        <f t="shared" ca="1" si="11"/>
        <v>94.714285714285708</v>
      </c>
      <c r="M24" s="44">
        <f t="shared" si="6"/>
        <v>90.909090909090907</v>
      </c>
      <c r="N24" s="45">
        <f t="shared" si="7"/>
        <v>1.1098779134295227</v>
      </c>
      <c r="O24" s="46">
        <f t="shared" si="12"/>
        <v>542.46219914398853</v>
      </c>
      <c r="P24" s="46">
        <f t="shared" si="13"/>
        <v>0.19081334962930033</v>
      </c>
      <c r="Q24" s="80">
        <f t="shared" si="14"/>
        <v>2.3356934474051023</v>
      </c>
      <c r="R24" s="80">
        <f t="shared" ca="1" si="15"/>
        <v>2.1975139752115962</v>
      </c>
      <c r="S24" s="81">
        <f t="shared" ca="1" si="16"/>
        <v>-9.9999999999999645E-2</v>
      </c>
      <c r="T24" s="83"/>
      <c r="U24" s="89"/>
      <c r="V24" s="89"/>
      <c r="W24" s="89"/>
      <c r="X24" s="89"/>
      <c r="Y24" s="89"/>
      <c r="Z24" s="89"/>
      <c r="AA24" s="89"/>
      <c r="AB24" s="89"/>
      <c r="AC24" s="89"/>
      <c r="AD24" s="89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/>
      <c r="AS24" s="89"/>
    </row>
    <row r="25" spans="1:45" x14ac:dyDescent="0.25">
      <c r="A25" s="32">
        <v>43915</v>
      </c>
      <c r="B25" s="33" t="str">
        <f t="shared" ca="1" si="0"/>
        <v/>
      </c>
      <c r="C25" s="51">
        <v>22</v>
      </c>
      <c r="D25" s="35">
        <f>DANE!D25</f>
        <v>150</v>
      </c>
      <c r="E25" s="52">
        <f t="shared" si="8"/>
        <v>1051</v>
      </c>
      <c r="F25" s="37">
        <f>DANE!E25</f>
        <v>3</v>
      </c>
      <c r="G25" s="53">
        <f t="shared" si="9"/>
        <v>13</v>
      </c>
      <c r="H25" s="39">
        <f t="shared" si="4"/>
        <v>0</v>
      </c>
      <c r="I25" s="40">
        <f>DANE!F25</f>
        <v>1</v>
      </c>
      <c r="J25" s="54">
        <f t="shared" si="5"/>
        <v>147</v>
      </c>
      <c r="K25" s="42">
        <f t="shared" si="10"/>
        <v>1037</v>
      </c>
      <c r="L25" s="79">
        <f t="shared" ca="1" si="11"/>
        <v>109.14285714285714</v>
      </c>
      <c r="M25" s="44">
        <f t="shared" si="6"/>
        <v>92.857142857142861</v>
      </c>
      <c r="N25" s="45">
        <f t="shared" si="7"/>
        <v>1.2369172216936251</v>
      </c>
      <c r="O25" s="46">
        <f t="shared" si="12"/>
        <v>614.9675992662759</v>
      </c>
      <c r="P25" s="46">
        <f t="shared" si="13"/>
        <v>0.1336598204201172</v>
      </c>
      <c r="Q25" s="80">
        <f t="shared" si="14"/>
        <v>1.9356187429408205</v>
      </c>
      <c r="R25" s="80">
        <f t="shared" ca="1" si="15"/>
        <v>2.2023750588728026</v>
      </c>
      <c r="S25" s="81">
        <f t="shared" ca="1" si="16"/>
        <v>0</v>
      </c>
      <c r="T25" s="83"/>
      <c r="U25" s="89"/>
      <c r="V25" s="89"/>
      <c r="W25" s="89"/>
      <c r="X25" s="89"/>
      <c r="Y25" s="89"/>
      <c r="Z25" s="89"/>
      <c r="AA25" s="89"/>
      <c r="AB25" s="89"/>
      <c r="AC25" s="89"/>
      <c r="AD25" s="89"/>
      <c r="AE25" s="89"/>
      <c r="AF25" s="89"/>
      <c r="AG25" s="89"/>
      <c r="AH25" s="89"/>
      <c r="AI25" s="89"/>
      <c r="AJ25" s="89"/>
      <c r="AK25" s="89"/>
      <c r="AL25" s="89"/>
      <c r="AM25" s="89"/>
      <c r="AN25" s="89"/>
      <c r="AO25" s="89"/>
      <c r="AP25" s="89"/>
      <c r="AQ25" s="89"/>
      <c r="AR25" s="89"/>
      <c r="AS25" s="89"/>
    </row>
    <row r="26" spans="1:45" x14ac:dyDescent="0.25">
      <c r="A26" s="32">
        <v>43916</v>
      </c>
      <c r="B26" s="33" t="str">
        <f t="shared" ca="1" si="0"/>
        <v/>
      </c>
      <c r="C26" s="51">
        <v>23</v>
      </c>
      <c r="D26" s="35">
        <f>DANE!D26</f>
        <v>170</v>
      </c>
      <c r="E26" s="52">
        <f t="shared" si="8"/>
        <v>1221</v>
      </c>
      <c r="F26" s="37">
        <f>DANE!E26</f>
        <v>3</v>
      </c>
      <c r="G26" s="53">
        <f t="shared" si="9"/>
        <v>16</v>
      </c>
      <c r="H26" s="39">
        <f t="shared" si="4"/>
        <v>0</v>
      </c>
      <c r="I26" s="40">
        <f>DANE!F26</f>
        <v>1</v>
      </c>
      <c r="J26" s="54">
        <f t="shared" si="5"/>
        <v>167</v>
      </c>
      <c r="K26" s="42">
        <f t="shared" si="10"/>
        <v>1204</v>
      </c>
      <c r="L26" s="79">
        <f t="shared" ca="1" si="11"/>
        <v>123.71428571428571</v>
      </c>
      <c r="M26" s="44">
        <f t="shared" si="6"/>
        <v>94.117647058823522</v>
      </c>
      <c r="N26" s="45">
        <f t="shared" si="7"/>
        <v>1.3104013104013106</v>
      </c>
      <c r="O26" s="46">
        <f t="shared" si="12"/>
        <v>697.11508508537941</v>
      </c>
      <c r="P26" s="46">
        <f t="shared" si="13"/>
        <v>0.13358018522783072</v>
      </c>
      <c r="Q26" s="80">
        <f t="shared" si="14"/>
        <v>1.9350612965948151</v>
      </c>
      <c r="R26" s="80">
        <f t="shared" ca="1" si="15"/>
        <v>2.1448362575912516</v>
      </c>
      <c r="S26" s="81">
        <f t="shared" ca="1" si="16"/>
        <v>-6.0000000000000053E-2</v>
      </c>
      <c r="T26" s="83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</row>
    <row r="27" spans="1:45" x14ac:dyDescent="0.25">
      <c r="A27" s="32">
        <v>43917</v>
      </c>
      <c r="B27" s="33" t="str">
        <f t="shared" ca="1" si="0"/>
        <v/>
      </c>
      <c r="C27" s="51">
        <v>24</v>
      </c>
      <c r="D27" s="35">
        <f>DANE!D27</f>
        <v>168</v>
      </c>
      <c r="E27" s="52">
        <f t="shared" si="8"/>
        <v>1389</v>
      </c>
      <c r="F27" s="37">
        <f>DANE!E27</f>
        <v>0</v>
      </c>
      <c r="G27" s="53">
        <f t="shared" si="9"/>
        <v>16</v>
      </c>
      <c r="H27" s="39">
        <f t="shared" si="4"/>
        <v>0</v>
      </c>
      <c r="I27" s="40">
        <f>DANE!F27</f>
        <v>1</v>
      </c>
      <c r="J27" s="54">
        <f t="shared" si="5"/>
        <v>168</v>
      </c>
      <c r="K27" s="42">
        <f t="shared" si="10"/>
        <v>1372</v>
      </c>
      <c r="L27" s="79">
        <f t="shared" ca="1" si="11"/>
        <v>137.71428571428572</v>
      </c>
      <c r="M27" s="44">
        <f t="shared" si="6"/>
        <v>94.117647058823522</v>
      </c>
      <c r="N27" s="45">
        <f t="shared" si="7"/>
        <v>1.1519078473722102</v>
      </c>
      <c r="O27" s="46">
        <f t="shared" si="12"/>
        <v>765.52721578746809</v>
      </c>
      <c r="P27" s="46">
        <f t="shared" si="13"/>
        <v>9.8136064138835688E-2</v>
      </c>
      <c r="Q27" s="80">
        <f t="shared" si="14"/>
        <v>1.6869524489718497</v>
      </c>
      <c r="R27" s="80">
        <f t="shared" ca="1" si="15"/>
        <v>2.0971941891909824</v>
      </c>
      <c r="S27" s="81">
        <f t="shared" ca="1" si="16"/>
        <v>-4.0000000000000036E-2</v>
      </c>
      <c r="T27" s="83"/>
      <c r="U27" s="89"/>
      <c r="V27" s="89"/>
      <c r="W27" s="89"/>
      <c r="X27" s="89"/>
      <c r="Y27" s="89"/>
      <c r="Z27" s="89"/>
      <c r="AA27" s="89"/>
      <c r="AB27" s="89"/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89"/>
    </row>
    <row r="28" spans="1:45" x14ac:dyDescent="0.25">
      <c r="A28" s="61">
        <v>43918</v>
      </c>
      <c r="B28" s="62" t="str">
        <f t="shared" ca="1" si="0"/>
        <v/>
      </c>
      <c r="C28" s="12">
        <v>25</v>
      </c>
      <c r="D28" s="63">
        <f>DANE!D28</f>
        <v>249</v>
      </c>
      <c r="E28" s="64">
        <f t="shared" si="8"/>
        <v>1638</v>
      </c>
      <c r="F28" s="65">
        <f>DANE!E28</f>
        <v>2</v>
      </c>
      <c r="G28" s="66">
        <f t="shared" si="9"/>
        <v>18</v>
      </c>
      <c r="H28" s="67">
        <f t="shared" si="4"/>
        <v>0</v>
      </c>
      <c r="I28" s="68">
        <f>DANE!F28</f>
        <v>1</v>
      </c>
      <c r="J28" s="54">
        <f t="shared" si="5"/>
        <v>247</v>
      </c>
      <c r="K28" s="69">
        <f t="shared" si="10"/>
        <v>1619</v>
      </c>
      <c r="L28" s="84">
        <f t="shared" ca="1" si="11"/>
        <v>157.42857142857142</v>
      </c>
      <c r="M28" s="44">
        <f t="shared" si="6"/>
        <v>94.73684210526315</v>
      </c>
      <c r="N28" s="45">
        <f t="shared" si="7"/>
        <v>1.098901098901099</v>
      </c>
      <c r="O28" s="71">
        <f t="shared" si="12"/>
        <v>905.16618496068702</v>
      </c>
      <c r="P28" s="71">
        <f t="shared" si="13"/>
        <v>0.18240888931633573</v>
      </c>
      <c r="Q28" s="85">
        <f t="shared" si="14"/>
        <v>2.2768622252143502</v>
      </c>
      <c r="R28" s="85">
        <f t="shared" ca="1" si="15"/>
        <v>2.0229997441928167</v>
      </c>
      <c r="S28" s="86">
        <f t="shared" ca="1" si="16"/>
        <v>-8.0000000000000071E-2</v>
      </c>
      <c r="T28" s="87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</row>
    <row r="29" spans="1:45" x14ac:dyDescent="0.25">
      <c r="A29" s="61">
        <v>43919</v>
      </c>
      <c r="B29" s="62" t="str">
        <f t="shared" ca="1" si="0"/>
        <v/>
      </c>
      <c r="C29" s="12">
        <v>26</v>
      </c>
      <c r="D29" s="63">
        <f>DANE!D29</f>
        <v>224</v>
      </c>
      <c r="E29" s="64">
        <f t="shared" si="8"/>
        <v>1862</v>
      </c>
      <c r="F29" s="65">
        <f>DANE!E29</f>
        <v>4</v>
      </c>
      <c r="G29" s="66">
        <f t="shared" si="9"/>
        <v>22</v>
      </c>
      <c r="H29" s="67">
        <f t="shared" si="4"/>
        <v>0</v>
      </c>
      <c r="I29" s="68">
        <f>DANE!F29</f>
        <v>1</v>
      </c>
      <c r="J29" s="54">
        <f t="shared" si="5"/>
        <v>220</v>
      </c>
      <c r="K29" s="69">
        <f t="shared" si="10"/>
        <v>1839</v>
      </c>
      <c r="L29" s="84">
        <f t="shared" ca="1" si="11"/>
        <v>175.42857142857142</v>
      </c>
      <c r="M29" s="44">
        <f t="shared" si="6"/>
        <v>95.652173913043484</v>
      </c>
      <c r="N29" s="45">
        <f t="shared" si="7"/>
        <v>1.1815252416756177</v>
      </c>
      <c r="O29" s="71">
        <f t="shared" si="12"/>
        <v>999.85672996630319</v>
      </c>
      <c r="P29" s="71">
        <f t="shared" si="13"/>
        <v>0.10461122673261236</v>
      </c>
      <c r="Q29" s="85">
        <f t="shared" si="14"/>
        <v>1.7322785871282864</v>
      </c>
      <c r="R29" s="85">
        <f t="shared" ca="1" si="15"/>
        <v>1.9898092868859643</v>
      </c>
      <c r="S29" s="86">
        <f t="shared" ca="1" si="16"/>
        <v>-3.0000000000000027E-2</v>
      </c>
      <c r="T29" s="87"/>
      <c r="U29" s="90"/>
      <c r="V29" s="90"/>
      <c r="W29" s="90"/>
      <c r="X29" s="90"/>
      <c r="Y29" s="90"/>
      <c r="Z29" s="90"/>
      <c r="AA29" s="90"/>
      <c r="AB29" s="9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</row>
    <row r="30" spans="1:45" x14ac:dyDescent="0.25">
      <c r="A30" s="32">
        <v>43920</v>
      </c>
      <c r="B30" s="33" t="str">
        <f t="shared" ca="1" si="0"/>
        <v/>
      </c>
      <c r="C30" s="51">
        <v>27</v>
      </c>
      <c r="D30" s="35">
        <f>DANE!D30</f>
        <v>193</v>
      </c>
      <c r="E30" s="52">
        <f t="shared" si="8"/>
        <v>2055</v>
      </c>
      <c r="F30" s="37">
        <f>DANE!E30</f>
        <v>9</v>
      </c>
      <c r="G30" s="53">
        <f t="shared" si="9"/>
        <v>31</v>
      </c>
      <c r="H30" s="39">
        <f t="shared" si="4"/>
        <v>0</v>
      </c>
      <c r="I30" s="40">
        <f>DANE!F30</f>
        <v>1</v>
      </c>
      <c r="J30" s="54">
        <f t="shared" si="5"/>
        <v>184</v>
      </c>
      <c r="K30" s="42">
        <f t="shared" si="10"/>
        <v>2023</v>
      </c>
      <c r="L30" s="79">
        <f t="shared" ca="1" si="11"/>
        <v>186.57142857142858</v>
      </c>
      <c r="M30" s="44">
        <f t="shared" si="6"/>
        <v>96.875</v>
      </c>
      <c r="N30" s="45">
        <f t="shared" si="7"/>
        <v>1.5085158150851581</v>
      </c>
      <c r="O30" s="46">
        <f t="shared" si="12"/>
        <v>1050.0200542568314</v>
      </c>
      <c r="P30" s="46">
        <f t="shared" si="13"/>
        <v>5.0170512221504739E-2</v>
      </c>
      <c r="Q30" s="80">
        <f t="shared" si="14"/>
        <v>1.3511935855505333</v>
      </c>
      <c r="R30" s="80">
        <f t="shared" ca="1" si="15"/>
        <v>1.8933800476865366</v>
      </c>
      <c r="S30" s="81">
        <f t="shared" ca="1" si="16"/>
        <v>-0.10000000000000009</v>
      </c>
      <c r="T30" s="83"/>
      <c r="U30" s="376"/>
      <c r="V30" s="372"/>
      <c r="W30" s="372"/>
      <c r="X30" s="372"/>
      <c r="Y30" s="372"/>
      <c r="Z30" s="372"/>
      <c r="AA30" s="372"/>
      <c r="AB30" s="372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</row>
    <row r="31" spans="1:45" x14ac:dyDescent="0.25">
      <c r="A31" s="32">
        <v>43921</v>
      </c>
      <c r="B31" s="33" t="str">
        <f t="shared" ca="1" si="0"/>
        <v/>
      </c>
      <c r="C31" s="51">
        <v>28</v>
      </c>
      <c r="D31" s="35">
        <f>DANE!D31</f>
        <v>256</v>
      </c>
      <c r="E31" s="52">
        <f t="shared" si="8"/>
        <v>2311</v>
      </c>
      <c r="F31" s="37">
        <f>DANE!E31</f>
        <v>2</v>
      </c>
      <c r="G31" s="53">
        <f t="shared" si="9"/>
        <v>33</v>
      </c>
      <c r="H31" s="39">
        <f t="shared" si="4"/>
        <v>0</v>
      </c>
      <c r="I31" s="40">
        <f>DANE!F31</f>
        <v>1</v>
      </c>
      <c r="J31" s="54">
        <f t="shared" si="5"/>
        <v>254</v>
      </c>
      <c r="K31" s="42">
        <f t="shared" si="10"/>
        <v>2277</v>
      </c>
      <c r="L31" s="79">
        <f t="shared" ca="1" si="11"/>
        <v>201.42857142857142</v>
      </c>
      <c r="M31" s="44">
        <f t="shared" si="6"/>
        <v>97.058823529411768</v>
      </c>
      <c r="N31" s="45">
        <f t="shared" si="7"/>
        <v>1.4279532669839896</v>
      </c>
      <c r="O31" s="46">
        <f t="shared" si="12"/>
        <v>1156.0171893629984</v>
      </c>
      <c r="P31" s="46">
        <f t="shared" si="13"/>
        <v>0.1009477244519755</v>
      </c>
      <c r="Q31" s="80">
        <f t="shared" si="14"/>
        <v>1.7066340711638286</v>
      </c>
      <c r="R31" s="80">
        <f t="shared" ca="1" si="15"/>
        <v>1.8035144225092117</v>
      </c>
      <c r="S31" s="81">
        <f t="shared" ca="1" si="16"/>
        <v>-8.9999999999999858E-2</v>
      </c>
      <c r="T31" s="83"/>
      <c r="U31" s="376"/>
      <c r="V31" s="372"/>
      <c r="W31" s="372"/>
      <c r="X31" s="372"/>
      <c r="Y31" s="372"/>
      <c r="Z31" s="372"/>
      <c r="AA31" s="372"/>
      <c r="AB31" s="372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</row>
    <row r="32" spans="1:45" x14ac:dyDescent="0.25">
      <c r="A32" s="32">
        <v>43922</v>
      </c>
      <c r="B32" s="33" t="str">
        <f t="shared" ca="1" si="0"/>
        <v/>
      </c>
      <c r="C32" s="51">
        <v>29</v>
      </c>
      <c r="D32" s="35">
        <f>DANE!D32</f>
        <v>243</v>
      </c>
      <c r="E32" s="52">
        <f t="shared" si="8"/>
        <v>2554</v>
      </c>
      <c r="F32" s="37">
        <f>DANE!E32</f>
        <v>10</v>
      </c>
      <c r="G32" s="53">
        <f t="shared" si="9"/>
        <v>43</v>
      </c>
      <c r="H32" s="39">
        <f t="shared" si="4"/>
        <v>0</v>
      </c>
      <c r="I32" s="40">
        <f>DANE!F32</f>
        <v>1</v>
      </c>
      <c r="J32" s="54">
        <f t="shared" si="5"/>
        <v>233</v>
      </c>
      <c r="K32" s="42">
        <f t="shared" si="10"/>
        <v>2510</v>
      </c>
      <c r="L32" s="79">
        <f t="shared" ca="1" si="11"/>
        <v>214.71428571428572</v>
      </c>
      <c r="M32" s="44">
        <f t="shared" si="6"/>
        <v>97.727272727272734</v>
      </c>
      <c r="N32" s="45">
        <f t="shared" si="7"/>
        <v>1.6836335160532498</v>
      </c>
      <c r="O32" s="46">
        <f t="shared" si="12"/>
        <v>1233.8718765968558</v>
      </c>
      <c r="P32" s="46">
        <f t="shared" si="13"/>
        <v>6.7347343923802594E-2</v>
      </c>
      <c r="Q32" s="80">
        <f t="shared" si="14"/>
        <v>1.4714314074666182</v>
      </c>
      <c r="R32" s="80">
        <f t="shared" ca="1" si="15"/>
        <v>1.7372019460128971</v>
      </c>
      <c r="S32" s="81">
        <f t="shared" ca="1" si="16"/>
        <v>-6.0000000000000053E-2</v>
      </c>
      <c r="T32" s="50"/>
      <c r="U32" s="50"/>
      <c r="V32" s="92"/>
      <c r="W32" s="92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</row>
    <row r="33" spans="1:45" x14ac:dyDescent="0.25">
      <c r="A33" s="32">
        <v>43923</v>
      </c>
      <c r="B33" s="33" t="str">
        <f t="shared" ca="1" si="0"/>
        <v/>
      </c>
      <c r="C33" s="51">
        <v>30</v>
      </c>
      <c r="D33" s="35">
        <f>DANE!D33</f>
        <v>392</v>
      </c>
      <c r="E33" s="52">
        <f t="shared" si="8"/>
        <v>2946</v>
      </c>
      <c r="F33" s="37">
        <f>DANE!E33</f>
        <v>14</v>
      </c>
      <c r="G33" s="53">
        <f t="shared" si="9"/>
        <v>57</v>
      </c>
      <c r="H33" s="39">
        <f t="shared" si="4"/>
        <v>0</v>
      </c>
      <c r="I33" s="40">
        <f>DANE!F33</f>
        <v>1</v>
      </c>
      <c r="J33" s="54">
        <f t="shared" si="5"/>
        <v>378</v>
      </c>
      <c r="K33" s="42">
        <f t="shared" si="10"/>
        <v>2888</v>
      </c>
      <c r="L33" s="79">
        <f t="shared" ca="1" si="11"/>
        <v>246.42857142857142</v>
      </c>
      <c r="M33" s="44">
        <f t="shared" si="6"/>
        <v>98.275862068965509</v>
      </c>
      <c r="N33" s="45">
        <f t="shared" si="7"/>
        <v>1.9348268839103868</v>
      </c>
      <c r="O33" s="46">
        <f t="shared" si="12"/>
        <v>1449.6044656544479</v>
      </c>
      <c r="P33" s="46">
        <f t="shared" si="13"/>
        <v>0.1748419695346364</v>
      </c>
      <c r="Q33" s="80">
        <f t="shared" si="14"/>
        <v>2.2238937867424546</v>
      </c>
      <c r="R33" s="80">
        <f t="shared" ca="1" si="15"/>
        <v>1.7784637303197026</v>
      </c>
      <c r="S33" s="81">
        <f t="shared" ca="1" si="16"/>
        <v>4.0000000000000036E-2</v>
      </c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</row>
    <row r="34" spans="1:45" x14ac:dyDescent="0.25">
      <c r="A34" s="32">
        <v>43924</v>
      </c>
      <c r="B34" s="33" t="str">
        <f t="shared" ca="1" si="0"/>
        <v/>
      </c>
      <c r="C34" s="51">
        <v>31</v>
      </c>
      <c r="D34" s="35">
        <f>DANE!D34</f>
        <v>437</v>
      </c>
      <c r="E34" s="52">
        <f t="shared" si="8"/>
        <v>3383</v>
      </c>
      <c r="F34" s="37">
        <f>DANE!E34</f>
        <v>14</v>
      </c>
      <c r="G34" s="53">
        <f t="shared" si="9"/>
        <v>71</v>
      </c>
      <c r="H34" s="39">
        <f t="shared" si="4"/>
        <v>0</v>
      </c>
      <c r="I34" s="40">
        <f>DANE!F34</f>
        <v>1</v>
      </c>
      <c r="J34" s="54">
        <f t="shared" si="5"/>
        <v>423</v>
      </c>
      <c r="K34" s="42">
        <f t="shared" si="10"/>
        <v>3311</v>
      </c>
      <c r="L34" s="79">
        <f t="shared" ca="1" si="11"/>
        <v>284.85714285714283</v>
      </c>
      <c r="M34" s="44">
        <f t="shared" si="6"/>
        <v>98.611111111111114</v>
      </c>
      <c r="N34" s="45">
        <f t="shared" si="7"/>
        <v>2.0987289388117056</v>
      </c>
      <c r="O34" s="46">
        <f t="shared" si="12"/>
        <v>1679.5181134180984</v>
      </c>
      <c r="P34" s="46">
        <f t="shared" si="13"/>
        <v>0.15860440086313626</v>
      </c>
      <c r="Q34" s="80">
        <f t="shared" si="14"/>
        <v>2.1102308060419537</v>
      </c>
      <c r="R34" s="80">
        <f t="shared" ca="1" si="15"/>
        <v>1.8389320670440037</v>
      </c>
      <c r="S34" s="81">
        <f t="shared" ca="1" si="16"/>
        <v>6.0000000000000053E-2</v>
      </c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</row>
    <row r="35" spans="1:45" x14ac:dyDescent="0.25">
      <c r="A35" s="61">
        <v>43925</v>
      </c>
      <c r="B35" s="62" t="str">
        <f t="shared" ca="1" si="0"/>
        <v/>
      </c>
      <c r="C35" s="12">
        <v>32</v>
      </c>
      <c r="D35" s="63">
        <f>DANE!D35</f>
        <v>244</v>
      </c>
      <c r="E35" s="64">
        <f t="shared" si="8"/>
        <v>3627</v>
      </c>
      <c r="F35" s="65">
        <f>DANE!E35</f>
        <v>8</v>
      </c>
      <c r="G35" s="66">
        <f t="shared" si="9"/>
        <v>79</v>
      </c>
      <c r="H35" s="67">
        <f t="shared" si="4"/>
        <v>115</v>
      </c>
      <c r="I35" s="68">
        <f>DANE!F35</f>
        <v>116</v>
      </c>
      <c r="J35" s="54">
        <f t="shared" si="5"/>
        <v>121</v>
      </c>
      <c r="K35" s="69">
        <f t="shared" si="10"/>
        <v>3432</v>
      </c>
      <c r="L35" s="84">
        <f t="shared" ca="1" si="11"/>
        <v>284.14285714285717</v>
      </c>
      <c r="M35" s="44">
        <f t="shared" si="6"/>
        <v>40.512820512820511</v>
      </c>
      <c r="N35" s="45">
        <f t="shared" si="7"/>
        <v>2.1781086297215331</v>
      </c>
      <c r="O35" s="71">
        <f t="shared" si="12"/>
        <v>1683.5869543583701</v>
      </c>
      <c r="P35" s="71">
        <f t="shared" si="13"/>
        <v>2.4226240299313694E-3</v>
      </c>
      <c r="Q35" s="85">
        <f t="shared" si="14"/>
        <v>1.0169583682095196</v>
      </c>
      <c r="R35" s="85">
        <f t="shared" ca="1" si="15"/>
        <v>1.6589458017575989</v>
      </c>
      <c r="S35" s="86">
        <f t="shared" ca="1" si="16"/>
        <v>-0.18000000000000016</v>
      </c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</row>
    <row r="36" spans="1:45" x14ac:dyDescent="0.25">
      <c r="A36" s="61">
        <v>43926</v>
      </c>
      <c r="B36" s="62" t="str">
        <f t="shared" ca="1" si="0"/>
        <v/>
      </c>
      <c r="C36" s="12">
        <v>33</v>
      </c>
      <c r="D36" s="63">
        <f>DANE!D36</f>
        <v>475</v>
      </c>
      <c r="E36" s="64">
        <f t="shared" si="8"/>
        <v>4102</v>
      </c>
      <c r="F36" s="65">
        <f>DANE!E36</f>
        <v>15</v>
      </c>
      <c r="G36" s="66">
        <f t="shared" si="9"/>
        <v>94</v>
      </c>
      <c r="H36" s="67">
        <f t="shared" si="4"/>
        <v>18</v>
      </c>
      <c r="I36" s="68">
        <f>DANE!F36</f>
        <v>134</v>
      </c>
      <c r="J36" s="54">
        <f t="shared" si="5"/>
        <v>442</v>
      </c>
      <c r="K36" s="69">
        <f t="shared" si="10"/>
        <v>3874</v>
      </c>
      <c r="L36" s="84">
        <f t="shared" ca="1" si="11"/>
        <v>320</v>
      </c>
      <c r="M36" s="44">
        <f t="shared" si="6"/>
        <v>41.228070175438596</v>
      </c>
      <c r="N36" s="45">
        <f t="shared" si="7"/>
        <v>2.2915650901999025</v>
      </c>
      <c r="O36" s="71">
        <f t="shared" si="12"/>
        <v>1918.0745323071744</v>
      </c>
      <c r="P36" s="71">
        <f t="shared" si="13"/>
        <v>0.13927856671838468</v>
      </c>
      <c r="Q36" s="85">
        <f t="shared" si="14"/>
        <v>1.9749499670286927</v>
      </c>
      <c r="R36" s="85">
        <f t="shared" ca="1" si="15"/>
        <v>1.6936131417433715</v>
      </c>
      <c r="S36" s="86">
        <f t="shared" ca="1" si="16"/>
        <v>3.0000000000000027E-2</v>
      </c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</row>
    <row r="37" spans="1:45" x14ac:dyDescent="0.25">
      <c r="A37" s="32">
        <v>43927</v>
      </c>
      <c r="B37" s="33" t="str">
        <f t="shared" ca="1" si="0"/>
        <v/>
      </c>
      <c r="C37" s="51">
        <v>34</v>
      </c>
      <c r="D37" s="35">
        <f>DANE!D37</f>
        <v>311</v>
      </c>
      <c r="E37" s="52">
        <f t="shared" si="8"/>
        <v>4413</v>
      </c>
      <c r="F37" s="37">
        <f>DANE!E37</f>
        <v>13</v>
      </c>
      <c r="G37" s="53">
        <f t="shared" si="9"/>
        <v>107</v>
      </c>
      <c r="H37" s="39">
        <f t="shared" si="4"/>
        <v>28</v>
      </c>
      <c r="I37" s="40">
        <f>DANE!F37</f>
        <v>162</v>
      </c>
      <c r="J37" s="54">
        <f t="shared" si="5"/>
        <v>270</v>
      </c>
      <c r="K37" s="42">
        <f t="shared" si="10"/>
        <v>4144</v>
      </c>
      <c r="L37" s="79">
        <f t="shared" ca="1" si="11"/>
        <v>336.85714285714283</v>
      </c>
      <c r="M37" s="44">
        <f t="shared" si="6"/>
        <v>39.776951672862452</v>
      </c>
      <c r="N37" s="45">
        <f t="shared" si="7"/>
        <v>2.4246544300929074</v>
      </c>
      <c r="O37" s="46">
        <f t="shared" si="12"/>
        <v>1955.063884834721</v>
      </c>
      <c r="P37" s="46">
        <f t="shared" si="13"/>
        <v>1.9284627320010107E-2</v>
      </c>
      <c r="Q37" s="80">
        <f t="shared" si="14"/>
        <v>1.1349923912400708</v>
      </c>
      <c r="R37" s="80">
        <f t="shared" ca="1" si="15"/>
        <v>1.6627272568418767</v>
      </c>
      <c r="S37" s="81">
        <f t="shared" ca="1" si="16"/>
        <v>-3.0000000000000027E-2</v>
      </c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</row>
    <row r="38" spans="1:45" x14ac:dyDescent="0.25">
      <c r="A38" s="32">
        <v>43928</v>
      </c>
      <c r="B38" s="33" t="str">
        <f t="shared" ca="1" si="0"/>
        <v/>
      </c>
      <c r="C38" s="51">
        <v>35</v>
      </c>
      <c r="D38" s="35">
        <f>DANE!D38</f>
        <v>435</v>
      </c>
      <c r="E38" s="52">
        <f t="shared" si="8"/>
        <v>4848</v>
      </c>
      <c r="F38" s="37">
        <f>DANE!E38</f>
        <v>22</v>
      </c>
      <c r="G38" s="53">
        <f t="shared" si="9"/>
        <v>129</v>
      </c>
      <c r="H38" s="39">
        <f t="shared" si="4"/>
        <v>29</v>
      </c>
      <c r="I38" s="40">
        <f>DANE!F38</f>
        <v>191</v>
      </c>
      <c r="J38" s="54">
        <f t="shared" si="5"/>
        <v>384</v>
      </c>
      <c r="K38" s="42">
        <f t="shared" si="10"/>
        <v>4528</v>
      </c>
      <c r="L38" s="79">
        <f t="shared" ca="1" si="11"/>
        <v>362.42857142857144</v>
      </c>
      <c r="M38" s="44">
        <f t="shared" si="6"/>
        <v>40.3125</v>
      </c>
      <c r="N38" s="45">
        <f t="shared" si="7"/>
        <v>2.6608910891089108</v>
      </c>
      <c r="O38" s="46">
        <f t="shared" si="12"/>
        <v>2110.7690441440463</v>
      </c>
      <c r="P38" s="46">
        <f t="shared" si="13"/>
        <v>7.9641980252982136E-2</v>
      </c>
      <c r="Q38" s="80">
        <f t="shared" si="14"/>
        <v>1.5574938617708751</v>
      </c>
      <c r="R38" s="80">
        <f t="shared" ca="1" si="15"/>
        <v>1.6414215126428837</v>
      </c>
      <c r="S38" s="81">
        <f t="shared" ca="1" si="16"/>
        <v>-2.0000000000000018E-2</v>
      </c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</row>
    <row r="39" spans="1:45" x14ac:dyDescent="0.25">
      <c r="A39" s="32">
        <v>43929</v>
      </c>
      <c r="B39" s="33" t="str">
        <f t="shared" ca="1" si="0"/>
        <v/>
      </c>
      <c r="C39" s="51">
        <v>36</v>
      </c>
      <c r="D39" s="35">
        <f>DANE!D39</f>
        <v>357</v>
      </c>
      <c r="E39" s="52">
        <f t="shared" si="8"/>
        <v>5205</v>
      </c>
      <c r="F39" s="37">
        <f>DANE!E39</f>
        <v>29</v>
      </c>
      <c r="G39" s="53">
        <f t="shared" si="9"/>
        <v>158</v>
      </c>
      <c r="H39" s="39">
        <f t="shared" si="4"/>
        <v>31</v>
      </c>
      <c r="I39" s="40">
        <f>DANE!F39</f>
        <v>222</v>
      </c>
      <c r="J39" s="54">
        <f t="shared" si="5"/>
        <v>297</v>
      </c>
      <c r="K39" s="42">
        <f t="shared" si="10"/>
        <v>4825</v>
      </c>
      <c r="L39" s="79">
        <f t="shared" ca="1" si="11"/>
        <v>378.71428571428572</v>
      </c>
      <c r="M39" s="44">
        <f t="shared" si="6"/>
        <v>41.578947368421055</v>
      </c>
      <c r="N39" s="45">
        <f t="shared" si="7"/>
        <v>3.0355427473583094</v>
      </c>
      <c r="O39" s="46">
        <f t="shared" si="12"/>
        <v>2166.2306092663257</v>
      </c>
      <c r="P39" s="46">
        <f t="shared" si="13"/>
        <v>2.6275525158068625E-2</v>
      </c>
      <c r="Q39" s="80">
        <f t="shared" si="14"/>
        <v>1.1839286761064804</v>
      </c>
      <c r="R39" s="80">
        <f t="shared" ca="1" si="15"/>
        <v>1.6003496938771493</v>
      </c>
      <c r="S39" s="81">
        <f t="shared" ca="1" si="16"/>
        <v>-3.9999999999999813E-2</v>
      </c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</row>
    <row r="40" spans="1:45" x14ac:dyDescent="0.25">
      <c r="A40" s="32">
        <v>43930</v>
      </c>
      <c r="B40" s="33" t="str">
        <f t="shared" ca="1" si="0"/>
        <v/>
      </c>
      <c r="C40" s="51">
        <v>37</v>
      </c>
      <c r="D40" s="35">
        <f>DANE!D40</f>
        <v>370</v>
      </c>
      <c r="E40" s="52">
        <f t="shared" si="8"/>
        <v>5575</v>
      </c>
      <c r="F40" s="37">
        <f>DANE!E40</f>
        <v>16</v>
      </c>
      <c r="G40" s="53">
        <f t="shared" si="9"/>
        <v>174</v>
      </c>
      <c r="H40" s="39">
        <f t="shared" si="4"/>
        <v>62</v>
      </c>
      <c r="I40" s="40">
        <f>DANE!F40</f>
        <v>284</v>
      </c>
      <c r="J40" s="54">
        <f t="shared" si="5"/>
        <v>292</v>
      </c>
      <c r="K40" s="42">
        <f t="shared" si="10"/>
        <v>5117</v>
      </c>
      <c r="L40" s="79">
        <f t="shared" ca="1" si="11"/>
        <v>375.57142857142856</v>
      </c>
      <c r="M40" s="44">
        <f t="shared" si="6"/>
        <v>37.991266375545848</v>
      </c>
      <c r="N40" s="45">
        <f t="shared" si="7"/>
        <v>3.1210762331838566</v>
      </c>
      <c r="O40" s="46">
        <f t="shared" si="12"/>
        <v>2226.7690936568506</v>
      </c>
      <c r="P40" s="46">
        <f t="shared" si="13"/>
        <v>2.7946463378166603E-2</v>
      </c>
      <c r="Q40" s="80">
        <f t="shared" si="14"/>
        <v>1.1956252436471662</v>
      </c>
      <c r="R40" s="80">
        <f t="shared" ca="1" si="15"/>
        <v>1.4534541877206799</v>
      </c>
      <c r="S40" s="81">
        <f t="shared" ca="1" si="16"/>
        <v>-0.15000000000000013</v>
      </c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</row>
    <row r="41" spans="1:45" x14ac:dyDescent="0.25">
      <c r="A41" s="32">
        <v>43931</v>
      </c>
      <c r="B41" s="33" t="str">
        <f t="shared" ca="1" si="0"/>
        <v/>
      </c>
      <c r="C41" s="51">
        <v>38</v>
      </c>
      <c r="D41" s="35">
        <f>DANE!D41</f>
        <v>380</v>
      </c>
      <c r="E41" s="52">
        <f t="shared" si="8"/>
        <v>5955</v>
      </c>
      <c r="F41" s="37">
        <f>DANE!E41</f>
        <v>7</v>
      </c>
      <c r="G41" s="53">
        <f t="shared" si="9"/>
        <v>181</v>
      </c>
      <c r="H41" s="39">
        <f t="shared" si="4"/>
        <v>34</v>
      </c>
      <c r="I41" s="40">
        <f>DANE!F41</f>
        <v>318</v>
      </c>
      <c r="J41" s="54">
        <f t="shared" si="5"/>
        <v>339</v>
      </c>
      <c r="K41" s="42">
        <f t="shared" si="10"/>
        <v>5456</v>
      </c>
      <c r="L41" s="79">
        <f t="shared" ca="1" si="11"/>
        <v>367.42857142857144</v>
      </c>
      <c r="M41" s="44">
        <f t="shared" si="6"/>
        <v>36.272545090180358</v>
      </c>
      <c r="N41" s="45">
        <f t="shared" si="7"/>
        <v>3.0394626364399664</v>
      </c>
      <c r="O41" s="46">
        <f t="shared" si="12"/>
        <v>2288.6592231344434</v>
      </c>
      <c r="P41" s="46">
        <f t="shared" si="13"/>
        <v>2.7793689814490583E-2</v>
      </c>
      <c r="Q41" s="80">
        <f t="shared" si="14"/>
        <v>1.1945558287014342</v>
      </c>
      <c r="R41" s="80">
        <f t="shared" ca="1" si="15"/>
        <v>1.3226434766720341</v>
      </c>
      <c r="S41" s="81">
        <f t="shared" ca="1" si="16"/>
        <v>-0.12999999999999989</v>
      </c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</row>
    <row r="42" spans="1:45" x14ac:dyDescent="0.25">
      <c r="A42" s="61">
        <v>43932</v>
      </c>
      <c r="B42" s="62" t="str">
        <f t="shared" ca="1" si="0"/>
        <v/>
      </c>
      <c r="C42" s="12">
        <v>39</v>
      </c>
      <c r="D42" s="63">
        <f>DANE!D42</f>
        <v>401</v>
      </c>
      <c r="E42" s="64">
        <f t="shared" si="8"/>
        <v>6356</v>
      </c>
      <c r="F42" s="65">
        <f>DANE!E42</f>
        <v>27</v>
      </c>
      <c r="G42" s="66">
        <f t="shared" si="9"/>
        <v>208</v>
      </c>
      <c r="H42" s="67">
        <f t="shared" si="4"/>
        <v>57</v>
      </c>
      <c r="I42" s="68">
        <f>DANE!F42</f>
        <v>375</v>
      </c>
      <c r="J42" s="54">
        <f t="shared" si="5"/>
        <v>317</v>
      </c>
      <c r="K42" s="69">
        <f t="shared" si="10"/>
        <v>5773</v>
      </c>
      <c r="L42" s="84">
        <f t="shared" ca="1" si="11"/>
        <v>389.85714285714283</v>
      </c>
      <c r="M42" s="44">
        <f t="shared" si="6"/>
        <v>35.677530017152662</v>
      </c>
      <c r="N42" s="45">
        <f t="shared" si="7"/>
        <v>3.2724984266834483</v>
      </c>
      <c r="O42" s="71">
        <f t="shared" si="12"/>
        <v>2362.7079055438089</v>
      </c>
      <c r="P42" s="71">
        <f t="shared" si="13"/>
        <v>3.235461254382458E-2</v>
      </c>
      <c r="Q42" s="85">
        <f t="shared" si="14"/>
        <v>1.226482287806772</v>
      </c>
      <c r="R42" s="85">
        <f t="shared" ca="1" si="15"/>
        <v>1.3525754651859272</v>
      </c>
      <c r="S42" s="86">
        <f t="shared" ca="1" si="16"/>
        <v>3.0000000000000027E-2</v>
      </c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</row>
    <row r="43" spans="1:45" x14ac:dyDescent="0.25">
      <c r="A43" s="61">
        <v>43933</v>
      </c>
      <c r="B43" s="62" t="str">
        <f t="shared" ca="1" si="0"/>
        <v/>
      </c>
      <c r="C43" s="12">
        <v>40</v>
      </c>
      <c r="D43" s="63">
        <f>DANE!D43</f>
        <v>318</v>
      </c>
      <c r="E43" s="64">
        <f t="shared" si="8"/>
        <v>6674</v>
      </c>
      <c r="F43" s="65">
        <f>DANE!E43</f>
        <v>24</v>
      </c>
      <c r="G43" s="66">
        <f t="shared" si="9"/>
        <v>232</v>
      </c>
      <c r="H43" s="67">
        <f t="shared" si="4"/>
        <v>64</v>
      </c>
      <c r="I43" s="68">
        <f>DANE!F43</f>
        <v>439</v>
      </c>
      <c r="J43" s="54">
        <f t="shared" si="5"/>
        <v>230</v>
      </c>
      <c r="K43" s="69">
        <f t="shared" si="10"/>
        <v>6003</v>
      </c>
      <c r="L43" s="84">
        <f t="shared" ca="1" si="11"/>
        <v>367.42857142857144</v>
      </c>
      <c r="M43" s="44">
        <f t="shared" si="6"/>
        <v>34.575260804769002</v>
      </c>
      <c r="N43" s="45">
        <f t="shared" si="7"/>
        <v>3.4761762061732093</v>
      </c>
      <c r="O43" s="71">
        <f t="shared" si="12"/>
        <v>2343.1782047518363</v>
      </c>
      <c r="P43" s="71">
        <f t="shared" si="13"/>
        <v>-8.2658126068603267E-3</v>
      </c>
      <c r="Q43" s="85">
        <f t="shared" si="14"/>
        <v>0.94213931175197774</v>
      </c>
      <c r="R43" s="85">
        <f t="shared" ca="1" si="15"/>
        <v>1.2050310858606823</v>
      </c>
      <c r="S43" s="86">
        <f t="shared" ca="1" si="16"/>
        <v>-0.14000000000000012</v>
      </c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</row>
    <row r="44" spans="1:45" x14ac:dyDescent="0.25">
      <c r="A44" s="32">
        <v>43934</v>
      </c>
      <c r="B44" s="33" t="str">
        <f t="shared" ca="1" si="0"/>
        <v/>
      </c>
      <c r="C44" s="51">
        <v>41</v>
      </c>
      <c r="D44" s="35">
        <f>DANE!D44</f>
        <v>258</v>
      </c>
      <c r="E44" s="52">
        <f t="shared" si="8"/>
        <v>6932</v>
      </c>
      <c r="F44" s="37">
        <f>DANE!E44</f>
        <v>13</v>
      </c>
      <c r="G44" s="53">
        <f t="shared" si="9"/>
        <v>245</v>
      </c>
      <c r="H44" s="39">
        <f t="shared" si="4"/>
        <v>48</v>
      </c>
      <c r="I44" s="40">
        <f>DANE!F44</f>
        <v>487</v>
      </c>
      <c r="J44" s="54">
        <f t="shared" si="5"/>
        <v>197</v>
      </c>
      <c r="K44" s="42">
        <f t="shared" si="10"/>
        <v>6200</v>
      </c>
      <c r="L44" s="79">
        <f t="shared" ca="1" si="11"/>
        <v>359.85714285714283</v>
      </c>
      <c r="M44" s="44">
        <f t="shared" si="6"/>
        <v>33.469945355191257</v>
      </c>
      <c r="N44" s="45">
        <f t="shared" si="7"/>
        <v>3.5343335256780151</v>
      </c>
      <c r="O44" s="46">
        <f t="shared" si="12"/>
        <v>2266.4384612158601</v>
      </c>
      <c r="P44" s="46">
        <f t="shared" si="13"/>
        <v>-3.2750280529390489E-2</v>
      </c>
      <c r="Q44" s="80">
        <f t="shared" si="14"/>
        <v>0.77074803629426658</v>
      </c>
      <c r="R44" s="80">
        <f t="shared" ca="1" si="15"/>
        <v>1.1529961780112818</v>
      </c>
      <c r="S44" s="81">
        <f t="shared" ca="1" si="16"/>
        <v>-6.0000000000000053E-2</v>
      </c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</row>
    <row r="45" spans="1:45" x14ac:dyDescent="0.25">
      <c r="A45" s="32">
        <v>43935</v>
      </c>
      <c r="B45" s="33" t="str">
        <f t="shared" ca="1" si="0"/>
        <v/>
      </c>
      <c r="C45" s="51">
        <v>42</v>
      </c>
      <c r="D45" s="35">
        <f>DANE!D45</f>
        <v>270</v>
      </c>
      <c r="E45" s="52">
        <f t="shared" si="8"/>
        <v>7202</v>
      </c>
      <c r="F45" s="37">
        <f>DANE!E45</f>
        <v>18</v>
      </c>
      <c r="G45" s="53">
        <f t="shared" si="9"/>
        <v>263</v>
      </c>
      <c r="H45" s="39">
        <f t="shared" si="4"/>
        <v>131</v>
      </c>
      <c r="I45" s="40">
        <f>DANE!F45</f>
        <v>618</v>
      </c>
      <c r="J45" s="54">
        <f t="shared" si="5"/>
        <v>121</v>
      </c>
      <c r="K45" s="42">
        <f t="shared" si="10"/>
        <v>6321</v>
      </c>
      <c r="L45" s="79">
        <f t="shared" ca="1" si="11"/>
        <v>336.28571428571428</v>
      </c>
      <c r="M45" s="44">
        <f t="shared" si="6"/>
        <v>29.852440408626563</v>
      </c>
      <c r="N45" s="45">
        <f t="shared" si="7"/>
        <v>3.6517633990558176</v>
      </c>
      <c r="O45" s="46">
        <f t="shared" si="12"/>
        <v>2212.6615381850233</v>
      </c>
      <c r="P45" s="46">
        <f t="shared" si="13"/>
        <v>-2.3727501960052091E-2</v>
      </c>
      <c r="Q45" s="80">
        <f t="shared" si="14"/>
        <v>0.8339074862796354</v>
      </c>
      <c r="R45" s="80">
        <f t="shared" ca="1" si="15"/>
        <v>1.0496266957982476</v>
      </c>
      <c r="S45" s="81">
        <f t="shared" ca="1" si="16"/>
        <v>-9.9999999999999867E-2</v>
      </c>
      <c r="T45" s="82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</row>
    <row r="46" spans="1:45" x14ac:dyDescent="0.25">
      <c r="A46" s="32">
        <v>43936</v>
      </c>
      <c r="B46" s="33" t="str">
        <f t="shared" ca="1" si="0"/>
        <v/>
      </c>
      <c r="C46" s="51">
        <v>43</v>
      </c>
      <c r="D46" s="35">
        <f>DANE!D46</f>
        <v>380</v>
      </c>
      <c r="E46" s="52">
        <f t="shared" si="8"/>
        <v>7582</v>
      </c>
      <c r="F46" s="37">
        <f>DANE!E46</f>
        <v>23</v>
      </c>
      <c r="G46" s="53">
        <f t="shared" si="9"/>
        <v>286</v>
      </c>
      <c r="H46" s="39">
        <f t="shared" si="4"/>
        <v>50</v>
      </c>
      <c r="I46" s="40">
        <f>DANE!F46</f>
        <v>668</v>
      </c>
      <c r="J46" s="54">
        <f t="shared" si="5"/>
        <v>307</v>
      </c>
      <c r="K46" s="42">
        <f t="shared" si="10"/>
        <v>6628</v>
      </c>
      <c r="L46" s="79">
        <f t="shared" ca="1" si="11"/>
        <v>339.57142857142856</v>
      </c>
      <c r="M46" s="44">
        <f t="shared" si="6"/>
        <v>29.979035639412999</v>
      </c>
      <c r="N46" s="45">
        <f t="shared" si="7"/>
        <v>3.7720917963597991</v>
      </c>
      <c r="O46" s="46">
        <f t="shared" si="12"/>
        <v>2276.5670327300204</v>
      </c>
      <c r="P46" s="46">
        <f t="shared" si="13"/>
        <v>2.8881730640745319E-2</v>
      </c>
      <c r="Q46" s="80">
        <f t="shared" si="14"/>
        <v>1.2021721144852173</v>
      </c>
      <c r="R46" s="80">
        <f t="shared" ca="1" si="15"/>
        <v>1.0522329012809242</v>
      </c>
      <c r="S46" s="81">
        <f t="shared" ca="1" si="16"/>
        <v>0</v>
      </c>
      <c r="T46" s="83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</row>
    <row r="47" spans="1:45" x14ac:dyDescent="0.25">
      <c r="A47" s="32">
        <v>43937</v>
      </c>
      <c r="B47" s="33" t="str">
        <f t="shared" ca="1" si="0"/>
        <v/>
      </c>
      <c r="C47" s="51">
        <v>44</v>
      </c>
      <c r="D47" s="35">
        <f>DANE!D47</f>
        <v>336</v>
      </c>
      <c r="E47" s="52">
        <f t="shared" si="8"/>
        <v>7918</v>
      </c>
      <c r="F47" s="37">
        <f>DANE!E47</f>
        <v>28</v>
      </c>
      <c r="G47" s="53">
        <f t="shared" si="9"/>
        <v>314</v>
      </c>
      <c r="H47" s="39">
        <f t="shared" si="4"/>
        <v>106</v>
      </c>
      <c r="I47" s="40">
        <f>DANE!F47</f>
        <v>774</v>
      </c>
      <c r="J47" s="54">
        <f t="shared" si="5"/>
        <v>202</v>
      </c>
      <c r="K47" s="42">
        <f t="shared" si="10"/>
        <v>6830</v>
      </c>
      <c r="L47" s="79">
        <f t="shared" ca="1" si="11"/>
        <v>334.71428571428572</v>
      </c>
      <c r="M47" s="44">
        <f t="shared" si="6"/>
        <v>28.860294117647058</v>
      </c>
      <c r="N47" s="45">
        <f t="shared" si="7"/>
        <v>3.9656478908815358</v>
      </c>
      <c r="O47" s="46">
        <f t="shared" si="12"/>
        <v>2287.3431709114461</v>
      </c>
      <c r="P47" s="46">
        <f t="shared" si="13"/>
        <v>4.7335035720442462E-3</v>
      </c>
      <c r="Q47" s="80">
        <f t="shared" si="14"/>
        <v>1.0331345250043098</v>
      </c>
      <c r="R47" s="80">
        <f t="shared" ca="1" si="15"/>
        <v>1.0290199414748018</v>
      </c>
      <c r="S47" s="81">
        <f t="shared" ca="1" si="16"/>
        <v>-2.0000000000000018E-2</v>
      </c>
      <c r="T47" s="83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</row>
    <row r="48" spans="1:45" x14ac:dyDescent="0.25">
      <c r="A48" s="32">
        <v>43938</v>
      </c>
      <c r="B48" s="33" t="str">
        <f t="shared" ca="1" si="0"/>
        <v/>
      </c>
      <c r="C48" s="51">
        <v>45</v>
      </c>
      <c r="D48" s="35">
        <f>DANE!D48</f>
        <v>457</v>
      </c>
      <c r="E48" s="52">
        <f t="shared" si="8"/>
        <v>8375</v>
      </c>
      <c r="F48" s="37">
        <f>DANE!E48</f>
        <v>18</v>
      </c>
      <c r="G48" s="53">
        <f t="shared" si="9"/>
        <v>332</v>
      </c>
      <c r="H48" s="39">
        <f t="shared" si="4"/>
        <v>92</v>
      </c>
      <c r="I48" s="40">
        <f>DANE!F48</f>
        <v>866</v>
      </c>
      <c r="J48" s="54">
        <f t="shared" si="5"/>
        <v>347</v>
      </c>
      <c r="K48" s="42">
        <f t="shared" si="10"/>
        <v>7177</v>
      </c>
      <c r="L48" s="79">
        <f t="shared" ca="1" si="11"/>
        <v>345.71428571428572</v>
      </c>
      <c r="M48" s="44">
        <f t="shared" si="6"/>
        <v>27.712854757929883</v>
      </c>
      <c r="N48" s="45">
        <f t="shared" si="7"/>
        <v>3.9641791044776116</v>
      </c>
      <c r="O48" s="46">
        <f t="shared" si="12"/>
        <v>2417.5798607812394</v>
      </c>
      <c r="P48" s="46">
        <f t="shared" si="13"/>
        <v>5.6937975694262517E-2</v>
      </c>
      <c r="Q48" s="80">
        <f t="shared" si="14"/>
        <v>1.3985658298598376</v>
      </c>
      <c r="R48" s="80">
        <f t="shared" ca="1" si="15"/>
        <v>1.0581642273545737</v>
      </c>
      <c r="S48" s="81">
        <f t="shared" ca="1" si="16"/>
        <v>3.0000000000000027E-2</v>
      </c>
      <c r="T48" s="83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</row>
    <row r="49" spans="1:45" x14ac:dyDescent="0.25">
      <c r="A49" s="61">
        <v>43939</v>
      </c>
      <c r="B49" s="62" t="str">
        <f t="shared" ca="1" si="0"/>
        <v/>
      </c>
      <c r="C49" s="12">
        <v>46</v>
      </c>
      <c r="D49" s="63">
        <f>DANE!D49</f>
        <v>334</v>
      </c>
      <c r="E49" s="64">
        <f t="shared" si="8"/>
        <v>8709</v>
      </c>
      <c r="F49" s="65">
        <f>DANE!E49</f>
        <v>15</v>
      </c>
      <c r="G49" s="66">
        <f t="shared" si="9"/>
        <v>347</v>
      </c>
      <c r="H49" s="67">
        <f t="shared" si="4"/>
        <v>115</v>
      </c>
      <c r="I49" s="68">
        <f>DANE!F49</f>
        <v>981</v>
      </c>
      <c r="J49" s="54">
        <f t="shared" si="5"/>
        <v>204</v>
      </c>
      <c r="K49" s="69">
        <f t="shared" si="10"/>
        <v>7381</v>
      </c>
      <c r="L49" s="84">
        <f t="shared" ca="1" si="11"/>
        <v>336.14285714285717</v>
      </c>
      <c r="M49" s="44">
        <f t="shared" si="6"/>
        <v>26.129518072289155</v>
      </c>
      <c r="N49" s="45">
        <f t="shared" si="7"/>
        <v>3.984383970605121</v>
      </c>
      <c r="O49" s="71">
        <f t="shared" si="12"/>
        <v>2406.2113092410623</v>
      </c>
      <c r="P49" s="71">
        <f t="shared" si="13"/>
        <v>-4.7024512921378251E-3</v>
      </c>
      <c r="Q49" s="85">
        <f t="shared" si="14"/>
        <v>0.96708284095503527</v>
      </c>
      <c r="R49" s="85">
        <f t="shared" ca="1" si="15"/>
        <v>1.0211071635186113</v>
      </c>
      <c r="S49" s="86">
        <f t="shared" ca="1" si="16"/>
        <v>-4.0000000000000036E-2</v>
      </c>
      <c r="T49" s="87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</row>
    <row r="50" spans="1:45" x14ac:dyDescent="0.25">
      <c r="A50" s="61">
        <v>43940</v>
      </c>
      <c r="B50" s="62" t="str">
        <f t="shared" ca="1" si="0"/>
        <v/>
      </c>
      <c r="C50" s="12">
        <v>47</v>
      </c>
      <c r="D50" s="63">
        <f>DANE!D50</f>
        <v>515</v>
      </c>
      <c r="E50" s="64">
        <f t="shared" si="8"/>
        <v>9224</v>
      </c>
      <c r="F50" s="65">
        <f>DANE!E50</f>
        <v>13</v>
      </c>
      <c r="G50" s="66">
        <f t="shared" si="9"/>
        <v>360</v>
      </c>
      <c r="H50" s="67">
        <f t="shared" si="4"/>
        <v>59</v>
      </c>
      <c r="I50" s="68">
        <f>DANE!F50</f>
        <v>1040</v>
      </c>
      <c r="J50" s="54">
        <f t="shared" si="5"/>
        <v>443</v>
      </c>
      <c r="K50" s="69">
        <f t="shared" si="10"/>
        <v>7824</v>
      </c>
      <c r="L50" s="84">
        <f t="shared" ca="1" si="11"/>
        <v>364.28571428571428</v>
      </c>
      <c r="M50" s="44">
        <f t="shared" si="6"/>
        <v>25.714285714285712</v>
      </c>
      <c r="N50" s="45">
        <f t="shared" si="7"/>
        <v>3.9028620988725069</v>
      </c>
      <c r="O50" s="71">
        <f t="shared" si="12"/>
        <v>2577.4668364923391</v>
      </c>
      <c r="P50" s="71">
        <f t="shared" si="13"/>
        <v>7.1172272606969067E-2</v>
      </c>
      <c r="Q50" s="85">
        <f t="shared" si="14"/>
        <v>1.4982059082487835</v>
      </c>
      <c r="R50" s="85">
        <f t="shared" ca="1" si="15"/>
        <v>1.1005452487324408</v>
      </c>
      <c r="S50" s="86">
        <f t="shared" ca="1" si="16"/>
        <v>8.0000000000000071E-2</v>
      </c>
      <c r="T50" s="87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</row>
    <row r="51" spans="1:45" x14ac:dyDescent="0.25">
      <c r="A51" s="32">
        <v>43941</v>
      </c>
      <c r="B51" s="33" t="str">
        <f t="shared" ca="1" si="0"/>
        <v/>
      </c>
      <c r="C51" s="51">
        <v>48</v>
      </c>
      <c r="D51" s="35">
        <f>DANE!D51</f>
        <v>306</v>
      </c>
      <c r="E51" s="52">
        <f t="shared" si="8"/>
        <v>9530</v>
      </c>
      <c r="F51" s="37">
        <f>DANE!E51</f>
        <v>20</v>
      </c>
      <c r="G51" s="53">
        <f t="shared" si="9"/>
        <v>380</v>
      </c>
      <c r="H51" s="39">
        <f t="shared" si="4"/>
        <v>93</v>
      </c>
      <c r="I51" s="40">
        <f>DANE!F51</f>
        <v>1133</v>
      </c>
      <c r="J51" s="54">
        <f t="shared" si="5"/>
        <v>193</v>
      </c>
      <c r="K51" s="42">
        <f t="shared" si="10"/>
        <v>8017</v>
      </c>
      <c r="L51" s="79">
        <f t="shared" ca="1" si="11"/>
        <v>371.14285714285717</v>
      </c>
      <c r="M51" s="44">
        <f t="shared" si="6"/>
        <v>25.115664243225378</v>
      </c>
      <c r="N51" s="45">
        <f t="shared" si="7"/>
        <v>3.9874081846799578</v>
      </c>
      <c r="O51" s="46">
        <f t="shared" si="12"/>
        <v>2515.2572884220053</v>
      </c>
      <c r="P51" s="46">
        <f t="shared" si="13"/>
        <v>-2.4135925704089529E-2</v>
      </c>
      <c r="Q51" s="80">
        <f t="shared" si="14"/>
        <v>0.83104852007137331</v>
      </c>
      <c r="R51" s="80">
        <f t="shared" ca="1" si="15"/>
        <v>1.1091596035577418</v>
      </c>
      <c r="S51" s="81">
        <f t="shared" ca="1" si="16"/>
        <v>1.0000000000000009E-2</v>
      </c>
      <c r="T51" s="87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</row>
    <row r="52" spans="1:45" x14ac:dyDescent="0.25">
      <c r="A52" s="32">
        <v>43942</v>
      </c>
      <c r="B52" s="33" t="str">
        <f t="shared" ca="1" si="0"/>
        <v/>
      </c>
      <c r="C52" s="51">
        <v>49</v>
      </c>
      <c r="D52" s="35">
        <f>DANE!D52</f>
        <v>263</v>
      </c>
      <c r="E52" s="52">
        <f t="shared" si="8"/>
        <v>9793</v>
      </c>
      <c r="F52" s="37">
        <f>DANE!E52</f>
        <v>20</v>
      </c>
      <c r="G52" s="53">
        <f t="shared" si="9"/>
        <v>400</v>
      </c>
      <c r="H52" s="39">
        <f t="shared" si="4"/>
        <v>164</v>
      </c>
      <c r="I52" s="40">
        <f>DANE!F52</f>
        <v>1297</v>
      </c>
      <c r="J52" s="54">
        <f t="shared" si="5"/>
        <v>79</v>
      </c>
      <c r="K52" s="42">
        <f t="shared" si="10"/>
        <v>8096</v>
      </c>
      <c r="L52" s="79">
        <f t="shared" ca="1" si="11"/>
        <v>370.14285714285717</v>
      </c>
      <c r="M52" s="44">
        <f t="shared" si="6"/>
        <v>23.571007660577489</v>
      </c>
      <c r="N52" s="45">
        <f t="shared" si="7"/>
        <v>4.0845501889104465</v>
      </c>
      <c r="O52" s="46">
        <f t="shared" si="12"/>
        <v>2418.9348186474331</v>
      </c>
      <c r="P52" s="46">
        <f t="shared" si="13"/>
        <v>-3.8295275086948258E-2</v>
      </c>
      <c r="Q52" s="80">
        <f t="shared" si="14"/>
        <v>0.73193307439136213</v>
      </c>
      <c r="R52" s="80">
        <f t="shared" ca="1" si="15"/>
        <v>1.0945918304308455</v>
      </c>
      <c r="S52" s="81">
        <f t="shared" ca="1" si="16"/>
        <v>-2.0000000000000018E-2</v>
      </c>
      <c r="T52" s="83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  <c r="AF52" s="89"/>
      <c r="AG52" s="89"/>
      <c r="AH52" s="89"/>
      <c r="AI52" s="89"/>
      <c r="AJ52" s="89"/>
      <c r="AK52" s="89"/>
      <c r="AL52" s="89"/>
      <c r="AM52" s="89"/>
      <c r="AN52" s="89"/>
      <c r="AO52" s="89"/>
      <c r="AP52" s="89"/>
      <c r="AQ52" s="89"/>
      <c r="AR52" s="89"/>
      <c r="AS52" s="89"/>
    </row>
    <row r="53" spans="1:45" x14ac:dyDescent="0.25">
      <c r="A53" s="32">
        <v>43943</v>
      </c>
      <c r="B53" s="33" t="str">
        <f t="shared" ca="1" si="0"/>
        <v/>
      </c>
      <c r="C53" s="51">
        <v>50</v>
      </c>
      <c r="D53" s="35">
        <f>DANE!D53</f>
        <v>313</v>
      </c>
      <c r="E53" s="52">
        <f t="shared" si="8"/>
        <v>10106</v>
      </c>
      <c r="F53" s="37">
        <f>DANE!E53</f>
        <v>25</v>
      </c>
      <c r="G53" s="53">
        <f t="shared" si="9"/>
        <v>425</v>
      </c>
      <c r="H53" s="39">
        <f t="shared" si="4"/>
        <v>216</v>
      </c>
      <c r="I53" s="40">
        <f>DANE!F53</f>
        <v>1513</v>
      </c>
      <c r="J53" s="54">
        <f t="shared" si="5"/>
        <v>72</v>
      </c>
      <c r="K53" s="42">
        <f t="shared" si="10"/>
        <v>8168</v>
      </c>
      <c r="L53" s="79">
        <f t="shared" ca="1" si="11"/>
        <v>360.57142857142856</v>
      </c>
      <c r="M53" s="44">
        <f t="shared" si="6"/>
        <v>21.929824561403507</v>
      </c>
      <c r="N53" s="45">
        <f t="shared" si="7"/>
        <v>4.2054225212744907</v>
      </c>
      <c r="O53" s="46">
        <f t="shared" si="12"/>
        <v>2386.3727016978</v>
      </c>
      <c r="P53" s="46">
        <f t="shared" si="13"/>
        <v>-1.3461345340359525E-2</v>
      </c>
      <c r="Q53" s="80">
        <f t="shared" si="14"/>
        <v>0.90577058261748333</v>
      </c>
      <c r="R53" s="80">
        <f t="shared" ca="1" si="15"/>
        <v>1.0522487544497408</v>
      </c>
      <c r="S53" s="81">
        <f t="shared" ca="1" si="16"/>
        <v>-4.0000000000000036E-2</v>
      </c>
      <c r="T53" s="83"/>
      <c r="U53" s="89"/>
      <c r="V53" s="89"/>
      <c r="W53" s="89"/>
      <c r="X53" s="89"/>
      <c r="Y53" s="89"/>
      <c r="Z53" s="89"/>
      <c r="AA53" s="89"/>
      <c r="AB53" s="89"/>
      <c r="AC53" s="89"/>
      <c r="AD53" s="89"/>
      <c r="AE53" s="89"/>
      <c r="AF53" s="89"/>
      <c r="AG53" s="89"/>
      <c r="AH53" s="89"/>
      <c r="AI53" s="89"/>
      <c r="AJ53" s="89"/>
      <c r="AK53" s="89"/>
      <c r="AL53" s="89"/>
      <c r="AM53" s="89"/>
      <c r="AN53" s="89"/>
      <c r="AO53" s="89"/>
      <c r="AP53" s="89"/>
      <c r="AQ53" s="89"/>
      <c r="AR53" s="89"/>
      <c r="AS53" s="89"/>
    </row>
    <row r="54" spans="1:45" x14ac:dyDescent="0.25">
      <c r="A54" s="32">
        <v>43944</v>
      </c>
      <c r="B54" s="33" t="str">
        <f t="shared" ca="1" si="0"/>
        <v/>
      </c>
      <c r="C54" s="51">
        <v>51</v>
      </c>
      <c r="D54" s="35">
        <f>DANE!D54</f>
        <v>342</v>
      </c>
      <c r="E54" s="52">
        <f t="shared" si="8"/>
        <v>10448</v>
      </c>
      <c r="F54" s="37">
        <f>DANE!E54</f>
        <v>28</v>
      </c>
      <c r="G54" s="53">
        <f t="shared" si="9"/>
        <v>453</v>
      </c>
      <c r="H54" s="39">
        <f t="shared" si="4"/>
        <v>227</v>
      </c>
      <c r="I54" s="40">
        <f>DANE!F54</f>
        <v>1740</v>
      </c>
      <c r="J54" s="54">
        <f t="shared" si="5"/>
        <v>87</v>
      </c>
      <c r="K54" s="42">
        <f t="shared" si="10"/>
        <v>8255</v>
      </c>
      <c r="L54" s="79">
        <f t="shared" ca="1" si="11"/>
        <v>361.42857142857144</v>
      </c>
      <c r="M54" s="44">
        <f t="shared" si="6"/>
        <v>20.656634746922027</v>
      </c>
      <c r="N54" s="45">
        <f t="shared" si="7"/>
        <v>4.3357580398162332</v>
      </c>
      <c r="O54" s="46">
        <f t="shared" si="12"/>
        <v>2387.4623157409715</v>
      </c>
      <c r="P54" s="46">
        <f t="shared" si="13"/>
        <v>4.5659843594263801E-4</v>
      </c>
      <c r="Q54" s="80">
        <f t="shared" si="14"/>
        <v>1.0031961890515986</v>
      </c>
      <c r="R54" s="80">
        <f t="shared" ca="1" si="15"/>
        <v>1.0479718493136392</v>
      </c>
      <c r="S54" s="81">
        <f t="shared" ca="1" si="16"/>
        <v>0</v>
      </c>
      <c r="T54" s="83"/>
      <c r="U54" s="89"/>
      <c r="V54" s="89"/>
      <c r="W54" s="89"/>
      <c r="X54" s="89"/>
      <c r="Y54" s="89"/>
      <c r="Z54" s="89"/>
      <c r="AA54" s="89"/>
      <c r="AB54" s="89"/>
      <c r="AC54" s="89"/>
      <c r="AD54" s="89"/>
      <c r="AE54" s="89"/>
      <c r="AF54" s="89"/>
      <c r="AG54" s="89"/>
      <c r="AH54" s="89"/>
      <c r="AI54" s="89"/>
      <c r="AJ54" s="89"/>
      <c r="AK54" s="89"/>
      <c r="AL54" s="89"/>
      <c r="AM54" s="89"/>
      <c r="AN54" s="89"/>
      <c r="AO54" s="89"/>
      <c r="AP54" s="89"/>
      <c r="AQ54" s="89"/>
      <c r="AR54" s="89"/>
      <c r="AS54" s="89"/>
    </row>
    <row r="55" spans="1:45" x14ac:dyDescent="0.25">
      <c r="A55" s="32">
        <v>43945</v>
      </c>
      <c r="B55" s="33" t="str">
        <f t="shared" ca="1" si="0"/>
        <v/>
      </c>
      <c r="C55" s="51">
        <v>52</v>
      </c>
      <c r="D55" s="35">
        <f>DANE!D55</f>
        <v>381</v>
      </c>
      <c r="E55" s="52">
        <f t="shared" si="8"/>
        <v>10829</v>
      </c>
      <c r="F55" s="37">
        <f>DANE!E55</f>
        <v>40</v>
      </c>
      <c r="G55" s="53">
        <f t="shared" si="9"/>
        <v>493</v>
      </c>
      <c r="H55" s="39">
        <f t="shared" si="4"/>
        <v>204</v>
      </c>
      <c r="I55" s="40">
        <f>DANE!F55</f>
        <v>1944</v>
      </c>
      <c r="J55" s="54">
        <f t="shared" si="5"/>
        <v>137</v>
      </c>
      <c r="K55" s="42">
        <f t="shared" si="10"/>
        <v>8392</v>
      </c>
      <c r="L55" s="79">
        <f t="shared" ca="1" si="11"/>
        <v>350.57142857142856</v>
      </c>
      <c r="M55" s="44">
        <f t="shared" si="6"/>
        <v>20.229790726302831</v>
      </c>
      <c r="N55" s="45">
        <f t="shared" si="7"/>
        <v>4.5525902668759812</v>
      </c>
      <c r="O55" s="46">
        <f t="shared" si="12"/>
        <v>2427.3962706351185</v>
      </c>
      <c r="P55" s="46">
        <f t="shared" si="13"/>
        <v>1.6726527841237647E-2</v>
      </c>
      <c r="Q55" s="80">
        <f t="shared" si="14"/>
        <v>1.1170856948886636</v>
      </c>
      <c r="R55" s="80">
        <f t="shared" ca="1" si="15"/>
        <v>1.0077604014606141</v>
      </c>
      <c r="S55" s="81">
        <f t="shared" ca="1" si="16"/>
        <v>-4.0000000000000036E-2</v>
      </c>
      <c r="T55" s="83"/>
      <c r="U55" s="89"/>
      <c r="V55" s="89"/>
      <c r="W55" s="89"/>
      <c r="X55" s="89"/>
      <c r="Y55" s="89"/>
      <c r="Z55" s="89"/>
      <c r="AA55" s="89"/>
      <c r="AB55" s="89"/>
      <c r="AC55" s="89"/>
      <c r="AD55" s="89"/>
      <c r="AE55" s="89"/>
      <c r="AF55" s="89"/>
      <c r="AG55" s="89"/>
      <c r="AH55" s="89"/>
      <c r="AI55" s="89"/>
      <c r="AJ55" s="89"/>
      <c r="AK55" s="89"/>
      <c r="AL55" s="89"/>
      <c r="AM55" s="89"/>
      <c r="AN55" s="89"/>
      <c r="AO55" s="89"/>
      <c r="AP55" s="89"/>
      <c r="AQ55" s="89"/>
      <c r="AR55" s="89"/>
      <c r="AS55" s="89"/>
    </row>
    <row r="56" spans="1:45" x14ac:dyDescent="0.25">
      <c r="A56" s="61">
        <v>43946</v>
      </c>
      <c r="B56" s="62" t="str">
        <f t="shared" ca="1" si="0"/>
        <v/>
      </c>
      <c r="C56" s="12">
        <v>53</v>
      </c>
      <c r="D56" s="63">
        <f>DANE!D56</f>
        <v>381</v>
      </c>
      <c r="E56" s="64">
        <f t="shared" si="8"/>
        <v>11210</v>
      </c>
      <c r="F56" s="65">
        <f>DANE!E56</f>
        <v>30</v>
      </c>
      <c r="G56" s="66">
        <f t="shared" si="9"/>
        <v>523</v>
      </c>
      <c r="H56" s="67">
        <f t="shared" si="4"/>
        <v>182</v>
      </c>
      <c r="I56" s="68">
        <f>DANE!F56</f>
        <v>2126</v>
      </c>
      <c r="J56" s="54">
        <f t="shared" si="5"/>
        <v>169</v>
      </c>
      <c r="K56" s="69">
        <f t="shared" si="10"/>
        <v>8561</v>
      </c>
      <c r="L56" s="84">
        <f t="shared" ca="1" si="11"/>
        <v>357.28571428571428</v>
      </c>
      <c r="M56" s="44">
        <f t="shared" si="6"/>
        <v>19.743299358248397</v>
      </c>
      <c r="N56" s="45">
        <f t="shared" si="7"/>
        <v>4.6654772524531669</v>
      </c>
      <c r="O56" s="71">
        <f t="shared" si="12"/>
        <v>2461.6253748301019</v>
      </c>
      <c r="P56" s="71">
        <f t="shared" si="13"/>
        <v>1.4101160411698038E-2</v>
      </c>
      <c r="Q56" s="85">
        <f t="shared" si="14"/>
        <v>1.0987081228818862</v>
      </c>
      <c r="R56" s="85">
        <f t="shared" ca="1" si="15"/>
        <v>1.02656401316445</v>
      </c>
      <c r="S56" s="86">
        <f t="shared" ca="1" si="16"/>
        <v>2.0000000000000018E-2</v>
      </c>
      <c r="T56" s="87"/>
      <c r="U56" s="378"/>
      <c r="V56" s="372"/>
      <c r="W56" s="60"/>
      <c r="X56" s="375"/>
      <c r="Y56" s="372"/>
      <c r="Z56" s="378"/>
      <c r="AA56" s="372"/>
      <c r="AB56" s="372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</row>
    <row r="57" spans="1:45" x14ac:dyDescent="0.25">
      <c r="A57" s="61">
        <v>43947</v>
      </c>
      <c r="B57" s="62" t="str">
        <f t="shared" ca="1" si="0"/>
        <v/>
      </c>
      <c r="C57" s="12">
        <v>54</v>
      </c>
      <c r="D57" s="63">
        <f>DANE!D57</f>
        <v>344</v>
      </c>
      <c r="E57" s="64">
        <f t="shared" si="8"/>
        <v>11554</v>
      </c>
      <c r="F57" s="65">
        <f>DANE!E57</f>
        <v>12</v>
      </c>
      <c r="G57" s="66">
        <f t="shared" si="9"/>
        <v>535</v>
      </c>
      <c r="H57" s="67">
        <f t="shared" si="4"/>
        <v>139</v>
      </c>
      <c r="I57" s="68">
        <f>DANE!F57</f>
        <v>2265</v>
      </c>
      <c r="J57" s="54">
        <f t="shared" si="5"/>
        <v>193</v>
      </c>
      <c r="K57" s="69">
        <f t="shared" si="10"/>
        <v>8754</v>
      </c>
      <c r="L57" s="84">
        <f t="shared" ca="1" si="11"/>
        <v>332.85714285714283</v>
      </c>
      <c r="M57" s="44">
        <f t="shared" si="6"/>
        <v>19.107142857142854</v>
      </c>
      <c r="N57" s="45">
        <f t="shared" si="7"/>
        <v>4.6304310195603255</v>
      </c>
      <c r="O57" s="71">
        <f t="shared" si="12"/>
        <v>2453.9646069972305</v>
      </c>
      <c r="P57" s="71">
        <f t="shared" si="13"/>
        <v>-3.1120770492545718E-3</v>
      </c>
      <c r="Q57" s="85">
        <f t="shared" si="14"/>
        <v>0.97821546065521803</v>
      </c>
      <c r="R57" s="85">
        <f t="shared" ca="1" si="15"/>
        <v>0.95227966350822635</v>
      </c>
      <c r="S57" s="86">
        <f t="shared" ca="1" si="16"/>
        <v>-8.0000000000000071E-2</v>
      </c>
      <c r="T57" s="87"/>
      <c r="U57" s="378"/>
      <c r="V57" s="372"/>
      <c r="W57" s="60"/>
      <c r="X57" s="375"/>
      <c r="Y57" s="372"/>
      <c r="Z57" s="378"/>
      <c r="AA57" s="372"/>
      <c r="AB57" s="372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</row>
    <row r="58" spans="1:45" x14ac:dyDescent="0.25">
      <c r="A58" s="32">
        <v>43948</v>
      </c>
      <c r="B58" s="33" t="str">
        <f t="shared" ca="1" si="0"/>
        <v/>
      </c>
      <c r="C58" s="51">
        <v>55</v>
      </c>
      <c r="D58" s="35">
        <f>DANE!D58</f>
        <v>285</v>
      </c>
      <c r="E58" s="52">
        <f t="shared" si="8"/>
        <v>11839</v>
      </c>
      <c r="F58" s="37">
        <f>DANE!E58</f>
        <v>26</v>
      </c>
      <c r="G58" s="53">
        <f t="shared" si="9"/>
        <v>561</v>
      </c>
      <c r="H58" s="39">
        <f t="shared" si="4"/>
        <v>201</v>
      </c>
      <c r="I58" s="40">
        <f>DANE!F58</f>
        <v>2466</v>
      </c>
      <c r="J58" s="54">
        <f t="shared" si="5"/>
        <v>58</v>
      </c>
      <c r="K58" s="42">
        <f t="shared" si="10"/>
        <v>8812</v>
      </c>
      <c r="L58" s="79">
        <f t="shared" ca="1" si="11"/>
        <v>329.85714285714283</v>
      </c>
      <c r="M58" s="44">
        <f t="shared" si="6"/>
        <v>18.533201189296335</v>
      </c>
      <c r="N58" s="45">
        <f t="shared" si="7"/>
        <v>4.7385758932342261</v>
      </c>
      <c r="O58" s="46">
        <f t="shared" si="12"/>
        <v>2388.3982345690547</v>
      </c>
      <c r="P58" s="46">
        <f t="shared" si="13"/>
        <v>-2.6718548523976239E-2</v>
      </c>
      <c r="Q58" s="80">
        <f t="shared" si="14"/>
        <v>0.81297016033216629</v>
      </c>
      <c r="R58" s="80">
        <f t="shared" ca="1" si="15"/>
        <v>0.9496970406883396</v>
      </c>
      <c r="S58" s="81">
        <f t="shared" ca="1" si="16"/>
        <v>0</v>
      </c>
      <c r="T58" s="87"/>
      <c r="U58" s="378"/>
      <c r="V58" s="372"/>
      <c r="W58" s="60"/>
      <c r="X58" s="377"/>
      <c r="Y58" s="372"/>
      <c r="Z58" s="379"/>
      <c r="AA58" s="372"/>
      <c r="AB58" s="372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</row>
    <row r="59" spans="1:45" x14ac:dyDescent="0.25">
      <c r="A59" s="32">
        <v>43949</v>
      </c>
      <c r="B59" s="33" t="str">
        <f t="shared" ca="1" si="0"/>
        <v/>
      </c>
      <c r="C59" s="51">
        <v>56</v>
      </c>
      <c r="D59" s="35">
        <f>DANE!D59</f>
        <v>316</v>
      </c>
      <c r="E59" s="52">
        <f t="shared" si="8"/>
        <v>12155</v>
      </c>
      <c r="F59" s="37">
        <f>DANE!E59</f>
        <v>34</v>
      </c>
      <c r="G59" s="53">
        <f t="shared" si="9"/>
        <v>595</v>
      </c>
      <c r="H59" s="39">
        <f t="shared" si="4"/>
        <v>189</v>
      </c>
      <c r="I59" s="40">
        <f>DANE!F59</f>
        <v>2655</v>
      </c>
      <c r="J59" s="54">
        <f t="shared" si="5"/>
        <v>93</v>
      </c>
      <c r="K59" s="42">
        <f t="shared" si="10"/>
        <v>8905</v>
      </c>
      <c r="L59" s="79">
        <f t="shared" ca="1" si="11"/>
        <v>337.42857142857144</v>
      </c>
      <c r="M59" s="44">
        <f t="shared" si="6"/>
        <v>18.307692307692307</v>
      </c>
      <c r="N59" s="45">
        <f t="shared" si="7"/>
        <v>4.895104895104895</v>
      </c>
      <c r="O59" s="46">
        <f t="shared" si="12"/>
        <v>2363.1984867734755</v>
      </c>
      <c r="P59" s="46">
        <f t="shared" si="13"/>
        <v>-1.0550898686343277E-2</v>
      </c>
      <c r="Q59" s="80">
        <f t="shared" si="14"/>
        <v>0.92614370919559708</v>
      </c>
      <c r="R59" s="80">
        <f t="shared" ca="1" si="15"/>
        <v>0.97744141708894461</v>
      </c>
      <c r="S59" s="81">
        <f t="shared" ca="1" si="16"/>
        <v>3.0000000000000027E-2</v>
      </c>
      <c r="T59" s="50"/>
      <c r="U59" s="50"/>
      <c r="V59" s="92"/>
      <c r="W59" s="92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</row>
    <row r="60" spans="1:45" x14ac:dyDescent="0.25">
      <c r="A60" s="32">
        <v>43950</v>
      </c>
      <c r="B60" s="33" t="str">
        <f t="shared" ca="1" si="0"/>
        <v/>
      </c>
      <c r="C60" s="51">
        <v>57</v>
      </c>
      <c r="D60" s="35">
        <f>DANE!D60</f>
        <v>422</v>
      </c>
      <c r="E60" s="52">
        <f t="shared" si="8"/>
        <v>12577</v>
      </c>
      <c r="F60" s="37">
        <f>DANE!E60</f>
        <v>28</v>
      </c>
      <c r="G60" s="53">
        <f t="shared" si="9"/>
        <v>623</v>
      </c>
      <c r="H60" s="39">
        <f t="shared" si="4"/>
        <v>370</v>
      </c>
      <c r="I60" s="40">
        <f>DANE!F60</f>
        <v>3025</v>
      </c>
      <c r="J60" s="54">
        <f t="shared" si="5"/>
        <v>24</v>
      </c>
      <c r="K60" s="42">
        <f t="shared" si="10"/>
        <v>8929</v>
      </c>
      <c r="L60" s="79">
        <f t="shared" ca="1" si="11"/>
        <v>353</v>
      </c>
      <c r="M60" s="44">
        <f t="shared" si="6"/>
        <v>17.077850877192983</v>
      </c>
      <c r="N60" s="45">
        <f t="shared" si="7"/>
        <v>4.9534865230182081</v>
      </c>
      <c r="O60" s="46">
        <f t="shared" si="12"/>
        <v>2447.5987029486932</v>
      </c>
      <c r="P60" s="46">
        <f t="shared" si="13"/>
        <v>3.5714400058901183E-2</v>
      </c>
      <c r="Q60" s="80">
        <f t="shared" si="14"/>
        <v>1.2500008004123084</v>
      </c>
      <c r="R60" s="80">
        <f t="shared" ca="1" si="15"/>
        <v>1.0266171624882054</v>
      </c>
      <c r="S60" s="81">
        <f t="shared" ca="1" si="16"/>
        <v>5.0000000000000044E-2</v>
      </c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</row>
    <row r="61" spans="1:45" x14ac:dyDescent="0.25">
      <c r="A61" s="32">
        <v>43951</v>
      </c>
      <c r="B61" s="33" t="str">
        <f t="shared" ca="1" si="0"/>
        <v/>
      </c>
      <c r="C61" s="51">
        <v>58</v>
      </c>
      <c r="D61" s="35">
        <f>DANE!D61</f>
        <v>300</v>
      </c>
      <c r="E61" s="52">
        <f t="shared" si="8"/>
        <v>12877</v>
      </c>
      <c r="F61" s="37">
        <f>DANE!E61</f>
        <v>20</v>
      </c>
      <c r="G61" s="53">
        <f t="shared" si="9"/>
        <v>643</v>
      </c>
      <c r="H61" s="39">
        <f t="shared" si="4"/>
        <v>211</v>
      </c>
      <c r="I61" s="40">
        <f>DANE!F61</f>
        <v>3236</v>
      </c>
      <c r="J61" s="54">
        <f t="shared" si="5"/>
        <v>69</v>
      </c>
      <c r="K61" s="42">
        <f t="shared" si="10"/>
        <v>8998</v>
      </c>
      <c r="L61" s="79">
        <f t="shared" ca="1" si="11"/>
        <v>347</v>
      </c>
      <c r="M61" s="44">
        <f t="shared" si="6"/>
        <v>16.576437226089201</v>
      </c>
      <c r="N61" s="45">
        <f t="shared" si="7"/>
        <v>4.9933990836374935</v>
      </c>
      <c r="O61" s="46">
        <f t="shared" si="12"/>
        <v>2397.9417453845945</v>
      </c>
      <c r="P61" s="46">
        <f t="shared" si="13"/>
        <v>-2.0288030674422076E-2</v>
      </c>
      <c r="Q61" s="80">
        <f t="shared" si="14"/>
        <v>0.85798378527904551</v>
      </c>
      <c r="R61" s="80">
        <f t="shared" ca="1" si="15"/>
        <v>1.0058725333778407</v>
      </c>
      <c r="S61" s="81">
        <f t="shared" ca="1" si="16"/>
        <v>-2.0000000000000018E-2</v>
      </c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</row>
    <row r="62" spans="1:45" x14ac:dyDescent="0.25">
      <c r="A62" s="32">
        <v>43952</v>
      </c>
      <c r="B62" s="33" t="str">
        <f t="shared" ca="1" si="0"/>
        <v/>
      </c>
      <c r="C62" s="51">
        <v>59</v>
      </c>
      <c r="D62" s="35">
        <f>DANE!D62</f>
        <v>228</v>
      </c>
      <c r="E62" s="52">
        <f t="shared" si="8"/>
        <v>13105</v>
      </c>
      <c r="F62" s="37">
        <f>DANE!E62</f>
        <v>7</v>
      </c>
      <c r="G62" s="53">
        <f t="shared" si="9"/>
        <v>650</v>
      </c>
      <c r="H62" s="39">
        <f t="shared" si="4"/>
        <v>255</v>
      </c>
      <c r="I62" s="40">
        <f>DANE!F62</f>
        <v>3491</v>
      </c>
      <c r="J62" s="54">
        <f t="shared" si="5"/>
        <v>-34</v>
      </c>
      <c r="K62" s="42">
        <f t="shared" si="10"/>
        <v>8964</v>
      </c>
      <c r="L62" s="79">
        <f t="shared" ca="1" si="11"/>
        <v>325.14285714285717</v>
      </c>
      <c r="M62" s="44">
        <f t="shared" si="6"/>
        <v>15.69669162038155</v>
      </c>
      <c r="N62" s="45">
        <f t="shared" si="7"/>
        <v>4.9599389545974821</v>
      </c>
      <c r="O62" s="46">
        <f t="shared" si="12"/>
        <v>2283.3786389010811</v>
      </c>
      <c r="P62" s="46">
        <f t="shared" si="13"/>
        <v>-4.7775600347263289E-2</v>
      </c>
      <c r="Q62" s="80">
        <f t="shared" si="14"/>
        <v>0.66557079756915694</v>
      </c>
      <c r="R62" s="80">
        <f t="shared" ca="1" si="15"/>
        <v>0.94137040518933979</v>
      </c>
      <c r="S62" s="81">
        <f t="shared" ca="1" si="16"/>
        <v>-7.0000000000000062E-2</v>
      </c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</row>
    <row r="63" spans="1:45" x14ac:dyDescent="0.25">
      <c r="A63" s="61">
        <v>43953</v>
      </c>
      <c r="B63" s="62" t="str">
        <f t="shared" ca="1" si="0"/>
        <v/>
      </c>
      <c r="C63" s="12">
        <v>60</v>
      </c>
      <c r="D63" s="63">
        <f>DANE!D63</f>
        <v>270</v>
      </c>
      <c r="E63" s="64">
        <f t="shared" si="8"/>
        <v>13375</v>
      </c>
      <c r="F63" s="65">
        <f>DANE!E63</f>
        <v>12</v>
      </c>
      <c r="G63" s="66">
        <f t="shared" si="9"/>
        <v>662</v>
      </c>
      <c r="H63" s="67">
        <f t="shared" si="4"/>
        <v>271</v>
      </c>
      <c r="I63" s="68">
        <f>DANE!F63</f>
        <v>3762</v>
      </c>
      <c r="J63" s="54">
        <f t="shared" si="5"/>
        <v>-13</v>
      </c>
      <c r="K63" s="69">
        <f t="shared" si="10"/>
        <v>8951</v>
      </c>
      <c r="L63" s="84">
        <f t="shared" ca="1" si="11"/>
        <v>309.28571428571428</v>
      </c>
      <c r="M63" s="44">
        <f t="shared" si="6"/>
        <v>14.963833634719711</v>
      </c>
      <c r="N63" s="45">
        <f t="shared" si="7"/>
        <v>4.9495327102803737</v>
      </c>
      <c r="O63" s="71">
        <f t="shared" si="12"/>
        <v>2227.1816904866409</v>
      </c>
      <c r="P63" s="71">
        <f t="shared" si="13"/>
        <v>-2.4611313891193268E-2</v>
      </c>
      <c r="Q63" s="85">
        <f t="shared" si="14"/>
        <v>0.82772080276164717</v>
      </c>
      <c r="R63" s="85">
        <f t="shared" ca="1" si="15"/>
        <v>0.90265793088644841</v>
      </c>
      <c r="S63" s="86">
        <f t="shared" ca="1" si="16"/>
        <v>-3.9999999999999925E-2</v>
      </c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</row>
    <row r="64" spans="1:45" x14ac:dyDescent="0.25">
      <c r="A64" s="61">
        <v>43954</v>
      </c>
      <c r="B64" s="62" t="str">
        <f t="shared" ca="1" si="0"/>
        <v/>
      </c>
      <c r="C64" s="12">
        <v>61</v>
      </c>
      <c r="D64" s="63">
        <f>DANE!D64</f>
        <v>318</v>
      </c>
      <c r="E64" s="64">
        <f t="shared" si="8"/>
        <v>13693</v>
      </c>
      <c r="F64" s="65">
        <f>DANE!E64</f>
        <v>15</v>
      </c>
      <c r="G64" s="66">
        <f t="shared" si="9"/>
        <v>677</v>
      </c>
      <c r="H64" s="67">
        <f t="shared" si="4"/>
        <v>183</v>
      </c>
      <c r="I64" s="68">
        <f>DANE!F64</f>
        <v>3945</v>
      </c>
      <c r="J64" s="54">
        <f t="shared" si="5"/>
        <v>120</v>
      </c>
      <c r="K64" s="69">
        <f t="shared" si="10"/>
        <v>9071</v>
      </c>
      <c r="L64" s="84">
        <f t="shared" ca="1" si="11"/>
        <v>305.57142857142856</v>
      </c>
      <c r="M64" s="44">
        <f t="shared" si="6"/>
        <v>14.647338814366076</v>
      </c>
      <c r="N64" s="45">
        <f t="shared" si="7"/>
        <v>4.9441320382677283</v>
      </c>
      <c r="O64" s="71">
        <f t="shared" si="12"/>
        <v>2227.0128775599778</v>
      </c>
      <c r="P64" s="71">
        <f t="shared" si="13"/>
        <v>-7.5796656996689139E-5</v>
      </c>
      <c r="Q64" s="85">
        <f t="shared" si="14"/>
        <v>0.99946942340102318</v>
      </c>
      <c r="R64" s="85">
        <f t="shared" ca="1" si="15"/>
        <v>0.90569421127870631</v>
      </c>
      <c r="S64" s="86">
        <f t="shared" ca="1" si="16"/>
        <v>1.0000000000000009E-2</v>
      </c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</row>
    <row r="65" spans="1:45" x14ac:dyDescent="0.25">
      <c r="A65" s="32">
        <v>43955</v>
      </c>
      <c r="B65" s="33" t="str">
        <f t="shared" ca="1" si="0"/>
        <v/>
      </c>
      <c r="C65" s="51">
        <v>62</v>
      </c>
      <c r="D65" s="35">
        <f>DANE!D65</f>
        <v>313</v>
      </c>
      <c r="E65" s="52">
        <f t="shared" si="8"/>
        <v>14006</v>
      </c>
      <c r="F65" s="37">
        <f>DANE!E65</f>
        <v>19</v>
      </c>
      <c r="G65" s="53">
        <f t="shared" si="9"/>
        <v>696</v>
      </c>
      <c r="H65" s="39">
        <f t="shared" si="4"/>
        <v>150</v>
      </c>
      <c r="I65" s="40">
        <f>DANE!F65</f>
        <v>4095</v>
      </c>
      <c r="J65" s="54">
        <f t="shared" si="5"/>
        <v>144</v>
      </c>
      <c r="K65" s="42">
        <f t="shared" si="10"/>
        <v>9215</v>
      </c>
      <c r="L65" s="79">
        <f t="shared" ca="1" si="11"/>
        <v>309.57142857142856</v>
      </c>
      <c r="M65" s="44">
        <f t="shared" si="6"/>
        <v>14.527238572323107</v>
      </c>
      <c r="N65" s="45">
        <f t="shared" si="7"/>
        <v>4.9692988719120379</v>
      </c>
      <c r="O65" s="46">
        <f t="shared" si="12"/>
        <v>2221.8681807656953</v>
      </c>
      <c r="P65" s="46">
        <f t="shared" si="13"/>
        <v>-2.3101333836557146E-3</v>
      </c>
      <c r="Q65" s="80">
        <f t="shared" si="14"/>
        <v>0.98382906631441003</v>
      </c>
      <c r="R65" s="80">
        <f t="shared" ca="1" si="15"/>
        <v>0.93010262641902697</v>
      </c>
      <c r="S65" s="81">
        <f t="shared" ca="1" si="16"/>
        <v>2.0000000000000018E-2</v>
      </c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</row>
    <row r="66" spans="1:45" x14ac:dyDescent="0.25">
      <c r="A66" s="32">
        <v>43956</v>
      </c>
      <c r="B66" s="33" t="str">
        <f t="shared" ca="1" si="0"/>
        <v/>
      </c>
      <c r="C66" s="51">
        <v>63</v>
      </c>
      <c r="D66" s="35">
        <f>DANE!D66</f>
        <v>406</v>
      </c>
      <c r="E66" s="52">
        <f t="shared" si="8"/>
        <v>14412</v>
      </c>
      <c r="F66" s="37">
        <f>DANE!E66</f>
        <v>19</v>
      </c>
      <c r="G66" s="53">
        <f t="shared" si="9"/>
        <v>715</v>
      </c>
      <c r="H66" s="39">
        <f t="shared" si="4"/>
        <v>185</v>
      </c>
      <c r="I66" s="40">
        <f>DANE!F66</f>
        <v>4280</v>
      </c>
      <c r="J66" s="54">
        <f t="shared" si="5"/>
        <v>202</v>
      </c>
      <c r="K66" s="42">
        <f t="shared" si="10"/>
        <v>9417</v>
      </c>
      <c r="L66" s="79">
        <f t="shared" ca="1" si="11"/>
        <v>322.42857142857144</v>
      </c>
      <c r="M66" s="44">
        <f t="shared" si="6"/>
        <v>14.314314314314313</v>
      </c>
      <c r="N66" s="45">
        <f t="shared" si="7"/>
        <v>4.9611434915348323</v>
      </c>
      <c r="O66" s="46">
        <f t="shared" si="12"/>
        <v>2310.4584406563104</v>
      </c>
      <c r="P66" s="46">
        <f t="shared" si="13"/>
        <v>3.9871969299315156E-2</v>
      </c>
      <c r="Q66" s="80">
        <f t="shared" si="14"/>
        <v>1.2791037850952061</v>
      </c>
      <c r="R66" s="80">
        <f t="shared" ca="1" si="15"/>
        <v>0.98052549440468539</v>
      </c>
      <c r="S66" s="81">
        <f t="shared" ca="1" si="16"/>
        <v>4.9999999999999933E-2</v>
      </c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</row>
    <row r="67" spans="1:45" x14ac:dyDescent="0.25">
      <c r="A67" s="32">
        <v>43957</v>
      </c>
      <c r="B67" s="33" t="str">
        <f t="shared" ca="1" si="0"/>
        <v/>
      </c>
      <c r="C67" s="51">
        <v>64</v>
      </c>
      <c r="D67" s="35">
        <f>DANE!D67</f>
        <v>311</v>
      </c>
      <c r="E67" s="52">
        <f t="shared" si="8"/>
        <v>14723</v>
      </c>
      <c r="F67" s="37">
        <f>DANE!E67</f>
        <v>18</v>
      </c>
      <c r="G67" s="53">
        <f t="shared" si="9"/>
        <v>733</v>
      </c>
      <c r="H67" s="39">
        <f t="shared" si="4"/>
        <v>375</v>
      </c>
      <c r="I67" s="40">
        <f>DANE!F67</f>
        <v>4655</v>
      </c>
      <c r="J67" s="54">
        <f t="shared" si="5"/>
        <v>-82</v>
      </c>
      <c r="K67" s="42">
        <f t="shared" si="10"/>
        <v>9335</v>
      </c>
      <c r="L67" s="79">
        <f t="shared" ca="1" si="11"/>
        <v>306.57142857142856</v>
      </c>
      <c r="M67" s="44">
        <f t="shared" si="6"/>
        <v>13.60430586488493</v>
      </c>
      <c r="N67" s="45">
        <f t="shared" si="7"/>
        <v>4.9786049038918705</v>
      </c>
      <c r="O67" s="46">
        <f t="shared" si="12"/>
        <v>2291.3929491339804</v>
      </c>
      <c r="P67" s="46">
        <f t="shared" si="13"/>
        <v>-8.251821883848369E-3</v>
      </c>
      <c r="Q67" s="80">
        <f t="shared" si="14"/>
        <v>0.94223724681306142</v>
      </c>
      <c r="R67" s="80">
        <f t="shared" ca="1" si="15"/>
        <v>0.93655927246193571</v>
      </c>
      <c r="S67" s="81">
        <f t="shared" ca="1" si="16"/>
        <v>-4.0000000000000036E-2</v>
      </c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</row>
    <row r="68" spans="1:45" x14ac:dyDescent="0.25">
      <c r="A68" s="32">
        <v>43958</v>
      </c>
      <c r="B68" s="33" t="str">
        <f t="shared" ca="1" si="0"/>
        <v/>
      </c>
      <c r="C68" s="51">
        <v>65</v>
      </c>
      <c r="D68" s="35">
        <f>DANE!D68</f>
        <v>303</v>
      </c>
      <c r="E68" s="52">
        <f t="shared" si="8"/>
        <v>15026</v>
      </c>
      <c r="F68" s="37">
        <f>DANE!E68</f>
        <v>22</v>
      </c>
      <c r="G68" s="53">
        <f t="shared" si="9"/>
        <v>755</v>
      </c>
      <c r="H68" s="39">
        <f t="shared" si="4"/>
        <v>207</v>
      </c>
      <c r="I68" s="40">
        <f>DANE!F68</f>
        <v>4862</v>
      </c>
      <c r="J68" s="54">
        <f t="shared" si="5"/>
        <v>74</v>
      </c>
      <c r="K68" s="42">
        <f t="shared" si="10"/>
        <v>9409</v>
      </c>
      <c r="L68" s="79">
        <f t="shared" ca="1" si="11"/>
        <v>307</v>
      </c>
      <c r="M68" s="44">
        <f t="shared" si="6"/>
        <v>13.441338792949972</v>
      </c>
      <c r="N68" s="45">
        <f t="shared" si="7"/>
        <v>5.0246239850925063</v>
      </c>
      <c r="O68" s="46">
        <f t="shared" si="12"/>
        <v>2267.0510992576974</v>
      </c>
      <c r="P68" s="46">
        <f t="shared" si="13"/>
        <v>-1.0623166962909143E-2</v>
      </c>
      <c r="Q68" s="80">
        <f t="shared" si="14"/>
        <v>0.92563783125963606</v>
      </c>
      <c r="R68" s="80">
        <f t="shared" ca="1" si="15"/>
        <v>0.94622413617344869</v>
      </c>
      <c r="S68" s="81">
        <f t="shared" ca="1" si="16"/>
        <v>1.0000000000000009E-2</v>
      </c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</row>
    <row r="69" spans="1:45" x14ac:dyDescent="0.25">
      <c r="A69" s="32">
        <v>43959</v>
      </c>
      <c r="B69" s="33" t="str">
        <f t="shared" ca="1" si="0"/>
        <v/>
      </c>
      <c r="C69" s="51">
        <v>66</v>
      </c>
      <c r="D69" s="35">
        <f>DANE!D69</f>
        <v>337</v>
      </c>
      <c r="E69" s="52">
        <f t="shared" si="8"/>
        <v>15363</v>
      </c>
      <c r="F69" s="37">
        <f>DANE!E69</f>
        <v>20</v>
      </c>
      <c r="G69" s="53">
        <f t="shared" si="9"/>
        <v>775</v>
      </c>
      <c r="H69" s="39">
        <f t="shared" si="4"/>
        <v>322</v>
      </c>
      <c r="I69" s="40">
        <f>DANE!F69</f>
        <v>5184</v>
      </c>
      <c r="J69" s="54">
        <f t="shared" si="5"/>
        <v>-5</v>
      </c>
      <c r="K69" s="42">
        <f t="shared" si="10"/>
        <v>9404</v>
      </c>
      <c r="L69" s="79">
        <f t="shared" ca="1" si="11"/>
        <v>322.57142857142856</v>
      </c>
      <c r="M69" s="44">
        <f t="shared" si="6"/>
        <v>13.005537841919784</v>
      </c>
      <c r="N69" s="45">
        <f t="shared" si="7"/>
        <v>5.0445876456421272</v>
      </c>
      <c r="O69" s="46">
        <f t="shared" si="12"/>
        <v>2280.186656506598</v>
      </c>
      <c r="P69" s="46">
        <f t="shared" si="13"/>
        <v>5.7941160890469367E-3</v>
      </c>
      <c r="Q69" s="80">
        <f t="shared" si="14"/>
        <v>1.0405588126233285</v>
      </c>
      <c r="R69" s="80">
        <f t="shared" ca="1" si="15"/>
        <v>0.99979385260975895</v>
      </c>
      <c r="S69" s="81">
        <f t="shared" ca="1" si="16"/>
        <v>5.0000000000000044E-2</v>
      </c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</row>
    <row r="70" spans="1:45" x14ac:dyDescent="0.25">
      <c r="A70" s="61">
        <v>43960</v>
      </c>
      <c r="B70" s="62" t="str">
        <f t="shared" ca="1" si="0"/>
        <v/>
      </c>
      <c r="C70" s="12">
        <v>67</v>
      </c>
      <c r="D70" s="63">
        <f>DANE!D70</f>
        <v>288</v>
      </c>
      <c r="E70" s="64">
        <f t="shared" si="8"/>
        <v>15651</v>
      </c>
      <c r="F70" s="65">
        <f>DANE!E70</f>
        <v>9</v>
      </c>
      <c r="G70" s="66">
        <f t="shared" si="9"/>
        <v>784</v>
      </c>
      <c r="H70" s="67">
        <f t="shared" si="4"/>
        <v>253</v>
      </c>
      <c r="I70" s="68">
        <f>DANE!F70</f>
        <v>5437</v>
      </c>
      <c r="J70" s="54">
        <f t="shared" si="5"/>
        <v>26</v>
      </c>
      <c r="K70" s="69">
        <f t="shared" si="10"/>
        <v>9430</v>
      </c>
      <c r="L70" s="84">
        <f t="shared" ca="1" si="11"/>
        <v>325.14285714285717</v>
      </c>
      <c r="M70" s="44">
        <f t="shared" si="6"/>
        <v>12.602475486256228</v>
      </c>
      <c r="N70" s="45">
        <f t="shared" si="7"/>
        <v>5.0092645837326684</v>
      </c>
      <c r="O70" s="71">
        <f t="shared" si="12"/>
        <v>2242.445705577084</v>
      </c>
      <c r="P70" s="71">
        <f t="shared" si="13"/>
        <v>-1.6551693617633763E-2</v>
      </c>
      <c r="Q70" s="85">
        <f t="shared" si="14"/>
        <v>0.88413814467656371</v>
      </c>
      <c r="R70" s="85">
        <f t="shared" ca="1" si="15"/>
        <v>1.0078534728833184</v>
      </c>
      <c r="S70" s="86">
        <f t="shared" ca="1" si="16"/>
        <v>1.0000000000000009E-2</v>
      </c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</row>
    <row r="71" spans="1:45" x14ac:dyDescent="0.25">
      <c r="A71" s="61">
        <v>43961</v>
      </c>
      <c r="B71" s="62" t="str">
        <f t="shared" ca="1" si="0"/>
        <v/>
      </c>
      <c r="C71" s="12">
        <v>68</v>
      </c>
      <c r="D71" s="63">
        <f>DANE!D71</f>
        <v>345</v>
      </c>
      <c r="E71" s="64">
        <f t="shared" si="8"/>
        <v>15996</v>
      </c>
      <c r="F71" s="65">
        <f>DANE!E71</f>
        <v>15</v>
      </c>
      <c r="G71" s="66">
        <f t="shared" si="9"/>
        <v>799</v>
      </c>
      <c r="H71" s="67">
        <f t="shared" si="4"/>
        <v>261</v>
      </c>
      <c r="I71" s="68">
        <f>DANE!F71</f>
        <v>5698</v>
      </c>
      <c r="J71" s="54">
        <f t="shared" si="5"/>
        <v>69</v>
      </c>
      <c r="K71" s="69">
        <f t="shared" si="10"/>
        <v>9499</v>
      </c>
      <c r="L71" s="84">
        <f t="shared" ca="1" si="11"/>
        <v>329</v>
      </c>
      <c r="M71" s="44">
        <f t="shared" si="6"/>
        <v>12.29798368477759</v>
      </c>
      <c r="N71" s="45">
        <f t="shared" si="7"/>
        <v>4.9949987496874213</v>
      </c>
      <c r="O71" s="71">
        <f t="shared" si="12"/>
        <v>2267.0963190660723</v>
      </c>
      <c r="P71" s="71">
        <f t="shared" si="13"/>
        <v>1.0992735934556117E-2</v>
      </c>
      <c r="Q71" s="85">
        <f t="shared" si="14"/>
        <v>1.0769491515418927</v>
      </c>
      <c r="R71" s="85">
        <f t="shared" ca="1" si="15"/>
        <v>1.0189220054748713</v>
      </c>
      <c r="S71" s="86">
        <f t="shared" ca="1" si="16"/>
        <v>1.0000000000000009E-2</v>
      </c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</row>
    <row r="72" spans="1:45" x14ac:dyDescent="0.25">
      <c r="A72" s="32">
        <v>43962</v>
      </c>
      <c r="B72" s="33" t="str">
        <f t="shared" ca="1" si="0"/>
        <v/>
      </c>
      <c r="C72" s="51">
        <v>69</v>
      </c>
      <c r="D72" s="35">
        <f>DANE!D72</f>
        <v>330</v>
      </c>
      <c r="E72" s="52">
        <f t="shared" si="8"/>
        <v>16326</v>
      </c>
      <c r="F72" s="37">
        <f>DANE!E72</f>
        <v>11</v>
      </c>
      <c r="G72" s="53">
        <f t="shared" si="9"/>
        <v>810</v>
      </c>
      <c r="H72" s="39">
        <f t="shared" si="4"/>
        <v>118</v>
      </c>
      <c r="I72" s="40">
        <f>DANE!F72</f>
        <v>5816</v>
      </c>
      <c r="J72" s="54">
        <f t="shared" si="5"/>
        <v>201</v>
      </c>
      <c r="K72" s="42">
        <f t="shared" si="10"/>
        <v>9700</v>
      </c>
      <c r="L72" s="79">
        <f t="shared" ca="1" si="11"/>
        <v>331.42857142857144</v>
      </c>
      <c r="M72" s="44">
        <f t="shared" si="6"/>
        <v>12.224569876245095</v>
      </c>
      <c r="N72" s="45">
        <f t="shared" si="7"/>
        <v>4.9614112458654906</v>
      </c>
      <c r="O72" s="46">
        <f t="shared" si="12"/>
        <v>2273.2254163423477</v>
      </c>
      <c r="P72" s="46">
        <f t="shared" si="13"/>
        <v>2.7035010487777874E-3</v>
      </c>
      <c r="Q72" s="80">
        <f t="shared" si="14"/>
        <v>1.0189245073414446</v>
      </c>
      <c r="R72" s="80">
        <f t="shared" ca="1" si="15"/>
        <v>1.0239356399073047</v>
      </c>
      <c r="S72" s="81">
        <f t="shared" ca="1" si="16"/>
        <v>0</v>
      </c>
      <c r="T72" s="82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</row>
    <row r="73" spans="1:45" x14ac:dyDescent="0.25">
      <c r="A73" s="32">
        <v>43963</v>
      </c>
      <c r="B73" s="33" t="str">
        <f t="shared" ca="1" si="0"/>
        <v/>
      </c>
      <c r="C73" s="51">
        <v>70</v>
      </c>
      <c r="D73" s="35">
        <f>DANE!D73</f>
        <v>556</v>
      </c>
      <c r="E73" s="52">
        <f t="shared" si="8"/>
        <v>16882</v>
      </c>
      <c r="F73" s="37">
        <f>DANE!E73</f>
        <v>28</v>
      </c>
      <c r="G73" s="53">
        <f t="shared" si="9"/>
        <v>838</v>
      </c>
      <c r="H73" s="39">
        <f t="shared" si="4"/>
        <v>315</v>
      </c>
      <c r="I73" s="40">
        <f>DANE!F73</f>
        <v>6131</v>
      </c>
      <c r="J73" s="54">
        <f t="shared" si="5"/>
        <v>213</v>
      </c>
      <c r="K73" s="42">
        <f t="shared" si="10"/>
        <v>9913</v>
      </c>
      <c r="L73" s="79">
        <f t="shared" ca="1" si="11"/>
        <v>352.85714285714283</v>
      </c>
      <c r="M73" s="44">
        <f t="shared" si="6"/>
        <v>12.024680728942458</v>
      </c>
      <c r="N73" s="45">
        <f t="shared" si="7"/>
        <v>4.9638668404217512</v>
      </c>
      <c r="O73" s="46">
        <f t="shared" si="12"/>
        <v>2504.4789282934407</v>
      </c>
      <c r="P73" s="46">
        <f t="shared" si="13"/>
        <v>0.10172924791734173</v>
      </c>
      <c r="Q73" s="80">
        <f t="shared" si="14"/>
        <v>1.7121047354213921</v>
      </c>
      <c r="R73" s="80">
        <f t="shared" ca="1" si="15"/>
        <v>1.0857929185253314</v>
      </c>
      <c r="S73" s="81">
        <f t="shared" ca="1" si="16"/>
        <v>7.0000000000000062E-2</v>
      </c>
      <c r="T73" s="83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</row>
    <row r="74" spans="1:45" x14ac:dyDescent="0.25">
      <c r="A74" s="32">
        <v>43964</v>
      </c>
      <c r="B74" s="33" t="str">
        <f t="shared" ca="1" si="0"/>
        <v/>
      </c>
      <c r="C74" s="51">
        <v>71</v>
      </c>
      <c r="D74" s="35">
        <f>DANE!D74</f>
        <v>322</v>
      </c>
      <c r="E74" s="52">
        <f t="shared" si="8"/>
        <v>17204</v>
      </c>
      <c r="F74" s="37">
        <f>DANE!E74</f>
        <v>23</v>
      </c>
      <c r="G74" s="53">
        <f t="shared" si="9"/>
        <v>861</v>
      </c>
      <c r="H74" s="39">
        <f t="shared" si="4"/>
        <v>279</v>
      </c>
      <c r="I74" s="40">
        <f>DANE!F74</f>
        <v>6410</v>
      </c>
      <c r="J74" s="54">
        <f t="shared" si="5"/>
        <v>20</v>
      </c>
      <c r="K74" s="42">
        <f t="shared" si="10"/>
        <v>9933</v>
      </c>
      <c r="L74" s="79">
        <f t="shared" ca="1" si="11"/>
        <v>354.42857142857144</v>
      </c>
      <c r="M74" s="44">
        <f t="shared" si="6"/>
        <v>11.841562371063127</v>
      </c>
      <c r="N74" s="45">
        <f t="shared" si="7"/>
        <v>5.0046500813764245</v>
      </c>
      <c r="O74" s="46">
        <f t="shared" si="12"/>
        <v>2468.6962242515206</v>
      </c>
      <c r="P74" s="46">
        <f t="shared" si="13"/>
        <v>-1.4287484569216403E-2</v>
      </c>
      <c r="Q74" s="80">
        <f t="shared" si="14"/>
        <v>0.89998760801548516</v>
      </c>
      <c r="R74" s="80">
        <f t="shared" ca="1" si="15"/>
        <v>1.0797572558399633</v>
      </c>
      <c r="S74" s="81">
        <f t="shared" ca="1" si="16"/>
        <v>-1.0000000000000009E-2</v>
      </c>
      <c r="T74" s="83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</row>
    <row r="75" spans="1:45" x14ac:dyDescent="0.25">
      <c r="A75" s="32">
        <v>43965</v>
      </c>
      <c r="B75" s="33" t="str">
        <f t="shared" ca="1" si="0"/>
        <v/>
      </c>
      <c r="C75" s="51">
        <v>72</v>
      </c>
      <c r="D75" s="35">
        <f>DANE!D75</f>
        <v>411</v>
      </c>
      <c r="E75" s="52">
        <f t="shared" si="8"/>
        <v>17615</v>
      </c>
      <c r="F75" s="37">
        <f>DANE!E75</f>
        <v>22</v>
      </c>
      <c r="G75" s="53">
        <f t="shared" si="9"/>
        <v>883</v>
      </c>
      <c r="H75" s="39">
        <f t="shared" si="4"/>
        <v>286</v>
      </c>
      <c r="I75" s="40">
        <f>DANE!F75</f>
        <v>6696</v>
      </c>
      <c r="J75" s="54">
        <f t="shared" si="5"/>
        <v>103</v>
      </c>
      <c r="K75" s="42">
        <f t="shared" si="10"/>
        <v>10036</v>
      </c>
      <c r="L75" s="79">
        <f t="shared" ca="1" si="11"/>
        <v>369.85714285714283</v>
      </c>
      <c r="M75" s="44">
        <f t="shared" si="6"/>
        <v>11.65061353740599</v>
      </c>
      <c r="N75" s="45">
        <f t="shared" si="7"/>
        <v>5.0127732046551232</v>
      </c>
      <c r="O75" s="46">
        <f t="shared" si="12"/>
        <v>2527.0253350727321</v>
      </c>
      <c r="P75" s="46">
        <f t="shared" si="13"/>
        <v>2.3627496266332339E-2</v>
      </c>
      <c r="Q75" s="80">
        <f t="shared" si="14"/>
        <v>1.1653924738643264</v>
      </c>
      <c r="R75" s="80">
        <f t="shared" ca="1" si="15"/>
        <v>1.1140079190692049</v>
      </c>
      <c r="S75" s="81">
        <f t="shared" ca="1" si="16"/>
        <v>3.0000000000000027E-2</v>
      </c>
      <c r="T75" s="83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</row>
    <row r="76" spans="1:45" x14ac:dyDescent="0.25">
      <c r="A76" s="32">
        <v>43966</v>
      </c>
      <c r="B76" s="33" t="str">
        <f t="shared" ca="1" si="0"/>
        <v/>
      </c>
      <c r="C76" s="51">
        <v>73</v>
      </c>
      <c r="D76" s="35">
        <f>DANE!D76</f>
        <v>401</v>
      </c>
      <c r="E76" s="52">
        <f t="shared" si="8"/>
        <v>18016</v>
      </c>
      <c r="F76" s="37">
        <f>DANE!E76</f>
        <v>24</v>
      </c>
      <c r="G76" s="53">
        <f t="shared" si="9"/>
        <v>907</v>
      </c>
      <c r="H76" s="39">
        <f t="shared" si="4"/>
        <v>222</v>
      </c>
      <c r="I76" s="40">
        <f>DANE!F76</f>
        <v>6918</v>
      </c>
      <c r="J76" s="54">
        <f t="shared" si="5"/>
        <v>155</v>
      </c>
      <c r="K76" s="42">
        <f t="shared" si="10"/>
        <v>10191</v>
      </c>
      <c r="L76" s="79">
        <f t="shared" ca="1" si="11"/>
        <v>379</v>
      </c>
      <c r="M76" s="44">
        <f t="shared" si="6"/>
        <v>11.591054313099042</v>
      </c>
      <c r="N76" s="45">
        <f t="shared" si="7"/>
        <v>5.034413854351687</v>
      </c>
      <c r="O76" s="46">
        <f t="shared" si="12"/>
        <v>2567.0217157766278</v>
      </c>
      <c r="P76" s="46">
        <f t="shared" si="13"/>
        <v>1.5827455367694039E-2</v>
      </c>
      <c r="Q76" s="80">
        <f t="shared" si="14"/>
        <v>1.1107921875738582</v>
      </c>
      <c r="R76" s="80">
        <f t="shared" ca="1" si="15"/>
        <v>1.1240412583478518</v>
      </c>
      <c r="S76" s="81">
        <f t="shared" ca="1" si="16"/>
        <v>1.0000000000000009E-2</v>
      </c>
      <c r="T76" s="83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</row>
    <row r="77" spans="1:45" x14ac:dyDescent="0.25">
      <c r="A77" s="61">
        <v>43967</v>
      </c>
      <c r="B77" s="62" t="str">
        <f t="shared" ca="1" si="0"/>
        <v/>
      </c>
      <c r="C77" s="12">
        <v>74</v>
      </c>
      <c r="D77" s="63">
        <f>DANE!D77</f>
        <v>241</v>
      </c>
      <c r="E77" s="64">
        <f t="shared" si="8"/>
        <v>18257</v>
      </c>
      <c r="F77" s="65">
        <f>DANE!E77</f>
        <v>8</v>
      </c>
      <c r="G77" s="66">
        <f t="shared" si="9"/>
        <v>915</v>
      </c>
      <c r="H77" s="67">
        <f t="shared" si="4"/>
        <v>257</v>
      </c>
      <c r="I77" s="68">
        <f>DANE!F77</f>
        <v>7175</v>
      </c>
      <c r="J77" s="54">
        <f t="shared" si="5"/>
        <v>-24</v>
      </c>
      <c r="K77" s="69">
        <f t="shared" si="10"/>
        <v>10167</v>
      </c>
      <c r="L77" s="84">
        <f t="shared" ca="1" si="11"/>
        <v>372.28571428571428</v>
      </c>
      <c r="M77" s="44">
        <f t="shared" si="6"/>
        <v>11.31025957972806</v>
      </c>
      <c r="N77" s="45">
        <f t="shared" si="7"/>
        <v>5.0117763049789117</v>
      </c>
      <c r="O77" s="71">
        <f t="shared" si="12"/>
        <v>2441.3043278085383</v>
      </c>
      <c r="P77" s="71">
        <f t="shared" si="13"/>
        <v>-4.8974025889786797E-2</v>
      </c>
      <c r="Q77" s="85">
        <f t="shared" si="14"/>
        <v>0.6571818187714924</v>
      </c>
      <c r="R77" s="85">
        <f t="shared" ca="1" si="15"/>
        <v>1.0916189260756988</v>
      </c>
      <c r="S77" s="86">
        <f t="shared" ca="1" si="16"/>
        <v>-3.0000000000000027E-2</v>
      </c>
      <c r="T77" s="87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</row>
    <row r="78" spans="1:45" x14ac:dyDescent="0.25">
      <c r="A78" s="61">
        <v>43968</v>
      </c>
      <c r="B78" s="62" t="str">
        <f t="shared" ca="1" si="0"/>
        <v/>
      </c>
      <c r="C78" s="12">
        <v>75</v>
      </c>
      <c r="D78" s="63">
        <f>DANE!D78</f>
        <v>272</v>
      </c>
      <c r="E78" s="64">
        <f t="shared" si="8"/>
        <v>18529</v>
      </c>
      <c r="F78" s="65">
        <f>DANE!E78</f>
        <v>10</v>
      </c>
      <c r="G78" s="66">
        <f t="shared" si="9"/>
        <v>925</v>
      </c>
      <c r="H78" s="67">
        <f t="shared" si="4"/>
        <v>276</v>
      </c>
      <c r="I78" s="68">
        <f>DANE!F78</f>
        <v>7451</v>
      </c>
      <c r="J78" s="54">
        <f t="shared" si="5"/>
        <v>-14</v>
      </c>
      <c r="K78" s="69">
        <f t="shared" si="10"/>
        <v>10153</v>
      </c>
      <c r="L78" s="84">
        <f t="shared" ca="1" si="11"/>
        <v>361.85714285714283</v>
      </c>
      <c r="M78" s="44">
        <f t="shared" si="6"/>
        <v>11.043457497612225</v>
      </c>
      <c r="N78" s="45">
        <f t="shared" si="7"/>
        <v>4.9921744292730317</v>
      </c>
      <c r="O78" s="71">
        <f t="shared" si="12"/>
        <v>2364.5465666930331</v>
      </c>
      <c r="P78" s="71">
        <f t="shared" si="13"/>
        <v>-3.1441291542872743E-2</v>
      </c>
      <c r="Q78" s="85">
        <f t="shared" si="14"/>
        <v>0.77991095919989073</v>
      </c>
      <c r="R78" s="85">
        <f t="shared" ca="1" si="15"/>
        <v>1.0491848985982699</v>
      </c>
      <c r="S78" s="86">
        <f t="shared" ca="1" si="16"/>
        <v>-4.0000000000000036E-2</v>
      </c>
      <c r="T78" s="87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</row>
    <row r="79" spans="1:45" x14ac:dyDescent="0.25">
      <c r="A79" s="32">
        <v>43969</v>
      </c>
      <c r="B79" s="33" t="str">
        <f t="shared" ca="1" si="0"/>
        <v/>
      </c>
      <c r="C79" s="51">
        <f t="shared" ref="C79:C298" si="17">C78+1</f>
        <v>76</v>
      </c>
      <c r="D79" s="35">
        <f>DANE!D79</f>
        <v>356</v>
      </c>
      <c r="E79" s="52">
        <f t="shared" si="8"/>
        <v>18885</v>
      </c>
      <c r="F79" s="37">
        <f>DANE!E79</f>
        <v>11</v>
      </c>
      <c r="G79" s="53">
        <f t="shared" si="9"/>
        <v>936</v>
      </c>
      <c r="H79" s="39">
        <f t="shared" si="4"/>
        <v>177</v>
      </c>
      <c r="I79" s="40">
        <f>DANE!F79</f>
        <v>7628</v>
      </c>
      <c r="J79" s="54">
        <f t="shared" si="5"/>
        <v>168</v>
      </c>
      <c r="K79" s="42">
        <f t="shared" si="10"/>
        <v>10321</v>
      </c>
      <c r="L79" s="79">
        <f t="shared" ca="1" si="11"/>
        <v>365.57142857142856</v>
      </c>
      <c r="M79" s="44">
        <f t="shared" si="6"/>
        <v>10.929472209248015</v>
      </c>
      <c r="N79" s="45">
        <f t="shared" si="7"/>
        <v>4.9563145353455118</v>
      </c>
      <c r="O79" s="46">
        <f t="shared" si="12"/>
        <v>2382.7542000225999</v>
      </c>
      <c r="P79" s="46">
        <f t="shared" si="13"/>
        <v>7.7002642223414864E-3</v>
      </c>
      <c r="Q79" s="80">
        <f t="shared" si="14"/>
        <v>1.0539018495563903</v>
      </c>
      <c r="R79" s="80">
        <f t="shared" ca="1" si="15"/>
        <v>1.0541816617718338</v>
      </c>
      <c r="S79" s="81">
        <f t="shared" ca="1" si="16"/>
        <v>0</v>
      </c>
      <c r="T79" s="83"/>
      <c r="U79" s="89"/>
      <c r="V79" s="89"/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  <c r="AK79" s="89"/>
      <c r="AL79" s="89"/>
      <c r="AM79" s="89"/>
      <c r="AN79" s="89"/>
      <c r="AO79" s="89"/>
      <c r="AP79" s="89"/>
      <c r="AQ79" s="89"/>
      <c r="AR79" s="89"/>
      <c r="AS79" s="89"/>
    </row>
    <row r="80" spans="1:45" x14ac:dyDescent="0.25">
      <c r="A80" s="32">
        <v>43970</v>
      </c>
      <c r="B80" s="33" t="str">
        <f t="shared" ca="1" si="0"/>
        <v/>
      </c>
      <c r="C80" s="51">
        <f t="shared" si="17"/>
        <v>77</v>
      </c>
      <c r="D80" s="35">
        <f>DANE!D80</f>
        <v>382</v>
      </c>
      <c r="E80" s="52">
        <f t="shared" si="8"/>
        <v>19267</v>
      </c>
      <c r="F80" s="37">
        <f>DANE!E80</f>
        <v>12</v>
      </c>
      <c r="G80" s="53">
        <f t="shared" si="9"/>
        <v>948</v>
      </c>
      <c r="H80" s="39">
        <f t="shared" si="4"/>
        <v>275</v>
      </c>
      <c r="I80" s="40">
        <f>DANE!F80</f>
        <v>7903</v>
      </c>
      <c r="J80" s="54">
        <f t="shared" si="5"/>
        <v>95</v>
      </c>
      <c r="K80" s="42">
        <f t="shared" si="10"/>
        <v>10416</v>
      </c>
      <c r="L80" s="79">
        <f t="shared" ca="1" si="11"/>
        <v>340.71428571428572</v>
      </c>
      <c r="M80" s="44">
        <f t="shared" si="6"/>
        <v>10.710654163371371</v>
      </c>
      <c r="N80" s="45">
        <f t="shared" si="7"/>
        <v>4.9203300980951887</v>
      </c>
      <c r="O80" s="46">
        <f t="shared" si="12"/>
        <v>2424.3607428765145</v>
      </c>
      <c r="P80" s="46">
        <f t="shared" si="13"/>
        <v>1.7461533738360395E-2</v>
      </c>
      <c r="Q80" s="80">
        <f t="shared" si="14"/>
        <v>1.1222307361685229</v>
      </c>
      <c r="R80" s="80">
        <f t="shared" ca="1" si="15"/>
        <v>0.96991394759285221</v>
      </c>
      <c r="S80" s="81">
        <f t="shared" ca="1" si="16"/>
        <v>-8.0000000000000071E-2</v>
      </c>
      <c r="T80" s="83"/>
      <c r="U80" s="89"/>
      <c r="V80" s="89"/>
      <c r="W80" s="89"/>
      <c r="X80" s="89"/>
      <c r="Y80" s="89"/>
      <c r="Z80" s="89"/>
      <c r="AA80" s="89"/>
      <c r="AB80" s="89"/>
      <c r="AC80" s="89"/>
      <c r="AD80" s="89"/>
      <c r="AE80" s="89"/>
      <c r="AF80" s="89"/>
      <c r="AG80" s="89"/>
      <c r="AH80" s="89"/>
      <c r="AI80" s="89"/>
      <c r="AJ80" s="89"/>
      <c r="AK80" s="89"/>
      <c r="AL80" s="89"/>
      <c r="AM80" s="89"/>
      <c r="AN80" s="89"/>
      <c r="AO80" s="89"/>
      <c r="AP80" s="89"/>
      <c r="AQ80" s="89"/>
      <c r="AR80" s="89"/>
      <c r="AS80" s="89"/>
    </row>
    <row r="81" spans="1:45" x14ac:dyDescent="0.25">
      <c r="A81" s="32">
        <v>43971</v>
      </c>
      <c r="B81" s="33" t="str">
        <f t="shared" ca="1" si="0"/>
        <v/>
      </c>
      <c r="C81" s="51">
        <f t="shared" si="17"/>
        <v>78</v>
      </c>
      <c r="D81" s="35">
        <f>DANE!D81</f>
        <v>471</v>
      </c>
      <c r="E81" s="52">
        <f t="shared" si="8"/>
        <v>19738</v>
      </c>
      <c r="F81" s="37">
        <f>DANE!E81</f>
        <v>14</v>
      </c>
      <c r="G81" s="53">
        <f t="shared" si="9"/>
        <v>962</v>
      </c>
      <c r="H81" s="39">
        <f t="shared" si="4"/>
        <v>280</v>
      </c>
      <c r="I81" s="40">
        <f>DANE!F81</f>
        <v>8183</v>
      </c>
      <c r="J81" s="54">
        <f t="shared" si="5"/>
        <v>177</v>
      </c>
      <c r="K81" s="42">
        <f t="shared" si="10"/>
        <v>10593</v>
      </c>
      <c r="L81" s="79">
        <f t="shared" ca="1" si="11"/>
        <v>362</v>
      </c>
      <c r="M81" s="44">
        <f t="shared" si="6"/>
        <v>10.519409513395297</v>
      </c>
      <c r="N81" s="45">
        <f t="shared" si="7"/>
        <v>4.873847400952477</v>
      </c>
      <c r="O81" s="46">
        <f t="shared" si="12"/>
        <v>2549.0234938941553</v>
      </c>
      <c r="P81" s="46">
        <f t="shared" si="13"/>
        <v>5.142087512509709E-2</v>
      </c>
      <c r="Q81" s="80">
        <f t="shared" si="14"/>
        <v>1.3599461258756795</v>
      </c>
      <c r="R81" s="80">
        <f t="shared" ca="1" si="15"/>
        <v>1.0356223072871658</v>
      </c>
      <c r="S81" s="81">
        <f t="shared" ca="1" si="16"/>
        <v>7.0000000000000062E-2</v>
      </c>
      <c r="T81" s="83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89"/>
      <c r="AQ81" s="89"/>
      <c r="AR81" s="89"/>
      <c r="AS81" s="89"/>
    </row>
    <row r="82" spans="1:45" x14ac:dyDescent="0.25">
      <c r="A82" s="32">
        <v>43972</v>
      </c>
      <c r="B82" s="33" t="str">
        <f t="shared" ca="1" si="0"/>
        <v/>
      </c>
      <c r="C82" s="51">
        <f t="shared" si="17"/>
        <v>79</v>
      </c>
      <c r="D82" s="35">
        <f>DANE!D82</f>
        <v>403</v>
      </c>
      <c r="E82" s="52">
        <f t="shared" si="8"/>
        <v>20141</v>
      </c>
      <c r="F82" s="37">
        <f>DANE!E82</f>
        <v>10</v>
      </c>
      <c r="G82" s="53">
        <f t="shared" si="9"/>
        <v>972</v>
      </c>
      <c r="H82" s="39">
        <f t="shared" si="4"/>
        <v>269</v>
      </c>
      <c r="I82" s="40">
        <f>DANE!F82</f>
        <v>8452</v>
      </c>
      <c r="J82" s="54">
        <f t="shared" si="5"/>
        <v>124</v>
      </c>
      <c r="K82" s="42">
        <f t="shared" si="10"/>
        <v>10717</v>
      </c>
      <c r="L82" s="79">
        <f t="shared" ca="1" si="11"/>
        <v>360.85714285714283</v>
      </c>
      <c r="M82" s="44">
        <f t="shared" si="6"/>
        <v>10.31409168081494</v>
      </c>
      <c r="N82" s="45">
        <f t="shared" si="7"/>
        <v>4.8259768631150388</v>
      </c>
      <c r="O82" s="46">
        <f t="shared" si="12"/>
        <v>2587.8772804807045</v>
      </c>
      <c r="P82" s="46">
        <f t="shared" si="13"/>
        <v>1.524261611539408E-2</v>
      </c>
      <c r="Q82" s="80">
        <f t="shared" si="14"/>
        <v>1.1066983128077585</v>
      </c>
      <c r="R82" s="80">
        <f t="shared" ca="1" si="15"/>
        <v>1.0272374271362277</v>
      </c>
      <c r="S82" s="81">
        <f t="shared" ca="1" si="16"/>
        <v>-1.0000000000000009E-2</v>
      </c>
      <c r="T82" s="83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</row>
    <row r="83" spans="1:45" x14ac:dyDescent="0.25">
      <c r="A83" s="32">
        <v>43973</v>
      </c>
      <c r="B83" s="33" t="str">
        <f t="shared" ca="1" si="0"/>
        <v/>
      </c>
      <c r="C83" s="51">
        <f t="shared" si="17"/>
        <v>80</v>
      </c>
      <c r="D83" s="35">
        <f>DANE!D83</f>
        <v>471</v>
      </c>
      <c r="E83" s="52">
        <f t="shared" si="8"/>
        <v>20612</v>
      </c>
      <c r="F83" s="37">
        <f>DANE!E83</f>
        <v>10</v>
      </c>
      <c r="G83" s="53">
        <f t="shared" si="9"/>
        <v>982</v>
      </c>
      <c r="H83" s="39">
        <f t="shared" si="4"/>
        <v>279</v>
      </c>
      <c r="I83" s="40">
        <f>DANE!F83</f>
        <v>8731</v>
      </c>
      <c r="J83" s="54">
        <f t="shared" si="5"/>
        <v>182</v>
      </c>
      <c r="K83" s="42">
        <f t="shared" si="10"/>
        <v>10899</v>
      </c>
      <c r="L83" s="79">
        <f t="shared" ca="1" si="11"/>
        <v>370.85714285714283</v>
      </c>
      <c r="M83" s="44">
        <f t="shared" si="6"/>
        <v>10.110161639040461</v>
      </c>
      <c r="N83" s="45">
        <f t="shared" si="7"/>
        <v>4.7642150203764801</v>
      </c>
      <c r="O83" s="46">
        <f t="shared" si="12"/>
        <v>2689.1805261263185</v>
      </c>
      <c r="P83" s="46">
        <f t="shared" si="13"/>
        <v>3.9145305076752575E-2</v>
      </c>
      <c r="Q83" s="80">
        <f t="shared" si="14"/>
        <v>1.274017135537268</v>
      </c>
      <c r="R83" s="80">
        <f t="shared" ca="1" si="15"/>
        <v>1.0505552768452862</v>
      </c>
      <c r="S83" s="81">
        <f t="shared" ca="1" si="16"/>
        <v>2.0000000000000018E-2</v>
      </c>
      <c r="T83" s="83"/>
      <c r="U83" s="89"/>
      <c r="V83" s="89"/>
      <c r="W83" s="89"/>
      <c r="X83" s="89"/>
      <c r="Y83" s="89"/>
      <c r="Z83" s="89"/>
      <c r="AA83" s="89"/>
      <c r="AB83" s="89"/>
      <c r="AC83" s="89"/>
      <c r="AD83" s="89"/>
      <c r="AE83" s="89"/>
      <c r="AF83" s="89"/>
      <c r="AG83" s="89"/>
      <c r="AH83" s="89"/>
      <c r="AI83" s="89"/>
      <c r="AJ83" s="89"/>
      <c r="AK83" s="89"/>
      <c r="AL83" s="89"/>
      <c r="AM83" s="89"/>
      <c r="AN83" s="89"/>
      <c r="AO83" s="89"/>
      <c r="AP83" s="89"/>
      <c r="AQ83" s="89"/>
      <c r="AR83" s="89"/>
      <c r="AS83" s="89"/>
    </row>
    <row r="84" spans="1:45" x14ac:dyDescent="0.25">
      <c r="A84" s="61">
        <v>43974</v>
      </c>
      <c r="B84" s="62" t="str">
        <f t="shared" ca="1" si="0"/>
        <v/>
      </c>
      <c r="C84" s="12">
        <f t="shared" si="17"/>
        <v>81</v>
      </c>
      <c r="D84" s="63">
        <f>DANE!D84</f>
        <v>315</v>
      </c>
      <c r="E84" s="64">
        <f t="shared" si="8"/>
        <v>20927</v>
      </c>
      <c r="F84" s="65">
        <f>DANE!E84</f>
        <v>11</v>
      </c>
      <c r="G84" s="66">
        <f t="shared" si="9"/>
        <v>993</v>
      </c>
      <c r="H84" s="67">
        <f t="shared" si="4"/>
        <v>246</v>
      </c>
      <c r="I84" s="68">
        <f>DANE!F84</f>
        <v>8977</v>
      </c>
      <c r="J84" s="54">
        <f t="shared" si="5"/>
        <v>58</v>
      </c>
      <c r="K84" s="69">
        <f t="shared" si="10"/>
        <v>10957</v>
      </c>
      <c r="L84" s="84">
        <f t="shared" ca="1" si="11"/>
        <v>381.42857142857144</v>
      </c>
      <c r="M84" s="44">
        <f t="shared" si="6"/>
        <v>9.9598796389167514</v>
      </c>
      <c r="N84" s="45">
        <f t="shared" si="7"/>
        <v>4.7450661824437326</v>
      </c>
      <c r="O84" s="71">
        <f t="shared" si="12"/>
        <v>2620.0118795368444</v>
      </c>
      <c r="P84" s="71">
        <f t="shared" si="13"/>
        <v>-2.5721087118353251E-2</v>
      </c>
      <c r="Q84" s="85">
        <f t="shared" si="14"/>
        <v>0.81995239017152721</v>
      </c>
      <c r="R84" s="85">
        <f t="shared" ca="1" si="15"/>
        <v>1.0738082156167195</v>
      </c>
      <c r="S84" s="86">
        <f t="shared" ca="1" si="16"/>
        <v>2.0000000000000018E-2</v>
      </c>
      <c r="T84" s="87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</row>
    <row r="85" spans="1:45" x14ac:dyDescent="0.25">
      <c r="A85" s="61">
        <v>43975</v>
      </c>
      <c r="B85" s="62" t="str">
        <f t="shared" ca="1" si="0"/>
        <v/>
      </c>
      <c r="C85" s="12">
        <f t="shared" si="17"/>
        <v>82</v>
      </c>
      <c r="D85" s="63">
        <f>DANE!D85</f>
        <v>361</v>
      </c>
      <c r="E85" s="64">
        <f t="shared" si="8"/>
        <v>21288</v>
      </c>
      <c r="F85" s="65">
        <f>DANE!E85</f>
        <v>3</v>
      </c>
      <c r="G85" s="66">
        <f t="shared" si="9"/>
        <v>996</v>
      </c>
      <c r="H85" s="67">
        <f t="shared" si="4"/>
        <v>217</v>
      </c>
      <c r="I85" s="68">
        <f>DANE!F85</f>
        <v>9194</v>
      </c>
      <c r="J85" s="54">
        <f t="shared" si="5"/>
        <v>141</v>
      </c>
      <c r="K85" s="69">
        <f t="shared" si="10"/>
        <v>11098</v>
      </c>
      <c r="L85" s="84">
        <f t="shared" ca="1" si="11"/>
        <v>394.14285714285717</v>
      </c>
      <c r="M85" s="44">
        <f t="shared" si="6"/>
        <v>9.7742885181550534</v>
      </c>
      <c r="N85" s="45">
        <f t="shared" si="7"/>
        <v>4.6786922209695607</v>
      </c>
      <c r="O85" s="71">
        <f t="shared" si="12"/>
        <v>2606.7244681744382</v>
      </c>
      <c r="P85" s="71">
        <f t="shared" si="13"/>
        <v>-5.0715080592516415E-3</v>
      </c>
      <c r="Q85" s="85">
        <f t="shared" si="14"/>
        <v>0.96449944358523854</v>
      </c>
      <c r="R85" s="85">
        <f t="shared" ca="1" si="15"/>
        <v>1.1001779991003409</v>
      </c>
      <c r="S85" s="86">
        <f t="shared" ca="1" si="16"/>
        <v>3.0000000000000027E-2</v>
      </c>
      <c r="T85" s="87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</row>
    <row r="86" spans="1:45" x14ac:dyDescent="0.25">
      <c r="A86" s="32">
        <v>43976</v>
      </c>
      <c r="B86" s="33" t="str">
        <f t="shared" ca="1" si="0"/>
        <v/>
      </c>
      <c r="C86" s="51">
        <f t="shared" si="17"/>
        <v>83</v>
      </c>
      <c r="D86" s="35">
        <f>DANE!D86</f>
        <v>341</v>
      </c>
      <c r="E86" s="52">
        <f t="shared" si="8"/>
        <v>21629</v>
      </c>
      <c r="F86" s="37">
        <f>DANE!E86</f>
        <v>11</v>
      </c>
      <c r="G86" s="53">
        <f t="shared" si="9"/>
        <v>1007</v>
      </c>
      <c r="H86" s="39">
        <f t="shared" si="4"/>
        <v>82</v>
      </c>
      <c r="I86" s="40">
        <f>DANE!F86</f>
        <v>9276</v>
      </c>
      <c r="J86" s="54">
        <f t="shared" si="5"/>
        <v>248</v>
      </c>
      <c r="K86" s="42">
        <f t="shared" si="10"/>
        <v>11346</v>
      </c>
      <c r="L86" s="79">
        <f t="shared" ca="1" si="11"/>
        <v>392</v>
      </c>
      <c r="M86" s="44">
        <f t="shared" si="6"/>
        <v>9.7928620052513864</v>
      </c>
      <c r="N86" s="45">
        <f t="shared" si="7"/>
        <v>4.6557862129548298</v>
      </c>
      <c r="O86" s="46">
        <f t="shared" si="12"/>
        <v>2575.3352584352328</v>
      </c>
      <c r="P86" s="46">
        <f t="shared" si="13"/>
        <v>-1.204162930238198E-2</v>
      </c>
      <c r="Q86" s="80">
        <f t="shared" si="14"/>
        <v>0.91570859488332612</v>
      </c>
      <c r="R86" s="80">
        <f t="shared" ca="1" si="15"/>
        <v>1.0804361055756171</v>
      </c>
      <c r="S86" s="81">
        <f t="shared" ca="1" si="16"/>
        <v>-2.0000000000000018E-2</v>
      </c>
      <c r="T86" s="83"/>
      <c r="U86" s="376"/>
      <c r="V86" s="372"/>
      <c r="W86" s="372"/>
      <c r="X86" s="372"/>
      <c r="Y86" s="372"/>
      <c r="Z86" s="372"/>
      <c r="AA86" s="372"/>
      <c r="AB86" s="372"/>
      <c r="AC86" s="91"/>
      <c r="AD86" s="91"/>
      <c r="AE86" s="91"/>
      <c r="AF86" s="91"/>
      <c r="AG86" s="91"/>
      <c r="AH86" s="91"/>
      <c r="AI86" s="91"/>
      <c r="AJ86" s="91"/>
      <c r="AK86" s="91"/>
      <c r="AL86" s="91"/>
      <c r="AM86" s="91"/>
      <c r="AN86" s="91"/>
      <c r="AO86" s="91"/>
      <c r="AP86" s="91"/>
      <c r="AQ86" s="91"/>
      <c r="AR86" s="91"/>
      <c r="AS86" s="91"/>
    </row>
    <row r="87" spans="1:45" x14ac:dyDescent="0.25">
      <c r="A87" s="32">
        <v>43977</v>
      </c>
      <c r="B87" s="33" t="str">
        <f t="shared" ca="1" si="0"/>
        <v/>
      </c>
      <c r="C87" s="51">
        <f t="shared" si="17"/>
        <v>84</v>
      </c>
      <c r="D87" s="35">
        <f>DANE!D87</f>
        <v>443</v>
      </c>
      <c r="E87" s="52">
        <f t="shared" si="8"/>
        <v>22072</v>
      </c>
      <c r="F87" s="37">
        <f>DANE!E87</f>
        <v>17</v>
      </c>
      <c r="G87" s="53">
        <f t="shared" si="9"/>
        <v>1024</v>
      </c>
      <c r="H87" s="39">
        <f t="shared" si="4"/>
        <v>744</v>
      </c>
      <c r="I87" s="40">
        <f>DANE!F87</f>
        <v>10020</v>
      </c>
      <c r="J87" s="54">
        <f t="shared" si="5"/>
        <v>-318</v>
      </c>
      <c r="K87" s="42">
        <f t="shared" si="10"/>
        <v>11028</v>
      </c>
      <c r="L87" s="79">
        <f t="shared" ca="1" si="11"/>
        <v>400.71428571428572</v>
      </c>
      <c r="M87" s="44">
        <f t="shared" si="6"/>
        <v>9.2720028975009061</v>
      </c>
      <c r="N87" s="45">
        <f t="shared" si="7"/>
        <v>4.6393620877129393</v>
      </c>
      <c r="O87" s="46">
        <f t="shared" si="12"/>
        <v>2650.4302215159141</v>
      </c>
      <c r="P87" s="46">
        <f t="shared" si="13"/>
        <v>2.9159295992518191E-2</v>
      </c>
      <c r="Q87" s="80">
        <f t="shared" si="14"/>
        <v>1.2041150719476272</v>
      </c>
      <c r="R87" s="80">
        <f t="shared" ca="1" si="15"/>
        <v>1.092133867829775</v>
      </c>
      <c r="S87" s="81">
        <f t="shared" ca="1" si="16"/>
        <v>1.0000000000000009E-2</v>
      </c>
      <c r="T87" s="83"/>
      <c r="U87" s="376"/>
      <c r="V87" s="372"/>
      <c r="W87" s="372"/>
      <c r="X87" s="372"/>
      <c r="Y87" s="372"/>
      <c r="Z87" s="372"/>
      <c r="AA87" s="372"/>
      <c r="AB87" s="372"/>
      <c r="AC87" s="91"/>
      <c r="AD87" s="91"/>
      <c r="AE87" s="91"/>
      <c r="AF87" s="91"/>
      <c r="AG87" s="91"/>
      <c r="AH87" s="91"/>
      <c r="AI87" s="91"/>
      <c r="AJ87" s="91"/>
      <c r="AK87" s="91"/>
      <c r="AL87" s="91"/>
      <c r="AM87" s="91"/>
      <c r="AN87" s="91"/>
      <c r="AO87" s="91"/>
      <c r="AP87" s="91"/>
      <c r="AQ87" s="91"/>
      <c r="AR87" s="91"/>
      <c r="AS87" s="91"/>
    </row>
    <row r="88" spans="1:45" x14ac:dyDescent="0.25">
      <c r="A88" s="32">
        <v>43978</v>
      </c>
      <c r="B88" s="33" t="str">
        <f t="shared" ca="1" si="0"/>
        <v/>
      </c>
      <c r="C88" s="51">
        <f t="shared" si="17"/>
        <v>85</v>
      </c>
      <c r="D88" s="35">
        <f>DANE!D88</f>
        <v>397</v>
      </c>
      <c r="E88" s="52">
        <f t="shared" si="8"/>
        <v>22469</v>
      </c>
      <c r="F88" s="37">
        <f>DANE!E88</f>
        <v>4</v>
      </c>
      <c r="G88" s="53">
        <f t="shared" si="9"/>
        <v>1028</v>
      </c>
      <c r="H88" s="39">
        <f t="shared" si="4"/>
        <v>310</v>
      </c>
      <c r="I88" s="40">
        <f>DANE!F88</f>
        <v>10330</v>
      </c>
      <c r="J88" s="54">
        <f t="shared" si="5"/>
        <v>83</v>
      </c>
      <c r="K88" s="42">
        <f t="shared" si="10"/>
        <v>11111</v>
      </c>
      <c r="L88" s="79">
        <f t="shared" ca="1" si="11"/>
        <v>390.14285714285717</v>
      </c>
      <c r="M88" s="44">
        <f t="shared" si="6"/>
        <v>9.0508892410635671</v>
      </c>
      <c r="N88" s="45">
        <f t="shared" si="7"/>
        <v>4.5751924874271221</v>
      </c>
      <c r="O88" s="46">
        <f t="shared" si="12"/>
        <v>2668.7973327279265</v>
      </c>
      <c r="P88" s="46">
        <f t="shared" si="13"/>
        <v>6.929860315849877E-3</v>
      </c>
      <c r="Q88" s="80">
        <f t="shared" si="14"/>
        <v>1.0485090222109492</v>
      </c>
      <c r="R88" s="80">
        <f t="shared" ca="1" si="15"/>
        <v>1.047642853020528</v>
      </c>
      <c r="S88" s="81">
        <f t="shared" ca="1" si="16"/>
        <v>-4.0000000000000036E-2</v>
      </c>
      <c r="T88" s="50"/>
      <c r="U88" s="50"/>
      <c r="V88" s="92"/>
      <c r="W88" s="92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</row>
    <row r="89" spans="1:45" x14ac:dyDescent="0.25">
      <c r="A89" s="32">
        <v>43979</v>
      </c>
      <c r="B89" s="33" t="str">
        <f t="shared" ca="1" si="0"/>
        <v/>
      </c>
      <c r="C89" s="51">
        <f t="shared" si="17"/>
        <v>86</v>
      </c>
      <c r="D89" s="35">
        <f>DANE!D89</f>
        <v>352</v>
      </c>
      <c r="E89" s="52">
        <f t="shared" si="8"/>
        <v>22821</v>
      </c>
      <c r="F89" s="37">
        <f>DANE!E89</f>
        <v>10</v>
      </c>
      <c r="G89" s="53">
        <f t="shared" si="9"/>
        <v>1038</v>
      </c>
      <c r="H89" s="39">
        <f t="shared" si="4"/>
        <v>230</v>
      </c>
      <c r="I89" s="40">
        <f>DANE!F89</f>
        <v>10560</v>
      </c>
      <c r="J89" s="54">
        <f t="shared" si="5"/>
        <v>112</v>
      </c>
      <c r="K89" s="42">
        <f t="shared" si="10"/>
        <v>11223</v>
      </c>
      <c r="L89" s="79">
        <f t="shared" ca="1" si="11"/>
        <v>382.85714285714283</v>
      </c>
      <c r="M89" s="44">
        <f t="shared" si="6"/>
        <v>8.9498189342990173</v>
      </c>
      <c r="N89" s="45">
        <f t="shared" si="7"/>
        <v>4.5484422242671227</v>
      </c>
      <c r="O89" s="46">
        <f t="shared" si="12"/>
        <v>2639.5405709096513</v>
      </c>
      <c r="P89" s="46">
        <f t="shared" si="13"/>
        <v>-1.096252662556817E-2</v>
      </c>
      <c r="Q89" s="80">
        <f t="shared" si="14"/>
        <v>0.92326231362102285</v>
      </c>
      <c r="R89" s="80">
        <f t="shared" ca="1" si="15"/>
        <v>1.0214377102795658</v>
      </c>
      <c r="S89" s="81">
        <f t="shared" ca="1" si="16"/>
        <v>-3.0000000000000027E-2</v>
      </c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</row>
    <row r="90" spans="1:45" x14ac:dyDescent="0.25">
      <c r="A90" s="32">
        <v>43980</v>
      </c>
      <c r="B90" s="33" t="str">
        <f t="shared" ca="1" si="0"/>
        <v/>
      </c>
      <c r="C90" s="51">
        <f t="shared" si="17"/>
        <v>87</v>
      </c>
      <c r="D90" s="35">
        <f>DANE!D90</f>
        <v>332</v>
      </c>
      <c r="E90" s="52">
        <f t="shared" si="8"/>
        <v>23153</v>
      </c>
      <c r="F90" s="37">
        <f>DANE!E90</f>
        <v>13</v>
      </c>
      <c r="G90" s="53">
        <f t="shared" si="9"/>
        <v>1051</v>
      </c>
      <c r="H90" s="39">
        <f t="shared" si="4"/>
        <v>132</v>
      </c>
      <c r="I90" s="40">
        <f>DANE!F90</f>
        <v>10692</v>
      </c>
      <c r="J90" s="54">
        <f t="shared" si="5"/>
        <v>187</v>
      </c>
      <c r="K90" s="42">
        <f t="shared" si="10"/>
        <v>11410</v>
      </c>
      <c r="L90" s="79">
        <f t="shared" ca="1" si="11"/>
        <v>363</v>
      </c>
      <c r="M90" s="44">
        <f t="shared" si="6"/>
        <v>8.9500127735672308</v>
      </c>
      <c r="N90" s="45">
        <f t="shared" si="7"/>
        <v>4.5393685483522654</v>
      </c>
      <c r="O90" s="46">
        <f t="shared" si="12"/>
        <v>2594.463346493987</v>
      </c>
      <c r="P90" s="46">
        <f t="shared" si="13"/>
        <v>-1.7077678180990971E-2</v>
      </c>
      <c r="Q90" s="80">
        <f t="shared" si="14"/>
        <v>0.88045625273306316</v>
      </c>
      <c r="R90" s="80">
        <f t="shared" ca="1" si="15"/>
        <v>0.96521472702182198</v>
      </c>
      <c r="S90" s="81">
        <f t="shared" ca="1" si="16"/>
        <v>-5.0000000000000044E-2</v>
      </c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</row>
    <row r="91" spans="1:45" x14ac:dyDescent="0.25">
      <c r="A91" s="61">
        <v>43981</v>
      </c>
      <c r="B91" s="62" t="str">
        <f t="shared" ca="1" si="0"/>
        <v/>
      </c>
      <c r="C91" s="12">
        <f t="shared" si="17"/>
        <v>88</v>
      </c>
      <c r="D91" s="63">
        <f>DANE!D91</f>
        <v>412</v>
      </c>
      <c r="E91" s="64">
        <f t="shared" si="8"/>
        <v>23565</v>
      </c>
      <c r="F91" s="65">
        <f>DANE!E91</f>
        <v>10</v>
      </c>
      <c r="G91" s="66">
        <f t="shared" si="9"/>
        <v>1061</v>
      </c>
      <c r="H91" s="67">
        <f t="shared" si="4"/>
        <v>324</v>
      </c>
      <c r="I91" s="68">
        <f>DANE!F91</f>
        <v>11016</v>
      </c>
      <c r="J91" s="54">
        <f t="shared" si="5"/>
        <v>78</v>
      </c>
      <c r="K91" s="69">
        <f t="shared" si="10"/>
        <v>11488</v>
      </c>
      <c r="L91" s="84">
        <f t="shared" ca="1" si="11"/>
        <v>376.85714285714283</v>
      </c>
      <c r="M91" s="44">
        <f t="shared" si="6"/>
        <v>8.7852943611824124</v>
      </c>
      <c r="N91" s="45">
        <f t="shared" si="7"/>
        <v>4.5024400594101417</v>
      </c>
      <c r="O91" s="71">
        <f t="shared" si="12"/>
        <v>2635.8257255662747</v>
      </c>
      <c r="P91" s="71">
        <f t="shared" si="13"/>
        <v>1.5942556724951425E-2</v>
      </c>
      <c r="Q91" s="85">
        <f t="shared" si="14"/>
        <v>1.1115978970746601</v>
      </c>
      <c r="R91" s="85">
        <f t="shared" ca="1" si="15"/>
        <v>1.006878370865127</v>
      </c>
      <c r="S91" s="86">
        <f t="shared" ca="1" si="16"/>
        <v>4.0000000000000036E-2</v>
      </c>
      <c r="T91" s="75"/>
      <c r="U91" s="75"/>
      <c r="V91" s="93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</row>
    <row r="92" spans="1:45" x14ac:dyDescent="0.25">
      <c r="A92" s="61">
        <v>43982</v>
      </c>
      <c r="B92" s="62" t="str">
        <f t="shared" ca="1" si="0"/>
        <v/>
      </c>
      <c r="C92" s="12">
        <f t="shared" si="17"/>
        <v>89</v>
      </c>
      <c r="D92" s="63">
        <f>DANE!D92</f>
        <v>219</v>
      </c>
      <c r="E92" s="64">
        <f t="shared" si="8"/>
        <v>23784</v>
      </c>
      <c r="F92" s="65">
        <f>DANE!E92</f>
        <v>3</v>
      </c>
      <c r="G92" s="66">
        <f t="shared" si="9"/>
        <v>1064</v>
      </c>
      <c r="H92" s="67">
        <f t="shared" si="4"/>
        <v>255</v>
      </c>
      <c r="I92" s="68">
        <f>DANE!F92</f>
        <v>11271</v>
      </c>
      <c r="J92" s="54">
        <f t="shared" si="5"/>
        <v>-39</v>
      </c>
      <c r="K92" s="69">
        <f t="shared" si="10"/>
        <v>11449</v>
      </c>
      <c r="L92" s="84">
        <f t="shared" ca="1" si="11"/>
        <v>356.57142857142856</v>
      </c>
      <c r="M92" s="44">
        <f t="shared" si="6"/>
        <v>8.6258613700851239</v>
      </c>
      <c r="N92" s="45">
        <f t="shared" si="7"/>
        <v>4.4735956945845947</v>
      </c>
      <c r="O92" s="71">
        <f t="shared" si="12"/>
        <v>2478.2791933425215</v>
      </c>
      <c r="P92" s="71">
        <f t="shared" si="13"/>
        <v>-5.9771224893825761E-2</v>
      </c>
      <c r="Q92" s="85">
        <f t="shared" si="14"/>
        <v>0.5816014257432196</v>
      </c>
      <c r="R92" s="85">
        <f t="shared" ca="1" si="15"/>
        <v>0.95217865403055257</v>
      </c>
      <c r="S92" s="86">
        <f t="shared" ca="1" si="16"/>
        <v>-6.0000000000000053E-2</v>
      </c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</row>
    <row r="93" spans="1:45" x14ac:dyDescent="0.25">
      <c r="A93" s="32">
        <v>43983</v>
      </c>
      <c r="B93" s="33" t="str">
        <f t="shared" ca="1" si="0"/>
        <v/>
      </c>
      <c r="C93" s="51">
        <f t="shared" si="17"/>
        <v>90</v>
      </c>
      <c r="D93" s="35">
        <f>DANE!D93</f>
        <v>375</v>
      </c>
      <c r="E93" s="52">
        <f t="shared" si="8"/>
        <v>24159</v>
      </c>
      <c r="F93" s="37">
        <f>DANE!E93</f>
        <v>10</v>
      </c>
      <c r="G93" s="53">
        <f t="shared" si="9"/>
        <v>1074</v>
      </c>
      <c r="H93" s="39">
        <f t="shared" si="4"/>
        <v>178</v>
      </c>
      <c r="I93" s="40">
        <f>DANE!F93</f>
        <v>11449</v>
      </c>
      <c r="J93" s="54">
        <f t="shared" si="5"/>
        <v>187</v>
      </c>
      <c r="K93" s="42">
        <f t="shared" si="10"/>
        <v>11636</v>
      </c>
      <c r="L93" s="79">
        <f t="shared" ca="1" si="11"/>
        <v>361.42857142857144</v>
      </c>
      <c r="M93" s="44">
        <f t="shared" si="6"/>
        <v>8.5762197556496034</v>
      </c>
      <c r="N93" s="45">
        <f t="shared" si="7"/>
        <v>4.4455482428908484</v>
      </c>
      <c r="O93" s="46">
        <f t="shared" si="12"/>
        <v>2499.2393085793042</v>
      </c>
      <c r="P93" s="46">
        <f t="shared" si="13"/>
        <v>8.4575278253913137E-3</v>
      </c>
      <c r="Q93" s="80">
        <f t="shared" si="14"/>
        <v>1.0592026947777391</v>
      </c>
      <c r="R93" s="80">
        <f t="shared" ca="1" si="15"/>
        <v>0.97267781115832574</v>
      </c>
      <c r="S93" s="81">
        <f t="shared" ca="1" si="16"/>
        <v>2.0000000000000018E-2</v>
      </c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</row>
    <row r="94" spans="1:45" x14ac:dyDescent="0.25">
      <c r="A94" s="32">
        <v>43984</v>
      </c>
      <c r="B94" s="33" t="str">
        <f t="shared" ca="1" si="0"/>
        <v/>
      </c>
      <c r="C94" s="51">
        <f t="shared" si="17"/>
        <v>91</v>
      </c>
      <c r="D94" s="35">
        <f>DANE!D94</f>
        <v>236</v>
      </c>
      <c r="E94" s="52">
        <f t="shared" si="8"/>
        <v>24395</v>
      </c>
      <c r="F94" s="37">
        <f>DANE!E94</f>
        <v>18</v>
      </c>
      <c r="G94" s="53">
        <f t="shared" si="9"/>
        <v>1092</v>
      </c>
      <c r="H94" s="39">
        <f t="shared" si="4"/>
        <v>277</v>
      </c>
      <c r="I94" s="40">
        <f>DANE!F94</f>
        <v>11726</v>
      </c>
      <c r="J94" s="54">
        <f t="shared" si="5"/>
        <v>-59</v>
      </c>
      <c r="K94" s="42">
        <f t="shared" si="10"/>
        <v>11577</v>
      </c>
      <c r="L94" s="79">
        <f t="shared" ca="1" si="11"/>
        <v>331.85714285714283</v>
      </c>
      <c r="M94" s="44">
        <f t="shared" si="6"/>
        <v>8.5192697768762677</v>
      </c>
      <c r="N94" s="45">
        <f t="shared" si="7"/>
        <v>4.4763271162123388</v>
      </c>
      <c r="O94" s="46">
        <f t="shared" si="12"/>
        <v>2378.2051216394038</v>
      </c>
      <c r="P94" s="46">
        <f t="shared" si="13"/>
        <v>-4.8428410406485795E-2</v>
      </c>
      <c r="Q94" s="80">
        <f t="shared" si="14"/>
        <v>0.66100112715459947</v>
      </c>
      <c r="R94" s="80">
        <f t="shared" ca="1" si="15"/>
        <v>0.89509010475932194</v>
      </c>
      <c r="S94" s="81">
        <f t="shared" ca="1" si="16"/>
        <v>-6.9999999999999951E-2</v>
      </c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</row>
    <row r="95" spans="1:45" x14ac:dyDescent="0.25">
      <c r="A95" s="32">
        <v>43985</v>
      </c>
      <c r="B95" s="33" t="str">
        <f t="shared" ca="1" si="0"/>
        <v/>
      </c>
      <c r="C95" s="51">
        <f t="shared" si="17"/>
        <v>92</v>
      </c>
      <c r="D95" s="35">
        <f>DANE!D95</f>
        <v>292</v>
      </c>
      <c r="E95" s="52">
        <f t="shared" si="8"/>
        <v>24687</v>
      </c>
      <c r="F95" s="37">
        <f>DANE!E95</f>
        <v>23</v>
      </c>
      <c r="G95" s="53">
        <f t="shared" si="9"/>
        <v>1115</v>
      </c>
      <c r="H95" s="39">
        <f t="shared" si="4"/>
        <v>288</v>
      </c>
      <c r="I95" s="40">
        <f>DANE!F95</f>
        <v>12014</v>
      </c>
      <c r="J95" s="54">
        <f t="shared" si="5"/>
        <v>-19</v>
      </c>
      <c r="K95" s="42">
        <f t="shared" si="10"/>
        <v>11558</v>
      </c>
      <c r="L95" s="79">
        <f t="shared" ca="1" si="11"/>
        <v>316.85714285714283</v>
      </c>
      <c r="M95" s="44">
        <f t="shared" si="6"/>
        <v>8.4926498590905641</v>
      </c>
      <c r="N95" s="45">
        <f t="shared" si="7"/>
        <v>4.5165471705756062</v>
      </c>
      <c r="O95" s="46">
        <f t="shared" si="12"/>
        <v>2330.461532833775</v>
      </c>
      <c r="P95" s="46">
        <f t="shared" si="13"/>
        <v>-2.0075471359138716E-2</v>
      </c>
      <c r="Q95" s="80">
        <f t="shared" si="14"/>
        <v>0.85947170048602894</v>
      </c>
      <c r="R95" s="80">
        <f t="shared" ca="1" si="15"/>
        <v>0.86808477308433329</v>
      </c>
      <c r="S95" s="81">
        <f t="shared" ca="1" si="16"/>
        <v>-3.0000000000000027E-2</v>
      </c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</row>
    <row r="96" spans="1:45" x14ac:dyDescent="0.25">
      <c r="A96" s="32">
        <v>43986</v>
      </c>
      <c r="B96" s="33" t="str">
        <f t="shared" ca="1" si="0"/>
        <v/>
      </c>
      <c r="C96" s="51">
        <f t="shared" si="17"/>
        <v>93</v>
      </c>
      <c r="D96" s="35">
        <f>DANE!D96</f>
        <v>361</v>
      </c>
      <c r="E96" s="52">
        <f t="shared" si="8"/>
        <v>25048</v>
      </c>
      <c r="F96" s="37">
        <f>DANE!E96</f>
        <v>2</v>
      </c>
      <c r="G96" s="53">
        <f t="shared" si="9"/>
        <v>1117</v>
      </c>
      <c r="H96" s="39">
        <f t="shared" si="4"/>
        <v>213</v>
      </c>
      <c r="I96" s="40">
        <f>DANE!F96</f>
        <v>12227</v>
      </c>
      <c r="J96" s="54">
        <f t="shared" si="5"/>
        <v>146</v>
      </c>
      <c r="K96" s="42">
        <f t="shared" si="10"/>
        <v>11704</v>
      </c>
      <c r="L96" s="79">
        <f t="shared" ca="1" si="11"/>
        <v>318.14285714285717</v>
      </c>
      <c r="M96" s="44">
        <f t="shared" si="6"/>
        <v>8.3708033573141485</v>
      </c>
      <c r="N96" s="45">
        <f t="shared" si="7"/>
        <v>4.4594378792717979</v>
      </c>
      <c r="O96" s="46">
        <f t="shared" si="12"/>
        <v>2358.5384567146643</v>
      </c>
      <c r="P96" s="46">
        <f t="shared" si="13"/>
        <v>1.2047795462535961E-2</v>
      </c>
      <c r="Q96" s="80">
        <f t="shared" si="14"/>
        <v>1.0843345682377517</v>
      </c>
      <c r="R96" s="80">
        <f t="shared" ca="1" si="15"/>
        <v>0.89109509517243757</v>
      </c>
      <c r="S96" s="81">
        <f t="shared" ca="1" si="16"/>
        <v>2.0000000000000018E-2</v>
      </c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</row>
    <row r="97" spans="1:45" x14ac:dyDescent="0.25">
      <c r="A97" s="32">
        <v>43987</v>
      </c>
      <c r="B97" s="33" t="str">
        <f t="shared" ca="1" si="0"/>
        <v/>
      </c>
      <c r="C97" s="51">
        <f t="shared" si="17"/>
        <v>94</v>
      </c>
      <c r="D97" s="35">
        <f>DANE!D97</f>
        <v>362</v>
      </c>
      <c r="E97" s="52">
        <f t="shared" si="8"/>
        <v>25410</v>
      </c>
      <c r="F97" s="37">
        <f>DANE!E97</f>
        <v>20</v>
      </c>
      <c r="G97" s="53">
        <f t="shared" si="9"/>
        <v>1137</v>
      </c>
      <c r="H97" s="39">
        <f t="shared" si="4"/>
        <v>183</v>
      </c>
      <c r="I97" s="40">
        <f>DANE!F97</f>
        <v>12410</v>
      </c>
      <c r="J97" s="54">
        <f t="shared" si="5"/>
        <v>159</v>
      </c>
      <c r="K97" s="42">
        <f t="shared" si="10"/>
        <v>11863</v>
      </c>
      <c r="L97" s="79">
        <f t="shared" ca="1" si="11"/>
        <v>322.42857142857144</v>
      </c>
      <c r="M97" s="44">
        <f t="shared" si="6"/>
        <v>8.3930021406953568</v>
      </c>
      <c r="N97" s="45">
        <f t="shared" si="7"/>
        <v>4.4746162927981104</v>
      </c>
      <c r="O97" s="46">
        <f t="shared" si="12"/>
        <v>2383.6043914697125</v>
      </c>
      <c r="P97" s="46">
        <f t="shared" si="13"/>
        <v>1.0627740532992556E-2</v>
      </c>
      <c r="Q97" s="80">
        <f t="shared" si="14"/>
        <v>1.0743941837309479</v>
      </c>
      <c r="R97" s="80">
        <f t="shared" ca="1" si="15"/>
        <v>0.91880051388642092</v>
      </c>
      <c r="S97" s="81">
        <f t="shared" ca="1" si="16"/>
        <v>3.0000000000000027E-2</v>
      </c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</row>
    <row r="98" spans="1:45" x14ac:dyDescent="0.25">
      <c r="A98" s="61">
        <v>43988</v>
      </c>
      <c r="B98" s="62" t="str">
        <f t="shared" ca="1" si="0"/>
        <v/>
      </c>
      <c r="C98" s="12">
        <f t="shared" si="17"/>
        <v>95</v>
      </c>
      <c r="D98" s="63">
        <f>DANE!D98</f>
        <v>576</v>
      </c>
      <c r="E98" s="64">
        <f t="shared" si="8"/>
        <v>25986</v>
      </c>
      <c r="F98" s="65">
        <f>DANE!E98</f>
        <v>14</v>
      </c>
      <c r="G98" s="66">
        <f t="shared" si="9"/>
        <v>1151</v>
      </c>
      <c r="H98" s="67">
        <f t="shared" si="4"/>
        <v>231</v>
      </c>
      <c r="I98" s="68">
        <f>DANE!F98</f>
        <v>12641</v>
      </c>
      <c r="J98" s="54">
        <f t="shared" si="5"/>
        <v>331</v>
      </c>
      <c r="K98" s="69">
        <f t="shared" si="10"/>
        <v>12194</v>
      </c>
      <c r="L98" s="84">
        <f t="shared" ca="1" si="11"/>
        <v>345.85714285714283</v>
      </c>
      <c r="M98" s="44">
        <f t="shared" si="6"/>
        <v>8.3454176334106727</v>
      </c>
      <c r="N98" s="45">
        <f t="shared" si="7"/>
        <v>4.4293080889709842</v>
      </c>
      <c r="O98" s="71">
        <f t="shared" si="12"/>
        <v>2619.0894784026109</v>
      </c>
      <c r="P98" s="71">
        <f t="shared" si="13"/>
        <v>9.8793695705393494E-2</v>
      </c>
      <c r="Q98" s="85">
        <f t="shared" si="14"/>
        <v>1.6915558699377544</v>
      </c>
      <c r="R98" s="85">
        <f t="shared" ca="1" si="15"/>
        <v>1.0016516528668631</v>
      </c>
      <c r="S98" s="86">
        <f t="shared" ca="1" si="16"/>
        <v>7.999999999999996E-2</v>
      </c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</row>
    <row r="99" spans="1:45" x14ac:dyDescent="0.25">
      <c r="A99" s="61">
        <v>43989</v>
      </c>
      <c r="B99" s="62" t="str">
        <f t="shared" ca="1" si="0"/>
        <v/>
      </c>
      <c r="C99" s="12">
        <f t="shared" si="17"/>
        <v>96</v>
      </c>
      <c r="D99" s="63">
        <f>DANE!D99</f>
        <v>575</v>
      </c>
      <c r="E99" s="64">
        <f t="shared" si="8"/>
        <v>26561</v>
      </c>
      <c r="F99" s="65">
        <f>DANE!E99</f>
        <v>4</v>
      </c>
      <c r="G99" s="66">
        <f t="shared" si="9"/>
        <v>1155</v>
      </c>
      <c r="H99" s="67">
        <f t="shared" si="4"/>
        <v>214</v>
      </c>
      <c r="I99" s="68">
        <f>DANE!F99</f>
        <v>12855</v>
      </c>
      <c r="J99" s="54">
        <f t="shared" si="5"/>
        <v>357</v>
      </c>
      <c r="K99" s="69">
        <f t="shared" si="10"/>
        <v>12551</v>
      </c>
      <c r="L99" s="84">
        <f t="shared" ca="1" si="11"/>
        <v>396.71428571428572</v>
      </c>
      <c r="M99" s="44">
        <f t="shared" si="6"/>
        <v>8.2441113490364017</v>
      </c>
      <c r="N99" s="45">
        <f t="shared" si="7"/>
        <v>4.3484808553894805</v>
      </c>
      <c r="O99" s="71">
        <f t="shared" si="12"/>
        <v>2819.9338386308095</v>
      </c>
      <c r="P99" s="71">
        <f t="shared" si="13"/>
        <v>7.6684802823420189E-2</v>
      </c>
      <c r="Q99" s="85">
        <f t="shared" si="14"/>
        <v>1.5367936197639414</v>
      </c>
      <c r="R99" s="85">
        <f t="shared" ca="1" si="15"/>
        <v>1.138107680584109</v>
      </c>
      <c r="S99" s="86">
        <f t="shared" ca="1" si="16"/>
        <v>0.1399999999999999</v>
      </c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</row>
    <row r="100" spans="1:45" x14ac:dyDescent="0.25">
      <c r="A100" s="32">
        <v>43990</v>
      </c>
      <c r="B100" s="33" t="str">
        <f t="shared" ca="1" si="0"/>
        <v/>
      </c>
      <c r="C100" s="51">
        <f t="shared" si="17"/>
        <v>97</v>
      </c>
      <c r="D100" s="35">
        <f>DANE!D100</f>
        <v>599</v>
      </c>
      <c r="E100" s="52">
        <f t="shared" si="8"/>
        <v>27160</v>
      </c>
      <c r="F100" s="37">
        <f>DANE!E100</f>
        <v>9</v>
      </c>
      <c r="G100" s="53">
        <f t="shared" si="9"/>
        <v>1164</v>
      </c>
      <c r="H100" s="39">
        <f t="shared" si="4"/>
        <v>143</v>
      </c>
      <c r="I100" s="40">
        <f>DANE!F100</f>
        <v>12998</v>
      </c>
      <c r="J100" s="54">
        <f t="shared" si="5"/>
        <v>447</v>
      </c>
      <c r="K100" s="42">
        <f t="shared" si="10"/>
        <v>12998</v>
      </c>
      <c r="L100" s="79">
        <f t="shared" ca="1" si="11"/>
        <v>428.71428571428572</v>
      </c>
      <c r="M100" s="44">
        <f t="shared" si="6"/>
        <v>8.2191780821917799</v>
      </c>
      <c r="N100" s="45">
        <f t="shared" si="7"/>
        <v>4.2857142857142856</v>
      </c>
      <c r="O100" s="46">
        <f t="shared" si="12"/>
        <v>3016.0861473978371</v>
      </c>
      <c r="P100" s="46">
        <f t="shared" si="13"/>
        <v>6.955918826175983E-2</v>
      </c>
      <c r="Q100" s="80">
        <f t="shared" si="14"/>
        <v>1.4869143178323188</v>
      </c>
      <c r="R100" s="80">
        <f t="shared" ca="1" si="15"/>
        <v>1.1992093410204774</v>
      </c>
      <c r="S100" s="81">
        <f t="shared" ca="1" si="16"/>
        <v>6.0000000000000053E-2</v>
      </c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</row>
    <row r="101" spans="1:45" x14ac:dyDescent="0.25">
      <c r="A101" s="32">
        <v>43991</v>
      </c>
      <c r="B101" s="33" t="str">
        <f t="shared" ca="1" si="0"/>
        <v/>
      </c>
      <c r="C101" s="51">
        <f t="shared" si="17"/>
        <v>98</v>
      </c>
      <c r="D101" s="35">
        <f>DANE!D101</f>
        <v>400</v>
      </c>
      <c r="E101" s="52">
        <f t="shared" si="8"/>
        <v>27560</v>
      </c>
      <c r="F101" s="37">
        <f>DANE!E101</f>
        <v>19</v>
      </c>
      <c r="G101" s="53">
        <f t="shared" si="9"/>
        <v>1183</v>
      </c>
      <c r="H101" s="39">
        <f t="shared" si="4"/>
        <v>198</v>
      </c>
      <c r="I101" s="40">
        <f>DANE!F101</f>
        <v>13196</v>
      </c>
      <c r="J101" s="54">
        <f t="shared" si="5"/>
        <v>183</v>
      </c>
      <c r="K101" s="42">
        <f t="shared" si="10"/>
        <v>13181</v>
      </c>
      <c r="L101" s="79">
        <f t="shared" ca="1" si="11"/>
        <v>452.14285714285717</v>
      </c>
      <c r="M101" s="44">
        <f t="shared" si="6"/>
        <v>8.2272758884484318</v>
      </c>
      <c r="N101" s="45">
        <f t="shared" si="7"/>
        <v>4.2924528301886786</v>
      </c>
      <c r="O101" s="46">
        <f t="shared" si="12"/>
        <v>2985.2166977695747</v>
      </c>
      <c r="P101" s="46">
        <f t="shared" si="13"/>
        <v>-1.0234936311383329E-2</v>
      </c>
      <c r="Q101" s="80">
        <f t="shared" si="14"/>
        <v>0.9283554458203167</v>
      </c>
      <c r="R101" s="80">
        <f t="shared" ca="1" si="15"/>
        <v>1.23740281511558</v>
      </c>
      <c r="S101" s="81">
        <f t="shared" ca="1" si="16"/>
        <v>4.0000000000000036E-2</v>
      </c>
      <c r="T101" s="82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</row>
    <row r="102" spans="1:45" x14ac:dyDescent="0.25">
      <c r="A102" s="32">
        <v>43992</v>
      </c>
      <c r="B102" s="33" t="str">
        <f t="shared" ca="1" si="0"/>
        <v/>
      </c>
      <c r="C102" s="51">
        <f t="shared" si="17"/>
        <v>99</v>
      </c>
      <c r="D102" s="35">
        <f>DANE!D102</f>
        <v>282</v>
      </c>
      <c r="E102" s="52">
        <f t="shared" si="8"/>
        <v>27842</v>
      </c>
      <c r="F102" s="37">
        <f>DANE!E102</f>
        <v>23</v>
      </c>
      <c r="G102" s="53">
        <f t="shared" si="9"/>
        <v>1206</v>
      </c>
      <c r="H102" s="39">
        <f t="shared" si="4"/>
        <v>215</v>
      </c>
      <c r="I102" s="40">
        <f>DANE!F102</f>
        <v>13411</v>
      </c>
      <c r="J102" s="54">
        <f t="shared" si="5"/>
        <v>44</v>
      </c>
      <c r="K102" s="42">
        <f t="shared" si="10"/>
        <v>13225</v>
      </c>
      <c r="L102" s="79">
        <f t="shared" ca="1" si="11"/>
        <v>450.71428571428572</v>
      </c>
      <c r="M102" s="44">
        <f t="shared" si="6"/>
        <v>8.2506670315386188</v>
      </c>
      <c r="N102" s="45">
        <f t="shared" si="7"/>
        <v>4.3315853746138933</v>
      </c>
      <c r="O102" s="46">
        <f t="shared" si="12"/>
        <v>2840.7571695167785</v>
      </c>
      <c r="P102" s="46">
        <f t="shared" si="13"/>
        <v>-4.8391638824990535E-2</v>
      </c>
      <c r="Q102" s="80">
        <f t="shared" si="14"/>
        <v>0.66125852822506626</v>
      </c>
      <c r="R102" s="80">
        <f t="shared" ca="1" si="15"/>
        <v>1.2090866476497282</v>
      </c>
      <c r="S102" s="81">
        <f t="shared" ca="1" si="16"/>
        <v>-3.0000000000000027E-2</v>
      </c>
      <c r="T102" s="83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</row>
    <row r="103" spans="1:45" x14ac:dyDescent="0.25">
      <c r="A103" s="32">
        <v>43993</v>
      </c>
      <c r="B103" s="33" t="str">
        <f t="shared" ca="1" si="0"/>
        <v/>
      </c>
      <c r="C103" s="51">
        <f t="shared" si="17"/>
        <v>100</v>
      </c>
      <c r="D103" s="35">
        <f>DANE!D103</f>
        <v>359</v>
      </c>
      <c r="E103" s="52">
        <f t="shared" si="8"/>
        <v>28201</v>
      </c>
      <c r="F103" s="37">
        <f>DANE!E103</f>
        <v>9</v>
      </c>
      <c r="G103" s="53">
        <f t="shared" si="9"/>
        <v>1215</v>
      </c>
      <c r="H103" s="39">
        <f t="shared" si="4"/>
        <v>285</v>
      </c>
      <c r="I103" s="40">
        <f>DANE!F103</f>
        <v>13696</v>
      </c>
      <c r="J103" s="54">
        <f t="shared" si="5"/>
        <v>65</v>
      </c>
      <c r="K103" s="42">
        <f t="shared" si="10"/>
        <v>13290</v>
      </c>
      <c r="L103" s="79">
        <f t="shared" ca="1" si="11"/>
        <v>450.42857142857144</v>
      </c>
      <c r="M103" s="44">
        <f t="shared" si="6"/>
        <v>8.1483468580242775</v>
      </c>
      <c r="N103" s="45">
        <f t="shared" si="7"/>
        <v>4.3083578596503669</v>
      </c>
      <c r="O103" s="46">
        <f t="shared" si="12"/>
        <v>2793.9347167286674</v>
      </c>
      <c r="P103" s="46">
        <f t="shared" si="13"/>
        <v>-1.6482384798865365E-2</v>
      </c>
      <c r="Q103" s="80">
        <f t="shared" si="14"/>
        <v>0.8846233064079424</v>
      </c>
      <c r="R103" s="80">
        <f t="shared" ca="1" si="15"/>
        <v>1.1805564673883269</v>
      </c>
      <c r="S103" s="81">
        <f t="shared" ca="1" si="16"/>
        <v>-3.0000000000000027E-2</v>
      </c>
      <c r="T103" s="83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</row>
    <row r="104" spans="1:45" x14ac:dyDescent="0.25">
      <c r="A104" s="32">
        <v>43994</v>
      </c>
      <c r="B104" s="33" t="str">
        <f t="shared" ca="1" si="0"/>
        <v/>
      </c>
      <c r="C104" s="51">
        <f t="shared" si="17"/>
        <v>101</v>
      </c>
      <c r="D104" s="35">
        <f>DANE!D104</f>
        <v>376</v>
      </c>
      <c r="E104" s="52">
        <f t="shared" si="8"/>
        <v>28577</v>
      </c>
      <c r="F104" s="37">
        <f>DANE!E104</f>
        <v>7</v>
      </c>
      <c r="G104" s="53">
        <f t="shared" si="9"/>
        <v>1222</v>
      </c>
      <c r="H104" s="39">
        <f t="shared" si="4"/>
        <v>109</v>
      </c>
      <c r="I104" s="40">
        <f>DANE!F104</f>
        <v>13805</v>
      </c>
      <c r="J104" s="54">
        <f t="shared" si="5"/>
        <v>260</v>
      </c>
      <c r="K104" s="42">
        <f t="shared" si="10"/>
        <v>13550</v>
      </c>
      <c r="L104" s="79">
        <f t="shared" ca="1" si="11"/>
        <v>452.42857142857144</v>
      </c>
      <c r="M104" s="44">
        <f t="shared" si="6"/>
        <v>8.1320290144406737</v>
      </c>
      <c r="N104" s="45">
        <f t="shared" si="7"/>
        <v>4.2761661476012183</v>
      </c>
      <c r="O104" s="46">
        <f t="shared" si="12"/>
        <v>2770.8011857674292</v>
      </c>
      <c r="P104" s="46">
        <f t="shared" si="13"/>
        <v>-8.2799110597417732E-3</v>
      </c>
      <c r="Q104" s="80">
        <f t="shared" si="14"/>
        <v>0.94204062258180754</v>
      </c>
      <c r="R104" s="80">
        <f t="shared" ca="1" si="15"/>
        <v>1.1616488157955924</v>
      </c>
      <c r="S104" s="81">
        <f t="shared" ca="1" si="16"/>
        <v>-2.0000000000000018E-2</v>
      </c>
      <c r="T104" s="83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</row>
    <row r="105" spans="1:45" x14ac:dyDescent="0.25">
      <c r="A105" s="61">
        <v>43995</v>
      </c>
      <c r="B105" s="62" t="str">
        <f t="shared" ca="1" si="0"/>
        <v/>
      </c>
      <c r="C105" s="12">
        <f t="shared" si="17"/>
        <v>102</v>
      </c>
      <c r="D105" s="63">
        <f>DANE!D105</f>
        <v>440</v>
      </c>
      <c r="E105" s="64">
        <f t="shared" si="8"/>
        <v>29017</v>
      </c>
      <c r="F105" s="65">
        <f>DANE!E105</f>
        <v>15</v>
      </c>
      <c r="G105" s="66">
        <f t="shared" si="9"/>
        <v>1237</v>
      </c>
      <c r="H105" s="67">
        <f t="shared" si="4"/>
        <v>299</v>
      </c>
      <c r="I105" s="68">
        <f>DANE!F105</f>
        <v>14104</v>
      </c>
      <c r="J105" s="54">
        <f t="shared" si="5"/>
        <v>126</v>
      </c>
      <c r="K105" s="69">
        <f t="shared" si="10"/>
        <v>13676</v>
      </c>
      <c r="L105" s="84">
        <f t="shared" ca="1" si="11"/>
        <v>433</v>
      </c>
      <c r="M105" s="44">
        <f t="shared" si="6"/>
        <v>8.0633596245355577</v>
      </c>
      <c r="N105" s="45">
        <f t="shared" si="7"/>
        <v>4.263018230692353</v>
      </c>
      <c r="O105" s="71">
        <f t="shared" si="12"/>
        <v>2814.9724449435107</v>
      </c>
      <c r="P105" s="71">
        <f t="shared" si="13"/>
        <v>1.5941692028635188E-2</v>
      </c>
      <c r="Q105" s="85">
        <f t="shared" si="14"/>
        <v>1.1115918442004462</v>
      </c>
      <c r="R105" s="85">
        <f t="shared" ca="1" si="15"/>
        <v>1.0787968121188343</v>
      </c>
      <c r="S105" s="86">
        <f t="shared" ca="1" si="16"/>
        <v>-7.9999999999999849E-2</v>
      </c>
      <c r="T105" s="87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</row>
    <row r="106" spans="1:45" x14ac:dyDescent="0.25">
      <c r="A106" s="61">
        <v>43996</v>
      </c>
      <c r="B106" s="62" t="str">
        <f t="shared" ca="1" si="0"/>
        <v/>
      </c>
      <c r="C106" s="12">
        <f t="shared" si="17"/>
        <v>103</v>
      </c>
      <c r="D106" s="63">
        <f>DANE!D106</f>
        <v>375</v>
      </c>
      <c r="E106" s="64">
        <f t="shared" si="8"/>
        <v>29392</v>
      </c>
      <c r="F106" s="65">
        <f>DANE!E106</f>
        <v>10</v>
      </c>
      <c r="G106" s="66">
        <f t="shared" si="9"/>
        <v>1247</v>
      </c>
      <c r="H106" s="67">
        <f t="shared" si="4"/>
        <v>122</v>
      </c>
      <c r="I106" s="68">
        <f>DANE!F106</f>
        <v>14226</v>
      </c>
      <c r="J106" s="54">
        <f t="shared" si="5"/>
        <v>243</v>
      </c>
      <c r="K106" s="69">
        <f t="shared" si="10"/>
        <v>13919</v>
      </c>
      <c r="L106" s="84">
        <f t="shared" ca="1" si="11"/>
        <v>404.42857142857144</v>
      </c>
      <c r="M106" s="44">
        <f t="shared" si="6"/>
        <v>8.0591998965940679</v>
      </c>
      <c r="N106" s="45">
        <f t="shared" si="7"/>
        <v>4.242651061513337</v>
      </c>
      <c r="O106" s="71">
        <f t="shared" si="12"/>
        <v>2787.833524237295</v>
      </c>
      <c r="P106" s="71">
        <f t="shared" si="13"/>
        <v>-9.6409187787841015E-3</v>
      </c>
      <c r="Q106" s="85">
        <f t="shared" si="14"/>
        <v>0.93251356854851131</v>
      </c>
      <c r="R106" s="85">
        <f t="shared" ca="1" si="15"/>
        <v>0.99247109051662996</v>
      </c>
      <c r="S106" s="86">
        <f t="shared" ca="1" si="16"/>
        <v>-9.000000000000008E-2</v>
      </c>
      <c r="T106" s="87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</row>
    <row r="107" spans="1:45" x14ac:dyDescent="0.25">
      <c r="A107" s="32">
        <v>43997</v>
      </c>
      <c r="B107" s="33" t="str">
        <f t="shared" ca="1" si="0"/>
        <v/>
      </c>
      <c r="C107" s="51">
        <f t="shared" si="17"/>
        <v>104</v>
      </c>
      <c r="D107" s="35">
        <f>DANE!D107</f>
        <v>396</v>
      </c>
      <c r="E107" s="52">
        <f t="shared" si="8"/>
        <v>29788</v>
      </c>
      <c r="F107" s="37">
        <f>DANE!E107</f>
        <v>9</v>
      </c>
      <c r="G107" s="53">
        <f t="shared" si="9"/>
        <v>1256</v>
      </c>
      <c r="H107" s="39">
        <f t="shared" si="4"/>
        <v>157</v>
      </c>
      <c r="I107" s="40">
        <f>DANE!F107</f>
        <v>14383</v>
      </c>
      <c r="J107" s="54">
        <f t="shared" si="5"/>
        <v>230</v>
      </c>
      <c r="K107" s="42">
        <f t="shared" si="10"/>
        <v>14149</v>
      </c>
      <c r="L107" s="79">
        <f t="shared" ca="1" si="11"/>
        <v>375.42857142857144</v>
      </c>
      <c r="M107" s="44">
        <f t="shared" si="6"/>
        <v>8.0312040411791035</v>
      </c>
      <c r="N107" s="45">
        <f t="shared" si="7"/>
        <v>4.2164630052370082</v>
      </c>
      <c r="O107" s="46">
        <f t="shared" si="12"/>
        <v>2785.571592203396</v>
      </c>
      <c r="P107" s="46">
        <f t="shared" si="13"/>
        <v>-8.1135835918246099E-4</v>
      </c>
      <c r="Q107" s="80">
        <f t="shared" si="14"/>
        <v>0.99432049148572277</v>
      </c>
      <c r="R107" s="80">
        <f t="shared" ca="1" si="15"/>
        <v>0.92210054389568763</v>
      </c>
      <c r="S107" s="81">
        <f t="shared" ca="1" si="16"/>
        <v>-6.9999999999999951E-2</v>
      </c>
      <c r="T107" s="87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</row>
    <row r="108" spans="1:45" x14ac:dyDescent="0.25">
      <c r="A108" s="32">
        <v>43998</v>
      </c>
      <c r="B108" s="33" t="str">
        <f t="shared" ca="1" si="0"/>
        <v/>
      </c>
      <c r="C108" s="51">
        <f t="shared" si="17"/>
        <v>105</v>
      </c>
      <c r="D108" s="35">
        <f>DANE!D108</f>
        <v>407</v>
      </c>
      <c r="E108" s="52">
        <f t="shared" si="8"/>
        <v>30195</v>
      </c>
      <c r="F108" s="37">
        <f>DANE!E108</f>
        <v>16</v>
      </c>
      <c r="G108" s="53">
        <f t="shared" si="9"/>
        <v>1272</v>
      </c>
      <c r="H108" s="39">
        <f t="shared" si="4"/>
        <v>271</v>
      </c>
      <c r="I108" s="40">
        <f>DANE!F108</f>
        <v>14654</v>
      </c>
      <c r="J108" s="54">
        <f t="shared" si="5"/>
        <v>120</v>
      </c>
      <c r="K108" s="42">
        <f t="shared" si="10"/>
        <v>14269</v>
      </c>
      <c r="L108" s="79">
        <f t="shared" ca="1" si="11"/>
        <v>376.42857142857144</v>
      </c>
      <c r="M108" s="44">
        <f t="shared" si="6"/>
        <v>7.9869395956297886</v>
      </c>
      <c r="N108" s="45">
        <f t="shared" si="7"/>
        <v>4.2126179831097863</v>
      </c>
      <c r="O108" s="46">
        <f t="shared" si="12"/>
        <v>2794.632793317197</v>
      </c>
      <c r="P108" s="46">
        <f t="shared" si="13"/>
        <v>3.2529054859557652E-3</v>
      </c>
      <c r="Q108" s="80">
        <f t="shared" si="14"/>
        <v>1.0227703384016904</v>
      </c>
      <c r="R108" s="80">
        <f t="shared" ca="1" si="15"/>
        <v>0.9355883856930266</v>
      </c>
      <c r="S108" s="81">
        <f t="shared" ca="1" si="16"/>
        <v>1.9999999999999907E-2</v>
      </c>
      <c r="T108" s="83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  <c r="AE108" s="89"/>
      <c r="AF108" s="89"/>
      <c r="AG108" s="89"/>
      <c r="AH108" s="89"/>
      <c r="AI108" s="89"/>
      <c r="AJ108" s="89"/>
      <c r="AK108" s="89"/>
      <c r="AL108" s="89"/>
      <c r="AM108" s="89"/>
      <c r="AN108" s="89"/>
      <c r="AO108" s="89"/>
      <c r="AP108" s="89"/>
      <c r="AQ108" s="89"/>
      <c r="AR108" s="89"/>
      <c r="AS108" s="89"/>
    </row>
    <row r="109" spans="1:45" x14ac:dyDescent="0.25">
      <c r="A109" s="32">
        <v>43999</v>
      </c>
      <c r="B109" s="33" t="str">
        <f t="shared" ca="1" si="0"/>
        <v/>
      </c>
      <c r="C109" s="51">
        <f t="shared" si="17"/>
        <v>106</v>
      </c>
      <c r="D109" s="35">
        <f>DANE!D109</f>
        <v>450</v>
      </c>
      <c r="E109" s="52">
        <f t="shared" si="8"/>
        <v>30645</v>
      </c>
      <c r="F109" s="37">
        <f>DANE!E109</f>
        <v>14</v>
      </c>
      <c r="G109" s="53">
        <f t="shared" si="9"/>
        <v>1286</v>
      </c>
      <c r="H109" s="39">
        <f t="shared" si="4"/>
        <v>267</v>
      </c>
      <c r="I109" s="40">
        <f>DANE!F109</f>
        <v>14921</v>
      </c>
      <c r="J109" s="54">
        <f t="shared" si="5"/>
        <v>169</v>
      </c>
      <c r="K109" s="42">
        <f t="shared" si="10"/>
        <v>14438</v>
      </c>
      <c r="L109" s="79">
        <f t="shared" ca="1" si="11"/>
        <v>400.42857142857144</v>
      </c>
      <c r="M109" s="44">
        <f t="shared" si="6"/>
        <v>7.9348429690874314</v>
      </c>
      <c r="N109" s="45">
        <f t="shared" si="7"/>
        <v>4.1964431391744172</v>
      </c>
      <c r="O109" s="46">
        <f t="shared" si="12"/>
        <v>2845.3995371290262</v>
      </c>
      <c r="P109" s="46">
        <f t="shared" si="13"/>
        <v>1.8165801221980818E-2</v>
      </c>
      <c r="Q109" s="80">
        <f t="shared" si="14"/>
        <v>1.1271606085538657</v>
      </c>
      <c r="R109" s="80">
        <f t="shared" ca="1" si="15"/>
        <v>1.002145825739998</v>
      </c>
      <c r="S109" s="81">
        <f t="shared" ca="1" si="16"/>
        <v>6.0000000000000053E-2</v>
      </c>
      <c r="T109" s="83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  <c r="AE109" s="89"/>
      <c r="AF109" s="89"/>
      <c r="AG109" s="89"/>
      <c r="AH109" s="89"/>
      <c r="AI109" s="89"/>
      <c r="AJ109" s="89"/>
      <c r="AK109" s="89"/>
      <c r="AL109" s="89"/>
      <c r="AM109" s="89"/>
      <c r="AN109" s="89"/>
      <c r="AO109" s="89"/>
      <c r="AP109" s="89"/>
      <c r="AQ109" s="89"/>
      <c r="AR109" s="89"/>
      <c r="AS109" s="89"/>
    </row>
    <row r="110" spans="1:45" x14ac:dyDescent="0.25">
      <c r="A110" s="32">
        <v>44000</v>
      </c>
      <c r="B110" s="33" t="str">
        <f t="shared" ca="1" si="0"/>
        <v/>
      </c>
      <c r="C110" s="51">
        <f t="shared" si="17"/>
        <v>107</v>
      </c>
      <c r="D110" s="35">
        <f>DANE!D110</f>
        <v>314</v>
      </c>
      <c r="E110" s="52">
        <f t="shared" si="8"/>
        <v>30959</v>
      </c>
      <c r="F110" s="37">
        <f>DANE!E110</f>
        <v>30</v>
      </c>
      <c r="G110" s="53">
        <f t="shared" si="9"/>
        <v>1316</v>
      </c>
      <c r="H110" s="39">
        <f t="shared" si="4"/>
        <v>396</v>
      </c>
      <c r="I110" s="40">
        <f>DANE!F110</f>
        <v>15317</v>
      </c>
      <c r="J110" s="54">
        <f t="shared" si="5"/>
        <v>-112</v>
      </c>
      <c r="K110" s="42">
        <f t="shared" si="10"/>
        <v>14326</v>
      </c>
      <c r="L110" s="79">
        <f t="shared" ca="1" si="11"/>
        <v>394</v>
      </c>
      <c r="M110" s="44">
        <f t="shared" si="6"/>
        <v>7.9119822040521859</v>
      </c>
      <c r="N110" s="45">
        <f t="shared" si="7"/>
        <v>4.2507832940340453</v>
      </c>
      <c r="O110" s="46">
        <f t="shared" si="12"/>
        <v>2752.913888967737</v>
      </c>
      <c r="P110" s="46">
        <f t="shared" si="13"/>
        <v>-3.2503571802294622E-2</v>
      </c>
      <c r="Q110" s="80">
        <f t="shared" si="14"/>
        <v>0.77247499738393766</v>
      </c>
      <c r="R110" s="80">
        <f t="shared" ca="1" si="15"/>
        <v>0.98612463873656886</v>
      </c>
      <c r="S110" s="81">
        <f t="shared" ca="1" si="16"/>
        <v>-1.0000000000000009E-2</v>
      </c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  <c r="AE110" s="89"/>
      <c r="AF110" s="89"/>
      <c r="AG110" s="89"/>
      <c r="AH110" s="89"/>
      <c r="AI110" s="89"/>
      <c r="AJ110" s="89"/>
      <c r="AK110" s="89"/>
      <c r="AL110" s="89"/>
      <c r="AM110" s="89"/>
      <c r="AN110" s="89"/>
      <c r="AO110" s="89"/>
      <c r="AP110" s="89"/>
      <c r="AQ110" s="89"/>
      <c r="AR110" s="89"/>
      <c r="AS110" s="89"/>
    </row>
    <row r="111" spans="1:45" x14ac:dyDescent="0.25">
      <c r="A111" s="32">
        <v>44001</v>
      </c>
      <c r="B111" s="33" t="str">
        <f t="shared" ca="1" si="0"/>
        <v/>
      </c>
      <c r="C111" s="51">
        <f t="shared" si="17"/>
        <v>108</v>
      </c>
      <c r="D111" s="35">
        <f>DANE!D111</f>
        <v>352</v>
      </c>
      <c r="E111" s="52">
        <f t="shared" si="8"/>
        <v>31311</v>
      </c>
      <c r="F111" s="37">
        <f>DANE!E111</f>
        <v>18</v>
      </c>
      <c r="G111" s="53">
        <f t="shared" si="9"/>
        <v>1334</v>
      </c>
      <c r="H111" s="39">
        <f t="shared" si="4"/>
        <v>381</v>
      </c>
      <c r="I111" s="40">
        <f>DANE!F111</f>
        <v>15698</v>
      </c>
      <c r="J111" s="54">
        <f t="shared" si="5"/>
        <v>-47</v>
      </c>
      <c r="K111" s="42">
        <f t="shared" si="10"/>
        <v>14279</v>
      </c>
      <c r="L111" s="79">
        <f t="shared" ca="1" si="11"/>
        <v>390.57142857142856</v>
      </c>
      <c r="M111" s="44">
        <f t="shared" si="6"/>
        <v>7.832315641146077</v>
      </c>
      <c r="N111" s="45">
        <f t="shared" si="7"/>
        <v>4.2604835361374596</v>
      </c>
      <c r="O111" s="46">
        <f t="shared" si="12"/>
        <v>2711.6404762580605</v>
      </c>
      <c r="P111" s="46">
        <f t="shared" si="13"/>
        <v>-1.4992627584567415E-2</v>
      </c>
      <c r="Q111" s="80">
        <f t="shared" si="14"/>
        <v>0.8950516069080281</v>
      </c>
      <c r="R111" s="80">
        <f t="shared" ca="1" si="15"/>
        <v>0.97941192221174334</v>
      </c>
      <c r="S111" s="81">
        <f t="shared" ca="1" si="16"/>
        <v>-1.0000000000000009E-2</v>
      </c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  <c r="AE111" s="89"/>
      <c r="AF111" s="89"/>
      <c r="AG111" s="89"/>
      <c r="AH111" s="89"/>
      <c r="AI111" s="89"/>
      <c r="AJ111" s="89"/>
      <c r="AK111" s="89"/>
      <c r="AL111" s="89"/>
      <c r="AM111" s="89"/>
      <c r="AN111" s="89"/>
      <c r="AO111" s="89"/>
      <c r="AP111" s="89"/>
      <c r="AQ111" s="89"/>
      <c r="AR111" s="89"/>
      <c r="AS111" s="89"/>
    </row>
    <row r="112" spans="1:45" x14ac:dyDescent="0.25">
      <c r="A112" s="61">
        <v>44002</v>
      </c>
      <c r="B112" s="62" t="str">
        <f t="shared" ca="1" si="0"/>
        <v/>
      </c>
      <c r="C112" s="12">
        <f t="shared" si="17"/>
        <v>109</v>
      </c>
      <c r="D112" s="63">
        <f>DANE!D112</f>
        <v>309</v>
      </c>
      <c r="E112" s="64">
        <f t="shared" si="8"/>
        <v>31620</v>
      </c>
      <c r="F112" s="65">
        <f>DANE!E112</f>
        <v>12</v>
      </c>
      <c r="G112" s="66">
        <f t="shared" si="9"/>
        <v>1346</v>
      </c>
      <c r="H112" s="67">
        <f t="shared" si="4"/>
        <v>483</v>
      </c>
      <c r="I112" s="68">
        <f>DANE!F112</f>
        <v>16181</v>
      </c>
      <c r="J112" s="54">
        <f t="shared" si="5"/>
        <v>-186</v>
      </c>
      <c r="K112" s="69">
        <f t="shared" si="10"/>
        <v>14093</v>
      </c>
      <c r="L112" s="84">
        <f t="shared" ca="1" si="11"/>
        <v>371.85714285714283</v>
      </c>
      <c r="M112" s="44">
        <f t="shared" si="6"/>
        <v>7.6795800764534725</v>
      </c>
      <c r="N112" s="45">
        <f t="shared" si="7"/>
        <v>4.2567994939911449</v>
      </c>
      <c r="O112" s="71">
        <f t="shared" si="12"/>
        <v>2633.2632653640521</v>
      </c>
      <c r="P112" s="71">
        <f t="shared" si="13"/>
        <v>-2.8903983245657013E-2</v>
      </c>
      <c r="Q112" s="85">
        <f t="shared" si="14"/>
        <v>0.79767211728040088</v>
      </c>
      <c r="R112" s="85">
        <f t="shared" ca="1" si="15"/>
        <v>0.93456624693745105</v>
      </c>
      <c r="S112" s="86">
        <f t="shared" ca="1" si="16"/>
        <v>-4.9999999999999933E-2</v>
      </c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</row>
    <row r="113" spans="1:45" x14ac:dyDescent="0.25">
      <c r="A113" s="61">
        <v>44003</v>
      </c>
      <c r="B113" s="62" t="str">
        <f t="shared" ca="1" si="0"/>
        <v/>
      </c>
      <c r="C113" s="12">
        <f t="shared" si="17"/>
        <v>110</v>
      </c>
      <c r="D113" s="63">
        <f>DANE!D113</f>
        <v>311</v>
      </c>
      <c r="E113" s="64">
        <f t="shared" si="8"/>
        <v>31931</v>
      </c>
      <c r="F113" s="65">
        <f>DANE!E113</f>
        <v>10</v>
      </c>
      <c r="G113" s="66">
        <f t="shared" si="9"/>
        <v>1356</v>
      </c>
      <c r="H113" s="67">
        <f t="shared" si="4"/>
        <v>502</v>
      </c>
      <c r="I113" s="68">
        <f>DANE!F113</f>
        <v>16683</v>
      </c>
      <c r="J113" s="54">
        <f t="shared" si="5"/>
        <v>-201</v>
      </c>
      <c r="K113" s="69">
        <f t="shared" si="10"/>
        <v>13892</v>
      </c>
      <c r="L113" s="84">
        <f t="shared" ca="1" si="11"/>
        <v>362.71428571428572</v>
      </c>
      <c r="M113" s="44">
        <f t="shared" si="6"/>
        <v>7.5170463994678194</v>
      </c>
      <c r="N113" s="45">
        <f t="shared" si="7"/>
        <v>4.2466568538410954</v>
      </c>
      <c r="O113" s="71">
        <f t="shared" si="12"/>
        <v>2568.0827988834735</v>
      </c>
      <c r="P113" s="71">
        <f t="shared" si="13"/>
        <v>-2.4752734501678218E-2</v>
      </c>
      <c r="Q113" s="85">
        <f t="shared" si="14"/>
        <v>0.82673085848825245</v>
      </c>
      <c r="R113" s="85">
        <f t="shared" ca="1" si="15"/>
        <v>0.91945443121455672</v>
      </c>
      <c r="S113" s="86">
        <f t="shared" ca="1" si="16"/>
        <v>-1.0000000000000009E-2</v>
      </c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</row>
    <row r="114" spans="1:45" x14ac:dyDescent="0.25">
      <c r="A114" s="32">
        <v>44004</v>
      </c>
      <c r="B114" s="33" t="str">
        <f t="shared" ca="1" si="0"/>
        <v/>
      </c>
      <c r="C114" s="51">
        <f t="shared" si="17"/>
        <v>111</v>
      </c>
      <c r="D114" s="35">
        <f>DANE!D114</f>
        <v>296</v>
      </c>
      <c r="E114" s="52">
        <f t="shared" si="8"/>
        <v>32227</v>
      </c>
      <c r="F114" s="37">
        <f>DANE!E114</f>
        <v>3</v>
      </c>
      <c r="G114" s="53">
        <f t="shared" si="9"/>
        <v>1359</v>
      </c>
      <c r="H114" s="39">
        <f t="shared" si="4"/>
        <v>393</v>
      </c>
      <c r="I114" s="40">
        <f>DANE!F114</f>
        <v>17076</v>
      </c>
      <c r="J114" s="54">
        <f t="shared" si="5"/>
        <v>-100</v>
      </c>
      <c r="K114" s="42">
        <f t="shared" si="10"/>
        <v>13792</v>
      </c>
      <c r="L114" s="79">
        <f t="shared" ca="1" si="11"/>
        <v>348.42857142857144</v>
      </c>
      <c r="M114" s="44">
        <f t="shared" si="6"/>
        <v>7.3718470301057772</v>
      </c>
      <c r="N114" s="45">
        <f t="shared" si="7"/>
        <v>4.2169609333788438</v>
      </c>
      <c r="O114" s="46">
        <f t="shared" si="12"/>
        <v>2497.213827614406</v>
      </c>
      <c r="P114" s="46">
        <f t="shared" si="13"/>
        <v>-2.7596061661204711E-2</v>
      </c>
      <c r="Q114" s="80">
        <f t="shared" si="14"/>
        <v>0.80682756837156699</v>
      </c>
      <c r="R114" s="80">
        <f t="shared" ca="1" si="15"/>
        <v>0.89266972791253452</v>
      </c>
      <c r="S114" s="81">
        <f t="shared" ca="1" si="16"/>
        <v>-3.0000000000000027E-2</v>
      </c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  <c r="AE114" s="89"/>
      <c r="AF114" s="89"/>
      <c r="AG114" s="89"/>
      <c r="AH114" s="89"/>
      <c r="AI114" s="89"/>
      <c r="AJ114" s="89"/>
      <c r="AK114" s="89"/>
      <c r="AL114" s="89"/>
      <c r="AM114" s="89"/>
      <c r="AN114" s="89"/>
      <c r="AO114" s="89"/>
      <c r="AP114" s="89"/>
      <c r="AQ114" s="89"/>
      <c r="AR114" s="89"/>
      <c r="AS114" s="89"/>
    </row>
    <row r="115" spans="1:45" x14ac:dyDescent="0.25">
      <c r="A115" s="32">
        <v>44005</v>
      </c>
      <c r="B115" s="33" t="str">
        <f t="shared" ca="1" si="0"/>
        <v/>
      </c>
      <c r="C115" s="51">
        <f t="shared" si="17"/>
        <v>112</v>
      </c>
      <c r="D115" s="35">
        <f>DANE!D115</f>
        <v>300</v>
      </c>
      <c r="E115" s="52">
        <f t="shared" si="8"/>
        <v>32527</v>
      </c>
      <c r="F115" s="37">
        <f>DANE!E115</f>
        <v>16</v>
      </c>
      <c r="G115" s="53">
        <f t="shared" si="9"/>
        <v>1375</v>
      </c>
      <c r="H115" s="39">
        <f t="shared" si="4"/>
        <v>497</v>
      </c>
      <c r="I115" s="40">
        <f>DANE!F115</f>
        <v>17573</v>
      </c>
      <c r="J115" s="54">
        <f t="shared" si="5"/>
        <v>-213</v>
      </c>
      <c r="K115" s="42">
        <f t="shared" si="10"/>
        <v>13579</v>
      </c>
      <c r="L115" s="79">
        <f t="shared" ca="1" si="11"/>
        <v>333.14285714285717</v>
      </c>
      <c r="M115" s="44">
        <f t="shared" si="6"/>
        <v>7.2567025543592996</v>
      </c>
      <c r="N115" s="45">
        <f t="shared" si="7"/>
        <v>4.2272573554277981</v>
      </c>
      <c r="O115" s="46">
        <f t="shared" si="12"/>
        <v>2440.4689950980624</v>
      </c>
      <c r="P115" s="46">
        <f t="shared" si="13"/>
        <v>-2.2723257371417054E-2</v>
      </c>
      <c r="Q115" s="80">
        <f t="shared" si="14"/>
        <v>0.84093719840008063</v>
      </c>
      <c r="R115" s="80">
        <f t="shared" ca="1" si="15"/>
        <v>0.86669356505516171</v>
      </c>
      <c r="S115" s="81">
        <f t="shared" ca="1" si="16"/>
        <v>-2.0000000000000018E-2</v>
      </c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  <c r="AE115" s="89"/>
      <c r="AF115" s="89"/>
      <c r="AG115" s="89"/>
      <c r="AH115" s="89"/>
      <c r="AI115" s="89"/>
      <c r="AJ115" s="89"/>
      <c r="AK115" s="89"/>
      <c r="AL115" s="89"/>
      <c r="AM115" s="89"/>
      <c r="AN115" s="89"/>
      <c r="AO115" s="89"/>
      <c r="AP115" s="89"/>
      <c r="AQ115" s="89"/>
      <c r="AR115" s="89"/>
      <c r="AS115" s="89"/>
    </row>
    <row r="116" spans="1:45" x14ac:dyDescent="0.25">
      <c r="A116" s="32">
        <v>44006</v>
      </c>
      <c r="B116" s="33" t="str">
        <f t="shared" ca="1" si="0"/>
        <v/>
      </c>
      <c r="C116" s="51">
        <f t="shared" si="17"/>
        <v>113</v>
      </c>
      <c r="D116" s="35">
        <f>DANE!D116</f>
        <v>294</v>
      </c>
      <c r="E116" s="52">
        <f t="shared" si="8"/>
        <v>32821</v>
      </c>
      <c r="F116" s="37">
        <f>DANE!E116</f>
        <v>21</v>
      </c>
      <c r="G116" s="53">
        <f t="shared" si="9"/>
        <v>1396</v>
      </c>
      <c r="H116" s="39">
        <f t="shared" si="4"/>
        <v>561</v>
      </c>
      <c r="I116" s="40">
        <f>DANE!F116</f>
        <v>18134</v>
      </c>
      <c r="J116" s="54">
        <f t="shared" si="5"/>
        <v>-288</v>
      </c>
      <c r="K116" s="42">
        <f t="shared" si="10"/>
        <v>13291</v>
      </c>
      <c r="L116" s="79">
        <f t="shared" ca="1" si="11"/>
        <v>310.85714285714283</v>
      </c>
      <c r="M116" s="44">
        <f t="shared" si="6"/>
        <v>7.1479774705581161</v>
      </c>
      <c r="N116" s="45">
        <f t="shared" si="7"/>
        <v>4.2533743639742845</v>
      </c>
      <c r="O116" s="46">
        <f t="shared" si="12"/>
        <v>2385.8305672269107</v>
      </c>
      <c r="P116" s="46">
        <f t="shared" si="13"/>
        <v>-2.2388494990470537E-2</v>
      </c>
      <c r="Q116" s="80">
        <f t="shared" si="14"/>
        <v>0.84328053506670619</v>
      </c>
      <c r="R116" s="80">
        <f t="shared" ca="1" si="15"/>
        <v>0.82613926884271049</v>
      </c>
      <c r="S116" s="81">
        <f t="shared" ca="1" si="16"/>
        <v>-4.0000000000000036E-2</v>
      </c>
      <c r="T116" s="89"/>
      <c r="U116" s="89"/>
      <c r="V116" s="380" t="s">
        <v>31</v>
      </c>
      <c r="W116" s="372"/>
      <c r="X116" s="372"/>
      <c r="Y116" s="372"/>
      <c r="Z116" s="372"/>
      <c r="AA116" s="372"/>
      <c r="AB116" s="372"/>
      <c r="AC116" s="89"/>
      <c r="AD116" s="89"/>
      <c r="AE116" s="89"/>
      <c r="AF116" s="89"/>
      <c r="AG116" s="380" t="s">
        <v>31</v>
      </c>
      <c r="AH116" s="372"/>
      <c r="AI116" s="372"/>
      <c r="AJ116" s="372"/>
      <c r="AK116" s="372"/>
      <c r="AL116" s="372"/>
      <c r="AM116" s="372"/>
      <c r="AN116" s="89"/>
      <c r="AO116" s="89"/>
      <c r="AP116" s="89"/>
      <c r="AQ116" s="89"/>
      <c r="AR116" s="89"/>
      <c r="AS116" s="89"/>
    </row>
    <row r="117" spans="1:45" x14ac:dyDescent="0.25">
      <c r="A117" s="32">
        <v>44007</v>
      </c>
      <c r="B117" s="33" t="str">
        <f t="shared" ca="1" si="0"/>
        <v/>
      </c>
      <c r="C117" s="51">
        <f t="shared" si="17"/>
        <v>114</v>
      </c>
      <c r="D117" s="35">
        <f>DANE!D117</f>
        <v>289</v>
      </c>
      <c r="E117" s="52">
        <f t="shared" si="8"/>
        <v>33110</v>
      </c>
      <c r="F117" s="37">
        <f>DANE!E117</f>
        <v>16</v>
      </c>
      <c r="G117" s="53">
        <f t="shared" si="9"/>
        <v>1412</v>
      </c>
      <c r="H117" s="39">
        <f t="shared" si="4"/>
        <v>520</v>
      </c>
      <c r="I117" s="40">
        <f>DANE!F117</f>
        <v>18654</v>
      </c>
      <c r="J117" s="54">
        <f t="shared" si="5"/>
        <v>-247</v>
      </c>
      <c r="K117" s="42">
        <f t="shared" si="10"/>
        <v>13044</v>
      </c>
      <c r="L117" s="79">
        <f t="shared" ca="1" si="11"/>
        <v>307.28571428571428</v>
      </c>
      <c r="M117" s="44">
        <f t="shared" si="6"/>
        <v>7.0367786305192856</v>
      </c>
      <c r="N117" s="45">
        <f t="shared" si="7"/>
        <v>4.26457263666566</v>
      </c>
      <c r="O117" s="46">
        <f t="shared" si="12"/>
        <v>2333.9976290516379</v>
      </c>
      <c r="P117" s="46">
        <f t="shared" si="13"/>
        <v>-2.1725322362484058E-2</v>
      </c>
      <c r="Q117" s="80">
        <f t="shared" si="14"/>
        <v>0.84792274346261154</v>
      </c>
      <c r="R117" s="80">
        <f t="shared" ca="1" si="15"/>
        <v>0.83691751828252114</v>
      </c>
      <c r="S117" s="81">
        <f t="shared" ca="1" si="16"/>
        <v>1.0000000000000009E-2</v>
      </c>
      <c r="T117" s="89"/>
      <c r="U117" s="89"/>
      <c r="V117" s="380" t="s">
        <v>32</v>
      </c>
      <c r="W117" s="372"/>
      <c r="X117" s="372"/>
      <c r="Y117" s="372"/>
      <c r="Z117" s="372"/>
      <c r="AA117" s="372"/>
      <c r="AB117" s="372"/>
      <c r="AC117" s="89"/>
      <c r="AD117" s="89"/>
      <c r="AE117" s="89"/>
      <c r="AF117" s="89"/>
      <c r="AG117" s="380" t="s">
        <v>33</v>
      </c>
      <c r="AH117" s="372"/>
      <c r="AI117" s="372"/>
      <c r="AJ117" s="372"/>
      <c r="AK117" s="372"/>
      <c r="AL117" s="372"/>
      <c r="AM117" s="372"/>
      <c r="AN117" s="89"/>
      <c r="AO117" s="89"/>
      <c r="AP117" s="89"/>
      <c r="AQ117" s="89"/>
      <c r="AR117" s="89"/>
      <c r="AS117" s="89"/>
    </row>
    <row r="118" spans="1:45" x14ac:dyDescent="0.25">
      <c r="A118" s="32">
        <v>44008</v>
      </c>
      <c r="B118" s="33" t="str">
        <f t="shared" ca="1" si="0"/>
        <v/>
      </c>
      <c r="C118" s="51">
        <f t="shared" si="17"/>
        <v>115</v>
      </c>
      <c r="D118" s="35">
        <f>DANE!D118</f>
        <v>285</v>
      </c>
      <c r="E118" s="52">
        <f t="shared" si="8"/>
        <v>33395</v>
      </c>
      <c r="F118" s="37">
        <f>DANE!E118</f>
        <v>17</v>
      </c>
      <c r="G118" s="53">
        <f t="shared" si="9"/>
        <v>1429</v>
      </c>
      <c r="H118" s="39">
        <f t="shared" si="4"/>
        <v>564</v>
      </c>
      <c r="I118" s="40">
        <f>DANE!F118</f>
        <v>19218</v>
      </c>
      <c r="J118" s="54">
        <f t="shared" si="5"/>
        <v>-296</v>
      </c>
      <c r="K118" s="42">
        <f t="shared" si="10"/>
        <v>12748</v>
      </c>
      <c r="L118" s="79">
        <f t="shared" ca="1" si="11"/>
        <v>297.71428571428572</v>
      </c>
      <c r="M118" s="44">
        <f t="shared" si="6"/>
        <v>6.9211023393229043</v>
      </c>
      <c r="N118" s="45">
        <f t="shared" si="7"/>
        <v>4.2790836951639468</v>
      </c>
      <c r="O118" s="46">
        <f t="shared" si="12"/>
        <v>2285.5693963299755</v>
      </c>
      <c r="P118" s="46">
        <f t="shared" si="13"/>
        <v>-2.0749049664347791E-2</v>
      </c>
      <c r="Q118" s="80">
        <f t="shared" si="14"/>
        <v>0.85475665234956544</v>
      </c>
      <c r="R118" s="80">
        <f t="shared" ca="1" si="15"/>
        <v>0.8311610962027407</v>
      </c>
      <c r="S118" s="81">
        <f t="shared" ca="1" si="16"/>
        <v>-1.0000000000000009E-2</v>
      </c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  <c r="AE118" s="89"/>
      <c r="AF118" s="89"/>
      <c r="AG118" s="94"/>
      <c r="AH118" s="94"/>
      <c r="AI118" s="94"/>
      <c r="AJ118" s="94"/>
      <c r="AK118" s="94"/>
      <c r="AL118" s="94"/>
      <c r="AM118" s="94"/>
      <c r="AN118" s="89"/>
      <c r="AO118" s="89"/>
      <c r="AP118" s="89"/>
      <c r="AQ118" s="89"/>
      <c r="AR118" s="89"/>
      <c r="AS118" s="89"/>
    </row>
    <row r="119" spans="1:45" x14ac:dyDescent="0.25">
      <c r="A119" s="61">
        <v>44009</v>
      </c>
      <c r="B119" s="62" t="str">
        <f t="shared" ca="1" si="0"/>
        <v/>
      </c>
      <c r="C119" s="12">
        <f t="shared" si="17"/>
        <v>116</v>
      </c>
      <c r="D119" s="63">
        <f>DANE!D119</f>
        <v>319</v>
      </c>
      <c r="E119" s="64">
        <f t="shared" si="8"/>
        <v>33714</v>
      </c>
      <c r="F119" s="65">
        <f>DANE!E119</f>
        <v>6</v>
      </c>
      <c r="G119" s="66">
        <f t="shared" si="9"/>
        <v>1435</v>
      </c>
      <c r="H119" s="67">
        <f t="shared" si="4"/>
        <v>754</v>
      </c>
      <c r="I119" s="68">
        <f>DANE!F119</f>
        <v>19972</v>
      </c>
      <c r="J119" s="54">
        <f t="shared" si="5"/>
        <v>-441</v>
      </c>
      <c r="K119" s="69">
        <f t="shared" si="10"/>
        <v>12307</v>
      </c>
      <c r="L119" s="84">
        <f t="shared" ca="1" si="11"/>
        <v>299.14285714285717</v>
      </c>
      <c r="M119" s="44">
        <f t="shared" si="6"/>
        <v>6.7034147708693412</v>
      </c>
      <c r="N119" s="45">
        <f t="shared" si="7"/>
        <v>4.2563920033220617</v>
      </c>
      <c r="O119" s="71">
        <f t="shared" si="12"/>
        <v>2278.0594825685503</v>
      </c>
      <c r="P119" s="71">
        <f t="shared" si="13"/>
        <v>-3.28579555426501E-3</v>
      </c>
      <c r="Q119" s="85">
        <f t="shared" si="14"/>
        <v>0.97699943112014498</v>
      </c>
      <c r="R119" s="85">
        <f t="shared" ca="1" si="15"/>
        <v>0.8567792838941326</v>
      </c>
      <c r="S119" s="86">
        <f t="shared" ca="1" si="16"/>
        <v>3.0000000000000027E-2</v>
      </c>
      <c r="T119" s="88"/>
      <c r="U119" s="88"/>
      <c r="V119" s="95" t="s">
        <v>34</v>
      </c>
      <c r="W119" s="96" t="s">
        <v>35</v>
      </c>
      <c r="X119" s="96" t="s">
        <v>36</v>
      </c>
      <c r="Y119" s="95" t="s">
        <v>37</v>
      </c>
      <c r="Z119" s="95" t="s">
        <v>38</v>
      </c>
      <c r="AA119" s="97" t="s">
        <v>39</v>
      </c>
      <c r="AB119" s="97" t="s">
        <v>40</v>
      </c>
      <c r="AC119" s="88"/>
      <c r="AD119" s="88"/>
      <c r="AE119" s="88"/>
      <c r="AF119" s="88"/>
      <c r="AG119" s="95" t="s">
        <v>34</v>
      </c>
      <c r="AH119" s="96" t="s">
        <v>35</v>
      </c>
      <c r="AI119" s="96" t="s">
        <v>36</v>
      </c>
      <c r="AJ119" s="95" t="s">
        <v>37</v>
      </c>
      <c r="AK119" s="95" t="s">
        <v>38</v>
      </c>
      <c r="AL119" s="97" t="s">
        <v>39</v>
      </c>
      <c r="AM119" s="97" t="s">
        <v>40</v>
      </c>
      <c r="AN119" s="89"/>
      <c r="AO119" s="89"/>
      <c r="AP119" s="89"/>
      <c r="AQ119" s="89"/>
      <c r="AR119" s="89"/>
      <c r="AS119" s="89"/>
    </row>
    <row r="120" spans="1:45" x14ac:dyDescent="0.25">
      <c r="A120" s="61">
        <v>44010</v>
      </c>
      <c r="B120" s="62" t="str">
        <f t="shared" ca="1" si="0"/>
        <v/>
      </c>
      <c r="C120" s="12">
        <f t="shared" si="17"/>
        <v>117</v>
      </c>
      <c r="D120" s="63">
        <f>DANE!D120</f>
        <v>193</v>
      </c>
      <c r="E120" s="64">
        <f t="shared" si="8"/>
        <v>33907</v>
      </c>
      <c r="F120" s="65">
        <f>DANE!E120</f>
        <v>4</v>
      </c>
      <c r="G120" s="66">
        <f t="shared" si="9"/>
        <v>1439</v>
      </c>
      <c r="H120" s="67">
        <f t="shared" si="4"/>
        <v>576</v>
      </c>
      <c r="I120" s="68">
        <f>DANE!F120</f>
        <v>20548</v>
      </c>
      <c r="J120" s="54">
        <f t="shared" si="5"/>
        <v>-387</v>
      </c>
      <c r="K120" s="69">
        <f t="shared" si="10"/>
        <v>11920</v>
      </c>
      <c r="L120" s="84">
        <f t="shared" ca="1" si="11"/>
        <v>282.28571428571428</v>
      </c>
      <c r="M120" s="44">
        <f t="shared" si="6"/>
        <v>6.5447764588165729</v>
      </c>
      <c r="N120" s="45">
        <f t="shared" si="7"/>
        <v>4.2439614238947705</v>
      </c>
      <c r="O120" s="71">
        <f t="shared" si="12"/>
        <v>2145.6224136301862</v>
      </c>
      <c r="P120" s="71">
        <f t="shared" si="13"/>
        <v>-5.8135913461328521E-2</v>
      </c>
      <c r="Q120" s="85">
        <f t="shared" si="14"/>
        <v>0.59304860577070029</v>
      </c>
      <c r="R120" s="85">
        <f t="shared" ca="1" si="15"/>
        <v>0.82339610493448234</v>
      </c>
      <c r="S120" s="86">
        <f t="shared" ca="1" si="16"/>
        <v>-4.0000000000000036E-2</v>
      </c>
      <c r="T120" s="88"/>
      <c r="U120" s="88"/>
      <c r="V120" s="98" t="s">
        <v>41</v>
      </c>
      <c r="W120" s="99">
        <f t="shared" ref="W120:AB120" si="18">SUM(W121:W127)</f>
        <v>0</v>
      </c>
      <c r="X120" s="100" t="e">
        <f t="shared" si="18"/>
        <v>#DIV/0!</v>
      </c>
      <c r="Y120" s="101">
        <f t="shared" si="18"/>
        <v>0</v>
      </c>
      <c r="Z120" s="102" t="e">
        <f t="shared" si="18"/>
        <v>#DIV/0!</v>
      </c>
      <c r="AA120" s="103">
        <f t="shared" si="18"/>
        <v>0</v>
      </c>
      <c r="AB120" s="104" t="e">
        <f t="shared" si="18"/>
        <v>#DIV/0!</v>
      </c>
      <c r="AC120" s="88"/>
      <c r="AD120" s="88"/>
      <c r="AE120" s="88"/>
      <c r="AF120" s="88"/>
      <c r="AG120" s="105" t="s">
        <v>41</v>
      </c>
      <c r="AH120" s="106">
        <f t="shared" ref="AH120:AM120" ca="1" si="19">SUM(AH121:AH127)</f>
        <v>0</v>
      </c>
      <c r="AI120" s="107" t="e">
        <f t="shared" ca="1" si="19"/>
        <v>#DIV/0!</v>
      </c>
      <c r="AJ120" s="108">
        <f t="shared" ca="1" si="19"/>
        <v>0</v>
      </c>
      <c r="AK120" s="109" t="e">
        <f t="shared" ca="1" si="19"/>
        <v>#DIV/0!</v>
      </c>
      <c r="AL120" s="110">
        <f t="shared" ca="1" si="19"/>
        <v>0</v>
      </c>
      <c r="AM120" s="111" t="e">
        <f t="shared" ca="1" si="19"/>
        <v>#DIV/0!</v>
      </c>
      <c r="AN120" s="93"/>
      <c r="AO120" s="93"/>
      <c r="AP120" s="93"/>
      <c r="AQ120" s="93"/>
      <c r="AR120" s="93"/>
      <c r="AS120" s="93"/>
    </row>
    <row r="121" spans="1:45" x14ac:dyDescent="0.25">
      <c r="A121" s="32">
        <v>44011</v>
      </c>
      <c r="B121" s="33" t="str">
        <f t="shared" ca="1" si="0"/>
        <v/>
      </c>
      <c r="C121" s="51">
        <f t="shared" si="17"/>
        <v>118</v>
      </c>
      <c r="D121" s="35">
        <f>DANE!D121</f>
        <v>247</v>
      </c>
      <c r="E121" s="52">
        <f t="shared" si="8"/>
        <v>34154</v>
      </c>
      <c r="F121" s="37">
        <f>DANE!E121</f>
        <v>6</v>
      </c>
      <c r="G121" s="53">
        <f t="shared" si="9"/>
        <v>1445</v>
      </c>
      <c r="H121" s="39">
        <f t="shared" si="4"/>
        <v>349</v>
      </c>
      <c r="I121" s="40">
        <f>DANE!F121</f>
        <v>20897</v>
      </c>
      <c r="J121" s="54">
        <f t="shared" si="5"/>
        <v>-108</v>
      </c>
      <c r="K121" s="42">
        <f t="shared" si="10"/>
        <v>11812</v>
      </c>
      <c r="L121" s="79">
        <f t="shared" ca="1" si="11"/>
        <v>275.28571428571428</v>
      </c>
      <c r="M121" s="44">
        <f t="shared" si="6"/>
        <v>6.467639423507296</v>
      </c>
      <c r="N121" s="45">
        <f t="shared" si="7"/>
        <v>4.2308367980324411</v>
      </c>
      <c r="O121" s="46">
        <f t="shared" si="12"/>
        <v>2086.1049259687311</v>
      </c>
      <c r="P121" s="46">
        <f t="shared" si="13"/>
        <v>-2.7739031473276447E-2</v>
      </c>
      <c r="Q121" s="80">
        <f t="shared" si="14"/>
        <v>0.80582677968706484</v>
      </c>
      <c r="R121" s="80">
        <f t="shared" ca="1" si="15"/>
        <v>0.82325313512241061</v>
      </c>
      <c r="S121" s="81">
        <f t="shared" ca="1" si="16"/>
        <v>0</v>
      </c>
      <c r="T121" s="89"/>
      <c r="U121" s="89"/>
      <c r="V121" s="112" t="s">
        <v>42</v>
      </c>
      <c r="W121" s="113">
        <f>SUMPRODUCT($D$3:$D$1000,MOD(ROW($D$3:$D$1000),7)=2)</f>
        <v>0</v>
      </c>
      <c r="X121" s="114" t="e">
        <f t="shared" ref="X121:X127" si="20">W121/$W$120</f>
        <v>#DIV/0!</v>
      </c>
      <c r="Y121" s="115">
        <f>SUMPRODUCT($F$3:$F$1000,MOD(ROW($F$3:$F$1000),7)=2)</f>
        <v>0</v>
      </c>
      <c r="Z121" s="116" t="e">
        <f t="shared" ref="Z121:Z127" si="21">Y121/$Y$120</f>
        <v>#DIV/0!</v>
      </c>
      <c r="AA121" s="117">
        <f>SUMPRODUCT($H$3:$H$1000,MOD(ROW($H$3:$H$1000),7)=2)</f>
        <v>0</v>
      </c>
      <c r="AB121" s="118" t="e">
        <f t="shared" ref="AB121:AB127" si="22">AA121/$AA$120</f>
        <v>#DIV/0!</v>
      </c>
      <c r="AC121" s="89"/>
      <c r="AD121" s="89"/>
      <c r="AE121" s="89"/>
      <c r="AF121" s="89"/>
      <c r="AG121" s="119" t="s">
        <v>42</v>
      </c>
      <c r="AH121" s="120">
        <f ca="1">SUMPRODUCT(INDIRECT(ADDRESS((MATCH(TODAY(),A3:A1000))-$X$2-1,4)):INDIRECT(ADDRESS((MATCH(TODAY(),A3:A1000))-1,4)),MOD(ROW(INDIRECT(ADDRESS((MATCH(TODAY(),A3:A1000))-$X$2-1,4)):INDIRECT(ADDRESS((MATCH(TODAY(),A3:A1000))-1,4))),7)=2)</f>
        <v>0</v>
      </c>
      <c r="AI121" s="121" t="e">
        <f t="shared" ref="AI121:AI127" ca="1" si="23">AH121/$AH$120</f>
        <v>#DIV/0!</v>
      </c>
      <c r="AJ121" s="122">
        <f ca="1">SUMPRODUCT(INDIRECT(ADDRESS((MATCH(TODAY(),A3:A1000))-$X$2-1,6)):INDIRECT(ADDRESS((MATCH(TODAY(),A3:A1000))-1,6)),MOD(ROW(INDIRECT(ADDRESS((MATCH(TODAY(),A3:A1000))-$X$2-1,6)):INDIRECT(ADDRESS((MATCH(TODAY(),A3:A1000))-1,6))),7)=2)</f>
        <v>0</v>
      </c>
      <c r="AK121" s="123" t="e">
        <f t="shared" ref="AK121:AK127" ca="1" si="24">AJ121/$AJ$120</f>
        <v>#DIV/0!</v>
      </c>
      <c r="AL121" s="124">
        <f ca="1">SUMPRODUCT(INDIRECT(ADDRESS((MATCH(TODAY(),A3:A1000))-$X$2-1,8)):INDIRECT(ADDRESS((MATCH(TODAY(),A3:A1000))-1,8)),MOD(ROW(INDIRECT(ADDRESS((MATCH(TODAY(),A3:A1000))-$X$2-1,8)):INDIRECT(ADDRESS((MATCH(TODAY(),A3:A1000))-1,8))),7)=2)</f>
        <v>0</v>
      </c>
      <c r="AM121" s="125" t="e">
        <f t="shared" ref="AM121:AM127" ca="1" si="25">AL121/$AL$120</f>
        <v>#DIV/0!</v>
      </c>
      <c r="AN121" s="126"/>
      <c r="AO121" s="126"/>
      <c r="AP121" s="126"/>
      <c r="AQ121" s="126"/>
      <c r="AR121" s="126"/>
      <c r="AS121" s="126"/>
    </row>
    <row r="122" spans="1:45" x14ac:dyDescent="0.25">
      <c r="A122" s="32">
        <v>44012</v>
      </c>
      <c r="B122" s="33" t="str">
        <f t="shared" ca="1" si="0"/>
        <v/>
      </c>
      <c r="C122" s="51">
        <f t="shared" si="17"/>
        <v>119</v>
      </c>
      <c r="D122" s="35">
        <f>DANE!D122</f>
        <v>239</v>
      </c>
      <c r="E122" s="52">
        <f t="shared" si="8"/>
        <v>34393</v>
      </c>
      <c r="F122" s="37">
        <f>DANE!E122</f>
        <v>19</v>
      </c>
      <c r="G122" s="53">
        <f t="shared" si="9"/>
        <v>1464</v>
      </c>
      <c r="H122" s="39">
        <f t="shared" si="4"/>
        <v>384</v>
      </c>
      <c r="I122" s="40">
        <f>DANE!F122</f>
        <v>21281</v>
      </c>
      <c r="J122" s="54">
        <f t="shared" si="5"/>
        <v>-164</v>
      </c>
      <c r="K122" s="42">
        <f t="shared" si="10"/>
        <v>11648</v>
      </c>
      <c r="L122" s="79">
        <f t="shared" ca="1" si="11"/>
        <v>266.57142857142856</v>
      </c>
      <c r="M122" s="44">
        <f t="shared" si="6"/>
        <v>6.4365794680149486</v>
      </c>
      <c r="N122" s="45">
        <f t="shared" si="7"/>
        <v>4.2566801384002559</v>
      </c>
      <c r="O122" s="46">
        <f t="shared" si="12"/>
        <v>2027.0899365446269</v>
      </c>
      <c r="P122" s="46">
        <f t="shared" si="13"/>
        <v>-2.8289559498882462E-2</v>
      </c>
      <c r="Q122" s="80">
        <f t="shared" si="14"/>
        <v>0.8019730835078227</v>
      </c>
      <c r="R122" s="80">
        <f t="shared" ca="1" si="15"/>
        <v>0.81768683299494527</v>
      </c>
      <c r="S122" s="81">
        <f t="shared" ca="1" si="16"/>
        <v>0</v>
      </c>
      <c r="T122" s="89"/>
      <c r="U122" s="89"/>
      <c r="V122" s="127" t="s">
        <v>43</v>
      </c>
      <c r="W122" s="128">
        <f>SUMPRODUCT($D$3:$D$1000,MOD(ROW($D$3:$D$1000),7)=3)</f>
        <v>0</v>
      </c>
      <c r="X122" s="129" t="e">
        <f t="shared" si="20"/>
        <v>#DIV/0!</v>
      </c>
      <c r="Y122" s="130">
        <f>SUMPRODUCT($F$3:$F$1000,MOD(ROW($F$3:$F$1000),7)=3)</f>
        <v>0</v>
      </c>
      <c r="Z122" s="131" t="e">
        <f t="shared" si="21"/>
        <v>#DIV/0!</v>
      </c>
      <c r="AA122" s="132">
        <f>SUMPRODUCT($H$3:$H$1000,MOD(ROW($H$3:$H$1000),7)=3)</f>
        <v>0</v>
      </c>
      <c r="AB122" s="133" t="e">
        <f t="shared" si="22"/>
        <v>#DIV/0!</v>
      </c>
      <c r="AC122" s="89"/>
      <c r="AD122" s="89"/>
      <c r="AE122" s="89"/>
      <c r="AF122" s="89"/>
      <c r="AG122" s="119" t="s">
        <v>43</v>
      </c>
      <c r="AH122" s="120">
        <f ca="1">SUMPRODUCT(INDIRECT(ADDRESS((MATCH(TODAY(),A3:A1000))-$X$2-1,4)):INDIRECT(ADDRESS((MATCH(TODAY(),A3:A1000))-1,4)),MOD(ROW(INDIRECT(ADDRESS((MATCH(TODAY(),A3:A1000))-$X$2-1,4)):INDIRECT(ADDRESS((MATCH(TODAY(),A3:A1000))-1,4))),7)=3)</f>
        <v>0</v>
      </c>
      <c r="AI122" s="121" t="e">
        <f t="shared" ca="1" si="23"/>
        <v>#DIV/0!</v>
      </c>
      <c r="AJ122" s="122">
        <f ca="1">SUMPRODUCT(INDIRECT(ADDRESS((MATCH(TODAY(),A3:A1000))-$X$2-1,6)):INDIRECT(ADDRESS((MATCH(TODAY(),A3:A1000))-1,6)),MOD(ROW(INDIRECT(ADDRESS((MATCH(TODAY(),A3:A1000))-$X$2-1,6)):INDIRECT(ADDRESS((MATCH(TODAY(),A3:A1000))-1,6))),7)=3)</f>
        <v>0</v>
      </c>
      <c r="AK122" s="123" t="e">
        <f t="shared" ca="1" si="24"/>
        <v>#DIV/0!</v>
      </c>
      <c r="AL122" s="124">
        <f ca="1">SUMPRODUCT(INDIRECT(ADDRESS((MATCH(TODAY(),A3:A1000))-$X$2-1,8)):INDIRECT(ADDRESS((MATCH(TODAY(),A3:A1000))-1,8)),MOD(ROW(INDIRECT(ADDRESS((MATCH(TODAY(),A3:A1000))-$X$2-1,8)):INDIRECT(ADDRESS((MATCH(TODAY(),A3:A1000))-1,8))),7)=3)</f>
        <v>0</v>
      </c>
      <c r="AM122" s="125" t="e">
        <f t="shared" ca="1" si="25"/>
        <v>#DIV/0!</v>
      </c>
      <c r="AN122" s="134"/>
      <c r="AO122" s="134"/>
      <c r="AP122" s="134"/>
      <c r="AQ122" s="134"/>
      <c r="AR122" s="134"/>
      <c r="AS122" s="134"/>
    </row>
    <row r="123" spans="1:45" x14ac:dyDescent="0.25">
      <c r="A123" s="32">
        <v>44013</v>
      </c>
      <c r="B123" s="33" t="str">
        <f t="shared" ca="1" si="0"/>
        <v/>
      </c>
      <c r="C123" s="51">
        <f t="shared" si="17"/>
        <v>120</v>
      </c>
      <c r="D123" s="35">
        <f>DANE!D123</f>
        <v>382</v>
      </c>
      <c r="E123" s="52">
        <f t="shared" si="8"/>
        <v>34775</v>
      </c>
      <c r="F123" s="37">
        <f>DANE!E123</f>
        <v>14</v>
      </c>
      <c r="G123" s="53">
        <f t="shared" si="9"/>
        <v>1478</v>
      </c>
      <c r="H123" s="39">
        <f t="shared" si="4"/>
        <v>510</v>
      </c>
      <c r="I123" s="40">
        <f>DANE!F123</f>
        <v>21791</v>
      </c>
      <c r="J123" s="54">
        <f t="shared" si="5"/>
        <v>-142</v>
      </c>
      <c r="K123" s="42">
        <f t="shared" si="10"/>
        <v>11506</v>
      </c>
      <c r="L123" s="79">
        <f t="shared" ca="1" si="11"/>
        <v>279.14285714285717</v>
      </c>
      <c r="M123" s="44">
        <f t="shared" si="6"/>
        <v>6.3517985302333573</v>
      </c>
      <c r="N123" s="45">
        <f t="shared" si="7"/>
        <v>4.250179726815241</v>
      </c>
      <c r="O123" s="46">
        <f t="shared" si="12"/>
        <v>2119.5056598953943</v>
      </c>
      <c r="P123" s="46">
        <f t="shared" si="13"/>
        <v>4.5590341940278702E-2</v>
      </c>
      <c r="Q123" s="80">
        <f t="shared" si="14"/>
        <v>1.319132393581951</v>
      </c>
      <c r="R123" s="80">
        <f t="shared" ca="1" si="15"/>
        <v>0.88566566992569429</v>
      </c>
      <c r="S123" s="81">
        <f t="shared" ca="1" si="16"/>
        <v>7.0000000000000062E-2</v>
      </c>
      <c r="T123" s="89"/>
      <c r="U123" s="89"/>
      <c r="V123" s="127" t="s">
        <v>44</v>
      </c>
      <c r="W123" s="128">
        <f>SUMPRODUCT($D$3:$D$1000,MOD(ROW($D$3:$D$1000),7)=4)</f>
        <v>0</v>
      </c>
      <c r="X123" s="129" t="e">
        <f t="shared" si="20"/>
        <v>#DIV/0!</v>
      </c>
      <c r="Y123" s="135">
        <f>SUMPRODUCT($F$3:$F$1000,MOD(ROW($F$3:$F$1000),7)=4)</f>
        <v>0</v>
      </c>
      <c r="Z123" s="131" t="e">
        <f t="shared" si="21"/>
        <v>#DIV/0!</v>
      </c>
      <c r="AA123" s="132">
        <f>SUMPRODUCT($H$3:$H$1000,MOD(ROW($H$3:$H$1000),7)=4)</f>
        <v>0</v>
      </c>
      <c r="AB123" s="133" t="e">
        <f t="shared" si="22"/>
        <v>#DIV/0!</v>
      </c>
      <c r="AC123" s="89"/>
      <c r="AD123" s="89"/>
      <c r="AE123" s="89"/>
      <c r="AF123" s="89"/>
      <c r="AG123" s="119" t="s">
        <v>44</v>
      </c>
      <c r="AH123" s="120">
        <f ca="1">SUMPRODUCT(INDIRECT(ADDRESS((MATCH(TODAY(),A3:A1000))-$X$2-1,4)):INDIRECT(ADDRESS((MATCH(TODAY(),A3:A1000))-1,4)),MOD(ROW(INDIRECT(ADDRESS((MATCH(TODAY(),A3:A1000))-$X$2-1,4)):INDIRECT(ADDRESS((MATCH(TODAY(),A3:A1000))-1,4))),7)=4)</f>
        <v>0</v>
      </c>
      <c r="AI123" s="121" t="e">
        <f t="shared" ca="1" si="23"/>
        <v>#DIV/0!</v>
      </c>
      <c r="AJ123" s="136">
        <f ca="1">SUMPRODUCT(INDIRECT(ADDRESS((MATCH(TODAY(),A3:A1000))-$X$2-1,6)):INDIRECT(ADDRESS((MATCH(TODAY(),A3:A1000))-1,6)),MOD(ROW(INDIRECT(ADDRESS((MATCH(TODAY(),A3:A1000))-$X$2-1,6)):INDIRECT(ADDRESS((MATCH(TODAY(),A3:A1000))-1,6))),7)=4)</f>
        <v>0</v>
      </c>
      <c r="AK123" s="123" t="e">
        <f t="shared" ca="1" si="24"/>
        <v>#DIV/0!</v>
      </c>
      <c r="AL123" s="124">
        <f ca="1">SUMPRODUCT(INDIRECT(ADDRESS((MATCH(TODAY(),A3:A1000))-$X$2-1,8)):INDIRECT(ADDRESS((MATCH(TODAY(),A3:A1000))-1,8)),MOD(ROW(INDIRECT(ADDRESS((MATCH(TODAY(),A3:A1000))-$X$2-1,8)):INDIRECT(ADDRESS((MATCH(TODAY(),A3:A1000))-1,8))),7)=4)</f>
        <v>0</v>
      </c>
      <c r="AM123" s="125" t="e">
        <f t="shared" ca="1" si="25"/>
        <v>#DIV/0!</v>
      </c>
      <c r="AN123" s="92"/>
      <c r="AO123" s="92"/>
      <c r="AP123" s="92"/>
      <c r="AQ123" s="92"/>
      <c r="AR123" s="92"/>
      <c r="AS123" s="92"/>
    </row>
    <row r="124" spans="1:45" x14ac:dyDescent="0.25">
      <c r="A124" s="32">
        <v>44014</v>
      </c>
      <c r="B124" s="33" t="str">
        <f t="shared" ca="1" si="0"/>
        <v/>
      </c>
      <c r="C124" s="51">
        <f t="shared" si="17"/>
        <v>121</v>
      </c>
      <c r="D124" s="35">
        <f>DANE!D124</f>
        <v>371</v>
      </c>
      <c r="E124" s="52">
        <f t="shared" si="8"/>
        <v>35146</v>
      </c>
      <c r="F124" s="37">
        <f>DANE!E124</f>
        <v>15</v>
      </c>
      <c r="G124" s="53">
        <f t="shared" si="9"/>
        <v>1493</v>
      </c>
      <c r="H124" s="39">
        <f t="shared" si="4"/>
        <v>418</v>
      </c>
      <c r="I124" s="40">
        <f>DANE!F124</f>
        <v>22209</v>
      </c>
      <c r="J124" s="54">
        <f t="shared" si="5"/>
        <v>-62</v>
      </c>
      <c r="K124" s="42">
        <f t="shared" si="10"/>
        <v>11444</v>
      </c>
      <c r="L124" s="79">
        <f t="shared" ca="1" si="11"/>
        <v>290.85714285714283</v>
      </c>
      <c r="M124" s="44">
        <f t="shared" si="6"/>
        <v>6.2990464939667534</v>
      </c>
      <c r="N124" s="45">
        <f t="shared" si="7"/>
        <v>4.2479940818300799</v>
      </c>
      <c r="O124" s="46">
        <f t="shared" si="12"/>
        <v>2187.7191370531955</v>
      </c>
      <c r="P124" s="46">
        <f t="shared" si="13"/>
        <v>3.2183673036838133E-2</v>
      </c>
      <c r="Q124" s="80">
        <f t="shared" si="14"/>
        <v>1.225285711257867</v>
      </c>
      <c r="R124" s="80">
        <f t="shared" ca="1" si="15"/>
        <v>0.93957466532501666</v>
      </c>
      <c r="S124" s="81">
        <f t="shared" ca="1" si="16"/>
        <v>4.9999999999999933E-2</v>
      </c>
      <c r="T124" s="89"/>
      <c r="U124" s="89"/>
      <c r="V124" s="127" t="s">
        <v>45</v>
      </c>
      <c r="W124" s="128">
        <f>SUMPRODUCT($D$3:$D$1000,MOD(ROW($D$3:$D$1000),7)=5)</f>
        <v>0</v>
      </c>
      <c r="X124" s="129" t="e">
        <f t="shared" si="20"/>
        <v>#DIV/0!</v>
      </c>
      <c r="Y124" s="130">
        <f>SUMPRODUCT($F$3:$F$1000,MOD(ROW($F$3:$F$1000),7)=5)</f>
        <v>0</v>
      </c>
      <c r="Z124" s="131" t="e">
        <f t="shared" si="21"/>
        <v>#DIV/0!</v>
      </c>
      <c r="AA124" s="132">
        <f>SUMPRODUCT($H$3:$H$1000,MOD(ROW($H$3:$H$1000),7)=5)</f>
        <v>0</v>
      </c>
      <c r="AB124" s="133" t="e">
        <f t="shared" si="22"/>
        <v>#DIV/0!</v>
      </c>
      <c r="AC124" s="89"/>
      <c r="AD124" s="89"/>
      <c r="AE124" s="89"/>
      <c r="AF124" s="89"/>
      <c r="AG124" s="119" t="s">
        <v>45</v>
      </c>
      <c r="AH124" s="120">
        <f ca="1">SUMPRODUCT(INDIRECT(ADDRESS((MATCH(TODAY(),A3:A1000))-$X$2-1,4)):INDIRECT(ADDRESS((MATCH(TODAY(),A3:A1000))-1,4)),MOD(ROW(INDIRECT(ADDRESS((MATCH(TODAY(),A3:A1000))-$X$2-1,4)):INDIRECT(ADDRESS((MATCH(TODAY(),A3:A1000))-1,4))),7)=5)</f>
        <v>0</v>
      </c>
      <c r="AI124" s="121" t="e">
        <f t="shared" ca="1" si="23"/>
        <v>#DIV/0!</v>
      </c>
      <c r="AJ124" s="122">
        <f ca="1">SUMPRODUCT(INDIRECT(ADDRESS((MATCH(TODAY(),A3:A1000))-$X$2-1,6)):INDIRECT(ADDRESS((MATCH(TODAY(),A3:A1000))-1,6)),MOD(ROW(INDIRECT(ADDRESS((MATCH(TODAY(),A3:A1000))-$X$2-1,6)):INDIRECT(ADDRESS((MATCH(TODAY(),A3:A1000))-1,6))),7)=5)</f>
        <v>0</v>
      </c>
      <c r="AK124" s="123" t="e">
        <f t="shared" ca="1" si="24"/>
        <v>#DIV/0!</v>
      </c>
      <c r="AL124" s="124">
        <f ca="1">SUMPRODUCT(INDIRECT(ADDRESS((MATCH(TODAY(),A3:A1000))-$X$2-1,8)):INDIRECT(ADDRESS((MATCH(TODAY(),A3:A1000))-1,8)),MOD(ROW(INDIRECT(ADDRESS((MATCH(TODAY(),A3:A1000))-$X$2-1,8)):INDIRECT(ADDRESS((MATCH(TODAY(),A3:A1000))-1,8))),7)=5)</f>
        <v>0</v>
      </c>
      <c r="AM124" s="125" t="e">
        <f t="shared" ca="1" si="25"/>
        <v>#DIV/0!</v>
      </c>
      <c r="AN124" s="137"/>
      <c r="AO124" s="137"/>
      <c r="AP124" s="137"/>
      <c r="AQ124" s="137"/>
      <c r="AR124" s="137"/>
      <c r="AS124" s="137"/>
    </row>
    <row r="125" spans="1:45" x14ac:dyDescent="0.25">
      <c r="A125" s="32">
        <v>44015</v>
      </c>
      <c r="B125" s="33" t="str">
        <f t="shared" ca="1" si="0"/>
        <v/>
      </c>
      <c r="C125" s="51">
        <f t="shared" si="17"/>
        <v>122</v>
      </c>
      <c r="D125" s="35">
        <f>DANE!D125</f>
        <v>259</v>
      </c>
      <c r="E125" s="52">
        <f t="shared" si="8"/>
        <v>35405</v>
      </c>
      <c r="F125" s="37">
        <f>DANE!E125</f>
        <v>14</v>
      </c>
      <c r="G125" s="53">
        <f t="shared" si="9"/>
        <v>1507</v>
      </c>
      <c r="H125" s="39">
        <f t="shared" si="4"/>
        <v>442</v>
      </c>
      <c r="I125" s="40">
        <f>DANE!F125</f>
        <v>22651</v>
      </c>
      <c r="J125" s="54">
        <f t="shared" si="5"/>
        <v>-197</v>
      </c>
      <c r="K125" s="42">
        <f t="shared" si="10"/>
        <v>11247</v>
      </c>
      <c r="L125" s="79">
        <f t="shared" ca="1" si="11"/>
        <v>287.14285714285717</v>
      </c>
      <c r="M125" s="44">
        <f t="shared" si="6"/>
        <v>6.2380991803957277</v>
      </c>
      <c r="N125" s="45">
        <f t="shared" si="7"/>
        <v>4.2564609518429597</v>
      </c>
      <c r="O125" s="46">
        <f t="shared" si="12"/>
        <v>2134.1878317598821</v>
      </c>
      <c r="P125" s="46">
        <f t="shared" si="13"/>
        <v>-2.4469002618598815E-2</v>
      </c>
      <c r="Q125" s="80">
        <f t="shared" si="14"/>
        <v>0.82871698166980834</v>
      </c>
      <c r="R125" s="80">
        <f t="shared" ca="1" si="15"/>
        <v>0.93585471237076567</v>
      </c>
      <c r="S125" s="81">
        <f t="shared" ca="1" si="16"/>
        <v>0</v>
      </c>
      <c r="T125" s="89"/>
      <c r="U125" s="89"/>
      <c r="V125" s="127" t="s">
        <v>46</v>
      </c>
      <c r="W125" s="128">
        <f>SUMPRODUCT($D$3:$D$1000,MOD(ROW($D$3:$D$1000),7)=6)</f>
        <v>0</v>
      </c>
      <c r="X125" s="129" t="e">
        <f t="shared" si="20"/>
        <v>#DIV/0!</v>
      </c>
      <c r="Y125" s="130">
        <f>SUMPRODUCT($F$3:$F$1000,MOD(ROW($F$3:$F$1000),7)=6)</f>
        <v>0</v>
      </c>
      <c r="Z125" s="131" t="e">
        <f t="shared" si="21"/>
        <v>#DIV/0!</v>
      </c>
      <c r="AA125" s="132">
        <f>SUMPRODUCT($H$3:$H$1000,MOD(ROW($H$3:$H$1000),7)=6)</f>
        <v>0</v>
      </c>
      <c r="AB125" s="133" t="e">
        <f t="shared" si="22"/>
        <v>#DIV/0!</v>
      </c>
      <c r="AC125" s="89"/>
      <c r="AD125" s="89"/>
      <c r="AE125" s="89"/>
      <c r="AF125" s="89"/>
      <c r="AG125" s="119" t="s">
        <v>46</v>
      </c>
      <c r="AH125" s="120">
        <f ca="1">SUMPRODUCT(INDIRECT(ADDRESS((MATCH(TODAY(),A3:A1000))-$X$2-1,4)):INDIRECT(ADDRESS((MATCH(TODAY(),A3:A1000))-1,4)),MOD(ROW(INDIRECT(ADDRESS((MATCH(TODAY(),A3:A1000))-$X$2-1,4)):INDIRECT(ADDRESS((MATCH(TODAY(),A3:A1000))-1,4))),7)=6)</f>
        <v>0</v>
      </c>
      <c r="AI125" s="121" t="e">
        <f t="shared" ca="1" si="23"/>
        <v>#DIV/0!</v>
      </c>
      <c r="AJ125" s="122">
        <f ca="1">SUMPRODUCT(INDIRECT(ADDRESS((MATCH(TODAY(),A3:A1000))-$X$2-1,6)):INDIRECT(ADDRESS((MATCH(TODAY(),A3:A1000))-1,6)),MOD(ROW(INDIRECT(ADDRESS((MATCH(TODAY(),A3:A1000))-$X$2-1,6)):INDIRECT(ADDRESS((MATCH(TODAY(),A3:A1000))-1,6))),7)=6)</f>
        <v>0</v>
      </c>
      <c r="AK125" s="123" t="e">
        <f t="shared" ca="1" si="24"/>
        <v>#DIV/0!</v>
      </c>
      <c r="AL125" s="124">
        <f ca="1">SUMPRODUCT(INDIRECT(ADDRESS((MATCH(TODAY(),A3:A1000))-$X$2-1,8)):INDIRECT(ADDRESS((MATCH(TODAY(),A3:A1000))-1,8)),MOD(ROW(INDIRECT(ADDRESS((MATCH(TODAY(),A3:A1000))-$X$2-1,8)):INDIRECT(ADDRESS((MATCH(TODAY(),A3:A1000))-1,8))),7)=6)</f>
        <v>0</v>
      </c>
      <c r="AM125" s="125" t="e">
        <f t="shared" ca="1" si="25"/>
        <v>#DIV/0!</v>
      </c>
      <c r="AN125" s="93"/>
      <c r="AO125" s="93"/>
      <c r="AP125" s="93"/>
      <c r="AQ125" s="93"/>
      <c r="AR125" s="93"/>
      <c r="AS125" s="93"/>
    </row>
    <row r="126" spans="1:45" x14ac:dyDescent="0.25">
      <c r="A126" s="61">
        <v>44016</v>
      </c>
      <c r="B126" s="62" t="str">
        <f t="shared" ca="1" si="0"/>
        <v/>
      </c>
      <c r="C126" s="12">
        <f t="shared" si="17"/>
        <v>123</v>
      </c>
      <c r="D126" s="63">
        <f>DANE!D126</f>
        <v>314</v>
      </c>
      <c r="E126" s="64">
        <f t="shared" si="8"/>
        <v>35719</v>
      </c>
      <c r="F126" s="65">
        <f>DANE!E126</f>
        <v>4</v>
      </c>
      <c r="G126" s="66">
        <f t="shared" si="9"/>
        <v>1511</v>
      </c>
      <c r="H126" s="67">
        <f t="shared" si="4"/>
        <v>476</v>
      </c>
      <c r="I126" s="68">
        <f>DANE!F126</f>
        <v>23127</v>
      </c>
      <c r="J126" s="54">
        <f t="shared" si="5"/>
        <v>-166</v>
      </c>
      <c r="K126" s="69">
        <f t="shared" si="10"/>
        <v>11081</v>
      </c>
      <c r="L126" s="84">
        <f t="shared" ca="1" si="11"/>
        <v>286.42857142857144</v>
      </c>
      <c r="M126" s="44">
        <f t="shared" si="6"/>
        <v>6.1328029872554595</v>
      </c>
      <c r="N126" s="45">
        <f t="shared" si="7"/>
        <v>4.2302416081077299</v>
      </c>
      <c r="O126" s="71">
        <f t="shared" si="12"/>
        <v>2143.3038557941845</v>
      </c>
      <c r="P126" s="71">
        <f t="shared" si="13"/>
        <v>4.2714253631486697E-3</v>
      </c>
      <c r="Q126" s="85">
        <f t="shared" si="14"/>
        <v>1.0298999775420408</v>
      </c>
      <c r="R126" s="85">
        <f t="shared" ca="1" si="15"/>
        <v>0.94341193328817929</v>
      </c>
      <c r="S126" s="86">
        <f t="shared" ca="1" si="16"/>
        <v>0</v>
      </c>
      <c r="T126" s="88"/>
      <c r="U126" s="88"/>
      <c r="V126" s="127" t="s">
        <v>47</v>
      </c>
      <c r="W126" s="128">
        <f>SUMPRODUCT($D$3:$D$1000,MOD(ROW($D$3:$D$1000),7)=0)</f>
        <v>0</v>
      </c>
      <c r="X126" s="129" t="e">
        <f t="shared" si="20"/>
        <v>#DIV/0!</v>
      </c>
      <c r="Y126" s="135">
        <f>SUMPRODUCT($F$3:$F$1000,MOD(ROW($F$3:$F$1000),7)=0)</f>
        <v>0</v>
      </c>
      <c r="Z126" s="131" t="e">
        <f t="shared" si="21"/>
        <v>#DIV/0!</v>
      </c>
      <c r="AA126" s="132">
        <f>SUMPRODUCT($H$3:$H$1000,MOD(ROW($H$3:$H$1000),7)=0)</f>
        <v>0</v>
      </c>
      <c r="AB126" s="133" t="e">
        <f t="shared" si="22"/>
        <v>#DIV/0!</v>
      </c>
      <c r="AC126" s="88"/>
      <c r="AD126" s="88"/>
      <c r="AE126" s="88"/>
      <c r="AF126" s="88"/>
      <c r="AG126" s="119" t="s">
        <v>47</v>
      </c>
      <c r="AH126" s="120">
        <f ca="1">SUMPRODUCT(INDIRECT(ADDRESS((MATCH(TODAY(),A3:A1000))-$X$2-1,4)):INDIRECT(ADDRESS((MATCH(TODAY(),A3:A1000))-1,4)),MOD(ROW(INDIRECT(ADDRESS((MATCH(TODAY(),A3:A1000))-$X$2-1,4)):INDIRECT(ADDRESS((MATCH(TODAY(),A3:A1000))-1,4))),7)=0)</f>
        <v>0</v>
      </c>
      <c r="AI126" s="121" t="e">
        <f t="shared" ca="1" si="23"/>
        <v>#DIV/0!</v>
      </c>
      <c r="AJ126" s="136">
        <f ca="1">SUMPRODUCT(INDIRECT(ADDRESS((MATCH(TODAY(),A3:A1000))-$X$2-1,6)):INDIRECT(ADDRESS((MATCH(TODAY(),A3:A1000))-1,6)),MOD(ROW(INDIRECT(ADDRESS((MATCH(TODAY(),A3:A1000))-$X$2-1,6)):INDIRECT(ADDRESS((MATCH(TODAY(),A3:A1000))-1,6))),7)=0)</f>
        <v>0</v>
      </c>
      <c r="AK126" s="123" t="e">
        <f t="shared" ca="1" si="24"/>
        <v>#DIV/0!</v>
      </c>
      <c r="AL126" s="124">
        <f ca="1">SUMPRODUCT(INDIRECT(ADDRESS((MATCH(TODAY(),A3:A1000))-$X$2-1,8)):INDIRECT(ADDRESS((MATCH(TODAY(),A3:A1000))-1,8)),MOD(ROW(INDIRECT(ADDRESS((MATCH(TODAY(),A3:A1000))-$X$2-1,8)):INDIRECT(ADDRESS((MATCH(TODAY(),A3:A1000))-1,8))),7)=0)</f>
        <v>0</v>
      </c>
      <c r="AM126" s="125" t="e">
        <f t="shared" ca="1" si="25"/>
        <v>#DIV/0!</v>
      </c>
      <c r="AN126" s="137"/>
      <c r="AO126" s="137"/>
      <c r="AP126" s="137"/>
      <c r="AQ126" s="137"/>
      <c r="AR126" s="137"/>
      <c r="AS126" s="137"/>
    </row>
    <row r="127" spans="1:45" x14ac:dyDescent="0.25">
      <c r="A127" s="61">
        <v>44017</v>
      </c>
      <c r="B127" s="62" t="str">
        <f t="shared" ca="1" si="0"/>
        <v/>
      </c>
      <c r="C127" s="12">
        <f t="shared" si="17"/>
        <v>124</v>
      </c>
      <c r="D127" s="63">
        <f>DANE!D127</f>
        <v>231</v>
      </c>
      <c r="E127" s="64">
        <f t="shared" si="8"/>
        <v>35950</v>
      </c>
      <c r="F127" s="65">
        <f>DANE!E127</f>
        <v>5</v>
      </c>
      <c r="G127" s="66">
        <f t="shared" si="9"/>
        <v>1516</v>
      </c>
      <c r="H127" s="67">
        <f t="shared" si="4"/>
        <v>619</v>
      </c>
      <c r="I127" s="68">
        <f>DANE!F127</f>
        <v>23746</v>
      </c>
      <c r="J127" s="54">
        <f t="shared" si="5"/>
        <v>-393</v>
      </c>
      <c r="K127" s="69">
        <f t="shared" si="10"/>
        <v>10688</v>
      </c>
      <c r="L127" s="84">
        <f t="shared" ca="1" si="11"/>
        <v>291.85714285714283</v>
      </c>
      <c r="M127" s="44">
        <f t="shared" si="6"/>
        <v>6.0011083841342732</v>
      </c>
      <c r="N127" s="45">
        <f t="shared" si="7"/>
        <v>4.2169680111265642</v>
      </c>
      <c r="O127" s="71">
        <f t="shared" si="12"/>
        <v>2068.1175906807298</v>
      </c>
      <c r="P127" s="71">
        <f t="shared" si="13"/>
        <v>-3.5079610812156659E-2</v>
      </c>
      <c r="Q127" s="85">
        <f t="shared" si="14"/>
        <v>0.75444272431490345</v>
      </c>
      <c r="R127" s="85">
        <f t="shared" ca="1" si="15"/>
        <v>0.96646823593735121</v>
      </c>
      <c r="S127" s="86">
        <f t="shared" ca="1" si="16"/>
        <v>3.0000000000000027E-2</v>
      </c>
      <c r="T127" s="88"/>
      <c r="U127" s="88"/>
      <c r="V127" s="138" t="s">
        <v>48</v>
      </c>
      <c r="W127" s="139">
        <f>SUMPRODUCT($D$3:$D$1000,MOD(ROW($D$3:$D$1000),7)=1)</f>
        <v>0</v>
      </c>
      <c r="X127" s="140" t="e">
        <f t="shared" si="20"/>
        <v>#DIV/0!</v>
      </c>
      <c r="Y127" s="141">
        <f>SUMPRODUCT($F$3:$F$1000,MOD(ROW($F$3:$F$1000),7)=1)</f>
        <v>0</v>
      </c>
      <c r="Z127" s="142" t="e">
        <f t="shared" si="21"/>
        <v>#DIV/0!</v>
      </c>
      <c r="AA127" s="143">
        <f>SUMPRODUCT($H$3:$H$1000,MOD(ROW($H$3:$H$1000),7)=1)</f>
        <v>0</v>
      </c>
      <c r="AB127" s="144" t="e">
        <f t="shared" si="22"/>
        <v>#DIV/0!</v>
      </c>
      <c r="AC127" s="88"/>
      <c r="AD127" s="88"/>
      <c r="AE127" s="88"/>
      <c r="AF127" s="88"/>
      <c r="AG127" s="119" t="s">
        <v>48</v>
      </c>
      <c r="AH127" s="120">
        <f ca="1">SUMPRODUCT(INDIRECT(ADDRESS((MATCH(TODAY(),A3:A1000))-$X$2-1,4)):INDIRECT(ADDRESS((MATCH(TODAY(),A3:A1000))-1,4)),MOD(ROW(INDIRECT(ADDRESS((MATCH(TODAY(),A3:A1000))-$X$2-1,4)):INDIRECT(ADDRESS((MATCH(TODAY(),A3:A1000))-1,4))),7)=1)</f>
        <v>0</v>
      </c>
      <c r="AI127" s="121" t="e">
        <f t="shared" ca="1" si="23"/>
        <v>#DIV/0!</v>
      </c>
      <c r="AJ127" s="122">
        <f ca="1">SUMPRODUCT(INDIRECT(ADDRESS((MATCH(TODAY(),A3:A1000))-$X$2-1,6)):INDIRECT(ADDRESS((MATCH(TODAY(),A3:A1000))-1,6)),MOD(ROW(INDIRECT(ADDRESS((MATCH(TODAY(),A3:A1000))-$X$2-1,6)):INDIRECT(ADDRESS((MATCH(TODAY(),A3:A1000))-1,6))),7)=1)</f>
        <v>0</v>
      </c>
      <c r="AK127" s="123" t="e">
        <f t="shared" ca="1" si="24"/>
        <v>#DIV/0!</v>
      </c>
      <c r="AL127" s="124">
        <f ca="1">SUMPRODUCT(INDIRECT(ADDRESS((MATCH(TODAY(),A3:A1000))-$X$2-1,8)):INDIRECT(ADDRESS((MATCH(TODAY(),A3:A1000))-1,8)),MOD(ROW(INDIRECT(ADDRESS((MATCH(TODAY(),A3:A1000))-$X$2-1,8)):INDIRECT(ADDRESS((MATCH(TODAY(),A3:A1000))-1,8))),7)=1)</f>
        <v>0</v>
      </c>
      <c r="AM127" s="125" t="e">
        <f t="shared" ca="1" si="25"/>
        <v>#DIV/0!</v>
      </c>
      <c r="AN127" s="145"/>
      <c r="AO127" s="145"/>
      <c r="AP127" s="145"/>
      <c r="AQ127" s="145"/>
      <c r="AR127" s="145"/>
      <c r="AS127" s="145"/>
    </row>
    <row r="128" spans="1:45" x14ac:dyDescent="0.25">
      <c r="A128" s="32">
        <v>44018</v>
      </c>
      <c r="B128" s="33" t="str">
        <f t="shared" ca="1" si="0"/>
        <v/>
      </c>
      <c r="C128" s="51">
        <f t="shared" si="17"/>
        <v>125</v>
      </c>
      <c r="D128" s="35">
        <f>DANE!D128</f>
        <v>205</v>
      </c>
      <c r="E128" s="52">
        <f t="shared" si="8"/>
        <v>36155</v>
      </c>
      <c r="F128" s="37">
        <f>DANE!E128</f>
        <v>4</v>
      </c>
      <c r="G128" s="53">
        <f t="shared" si="9"/>
        <v>1520</v>
      </c>
      <c r="H128" s="39">
        <f t="shared" si="4"/>
        <v>220</v>
      </c>
      <c r="I128" s="40">
        <f>DANE!F128</f>
        <v>23966</v>
      </c>
      <c r="J128" s="54">
        <f t="shared" si="5"/>
        <v>-19</v>
      </c>
      <c r="K128" s="42">
        <f t="shared" si="10"/>
        <v>10669</v>
      </c>
      <c r="L128" s="79">
        <f t="shared" ca="1" si="11"/>
        <v>285.85714285714283</v>
      </c>
      <c r="M128" s="44">
        <f t="shared" si="6"/>
        <v>5.9640586988935107</v>
      </c>
      <c r="N128" s="45">
        <f t="shared" si="7"/>
        <v>4.2041211450698386</v>
      </c>
      <c r="O128" s="46">
        <f t="shared" si="12"/>
        <v>1977.6722205834828</v>
      </c>
      <c r="P128" s="46">
        <f t="shared" si="13"/>
        <v>-4.3733185436267419E-2</v>
      </c>
      <c r="Q128" s="80">
        <f t="shared" si="14"/>
        <v>0.69386770194612812</v>
      </c>
      <c r="R128" s="80">
        <f t="shared" ca="1" si="15"/>
        <v>0.95047408197436023</v>
      </c>
      <c r="S128" s="81">
        <f t="shared" ca="1" si="16"/>
        <v>-2.0000000000000018E-2</v>
      </c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381"/>
      <c r="AH128" s="372"/>
      <c r="AI128" s="372"/>
      <c r="AJ128" s="372"/>
      <c r="AK128" s="372"/>
      <c r="AL128" s="372"/>
      <c r="AM128" s="372"/>
      <c r="AN128" s="372"/>
      <c r="AO128" s="372"/>
      <c r="AP128" s="372"/>
      <c r="AQ128" s="137"/>
      <c r="AR128" s="137"/>
      <c r="AS128" s="137"/>
    </row>
    <row r="129" spans="1:45" x14ac:dyDescent="0.25">
      <c r="A129" s="32">
        <v>44019</v>
      </c>
      <c r="B129" s="33" t="str">
        <f t="shared" ca="1" si="0"/>
        <v/>
      </c>
      <c r="C129" s="51">
        <f t="shared" si="17"/>
        <v>126</v>
      </c>
      <c r="D129" s="35">
        <f>DANE!D129</f>
        <v>257</v>
      </c>
      <c r="E129" s="52">
        <f t="shared" si="8"/>
        <v>36412</v>
      </c>
      <c r="F129" s="37">
        <f>DANE!E129</f>
        <v>7</v>
      </c>
      <c r="G129" s="53">
        <f t="shared" si="9"/>
        <v>1527</v>
      </c>
      <c r="H129" s="39">
        <f t="shared" si="4"/>
        <v>272</v>
      </c>
      <c r="I129" s="40">
        <f>DANE!F129</f>
        <v>24238</v>
      </c>
      <c r="J129" s="54">
        <f t="shared" si="5"/>
        <v>-22</v>
      </c>
      <c r="K129" s="42">
        <f t="shared" si="10"/>
        <v>10647</v>
      </c>
      <c r="L129" s="79">
        <f t="shared" ca="1" si="11"/>
        <v>288.42857142857144</v>
      </c>
      <c r="M129" s="44">
        <f t="shared" si="6"/>
        <v>5.9266446730060158</v>
      </c>
      <c r="N129" s="45">
        <f t="shared" si="7"/>
        <v>4.1936724156871357</v>
      </c>
      <c r="O129" s="46">
        <f t="shared" si="12"/>
        <v>1952.1476176429853</v>
      </c>
      <c r="P129" s="46">
        <f t="shared" si="13"/>
        <v>-1.2906386950698463E-2</v>
      </c>
      <c r="Q129" s="80">
        <f t="shared" si="14"/>
        <v>0.90965529134511081</v>
      </c>
      <c r="R129" s="80">
        <f t="shared" ca="1" si="15"/>
        <v>0.96585725452254412</v>
      </c>
      <c r="S129" s="81">
        <f t="shared" ca="1" si="16"/>
        <v>2.0000000000000018E-2</v>
      </c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  <c r="AE129" s="89"/>
      <c r="AF129" s="89"/>
      <c r="AG129" s="89"/>
      <c r="AH129" s="89"/>
      <c r="AI129" s="89"/>
      <c r="AJ129" s="89"/>
      <c r="AK129" s="89"/>
      <c r="AL129" s="89"/>
      <c r="AM129" s="89"/>
      <c r="AN129" s="89"/>
      <c r="AO129" s="89"/>
      <c r="AP129" s="89"/>
      <c r="AQ129" s="89"/>
      <c r="AR129" s="89"/>
      <c r="AS129" s="89"/>
    </row>
    <row r="130" spans="1:45" x14ac:dyDescent="0.25">
      <c r="A130" s="32">
        <v>44020</v>
      </c>
      <c r="B130" s="33" t="str">
        <f t="shared" ca="1" si="0"/>
        <v/>
      </c>
      <c r="C130" s="51">
        <f t="shared" si="17"/>
        <v>127</v>
      </c>
      <c r="D130" s="35">
        <f>DANE!D130</f>
        <v>277</v>
      </c>
      <c r="E130" s="52">
        <f t="shared" si="8"/>
        <v>36689</v>
      </c>
      <c r="F130" s="37">
        <f>DANE!E130</f>
        <v>15</v>
      </c>
      <c r="G130" s="53">
        <f t="shared" si="9"/>
        <v>1542</v>
      </c>
      <c r="H130" s="39">
        <f t="shared" si="4"/>
        <v>640</v>
      </c>
      <c r="I130" s="40">
        <f>DANE!F130</f>
        <v>24878</v>
      </c>
      <c r="J130" s="54">
        <f t="shared" si="5"/>
        <v>-378</v>
      </c>
      <c r="K130" s="42">
        <f t="shared" si="10"/>
        <v>10269</v>
      </c>
      <c r="L130" s="79">
        <f t="shared" ca="1" si="11"/>
        <v>273.42857142857144</v>
      </c>
      <c r="M130" s="44">
        <f t="shared" si="6"/>
        <v>5.8364875094625281</v>
      </c>
      <c r="N130" s="45">
        <f t="shared" si="7"/>
        <v>4.2028946005614767</v>
      </c>
      <c r="O130" s="46">
        <f t="shared" si="12"/>
        <v>1950.2693865511303</v>
      </c>
      <c r="P130" s="46">
        <f t="shared" si="13"/>
        <v>-9.6213579079781984E-4</v>
      </c>
      <c r="Q130" s="80">
        <f t="shared" si="14"/>
        <v>0.99326504946441529</v>
      </c>
      <c r="R130" s="80">
        <f t="shared" ca="1" si="15"/>
        <v>0.9193047767914676</v>
      </c>
      <c r="S130" s="81">
        <f t="shared" ca="1" si="16"/>
        <v>-4.9999999999999933E-2</v>
      </c>
      <c r="T130" s="146"/>
      <c r="U130" s="147"/>
      <c r="V130" s="147"/>
      <c r="W130" s="147"/>
      <c r="X130" s="147"/>
      <c r="Y130" s="147"/>
      <c r="Z130" s="147"/>
      <c r="AA130" s="147"/>
      <c r="AB130" s="147"/>
      <c r="AC130" s="147"/>
      <c r="AD130" s="147"/>
      <c r="AE130" s="147"/>
      <c r="AF130" s="147"/>
      <c r="AG130" s="147"/>
      <c r="AH130" s="147"/>
      <c r="AI130" s="147"/>
      <c r="AJ130" s="147"/>
      <c r="AK130" s="147"/>
      <c r="AL130" s="147"/>
      <c r="AM130" s="147"/>
      <c r="AN130" s="147"/>
      <c r="AO130" s="147"/>
      <c r="AP130" s="147"/>
      <c r="AQ130" s="147"/>
      <c r="AR130" s="147"/>
      <c r="AS130" s="147"/>
    </row>
    <row r="131" spans="1:45" x14ac:dyDescent="0.25">
      <c r="A131" s="32">
        <v>44021</v>
      </c>
      <c r="B131" s="33" t="str">
        <f t="shared" ca="1" si="0"/>
        <v/>
      </c>
      <c r="C131" s="51">
        <f t="shared" si="17"/>
        <v>128</v>
      </c>
      <c r="D131" s="35">
        <f>DANE!D131</f>
        <v>262</v>
      </c>
      <c r="E131" s="52">
        <f t="shared" si="8"/>
        <v>36951</v>
      </c>
      <c r="F131" s="37">
        <f>DANE!E131</f>
        <v>9</v>
      </c>
      <c r="G131" s="53">
        <f t="shared" si="9"/>
        <v>1551</v>
      </c>
      <c r="H131" s="39">
        <f t="shared" si="4"/>
        <v>599</v>
      </c>
      <c r="I131" s="40">
        <f>DANE!F131</f>
        <v>25477</v>
      </c>
      <c r="J131" s="54">
        <f t="shared" si="5"/>
        <v>-346</v>
      </c>
      <c r="K131" s="42">
        <f t="shared" si="10"/>
        <v>9923</v>
      </c>
      <c r="L131" s="79">
        <f t="shared" ca="1" si="11"/>
        <v>257.85714285714283</v>
      </c>
      <c r="M131" s="44">
        <f t="shared" si="6"/>
        <v>5.7384934142370874</v>
      </c>
      <c r="N131" s="45">
        <f t="shared" si="7"/>
        <v>4.1974506779248193</v>
      </c>
      <c r="O131" s="46">
        <f t="shared" si="12"/>
        <v>1933.6594741866832</v>
      </c>
      <c r="P131" s="46">
        <f t="shared" si="13"/>
        <v>-8.516727216756571E-3</v>
      </c>
      <c r="Q131" s="80">
        <f t="shared" si="14"/>
        <v>0.94038290948270398</v>
      </c>
      <c r="R131" s="80">
        <f t="shared" ca="1" si="15"/>
        <v>0.87860437653787293</v>
      </c>
      <c r="S131" s="81">
        <f t="shared" ca="1" si="16"/>
        <v>-4.0000000000000036E-2</v>
      </c>
      <c r="T131" s="146"/>
      <c r="U131" s="382" t="s">
        <v>49</v>
      </c>
      <c r="V131" s="372"/>
      <c r="W131" s="372"/>
      <c r="X131" s="372"/>
      <c r="Y131" s="372"/>
      <c r="Z131" s="372"/>
      <c r="AA131" s="372"/>
      <c r="AB131" s="372"/>
      <c r="AC131" s="372"/>
      <c r="AD131" s="372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</row>
    <row r="132" spans="1:45" x14ac:dyDescent="0.25">
      <c r="A132" s="32">
        <v>44022</v>
      </c>
      <c r="B132" s="33" t="str">
        <f t="shared" ca="1" si="0"/>
        <v/>
      </c>
      <c r="C132" s="51">
        <f t="shared" si="17"/>
        <v>129</v>
      </c>
      <c r="D132" s="35">
        <f>DANE!D132</f>
        <v>265</v>
      </c>
      <c r="E132" s="52">
        <f t="shared" si="8"/>
        <v>37216</v>
      </c>
      <c r="F132" s="37">
        <f>DANE!E132</f>
        <v>11</v>
      </c>
      <c r="G132" s="53">
        <f t="shared" si="9"/>
        <v>1562</v>
      </c>
      <c r="H132" s="39">
        <f t="shared" si="4"/>
        <v>571</v>
      </c>
      <c r="I132" s="40">
        <f>DANE!F132</f>
        <v>26048</v>
      </c>
      <c r="J132" s="54">
        <f t="shared" si="5"/>
        <v>-317</v>
      </c>
      <c r="K132" s="42">
        <f t="shared" si="10"/>
        <v>9606</v>
      </c>
      <c r="L132" s="79">
        <f t="shared" ca="1" si="11"/>
        <v>258.71428571428572</v>
      </c>
      <c r="M132" s="44">
        <f t="shared" si="6"/>
        <v>5.6573705179282872</v>
      </c>
      <c r="N132" s="45">
        <f t="shared" si="7"/>
        <v>4.1971195184866721</v>
      </c>
      <c r="O132" s="46">
        <f t="shared" si="12"/>
        <v>1922.4224064457285</v>
      </c>
      <c r="P132" s="46">
        <f t="shared" si="13"/>
        <v>-5.8112960895977282E-3</v>
      </c>
      <c r="Q132" s="80">
        <f t="shared" si="14"/>
        <v>0.95932092737281593</v>
      </c>
      <c r="R132" s="80">
        <f t="shared" ca="1" si="15"/>
        <v>0.89726208306687394</v>
      </c>
      <c r="S132" s="81">
        <f t="shared" ca="1" si="16"/>
        <v>2.0000000000000018E-2</v>
      </c>
      <c r="T132" s="146"/>
      <c r="U132" s="383"/>
      <c r="V132" s="372"/>
      <c r="W132" s="372"/>
      <c r="X132" s="372"/>
      <c r="Y132" s="372"/>
      <c r="Z132" s="372"/>
      <c r="AA132" s="372"/>
      <c r="AB132" s="372"/>
      <c r="AC132" s="372"/>
      <c r="AD132" s="372"/>
      <c r="AE132" s="147"/>
      <c r="AF132" s="147"/>
      <c r="AG132" s="147"/>
      <c r="AH132" s="147"/>
      <c r="AI132" s="147"/>
      <c r="AJ132" s="147"/>
      <c r="AK132" s="147"/>
      <c r="AL132" s="147"/>
      <c r="AM132" s="147"/>
      <c r="AN132" s="147"/>
      <c r="AO132" s="147"/>
      <c r="AP132" s="147"/>
      <c r="AQ132" s="147"/>
      <c r="AR132" s="147"/>
      <c r="AS132" s="147"/>
    </row>
    <row r="133" spans="1:45" x14ac:dyDescent="0.25">
      <c r="A133" s="61">
        <v>44023</v>
      </c>
      <c r="B133" s="62" t="str">
        <f t="shared" ca="1" si="0"/>
        <v/>
      </c>
      <c r="C133" s="12">
        <f t="shared" si="17"/>
        <v>130</v>
      </c>
      <c r="D133" s="63">
        <f>DANE!D133</f>
        <v>305</v>
      </c>
      <c r="E133" s="64">
        <f t="shared" si="8"/>
        <v>37521</v>
      </c>
      <c r="F133" s="65">
        <f>DANE!E133</f>
        <v>6</v>
      </c>
      <c r="G133" s="66">
        <f t="shared" si="9"/>
        <v>1568</v>
      </c>
      <c r="H133" s="67">
        <f t="shared" si="4"/>
        <v>587</v>
      </c>
      <c r="I133" s="68">
        <f>DANE!F133</f>
        <v>26635</v>
      </c>
      <c r="J133" s="54">
        <f t="shared" si="5"/>
        <v>-288</v>
      </c>
      <c r="K133" s="69">
        <f t="shared" si="10"/>
        <v>9318</v>
      </c>
      <c r="L133" s="84">
        <f t="shared" ca="1" si="11"/>
        <v>257.42857142857144</v>
      </c>
      <c r="M133" s="44">
        <f t="shared" si="6"/>
        <v>5.5596922313229085</v>
      </c>
      <c r="N133" s="45">
        <f t="shared" si="7"/>
        <v>4.1789930971989016</v>
      </c>
      <c r="O133" s="71">
        <f t="shared" si="12"/>
        <v>1952.7906340963389</v>
      </c>
      <c r="P133" s="71">
        <f t="shared" si="13"/>
        <v>1.5796854816500339E-2</v>
      </c>
      <c r="Q133" s="85">
        <f t="shared" si="14"/>
        <v>1.1105779837155023</v>
      </c>
      <c r="R133" s="85">
        <f t="shared" ca="1" si="15"/>
        <v>0.90878751252022572</v>
      </c>
      <c r="S133" s="86">
        <f t="shared" ca="1" si="16"/>
        <v>1.0000000000000009E-2</v>
      </c>
      <c r="T133" s="146"/>
      <c r="U133" s="382" t="s">
        <v>50</v>
      </c>
      <c r="V133" s="372"/>
      <c r="W133" s="372"/>
      <c r="X133" s="372"/>
      <c r="Y133" s="372"/>
      <c r="Z133" s="372"/>
      <c r="AA133" s="372"/>
      <c r="AB133" s="372"/>
      <c r="AC133" s="372"/>
      <c r="AD133" s="372"/>
      <c r="AE133" s="147"/>
      <c r="AF133" s="147"/>
      <c r="AG133" s="147"/>
      <c r="AH133" s="147"/>
      <c r="AI133" s="147"/>
      <c r="AJ133" s="147"/>
      <c r="AK133" s="147"/>
      <c r="AL133" s="147"/>
      <c r="AM133" s="147"/>
      <c r="AN133" s="147"/>
      <c r="AO133" s="147"/>
      <c r="AP133" s="147"/>
      <c r="AQ133" s="147"/>
      <c r="AR133" s="147"/>
      <c r="AS133" s="147"/>
    </row>
    <row r="134" spans="1:45" x14ac:dyDescent="0.25">
      <c r="A134" s="61">
        <v>44024</v>
      </c>
      <c r="B134" s="62" t="str">
        <f t="shared" ca="1" si="0"/>
        <v/>
      </c>
      <c r="C134" s="12">
        <f t="shared" si="17"/>
        <v>131</v>
      </c>
      <c r="D134" s="63">
        <f>DANE!D134</f>
        <v>370</v>
      </c>
      <c r="E134" s="64">
        <f t="shared" si="8"/>
        <v>37891</v>
      </c>
      <c r="F134" s="65">
        <f>DANE!E134</f>
        <v>3</v>
      </c>
      <c r="G134" s="66">
        <f t="shared" si="9"/>
        <v>1571</v>
      </c>
      <c r="H134" s="67">
        <f t="shared" si="4"/>
        <v>513</v>
      </c>
      <c r="I134" s="68">
        <f>DANE!F134</f>
        <v>27148</v>
      </c>
      <c r="J134" s="54">
        <f t="shared" si="5"/>
        <v>-146</v>
      </c>
      <c r="K134" s="69">
        <f t="shared" si="10"/>
        <v>9172</v>
      </c>
      <c r="L134" s="84">
        <f t="shared" ca="1" si="11"/>
        <v>277.28571428571428</v>
      </c>
      <c r="M134" s="44">
        <f t="shared" si="6"/>
        <v>5.4702461784881091</v>
      </c>
      <c r="N134" s="45">
        <f t="shared" si="7"/>
        <v>4.1461032962972739</v>
      </c>
      <c r="O134" s="71">
        <f t="shared" si="12"/>
        <v>2043.8205435111477</v>
      </c>
      <c r="P134" s="71">
        <f t="shared" si="13"/>
        <v>4.6615293941602312E-2</v>
      </c>
      <c r="Q134" s="85">
        <f t="shared" si="14"/>
        <v>1.3263070575912161</v>
      </c>
      <c r="R134" s="85">
        <f t="shared" ca="1" si="15"/>
        <v>0.99048241727398456</v>
      </c>
      <c r="S134" s="86">
        <f t="shared" ca="1" si="16"/>
        <v>7.999999999999996E-2</v>
      </c>
      <c r="T134" s="146"/>
      <c r="U134" s="384" t="s">
        <v>51</v>
      </c>
      <c r="V134" s="372"/>
      <c r="W134" s="372"/>
      <c r="X134" s="372"/>
      <c r="Y134" s="372"/>
      <c r="Z134" s="372"/>
      <c r="AA134" s="372"/>
      <c r="AB134" s="372"/>
      <c r="AC134" s="372"/>
      <c r="AD134" s="372"/>
      <c r="AE134" s="148"/>
      <c r="AF134" s="148"/>
      <c r="AG134" s="148"/>
      <c r="AH134" s="148"/>
      <c r="AI134" s="148"/>
      <c r="AJ134" s="148"/>
      <c r="AK134" s="148"/>
      <c r="AL134" s="147"/>
      <c r="AM134" s="147"/>
      <c r="AN134" s="147"/>
      <c r="AO134" s="147"/>
      <c r="AP134" s="147"/>
      <c r="AQ134" s="147"/>
      <c r="AR134" s="147"/>
      <c r="AS134" s="147"/>
    </row>
    <row r="135" spans="1:45" x14ac:dyDescent="0.25">
      <c r="A135" s="32">
        <v>44025</v>
      </c>
      <c r="B135" s="33" t="str">
        <f t="shared" ca="1" si="0"/>
        <v/>
      </c>
      <c r="C135" s="51">
        <f t="shared" si="17"/>
        <v>132</v>
      </c>
      <c r="D135" s="35">
        <f>DANE!D135</f>
        <v>299</v>
      </c>
      <c r="E135" s="52">
        <f t="shared" si="8"/>
        <v>38190</v>
      </c>
      <c r="F135" s="37">
        <f>DANE!E135</f>
        <v>5</v>
      </c>
      <c r="G135" s="53">
        <f t="shared" si="9"/>
        <v>1576</v>
      </c>
      <c r="H135" s="39">
        <f t="shared" si="4"/>
        <v>367</v>
      </c>
      <c r="I135" s="40">
        <f>DANE!F135</f>
        <v>27515</v>
      </c>
      <c r="J135" s="54">
        <f t="shared" si="5"/>
        <v>-73</v>
      </c>
      <c r="K135" s="42">
        <f t="shared" si="10"/>
        <v>9099</v>
      </c>
      <c r="L135" s="79">
        <f t="shared" ca="1" si="11"/>
        <v>290.71428571428572</v>
      </c>
      <c r="M135" s="44">
        <f t="shared" si="6"/>
        <v>5.4174830703654049</v>
      </c>
      <c r="N135" s="45">
        <f t="shared" si="7"/>
        <v>4.1267347473160516</v>
      </c>
      <c r="O135" s="46">
        <f t="shared" si="12"/>
        <v>2050.8461801524127</v>
      </c>
      <c r="P135" s="46">
        <f t="shared" si="13"/>
        <v>3.437501723705856E-3</v>
      </c>
      <c r="Q135" s="80">
        <f t="shared" si="14"/>
        <v>1.024062512065941</v>
      </c>
      <c r="R135" s="80">
        <f t="shared" ca="1" si="15"/>
        <v>1.0376531044339579</v>
      </c>
      <c r="S135" s="81">
        <f t="shared" ca="1" si="16"/>
        <v>5.0000000000000044E-2</v>
      </c>
      <c r="T135" s="146"/>
      <c r="U135" s="382" t="s">
        <v>52</v>
      </c>
      <c r="V135" s="372"/>
      <c r="W135" s="372"/>
      <c r="X135" s="372"/>
      <c r="Y135" s="372"/>
      <c r="Z135" s="372"/>
      <c r="AA135" s="372"/>
      <c r="AB135" s="372"/>
      <c r="AC135" s="372"/>
      <c r="AD135" s="372"/>
      <c r="AE135" s="148"/>
      <c r="AF135" s="148"/>
      <c r="AG135" s="148"/>
      <c r="AH135" s="148"/>
      <c r="AI135" s="148"/>
      <c r="AJ135" s="148"/>
      <c r="AK135" s="148"/>
      <c r="AL135" s="147"/>
      <c r="AM135" s="147"/>
      <c r="AN135" s="147"/>
      <c r="AO135" s="147"/>
      <c r="AP135" s="147"/>
      <c r="AQ135" s="147"/>
      <c r="AR135" s="147"/>
      <c r="AS135" s="147"/>
    </row>
    <row r="136" spans="1:45" x14ac:dyDescent="0.25">
      <c r="A136" s="32">
        <v>44026</v>
      </c>
      <c r="B136" s="33" t="str">
        <f t="shared" ca="1" si="0"/>
        <v/>
      </c>
      <c r="C136" s="51">
        <f t="shared" si="17"/>
        <v>133</v>
      </c>
      <c r="D136" s="35">
        <f>DANE!D136</f>
        <v>267</v>
      </c>
      <c r="E136" s="52">
        <f t="shared" si="8"/>
        <v>38457</v>
      </c>
      <c r="F136" s="37">
        <f>DANE!E136</f>
        <v>12</v>
      </c>
      <c r="G136" s="53">
        <f t="shared" si="9"/>
        <v>1588</v>
      </c>
      <c r="H136" s="39">
        <f t="shared" si="4"/>
        <v>241</v>
      </c>
      <c r="I136" s="40">
        <f>DANE!F136</f>
        <v>27756</v>
      </c>
      <c r="J136" s="54">
        <f t="shared" si="5"/>
        <v>14</v>
      </c>
      <c r="K136" s="42">
        <f t="shared" si="10"/>
        <v>9113</v>
      </c>
      <c r="L136" s="79">
        <f t="shared" ca="1" si="11"/>
        <v>292.14285714285717</v>
      </c>
      <c r="M136" s="44">
        <f t="shared" si="6"/>
        <v>5.411668484187568</v>
      </c>
      <c r="N136" s="45">
        <f t="shared" si="7"/>
        <v>4.1292872558961955</v>
      </c>
      <c r="O136" s="46">
        <f t="shared" si="12"/>
        <v>2024.8681544163539</v>
      </c>
      <c r="P136" s="46">
        <f t="shared" si="13"/>
        <v>-1.2666979116945825E-2</v>
      </c>
      <c r="Q136" s="80">
        <f t="shared" si="14"/>
        <v>0.91133114618137923</v>
      </c>
      <c r="R136" s="80">
        <f t="shared" ca="1" si="15"/>
        <v>1.0378925122677107</v>
      </c>
      <c r="S136" s="81">
        <f t="shared" ca="1" si="16"/>
        <v>0</v>
      </c>
      <c r="T136" s="146"/>
      <c r="U136" s="385" t="s">
        <v>53</v>
      </c>
      <c r="V136" s="372"/>
      <c r="W136" s="372"/>
      <c r="X136" s="372"/>
      <c r="Y136" s="372"/>
      <c r="Z136" s="372"/>
      <c r="AA136" s="372"/>
      <c r="AB136" s="372"/>
      <c r="AC136" s="372"/>
      <c r="AD136" s="372"/>
      <c r="AE136" s="147"/>
      <c r="AF136" s="147"/>
      <c r="AG136" s="147"/>
      <c r="AH136" s="147"/>
      <c r="AI136" s="147"/>
      <c r="AJ136" s="147"/>
      <c r="AK136" s="147"/>
      <c r="AL136" s="147"/>
      <c r="AM136" s="147"/>
      <c r="AN136" s="147"/>
      <c r="AO136" s="147"/>
      <c r="AP136" s="147"/>
      <c r="AQ136" s="147"/>
      <c r="AR136" s="147"/>
      <c r="AS136" s="147"/>
    </row>
    <row r="137" spans="1:45" x14ac:dyDescent="0.25">
      <c r="A137" s="32">
        <v>44027</v>
      </c>
      <c r="B137" s="33" t="str">
        <f t="shared" ca="1" si="0"/>
        <v/>
      </c>
      <c r="C137" s="51">
        <f t="shared" si="17"/>
        <v>134</v>
      </c>
      <c r="D137" s="35">
        <f>DANE!D137</f>
        <v>264</v>
      </c>
      <c r="E137" s="52">
        <f t="shared" si="8"/>
        <v>38721</v>
      </c>
      <c r="F137" s="37">
        <f>DANE!E137</f>
        <v>6</v>
      </c>
      <c r="G137" s="53">
        <f t="shared" si="9"/>
        <v>1594</v>
      </c>
      <c r="H137" s="39">
        <f t="shared" si="4"/>
        <v>736</v>
      </c>
      <c r="I137" s="40">
        <f>DANE!F137</f>
        <v>28492</v>
      </c>
      <c r="J137" s="54">
        <f t="shared" si="5"/>
        <v>-478</v>
      </c>
      <c r="K137" s="42">
        <f t="shared" si="10"/>
        <v>8635</v>
      </c>
      <c r="L137" s="79">
        <f t="shared" ca="1" si="11"/>
        <v>290.28571428571428</v>
      </c>
      <c r="M137" s="44">
        <f t="shared" si="6"/>
        <v>5.2981453167586254</v>
      </c>
      <c r="N137" s="45">
        <f t="shared" si="7"/>
        <v>4.1166292192866916</v>
      </c>
      <c r="O137" s="46">
        <f t="shared" si="12"/>
        <v>1999.6012752140177</v>
      </c>
      <c r="P137" s="46">
        <f t="shared" si="13"/>
        <v>-1.2478283658729926E-2</v>
      </c>
      <c r="Q137" s="80">
        <f t="shared" si="14"/>
        <v>0.91265201438889054</v>
      </c>
      <c r="R137" s="80">
        <f t="shared" ca="1" si="15"/>
        <v>1.0263763643997785</v>
      </c>
      <c r="S137" s="81">
        <f t="shared" ca="1" si="16"/>
        <v>-1.0000000000000009E-2</v>
      </c>
      <c r="T137" s="146"/>
      <c r="U137" s="386" t="s">
        <v>54</v>
      </c>
      <c r="V137" s="372"/>
      <c r="W137" s="372"/>
      <c r="X137" s="372"/>
      <c r="Y137" s="372"/>
      <c r="Z137" s="372"/>
      <c r="AA137" s="372"/>
      <c r="AB137" s="372"/>
      <c r="AC137" s="372"/>
      <c r="AD137" s="372"/>
      <c r="AE137" s="147"/>
      <c r="AF137" s="147"/>
      <c r="AG137" s="147"/>
      <c r="AH137" s="147"/>
      <c r="AI137" s="147"/>
      <c r="AJ137" s="147"/>
      <c r="AK137" s="147"/>
      <c r="AL137" s="147"/>
      <c r="AM137" s="147"/>
      <c r="AN137" s="147"/>
      <c r="AO137" s="147"/>
      <c r="AP137" s="147"/>
      <c r="AQ137" s="147"/>
      <c r="AR137" s="147"/>
      <c r="AS137" s="147"/>
    </row>
    <row r="138" spans="1:45" x14ac:dyDescent="0.25">
      <c r="A138" s="32">
        <v>44028</v>
      </c>
      <c r="B138" s="33" t="str">
        <f t="shared" ca="1" si="0"/>
        <v/>
      </c>
      <c r="C138" s="51">
        <f t="shared" si="17"/>
        <v>135</v>
      </c>
      <c r="D138" s="35">
        <f>DANE!D138</f>
        <v>333</v>
      </c>
      <c r="E138" s="52">
        <f t="shared" si="8"/>
        <v>39054</v>
      </c>
      <c r="F138" s="37">
        <f>DANE!E138</f>
        <v>10</v>
      </c>
      <c r="G138" s="53">
        <f t="shared" si="9"/>
        <v>1604</v>
      </c>
      <c r="H138" s="39">
        <f t="shared" si="4"/>
        <v>436</v>
      </c>
      <c r="I138" s="40">
        <f>DANE!F138</f>
        <v>28928</v>
      </c>
      <c r="J138" s="54">
        <f t="shared" si="5"/>
        <v>-113</v>
      </c>
      <c r="K138" s="42">
        <f t="shared" si="10"/>
        <v>8522</v>
      </c>
      <c r="L138" s="79">
        <f t="shared" ca="1" si="11"/>
        <v>300.42857142857144</v>
      </c>
      <c r="M138" s="44">
        <f t="shared" si="6"/>
        <v>5.2535045198480281</v>
      </c>
      <c r="N138" s="45">
        <f t="shared" si="7"/>
        <v>4.1071337122957958</v>
      </c>
      <c r="O138" s="46">
        <f t="shared" si="12"/>
        <v>2046.9439501834438</v>
      </c>
      <c r="P138" s="46">
        <f t="shared" si="13"/>
        <v>2.367605760021281E-2</v>
      </c>
      <c r="Q138" s="80">
        <f t="shared" si="14"/>
        <v>1.1657324032014897</v>
      </c>
      <c r="R138" s="80">
        <f t="shared" ca="1" si="15"/>
        <v>1.0585691492167479</v>
      </c>
      <c r="S138" s="81">
        <f t="shared" ca="1" si="16"/>
        <v>3.0000000000000027E-2</v>
      </c>
      <c r="T138" s="146"/>
      <c r="U138" s="383"/>
      <c r="V138" s="372"/>
      <c r="W138" s="372"/>
      <c r="X138" s="372"/>
      <c r="Y138" s="372"/>
      <c r="Z138" s="372"/>
      <c r="AA138" s="372"/>
      <c r="AB138" s="372"/>
      <c r="AC138" s="372"/>
      <c r="AD138" s="372"/>
      <c r="AE138" s="147"/>
      <c r="AF138" s="147"/>
      <c r="AG138" s="147"/>
      <c r="AH138" s="147"/>
      <c r="AI138" s="147"/>
      <c r="AJ138" s="147"/>
      <c r="AK138" s="147"/>
      <c r="AL138" s="147"/>
      <c r="AM138" s="147"/>
      <c r="AN138" s="147"/>
      <c r="AO138" s="147"/>
      <c r="AP138" s="147"/>
      <c r="AQ138" s="147"/>
      <c r="AR138" s="147"/>
      <c r="AS138" s="147"/>
    </row>
    <row r="139" spans="1:45" x14ac:dyDescent="0.25">
      <c r="A139" s="32">
        <v>44029</v>
      </c>
      <c r="B139" s="33" t="str">
        <f t="shared" ca="1" si="0"/>
        <v/>
      </c>
      <c r="C139" s="51">
        <f t="shared" si="17"/>
        <v>136</v>
      </c>
      <c r="D139" s="35">
        <f>DANE!D139</f>
        <v>353</v>
      </c>
      <c r="E139" s="52">
        <f t="shared" si="8"/>
        <v>39407</v>
      </c>
      <c r="F139" s="37">
        <f>DANE!E139</f>
        <v>7</v>
      </c>
      <c r="G139" s="53">
        <f t="shared" si="9"/>
        <v>1611</v>
      </c>
      <c r="H139" s="39">
        <f t="shared" si="4"/>
        <v>577</v>
      </c>
      <c r="I139" s="40">
        <f>DANE!F139</f>
        <v>29505</v>
      </c>
      <c r="J139" s="54">
        <f t="shared" si="5"/>
        <v>-231</v>
      </c>
      <c r="K139" s="42">
        <f t="shared" si="10"/>
        <v>8291</v>
      </c>
      <c r="L139" s="79">
        <f t="shared" ca="1" si="11"/>
        <v>313</v>
      </c>
      <c r="M139" s="44">
        <f t="shared" si="6"/>
        <v>5.1774006941766295</v>
      </c>
      <c r="N139" s="45">
        <f t="shared" si="7"/>
        <v>4.0881061740299947</v>
      </c>
      <c r="O139" s="46">
        <f t="shared" si="12"/>
        <v>2107.5233858715237</v>
      </c>
      <c r="P139" s="46">
        <f t="shared" si="13"/>
        <v>2.9595063256446705E-2</v>
      </c>
      <c r="Q139" s="80">
        <f t="shared" si="14"/>
        <v>1.2071654427951271</v>
      </c>
      <c r="R139" s="80">
        <f t="shared" ca="1" si="15"/>
        <v>1.0939755085627922</v>
      </c>
      <c r="S139" s="81">
        <f t="shared" ca="1" si="16"/>
        <v>3.0000000000000027E-2</v>
      </c>
      <c r="T139" s="146"/>
      <c r="U139" s="387"/>
      <c r="V139" s="372"/>
      <c r="W139" s="372"/>
      <c r="X139" s="372"/>
      <c r="Y139" s="372"/>
      <c r="Z139" s="372"/>
      <c r="AA139" s="372"/>
      <c r="AB139" s="372"/>
      <c r="AC139" s="372"/>
      <c r="AD139" s="372"/>
      <c r="AE139" s="147"/>
      <c r="AF139" s="147"/>
      <c r="AG139" s="147"/>
      <c r="AH139" s="147"/>
      <c r="AI139" s="147"/>
      <c r="AJ139" s="147"/>
      <c r="AK139" s="147"/>
      <c r="AL139" s="147"/>
      <c r="AM139" s="147"/>
      <c r="AN139" s="147"/>
      <c r="AO139" s="147"/>
      <c r="AP139" s="147"/>
      <c r="AQ139" s="147"/>
      <c r="AR139" s="147"/>
      <c r="AS139" s="147"/>
    </row>
    <row r="140" spans="1:45" x14ac:dyDescent="0.25">
      <c r="A140" s="61">
        <v>44030</v>
      </c>
      <c r="B140" s="62" t="str">
        <f t="shared" ca="1" si="0"/>
        <v/>
      </c>
      <c r="C140" s="12">
        <f t="shared" si="17"/>
        <v>137</v>
      </c>
      <c r="D140" s="63">
        <f>DANE!D140</f>
        <v>339</v>
      </c>
      <c r="E140" s="64">
        <f t="shared" si="8"/>
        <v>39746</v>
      </c>
      <c r="F140" s="65">
        <f>DANE!E140</f>
        <v>6</v>
      </c>
      <c r="G140" s="66">
        <f t="shared" si="9"/>
        <v>1617</v>
      </c>
      <c r="H140" s="67">
        <f t="shared" si="4"/>
        <v>419</v>
      </c>
      <c r="I140" s="68">
        <f>DANE!F140</f>
        <v>29924</v>
      </c>
      <c r="J140" s="54">
        <f t="shared" si="5"/>
        <v>-86</v>
      </c>
      <c r="K140" s="69">
        <f t="shared" si="10"/>
        <v>8205</v>
      </c>
      <c r="L140" s="84">
        <f t="shared" ca="1" si="11"/>
        <v>317.85714285714283</v>
      </c>
      <c r="M140" s="44">
        <f t="shared" si="6"/>
        <v>5.126660537078723</v>
      </c>
      <c r="N140" s="45">
        <f t="shared" si="7"/>
        <v>4.0683339203945055</v>
      </c>
      <c r="O140" s="71">
        <f t="shared" si="12"/>
        <v>2145.4486164613063</v>
      </c>
      <c r="P140" s="71">
        <f t="shared" si="13"/>
        <v>1.7995164772085969E-2</v>
      </c>
      <c r="Q140" s="85">
        <f t="shared" si="14"/>
        <v>1.1259661534046017</v>
      </c>
      <c r="R140" s="85">
        <f t="shared" ca="1" si="15"/>
        <v>1.0961738185183778</v>
      </c>
      <c r="S140" s="86">
        <f t="shared" ca="1" si="16"/>
        <v>1.0000000000000009E-2</v>
      </c>
      <c r="T140" s="146"/>
      <c r="U140" s="382"/>
      <c r="V140" s="372"/>
      <c r="W140" s="372"/>
      <c r="X140" s="372"/>
      <c r="Y140" s="372"/>
      <c r="Z140" s="372"/>
      <c r="AA140" s="372"/>
      <c r="AB140" s="372"/>
      <c r="AC140" s="372"/>
      <c r="AD140" s="372"/>
      <c r="AE140" s="147"/>
      <c r="AF140" s="147"/>
      <c r="AG140" s="147"/>
      <c r="AH140" s="147"/>
      <c r="AI140" s="147"/>
      <c r="AJ140" s="147"/>
      <c r="AK140" s="147"/>
      <c r="AL140" s="147"/>
      <c r="AM140" s="147"/>
      <c r="AN140" s="147"/>
      <c r="AO140" s="147"/>
      <c r="AP140" s="147"/>
      <c r="AQ140" s="147"/>
      <c r="AR140" s="147"/>
      <c r="AS140" s="147"/>
    </row>
    <row r="141" spans="1:45" x14ac:dyDescent="0.25">
      <c r="A141" s="61">
        <v>44031</v>
      </c>
      <c r="B141" s="62" t="str">
        <f t="shared" ca="1" si="0"/>
        <v/>
      </c>
      <c r="C141" s="12">
        <f t="shared" si="17"/>
        <v>138</v>
      </c>
      <c r="D141" s="63">
        <f>DANE!D141</f>
        <v>358</v>
      </c>
      <c r="E141" s="64">
        <f t="shared" si="8"/>
        <v>40104</v>
      </c>
      <c r="F141" s="65">
        <f>DANE!E141</f>
        <v>6</v>
      </c>
      <c r="G141" s="66">
        <f t="shared" si="9"/>
        <v>1623</v>
      </c>
      <c r="H141" s="67">
        <f t="shared" si="4"/>
        <v>368</v>
      </c>
      <c r="I141" s="68">
        <f>DANE!F141</f>
        <v>30292</v>
      </c>
      <c r="J141" s="54">
        <f t="shared" si="5"/>
        <v>-16</v>
      </c>
      <c r="K141" s="69">
        <f t="shared" si="10"/>
        <v>8189</v>
      </c>
      <c r="L141" s="84">
        <f t="shared" ca="1" si="11"/>
        <v>316.14285714285717</v>
      </c>
      <c r="M141" s="44">
        <f t="shared" si="6"/>
        <v>5.0853830487231706</v>
      </c>
      <c r="N141" s="45">
        <f t="shared" si="7"/>
        <v>4.046977857570317</v>
      </c>
      <c r="O141" s="71">
        <f t="shared" si="12"/>
        <v>2196.955956966834</v>
      </c>
      <c r="P141" s="71">
        <f t="shared" si="13"/>
        <v>2.4007725055883056E-2</v>
      </c>
      <c r="Q141" s="85">
        <f t="shared" si="14"/>
        <v>1.1680540753911814</v>
      </c>
      <c r="R141" s="85">
        <f t="shared" ca="1" si="15"/>
        <v>1.0735662496326588</v>
      </c>
      <c r="S141" s="86">
        <f t="shared" ca="1" si="16"/>
        <v>-3.0000000000000027E-2</v>
      </c>
      <c r="T141" s="146"/>
      <c r="U141" s="382" t="s">
        <v>55</v>
      </c>
      <c r="V141" s="372"/>
      <c r="W141" s="372"/>
      <c r="X141" s="372"/>
      <c r="Y141" s="372"/>
      <c r="Z141" s="372"/>
      <c r="AA141" s="372"/>
      <c r="AB141" s="372"/>
      <c r="AC141" s="372"/>
      <c r="AD141" s="372"/>
      <c r="AE141" s="148"/>
      <c r="AF141" s="148"/>
      <c r="AG141" s="148"/>
      <c r="AH141" s="148"/>
      <c r="AI141" s="148"/>
      <c r="AJ141" s="148"/>
      <c r="AK141" s="148"/>
      <c r="AL141" s="147"/>
      <c r="AM141" s="147"/>
      <c r="AN141" s="147"/>
      <c r="AO141" s="147"/>
      <c r="AP141" s="147"/>
      <c r="AQ141" s="147"/>
      <c r="AR141" s="147"/>
      <c r="AS141" s="147"/>
    </row>
    <row r="142" spans="1:45" x14ac:dyDescent="0.25">
      <c r="A142" s="32">
        <v>44032</v>
      </c>
      <c r="B142" s="33" t="str">
        <f t="shared" ca="1" si="0"/>
        <v/>
      </c>
      <c r="C142" s="51">
        <f t="shared" si="17"/>
        <v>139</v>
      </c>
      <c r="D142" s="35">
        <f>DANE!D142</f>
        <v>279</v>
      </c>
      <c r="E142" s="52">
        <f t="shared" si="8"/>
        <v>40383</v>
      </c>
      <c r="F142" s="37">
        <f>DANE!E142</f>
        <v>4</v>
      </c>
      <c r="G142" s="53">
        <f t="shared" si="9"/>
        <v>1627</v>
      </c>
      <c r="H142" s="39">
        <f t="shared" si="4"/>
        <v>247</v>
      </c>
      <c r="I142" s="40">
        <f>DANE!F142</f>
        <v>30539</v>
      </c>
      <c r="J142" s="54">
        <f t="shared" si="5"/>
        <v>28</v>
      </c>
      <c r="K142" s="42">
        <f t="shared" si="10"/>
        <v>8217</v>
      </c>
      <c r="L142" s="79">
        <f t="shared" ca="1" si="11"/>
        <v>313.28571428571428</v>
      </c>
      <c r="M142" s="44">
        <f t="shared" si="6"/>
        <v>5.058135919915439</v>
      </c>
      <c r="N142" s="45">
        <f t="shared" si="7"/>
        <v>4.0289230616843721</v>
      </c>
      <c r="O142" s="46">
        <f t="shared" si="12"/>
        <v>2162.1051059715719</v>
      </c>
      <c r="P142" s="46">
        <f t="shared" si="13"/>
        <v>-1.5863245180107292E-2</v>
      </c>
      <c r="Q142" s="80">
        <f t="shared" si="14"/>
        <v>0.88895728373924898</v>
      </c>
      <c r="R142" s="80">
        <f t="shared" ca="1" si="15"/>
        <v>1.0542655027288457</v>
      </c>
      <c r="S142" s="81">
        <f t="shared" ca="1" si="16"/>
        <v>-2.0000000000000018E-2</v>
      </c>
      <c r="T142" s="146"/>
      <c r="U142" s="388" t="s">
        <v>56</v>
      </c>
      <c r="V142" s="372"/>
      <c r="W142" s="372"/>
      <c r="X142" s="372"/>
      <c r="Y142" s="372"/>
      <c r="Z142" s="372"/>
      <c r="AA142" s="372"/>
      <c r="AB142" s="372"/>
      <c r="AC142" s="389" t="s">
        <v>57</v>
      </c>
      <c r="AD142" s="372"/>
      <c r="AE142" s="148"/>
      <c r="AF142" s="148"/>
      <c r="AG142" s="148"/>
      <c r="AH142" s="148"/>
      <c r="AI142" s="148"/>
      <c r="AJ142" s="148"/>
      <c r="AK142" s="148"/>
      <c r="AL142" s="147"/>
      <c r="AM142" s="147"/>
      <c r="AN142" s="147"/>
      <c r="AO142" s="147"/>
      <c r="AP142" s="147"/>
      <c r="AQ142" s="147"/>
      <c r="AR142" s="147"/>
      <c r="AS142" s="147"/>
    </row>
    <row r="143" spans="1:45" x14ac:dyDescent="0.25">
      <c r="A143" s="32">
        <v>44033</v>
      </c>
      <c r="B143" s="33" t="str">
        <f t="shared" ca="1" si="0"/>
        <v/>
      </c>
      <c r="C143" s="51">
        <f t="shared" si="17"/>
        <v>140</v>
      </c>
      <c r="D143" s="35">
        <f>DANE!D143</f>
        <v>399</v>
      </c>
      <c r="E143" s="52">
        <f t="shared" si="8"/>
        <v>40782</v>
      </c>
      <c r="F143" s="37">
        <f>DANE!E143</f>
        <v>9</v>
      </c>
      <c r="G143" s="53">
        <f t="shared" si="9"/>
        <v>1636</v>
      </c>
      <c r="H143" s="39">
        <f t="shared" si="4"/>
        <v>232</v>
      </c>
      <c r="I143" s="40">
        <f>DANE!F143</f>
        <v>30771</v>
      </c>
      <c r="J143" s="54">
        <f t="shared" si="5"/>
        <v>158</v>
      </c>
      <c r="K143" s="42">
        <f t="shared" si="10"/>
        <v>8375</v>
      </c>
      <c r="L143" s="79">
        <f t="shared" ca="1" si="11"/>
        <v>332.14285714285717</v>
      </c>
      <c r="M143" s="44">
        <f t="shared" si="6"/>
        <v>5.0482920356713059</v>
      </c>
      <c r="N143" s="45">
        <f t="shared" si="7"/>
        <v>4.0115737335098816</v>
      </c>
      <c r="O143" s="46">
        <f t="shared" si="12"/>
        <v>2252.2329479756331</v>
      </c>
      <c r="P143" s="46">
        <f t="shared" si="13"/>
        <v>4.1685226936995286E-2</v>
      </c>
      <c r="Q143" s="80">
        <f t="shared" si="14"/>
        <v>1.2917965885589671</v>
      </c>
      <c r="R143" s="80">
        <f t="shared" ca="1" si="15"/>
        <v>1.1086177087827864</v>
      </c>
      <c r="S143" s="81">
        <f t="shared" ca="1" si="16"/>
        <v>6.0000000000000053E-2</v>
      </c>
      <c r="T143" s="146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150"/>
      <c r="AF143" s="150"/>
      <c r="AG143" s="150"/>
      <c r="AH143" s="150"/>
      <c r="AI143" s="150"/>
      <c r="AJ143" s="150"/>
      <c r="AK143" s="150"/>
      <c r="AL143" s="147"/>
      <c r="AM143" s="147"/>
      <c r="AN143" s="147"/>
      <c r="AO143" s="147"/>
      <c r="AP143" s="147"/>
      <c r="AQ143" s="147"/>
      <c r="AR143" s="147"/>
      <c r="AS143" s="147"/>
    </row>
    <row r="144" spans="1:45" x14ac:dyDescent="0.25">
      <c r="A144" s="32">
        <v>44034</v>
      </c>
      <c r="B144" s="33" t="str">
        <f t="shared" ca="1" si="0"/>
        <v/>
      </c>
      <c r="C144" s="51">
        <f t="shared" si="17"/>
        <v>141</v>
      </c>
      <c r="D144" s="35">
        <f>DANE!D144</f>
        <v>380</v>
      </c>
      <c r="E144" s="52">
        <f t="shared" si="8"/>
        <v>41162</v>
      </c>
      <c r="F144" s="37">
        <f>DANE!E144</f>
        <v>6</v>
      </c>
      <c r="G144" s="53">
        <f t="shared" si="9"/>
        <v>1642</v>
      </c>
      <c r="H144" s="39">
        <f t="shared" si="4"/>
        <v>368</v>
      </c>
      <c r="I144" s="40">
        <f>DANE!F144</f>
        <v>31139</v>
      </c>
      <c r="J144" s="54">
        <f t="shared" si="5"/>
        <v>6</v>
      </c>
      <c r="K144" s="42">
        <f t="shared" si="10"/>
        <v>8381</v>
      </c>
      <c r="L144" s="79">
        <f t="shared" ca="1" si="11"/>
        <v>348.71428571428572</v>
      </c>
      <c r="M144" s="44">
        <f t="shared" si="6"/>
        <v>5.0089991153412043</v>
      </c>
      <c r="N144" s="45">
        <f t="shared" si="7"/>
        <v>3.9891161751129682</v>
      </c>
      <c r="O144" s="46">
        <f t="shared" si="12"/>
        <v>2310.485383979114</v>
      </c>
      <c r="P144" s="46">
        <f t="shared" si="13"/>
        <v>2.5864303271044716E-2</v>
      </c>
      <c r="Q144" s="80">
        <f t="shared" si="14"/>
        <v>1.1810501228973129</v>
      </c>
      <c r="R144" s="80">
        <f t="shared" ca="1" si="15"/>
        <v>1.1469602957125613</v>
      </c>
      <c r="S144" s="81">
        <f t="shared" ca="1" si="16"/>
        <v>3.9999999999999813E-2</v>
      </c>
      <c r="T144" s="146"/>
      <c r="U144" s="390" t="s">
        <v>58</v>
      </c>
      <c r="V144" s="372"/>
      <c r="W144" s="372"/>
      <c r="X144" s="372"/>
      <c r="Y144" s="372"/>
      <c r="Z144" s="372"/>
      <c r="AA144" s="372"/>
      <c r="AB144" s="372"/>
      <c r="AC144" s="372"/>
      <c r="AD144" s="372"/>
      <c r="AE144" s="150"/>
      <c r="AF144" s="150"/>
      <c r="AG144" s="150"/>
      <c r="AH144" s="150"/>
      <c r="AI144" s="150"/>
      <c r="AJ144" s="150"/>
      <c r="AK144" s="150"/>
      <c r="AL144" s="147"/>
      <c r="AM144" s="147"/>
      <c r="AN144" s="147"/>
      <c r="AO144" s="147"/>
      <c r="AP144" s="147"/>
      <c r="AQ144" s="147"/>
      <c r="AR144" s="147"/>
      <c r="AS144" s="147"/>
    </row>
    <row r="145" spans="1:45" x14ac:dyDescent="0.25">
      <c r="A145" s="32">
        <v>44035</v>
      </c>
      <c r="B145" s="33" t="str">
        <f t="shared" ca="1" si="0"/>
        <v/>
      </c>
      <c r="C145" s="51">
        <f t="shared" si="17"/>
        <v>142</v>
      </c>
      <c r="D145" s="35">
        <f>DANE!D145</f>
        <v>418</v>
      </c>
      <c r="E145" s="52">
        <f t="shared" si="8"/>
        <v>41580</v>
      </c>
      <c r="F145" s="37">
        <f>DANE!E145</f>
        <v>9</v>
      </c>
      <c r="G145" s="53">
        <f t="shared" si="9"/>
        <v>1651</v>
      </c>
      <c r="H145" s="39">
        <f t="shared" si="4"/>
        <v>402</v>
      </c>
      <c r="I145" s="40">
        <f>DANE!F145</f>
        <v>31541</v>
      </c>
      <c r="J145" s="54">
        <f t="shared" si="5"/>
        <v>7</v>
      </c>
      <c r="K145" s="42">
        <f t="shared" si="10"/>
        <v>8388</v>
      </c>
      <c r="L145" s="79">
        <f t="shared" ca="1" si="11"/>
        <v>360.85714285714283</v>
      </c>
      <c r="M145" s="44">
        <f t="shared" si="6"/>
        <v>4.9740901422029404</v>
      </c>
      <c r="N145" s="45">
        <f t="shared" si="7"/>
        <v>3.9706589706589703</v>
      </c>
      <c r="O145" s="46">
        <f t="shared" si="12"/>
        <v>2398.4160434106693</v>
      </c>
      <c r="P145" s="46">
        <f t="shared" si="13"/>
        <v>3.8057223837582262E-2</v>
      </c>
      <c r="Q145" s="80">
        <f t="shared" si="14"/>
        <v>1.2664005668630758</v>
      </c>
      <c r="R145" s="80">
        <f t="shared" ca="1" si="15"/>
        <v>1.1613414619499307</v>
      </c>
      <c r="S145" s="81">
        <f t="shared" ca="1" si="16"/>
        <v>1.0000000000000009E-2</v>
      </c>
      <c r="T145" s="146"/>
      <c r="U145" s="382"/>
      <c r="V145" s="372"/>
      <c r="W145" s="372"/>
      <c r="X145" s="372"/>
      <c r="Y145" s="372"/>
      <c r="Z145" s="372"/>
      <c r="AA145" s="372"/>
      <c r="AB145" s="372"/>
      <c r="AC145" s="372"/>
      <c r="AD145" s="372"/>
      <c r="AE145" s="150"/>
      <c r="AF145" s="150"/>
      <c r="AG145" s="150"/>
      <c r="AH145" s="150"/>
      <c r="AI145" s="150"/>
      <c r="AJ145" s="150"/>
      <c r="AK145" s="150"/>
      <c r="AL145" s="147"/>
      <c r="AM145" s="147"/>
      <c r="AN145" s="147"/>
      <c r="AO145" s="147"/>
      <c r="AP145" s="147"/>
      <c r="AQ145" s="147"/>
      <c r="AR145" s="147"/>
      <c r="AS145" s="147"/>
    </row>
    <row r="146" spans="1:45" x14ac:dyDescent="0.25">
      <c r="A146" s="32">
        <v>44036</v>
      </c>
      <c r="B146" s="33" t="str">
        <f t="shared" ca="1" si="0"/>
        <v/>
      </c>
      <c r="C146" s="51">
        <f t="shared" si="17"/>
        <v>143</v>
      </c>
      <c r="D146" s="35">
        <f>DANE!D146</f>
        <v>458</v>
      </c>
      <c r="E146" s="52">
        <f t="shared" si="8"/>
        <v>42038</v>
      </c>
      <c r="F146" s="37">
        <f>DANE!E146</f>
        <v>4</v>
      </c>
      <c r="G146" s="53">
        <f t="shared" si="9"/>
        <v>1655</v>
      </c>
      <c r="H146" s="39">
        <f t="shared" si="4"/>
        <v>456</v>
      </c>
      <c r="I146" s="40">
        <f>DANE!F146</f>
        <v>31997</v>
      </c>
      <c r="J146" s="54">
        <f t="shared" si="5"/>
        <v>-2</v>
      </c>
      <c r="K146" s="42">
        <f t="shared" si="10"/>
        <v>8386</v>
      </c>
      <c r="L146" s="79">
        <f t="shared" ca="1" si="11"/>
        <v>375.85714285714283</v>
      </c>
      <c r="M146" s="44">
        <f t="shared" si="6"/>
        <v>4.9179840722691077</v>
      </c>
      <c r="N146" s="45">
        <f t="shared" si="7"/>
        <v>3.9369142204671963</v>
      </c>
      <c r="O146" s="46">
        <f t="shared" si="12"/>
        <v>2513.7851800662879</v>
      </c>
      <c r="P146" s="46">
        <f t="shared" si="13"/>
        <v>4.8102220201778602E-2</v>
      </c>
      <c r="Q146" s="80">
        <f t="shared" si="14"/>
        <v>1.3367155414124503</v>
      </c>
      <c r="R146" s="80">
        <f t="shared" ca="1" si="15"/>
        <v>1.1798486188952624</v>
      </c>
      <c r="S146" s="81">
        <f t="shared" ca="1" si="16"/>
        <v>2.0000000000000018E-2</v>
      </c>
      <c r="T146" s="146"/>
      <c r="U146" s="382" t="s">
        <v>59</v>
      </c>
      <c r="V146" s="372"/>
      <c r="W146" s="372"/>
      <c r="X146" s="372"/>
      <c r="Y146" s="372"/>
      <c r="Z146" s="372"/>
      <c r="AA146" s="372"/>
      <c r="AB146" s="372"/>
      <c r="AC146" s="372"/>
      <c r="AD146" s="372"/>
      <c r="AE146" s="150"/>
      <c r="AF146" s="150"/>
      <c r="AG146" s="150"/>
      <c r="AH146" s="150"/>
      <c r="AI146" s="150"/>
      <c r="AJ146" s="150"/>
      <c r="AK146" s="150"/>
      <c r="AL146" s="147"/>
      <c r="AM146" s="147"/>
      <c r="AN146" s="147"/>
      <c r="AO146" s="147"/>
      <c r="AP146" s="147"/>
      <c r="AQ146" s="147"/>
      <c r="AR146" s="147"/>
      <c r="AS146" s="147"/>
    </row>
    <row r="147" spans="1:45" x14ac:dyDescent="0.25">
      <c r="A147" s="61">
        <v>44037</v>
      </c>
      <c r="B147" s="62" t="str">
        <f t="shared" ca="1" si="0"/>
        <v/>
      </c>
      <c r="C147" s="12">
        <f t="shared" si="17"/>
        <v>144</v>
      </c>
      <c r="D147" s="63">
        <f>DANE!D147</f>
        <v>584</v>
      </c>
      <c r="E147" s="64">
        <f t="shared" si="8"/>
        <v>42622</v>
      </c>
      <c r="F147" s="65">
        <f>DANE!E147</f>
        <v>9</v>
      </c>
      <c r="G147" s="66">
        <f t="shared" si="9"/>
        <v>1664</v>
      </c>
      <c r="H147" s="67">
        <f t="shared" si="4"/>
        <v>422</v>
      </c>
      <c r="I147" s="68">
        <f>DANE!F147</f>
        <v>32419</v>
      </c>
      <c r="J147" s="54">
        <f t="shared" si="5"/>
        <v>153</v>
      </c>
      <c r="K147" s="69">
        <f t="shared" si="10"/>
        <v>8539</v>
      </c>
      <c r="L147" s="84">
        <f t="shared" ca="1" si="11"/>
        <v>410.85714285714283</v>
      </c>
      <c r="M147" s="44">
        <f t="shared" si="6"/>
        <v>4.8821993369128309</v>
      </c>
      <c r="N147" s="45">
        <f t="shared" si="7"/>
        <v>3.9040870911735719</v>
      </c>
      <c r="O147" s="71">
        <f t="shared" si="12"/>
        <v>2738.6730114853899</v>
      </c>
      <c r="P147" s="71">
        <f t="shared" si="13"/>
        <v>8.9461833573691349E-2</v>
      </c>
      <c r="Q147" s="85">
        <f t="shared" si="14"/>
        <v>1.6262328350158395</v>
      </c>
      <c r="R147" s="85">
        <f t="shared" ca="1" si="15"/>
        <v>1.2513152876968678</v>
      </c>
      <c r="S147" s="86">
        <f t="shared" ca="1" si="16"/>
        <v>7.0000000000000062E-2</v>
      </c>
      <c r="T147" s="146"/>
      <c r="U147" s="391" t="s">
        <v>60</v>
      </c>
      <c r="V147" s="372"/>
      <c r="W147" s="372"/>
      <c r="X147" s="372"/>
      <c r="Y147" s="372"/>
      <c r="Z147" s="372"/>
      <c r="AA147" s="372"/>
      <c r="AB147" s="372"/>
      <c r="AC147" s="372"/>
      <c r="AD147" s="372"/>
      <c r="AE147" s="150"/>
      <c r="AF147" s="150"/>
      <c r="AG147" s="150"/>
      <c r="AH147" s="150"/>
      <c r="AI147" s="150"/>
      <c r="AJ147" s="150"/>
      <c r="AK147" s="150"/>
      <c r="AL147" s="147"/>
      <c r="AM147" s="147"/>
      <c r="AN147" s="147"/>
      <c r="AO147" s="147"/>
      <c r="AP147" s="147"/>
      <c r="AQ147" s="147"/>
      <c r="AR147" s="147"/>
      <c r="AS147" s="147"/>
    </row>
    <row r="148" spans="1:45" x14ac:dyDescent="0.25">
      <c r="A148" s="61">
        <v>44038</v>
      </c>
      <c r="B148" s="62" t="str">
        <f t="shared" ca="1" si="0"/>
        <v/>
      </c>
      <c r="C148" s="12">
        <f t="shared" si="17"/>
        <v>145</v>
      </c>
      <c r="D148" s="63">
        <f>DANE!D148</f>
        <v>443</v>
      </c>
      <c r="E148" s="64">
        <f t="shared" si="8"/>
        <v>43065</v>
      </c>
      <c r="F148" s="65">
        <f>DANE!E148</f>
        <v>7</v>
      </c>
      <c r="G148" s="66">
        <f t="shared" si="9"/>
        <v>1671</v>
      </c>
      <c r="H148" s="67">
        <f t="shared" si="4"/>
        <v>334</v>
      </c>
      <c r="I148" s="68">
        <f>DANE!F148</f>
        <v>32753</v>
      </c>
      <c r="J148" s="54">
        <f t="shared" si="5"/>
        <v>102</v>
      </c>
      <c r="K148" s="69">
        <f t="shared" si="10"/>
        <v>8641</v>
      </c>
      <c r="L148" s="84">
        <f t="shared" ca="1" si="11"/>
        <v>423</v>
      </c>
      <c r="M148" s="44">
        <f t="shared" si="6"/>
        <v>4.8541715082500581</v>
      </c>
      <c r="N148" s="45">
        <f t="shared" si="7"/>
        <v>3.8801811215604318</v>
      </c>
      <c r="O148" s="71">
        <f t="shared" si="12"/>
        <v>2790.43400984462</v>
      </c>
      <c r="P148" s="71">
        <f t="shared" si="13"/>
        <v>1.8900028642395768E-2</v>
      </c>
      <c r="Q148" s="85">
        <f t="shared" si="14"/>
        <v>1.1323002004967704</v>
      </c>
      <c r="R148" s="85">
        <f t="shared" ca="1" si="15"/>
        <v>1.2462075912833808</v>
      </c>
      <c r="S148" s="86">
        <f t="shared" ca="1" si="16"/>
        <v>0</v>
      </c>
      <c r="T148" s="146"/>
      <c r="U148" s="391" t="s">
        <v>61</v>
      </c>
      <c r="V148" s="372"/>
      <c r="W148" s="372"/>
      <c r="X148" s="372"/>
      <c r="Y148" s="372"/>
      <c r="Z148" s="372"/>
      <c r="AA148" s="372"/>
      <c r="AB148" s="372"/>
      <c r="AC148" s="372"/>
      <c r="AD148" s="372"/>
      <c r="AE148" s="150"/>
      <c r="AF148" s="150"/>
      <c r="AG148" s="150"/>
      <c r="AH148" s="150"/>
      <c r="AI148" s="150"/>
      <c r="AJ148" s="150"/>
      <c r="AK148" s="150"/>
      <c r="AL148" s="147"/>
      <c r="AM148" s="147"/>
      <c r="AN148" s="147"/>
      <c r="AO148" s="147"/>
      <c r="AP148" s="147"/>
      <c r="AQ148" s="147"/>
      <c r="AR148" s="147"/>
      <c r="AS148" s="147"/>
    </row>
    <row r="149" spans="1:45" x14ac:dyDescent="0.25">
      <c r="A149" s="32">
        <v>44039</v>
      </c>
      <c r="B149" s="33" t="str">
        <f t="shared" ca="1" si="0"/>
        <v/>
      </c>
      <c r="C149" s="51">
        <f t="shared" si="17"/>
        <v>146</v>
      </c>
      <c r="D149" s="35">
        <f>DANE!D149</f>
        <v>337</v>
      </c>
      <c r="E149" s="52">
        <f t="shared" si="8"/>
        <v>43402</v>
      </c>
      <c r="F149" s="37">
        <f>DANE!E149</f>
        <v>5</v>
      </c>
      <c r="G149" s="53">
        <f t="shared" si="9"/>
        <v>1676</v>
      </c>
      <c r="H149" s="39">
        <f t="shared" si="4"/>
        <v>103</v>
      </c>
      <c r="I149" s="40">
        <f>DANE!F149</f>
        <v>32856</v>
      </c>
      <c r="J149" s="54">
        <f t="shared" si="5"/>
        <v>229</v>
      </c>
      <c r="K149" s="42">
        <f t="shared" si="10"/>
        <v>8870</v>
      </c>
      <c r="L149" s="79">
        <f t="shared" ca="1" si="11"/>
        <v>431.28571428571428</v>
      </c>
      <c r="M149" s="44">
        <f t="shared" si="6"/>
        <v>4.8534692459168305</v>
      </c>
      <c r="N149" s="45">
        <f t="shared" si="7"/>
        <v>3.8615731993917333</v>
      </c>
      <c r="O149" s="46">
        <f t="shared" si="12"/>
        <v>2728.8005798668173</v>
      </c>
      <c r="P149" s="46">
        <f t="shared" si="13"/>
        <v>-2.2087399221899059E-2</v>
      </c>
      <c r="Q149" s="80">
        <f t="shared" si="14"/>
        <v>0.84538820544670656</v>
      </c>
      <c r="R149" s="80">
        <f t="shared" ca="1" si="15"/>
        <v>1.239983437241589</v>
      </c>
      <c r="S149" s="81">
        <f t="shared" ca="1" si="16"/>
        <v>-1.0000000000000009E-2</v>
      </c>
      <c r="T149" s="146"/>
      <c r="U149" s="391" t="s">
        <v>62</v>
      </c>
      <c r="V149" s="372"/>
      <c r="W149" s="372"/>
      <c r="X149" s="372"/>
      <c r="Y149" s="372"/>
      <c r="Z149" s="372"/>
      <c r="AA149" s="372"/>
      <c r="AB149" s="372"/>
      <c r="AC149" s="372"/>
      <c r="AD149" s="372"/>
      <c r="AE149" s="150"/>
      <c r="AF149" s="150"/>
      <c r="AG149" s="150"/>
      <c r="AH149" s="150"/>
      <c r="AI149" s="150"/>
      <c r="AJ149" s="150"/>
      <c r="AK149" s="150"/>
      <c r="AL149" s="147"/>
      <c r="AM149" s="147"/>
      <c r="AN149" s="147"/>
      <c r="AO149" s="147"/>
      <c r="AP149" s="147"/>
      <c r="AQ149" s="147"/>
      <c r="AR149" s="147"/>
      <c r="AS149" s="147"/>
    </row>
    <row r="150" spans="1:45" x14ac:dyDescent="0.25">
      <c r="A150" s="32">
        <v>44040</v>
      </c>
      <c r="B150" s="33" t="str">
        <f t="shared" ca="1" si="0"/>
        <v/>
      </c>
      <c r="C150" s="51">
        <f t="shared" si="17"/>
        <v>147</v>
      </c>
      <c r="D150" s="35">
        <f>DANE!D150</f>
        <v>502</v>
      </c>
      <c r="E150" s="52">
        <f t="shared" si="8"/>
        <v>43904</v>
      </c>
      <c r="F150" s="37">
        <f>DANE!E150</f>
        <v>6</v>
      </c>
      <c r="G150" s="53">
        <f t="shared" si="9"/>
        <v>1682</v>
      </c>
      <c r="H150" s="39">
        <f t="shared" si="4"/>
        <v>187</v>
      </c>
      <c r="I150" s="40">
        <f>DANE!F150</f>
        <v>33043</v>
      </c>
      <c r="J150" s="54">
        <f t="shared" si="5"/>
        <v>309</v>
      </c>
      <c r="K150" s="42">
        <f t="shared" si="10"/>
        <v>9179</v>
      </c>
      <c r="L150" s="79">
        <f t="shared" ca="1" si="11"/>
        <v>446</v>
      </c>
      <c r="M150" s="44">
        <f t="shared" si="6"/>
        <v>4.8437724982001438</v>
      </c>
      <c r="N150" s="45">
        <f t="shared" si="7"/>
        <v>3.8310860058309042</v>
      </c>
      <c r="O150" s="46">
        <f t="shared" si="12"/>
        <v>2840.9719256001295</v>
      </c>
      <c r="P150" s="46">
        <f t="shared" si="13"/>
        <v>4.1106465075138182E-2</v>
      </c>
      <c r="Q150" s="80">
        <f t="shared" si="14"/>
        <v>1.2877452555259672</v>
      </c>
      <c r="R150" s="80">
        <f t="shared" ca="1" si="15"/>
        <v>1.2394046753797316</v>
      </c>
      <c r="S150" s="81">
        <f t="shared" ca="1" si="16"/>
        <v>0</v>
      </c>
      <c r="T150" s="146"/>
      <c r="U150" s="391" t="s">
        <v>63</v>
      </c>
      <c r="V150" s="372"/>
      <c r="W150" s="372"/>
      <c r="X150" s="372"/>
      <c r="Y150" s="372"/>
      <c r="Z150" s="372"/>
      <c r="AA150" s="372"/>
      <c r="AB150" s="372"/>
      <c r="AC150" s="372"/>
      <c r="AD150" s="372"/>
      <c r="AE150" s="150"/>
      <c r="AF150" s="150"/>
      <c r="AG150" s="150"/>
      <c r="AH150" s="150"/>
      <c r="AI150" s="150"/>
      <c r="AJ150" s="150"/>
      <c r="AK150" s="150"/>
      <c r="AL150" s="147"/>
      <c r="AM150" s="147"/>
      <c r="AN150" s="147"/>
      <c r="AO150" s="147"/>
      <c r="AP150" s="147"/>
      <c r="AQ150" s="147"/>
      <c r="AR150" s="147"/>
      <c r="AS150" s="147"/>
    </row>
    <row r="151" spans="1:45" x14ac:dyDescent="0.25">
      <c r="A151" s="32">
        <v>44041</v>
      </c>
      <c r="B151" s="33" t="str">
        <f t="shared" ca="1" si="0"/>
        <v/>
      </c>
      <c r="C151" s="51">
        <f t="shared" si="17"/>
        <v>148</v>
      </c>
      <c r="D151" s="35">
        <f>DANE!D151</f>
        <v>512</v>
      </c>
      <c r="E151" s="52">
        <f t="shared" si="8"/>
        <v>44416</v>
      </c>
      <c r="F151" s="37">
        <f>DANE!E151</f>
        <v>12</v>
      </c>
      <c r="G151" s="53">
        <f t="shared" si="9"/>
        <v>1694</v>
      </c>
      <c r="H151" s="39">
        <f t="shared" si="4"/>
        <v>147</v>
      </c>
      <c r="I151" s="40">
        <f>DANE!F151</f>
        <v>33190</v>
      </c>
      <c r="J151" s="54">
        <f t="shared" si="5"/>
        <v>353</v>
      </c>
      <c r="K151" s="42">
        <f t="shared" si="10"/>
        <v>9532</v>
      </c>
      <c r="L151" s="79">
        <f t="shared" ca="1" si="11"/>
        <v>464.85714285714283</v>
      </c>
      <c r="M151" s="44">
        <f t="shared" si="6"/>
        <v>4.856094484577457</v>
      </c>
      <c r="N151" s="45">
        <f t="shared" si="7"/>
        <v>3.8139409221902016</v>
      </c>
      <c r="O151" s="46">
        <f t="shared" si="12"/>
        <v>2947.1187933715396</v>
      </c>
      <c r="P151" s="46">
        <f t="shared" si="13"/>
        <v>3.7362871070606436E-2</v>
      </c>
      <c r="Q151" s="80">
        <f t="shared" si="14"/>
        <v>1.261540097494245</v>
      </c>
      <c r="R151" s="80">
        <f t="shared" ca="1" si="15"/>
        <v>1.2509032431792935</v>
      </c>
      <c r="S151" s="81">
        <f t="shared" ca="1" si="16"/>
        <v>1.0000000000000009E-2</v>
      </c>
      <c r="T151" s="146"/>
      <c r="U151" s="391" t="s">
        <v>64</v>
      </c>
      <c r="V151" s="372"/>
      <c r="W151" s="372"/>
      <c r="X151" s="372"/>
      <c r="Y151" s="372"/>
      <c r="Z151" s="372"/>
      <c r="AA151" s="372"/>
      <c r="AB151" s="372"/>
      <c r="AC151" s="372"/>
      <c r="AD151" s="372"/>
      <c r="AE151" s="150"/>
      <c r="AF151" s="150"/>
      <c r="AG151" s="150"/>
      <c r="AH151" s="150"/>
      <c r="AI151" s="150"/>
      <c r="AJ151" s="150"/>
      <c r="AK151" s="150"/>
      <c r="AL151" s="147"/>
      <c r="AM151" s="147"/>
      <c r="AN151" s="147"/>
      <c r="AO151" s="147"/>
      <c r="AP151" s="147"/>
      <c r="AQ151" s="147"/>
      <c r="AR151" s="147"/>
      <c r="AS151" s="147"/>
    </row>
    <row r="152" spans="1:45" x14ac:dyDescent="0.25">
      <c r="A152" s="32">
        <v>44042</v>
      </c>
      <c r="B152" s="33" t="str">
        <f t="shared" ca="1" si="0"/>
        <v/>
      </c>
      <c r="C152" s="51">
        <f t="shared" si="17"/>
        <v>149</v>
      </c>
      <c r="D152" s="35">
        <f>DANE!D152</f>
        <v>615</v>
      </c>
      <c r="E152" s="52">
        <f t="shared" si="8"/>
        <v>45031</v>
      </c>
      <c r="F152" s="37">
        <f>DANE!E152</f>
        <v>15</v>
      </c>
      <c r="G152" s="53">
        <f t="shared" si="9"/>
        <v>1709</v>
      </c>
      <c r="H152" s="39">
        <f t="shared" si="4"/>
        <v>453</v>
      </c>
      <c r="I152" s="40">
        <f>DANE!F152</f>
        <v>33643</v>
      </c>
      <c r="J152" s="54">
        <f t="shared" si="5"/>
        <v>147</v>
      </c>
      <c r="K152" s="42">
        <f t="shared" si="10"/>
        <v>9679</v>
      </c>
      <c r="L152" s="79">
        <f t="shared" ca="1" si="11"/>
        <v>493</v>
      </c>
      <c r="M152" s="44">
        <f t="shared" si="6"/>
        <v>4.8342385155012453</v>
      </c>
      <c r="N152" s="45">
        <f t="shared" si="7"/>
        <v>3.7951633319268949</v>
      </c>
      <c r="O152" s="46">
        <f t="shared" si="12"/>
        <v>3141.1018228898911</v>
      </c>
      <c r="P152" s="46">
        <f t="shared" si="13"/>
        <v>6.582124546680812E-2</v>
      </c>
      <c r="Q152" s="80">
        <f t="shared" si="14"/>
        <v>1.4607487182676568</v>
      </c>
      <c r="R152" s="80">
        <f t="shared" ca="1" si="15"/>
        <v>1.2786672648085193</v>
      </c>
      <c r="S152" s="81">
        <f t="shared" ca="1" si="16"/>
        <v>3.0000000000000027E-2</v>
      </c>
      <c r="T152" s="146"/>
      <c r="U152" s="392"/>
      <c r="V152" s="372"/>
      <c r="W152" s="372"/>
      <c r="X152" s="372"/>
      <c r="Y152" s="372"/>
      <c r="Z152" s="372"/>
      <c r="AA152" s="372"/>
      <c r="AB152" s="372"/>
      <c r="AC152" s="372"/>
      <c r="AD152" s="372"/>
      <c r="AE152" s="150"/>
      <c r="AF152" s="150"/>
      <c r="AG152" s="150"/>
      <c r="AH152" s="150"/>
      <c r="AI152" s="150"/>
      <c r="AJ152" s="150"/>
      <c r="AK152" s="150"/>
      <c r="AL152" s="147"/>
      <c r="AM152" s="147"/>
      <c r="AN152" s="147"/>
      <c r="AO152" s="147"/>
      <c r="AP152" s="147"/>
      <c r="AQ152" s="147"/>
      <c r="AR152" s="147"/>
      <c r="AS152" s="147"/>
    </row>
    <row r="153" spans="1:45" x14ac:dyDescent="0.25">
      <c r="A153" s="32">
        <v>44043</v>
      </c>
      <c r="B153" s="33" t="str">
        <f t="shared" ca="1" si="0"/>
        <v/>
      </c>
      <c r="C153" s="51">
        <f t="shared" si="17"/>
        <v>150</v>
      </c>
      <c r="D153" s="35">
        <f>DANE!D153</f>
        <v>657</v>
      </c>
      <c r="E153" s="52">
        <f t="shared" si="8"/>
        <v>45688</v>
      </c>
      <c r="F153" s="37">
        <f>DANE!E153</f>
        <v>7</v>
      </c>
      <c r="G153" s="53">
        <f t="shared" si="9"/>
        <v>1716</v>
      </c>
      <c r="H153" s="39">
        <f t="shared" si="4"/>
        <v>344</v>
      </c>
      <c r="I153" s="40">
        <f>DANE!F153</f>
        <v>33987</v>
      </c>
      <c r="J153" s="54">
        <f t="shared" si="5"/>
        <v>306</v>
      </c>
      <c r="K153" s="42">
        <f t="shared" si="10"/>
        <v>9985</v>
      </c>
      <c r="L153" s="79">
        <f t="shared" ca="1" si="11"/>
        <v>521.42857142857144</v>
      </c>
      <c r="M153" s="44">
        <f t="shared" si="6"/>
        <v>4.8063187967397694</v>
      </c>
      <c r="N153" s="45">
        <f t="shared" si="7"/>
        <v>3.7559096480476275</v>
      </c>
      <c r="O153" s="46">
        <f t="shared" si="12"/>
        <v>3349.3729910484781</v>
      </c>
      <c r="P153" s="46">
        <f t="shared" si="13"/>
        <v>6.6305131097906395E-2</v>
      </c>
      <c r="Q153" s="80">
        <f t="shared" si="14"/>
        <v>1.4641359176853448</v>
      </c>
      <c r="R153" s="80">
        <f t="shared" ca="1" si="15"/>
        <v>1.2968701757046472</v>
      </c>
      <c r="S153" s="81">
        <f t="shared" ca="1" si="16"/>
        <v>2.0000000000000018E-2</v>
      </c>
      <c r="T153" s="146"/>
      <c r="U153" s="393"/>
      <c r="V153" s="372"/>
      <c r="W153" s="372"/>
      <c r="X153" s="372"/>
      <c r="Y153" s="372"/>
      <c r="Z153" s="372"/>
      <c r="AA153" s="372"/>
      <c r="AB153" s="372"/>
      <c r="AC153" s="372"/>
      <c r="AD153" s="372"/>
      <c r="AE153" s="150"/>
      <c r="AF153" s="150"/>
      <c r="AG153" s="150"/>
      <c r="AH153" s="150"/>
      <c r="AI153" s="150"/>
      <c r="AJ153" s="150"/>
      <c r="AK153" s="150"/>
      <c r="AL153" s="147"/>
      <c r="AM153" s="147"/>
      <c r="AN153" s="147"/>
      <c r="AO153" s="147"/>
      <c r="AP153" s="147"/>
      <c r="AQ153" s="147"/>
      <c r="AR153" s="147"/>
      <c r="AS153" s="147"/>
    </row>
    <row r="154" spans="1:45" x14ac:dyDescent="0.25">
      <c r="A154" s="61">
        <v>44044</v>
      </c>
      <c r="B154" s="62" t="str">
        <f t="shared" ca="1" si="0"/>
        <v/>
      </c>
      <c r="C154" s="12">
        <f t="shared" si="17"/>
        <v>151</v>
      </c>
      <c r="D154" s="63">
        <f>DANE!D154</f>
        <v>658</v>
      </c>
      <c r="E154" s="64">
        <f t="shared" si="8"/>
        <v>46346</v>
      </c>
      <c r="F154" s="65">
        <f>DANE!E154</f>
        <v>5</v>
      </c>
      <c r="G154" s="66">
        <f t="shared" si="9"/>
        <v>1721</v>
      </c>
      <c r="H154" s="67">
        <f t="shared" si="4"/>
        <v>387</v>
      </c>
      <c r="I154" s="68">
        <f>DANE!F154</f>
        <v>34374</v>
      </c>
      <c r="J154" s="54">
        <f t="shared" si="5"/>
        <v>266</v>
      </c>
      <c r="K154" s="69">
        <f t="shared" si="10"/>
        <v>10251</v>
      </c>
      <c r="L154" s="84">
        <f t="shared" ca="1" si="11"/>
        <v>532</v>
      </c>
      <c r="M154" s="44">
        <f t="shared" si="6"/>
        <v>4.7679734035184929</v>
      </c>
      <c r="N154" s="45">
        <f t="shared" si="7"/>
        <v>3.7133733224010701</v>
      </c>
      <c r="O154" s="71">
        <f t="shared" si="12"/>
        <v>3528.8911351844099</v>
      </c>
      <c r="P154" s="71">
        <f t="shared" si="13"/>
        <v>5.3597537394524698E-2</v>
      </c>
      <c r="Q154" s="85">
        <f t="shared" si="14"/>
        <v>1.375182761761673</v>
      </c>
      <c r="R154" s="85">
        <f t="shared" ca="1" si="15"/>
        <v>1.2610058795254806</v>
      </c>
      <c r="S154" s="86">
        <f t="shared" ca="1" si="16"/>
        <v>-4.0000000000000036E-2</v>
      </c>
      <c r="T154" s="146"/>
      <c r="U154" s="384" t="s">
        <v>65</v>
      </c>
      <c r="V154" s="372"/>
      <c r="W154" s="372"/>
      <c r="X154" s="372"/>
      <c r="Y154" s="372"/>
      <c r="Z154" s="372"/>
      <c r="AA154" s="372"/>
      <c r="AB154" s="372"/>
      <c r="AC154" s="372"/>
      <c r="AD154" s="372"/>
      <c r="AE154" s="152"/>
      <c r="AF154" s="152"/>
      <c r="AG154" s="150"/>
      <c r="AH154" s="150"/>
      <c r="AI154" s="150"/>
      <c r="AJ154" s="150"/>
      <c r="AK154" s="150"/>
      <c r="AL154" s="147"/>
      <c r="AM154" s="147"/>
      <c r="AN154" s="147"/>
      <c r="AO154" s="147"/>
      <c r="AP154" s="147"/>
      <c r="AQ154" s="147"/>
      <c r="AR154" s="147"/>
      <c r="AS154" s="147"/>
    </row>
    <row r="155" spans="1:45" x14ac:dyDescent="0.25">
      <c r="A155" s="61">
        <v>44045</v>
      </c>
      <c r="B155" s="62" t="str">
        <f t="shared" ca="1" si="0"/>
        <v/>
      </c>
      <c r="C155" s="12">
        <f t="shared" si="17"/>
        <v>152</v>
      </c>
      <c r="D155" s="63">
        <f>DANE!D155</f>
        <v>548</v>
      </c>
      <c r="E155" s="64">
        <f t="shared" si="8"/>
        <v>46894</v>
      </c>
      <c r="F155" s="65">
        <f>DANE!E155</f>
        <v>10</v>
      </c>
      <c r="G155" s="66">
        <f t="shared" si="9"/>
        <v>1731</v>
      </c>
      <c r="H155" s="67">
        <f t="shared" si="4"/>
        <v>335</v>
      </c>
      <c r="I155" s="68">
        <f>DANE!F155</f>
        <v>34709</v>
      </c>
      <c r="J155" s="54">
        <f t="shared" si="5"/>
        <v>203</v>
      </c>
      <c r="K155" s="69">
        <f t="shared" si="10"/>
        <v>10454</v>
      </c>
      <c r="L155" s="84">
        <f t="shared" ca="1" si="11"/>
        <v>547</v>
      </c>
      <c r="M155" s="44">
        <f t="shared" si="6"/>
        <v>4.7502744237102084</v>
      </c>
      <c r="N155" s="45">
        <f t="shared" si="7"/>
        <v>3.6913037915298332</v>
      </c>
      <c r="O155" s="71">
        <f t="shared" si="12"/>
        <v>3572.763830158066</v>
      </c>
      <c r="P155" s="71">
        <f t="shared" si="13"/>
        <v>1.2432430838182655E-2</v>
      </c>
      <c r="Q155" s="85">
        <f t="shared" si="14"/>
        <v>1.0870270158672786</v>
      </c>
      <c r="R155" s="85">
        <f t="shared" ca="1" si="15"/>
        <v>1.2545382817212674</v>
      </c>
      <c r="S155" s="86">
        <f t="shared" ca="1" si="16"/>
        <v>-1.0000000000000009E-2</v>
      </c>
      <c r="T155" s="146"/>
      <c r="U155" s="394" t="s">
        <v>66</v>
      </c>
      <c r="V155" s="372"/>
      <c r="W155" s="372"/>
      <c r="X155" s="372"/>
      <c r="Y155" s="372"/>
      <c r="Z155" s="372"/>
      <c r="AA155" s="372"/>
      <c r="AB155" s="372"/>
      <c r="AC155" s="372"/>
      <c r="AD155" s="372"/>
      <c r="AE155" s="149"/>
      <c r="AF155" s="149"/>
      <c r="AG155" s="149"/>
      <c r="AH155" s="149"/>
      <c r="AI155" s="149"/>
      <c r="AJ155" s="149"/>
      <c r="AK155" s="149"/>
      <c r="AL155" s="147"/>
      <c r="AM155" s="147"/>
      <c r="AN155" s="147"/>
      <c r="AO155" s="147"/>
      <c r="AP155" s="147"/>
      <c r="AQ155" s="147"/>
      <c r="AR155" s="147"/>
      <c r="AS155" s="147"/>
    </row>
    <row r="156" spans="1:45" x14ac:dyDescent="0.25">
      <c r="A156" s="32">
        <v>44046</v>
      </c>
      <c r="B156" s="33" t="str">
        <f t="shared" ca="1" si="0"/>
        <v/>
      </c>
      <c r="C156" s="51">
        <f t="shared" si="17"/>
        <v>153</v>
      </c>
      <c r="D156" s="35">
        <f>DANE!D156</f>
        <v>575</v>
      </c>
      <c r="E156" s="52">
        <f t="shared" si="8"/>
        <v>47469</v>
      </c>
      <c r="F156" s="37">
        <f>DANE!E156</f>
        <v>1</v>
      </c>
      <c r="G156" s="53">
        <f t="shared" si="9"/>
        <v>1732</v>
      </c>
      <c r="H156" s="39">
        <f t="shared" si="4"/>
        <v>172</v>
      </c>
      <c r="I156" s="40">
        <f>DANE!F156</f>
        <v>34881</v>
      </c>
      <c r="J156" s="54">
        <f t="shared" si="5"/>
        <v>402</v>
      </c>
      <c r="K156" s="42">
        <f t="shared" si="10"/>
        <v>10856</v>
      </c>
      <c r="L156" s="79">
        <f t="shared" ca="1" si="11"/>
        <v>581</v>
      </c>
      <c r="M156" s="44">
        <f t="shared" si="6"/>
        <v>4.7305601835413649</v>
      </c>
      <c r="N156" s="45">
        <f t="shared" si="7"/>
        <v>3.6486970443868629</v>
      </c>
      <c r="O156" s="46">
        <f t="shared" si="12"/>
        <v>3637.3689972783422</v>
      </c>
      <c r="P156" s="46">
        <f t="shared" si="13"/>
        <v>1.808268617559813E-2</v>
      </c>
      <c r="Q156" s="80">
        <f t="shared" si="14"/>
        <v>1.126578803229187</v>
      </c>
      <c r="R156" s="80">
        <f t="shared" ca="1" si="15"/>
        <v>1.2947083671187645</v>
      </c>
      <c r="S156" s="81">
        <f t="shared" ca="1" si="16"/>
        <v>4.0000000000000036E-2</v>
      </c>
      <c r="T156" s="146"/>
      <c r="U156" s="394" t="s">
        <v>67</v>
      </c>
      <c r="V156" s="372"/>
      <c r="W156" s="372"/>
      <c r="X156" s="372"/>
      <c r="Y156" s="372"/>
      <c r="Z156" s="372"/>
      <c r="AA156" s="372"/>
      <c r="AB156" s="372"/>
      <c r="AC156" s="372"/>
      <c r="AD156" s="372"/>
      <c r="AE156" s="150"/>
      <c r="AF156" s="150"/>
      <c r="AG156" s="150"/>
      <c r="AH156" s="150"/>
      <c r="AI156" s="150"/>
      <c r="AJ156" s="150"/>
      <c r="AK156" s="150"/>
      <c r="AL156" s="147"/>
      <c r="AM156" s="147"/>
      <c r="AN156" s="147"/>
      <c r="AO156" s="147"/>
      <c r="AP156" s="147"/>
      <c r="AQ156" s="147"/>
      <c r="AR156" s="147"/>
      <c r="AS156" s="147"/>
    </row>
    <row r="157" spans="1:45" x14ac:dyDescent="0.25">
      <c r="A157" s="32">
        <v>44047</v>
      </c>
      <c r="B157" s="33" t="str">
        <f t="shared" ca="1" si="0"/>
        <v/>
      </c>
      <c r="C157" s="51">
        <f t="shared" si="17"/>
        <v>154</v>
      </c>
      <c r="D157" s="35">
        <f>DANE!D157</f>
        <v>680</v>
      </c>
      <c r="E157" s="52">
        <f t="shared" si="8"/>
        <v>48149</v>
      </c>
      <c r="F157" s="37">
        <f>DANE!E157</f>
        <v>6</v>
      </c>
      <c r="G157" s="53">
        <f t="shared" si="9"/>
        <v>1738</v>
      </c>
      <c r="H157" s="39">
        <f t="shared" si="4"/>
        <v>175</v>
      </c>
      <c r="I157" s="40">
        <f>DANE!F157</f>
        <v>35056</v>
      </c>
      <c r="J157" s="54">
        <f t="shared" si="5"/>
        <v>499</v>
      </c>
      <c r="K157" s="42">
        <f t="shared" si="10"/>
        <v>11355</v>
      </c>
      <c r="L157" s="79">
        <f t="shared" ca="1" si="11"/>
        <v>606.42857142857144</v>
      </c>
      <c r="M157" s="44">
        <f t="shared" si="6"/>
        <v>4.7235962385171497</v>
      </c>
      <c r="N157" s="45">
        <f t="shared" si="7"/>
        <v>3.6096284450352032</v>
      </c>
      <c r="O157" s="46">
        <f t="shared" si="12"/>
        <v>3797.7448548100078</v>
      </c>
      <c r="P157" s="46">
        <f t="shared" si="13"/>
        <v>4.409117074777584E-2</v>
      </c>
      <c r="Q157" s="80">
        <f t="shared" si="14"/>
        <v>1.308638195234431</v>
      </c>
      <c r="R157" s="80">
        <f t="shared" ca="1" si="15"/>
        <v>1.2976930727914022</v>
      </c>
      <c r="S157" s="81">
        <f t="shared" ca="1" si="16"/>
        <v>1.0000000000000009E-2</v>
      </c>
      <c r="T157" s="146"/>
      <c r="U157" s="395" t="s">
        <v>68</v>
      </c>
      <c r="V157" s="372"/>
      <c r="W157" s="372"/>
      <c r="X157" s="372"/>
      <c r="Y157" s="372"/>
      <c r="Z157" s="372"/>
      <c r="AA157" s="372"/>
      <c r="AB157" s="372"/>
      <c r="AC157" s="372"/>
      <c r="AD157" s="372"/>
      <c r="AE157" s="150"/>
      <c r="AF157" s="150"/>
      <c r="AG157" s="150"/>
      <c r="AH157" s="150"/>
      <c r="AI157" s="150"/>
      <c r="AJ157" s="150"/>
      <c r="AK157" s="150"/>
      <c r="AL157" s="147"/>
      <c r="AM157" s="147"/>
      <c r="AN157" s="147"/>
      <c r="AO157" s="147"/>
      <c r="AP157" s="147"/>
      <c r="AQ157" s="147"/>
      <c r="AR157" s="147"/>
      <c r="AS157" s="147"/>
    </row>
    <row r="158" spans="1:45" x14ac:dyDescent="0.25">
      <c r="A158" s="32">
        <v>44048</v>
      </c>
      <c r="B158" s="33" t="str">
        <f t="shared" ca="1" si="0"/>
        <v/>
      </c>
      <c r="C158" s="51">
        <f t="shared" si="17"/>
        <v>155</v>
      </c>
      <c r="D158" s="35">
        <f>DANE!D158</f>
        <v>640</v>
      </c>
      <c r="E158" s="52">
        <f t="shared" si="8"/>
        <v>48789</v>
      </c>
      <c r="F158" s="37">
        <f>DANE!E158</f>
        <v>18</v>
      </c>
      <c r="G158" s="53">
        <f t="shared" si="9"/>
        <v>1756</v>
      </c>
      <c r="H158" s="39">
        <f t="shared" si="4"/>
        <v>265</v>
      </c>
      <c r="I158" s="40">
        <f>DANE!F158</f>
        <v>35321</v>
      </c>
      <c r="J158" s="54">
        <f t="shared" si="5"/>
        <v>357</v>
      </c>
      <c r="K158" s="42">
        <f t="shared" si="10"/>
        <v>11712</v>
      </c>
      <c r="L158" s="79">
        <f t="shared" ca="1" si="11"/>
        <v>624.71428571428567</v>
      </c>
      <c r="M158" s="44">
        <f t="shared" si="6"/>
        <v>4.736089759149877</v>
      </c>
      <c r="N158" s="45">
        <f t="shared" si="7"/>
        <v>3.5991719444956853</v>
      </c>
      <c r="O158" s="46">
        <f t="shared" si="12"/>
        <v>3895.2098755514357</v>
      </c>
      <c r="P158" s="46">
        <f t="shared" si="13"/>
        <v>2.5663920159877052E-2</v>
      </c>
      <c r="Q158" s="80">
        <f t="shared" si="14"/>
        <v>1.1796474411191393</v>
      </c>
      <c r="R158" s="80">
        <f t="shared" ca="1" si="15"/>
        <v>1.285994121880673</v>
      </c>
      <c r="S158" s="81">
        <f t="shared" ca="1" si="16"/>
        <v>-1.0000000000000009E-2</v>
      </c>
      <c r="T158" s="146"/>
      <c r="U158" s="396" t="s">
        <v>69</v>
      </c>
      <c r="V158" s="372"/>
      <c r="W158" s="372"/>
      <c r="X158" s="372"/>
      <c r="Y158" s="372"/>
      <c r="Z158" s="372"/>
      <c r="AA158" s="372"/>
      <c r="AB158" s="372"/>
      <c r="AC158" s="372"/>
      <c r="AD158" s="372"/>
      <c r="AE158" s="150"/>
      <c r="AF158" s="150"/>
      <c r="AG158" s="150"/>
      <c r="AH158" s="150"/>
      <c r="AI158" s="150"/>
      <c r="AJ158" s="150"/>
      <c r="AK158" s="150"/>
      <c r="AL158" s="147"/>
      <c r="AM158" s="147"/>
      <c r="AN158" s="147"/>
      <c r="AO158" s="147"/>
      <c r="AP158" s="147"/>
      <c r="AQ158" s="147"/>
      <c r="AR158" s="147"/>
      <c r="AS158" s="147"/>
    </row>
    <row r="159" spans="1:45" x14ac:dyDescent="0.25">
      <c r="A159" s="32">
        <v>44049</v>
      </c>
      <c r="B159" s="33" t="str">
        <f t="shared" ca="1" si="0"/>
        <v/>
      </c>
      <c r="C159" s="51">
        <f t="shared" si="17"/>
        <v>156</v>
      </c>
      <c r="D159" s="35">
        <f>DANE!D159</f>
        <v>726</v>
      </c>
      <c r="E159" s="52">
        <f t="shared" si="8"/>
        <v>49515</v>
      </c>
      <c r="F159" s="37">
        <f>DANE!E159</f>
        <v>18</v>
      </c>
      <c r="G159" s="53">
        <f t="shared" si="9"/>
        <v>1774</v>
      </c>
      <c r="H159" s="39">
        <f t="shared" si="4"/>
        <v>321</v>
      </c>
      <c r="I159" s="40">
        <f>DANE!F159</f>
        <v>35642</v>
      </c>
      <c r="J159" s="54">
        <f t="shared" si="5"/>
        <v>387</v>
      </c>
      <c r="K159" s="42">
        <f t="shared" si="10"/>
        <v>12099</v>
      </c>
      <c r="L159" s="79">
        <f t="shared" ca="1" si="11"/>
        <v>640.57142857142856</v>
      </c>
      <c r="M159" s="44">
        <f t="shared" si="6"/>
        <v>4.7412871498824032</v>
      </c>
      <c r="N159" s="45">
        <f t="shared" si="7"/>
        <v>3.582752701201656</v>
      </c>
      <c r="O159" s="46">
        <f t="shared" si="12"/>
        <v>4064.7513219012308</v>
      </c>
      <c r="P159" s="46">
        <f t="shared" si="13"/>
        <v>4.352562551608171E-2</v>
      </c>
      <c r="Q159" s="80">
        <f t="shared" si="14"/>
        <v>1.3046793786125721</v>
      </c>
      <c r="R159" s="80">
        <f t="shared" ca="1" si="15"/>
        <v>1.2636985019299465</v>
      </c>
      <c r="S159" s="81">
        <f t="shared" ca="1" si="16"/>
        <v>-3.0000000000000027E-2</v>
      </c>
      <c r="T159" s="146"/>
      <c r="U159" s="397" t="s">
        <v>70</v>
      </c>
      <c r="V159" s="372"/>
      <c r="W159" s="372"/>
      <c r="X159" s="372"/>
      <c r="Y159" s="372"/>
      <c r="Z159" s="372"/>
      <c r="AA159" s="372"/>
      <c r="AB159" s="372"/>
      <c r="AC159" s="372"/>
      <c r="AD159" s="372"/>
      <c r="AE159" s="150"/>
      <c r="AF159" s="150"/>
      <c r="AG159" s="150"/>
      <c r="AH159" s="150"/>
      <c r="AI159" s="150"/>
      <c r="AJ159" s="150"/>
      <c r="AK159" s="150"/>
      <c r="AL159" s="147"/>
      <c r="AM159" s="147"/>
      <c r="AN159" s="147"/>
      <c r="AO159" s="147"/>
      <c r="AP159" s="147"/>
      <c r="AQ159" s="147"/>
      <c r="AR159" s="147"/>
      <c r="AS159" s="147"/>
    </row>
    <row r="160" spans="1:45" x14ac:dyDescent="0.25">
      <c r="A160" s="32">
        <v>44050</v>
      </c>
      <c r="B160" s="33" t="str">
        <f t="shared" ca="1" si="0"/>
        <v/>
      </c>
      <c r="C160" s="51">
        <f t="shared" si="17"/>
        <v>157</v>
      </c>
      <c r="D160" s="35">
        <f>DANE!D160</f>
        <v>809</v>
      </c>
      <c r="E160" s="52">
        <f t="shared" si="8"/>
        <v>50324</v>
      </c>
      <c r="F160" s="37">
        <f>DANE!E160</f>
        <v>13</v>
      </c>
      <c r="G160" s="53">
        <f t="shared" si="9"/>
        <v>1787</v>
      </c>
      <c r="H160" s="39">
        <f t="shared" si="4"/>
        <v>399</v>
      </c>
      <c r="I160" s="40">
        <f>DANE!F160</f>
        <v>36041</v>
      </c>
      <c r="J160" s="54">
        <f t="shared" si="5"/>
        <v>397</v>
      </c>
      <c r="K160" s="42">
        <f t="shared" si="10"/>
        <v>12496</v>
      </c>
      <c r="L160" s="79">
        <f t="shared" ca="1" si="11"/>
        <v>662.28571428571433</v>
      </c>
      <c r="M160" s="44">
        <f t="shared" si="6"/>
        <v>4.7240139579147726</v>
      </c>
      <c r="N160" s="45">
        <f t="shared" si="7"/>
        <v>3.5509895874731736</v>
      </c>
      <c r="O160" s="46">
        <f t="shared" si="12"/>
        <v>4293.0725616296268</v>
      </c>
      <c r="P160" s="46">
        <f t="shared" si="13"/>
        <v>5.617102293519937E-2</v>
      </c>
      <c r="Q160" s="80">
        <f t="shared" si="14"/>
        <v>1.3931971605463955</v>
      </c>
      <c r="R160" s="80">
        <f t="shared" ca="1" si="15"/>
        <v>1.2535643937672394</v>
      </c>
      <c r="S160" s="81">
        <f t="shared" ca="1" si="16"/>
        <v>-1.0000000000000009E-2</v>
      </c>
      <c r="T160" s="146"/>
      <c r="U160" s="372"/>
      <c r="V160" s="372"/>
      <c r="W160" s="372"/>
      <c r="X160" s="372"/>
      <c r="Y160" s="372"/>
      <c r="Z160" s="372"/>
      <c r="AA160" s="372"/>
      <c r="AB160" s="372"/>
      <c r="AC160" s="372"/>
      <c r="AD160" s="372"/>
      <c r="AE160" s="150"/>
      <c r="AF160" s="150"/>
      <c r="AG160" s="150"/>
      <c r="AH160" s="150"/>
      <c r="AI160" s="150"/>
      <c r="AJ160" s="150"/>
      <c r="AK160" s="150"/>
      <c r="AL160" s="147"/>
      <c r="AM160" s="147"/>
      <c r="AN160" s="147"/>
      <c r="AO160" s="147"/>
      <c r="AP160" s="147"/>
      <c r="AQ160" s="147"/>
      <c r="AR160" s="147"/>
      <c r="AS160" s="147"/>
    </row>
    <row r="161" spans="1:45" x14ac:dyDescent="0.25">
      <c r="A161" s="61">
        <v>44051</v>
      </c>
      <c r="B161" s="62" t="str">
        <f t="shared" ca="1" si="0"/>
        <v/>
      </c>
      <c r="C161" s="12">
        <f t="shared" si="17"/>
        <v>158</v>
      </c>
      <c r="D161" s="63">
        <f>DANE!D161</f>
        <v>843</v>
      </c>
      <c r="E161" s="64">
        <f t="shared" si="8"/>
        <v>51167</v>
      </c>
      <c r="F161" s="65">
        <f>DANE!E161</f>
        <v>13</v>
      </c>
      <c r="G161" s="66">
        <f t="shared" si="9"/>
        <v>1800</v>
      </c>
      <c r="H161" s="67">
        <f t="shared" si="4"/>
        <v>362</v>
      </c>
      <c r="I161" s="68">
        <f>DANE!F161</f>
        <v>36403</v>
      </c>
      <c r="J161" s="54">
        <f t="shared" si="5"/>
        <v>468</v>
      </c>
      <c r="K161" s="69">
        <f t="shared" si="10"/>
        <v>12964</v>
      </c>
      <c r="L161" s="84">
        <f t="shared" ca="1" si="11"/>
        <v>688.71428571428567</v>
      </c>
      <c r="M161" s="44">
        <f t="shared" si="6"/>
        <v>4.7116718582310293</v>
      </c>
      <c r="N161" s="45">
        <f t="shared" si="7"/>
        <v>3.5178923915805105</v>
      </c>
      <c r="O161" s="71">
        <f t="shared" si="12"/>
        <v>4522.7764813968233</v>
      </c>
      <c r="P161" s="71">
        <f t="shared" si="13"/>
        <v>5.3505715654617828E-2</v>
      </c>
      <c r="Q161" s="85">
        <f t="shared" si="14"/>
        <v>1.3745400095823248</v>
      </c>
      <c r="R161" s="85">
        <f t="shared" ca="1" si="15"/>
        <v>1.2534725720273325</v>
      </c>
      <c r="S161" s="86">
        <f t="shared" ca="1" si="16"/>
        <v>0</v>
      </c>
      <c r="T161" s="146"/>
      <c r="AC161" s="149"/>
      <c r="AD161" s="149"/>
      <c r="AE161" s="150"/>
      <c r="AF161" s="150"/>
      <c r="AG161" s="150"/>
      <c r="AH161" s="150"/>
      <c r="AI161" s="150"/>
      <c r="AJ161" s="150"/>
      <c r="AK161" s="150"/>
      <c r="AL161" s="147"/>
      <c r="AM161" s="147"/>
      <c r="AN161" s="147"/>
      <c r="AO161" s="147"/>
      <c r="AP161" s="147"/>
      <c r="AQ161" s="147"/>
      <c r="AR161" s="147"/>
      <c r="AS161" s="147"/>
    </row>
    <row r="162" spans="1:45" x14ac:dyDescent="0.25">
      <c r="A162" s="61">
        <v>44052</v>
      </c>
      <c r="B162" s="62" t="str">
        <f t="shared" ca="1" si="0"/>
        <v/>
      </c>
      <c r="C162" s="12">
        <f t="shared" si="17"/>
        <v>159</v>
      </c>
      <c r="D162" s="63">
        <f>DANE!D162</f>
        <v>624</v>
      </c>
      <c r="E162" s="64">
        <f t="shared" si="8"/>
        <v>51791</v>
      </c>
      <c r="F162" s="65">
        <f>DANE!E162</f>
        <v>7</v>
      </c>
      <c r="G162" s="66">
        <f t="shared" si="9"/>
        <v>1807</v>
      </c>
      <c r="H162" s="67">
        <f t="shared" si="4"/>
        <v>288</v>
      </c>
      <c r="I162" s="68">
        <f>DANE!F162</f>
        <v>36691</v>
      </c>
      <c r="J162" s="54">
        <f t="shared" si="5"/>
        <v>329</v>
      </c>
      <c r="K162" s="69">
        <f t="shared" si="10"/>
        <v>13293</v>
      </c>
      <c r="L162" s="84">
        <f t="shared" ca="1" si="11"/>
        <v>699.57142857142856</v>
      </c>
      <c r="M162" s="44">
        <f t="shared" si="6"/>
        <v>4.6937503246921919</v>
      </c>
      <c r="N162" s="45">
        <f t="shared" si="7"/>
        <v>3.4890231893572246</v>
      </c>
      <c r="O162" s="71">
        <f t="shared" si="12"/>
        <v>4500.6655554829922</v>
      </c>
      <c r="P162" s="71">
        <f t="shared" si="13"/>
        <v>-4.8887947491498282E-3</v>
      </c>
      <c r="Q162" s="85">
        <f t="shared" si="14"/>
        <v>0.96577843675595121</v>
      </c>
      <c r="R162" s="85">
        <f t="shared" ca="1" si="15"/>
        <v>1.23615134644</v>
      </c>
      <c r="S162" s="86">
        <f t="shared" ca="1" si="16"/>
        <v>-1.0000000000000009E-2</v>
      </c>
      <c r="T162" s="146"/>
      <c r="AC162" s="153"/>
      <c r="AD162" s="150"/>
      <c r="AE162" s="150"/>
      <c r="AF162" s="150"/>
      <c r="AG162" s="150"/>
      <c r="AH162" s="150"/>
      <c r="AI162" s="150"/>
      <c r="AJ162" s="150"/>
      <c r="AK162" s="150"/>
      <c r="AL162" s="147"/>
      <c r="AM162" s="147"/>
      <c r="AN162" s="147"/>
      <c r="AO162" s="147"/>
      <c r="AP162" s="147"/>
      <c r="AQ162" s="147"/>
      <c r="AR162" s="147"/>
      <c r="AS162" s="147"/>
    </row>
    <row r="163" spans="1:45" x14ac:dyDescent="0.25">
      <c r="A163" s="32">
        <v>44053</v>
      </c>
      <c r="B163" s="33" t="str">
        <f t="shared" ca="1" si="0"/>
        <v/>
      </c>
      <c r="C163" s="51">
        <f t="shared" si="17"/>
        <v>160</v>
      </c>
      <c r="D163" s="35">
        <f>DANE!D163</f>
        <v>619</v>
      </c>
      <c r="E163" s="52">
        <f t="shared" si="8"/>
        <v>52410</v>
      </c>
      <c r="F163" s="37">
        <f>DANE!E163</f>
        <v>2</v>
      </c>
      <c r="G163" s="53">
        <f t="shared" si="9"/>
        <v>1809</v>
      </c>
      <c r="H163" s="39">
        <f t="shared" si="4"/>
        <v>186</v>
      </c>
      <c r="I163" s="40">
        <f>DANE!F163</f>
        <v>36877</v>
      </c>
      <c r="J163" s="54">
        <f t="shared" si="5"/>
        <v>431</v>
      </c>
      <c r="K163" s="42">
        <f t="shared" si="10"/>
        <v>13724</v>
      </c>
      <c r="L163" s="79">
        <f t="shared" ca="1" si="11"/>
        <v>705.85714285714289</v>
      </c>
      <c r="M163" s="44">
        <f t="shared" si="6"/>
        <v>4.6761102207516929</v>
      </c>
      <c r="N163" s="45">
        <f t="shared" si="7"/>
        <v>3.4516313680595307</v>
      </c>
      <c r="O163" s="46">
        <f t="shared" si="12"/>
        <v>4476.7133332711364</v>
      </c>
      <c r="P163" s="46">
        <f t="shared" si="13"/>
        <v>-5.3219289273062458E-3</v>
      </c>
      <c r="Q163" s="80">
        <f t="shared" si="14"/>
        <v>0.96274649750885632</v>
      </c>
      <c r="R163" s="80">
        <f t="shared" ca="1" si="15"/>
        <v>1.2127467313370957</v>
      </c>
      <c r="S163" s="81">
        <f t="shared" ca="1" si="16"/>
        <v>-3.0000000000000027E-2</v>
      </c>
      <c r="T163" s="146"/>
      <c r="U163" s="382" t="s">
        <v>71</v>
      </c>
      <c r="V163" s="372"/>
      <c r="W163" s="372"/>
      <c r="X163" s="372"/>
      <c r="Y163" s="372"/>
      <c r="Z163" s="372"/>
      <c r="AA163" s="372"/>
      <c r="AB163" s="149"/>
      <c r="AC163" s="154"/>
      <c r="AD163" s="150"/>
      <c r="AE163" s="150"/>
      <c r="AF163" s="150"/>
      <c r="AG163" s="150"/>
      <c r="AH163" s="150"/>
      <c r="AI163" s="150"/>
      <c r="AJ163" s="150"/>
      <c r="AK163" s="150"/>
      <c r="AL163" s="147"/>
      <c r="AM163" s="147"/>
      <c r="AN163" s="147"/>
      <c r="AO163" s="147"/>
      <c r="AP163" s="147"/>
      <c r="AQ163" s="147"/>
      <c r="AR163" s="147"/>
      <c r="AS163" s="147"/>
    </row>
    <row r="164" spans="1:45" x14ac:dyDescent="0.25">
      <c r="A164" s="32">
        <v>44054</v>
      </c>
      <c r="B164" s="33" t="str">
        <f t="shared" ca="1" si="0"/>
        <v/>
      </c>
      <c r="C164" s="51">
        <f t="shared" si="17"/>
        <v>161</v>
      </c>
      <c r="D164" s="35">
        <f>DANE!D164</f>
        <v>551</v>
      </c>
      <c r="E164" s="52">
        <f t="shared" si="8"/>
        <v>52961</v>
      </c>
      <c r="F164" s="37">
        <f>DANE!E164</f>
        <v>12</v>
      </c>
      <c r="G164" s="53">
        <f t="shared" si="9"/>
        <v>1821</v>
      </c>
      <c r="H164" s="39">
        <f t="shared" si="4"/>
        <v>273</v>
      </c>
      <c r="I164" s="40">
        <f>DANE!F164</f>
        <v>37150</v>
      </c>
      <c r="J164" s="54">
        <f t="shared" si="5"/>
        <v>266</v>
      </c>
      <c r="K164" s="42">
        <f t="shared" si="10"/>
        <v>13990</v>
      </c>
      <c r="L164" s="79">
        <f t="shared" ca="1" si="11"/>
        <v>687.42857142857144</v>
      </c>
      <c r="M164" s="44">
        <f t="shared" si="6"/>
        <v>4.6727053450001286</v>
      </c>
      <c r="N164" s="45">
        <f t="shared" si="7"/>
        <v>3.4383791846830687</v>
      </c>
      <c r="O164" s="46">
        <f t="shared" si="12"/>
        <v>4388.1828570895459</v>
      </c>
      <c r="P164" s="46">
        <f t="shared" si="13"/>
        <v>-1.9775775125833502E-2</v>
      </c>
      <c r="Q164" s="80">
        <f t="shared" si="14"/>
        <v>0.86156957411916546</v>
      </c>
      <c r="R164" s="80">
        <f t="shared" ca="1" si="15"/>
        <v>1.1488797854634865</v>
      </c>
      <c r="S164" s="81">
        <f t="shared" ca="1" si="16"/>
        <v>-6.0000000000000053E-2</v>
      </c>
      <c r="T164" s="146"/>
      <c r="U164" s="398" t="s">
        <v>72</v>
      </c>
      <c r="V164" s="372"/>
      <c r="W164" s="372"/>
      <c r="X164" s="372"/>
      <c r="Y164" s="394" t="s">
        <v>73</v>
      </c>
      <c r="Z164" s="372"/>
      <c r="AA164" s="372"/>
      <c r="AB164" s="372"/>
      <c r="AC164" s="154"/>
      <c r="AD164" s="150"/>
      <c r="AE164" s="150"/>
      <c r="AF164" s="150"/>
      <c r="AG164" s="150"/>
      <c r="AH164" s="150"/>
      <c r="AI164" s="150"/>
      <c r="AJ164" s="150"/>
      <c r="AK164" s="150"/>
      <c r="AL164" s="147"/>
      <c r="AM164" s="147"/>
      <c r="AN164" s="147"/>
      <c r="AO164" s="147"/>
      <c r="AP164" s="147"/>
      <c r="AQ164" s="147"/>
      <c r="AR164" s="147"/>
      <c r="AS164" s="147"/>
    </row>
    <row r="165" spans="1:45" x14ac:dyDescent="0.25">
      <c r="A165" s="32">
        <v>44055</v>
      </c>
      <c r="B165" s="33" t="str">
        <f t="shared" ca="1" si="0"/>
        <v/>
      </c>
      <c r="C165" s="51">
        <f t="shared" si="17"/>
        <v>162</v>
      </c>
      <c r="D165" s="35">
        <f>DANE!D165</f>
        <v>715</v>
      </c>
      <c r="E165" s="52">
        <f t="shared" si="8"/>
        <v>53676</v>
      </c>
      <c r="F165" s="37">
        <f>DANE!E165</f>
        <v>9</v>
      </c>
      <c r="G165" s="53">
        <f t="shared" si="9"/>
        <v>1830</v>
      </c>
      <c r="H165" s="39">
        <f t="shared" si="4"/>
        <v>461</v>
      </c>
      <c r="I165" s="40">
        <f>DANE!F165</f>
        <v>37611</v>
      </c>
      <c r="J165" s="54">
        <f t="shared" si="5"/>
        <v>245</v>
      </c>
      <c r="K165" s="42">
        <f t="shared" si="10"/>
        <v>14235</v>
      </c>
      <c r="L165" s="79">
        <f t="shared" ca="1" si="11"/>
        <v>698.14285714285711</v>
      </c>
      <c r="M165" s="44">
        <f t="shared" si="6"/>
        <v>4.6398417890012933</v>
      </c>
      <c r="N165" s="45">
        <f t="shared" si="7"/>
        <v>3.4093449586407329</v>
      </c>
      <c r="O165" s="46">
        <f t="shared" si="12"/>
        <v>4476.2995917910393</v>
      </c>
      <c r="P165" s="46">
        <f t="shared" si="13"/>
        <v>2.0080460995177556E-2</v>
      </c>
      <c r="Q165" s="80">
        <f t="shared" si="14"/>
        <v>1.1405632269662429</v>
      </c>
      <c r="R165" s="80">
        <f t="shared" ca="1" si="15"/>
        <v>1.143296326298787</v>
      </c>
      <c r="S165" s="81">
        <f t="shared" ca="1" si="16"/>
        <v>-1.0000000000000009E-2</v>
      </c>
      <c r="T165" s="146"/>
      <c r="U165" s="398" t="s">
        <v>74</v>
      </c>
      <c r="V165" s="372"/>
      <c r="W165" s="372"/>
      <c r="X165" s="372"/>
      <c r="Y165" s="399" t="s">
        <v>75</v>
      </c>
      <c r="Z165" s="372"/>
      <c r="AA165" s="372"/>
      <c r="AB165" s="372"/>
      <c r="AC165" s="153"/>
      <c r="AD165" s="150"/>
      <c r="AE165" s="150"/>
      <c r="AF165" s="150"/>
      <c r="AG165" s="150"/>
      <c r="AH165" s="150"/>
      <c r="AI165" s="150"/>
      <c r="AJ165" s="150"/>
      <c r="AK165" s="150"/>
      <c r="AL165" s="147"/>
      <c r="AM165" s="147"/>
      <c r="AN165" s="147"/>
      <c r="AO165" s="147"/>
      <c r="AP165" s="147"/>
      <c r="AQ165" s="147"/>
      <c r="AR165" s="147"/>
      <c r="AS165" s="147"/>
    </row>
    <row r="166" spans="1:45" x14ac:dyDescent="0.25">
      <c r="A166" s="32">
        <v>44056</v>
      </c>
      <c r="B166" s="33" t="str">
        <f t="shared" ca="1" si="0"/>
        <v/>
      </c>
      <c r="C166" s="51">
        <f t="shared" si="17"/>
        <v>163</v>
      </c>
      <c r="D166" s="35">
        <f>DANE!D166</f>
        <v>811</v>
      </c>
      <c r="E166" s="52">
        <f t="shared" si="8"/>
        <v>54487</v>
      </c>
      <c r="F166" s="37">
        <f>DANE!E166</f>
        <v>13</v>
      </c>
      <c r="G166" s="53">
        <f t="shared" si="9"/>
        <v>1843</v>
      </c>
      <c r="H166" s="39">
        <f t="shared" si="4"/>
        <v>350</v>
      </c>
      <c r="I166" s="40">
        <f>DANE!F166</f>
        <v>37961</v>
      </c>
      <c r="J166" s="54">
        <f t="shared" si="5"/>
        <v>448</v>
      </c>
      <c r="K166" s="42">
        <f t="shared" si="10"/>
        <v>14683</v>
      </c>
      <c r="L166" s="79">
        <f t="shared" ca="1" si="11"/>
        <v>710.28571428571433</v>
      </c>
      <c r="M166" s="44">
        <f t="shared" si="6"/>
        <v>4.6301879208119789</v>
      </c>
      <c r="N166" s="45">
        <f t="shared" si="7"/>
        <v>3.38245820103878</v>
      </c>
      <c r="O166" s="46">
        <f t="shared" si="12"/>
        <v>4647.8282215351774</v>
      </c>
      <c r="P166" s="46">
        <f t="shared" si="13"/>
        <v>3.831929168876444E-2</v>
      </c>
      <c r="Q166" s="80">
        <f t="shared" si="14"/>
        <v>1.2682350418213511</v>
      </c>
      <c r="R166" s="80">
        <f t="shared" ca="1" si="15"/>
        <v>1.1380899924714696</v>
      </c>
      <c r="S166" s="81">
        <f t="shared" ca="1" si="16"/>
        <v>0</v>
      </c>
      <c r="T166" s="146"/>
      <c r="U166" s="398" t="s">
        <v>76</v>
      </c>
      <c r="V166" s="372"/>
      <c r="W166" s="372"/>
      <c r="X166" s="372"/>
      <c r="Y166" s="399" t="s">
        <v>77</v>
      </c>
      <c r="Z166" s="372"/>
      <c r="AA166" s="372"/>
      <c r="AB166" s="372"/>
      <c r="AC166" s="153"/>
      <c r="AD166" s="150"/>
      <c r="AE166" s="150"/>
      <c r="AF166" s="150"/>
      <c r="AG166" s="150"/>
      <c r="AH166" s="150"/>
      <c r="AI166" s="150"/>
      <c r="AJ166" s="150"/>
      <c r="AK166" s="150"/>
      <c r="AL166" s="147"/>
      <c r="AM166" s="147"/>
      <c r="AN166" s="147"/>
      <c r="AO166" s="147"/>
      <c r="AP166" s="147"/>
      <c r="AQ166" s="147"/>
      <c r="AR166" s="147"/>
      <c r="AS166" s="147"/>
    </row>
    <row r="167" spans="1:45" x14ac:dyDescent="0.25">
      <c r="A167" s="32">
        <v>44057</v>
      </c>
      <c r="B167" s="33" t="str">
        <f t="shared" ca="1" si="0"/>
        <v/>
      </c>
      <c r="C167" s="51">
        <f t="shared" si="17"/>
        <v>164</v>
      </c>
      <c r="D167" s="35">
        <f>DANE!D167</f>
        <v>832</v>
      </c>
      <c r="E167" s="52">
        <f t="shared" si="8"/>
        <v>55319</v>
      </c>
      <c r="F167" s="37">
        <f>DANE!E167</f>
        <v>15</v>
      </c>
      <c r="G167" s="53">
        <f t="shared" si="9"/>
        <v>1858</v>
      </c>
      <c r="H167" s="39">
        <f t="shared" si="4"/>
        <v>401</v>
      </c>
      <c r="I167" s="40">
        <f>DANE!F167</f>
        <v>38362</v>
      </c>
      <c r="J167" s="54">
        <f t="shared" si="5"/>
        <v>416</v>
      </c>
      <c r="K167" s="42">
        <f t="shared" si="10"/>
        <v>15099</v>
      </c>
      <c r="L167" s="79">
        <f t="shared" ca="1" si="11"/>
        <v>713.57142857142856</v>
      </c>
      <c r="M167" s="44">
        <f t="shared" si="6"/>
        <v>4.6195922426653411</v>
      </c>
      <c r="N167" s="45">
        <f t="shared" si="7"/>
        <v>3.3587013503497896</v>
      </c>
      <c r="O167" s="46">
        <f t="shared" si="12"/>
        <v>4815.8527613158667</v>
      </c>
      <c r="P167" s="46">
        <f t="shared" si="13"/>
        <v>3.6151194014048746E-2</v>
      </c>
      <c r="Q167" s="80">
        <f t="shared" si="14"/>
        <v>1.2530583580983412</v>
      </c>
      <c r="R167" s="80">
        <f t="shared" ca="1" si="15"/>
        <v>1.118070163550319</v>
      </c>
      <c r="S167" s="81">
        <f t="shared" ca="1" si="16"/>
        <v>-1.9999999999999796E-2</v>
      </c>
      <c r="T167" s="146"/>
      <c r="U167" s="398" t="s">
        <v>78</v>
      </c>
      <c r="V167" s="372"/>
      <c r="W167" s="372"/>
      <c r="X167" s="372"/>
      <c r="Y167" s="394" t="s">
        <v>79</v>
      </c>
      <c r="Z167" s="372"/>
      <c r="AA167" s="372"/>
      <c r="AB167" s="372"/>
      <c r="AC167" s="154"/>
      <c r="AD167" s="150"/>
      <c r="AE167" s="150"/>
      <c r="AF167" s="150"/>
      <c r="AG167" s="150"/>
      <c r="AH167" s="150"/>
      <c r="AI167" s="150"/>
      <c r="AJ167" s="150"/>
      <c r="AK167" s="150"/>
      <c r="AL167" s="147"/>
      <c r="AM167" s="147"/>
      <c r="AN167" s="147"/>
      <c r="AO167" s="147"/>
      <c r="AP167" s="147"/>
      <c r="AQ167" s="147"/>
      <c r="AR167" s="147"/>
      <c r="AS167" s="147"/>
    </row>
    <row r="168" spans="1:45" x14ac:dyDescent="0.25">
      <c r="A168" s="61">
        <v>44058</v>
      </c>
      <c r="B168" s="62" t="str">
        <f t="shared" ca="1" si="0"/>
        <v/>
      </c>
      <c r="C168" s="12">
        <f t="shared" si="17"/>
        <v>165</v>
      </c>
      <c r="D168" s="63">
        <f>DANE!D168</f>
        <v>771</v>
      </c>
      <c r="E168" s="64">
        <f t="shared" si="8"/>
        <v>56090</v>
      </c>
      <c r="F168" s="65">
        <f>DANE!E168</f>
        <v>11</v>
      </c>
      <c r="G168" s="66">
        <f t="shared" si="9"/>
        <v>1869</v>
      </c>
      <c r="H168" s="67">
        <f t="shared" si="4"/>
        <v>491</v>
      </c>
      <c r="I168" s="68">
        <f>DANE!F168</f>
        <v>38853</v>
      </c>
      <c r="J168" s="54">
        <f t="shared" si="5"/>
        <v>269</v>
      </c>
      <c r="K168" s="69">
        <f t="shared" si="10"/>
        <v>15368</v>
      </c>
      <c r="L168" s="84">
        <f t="shared" ca="1" si="11"/>
        <v>703.28571428571433</v>
      </c>
      <c r="M168" s="44">
        <f t="shared" si="6"/>
        <v>4.5896566966259025</v>
      </c>
      <c r="N168" s="45">
        <f t="shared" si="7"/>
        <v>3.3321447673382063</v>
      </c>
      <c r="O168" s="71">
        <f t="shared" si="12"/>
        <v>4898.8737954136004</v>
      </c>
      <c r="P168" s="71">
        <f t="shared" si="13"/>
        <v>1.7239113862577756E-2</v>
      </c>
      <c r="Q168" s="85">
        <f t="shared" si="14"/>
        <v>1.1206737970380443</v>
      </c>
      <c r="R168" s="85">
        <f t="shared" ca="1" si="15"/>
        <v>1.0818035617582791</v>
      </c>
      <c r="S168" s="86">
        <f t="shared" ca="1" si="16"/>
        <v>-4.0000000000000036E-2</v>
      </c>
      <c r="T168" s="146"/>
      <c r="U168" s="398" t="s">
        <v>80</v>
      </c>
      <c r="V168" s="372"/>
      <c r="W168" s="372"/>
      <c r="X168" s="372"/>
      <c r="Y168" s="394" t="s">
        <v>81</v>
      </c>
      <c r="Z168" s="372"/>
      <c r="AA168" s="372"/>
      <c r="AB168" s="372"/>
      <c r="AC168" s="154"/>
      <c r="AD168" s="150"/>
      <c r="AE168" s="150"/>
      <c r="AF168" s="150"/>
      <c r="AG168" s="150"/>
      <c r="AH168" s="150"/>
      <c r="AI168" s="150"/>
      <c r="AJ168" s="150"/>
      <c r="AK168" s="150"/>
      <c r="AL168" s="147"/>
      <c r="AM168" s="147"/>
      <c r="AN168" s="147"/>
      <c r="AO168" s="147"/>
      <c r="AP168" s="147"/>
      <c r="AQ168" s="147"/>
      <c r="AR168" s="147"/>
      <c r="AS168" s="147"/>
    </row>
    <row r="169" spans="1:45" x14ac:dyDescent="0.25">
      <c r="A169" s="61">
        <v>44059</v>
      </c>
      <c r="B169" s="62" t="str">
        <f t="shared" ca="1" si="0"/>
        <v/>
      </c>
      <c r="C169" s="12">
        <f t="shared" si="17"/>
        <v>166</v>
      </c>
      <c r="D169" s="63">
        <f>DANE!D169</f>
        <v>594</v>
      </c>
      <c r="E169" s="64">
        <f t="shared" si="8"/>
        <v>56684</v>
      </c>
      <c r="F169" s="65">
        <f>DANE!E169</f>
        <v>8</v>
      </c>
      <c r="G169" s="66">
        <f t="shared" si="9"/>
        <v>1877</v>
      </c>
      <c r="H169" s="67">
        <f t="shared" si="4"/>
        <v>277</v>
      </c>
      <c r="I169" s="68">
        <f>DANE!F169</f>
        <v>39130</v>
      </c>
      <c r="J169" s="54">
        <f t="shared" si="5"/>
        <v>309</v>
      </c>
      <c r="K169" s="69">
        <f t="shared" si="10"/>
        <v>15677</v>
      </c>
      <c r="L169" s="84">
        <f t="shared" ca="1" si="11"/>
        <v>699</v>
      </c>
      <c r="M169" s="44">
        <f t="shared" si="6"/>
        <v>4.577267295827542</v>
      </c>
      <c r="N169" s="45">
        <f t="shared" si="7"/>
        <v>3.3113400606873191</v>
      </c>
      <c r="O169" s="71">
        <f t="shared" si="12"/>
        <v>4793.0346817830859</v>
      </c>
      <c r="P169" s="71">
        <f t="shared" si="13"/>
        <v>-2.160478470165993E-2</v>
      </c>
      <c r="Q169" s="85">
        <f t="shared" si="14"/>
        <v>0.84876650708838053</v>
      </c>
      <c r="R169" s="85">
        <f t="shared" ca="1" si="15"/>
        <v>1.0650875718057689</v>
      </c>
      <c r="S169" s="86">
        <f t="shared" ca="1" si="16"/>
        <v>-1.0000000000000009E-2</v>
      </c>
      <c r="T169" s="146"/>
      <c r="U169" s="398" t="s">
        <v>82</v>
      </c>
      <c r="V169" s="372"/>
      <c r="W169" s="372"/>
      <c r="X169" s="372"/>
      <c r="Y169" s="399" t="s">
        <v>83</v>
      </c>
      <c r="Z169" s="372"/>
      <c r="AA169" s="372"/>
      <c r="AB169" s="372"/>
      <c r="AC169" s="150"/>
      <c r="AD169" s="150"/>
      <c r="AE169" s="150"/>
      <c r="AF169" s="150"/>
      <c r="AG169" s="150"/>
      <c r="AH169" s="150"/>
      <c r="AI169" s="150"/>
      <c r="AJ169" s="150"/>
      <c r="AK169" s="150"/>
      <c r="AL169" s="147"/>
      <c r="AM169" s="147"/>
      <c r="AN169" s="147"/>
      <c r="AO169" s="147"/>
      <c r="AP169" s="147"/>
      <c r="AQ169" s="147"/>
      <c r="AR169" s="147"/>
      <c r="AS169" s="147"/>
    </row>
    <row r="170" spans="1:45" x14ac:dyDescent="0.25">
      <c r="A170" s="32">
        <v>44060</v>
      </c>
      <c r="B170" s="33" t="str">
        <f t="shared" ca="1" si="0"/>
        <v/>
      </c>
      <c r="C170" s="51">
        <f t="shared" si="17"/>
        <v>167</v>
      </c>
      <c r="D170" s="35">
        <f>DANE!D170</f>
        <v>595</v>
      </c>
      <c r="E170" s="52">
        <f t="shared" si="8"/>
        <v>57279</v>
      </c>
      <c r="F170" s="37">
        <f>DANE!E170</f>
        <v>8</v>
      </c>
      <c r="G170" s="53">
        <f t="shared" si="9"/>
        <v>1885</v>
      </c>
      <c r="H170" s="39">
        <f t="shared" si="4"/>
        <v>229</v>
      </c>
      <c r="I170" s="40">
        <f>DANE!F170</f>
        <v>39359</v>
      </c>
      <c r="J170" s="54">
        <f t="shared" si="5"/>
        <v>358</v>
      </c>
      <c r="K170" s="42">
        <f t="shared" si="10"/>
        <v>16035</v>
      </c>
      <c r="L170" s="79">
        <f t="shared" ca="1" si="11"/>
        <v>695.57142857142856</v>
      </c>
      <c r="M170" s="44">
        <f t="shared" si="6"/>
        <v>4.5703617495878186</v>
      </c>
      <c r="N170" s="45">
        <f t="shared" si="7"/>
        <v>3.2909094083346426</v>
      </c>
      <c r="O170" s="46">
        <f t="shared" si="12"/>
        <v>4703.3154415283598</v>
      </c>
      <c r="P170" s="46">
        <f t="shared" si="13"/>
        <v>-1.871867119921385E-2</v>
      </c>
      <c r="Q170" s="80">
        <f t="shared" si="14"/>
        <v>0.86896930160550301</v>
      </c>
      <c r="R170" s="80">
        <f t="shared" ca="1" si="15"/>
        <v>1.0516908295338612</v>
      </c>
      <c r="S170" s="81">
        <f t="shared" ca="1" si="16"/>
        <v>-2.0000000000000018E-2</v>
      </c>
      <c r="T170" s="146"/>
      <c r="U170" s="398" t="s">
        <v>84</v>
      </c>
      <c r="V170" s="372"/>
      <c r="W170" s="372"/>
      <c r="X170" s="372"/>
      <c r="Y170" s="396" t="s">
        <v>85</v>
      </c>
      <c r="Z170" s="372"/>
      <c r="AA170" s="372"/>
      <c r="AB170" s="372"/>
      <c r="AE170" s="150"/>
      <c r="AF170" s="150"/>
      <c r="AG170" s="150"/>
      <c r="AH170" s="150"/>
      <c r="AI170" s="150"/>
      <c r="AJ170" s="150"/>
      <c r="AK170" s="150"/>
      <c r="AL170" s="147"/>
      <c r="AM170" s="147"/>
      <c r="AN170" s="147"/>
      <c r="AO170" s="147"/>
      <c r="AP170" s="147"/>
      <c r="AQ170" s="147"/>
      <c r="AR170" s="147"/>
      <c r="AS170" s="147"/>
    </row>
    <row r="171" spans="1:45" x14ac:dyDescent="0.25">
      <c r="A171" s="32">
        <v>44061</v>
      </c>
      <c r="B171" s="33" t="str">
        <f t="shared" ca="1" si="0"/>
        <v/>
      </c>
      <c r="C171" s="51">
        <f t="shared" si="17"/>
        <v>168</v>
      </c>
      <c r="D171" s="35">
        <f>DANE!D171</f>
        <v>597</v>
      </c>
      <c r="E171" s="52">
        <f t="shared" si="8"/>
        <v>57876</v>
      </c>
      <c r="F171" s="37">
        <f>DANE!E171</f>
        <v>11</v>
      </c>
      <c r="G171" s="53">
        <f t="shared" si="9"/>
        <v>1896</v>
      </c>
      <c r="H171" s="39">
        <f t="shared" si="4"/>
        <v>284</v>
      </c>
      <c r="I171" s="40">
        <f>DANE!F171</f>
        <v>39643</v>
      </c>
      <c r="J171" s="54">
        <f t="shared" si="5"/>
        <v>302</v>
      </c>
      <c r="K171" s="42">
        <f t="shared" si="10"/>
        <v>16337</v>
      </c>
      <c r="L171" s="79">
        <f t="shared" ca="1" si="11"/>
        <v>702.14285714285711</v>
      </c>
      <c r="M171" s="44">
        <f t="shared" si="6"/>
        <v>4.5643852764871564</v>
      </c>
      <c r="N171" s="45">
        <f t="shared" si="7"/>
        <v>3.2759693137051626</v>
      </c>
      <c r="O171" s="46">
        <f t="shared" si="12"/>
        <v>4628.4132355957372</v>
      </c>
      <c r="P171" s="46">
        <f t="shared" si="13"/>
        <v>-1.5925405570561265E-2</v>
      </c>
      <c r="Q171" s="80">
        <f t="shared" si="14"/>
        <v>0.88852216100607118</v>
      </c>
      <c r="R171" s="80">
        <f t="shared" ca="1" si="15"/>
        <v>1.0555411990891337</v>
      </c>
      <c r="S171" s="81">
        <f t="shared" ca="1" si="16"/>
        <v>1.0000000000000009E-2</v>
      </c>
      <c r="T171" s="146"/>
      <c r="U171" s="400" t="s">
        <v>86</v>
      </c>
      <c r="V171" s="372"/>
      <c r="W171" s="372"/>
      <c r="X171" s="372"/>
      <c r="Y171" s="397" t="s">
        <v>87</v>
      </c>
      <c r="Z171" s="372"/>
      <c r="AA171" s="372"/>
      <c r="AB171" s="372"/>
      <c r="AE171" s="150"/>
      <c r="AF171" s="150"/>
      <c r="AG171" s="150"/>
      <c r="AH171" s="150"/>
      <c r="AI171" s="150"/>
      <c r="AJ171" s="150"/>
      <c r="AK171" s="150"/>
      <c r="AL171" s="147"/>
      <c r="AM171" s="147"/>
      <c r="AN171" s="147"/>
      <c r="AO171" s="147"/>
      <c r="AP171" s="147"/>
      <c r="AQ171" s="147"/>
      <c r="AR171" s="147"/>
      <c r="AS171" s="147"/>
    </row>
    <row r="172" spans="1:45" x14ac:dyDescent="0.25">
      <c r="A172" s="32">
        <v>44062</v>
      </c>
      <c r="B172" s="33" t="str">
        <f t="shared" ca="1" si="0"/>
        <v/>
      </c>
      <c r="C172" s="51">
        <f t="shared" si="17"/>
        <v>169</v>
      </c>
      <c r="D172" s="35">
        <f>DANE!D172</f>
        <v>735</v>
      </c>
      <c r="E172" s="52">
        <f t="shared" si="8"/>
        <v>58611</v>
      </c>
      <c r="F172" s="37">
        <f>DANE!E172</f>
        <v>17</v>
      </c>
      <c r="G172" s="53">
        <f t="shared" si="9"/>
        <v>1913</v>
      </c>
      <c r="H172" s="39">
        <f t="shared" si="4"/>
        <v>456</v>
      </c>
      <c r="I172" s="40">
        <f>DANE!F172</f>
        <v>40099</v>
      </c>
      <c r="J172" s="54">
        <f t="shared" si="5"/>
        <v>262</v>
      </c>
      <c r="K172" s="42">
        <f t="shared" si="10"/>
        <v>16599</v>
      </c>
      <c r="L172" s="79">
        <f t="shared" ca="1" si="11"/>
        <v>705</v>
      </c>
      <c r="M172" s="44">
        <f t="shared" si="6"/>
        <v>4.553460915928782</v>
      </c>
      <c r="N172" s="45">
        <f t="shared" si="7"/>
        <v>3.2638924433979968</v>
      </c>
      <c r="O172" s="46">
        <f t="shared" si="12"/>
        <v>4702.2113447963466</v>
      </c>
      <c r="P172" s="46">
        <f t="shared" si="13"/>
        <v>1.594458088423269E-2</v>
      </c>
      <c r="Q172" s="80">
        <f t="shared" si="14"/>
        <v>1.1116120661896289</v>
      </c>
      <c r="R172" s="80">
        <f t="shared" ca="1" si="15"/>
        <v>1.0514053189781887</v>
      </c>
      <c r="S172" s="81">
        <f t="shared" ca="1" si="16"/>
        <v>-1.0000000000000009E-2</v>
      </c>
      <c r="T172" s="146"/>
      <c r="U172" s="400" t="s">
        <v>88</v>
      </c>
      <c r="V172" s="372"/>
      <c r="W172" s="372"/>
      <c r="X172" s="372"/>
      <c r="Y172" s="399" t="s">
        <v>89</v>
      </c>
      <c r="Z172" s="372"/>
      <c r="AA172" s="372"/>
      <c r="AB172" s="372"/>
      <c r="AE172" s="150"/>
      <c r="AF172" s="150"/>
      <c r="AG172" s="150"/>
      <c r="AH172" s="150"/>
      <c r="AI172" s="150"/>
      <c r="AJ172" s="150"/>
      <c r="AK172" s="150"/>
      <c r="AL172" s="147"/>
      <c r="AM172" s="147"/>
      <c r="AN172" s="147"/>
      <c r="AO172" s="147"/>
      <c r="AP172" s="147"/>
      <c r="AQ172" s="147"/>
      <c r="AR172" s="147"/>
      <c r="AS172" s="147"/>
    </row>
    <row r="173" spans="1:45" x14ac:dyDescent="0.25">
      <c r="A173" s="32">
        <v>44063</v>
      </c>
      <c r="B173" s="33" t="str">
        <f t="shared" ca="1" si="0"/>
        <v/>
      </c>
      <c r="C173" s="51">
        <f t="shared" si="17"/>
        <v>170</v>
      </c>
      <c r="D173" s="35">
        <f>DANE!D173</f>
        <v>767</v>
      </c>
      <c r="E173" s="52">
        <f t="shared" si="8"/>
        <v>59378</v>
      </c>
      <c r="F173" s="37">
        <f>DANE!E173</f>
        <v>12</v>
      </c>
      <c r="G173" s="53">
        <f t="shared" si="9"/>
        <v>1925</v>
      </c>
      <c r="H173" s="39">
        <f t="shared" si="4"/>
        <v>382</v>
      </c>
      <c r="I173" s="40">
        <f>DANE!F173</f>
        <v>40481</v>
      </c>
      <c r="J173" s="54">
        <f t="shared" si="5"/>
        <v>373</v>
      </c>
      <c r="K173" s="42">
        <f t="shared" si="10"/>
        <v>16972</v>
      </c>
      <c r="L173" s="79">
        <f t="shared" ca="1" si="11"/>
        <v>698.71428571428567</v>
      </c>
      <c r="M173" s="44">
        <f t="shared" si="6"/>
        <v>4.5394519643446678</v>
      </c>
      <c r="N173" s="45">
        <f t="shared" si="7"/>
        <v>3.2419414597999263</v>
      </c>
      <c r="O173" s="46">
        <f t="shared" si="12"/>
        <v>4797.4668669682978</v>
      </c>
      <c r="P173" s="46">
        <f t="shared" si="13"/>
        <v>2.0257601198075625E-2</v>
      </c>
      <c r="Q173" s="80">
        <f t="shared" si="14"/>
        <v>1.1418032083865293</v>
      </c>
      <c r="R173" s="80">
        <f t="shared" ca="1" si="15"/>
        <v>1.0333436284874995</v>
      </c>
      <c r="S173" s="81">
        <f t="shared" ca="1" si="16"/>
        <v>-2.0000000000000018E-2</v>
      </c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9"/>
      <c r="AF173" s="89"/>
      <c r="AG173" s="89"/>
      <c r="AH173" s="89"/>
      <c r="AI173" s="89"/>
      <c r="AJ173" s="89"/>
      <c r="AK173" s="89"/>
      <c r="AL173" s="89"/>
      <c r="AM173" s="89"/>
      <c r="AN173" s="89"/>
      <c r="AO173" s="89"/>
      <c r="AP173" s="89"/>
      <c r="AQ173" s="89"/>
      <c r="AR173" s="89"/>
      <c r="AS173" s="89"/>
    </row>
    <row r="174" spans="1:45" x14ac:dyDescent="0.25">
      <c r="A174" s="32">
        <v>44064</v>
      </c>
      <c r="B174" s="33" t="str">
        <f t="shared" ca="1" si="0"/>
        <v/>
      </c>
      <c r="C174" s="51">
        <f t="shared" si="17"/>
        <v>171</v>
      </c>
      <c r="D174" s="35">
        <f>DANE!D174</f>
        <v>903</v>
      </c>
      <c r="E174" s="52">
        <f t="shared" si="8"/>
        <v>60281</v>
      </c>
      <c r="F174" s="37">
        <f>DANE!E174</f>
        <v>13</v>
      </c>
      <c r="G174" s="53">
        <f t="shared" si="9"/>
        <v>1938</v>
      </c>
      <c r="H174" s="39">
        <f t="shared" si="4"/>
        <v>548</v>
      </c>
      <c r="I174" s="40">
        <f>DANE!F174</f>
        <v>41029</v>
      </c>
      <c r="J174" s="54">
        <f t="shared" si="5"/>
        <v>342</v>
      </c>
      <c r="K174" s="42">
        <f t="shared" si="10"/>
        <v>17314</v>
      </c>
      <c r="L174" s="79">
        <f t="shared" ca="1" si="11"/>
        <v>708.85714285714289</v>
      </c>
      <c r="M174" s="44">
        <f t="shared" si="6"/>
        <v>4.5104382433029997</v>
      </c>
      <c r="N174" s="45">
        <f t="shared" si="7"/>
        <v>3.214943348650487</v>
      </c>
      <c r="O174" s="46">
        <f t="shared" si="12"/>
        <v>5015.1144574013988</v>
      </c>
      <c r="P174" s="46">
        <f t="shared" si="13"/>
        <v>4.5367189908419474E-2</v>
      </c>
      <c r="Q174" s="80">
        <f t="shared" si="14"/>
        <v>1.3175703293589363</v>
      </c>
      <c r="R174" s="80">
        <f t="shared" ca="1" si="15"/>
        <v>1.0425596243818707</v>
      </c>
      <c r="S174" s="81">
        <f t="shared" ca="1" si="16"/>
        <v>1.0000000000000009E-2</v>
      </c>
      <c r="T174" s="88"/>
      <c r="U174" s="371"/>
      <c r="V174" s="372"/>
      <c r="W174" s="372"/>
      <c r="X174" s="372"/>
      <c r="Y174" s="372"/>
      <c r="Z174" s="372"/>
      <c r="AA174" s="372"/>
      <c r="AB174" s="372"/>
      <c r="AC174" s="372"/>
      <c r="AD174" s="372"/>
      <c r="AE174" s="88"/>
      <c r="AF174" s="88"/>
      <c r="AG174" s="88"/>
      <c r="AH174" s="88"/>
      <c r="AI174" s="88"/>
      <c r="AJ174" s="88"/>
      <c r="AK174" s="88"/>
      <c r="AL174" s="88"/>
      <c r="AM174" s="88"/>
      <c r="AN174" s="88"/>
      <c r="AO174" s="88"/>
      <c r="AP174" s="88"/>
      <c r="AQ174" s="88"/>
      <c r="AR174" s="88"/>
      <c r="AS174" s="88"/>
    </row>
    <row r="175" spans="1:45" x14ac:dyDescent="0.25">
      <c r="A175" s="61">
        <v>44065</v>
      </c>
      <c r="B175" s="62" t="str">
        <f t="shared" ca="1" si="0"/>
        <v/>
      </c>
      <c r="C175" s="12">
        <f t="shared" si="17"/>
        <v>172</v>
      </c>
      <c r="D175" s="63">
        <f>DANE!D175</f>
        <v>900</v>
      </c>
      <c r="E175" s="64">
        <f t="shared" si="8"/>
        <v>61181</v>
      </c>
      <c r="F175" s="65">
        <f>DANE!E175</f>
        <v>13</v>
      </c>
      <c r="G175" s="66">
        <f t="shared" si="9"/>
        <v>1951</v>
      </c>
      <c r="H175" s="67">
        <f t="shared" si="4"/>
        <v>632</v>
      </c>
      <c r="I175" s="68">
        <f>DANE!F175</f>
        <v>41661</v>
      </c>
      <c r="J175" s="54">
        <f t="shared" si="5"/>
        <v>255</v>
      </c>
      <c r="K175" s="69">
        <f t="shared" si="10"/>
        <v>17569</v>
      </c>
      <c r="L175" s="84">
        <f t="shared" ca="1" si="11"/>
        <v>727.28571428571433</v>
      </c>
      <c r="M175" s="44">
        <f t="shared" si="6"/>
        <v>4.4735393928276617</v>
      </c>
      <c r="N175" s="45">
        <f t="shared" si="7"/>
        <v>3.188898514244618</v>
      </c>
      <c r="O175" s="71">
        <f t="shared" si="12"/>
        <v>5198.6695349154852</v>
      </c>
      <c r="P175" s="71">
        <f t="shared" si="13"/>
        <v>3.6600376536410337E-2</v>
      </c>
      <c r="Q175" s="85">
        <f t="shared" si="14"/>
        <v>1.2562026357548723</v>
      </c>
      <c r="R175" s="85">
        <f t="shared" ca="1" si="15"/>
        <v>1.0619208870557031</v>
      </c>
      <c r="S175" s="86">
        <f t="shared" ca="1" si="16"/>
        <v>2.0000000000000018E-2</v>
      </c>
      <c r="T175" s="88"/>
      <c r="U175" s="371"/>
      <c r="V175" s="372"/>
      <c r="W175" s="372"/>
      <c r="X175" s="372"/>
      <c r="Y175" s="372"/>
      <c r="Z175" s="372"/>
      <c r="AA175" s="372"/>
      <c r="AB175" s="372"/>
      <c r="AC175" s="372"/>
      <c r="AD175" s="372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</row>
    <row r="176" spans="1:45" x14ac:dyDescent="0.25">
      <c r="A176" s="61">
        <v>44066</v>
      </c>
      <c r="B176" s="62" t="str">
        <f t="shared" ca="1" si="0"/>
        <v/>
      </c>
      <c r="C176" s="12">
        <f t="shared" si="17"/>
        <v>173</v>
      </c>
      <c r="D176" s="63">
        <f>DANE!D176</f>
        <v>581</v>
      </c>
      <c r="E176" s="64">
        <f t="shared" si="8"/>
        <v>61762</v>
      </c>
      <c r="F176" s="65">
        <f>DANE!E176</f>
        <v>4</v>
      </c>
      <c r="G176" s="66">
        <f t="shared" si="9"/>
        <v>1955</v>
      </c>
      <c r="H176" s="67">
        <f t="shared" si="4"/>
        <v>522</v>
      </c>
      <c r="I176" s="68">
        <f>DANE!F176</f>
        <v>42183</v>
      </c>
      <c r="J176" s="54">
        <f t="shared" si="5"/>
        <v>55</v>
      </c>
      <c r="K176" s="69">
        <f t="shared" si="10"/>
        <v>17624</v>
      </c>
      <c r="L176" s="84">
        <f t="shared" ca="1" si="11"/>
        <v>725.42857142857144</v>
      </c>
      <c r="M176" s="44">
        <f t="shared" si="6"/>
        <v>4.4292899542344468</v>
      </c>
      <c r="N176" s="45">
        <f t="shared" si="7"/>
        <v>3.1653767688870182</v>
      </c>
      <c r="O176" s="71">
        <f t="shared" si="12"/>
        <v>5037.0024584989878</v>
      </c>
      <c r="P176" s="71">
        <f t="shared" si="13"/>
        <v>-3.1097779024172111E-2</v>
      </c>
      <c r="Q176" s="85">
        <f t="shared" si="14"/>
        <v>0.78231554683079518</v>
      </c>
      <c r="R176" s="85">
        <f t="shared" ca="1" si="15"/>
        <v>1.0524278927331909</v>
      </c>
      <c r="S176" s="86">
        <f t="shared" ca="1" si="16"/>
        <v>-1.0000000000000009E-2</v>
      </c>
      <c r="T176" s="89"/>
      <c r="U176" s="380"/>
      <c r="V176" s="372"/>
      <c r="W176" s="372"/>
      <c r="X176" s="372"/>
      <c r="Y176" s="372"/>
      <c r="Z176" s="372"/>
      <c r="AA176" s="372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</row>
    <row r="177" spans="1:45" x14ac:dyDescent="0.25">
      <c r="A177" s="32">
        <v>44067</v>
      </c>
      <c r="B177" s="33" t="str">
        <f t="shared" ca="1" si="0"/>
        <v/>
      </c>
      <c r="C177" s="51">
        <f t="shared" si="17"/>
        <v>174</v>
      </c>
      <c r="D177" s="35">
        <f>DANE!D177</f>
        <v>548</v>
      </c>
      <c r="E177" s="52">
        <f t="shared" si="8"/>
        <v>62310</v>
      </c>
      <c r="F177" s="37">
        <f>DANE!E177</f>
        <v>5</v>
      </c>
      <c r="G177" s="53">
        <f t="shared" si="9"/>
        <v>1960</v>
      </c>
      <c r="H177" s="39">
        <f t="shared" si="4"/>
        <v>265</v>
      </c>
      <c r="I177" s="40">
        <f>DANE!F177</f>
        <v>42448</v>
      </c>
      <c r="J177" s="54">
        <f t="shared" si="5"/>
        <v>278</v>
      </c>
      <c r="K177" s="42">
        <f t="shared" si="10"/>
        <v>17902</v>
      </c>
      <c r="L177" s="79">
        <f t="shared" ca="1" si="11"/>
        <v>718.71428571428567</v>
      </c>
      <c r="M177" s="44">
        <f t="shared" si="6"/>
        <v>4.4136191677175285</v>
      </c>
      <c r="N177" s="45">
        <f t="shared" si="7"/>
        <v>3.1455625100304925</v>
      </c>
      <c r="O177" s="46">
        <f t="shared" si="12"/>
        <v>4865.4306787134183</v>
      </c>
      <c r="P177" s="46">
        <f t="shared" si="13"/>
        <v>-3.4062278348916564E-2</v>
      </c>
      <c r="Q177" s="80">
        <f t="shared" si="14"/>
        <v>0.76156405155758411</v>
      </c>
      <c r="R177" s="80">
        <f t="shared" ca="1" si="15"/>
        <v>1.0370842855834881</v>
      </c>
      <c r="S177" s="81">
        <f t="shared" ca="1" si="16"/>
        <v>-1.0000000000000009E-2</v>
      </c>
      <c r="T177" s="89"/>
      <c r="U177" s="380"/>
      <c r="V177" s="372"/>
      <c r="W177" s="372"/>
      <c r="X177" s="372"/>
      <c r="Y177" s="372"/>
      <c r="Z177" s="372"/>
      <c r="AA177" s="372"/>
      <c r="AB177" s="89"/>
      <c r="AC177" s="89"/>
      <c r="AD177" s="89"/>
      <c r="AE177" s="89"/>
      <c r="AF177" s="89"/>
      <c r="AG177" s="89"/>
      <c r="AH177" s="89"/>
      <c r="AI177" s="89"/>
      <c r="AJ177" s="89"/>
      <c r="AK177" s="89"/>
      <c r="AL177" s="89"/>
      <c r="AM177" s="89"/>
      <c r="AN177" s="89"/>
      <c r="AO177" s="89"/>
      <c r="AP177" s="89"/>
      <c r="AQ177" s="89"/>
      <c r="AR177" s="89"/>
      <c r="AS177" s="89"/>
    </row>
    <row r="178" spans="1:45" x14ac:dyDescent="0.25">
      <c r="A178" s="32">
        <v>44068</v>
      </c>
      <c r="B178" s="33" t="str">
        <f t="shared" ca="1" si="0"/>
        <v/>
      </c>
      <c r="C178" s="51">
        <f t="shared" si="17"/>
        <v>175</v>
      </c>
      <c r="D178" s="35">
        <f>DANE!D178</f>
        <v>763</v>
      </c>
      <c r="E178" s="52">
        <f t="shared" si="8"/>
        <v>63073</v>
      </c>
      <c r="F178" s="37">
        <f>DANE!E178</f>
        <v>17</v>
      </c>
      <c r="G178" s="53">
        <f t="shared" si="9"/>
        <v>1977</v>
      </c>
      <c r="H178" s="39">
        <f t="shared" si="4"/>
        <v>336</v>
      </c>
      <c r="I178" s="40">
        <f>DANE!F178</f>
        <v>42784</v>
      </c>
      <c r="J178" s="54">
        <f t="shared" si="5"/>
        <v>410</v>
      </c>
      <c r="K178" s="42">
        <f t="shared" si="10"/>
        <v>18312</v>
      </c>
      <c r="L178" s="79">
        <f t="shared" ca="1" si="11"/>
        <v>742.42857142857144</v>
      </c>
      <c r="M178" s="44">
        <f t="shared" si="6"/>
        <v>4.4167914032304907</v>
      </c>
      <c r="N178" s="45">
        <f t="shared" si="7"/>
        <v>3.1344632410064528</v>
      </c>
      <c r="O178" s="46">
        <f t="shared" si="12"/>
        <v>4933.3691531829299</v>
      </c>
      <c r="P178" s="46">
        <f t="shared" si="13"/>
        <v>1.3963506821039914E-2</v>
      </c>
      <c r="Q178" s="80">
        <f t="shared" si="14"/>
        <v>1.0977445477472794</v>
      </c>
      <c r="R178" s="80">
        <f t="shared" ca="1" si="15"/>
        <v>1.0669731979750894</v>
      </c>
      <c r="S178" s="81">
        <f t="shared" ca="1" si="16"/>
        <v>3.0000000000000027E-2</v>
      </c>
      <c r="T178" s="89"/>
      <c r="U178" s="380"/>
      <c r="V178" s="372"/>
      <c r="W178" s="372"/>
      <c r="X178" s="372"/>
      <c r="Y178" s="372"/>
      <c r="Z178" s="372"/>
      <c r="AA178" s="372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  <c r="AM178" s="89"/>
      <c r="AN178" s="89"/>
      <c r="AO178" s="89"/>
      <c r="AP178" s="89"/>
      <c r="AQ178" s="89"/>
      <c r="AR178" s="89"/>
      <c r="AS178" s="89"/>
    </row>
    <row r="179" spans="1:45" x14ac:dyDescent="0.25">
      <c r="A179" s="32">
        <v>44069</v>
      </c>
      <c r="B179" s="33" t="str">
        <f t="shared" ca="1" si="0"/>
        <v/>
      </c>
      <c r="C179" s="51">
        <f t="shared" si="17"/>
        <v>176</v>
      </c>
      <c r="D179" s="35">
        <f>DANE!D179</f>
        <v>729</v>
      </c>
      <c r="E179" s="52">
        <f t="shared" si="8"/>
        <v>63802</v>
      </c>
      <c r="F179" s="37">
        <f>DANE!E179</f>
        <v>17</v>
      </c>
      <c r="G179" s="53">
        <f t="shared" si="9"/>
        <v>1994</v>
      </c>
      <c r="H179" s="39">
        <f t="shared" si="4"/>
        <v>615</v>
      </c>
      <c r="I179" s="40">
        <f>DANE!F179</f>
        <v>43399</v>
      </c>
      <c r="J179" s="54">
        <f t="shared" si="5"/>
        <v>97</v>
      </c>
      <c r="K179" s="42">
        <f t="shared" si="10"/>
        <v>18409</v>
      </c>
      <c r="L179" s="79">
        <f t="shared" ca="1" si="11"/>
        <v>741.57142857142856</v>
      </c>
      <c r="M179" s="44">
        <f t="shared" si="6"/>
        <v>4.3927477804947896</v>
      </c>
      <c r="N179" s="45">
        <f t="shared" si="7"/>
        <v>3.1252938779348609</v>
      </c>
      <c r="O179" s="46">
        <f t="shared" si="12"/>
        <v>4957.6021312996545</v>
      </c>
      <c r="P179" s="46">
        <f t="shared" si="13"/>
        <v>4.912054493446903E-3</v>
      </c>
      <c r="Q179" s="80">
        <f t="shared" si="14"/>
        <v>1.0343843814541283</v>
      </c>
      <c r="R179" s="80">
        <f t="shared" ca="1" si="15"/>
        <v>1.0559406715843034</v>
      </c>
      <c r="S179" s="81">
        <f t="shared" ca="1" si="16"/>
        <v>-1.0000000000000009E-2</v>
      </c>
      <c r="T179" s="89"/>
      <c r="U179" s="380"/>
      <c r="V179" s="372"/>
      <c r="W179" s="372"/>
      <c r="X179" s="372"/>
      <c r="Y179" s="372"/>
      <c r="Z179" s="372"/>
      <c r="AA179" s="372"/>
      <c r="AB179" s="89"/>
      <c r="AC179" s="89"/>
      <c r="AD179" s="89"/>
      <c r="AE179" s="89"/>
      <c r="AF179" s="89"/>
      <c r="AG179" s="89"/>
      <c r="AH179" s="89"/>
      <c r="AI179" s="89"/>
      <c r="AJ179" s="89"/>
      <c r="AK179" s="89"/>
      <c r="AL179" s="89"/>
      <c r="AM179" s="89"/>
      <c r="AN179" s="89"/>
      <c r="AO179" s="89"/>
      <c r="AP179" s="89"/>
      <c r="AQ179" s="89"/>
      <c r="AR179" s="89"/>
      <c r="AS179" s="89"/>
    </row>
    <row r="180" spans="1:45" x14ac:dyDescent="0.25">
      <c r="A180" s="32">
        <v>44070</v>
      </c>
      <c r="B180" s="33" t="str">
        <f t="shared" ca="1" si="0"/>
        <v/>
      </c>
      <c r="C180" s="51">
        <f t="shared" si="17"/>
        <v>177</v>
      </c>
      <c r="D180" s="35">
        <f>DANE!D180</f>
        <v>887</v>
      </c>
      <c r="E180" s="52">
        <f t="shared" si="8"/>
        <v>64689</v>
      </c>
      <c r="F180" s="37">
        <f>DANE!E180</f>
        <v>15</v>
      </c>
      <c r="G180" s="53">
        <f t="shared" si="9"/>
        <v>2009</v>
      </c>
      <c r="H180" s="39">
        <f t="shared" si="4"/>
        <v>698</v>
      </c>
      <c r="I180" s="40">
        <f>DANE!F180</f>
        <v>44097</v>
      </c>
      <c r="J180" s="54">
        <f t="shared" si="5"/>
        <v>174</v>
      </c>
      <c r="K180" s="42">
        <f t="shared" si="10"/>
        <v>18583</v>
      </c>
      <c r="L180" s="79">
        <f t="shared" ca="1" si="11"/>
        <v>758.71428571428567</v>
      </c>
      <c r="M180" s="44">
        <f t="shared" si="6"/>
        <v>4.3573504533032574</v>
      </c>
      <c r="N180" s="45">
        <f t="shared" si="7"/>
        <v>3.1056284685186042</v>
      </c>
      <c r="O180" s="46">
        <f t="shared" si="12"/>
        <v>5136.3732553997042</v>
      </c>
      <c r="P180" s="46">
        <f t="shared" si="13"/>
        <v>3.6059998234102789E-2</v>
      </c>
      <c r="Q180" s="80">
        <f t="shared" si="14"/>
        <v>1.2524199876387194</v>
      </c>
      <c r="R180" s="80">
        <f t="shared" ca="1" si="15"/>
        <v>1.0717430686203306</v>
      </c>
      <c r="S180" s="81">
        <f t="shared" ca="1" si="16"/>
        <v>1.0000000000000009E-2</v>
      </c>
      <c r="T180" s="89"/>
      <c r="U180" s="380"/>
      <c r="V180" s="372"/>
      <c r="W180" s="372"/>
      <c r="X180" s="372"/>
      <c r="Y180" s="372"/>
      <c r="Z180" s="372"/>
      <c r="AA180" s="372"/>
      <c r="AB180" s="89"/>
      <c r="AC180" s="89"/>
      <c r="AD180" s="89"/>
      <c r="AE180" s="89"/>
      <c r="AF180" s="89"/>
      <c r="AG180" s="89"/>
      <c r="AH180" s="89"/>
      <c r="AI180" s="89"/>
      <c r="AJ180" s="89"/>
      <c r="AK180" s="89"/>
      <c r="AL180" s="89"/>
      <c r="AM180" s="89"/>
      <c r="AN180" s="89"/>
      <c r="AO180" s="89"/>
      <c r="AP180" s="89"/>
      <c r="AQ180" s="89"/>
      <c r="AR180" s="89"/>
      <c r="AS180" s="89"/>
    </row>
    <row r="181" spans="1:45" x14ac:dyDescent="0.25">
      <c r="A181" s="32">
        <v>44071</v>
      </c>
      <c r="B181" s="33" t="str">
        <f t="shared" ca="1" si="0"/>
        <v/>
      </c>
      <c r="C181" s="51">
        <f t="shared" si="17"/>
        <v>178</v>
      </c>
      <c r="D181" s="35">
        <f>DANE!D181</f>
        <v>791</v>
      </c>
      <c r="E181" s="52">
        <f t="shared" si="8"/>
        <v>65480</v>
      </c>
      <c r="F181" s="37">
        <f>DANE!E181</f>
        <v>9</v>
      </c>
      <c r="G181" s="53">
        <f t="shared" si="9"/>
        <v>2018</v>
      </c>
      <c r="H181" s="39">
        <f t="shared" si="4"/>
        <v>688</v>
      </c>
      <c r="I181" s="40">
        <f>DANE!F181</f>
        <v>44785</v>
      </c>
      <c r="J181" s="54">
        <f t="shared" si="5"/>
        <v>94</v>
      </c>
      <c r="K181" s="42">
        <f t="shared" si="10"/>
        <v>18677</v>
      </c>
      <c r="L181" s="79">
        <f t="shared" ca="1" si="11"/>
        <v>742.71428571428567</v>
      </c>
      <c r="M181" s="44">
        <f t="shared" si="6"/>
        <v>4.3116894216182722</v>
      </c>
      <c r="N181" s="45">
        <f t="shared" si="7"/>
        <v>3.0818570555894933</v>
      </c>
      <c r="O181" s="46">
        <f t="shared" si="12"/>
        <v>5193.6056474854613</v>
      </c>
      <c r="P181" s="46">
        <f t="shared" si="13"/>
        <v>1.114256874256373E-2</v>
      </c>
      <c r="Q181" s="80">
        <f t="shared" si="14"/>
        <v>1.0779979811979461</v>
      </c>
      <c r="R181" s="80">
        <f t="shared" ca="1" si="15"/>
        <v>1.037518447454475</v>
      </c>
      <c r="S181" s="81">
        <f t="shared" ca="1" si="16"/>
        <v>-3.0000000000000027E-2</v>
      </c>
      <c r="T181" s="89"/>
      <c r="U181" s="380"/>
      <c r="V181" s="372"/>
      <c r="W181" s="372"/>
      <c r="X181" s="372"/>
      <c r="Y181" s="372"/>
      <c r="Z181" s="372"/>
      <c r="AA181" s="372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  <c r="AM181" s="89"/>
      <c r="AN181" s="89"/>
      <c r="AO181" s="89"/>
      <c r="AP181" s="89"/>
      <c r="AQ181" s="89"/>
      <c r="AR181" s="89"/>
      <c r="AS181" s="89"/>
    </row>
    <row r="182" spans="1:45" x14ac:dyDescent="0.25">
      <c r="A182" s="61">
        <v>44072</v>
      </c>
      <c r="B182" s="62" t="str">
        <f t="shared" ca="1" si="0"/>
        <v/>
      </c>
      <c r="C182" s="12">
        <f t="shared" si="17"/>
        <v>179</v>
      </c>
      <c r="D182" s="63">
        <f>DANE!D182</f>
        <v>759</v>
      </c>
      <c r="E182" s="64">
        <f t="shared" si="8"/>
        <v>66239</v>
      </c>
      <c r="F182" s="65">
        <f>DANE!E182</f>
        <v>14</v>
      </c>
      <c r="G182" s="66">
        <f t="shared" si="9"/>
        <v>2032</v>
      </c>
      <c r="H182" s="67">
        <f t="shared" si="4"/>
        <v>751</v>
      </c>
      <c r="I182" s="68">
        <f>DANE!F182</f>
        <v>45536</v>
      </c>
      <c r="J182" s="54">
        <f t="shared" si="5"/>
        <v>-6</v>
      </c>
      <c r="K182" s="69">
        <f t="shared" si="10"/>
        <v>18671</v>
      </c>
      <c r="L182" s="84">
        <f t="shared" ca="1" si="11"/>
        <v>722.57142857142856</v>
      </c>
      <c r="M182" s="44">
        <f t="shared" si="6"/>
        <v>4.2717793474604777</v>
      </c>
      <c r="N182" s="45">
        <f t="shared" si="7"/>
        <v>3.067679161823095</v>
      </c>
      <c r="O182" s="71">
        <f t="shared" si="12"/>
        <v>5210.6619835589672</v>
      </c>
      <c r="P182" s="71">
        <f t="shared" si="13"/>
        <v>3.2841030357712896E-3</v>
      </c>
      <c r="Q182" s="85">
        <f t="shared" si="14"/>
        <v>1.022988721250399</v>
      </c>
      <c r="R182" s="85">
        <f t="shared" ca="1" si="15"/>
        <v>1.0042021739538358</v>
      </c>
      <c r="S182" s="86">
        <f t="shared" ca="1" si="16"/>
        <v>-4.0000000000000036E-2</v>
      </c>
      <c r="T182" s="89"/>
      <c r="U182" s="380"/>
      <c r="V182" s="372"/>
      <c r="W182" s="372"/>
      <c r="X182" s="372"/>
      <c r="Y182" s="372"/>
      <c r="Z182" s="372"/>
      <c r="AA182" s="372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  <c r="AN182" s="89"/>
      <c r="AO182" s="89"/>
      <c r="AP182" s="89"/>
      <c r="AQ182" s="89"/>
      <c r="AR182" s="89"/>
      <c r="AS182" s="89"/>
    </row>
    <row r="183" spans="1:45" x14ac:dyDescent="0.25">
      <c r="A183" s="61">
        <v>44073</v>
      </c>
      <c r="B183" s="62" t="str">
        <f t="shared" ca="1" si="0"/>
        <v/>
      </c>
      <c r="C183" s="12">
        <f t="shared" si="17"/>
        <v>180</v>
      </c>
      <c r="D183" s="63">
        <f>DANE!D183</f>
        <v>631</v>
      </c>
      <c r="E183" s="64">
        <f t="shared" si="8"/>
        <v>66870</v>
      </c>
      <c r="F183" s="65">
        <f>DANE!E183</f>
        <v>1</v>
      </c>
      <c r="G183" s="66">
        <f t="shared" si="9"/>
        <v>2033</v>
      </c>
      <c r="H183" s="67">
        <f t="shared" si="4"/>
        <v>656</v>
      </c>
      <c r="I183" s="68">
        <f>DANE!F183</f>
        <v>46192</v>
      </c>
      <c r="J183" s="54">
        <f t="shared" si="5"/>
        <v>-26</v>
      </c>
      <c r="K183" s="69">
        <f t="shared" si="10"/>
        <v>18645</v>
      </c>
      <c r="L183" s="84">
        <f t="shared" ca="1" si="11"/>
        <v>729.71428571428567</v>
      </c>
      <c r="M183" s="44">
        <f t="shared" si="6"/>
        <v>4.2156557801969932</v>
      </c>
      <c r="N183" s="45">
        <f t="shared" si="7"/>
        <v>3.0402273067145207</v>
      </c>
      <c r="O183" s="71">
        <f t="shared" si="12"/>
        <v>5097.2817001934009</v>
      </c>
      <c r="P183" s="71">
        <f t="shared" si="13"/>
        <v>-2.1759285811152496E-2</v>
      </c>
      <c r="Q183" s="85">
        <f t="shared" si="14"/>
        <v>0.84768499932193253</v>
      </c>
      <c r="R183" s="85">
        <f t="shared" ca="1" si="15"/>
        <v>1.0135406671668554</v>
      </c>
      <c r="S183" s="86">
        <f t="shared" ca="1" si="16"/>
        <v>1.0000000000000009E-2</v>
      </c>
      <c r="T183" s="89"/>
      <c r="U183" s="380"/>
      <c r="V183" s="372"/>
      <c r="W183" s="372"/>
      <c r="X183" s="372"/>
      <c r="Y183" s="372"/>
      <c r="Z183" s="372"/>
      <c r="AA183" s="372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  <c r="AN183" s="89"/>
      <c r="AO183" s="89"/>
      <c r="AP183" s="89"/>
      <c r="AQ183" s="89"/>
      <c r="AR183" s="89"/>
      <c r="AS183" s="89"/>
    </row>
    <row r="184" spans="1:45" x14ac:dyDescent="0.25">
      <c r="A184" s="32">
        <v>44074</v>
      </c>
      <c r="B184" s="33" t="str">
        <f t="shared" ca="1" si="0"/>
        <v/>
      </c>
      <c r="C184" s="51">
        <f t="shared" si="17"/>
        <v>181</v>
      </c>
      <c r="D184" s="35">
        <f>DANE!D184</f>
        <v>502</v>
      </c>
      <c r="E184" s="52">
        <f t="shared" si="8"/>
        <v>67372</v>
      </c>
      <c r="F184" s="37">
        <f>DANE!E184</f>
        <v>6</v>
      </c>
      <c r="G184" s="53">
        <f t="shared" si="9"/>
        <v>2039</v>
      </c>
      <c r="H184" s="39">
        <f t="shared" si="4"/>
        <v>446</v>
      </c>
      <c r="I184" s="40">
        <f>DANE!F184</f>
        <v>46638</v>
      </c>
      <c r="J184" s="54">
        <f t="shared" si="5"/>
        <v>50</v>
      </c>
      <c r="K184" s="42">
        <f t="shared" si="10"/>
        <v>18695</v>
      </c>
      <c r="L184" s="79">
        <f t="shared" ca="1" si="11"/>
        <v>723.14285714285711</v>
      </c>
      <c r="M184" s="44">
        <f t="shared" si="6"/>
        <v>4.1888366168827167</v>
      </c>
      <c r="N184" s="45">
        <f t="shared" si="7"/>
        <v>3.0264798432583269</v>
      </c>
      <c r="O184" s="46">
        <f t="shared" si="12"/>
        <v>4871.098600165772</v>
      </c>
      <c r="P184" s="46">
        <f t="shared" si="13"/>
        <v>-4.4373278412108752E-2</v>
      </c>
      <c r="Q184" s="80">
        <f t="shared" si="14"/>
        <v>0.68938705111523868</v>
      </c>
      <c r="R184" s="80">
        <f t="shared" ca="1" si="15"/>
        <v>1.0032296671036633</v>
      </c>
      <c r="S184" s="81">
        <f t="shared" ca="1" si="16"/>
        <v>-1.0000000000000009E-2</v>
      </c>
      <c r="T184" s="89"/>
      <c r="U184" s="380"/>
      <c r="V184" s="372"/>
      <c r="W184" s="372"/>
      <c r="X184" s="372"/>
      <c r="Y184" s="372"/>
      <c r="Z184" s="372"/>
      <c r="AA184" s="372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  <c r="AN184" s="89"/>
      <c r="AO184" s="89"/>
      <c r="AP184" s="89"/>
      <c r="AQ184" s="89"/>
      <c r="AR184" s="89"/>
      <c r="AS184" s="89"/>
    </row>
    <row r="185" spans="1:45" x14ac:dyDescent="0.25">
      <c r="A185" s="32">
        <v>44075</v>
      </c>
      <c r="B185" s="33" t="str">
        <f t="shared" ca="1" si="0"/>
        <v/>
      </c>
      <c r="C185" s="51">
        <f t="shared" si="17"/>
        <v>182</v>
      </c>
      <c r="D185" s="35">
        <f>DANE!D185</f>
        <v>550</v>
      </c>
      <c r="E185" s="52">
        <f t="shared" si="8"/>
        <v>67922</v>
      </c>
      <c r="F185" s="37">
        <f>DANE!E185</f>
        <v>19</v>
      </c>
      <c r="G185" s="53">
        <f t="shared" si="9"/>
        <v>2058</v>
      </c>
      <c r="H185" s="39">
        <f t="shared" si="4"/>
        <v>392</v>
      </c>
      <c r="I185" s="40">
        <f>DANE!F185</f>
        <v>47030</v>
      </c>
      <c r="J185" s="54">
        <f t="shared" si="5"/>
        <v>139</v>
      </c>
      <c r="K185" s="42">
        <f t="shared" si="10"/>
        <v>18834</v>
      </c>
      <c r="L185" s="79">
        <f t="shared" ca="1" si="11"/>
        <v>692.71428571428567</v>
      </c>
      <c r="M185" s="44">
        <f t="shared" si="6"/>
        <v>4.1924706649282921</v>
      </c>
      <c r="N185" s="45">
        <f t="shared" si="7"/>
        <v>3.0299461146609348</v>
      </c>
      <c r="O185" s="46">
        <f t="shared" si="12"/>
        <v>4725.2273715706624</v>
      </c>
      <c r="P185" s="46">
        <f t="shared" si="13"/>
        <v>-2.9946268915629296E-2</v>
      </c>
      <c r="Q185" s="80">
        <f t="shared" si="14"/>
        <v>0.7903761175905949</v>
      </c>
      <c r="R185" s="80">
        <f t="shared" ca="1" si="15"/>
        <v>0.95931989136699414</v>
      </c>
      <c r="S185" s="81">
        <f t="shared" ca="1" si="16"/>
        <v>-4.0000000000000036E-2</v>
      </c>
      <c r="T185" s="89"/>
      <c r="U185" s="380"/>
      <c r="V185" s="372"/>
      <c r="W185" s="372"/>
      <c r="X185" s="372"/>
      <c r="Y185" s="372"/>
      <c r="Z185" s="372"/>
      <c r="AA185" s="372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  <c r="AO185" s="89"/>
      <c r="AP185" s="89"/>
      <c r="AQ185" s="89"/>
      <c r="AR185" s="89"/>
      <c r="AS185" s="89"/>
    </row>
    <row r="186" spans="1:45" x14ac:dyDescent="0.25">
      <c r="A186" s="32">
        <v>44076</v>
      </c>
      <c r="B186" s="33" t="str">
        <f t="shared" ca="1" si="0"/>
        <v/>
      </c>
      <c r="C186" s="51">
        <f t="shared" si="17"/>
        <v>183</v>
      </c>
      <c r="D186" s="35">
        <f>DANE!D186</f>
        <v>595</v>
      </c>
      <c r="E186" s="52">
        <f t="shared" si="8"/>
        <v>68517</v>
      </c>
      <c r="F186" s="37">
        <f>DANE!E186</f>
        <v>20</v>
      </c>
      <c r="G186" s="53">
        <f t="shared" si="9"/>
        <v>2078</v>
      </c>
      <c r="H186" s="39">
        <f t="shared" si="4"/>
        <v>835</v>
      </c>
      <c r="I186" s="40">
        <f>DANE!F186</f>
        <v>47865</v>
      </c>
      <c r="J186" s="54">
        <f t="shared" si="5"/>
        <v>-260</v>
      </c>
      <c r="K186" s="42">
        <f t="shared" si="10"/>
        <v>18574</v>
      </c>
      <c r="L186" s="79">
        <f t="shared" ca="1" si="11"/>
        <v>673.57142857142856</v>
      </c>
      <c r="M186" s="44">
        <f t="shared" si="6"/>
        <v>4.1607432473019239</v>
      </c>
      <c r="N186" s="45">
        <f t="shared" si="7"/>
        <v>3.0328239706934044</v>
      </c>
      <c r="O186" s="46">
        <f t="shared" si="12"/>
        <v>4645.1948899177114</v>
      </c>
      <c r="P186" s="46">
        <f t="shared" si="13"/>
        <v>-1.6937276317001492E-2</v>
      </c>
      <c r="Q186" s="80">
        <f t="shared" si="14"/>
        <v>0.88143906578098952</v>
      </c>
      <c r="R186" s="80">
        <f t="shared" ca="1" si="15"/>
        <v>0.93747056055654576</v>
      </c>
      <c r="S186" s="81">
        <f t="shared" ca="1" si="16"/>
        <v>-2.0000000000000018E-2</v>
      </c>
      <c r="T186" s="89"/>
      <c r="U186" s="380"/>
      <c r="V186" s="372"/>
      <c r="W186" s="372"/>
      <c r="X186" s="372"/>
      <c r="Y186" s="372"/>
      <c r="Z186" s="372"/>
      <c r="AA186" s="372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  <c r="AO186" s="89"/>
      <c r="AP186" s="89"/>
      <c r="AQ186" s="89"/>
      <c r="AR186" s="89"/>
      <c r="AS186" s="89"/>
    </row>
    <row r="187" spans="1:45" x14ac:dyDescent="0.25">
      <c r="A187" s="32">
        <v>44077</v>
      </c>
      <c r="B187" s="33" t="str">
        <f t="shared" ca="1" si="0"/>
        <v/>
      </c>
      <c r="C187" s="51">
        <f t="shared" si="17"/>
        <v>184</v>
      </c>
      <c r="D187" s="35">
        <f>DANE!D187</f>
        <v>612</v>
      </c>
      <c r="E187" s="52">
        <f t="shared" si="8"/>
        <v>69129</v>
      </c>
      <c r="F187" s="37">
        <f>DANE!E187</f>
        <v>14</v>
      </c>
      <c r="G187" s="53">
        <f t="shared" si="9"/>
        <v>2092</v>
      </c>
      <c r="H187" s="39">
        <f t="shared" si="4"/>
        <v>728</v>
      </c>
      <c r="I187" s="40">
        <f>DANE!F187</f>
        <v>48593</v>
      </c>
      <c r="J187" s="54">
        <f t="shared" si="5"/>
        <v>-130</v>
      </c>
      <c r="K187" s="42">
        <f t="shared" si="10"/>
        <v>18444</v>
      </c>
      <c r="L187" s="79">
        <f t="shared" ca="1" si="11"/>
        <v>634.28571428571433</v>
      </c>
      <c r="M187" s="44">
        <f t="shared" si="6"/>
        <v>4.1274538818190782</v>
      </c>
      <c r="N187" s="45">
        <f t="shared" si="7"/>
        <v>3.0262263304835888</v>
      </c>
      <c r="O187" s="46">
        <f t="shared" si="12"/>
        <v>4593.5956199294669</v>
      </c>
      <c r="P187" s="46">
        <f t="shared" si="13"/>
        <v>-1.1108095830433189E-2</v>
      </c>
      <c r="Q187" s="80">
        <f t="shared" si="14"/>
        <v>0.92224332918696761</v>
      </c>
      <c r="R187" s="80">
        <f t="shared" ca="1" si="15"/>
        <v>0.89030246649200973</v>
      </c>
      <c r="S187" s="81">
        <f t="shared" ca="1" si="16"/>
        <v>-4.9999999999999933E-2</v>
      </c>
      <c r="T187" s="89"/>
      <c r="U187" s="380"/>
      <c r="V187" s="372"/>
      <c r="W187" s="372"/>
      <c r="X187" s="372"/>
      <c r="Y187" s="372"/>
      <c r="Z187" s="372"/>
      <c r="AA187" s="372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  <c r="AN187" s="89"/>
      <c r="AO187" s="89"/>
      <c r="AP187" s="89"/>
      <c r="AQ187" s="89"/>
      <c r="AR187" s="89"/>
      <c r="AS187" s="89"/>
    </row>
    <row r="188" spans="1:45" x14ac:dyDescent="0.25">
      <c r="A188" s="32">
        <v>44078</v>
      </c>
      <c r="B188" s="33" t="str">
        <f t="shared" ca="1" si="0"/>
        <v/>
      </c>
      <c r="C188" s="51">
        <f t="shared" si="17"/>
        <v>185</v>
      </c>
      <c r="D188" s="35">
        <f>DANE!D188</f>
        <v>691</v>
      </c>
      <c r="E188" s="52">
        <f t="shared" si="8"/>
        <v>69820</v>
      </c>
      <c r="F188" s="37">
        <f>DANE!E188</f>
        <v>8</v>
      </c>
      <c r="G188" s="53">
        <f t="shared" si="9"/>
        <v>2100</v>
      </c>
      <c r="H188" s="39">
        <f t="shared" si="4"/>
        <v>1227</v>
      </c>
      <c r="I188" s="40">
        <f>DANE!F188</f>
        <v>49820</v>
      </c>
      <c r="J188" s="54">
        <f t="shared" si="5"/>
        <v>-544</v>
      </c>
      <c r="K188" s="42">
        <f t="shared" si="10"/>
        <v>17900</v>
      </c>
      <c r="L188" s="79">
        <f t="shared" ca="1" si="11"/>
        <v>620</v>
      </c>
      <c r="M188" s="44">
        <f t="shared" si="6"/>
        <v>4.0446841294298919</v>
      </c>
      <c r="N188" s="45">
        <f t="shared" si="7"/>
        <v>3.0077341735892293</v>
      </c>
      <c r="O188" s="46">
        <f t="shared" si="12"/>
        <v>4628.3676742252574</v>
      </c>
      <c r="P188" s="46">
        <f t="shared" si="13"/>
        <v>7.5696811763165941E-3</v>
      </c>
      <c r="Q188" s="80">
        <f t="shared" si="14"/>
        <v>1.0529877682342161</v>
      </c>
      <c r="R188" s="80">
        <f t="shared" ca="1" si="15"/>
        <v>0.88672957892576265</v>
      </c>
      <c r="S188" s="81">
        <f t="shared" ca="1" si="16"/>
        <v>0</v>
      </c>
      <c r="T188" s="89"/>
      <c r="U188" s="380"/>
      <c r="V188" s="372"/>
      <c r="W188" s="372"/>
      <c r="X188" s="372"/>
      <c r="Y188" s="372"/>
      <c r="Z188" s="372"/>
      <c r="AA188" s="372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  <c r="AO188" s="89"/>
      <c r="AP188" s="89"/>
      <c r="AQ188" s="89"/>
      <c r="AR188" s="89"/>
      <c r="AS188" s="89"/>
    </row>
    <row r="189" spans="1:45" x14ac:dyDescent="0.25">
      <c r="A189" s="61">
        <v>44079</v>
      </c>
      <c r="B189" s="62" t="str">
        <f t="shared" ca="1" si="0"/>
        <v/>
      </c>
      <c r="C189" s="12">
        <f t="shared" si="17"/>
        <v>186</v>
      </c>
      <c r="D189" s="63">
        <f>DANE!D189</f>
        <v>567</v>
      </c>
      <c r="E189" s="64">
        <f t="shared" si="8"/>
        <v>70387</v>
      </c>
      <c r="F189" s="65">
        <f>DANE!E189</f>
        <v>13</v>
      </c>
      <c r="G189" s="66">
        <f t="shared" si="9"/>
        <v>2113</v>
      </c>
      <c r="H189" s="67">
        <f t="shared" si="4"/>
        <v>2526</v>
      </c>
      <c r="I189" s="68">
        <f>DANE!F189</f>
        <v>52346</v>
      </c>
      <c r="J189" s="54">
        <f t="shared" si="5"/>
        <v>-1972</v>
      </c>
      <c r="K189" s="69">
        <f t="shared" si="10"/>
        <v>15928</v>
      </c>
      <c r="L189" s="84">
        <f t="shared" ca="1" si="11"/>
        <v>592.57142857142856</v>
      </c>
      <c r="M189" s="44">
        <f t="shared" si="6"/>
        <v>3.8799831065572263</v>
      </c>
      <c r="N189" s="45">
        <f t="shared" si="7"/>
        <v>3.0019747964823051</v>
      </c>
      <c r="O189" s="71">
        <f t="shared" si="12"/>
        <v>4534.1722921930777</v>
      </c>
      <c r="P189" s="71">
        <f t="shared" si="13"/>
        <v>-2.0351750047158255E-2</v>
      </c>
      <c r="Q189" s="85">
        <f t="shared" si="14"/>
        <v>0.85753774966989216</v>
      </c>
      <c r="R189" s="85">
        <f t="shared" ca="1" si="15"/>
        <v>0.86309372584283306</v>
      </c>
      <c r="S189" s="86">
        <f t="shared" ca="1" si="16"/>
        <v>-3.0000000000000027E-2</v>
      </c>
      <c r="T189" s="89"/>
      <c r="U189" s="380"/>
      <c r="V189" s="372"/>
      <c r="W189" s="372"/>
      <c r="X189" s="372"/>
      <c r="Y189" s="372"/>
      <c r="Z189" s="372"/>
      <c r="AA189" s="372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  <c r="AN189" s="89"/>
      <c r="AO189" s="89"/>
      <c r="AP189" s="89"/>
      <c r="AQ189" s="89"/>
      <c r="AR189" s="89"/>
      <c r="AS189" s="89"/>
    </row>
    <row r="190" spans="1:45" x14ac:dyDescent="0.25">
      <c r="A190" s="61">
        <v>44080</v>
      </c>
      <c r="B190" s="62" t="str">
        <f t="shared" ca="1" si="0"/>
        <v/>
      </c>
      <c r="C190" s="12">
        <f t="shared" si="17"/>
        <v>187</v>
      </c>
      <c r="D190" s="63">
        <f>DANE!D190</f>
        <v>437</v>
      </c>
      <c r="E190" s="64">
        <f t="shared" si="8"/>
        <v>70824</v>
      </c>
      <c r="F190" s="65">
        <f>DANE!E190</f>
        <v>7</v>
      </c>
      <c r="G190" s="66">
        <f t="shared" si="9"/>
        <v>2120</v>
      </c>
      <c r="H190" s="67">
        <f t="shared" si="4"/>
        <v>1910</v>
      </c>
      <c r="I190" s="68">
        <f>DANE!F190</f>
        <v>54256</v>
      </c>
      <c r="J190" s="54">
        <f t="shared" si="5"/>
        <v>-1480</v>
      </c>
      <c r="K190" s="69">
        <f t="shared" si="10"/>
        <v>14448</v>
      </c>
      <c r="L190" s="84">
        <f t="shared" ca="1" si="11"/>
        <v>564.85714285714289</v>
      </c>
      <c r="M190" s="44">
        <f t="shared" si="6"/>
        <v>3.7604654462892011</v>
      </c>
      <c r="N190" s="45">
        <f t="shared" si="7"/>
        <v>2.9933355924545353</v>
      </c>
      <c r="O190" s="71">
        <f t="shared" si="12"/>
        <v>4323.4333933083526</v>
      </c>
      <c r="P190" s="71">
        <f t="shared" si="13"/>
        <v>-4.6477920401828278E-2</v>
      </c>
      <c r="Q190" s="85">
        <f t="shared" si="14"/>
        <v>0.67465455718720202</v>
      </c>
      <c r="R190" s="85">
        <f t="shared" ca="1" si="15"/>
        <v>0.83837509125215726</v>
      </c>
      <c r="S190" s="86">
        <f t="shared" ca="1" si="16"/>
        <v>-2.0000000000000018E-2</v>
      </c>
      <c r="T190" s="89"/>
      <c r="U190" s="380"/>
      <c r="V190" s="372"/>
      <c r="W190" s="372"/>
      <c r="X190" s="372"/>
      <c r="Y190" s="372"/>
      <c r="Z190" s="372"/>
      <c r="AA190" s="372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  <c r="AN190" s="89"/>
      <c r="AO190" s="89"/>
      <c r="AP190" s="89"/>
      <c r="AQ190" s="89"/>
      <c r="AR190" s="89"/>
      <c r="AS190" s="89"/>
    </row>
    <row r="191" spans="1:45" x14ac:dyDescent="0.25">
      <c r="A191" s="32">
        <v>44081</v>
      </c>
      <c r="B191" s="33" t="str">
        <f t="shared" ca="1" si="0"/>
        <v/>
      </c>
      <c r="C191" s="51">
        <f t="shared" si="17"/>
        <v>188</v>
      </c>
      <c r="D191" s="35">
        <f>DANE!D191</f>
        <v>302</v>
      </c>
      <c r="E191" s="52">
        <f t="shared" si="8"/>
        <v>71126</v>
      </c>
      <c r="F191" s="37">
        <f>DANE!E191</f>
        <v>3</v>
      </c>
      <c r="G191" s="53">
        <f t="shared" si="9"/>
        <v>2123</v>
      </c>
      <c r="H191" s="39">
        <f t="shared" si="4"/>
        <v>857</v>
      </c>
      <c r="I191" s="40">
        <f>DANE!F191</f>
        <v>55113</v>
      </c>
      <c r="J191" s="54">
        <f t="shared" si="5"/>
        <v>-558</v>
      </c>
      <c r="K191" s="42">
        <f t="shared" si="10"/>
        <v>13890</v>
      </c>
      <c r="L191" s="79">
        <f t="shared" ca="1" si="11"/>
        <v>536.28571428571433</v>
      </c>
      <c r="M191" s="44">
        <f t="shared" si="6"/>
        <v>3.7092039974841007</v>
      </c>
      <c r="N191" s="45">
        <f t="shared" si="7"/>
        <v>2.9848437983297247</v>
      </c>
      <c r="O191" s="46">
        <f t="shared" si="12"/>
        <v>4007.8000514071596</v>
      </c>
      <c r="P191" s="46">
        <f t="shared" si="13"/>
        <v>-7.3005251425803955E-2</v>
      </c>
      <c r="Q191" s="80">
        <f t="shared" si="14"/>
        <v>0.4889632400193723</v>
      </c>
      <c r="R191" s="80">
        <f t="shared" ca="1" si="15"/>
        <v>0.80974311823846212</v>
      </c>
      <c r="S191" s="81">
        <f t="shared" ca="1" si="16"/>
        <v>-2.9999999999999916E-2</v>
      </c>
      <c r="T191" s="89"/>
      <c r="U191" s="380"/>
      <c r="V191" s="372"/>
      <c r="W191" s="372"/>
      <c r="X191" s="372"/>
      <c r="Y191" s="372"/>
      <c r="Z191" s="372"/>
      <c r="AA191" s="372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  <c r="AO191" s="89"/>
      <c r="AP191" s="89"/>
      <c r="AQ191" s="89"/>
      <c r="AR191" s="89"/>
      <c r="AS191" s="89"/>
    </row>
    <row r="192" spans="1:45" x14ac:dyDescent="0.25">
      <c r="A192" s="32">
        <v>44082</v>
      </c>
      <c r="B192" s="33" t="str">
        <f t="shared" ca="1" si="0"/>
        <v/>
      </c>
      <c r="C192" s="51">
        <f t="shared" si="17"/>
        <v>189</v>
      </c>
      <c r="D192" s="35">
        <f>DANE!D192</f>
        <v>400</v>
      </c>
      <c r="E192" s="52">
        <f t="shared" si="8"/>
        <v>71526</v>
      </c>
      <c r="F192" s="37">
        <f>DANE!E192</f>
        <v>12</v>
      </c>
      <c r="G192" s="53">
        <f t="shared" si="9"/>
        <v>2135</v>
      </c>
      <c r="H192" s="39">
        <f t="shared" si="4"/>
        <v>797</v>
      </c>
      <c r="I192" s="40">
        <f>DANE!F192</f>
        <v>55910</v>
      </c>
      <c r="J192" s="54">
        <f t="shared" si="5"/>
        <v>-409</v>
      </c>
      <c r="K192" s="42">
        <f t="shared" si="10"/>
        <v>13481</v>
      </c>
      <c r="L192" s="79">
        <f t="shared" ca="1" si="11"/>
        <v>514.85714285714289</v>
      </c>
      <c r="M192" s="44">
        <f t="shared" si="6"/>
        <v>3.6781807218537339</v>
      </c>
      <c r="N192" s="45">
        <f t="shared" si="7"/>
        <v>2.9849285574476414</v>
      </c>
      <c r="O192" s="46">
        <f t="shared" si="12"/>
        <v>3835.2571869204226</v>
      </c>
      <c r="P192" s="46">
        <f t="shared" si="13"/>
        <v>-4.3051764627368649E-2</v>
      </c>
      <c r="Q192" s="80">
        <f t="shared" si="14"/>
        <v>0.69863764760841951</v>
      </c>
      <c r="R192" s="80">
        <f t="shared" ca="1" si="15"/>
        <v>0.79663762252672277</v>
      </c>
      <c r="S192" s="81">
        <f t="shared" ca="1" si="16"/>
        <v>-1.0000000000000009E-2</v>
      </c>
      <c r="T192" s="89"/>
      <c r="U192" s="380"/>
      <c r="V192" s="372"/>
      <c r="W192" s="372"/>
      <c r="X192" s="372"/>
      <c r="Y192" s="372"/>
      <c r="Z192" s="372"/>
      <c r="AA192" s="372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  <c r="AO192" s="89"/>
      <c r="AP192" s="89"/>
      <c r="AQ192" s="89"/>
      <c r="AR192" s="89"/>
      <c r="AS192" s="89"/>
    </row>
    <row r="193" spans="1:45" x14ac:dyDescent="0.25">
      <c r="A193" s="32">
        <v>44083</v>
      </c>
      <c r="B193" s="33" t="str">
        <f t="shared" ca="1" si="0"/>
        <v/>
      </c>
      <c r="C193" s="51">
        <f t="shared" si="17"/>
        <v>190</v>
      </c>
      <c r="D193" s="35">
        <f>DANE!D193</f>
        <v>421</v>
      </c>
      <c r="E193" s="52">
        <f t="shared" si="8"/>
        <v>71947</v>
      </c>
      <c r="F193" s="37">
        <f>DANE!E193</f>
        <v>11</v>
      </c>
      <c r="G193" s="53">
        <f t="shared" si="9"/>
        <v>2146</v>
      </c>
      <c r="H193" s="39">
        <f t="shared" si="4"/>
        <v>1225</v>
      </c>
      <c r="I193" s="40">
        <f>DANE!F193</f>
        <v>57135</v>
      </c>
      <c r="J193" s="54">
        <f t="shared" si="5"/>
        <v>-815</v>
      </c>
      <c r="K193" s="42">
        <f t="shared" si="10"/>
        <v>12666</v>
      </c>
      <c r="L193" s="79">
        <f t="shared" ca="1" si="11"/>
        <v>490</v>
      </c>
      <c r="M193" s="44">
        <f t="shared" si="6"/>
        <v>3.6200468952952884</v>
      </c>
      <c r="N193" s="45">
        <f t="shared" si="7"/>
        <v>2.9827511918495557</v>
      </c>
      <c r="O193" s="46">
        <f t="shared" si="12"/>
        <v>3708.3633030746482</v>
      </c>
      <c r="P193" s="46">
        <f t="shared" si="13"/>
        <v>-3.3086147202468497E-2</v>
      </c>
      <c r="Q193" s="80">
        <f t="shared" si="14"/>
        <v>0.76839696958272052</v>
      </c>
      <c r="R193" s="80">
        <f t="shared" ca="1" si="15"/>
        <v>0.78048875164125586</v>
      </c>
      <c r="S193" s="81">
        <f t="shared" ca="1" si="16"/>
        <v>-2.0000000000000018E-2</v>
      </c>
      <c r="T193" s="89"/>
      <c r="U193" s="380"/>
      <c r="V193" s="372"/>
      <c r="W193" s="372"/>
      <c r="X193" s="372"/>
      <c r="Y193" s="372"/>
      <c r="Z193" s="372"/>
      <c r="AA193" s="372"/>
      <c r="AB193" s="89"/>
      <c r="AC193" s="89"/>
      <c r="AD193" s="89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</row>
    <row r="194" spans="1:45" x14ac:dyDescent="0.25">
      <c r="A194" s="32">
        <v>44084</v>
      </c>
      <c r="B194" s="33" t="str">
        <f t="shared" ca="1" si="0"/>
        <v/>
      </c>
      <c r="C194" s="51">
        <f t="shared" si="17"/>
        <v>191</v>
      </c>
      <c r="D194" s="35">
        <f>DANE!D194</f>
        <v>506</v>
      </c>
      <c r="E194" s="52">
        <f t="shared" si="8"/>
        <v>72453</v>
      </c>
      <c r="F194" s="37">
        <f>DANE!E194</f>
        <v>12</v>
      </c>
      <c r="G194" s="53">
        <f t="shared" si="9"/>
        <v>2158</v>
      </c>
      <c r="H194" s="39">
        <f t="shared" si="4"/>
        <v>934</v>
      </c>
      <c r="I194" s="40">
        <f>DANE!F194</f>
        <v>58069</v>
      </c>
      <c r="J194" s="54">
        <f t="shared" si="5"/>
        <v>-440</v>
      </c>
      <c r="K194" s="42">
        <f t="shared" si="10"/>
        <v>12226</v>
      </c>
      <c r="L194" s="79">
        <f t="shared" ca="1" si="11"/>
        <v>474.85714285714283</v>
      </c>
      <c r="M194" s="44">
        <f t="shared" si="6"/>
        <v>3.5831105650289734</v>
      </c>
      <c r="N194" s="45">
        <f t="shared" si="7"/>
        <v>2.9784826025147337</v>
      </c>
      <c r="O194" s="46">
        <f t="shared" si="12"/>
        <v>3684.5971169211275</v>
      </c>
      <c r="P194" s="46">
        <f t="shared" si="13"/>
        <v>-6.4088073932281374E-3</v>
      </c>
      <c r="Q194" s="80">
        <f t="shared" si="14"/>
        <v>0.95513834824740307</v>
      </c>
      <c r="R194" s="80">
        <f t="shared" ca="1" si="15"/>
        <v>0.78518804007846088</v>
      </c>
      <c r="S194" s="81">
        <f t="shared" ca="1" si="16"/>
        <v>1.0000000000000009E-2</v>
      </c>
      <c r="T194" s="89"/>
      <c r="U194" s="380"/>
      <c r="V194" s="372"/>
      <c r="W194" s="372"/>
      <c r="X194" s="372"/>
      <c r="Y194" s="372"/>
      <c r="Z194" s="372"/>
      <c r="AA194" s="372"/>
      <c r="AB194" s="89"/>
      <c r="AC194" s="93"/>
      <c r="AD194" s="93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</row>
    <row r="195" spans="1:45" x14ac:dyDescent="0.25">
      <c r="A195" s="32">
        <v>44085</v>
      </c>
      <c r="B195" s="33" t="str">
        <f t="shared" ca="1" si="0"/>
        <v/>
      </c>
      <c r="C195" s="51">
        <f t="shared" si="17"/>
        <v>192</v>
      </c>
      <c r="D195" s="35">
        <f>DANE!D195</f>
        <v>594</v>
      </c>
      <c r="E195" s="52">
        <f t="shared" si="8"/>
        <v>73047</v>
      </c>
      <c r="F195" s="37">
        <f>DANE!E195</f>
        <v>10</v>
      </c>
      <c r="G195" s="53">
        <f t="shared" si="9"/>
        <v>2168</v>
      </c>
      <c r="H195" s="39">
        <f t="shared" si="4"/>
        <v>779</v>
      </c>
      <c r="I195" s="40">
        <f>DANE!F195</f>
        <v>58848</v>
      </c>
      <c r="J195" s="54">
        <f t="shared" si="5"/>
        <v>-195</v>
      </c>
      <c r="K195" s="42">
        <f t="shared" si="10"/>
        <v>12031</v>
      </c>
      <c r="L195" s="79">
        <f t="shared" ca="1" si="11"/>
        <v>461</v>
      </c>
      <c r="M195" s="44">
        <f t="shared" si="6"/>
        <v>3.5531663825881736</v>
      </c>
      <c r="N195" s="45">
        <f t="shared" si="7"/>
        <v>2.9679521404027542</v>
      </c>
      <c r="O195" s="46">
        <f t="shared" si="12"/>
        <v>3752.2261002181094</v>
      </c>
      <c r="P195" s="46">
        <f t="shared" si="13"/>
        <v>1.8354512352626796E-2</v>
      </c>
      <c r="Q195" s="80">
        <f t="shared" si="14"/>
        <v>1.1284815864683875</v>
      </c>
      <c r="R195" s="80">
        <f t="shared" ca="1" si="15"/>
        <v>0.79597287125477101</v>
      </c>
      <c r="S195" s="81">
        <f t="shared" ca="1" si="16"/>
        <v>1.0000000000000009E-2</v>
      </c>
      <c r="T195" s="89"/>
      <c r="U195" s="380"/>
      <c r="V195" s="372"/>
      <c r="W195" s="372"/>
      <c r="X195" s="372"/>
      <c r="Y195" s="372"/>
      <c r="Z195" s="372"/>
      <c r="AA195" s="372"/>
      <c r="AB195" s="89"/>
      <c r="AC195" s="126"/>
      <c r="AD195" s="126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</row>
    <row r="196" spans="1:45" x14ac:dyDescent="0.25">
      <c r="A196" s="61">
        <v>44086</v>
      </c>
      <c r="B196" s="62">
        <f t="shared" ca="1" si="0"/>
        <v>44086</v>
      </c>
      <c r="C196" s="12">
        <f t="shared" si="17"/>
        <v>193</v>
      </c>
      <c r="D196" s="63">
        <f>DANE!D196</f>
        <v>603</v>
      </c>
      <c r="E196" s="64">
        <f t="shared" si="8"/>
        <v>73650</v>
      </c>
      <c r="F196" s="65">
        <f>DANE!E196</f>
        <v>13</v>
      </c>
      <c r="G196" s="66">
        <f t="shared" si="9"/>
        <v>2181</v>
      </c>
      <c r="H196" s="67">
        <f t="shared" si="4"/>
        <v>877</v>
      </c>
      <c r="I196" s="68">
        <f>DANE!F196</f>
        <v>59725</v>
      </c>
      <c r="J196" s="54">
        <f t="shared" si="5"/>
        <v>-287</v>
      </c>
      <c r="K196" s="69">
        <f t="shared" si="10"/>
        <v>11744</v>
      </c>
      <c r="L196" s="84">
        <f t="shared" ca="1" si="11"/>
        <v>466.14285714285717</v>
      </c>
      <c r="M196" s="44">
        <f t="shared" si="6"/>
        <v>3.5230833844861564</v>
      </c>
      <c r="N196" s="45">
        <f t="shared" si="7"/>
        <v>2.961303462321792</v>
      </c>
      <c r="O196" s="71">
        <f t="shared" si="12"/>
        <v>3819.1938001869512</v>
      </c>
      <c r="P196" s="71">
        <f t="shared" si="13"/>
        <v>1.7847458596631231E-2</v>
      </c>
      <c r="Q196" s="85">
        <f t="shared" si="14"/>
        <v>1.1249322101764185</v>
      </c>
      <c r="R196" s="85">
        <f t="shared" ca="1" si="15"/>
        <v>0.83417207989856057</v>
      </c>
      <c r="S196" s="86">
        <f t="shared" ca="1" si="16"/>
        <v>2.9999999999999916E-2</v>
      </c>
      <c r="T196" s="89"/>
      <c r="U196" s="380"/>
      <c r="V196" s="372"/>
      <c r="W196" s="372"/>
      <c r="X196" s="372"/>
      <c r="Y196" s="372"/>
      <c r="Z196" s="372"/>
      <c r="AA196" s="372"/>
      <c r="AB196" s="89"/>
      <c r="AC196" s="134"/>
      <c r="AD196" s="134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</row>
    <row r="197" spans="1:45" x14ac:dyDescent="0.25">
      <c r="A197" s="61">
        <v>44087</v>
      </c>
      <c r="B197" s="62">
        <f t="shared" ca="1" si="0"/>
        <v>44087</v>
      </c>
      <c r="C197" s="12">
        <f t="shared" si="17"/>
        <v>194</v>
      </c>
      <c r="D197" s="63">
        <f>DANE!D197</f>
        <v>502</v>
      </c>
      <c r="E197" s="64">
        <f t="shared" si="8"/>
        <v>74152</v>
      </c>
      <c r="F197" s="65">
        <f>DANE!E197</f>
        <v>6</v>
      </c>
      <c r="G197" s="66">
        <f t="shared" si="9"/>
        <v>2187</v>
      </c>
      <c r="H197" s="67">
        <f t="shared" si="4"/>
        <v>934</v>
      </c>
      <c r="I197" s="68">
        <f>DANE!F197</f>
        <v>60659</v>
      </c>
      <c r="J197" s="54">
        <f t="shared" si="5"/>
        <v>-438</v>
      </c>
      <c r="K197" s="69">
        <f t="shared" si="10"/>
        <v>11306</v>
      </c>
      <c r="L197" s="84">
        <f t="shared" ca="1" si="11"/>
        <v>475.42857142857144</v>
      </c>
      <c r="M197" s="44">
        <f t="shared" si="6"/>
        <v>3.4799350794004389</v>
      </c>
      <c r="N197" s="45">
        <f t="shared" si="7"/>
        <v>2.9493472866544397</v>
      </c>
      <c r="O197" s="71">
        <f t="shared" si="12"/>
        <v>3775.5946858745297</v>
      </c>
      <c r="P197" s="71">
        <f t="shared" si="13"/>
        <v>-1.14157899791017E-2</v>
      </c>
      <c r="Q197" s="85">
        <f t="shared" si="14"/>
        <v>0.92008947014628806</v>
      </c>
      <c r="R197" s="85">
        <f t="shared" ca="1" si="15"/>
        <v>0.86923421032128712</v>
      </c>
      <c r="S197" s="86">
        <f t="shared" ca="1" si="16"/>
        <v>4.0000000000000036E-2</v>
      </c>
      <c r="T197" s="89"/>
      <c r="U197" s="380"/>
      <c r="V197" s="372"/>
      <c r="W197" s="372"/>
      <c r="X197" s="372"/>
      <c r="Y197" s="372"/>
      <c r="Z197" s="372"/>
      <c r="AA197" s="372"/>
      <c r="AB197" s="89"/>
      <c r="AC197" s="92"/>
      <c r="AD197" s="92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</row>
    <row r="198" spans="1:45" x14ac:dyDescent="0.25">
      <c r="A198" s="32">
        <v>44088</v>
      </c>
      <c r="B198" s="33">
        <f t="shared" ca="1" si="0"/>
        <v>44088</v>
      </c>
      <c r="C198" s="51">
        <f t="shared" si="17"/>
        <v>195</v>
      </c>
      <c r="D198" s="35">
        <f>DANE!D198</f>
        <v>377</v>
      </c>
      <c r="E198" s="52">
        <f t="shared" si="8"/>
        <v>74529</v>
      </c>
      <c r="F198" s="37">
        <f>DANE!E198</f>
        <v>15</v>
      </c>
      <c r="G198" s="53">
        <f t="shared" si="9"/>
        <v>2202</v>
      </c>
      <c r="H198" s="39">
        <f t="shared" si="4"/>
        <v>438</v>
      </c>
      <c r="I198" s="40">
        <f>DANE!F198</f>
        <v>61097</v>
      </c>
      <c r="J198" s="54">
        <f t="shared" si="5"/>
        <v>-76</v>
      </c>
      <c r="K198" s="42">
        <f t="shared" si="10"/>
        <v>11230</v>
      </c>
      <c r="L198" s="79">
        <f t="shared" ca="1" si="11"/>
        <v>486.14285714285717</v>
      </c>
      <c r="M198" s="44">
        <f t="shared" si="6"/>
        <v>3.4787279419896047</v>
      </c>
      <c r="N198" s="45">
        <f t="shared" si="7"/>
        <v>2.954554602906251</v>
      </c>
      <c r="O198" s="46">
        <f t="shared" si="12"/>
        <v>3613.2240164638829</v>
      </c>
      <c r="P198" s="46">
        <f t="shared" si="13"/>
        <v>-4.3005323113234899E-2</v>
      </c>
      <c r="Q198" s="80">
        <f t="shared" si="14"/>
        <v>0.69896273820735577</v>
      </c>
      <c r="R198" s="80">
        <f t="shared" ca="1" si="15"/>
        <v>0.89923413863385615</v>
      </c>
      <c r="S198" s="81">
        <f t="shared" ca="1" si="16"/>
        <v>3.0000000000000027E-2</v>
      </c>
      <c r="T198" s="89"/>
      <c r="U198" s="380"/>
      <c r="V198" s="372"/>
      <c r="W198" s="372"/>
      <c r="X198" s="372"/>
      <c r="Y198" s="372"/>
      <c r="Z198" s="372"/>
      <c r="AA198" s="372"/>
      <c r="AB198" s="89"/>
      <c r="AC198" s="137"/>
      <c r="AD198" s="137"/>
      <c r="AE198" s="146"/>
      <c r="AF198" s="146"/>
      <c r="AG198" s="146"/>
      <c r="AH198" s="146"/>
      <c r="AI198" s="146"/>
      <c r="AJ198" s="146"/>
      <c r="AK198" s="146"/>
      <c r="AL198" s="146"/>
      <c r="AM198" s="146"/>
      <c r="AN198" s="146"/>
      <c r="AO198" s="146"/>
      <c r="AP198" s="146"/>
      <c r="AQ198" s="146"/>
      <c r="AR198" s="146"/>
      <c r="AS198" s="146"/>
    </row>
    <row r="199" spans="1:45" x14ac:dyDescent="0.25">
      <c r="A199" s="32">
        <v>44089</v>
      </c>
      <c r="B199" s="33">
        <f t="shared" ca="1" si="0"/>
        <v>44089</v>
      </c>
      <c r="C199" s="51">
        <f t="shared" si="17"/>
        <v>196</v>
      </c>
      <c r="D199" s="35">
        <f>DANE!D199</f>
        <v>605</v>
      </c>
      <c r="E199" s="52">
        <f t="shared" si="8"/>
        <v>75134</v>
      </c>
      <c r="F199" s="37">
        <f>DANE!E199</f>
        <v>24</v>
      </c>
      <c r="G199" s="53">
        <f t="shared" si="9"/>
        <v>2226</v>
      </c>
      <c r="H199" s="39">
        <f t="shared" si="4"/>
        <v>451</v>
      </c>
      <c r="I199" s="40">
        <f>DANE!F199</f>
        <v>61548</v>
      </c>
      <c r="J199" s="54">
        <f t="shared" si="5"/>
        <v>130</v>
      </c>
      <c r="K199" s="42">
        <f t="shared" si="10"/>
        <v>11360</v>
      </c>
      <c r="L199" s="79">
        <f t="shared" ca="1" si="11"/>
        <v>515.42857142857144</v>
      </c>
      <c r="M199" s="44">
        <f t="shared" si="6"/>
        <v>3.4904506538714837</v>
      </c>
      <c r="N199" s="45">
        <f t="shared" si="7"/>
        <v>2.9627066308196026</v>
      </c>
      <c r="O199" s="46">
        <f t="shared" si="12"/>
        <v>3702.0491569690425</v>
      </c>
      <c r="P199" s="46">
        <f t="shared" si="13"/>
        <v>2.4583347199183418E-2</v>
      </c>
      <c r="Q199" s="80">
        <f t="shared" si="14"/>
        <v>1.172083430394284</v>
      </c>
      <c r="R199" s="80">
        <f t="shared" ca="1" si="15"/>
        <v>0.96686925046040806</v>
      </c>
      <c r="S199" s="81">
        <f t="shared" ca="1" si="16"/>
        <v>6.9999999999999951E-2</v>
      </c>
      <c r="T199" s="89"/>
      <c r="U199" s="380"/>
      <c r="V199" s="372"/>
      <c r="W199" s="372"/>
      <c r="X199" s="372"/>
      <c r="Y199" s="372"/>
      <c r="Z199" s="372"/>
      <c r="AA199" s="372"/>
      <c r="AB199" s="89"/>
      <c r="AC199" s="93"/>
      <c r="AD199" s="93"/>
      <c r="AE199" s="146"/>
      <c r="AF199" s="146"/>
      <c r="AG199" s="146"/>
      <c r="AH199" s="146"/>
      <c r="AI199" s="146"/>
      <c r="AJ199" s="146"/>
      <c r="AK199" s="146"/>
      <c r="AL199" s="146"/>
      <c r="AM199" s="146"/>
      <c r="AN199" s="146"/>
      <c r="AO199" s="146"/>
      <c r="AP199" s="146"/>
      <c r="AQ199" s="146"/>
      <c r="AR199" s="146"/>
      <c r="AS199" s="146"/>
    </row>
    <row r="200" spans="1:45" x14ac:dyDescent="0.25">
      <c r="A200" s="32">
        <v>44090</v>
      </c>
      <c r="B200" s="33">
        <f t="shared" ca="1" si="0"/>
        <v>44090</v>
      </c>
      <c r="C200" s="51">
        <f t="shared" si="17"/>
        <v>197</v>
      </c>
      <c r="D200" s="35">
        <f>DANE!D200</f>
        <v>600</v>
      </c>
      <c r="E200" s="52">
        <f t="shared" si="8"/>
        <v>75734</v>
      </c>
      <c r="F200" s="37">
        <f>DANE!E200</f>
        <v>10</v>
      </c>
      <c r="G200" s="53">
        <f t="shared" si="9"/>
        <v>2236</v>
      </c>
      <c r="H200" s="39">
        <f t="shared" si="4"/>
        <v>562</v>
      </c>
      <c r="I200" s="40">
        <f>DANE!F200</f>
        <v>62110</v>
      </c>
      <c r="J200" s="54">
        <f t="shared" si="5"/>
        <v>28</v>
      </c>
      <c r="K200" s="42">
        <f t="shared" si="10"/>
        <v>11388</v>
      </c>
      <c r="L200" s="79">
        <f t="shared" ca="1" si="11"/>
        <v>541</v>
      </c>
      <c r="M200" s="44">
        <f t="shared" si="6"/>
        <v>3.4749634786933146</v>
      </c>
      <c r="N200" s="45">
        <f t="shared" si="7"/>
        <v>2.9524387989542347</v>
      </c>
      <c r="O200" s="46">
        <f t="shared" si="12"/>
        <v>3773.1849916877509</v>
      </c>
      <c r="P200" s="46">
        <f t="shared" si="13"/>
        <v>1.9215259361101779E-2</v>
      </c>
      <c r="Q200" s="80">
        <f t="shared" si="14"/>
        <v>1.1345068155277125</v>
      </c>
      <c r="R200" s="80">
        <f t="shared" ca="1" si="15"/>
        <v>1.0191706570239787</v>
      </c>
      <c r="S200" s="81">
        <f t="shared" ca="1" si="16"/>
        <v>5.0000000000000044E-2</v>
      </c>
      <c r="T200" s="89"/>
      <c r="U200" s="380"/>
      <c r="V200" s="372"/>
      <c r="W200" s="372"/>
      <c r="X200" s="372"/>
      <c r="Y200" s="372"/>
      <c r="Z200" s="372"/>
      <c r="AA200" s="372"/>
      <c r="AB200" s="89"/>
      <c r="AC200" s="137"/>
      <c r="AD200" s="137"/>
      <c r="AE200" s="146"/>
      <c r="AF200" s="146"/>
      <c r="AG200" s="146"/>
      <c r="AH200" s="146"/>
      <c r="AI200" s="146"/>
      <c r="AJ200" s="146"/>
      <c r="AK200" s="146"/>
      <c r="AL200" s="146"/>
      <c r="AM200" s="146"/>
      <c r="AN200" s="146"/>
      <c r="AO200" s="146"/>
      <c r="AP200" s="146"/>
      <c r="AQ200" s="146"/>
      <c r="AR200" s="146"/>
      <c r="AS200" s="146"/>
    </row>
    <row r="201" spans="1:45" x14ac:dyDescent="0.25">
      <c r="A201" s="32">
        <v>44091</v>
      </c>
      <c r="B201" s="33">
        <f t="shared" ca="1" si="0"/>
        <v>44091</v>
      </c>
      <c r="C201" s="51">
        <f t="shared" si="17"/>
        <v>198</v>
      </c>
      <c r="D201" s="35">
        <f>DANE!D201</f>
        <v>837</v>
      </c>
      <c r="E201" s="52">
        <f t="shared" si="8"/>
        <v>76571</v>
      </c>
      <c r="F201" s="37">
        <f>DANE!E201</f>
        <v>16</v>
      </c>
      <c r="G201" s="53">
        <f t="shared" si="9"/>
        <v>2252</v>
      </c>
      <c r="H201" s="39">
        <f t="shared" si="4"/>
        <v>615</v>
      </c>
      <c r="I201" s="40">
        <f>DANE!F201</f>
        <v>62725</v>
      </c>
      <c r="J201" s="54">
        <f t="shared" si="5"/>
        <v>206</v>
      </c>
      <c r="K201" s="42">
        <f t="shared" si="10"/>
        <v>11594</v>
      </c>
      <c r="L201" s="79">
        <f t="shared" ca="1" si="11"/>
        <v>588.28571428571433</v>
      </c>
      <c r="M201" s="44">
        <f t="shared" si="6"/>
        <v>3.4658417593917847</v>
      </c>
      <c r="N201" s="45">
        <f t="shared" si="7"/>
        <v>2.9410612372830447</v>
      </c>
      <c r="O201" s="46">
        <f t="shared" si="12"/>
        <v>4071.1585643037865</v>
      </c>
      <c r="P201" s="46">
        <f t="shared" si="13"/>
        <v>7.8971365907705385E-2</v>
      </c>
      <c r="Q201" s="80">
        <f t="shared" si="14"/>
        <v>1.5527995613539378</v>
      </c>
      <c r="R201" s="80">
        <f t="shared" ca="1" si="15"/>
        <v>1.1045508303249121</v>
      </c>
      <c r="S201" s="81">
        <f t="shared" ca="1" si="16"/>
        <v>8.0000000000000071E-2</v>
      </c>
      <c r="T201" s="89"/>
      <c r="U201" s="380"/>
      <c r="V201" s="372"/>
      <c r="W201" s="372"/>
      <c r="X201" s="372"/>
      <c r="Y201" s="372"/>
      <c r="Z201" s="372"/>
      <c r="AA201" s="372"/>
      <c r="AB201" s="89"/>
      <c r="AC201" s="145"/>
      <c r="AD201" s="145"/>
      <c r="AE201" s="146"/>
      <c r="AF201" s="146"/>
      <c r="AG201" s="146"/>
      <c r="AH201" s="146"/>
      <c r="AI201" s="146"/>
      <c r="AJ201" s="146"/>
      <c r="AK201" s="146"/>
      <c r="AL201" s="146"/>
      <c r="AM201" s="146"/>
      <c r="AN201" s="146"/>
      <c r="AO201" s="146"/>
      <c r="AP201" s="146"/>
      <c r="AQ201" s="146"/>
      <c r="AR201" s="146"/>
      <c r="AS201" s="146"/>
    </row>
    <row r="202" spans="1:45" x14ac:dyDescent="0.25">
      <c r="A202" s="32">
        <v>44092</v>
      </c>
      <c r="B202" s="33">
        <f t="shared" ca="1" si="0"/>
        <v>44092</v>
      </c>
      <c r="C202" s="51">
        <f t="shared" si="17"/>
        <v>199</v>
      </c>
      <c r="D202" s="35">
        <f>DANE!D202</f>
        <v>757</v>
      </c>
      <c r="E202" s="52">
        <f t="shared" si="8"/>
        <v>77328</v>
      </c>
      <c r="F202" s="37">
        <f>DANE!E202</f>
        <v>17</v>
      </c>
      <c r="G202" s="53">
        <f t="shared" si="9"/>
        <v>2269</v>
      </c>
      <c r="H202" s="39">
        <f t="shared" si="4"/>
        <v>587</v>
      </c>
      <c r="I202" s="40">
        <f>DANE!F202</f>
        <v>63312</v>
      </c>
      <c r="J202" s="54">
        <f t="shared" si="5"/>
        <v>153</v>
      </c>
      <c r="K202" s="42">
        <f t="shared" si="10"/>
        <v>11747</v>
      </c>
      <c r="L202" s="79">
        <f t="shared" ca="1" si="11"/>
        <v>611.57142857142856</v>
      </c>
      <c r="M202" s="44">
        <f t="shared" si="6"/>
        <v>3.4598435522483642</v>
      </c>
      <c r="N202" s="45">
        <f t="shared" si="7"/>
        <v>2.9342540864887234</v>
      </c>
      <c r="O202" s="46">
        <f t="shared" si="12"/>
        <v>4246.5644836889605</v>
      </c>
      <c r="P202" s="46">
        <f t="shared" si="13"/>
        <v>4.3085012930507254E-2</v>
      </c>
      <c r="Q202" s="80">
        <f t="shared" si="14"/>
        <v>1.3015950905135507</v>
      </c>
      <c r="R202" s="80">
        <f t="shared" ca="1" si="15"/>
        <v>1.1292813309027925</v>
      </c>
      <c r="S202" s="81">
        <f t="shared" ca="1" si="16"/>
        <v>2.9999999999999805E-2</v>
      </c>
      <c r="T202" s="89"/>
      <c r="U202" s="380"/>
      <c r="V202" s="372"/>
      <c r="W202" s="372"/>
      <c r="X202" s="372"/>
      <c r="Y202" s="372"/>
      <c r="Z202" s="372"/>
      <c r="AA202" s="372"/>
      <c r="AB202" s="89"/>
      <c r="AC202" s="137"/>
      <c r="AD202" s="137"/>
      <c r="AE202" s="146"/>
      <c r="AF202" s="146"/>
      <c r="AG202" s="146"/>
      <c r="AH202" s="146"/>
      <c r="AI202" s="146"/>
      <c r="AJ202" s="146"/>
      <c r="AK202" s="146"/>
      <c r="AL202" s="146"/>
      <c r="AM202" s="146"/>
      <c r="AN202" s="146"/>
      <c r="AO202" s="146"/>
      <c r="AP202" s="146"/>
      <c r="AQ202" s="146"/>
      <c r="AR202" s="146"/>
      <c r="AS202" s="146"/>
    </row>
    <row r="203" spans="1:45" x14ac:dyDescent="0.25">
      <c r="A203" s="61">
        <v>44093</v>
      </c>
      <c r="B203" s="62">
        <f t="shared" ca="1" si="0"/>
        <v>44093</v>
      </c>
      <c r="C203" s="12">
        <f t="shared" si="17"/>
        <v>200</v>
      </c>
      <c r="D203" s="63">
        <f>DANE!D203</f>
        <v>1002</v>
      </c>
      <c r="E203" s="64">
        <f t="shared" si="8"/>
        <v>78330</v>
      </c>
      <c r="F203" s="65">
        <f>DANE!E203</f>
        <v>12</v>
      </c>
      <c r="G203" s="66">
        <f t="shared" si="9"/>
        <v>2281</v>
      </c>
      <c r="H203" s="67">
        <f t="shared" si="4"/>
        <v>549</v>
      </c>
      <c r="I203" s="68">
        <f>DANE!F203</f>
        <v>63861</v>
      </c>
      <c r="J203" s="54">
        <f t="shared" si="5"/>
        <v>441</v>
      </c>
      <c r="K203" s="69">
        <f t="shared" si="10"/>
        <v>12188</v>
      </c>
      <c r="L203" s="84">
        <f t="shared" ca="1" si="11"/>
        <v>668.57142857142856</v>
      </c>
      <c r="M203" s="44">
        <f t="shared" si="6"/>
        <v>3.4486408031205591</v>
      </c>
      <c r="N203" s="45">
        <f t="shared" si="7"/>
        <v>2.9120388101621346</v>
      </c>
      <c r="O203" s="71">
        <f t="shared" si="12"/>
        <v>4641.912414590538</v>
      </c>
      <c r="P203" s="71">
        <f t="shared" si="13"/>
        <v>9.3098299206360216E-2</v>
      </c>
      <c r="Q203" s="85">
        <f t="shared" si="14"/>
        <v>1.6516880944445216</v>
      </c>
      <c r="R203" s="85">
        <f t="shared" ca="1" si="15"/>
        <v>1.2045321715125217</v>
      </c>
      <c r="S203" s="86">
        <f t="shared" ca="1" si="16"/>
        <v>7.0000000000000062E-2</v>
      </c>
      <c r="T203" s="146"/>
      <c r="U203" s="401"/>
      <c r="V203" s="372"/>
      <c r="W203" s="372"/>
      <c r="X203" s="372"/>
      <c r="Y203" s="372"/>
      <c r="Z203" s="372"/>
      <c r="AA203" s="372"/>
      <c r="AB203" s="372"/>
      <c r="AC203" s="372"/>
      <c r="AD203" s="372"/>
      <c r="AE203" s="146"/>
      <c r="AF203" s="146"/>
      <c r="AG203" s="146"/>
      <c r="AH203" s="146"/>
      <c r="AI203" s="146"/>
      <c r="AJ203" s="146"/>
      <c r="AK203" s="146"/>
      <c r="AL203" s="146"/>
      <c r="AM203" s="146"/>
      <c r="AN203" s="146"/>
      <c r="AO203" s="146"/>
      <c r="AP203" s="146"/>
      <c r="AQ203" s="146"/>
      <c r="AR203" s="146"/>
      <c r="AS203" s="146"/>
    </row>
    <row r="204" spans="1:45" x14ac:dyDescent="0.25">
      <c r="A204" s="61">
        <v>44094</v>
      </c>
      <c r="B204" s="62">
        <f t="shared" ca="1" si="0"/>
        <v>44094</v>
      </c>
      <c r="C204" s="12">
        <f t="shared" si="17"/>
        <v>201</v>
      </c>
      <c r="D204" s="63">
        <f>DANE!D204</f>
        <v>910</v>
      </c>
      <c r="E204" s="64">
        <f t="shared" si="8"/>
        <v>79240</v>
      </c>
      <c r="F204" s="65">
        <f>DANE!E204</f>
        <v>11</v>
      </c>
      <c r="G204" s="66">
        <f t="shared" si="9"/>
        <v>2292</v>
      </c>
      <c r="H204" s="67">
        <f t="shared" si="4"/>
        <v>441</v>
      </c>
      <c r="I204" s="68">
        <f>DANE!F204</f>
        <v>64302</v>
      </c>
      <c r="J204" s="54">
        <f t="shared" si="5"/>
        <v>458</v>
      </c>
      <c r="K204" s="69">
        <f t="shared" si="10"/>
        <v>12646</v>
      </c>
      <c r="L204" s="84">
        <f t="shared" ca="1" si="11"/>
        <v>726.85714285714289</v>
      </c>
      <c r="M204" s="44">
        <f t="shared" si="6"/>
        <v>3.4417515091449675</v>
      </c>
      <c r="N204" s="45">
        <f t="shared" si="7"/>
        <v>2.8924785461887934</v>
      </c>
      <c r="O204" s="71">
        <f t="shared" si="12"/>
        <v>4888.7820696490326</v>
      </c>
      <c r="P204" s="71">
        <f t="shared" si="13"/>
        <v>5.3182747326840911E-2</v>
      </c>
      <c r="Q204" s="85">
        <f t="shared" si="14"/>
        <v>1.3722792312878864</v>
      </c>
      <c r="R204" s="85">
        <f t="shared" ca="1" si="15"/>
        <v>1.2691307088184642</v>
      </c>
      <c r="S204" s="86">
        <f t="shared" ca="1" si="16"/>
        <v>7.0000000000000062E-2</v>
      </c>
      <c r="T204" s="146"/>
      <c r="U204" s="381"/>
      <c r="V204" s="372"/>
      <c r="W204" s="372"/>
      <c r="X204" s="372"/>
      <c r="Y204" s="372"/>
      <c r="Z204" s="372"/>
      <c r="AA204" s="372"/>
      <c r="AB204" s="372"/>
      <c r="AC204" s="372"/>
      <c r="AD204" s="372"/>
      <c r="AE204" s="146"/>
      <c r="AF204" s="146"/>
      <c r="AG204" s="146"/>
      <c r="AH204" s="146"/>
      <c r="AI204" s="146"/>
      <c r="AJ204" s="146"/>
      <c r="AK204" s="146"/>
      <c r="AL204" s="146"/>
      <c r="AM204" s="146"/>
      <c r="AN204" s="146"/>
      <c r="AO204" s="146"/>
      <c r="AP204" s="146"/>
      <c r="AQ204" s="146"/>
      <c r="AR204" s="146"/>
      <c r="AS204" s="146"/>
    </row>
    <row r="205" spans="1:45" x14ac:dyDescent="0.25">
      <c r="A205" s="32">
        <v>44095</v>
      </c>
      <c r="B205" s="33">
        <f t="shared" ca="1" si="0"/>
        <v>44095</v>
      </c>
      <c r="C205" s="51">
        <f t="shared" si="17"/>
        <v>202</v>
      </c>
      <c r="D205" s="35">
        <f>DANE!D205</f>
        <v>748</v>
      </c>
      <c r="E205" s="52">
        <f t="shared" si="8"/>
        <v>79988</v>
      </c>
      <c r="F205" s="37">
        <f>DANE!E205</f>
        <v>5</v>
      </c>
      <c r="G205" s="53">
        <f t="shared" si="9"/>
        <v>2297</v>
      </c>
      <c r="H205" s="39">
        <f t="shared" si="4"/>
        <v>302</v>
      </c>
      <c r="I205" s="40">
        <f>DANE!F205</f>
        <v>64604</v>
      </c>
      <c r="J205" s="54">
        <f t="shared" si="5"/>
        <v>441</v>
      </c>
      <c r="K205" s="42">
        <f t="shared" si="10"/>
        <v>13087</v>
      </c>
      <c r="L205" s="79">
        <f t="shared" ca="1" si="11"/>
        <v>779.85714285714289</v>
      </c>
      <c r="M205" s="44">
        <f t="shared" si="6"/>
        <v>3.4334314883185604</v>
      </c>
      <c r="N205" s="45">
        <f t="shared" si="7"/>
        <v>2.8716807521128169</v>
      </c>
      <c r="O205" s="46">
        <f t="shared" si="12"/>
        <v>4938.3846311277421</v>
      </c>
      <c r="P205" s="46">
        <f t="shared" si="13"/>
        <v>1.014620017256578E-2</v>
      </c>
      <c r="Q205" s="80">
        <f t="shared" si="14"/>
        <v>1.0710234012079605</v>
      </c>
      <c r="R205" s="80">
        <f t="shared" ca="1" si="15"/>
        <v>1.3222822321042647</v>
      </c>
      <c r="S205" s="81">
        <f t="shared" ca="1" si="16"/>
        <v>5.0000000000000044E-2</v>
      </c>
      <c r="T205" s="146"/>
      <c r="U205" s="381"/>
      <c r="V205" s="372"/>
      <c r="W205" s="372"/>
      <c r="X205" s="372"/>
      <c r="Y205" s="372"/>
      <c r="Z205" s="372"/>
      <c r="AA205" s="372"/>
      <c r="AB205" s="372"/>
      <c r="AC205" s="372"/>
      <c r="AD205" s="372"/>
      <c r="AE205" s="146"/>
      <c r="AF205" s="146"/>
      <c r="AG205" s="146"/>
      <c r="AH205" s="146"/>
      <c r="AI205" s="146"/>
      <c r="AJ205" s="146"/>
      <c r="AK205" s="146"/>
      <c r="AL205" s="146"/>
      <c r="AM205" s="146"/>
      <c r="AN205" s="146"/>
      <c r="AO205" s="146"/>
      <c r="AP205" s="146"/>
      <c r="AQ205" s="146"/>
      <c r="AR205" s="146"/>
      <c r="AS205" s="146"/>
    </row>
    <row r="206" spans="1:45" x14ac:dyDescent="0.25">
      <c r="A206" s="32">
        <v>44096</v>
      </c>
      <c r="B206" s="33">
        <f t="shared" ca="1" si="0"/>
        <v>44096</v>
      </c>
      <c r="C206" s="51">
        <f t="shared" si="17"/>
        <v>203</v>
      </c>
      <c r="D206" s="35">
        <f>DANE!D206</f>
        <v>711</v>
      </c>
      <c r="E206" s="52">
        <f t="shared" si="8"/>
        <v>80699</v>
      </c>
      <c r="F206" s="37">
        <f>DANE!E206</f>
        <v>18</v>
      </c>
      <c r="G206" s="53">
        <f t="shared" si="9"/>
        <v>2315</v>
      </c>
      <c r="H206" s="39">
        <f t="shared" si="4"/>
        <v>368</v>
      </c>
      <c r="I206" s="40">
        <f>DANE!F206</f>
        <v>64972</v>
      </c>
      <c r="J206" s="54">
        <f t="shared" si="5"/>
        <v>325</v>
      </c>
      <c r="K206" s="42">
        <f t="shared" si="10"/>
        <v>13412</v>
      </c>
      <c r="L206" s="79">
        <f t="shared" ca="1" si="11"/>
        <v>795</v>
      </c>
      <c r="M206" s="44">
        <f t="shared" si="6"/>
        <v>3.4404862752091785</v>
      </c>
      <c r="N206" s="45">
        <f t="shared" si="7"/>
        <v>2.8686848659834694</v>
      </c>
      <c r="O206" s="46">
        <f t="shared" si="12"/>
        <v>4943.9011123952077</v>
      </c>
      <c r="P206" s="46">
        <f t="shared" si="13"/>
        <v>1.1170618895689219E-3</v>
      </c>
      <c r="Q206" s="80">
        <f t="shared" si="14"/>
        <v>1.0078194332269825</v>
      </c>
      <c r="R206" s="80">
        <f t="shared" ca="1" si="15"/>
        <v>1.2988159467946503</v>
      </c>
      <c r="S206" s="81">
        <f t="shared" ca="1" si="16"/>
        <v>-2.0000000000000018E-2</v>
      </c>
      <c r="T206" s="146"/>
      <c r="U206" s="381"/>
      <c r="V206" s="372"/>
      <c r="W206" s="372"/>
      <c r="X206" s="372"/>
      <c r="Y206" s="372"/>
      <c r="Z206" s="372"/>
      <c r="AA206" s="372"/>
      <c r="AB206" s="372"/>
      <c r="AC206" s="372"/>
      <c r="AD206" s="372"/>
      <c r="AE206" s="146"/>
      <c r="AF206" s="146"/>
      <c r="AG206" s="146"/>
      <c r="AH206" s="146"/>
      <c r="AI206" s="146"/>
      <c r="AJ206" s="146"/>
      <c r="AK206" s="146"/>
      <c r="AL206" s="146"/>
      <c r="AM206" s="146"/>
      <c r="AN206" s="146"/>
      <c r="AO206" s="146"/>
      <c r="AP206" s="146"/>
      <c r="AQ206" s="146"/>
      <c r="AR206" s="146"/>
      <c r="AS206" s="146"/>
    </row>
    <row r="207" spans="1:45" x14ac:dyDescent="0.25">
      <c r="A207" s="32">
        <v>44097</v>
      </c>
      <c r="B207" s="33">
        <f t="shared" ca="1" si="0"/>
        <v>44097</v>
      </c>
      <c r="C207" s="51">
        <f t="shared" si="17"/>
        <v>204</v>
      </c>
      <c r="D207" s="35">
        <f>DANE!D207</f>
        <v>974</v>
      </c>
      <c r="E207" s="52">
        <f t="shared" si="8"/>
        <v>81673</v>
      </c>
      <c r="F207" s="37">
        <f>DANE!E207</f>
        <v>28</v>
      </c>
      <c r="G207" s="53">
        <f t="shared" si="9"/>
        <v>2343</v>
      </c>
      <c r="H207" s="39">
        <f t="shared" si="4"/>
        <v>589</v>
      </c>
      <c r="I207" s="40">
        <f>DANE!F207</f>
        <v>65561</v>
      </c>
      <c r="J207" s="54">
        <f t="shared" si="5"/>
        <v>357</v>
      </c>
      <c r="K207" s="42">
        <f t="shared" si="10"/>
        <v>13769</v>
      </c>
      <c r="L207" s="79">
        <f t="shared" ca="1" si="11"/>
        <v>848.42857142857144</v>
      </c>
      <c r="M207" s="44">
        <f t="shared" si="6"/>
        <v>3.4504594721960413</v>
      </c>
      <c r="N207" s="45">
        <f t="shared" si="7"/>
        <v>2.8687571167950239</v>
      </c>
      <c r="O207" s="46">
        <f t="shared" si="12"/>
        <v>5211.6295249101786</v>
      </c>
      <c r="P207" s="46">
        <f t="shared" si="13"/>
        <v>5.4153270146065385E-2</v>
      </c>
      <c r="Q207" s="80">
        <f t="shared" si="14"/>
        <v>1.3790728910224577</v>
      </c>
      <c r="R207" s="80">
        <f t="shared" ca="1" si="15"/>
        <v>1.333753957579614</v>
      </c>
      <c r="S207" s="81">
        <f t="shared" ca="1" si="16"/>
        <v>3.0000000000000027E-2</v>
      </c>
      <c r="T207" s="146"/>
      <c r="U207" s="381"/>
      <c r="V207" s="372"/>
      <c r="W207" s="372"/>
      <c r="X207" s="372"/>
      <c r="Y207" s="372"/>
      <c r="Z207" s="372"/>
      <c r="AA207" s="372"/>
      <c r="AB207" s="372"/>
      <c r="AC207" s="372"/>
      <c r="AD207" s="372"/>
      <c r="AE207" s="146"/>
      <c r="AF207" s="146"/>
      <c r="AG207" s="146"/>
      <c r="AH207" s="146"/>
      <c r="AI207" s="146"/>
      <c r="AJ207" s="146"/>
      <c r="AK207" s="146"/>
      <c r="AL207" s="146"/>
      <c r="AM207" s="146"/>
      <c r="AN207" s="146"/>
      <c r="AO207" s="146"/>
      <c r="AP207" s="146"/>
      <c r="AQ207" s="146"/>
      <c r="AR207" s="146"/>
      <c r="AS207" s="146"/>
    </row>
    <row r="208" spans="1:45" x14ac:dyDescent="0.25">
      <c r="A208" s="32">
        <v>44098</v>
      </c>
      <c r="B208" s="33">
        <f t="shared" ca="1" si="0"/>
        <v>44098</v>
      </c>
      <c r="C208" s="51">
        <f t="shared" si="17"/>
        <v>205</v>
      </c>
      <c r="D208" s="35">
        <f>DANE!D208</f>
        <v>1136</v>
      </c>
      <c r="E208" s="52">
        <f t="shared" si="8"/>
        <v>82809</v>
      </c>
      <c r="F208" s="37">
        <f>DANE!E208</f>
        <v>25</v>
      </c>
      <c r="G208" s="53">
        <f t="shared" si="9"/>
        <v>2368</v>
      </c>
      <c r="H208" s="39">
        <f t="shared" si="4"/>
        <v>597</v>
      </c>
      <c r="I208" s="40">
        <f>DANE!F208</f>
        <v>66158</v>
      </c>
      <c r="J208" s="54">
        <f t="shared" si="5"/>
        <v>514</v>
      </c>
      <c r="K208" s="42">
        <f t="shared" si="10"/>
        <v>14283</v>
      </c>
      <c r="L208" s="79">
        <f t="shared" ca="1" si="11"/>
        <v>891.14285714285711</v>
      </c>
      <c r="M208" s="44">
        <f t="shared" si="6"/>
        <v>3.4556226833610602</v>
      </c>
      <c r="N208" s="45">
        <f t="shared" si="7"/>
        <v>2.8595925563646465</v>
      </c>
      <c r="O208" s="46">
        <f t="shared" si="12"/>
        <v>5603.1110213515822</v>
      </c>
      <c r="P208" s="46">
        <f t="shared" si="13"/>
        <v>7.5116908170511351E-2</v>
      </c>
      <c r="Q208" s="80">
        <f t="shared" si="14"/>
        <v>1.5258183571935795</v>
      </c>
      <c r="R208" s="80">
        <f t="shared" ca="1" si="15"/>
        <v>1.3298994998424196</v>
      </c>
      <c r="S208" s="81">
        <f t="shared" ca="1" si="16"/>
        <v>0</v>
      </c>
      <c r="T208" s="146"/>
      <c r="U208" s="381"/>
      <c r="V208" s="372"/>
      <c r="W208" s="372"/>
      <c r="X208" s="372"/>
      <c r="Y208" s="372"/>
      <c r="Z208" s="372"/>
      <c r="AA208" s="372"/>
      <c r="AB208" s="372"/>
      <c r="AC208" s="372"/>
      <c r="AD208" s="372"/>
      <c r="AE208" s="146"/>
      <c r="AF208" s="146"/>
      <c r="AG208" s="146"/>
      <c r="AH208" s="146"/>
      <c r="AI208" s="146"/>
      <c r="AJ208" s="146"/>
      <c r="AK208" s="146"/>
      <c r="AL208" s="146"/>
      <c r="AM208" s="146"/>
      <c r="AN208" s="146"/>
      <c r="AO208" s="146"/>
      <c r="AP208" s="146"/>
      <c r="AQ208" s="146"/>
      <c r="AR208" s="146"/>
      <c r="AS208" s="146"/>
    </row>
    <row r="209" spans="1:45" x14ac:dyDescent="0.25">
      <c r="A209" s="32">
        <v>44099</v>
      </c>
      <c r="B209" s="33">
        <f t="shared" ca="1" si="0"/>
        <v>44099</v>
      </c>
      <c r="C209" s="51">
        <f t="shared" si="17"/>
        <v>206</v>
      </c>
      <c r="D209" s="35">
        <f>DANE!D209</f>
        <v>1587</v>
      </c>
      <c r="E209" s="52">
        <f t="shared" si="8"/>
        <v>84396</v>
      </c>
      <c r="F209" s="37">
        <f>DANE!E209</f>
        <v>23</v>
      </c>
      <c r="G209" s="53">
        <f t="shared" si="9"/>
        <v>2391</v>
      </c>
      <c r="H209" s="39">
        <f t="shared" si="4"/>
        <v>582</v>
      </c>
      <c r="I209" s="40">
        <f>DANE!F209</f>
        <v>66740</v>
      </c>
      <c r="J209" s="54">
        <f t="shared" si="5"/>
        <v>982</v>
      </c>
      <c r="K209" s="42">
        <f t="shared" si="10"/>
        <v>15265</v>
      </c>
      <c r="L209" s="79">
        <f t="shared" ca="1" si="11"/>
        <v>1009.7142857142857</v>
      </c>
      <c r="M209" s="44">
        <f t="shared" si="6"/>
        <v>3.4586509670046719</v>
      </c>
      <c r="N209" s="45">
        <f t="shared" si="7"/>
        <v>2.8330726574719183</v>
      </c>
      <c r="O209" s="46">
        <f t="shared" si="12"/>
        <v>6389.6665897299281</v>
      </c>
      <c r="P209" s="46">
        <f t="shared" si="13"/>
        <v>0.14037836576520538</v>
      </c>
      <c r="Q209" s="80">
        <f t="shared" si="14"/>
        <v>1.9826485603564377</v>
      </c>
      <c r="R209" s="80">
        <f t="shared" ca="1" si="15"/>
        <v>1.427192852677118</v>
      </c>
      <c r="S209" s="81">
        <f t="shared" ca="1" si="16"/>
        <v>9.9999999999999867E-2</v>
      </c>
      <c r="T209" s="146"/>
      <c r="U209" s="381"/>
      <c r="V209" s="372"/>
      <c r="W209" s="372"/>
      <c r="X209" s="372"/>
      <c r="Y209" s="372"/>
      <c r="Z209" s="372"/>
      <c r="AA209" s="372"/>
      <c r="AB209" s="372"/>
      <c r="AC209" s="372"/>
      <c r="AD209" s="372"/>
      <c r="AE209" s="146"/>
      <c r="AF209" s="146"/>
      <c r="AG209" s="146"/>
      <c r="AH209" s="146"/>
      <c r="AI209" s="146"/>
      <c r="AJ209" s="146"/>
      <c r="AK209" s="146"/>
      <c r="AL209" s="146"/>
      <c r="AM209" s="146"/>
      <c r="AN209" s="146"/>
      <c r="AO209" s="146"/>
      <c r="AP209" s="146"/>
      <c r="AQ209" s="146"/>
      <c r="AR209" s="146"/>
      <c r="AS209" s="146"/>
    </row>
    <row r="210" spans="1:45" x14ac:dyDescent="0.25">
      <c r="A210" s="61">
        <v>44100</v>
      </c>
      <c r="B210" s="62">
        <f t="shared" ca="1" si="0"/>
        <v>44100</v>
      </c>
      <c r="C210" s="12">
        <f t="shared" si="17"/>
        <v>207</v>
      </c>
      <c r="D210" s="63">
        <f>DANE!D210</f>
        <v>1584</v>
      </c>
      <c r="E210" s="64">
        <f t="shared" si="8"/>
        <v>85980</v>
      </c>
      <c r="F210" s="65">
        <f>DANE!E210</f>
        <v>32</v>
      </c>
      <c r="G210" s="66">
        <f t="shared" si="9"/>
        <v>2423</v>
      </c>
      <c r="H210" s="67">
        <f t="shared" si="4"/>
        <v>586</v>
      </c>
      <c r="I210" s="68">
        <f>DANE!F210</f>
        <v>67326</v>
      </c>
      <c r="J210" s="54">
        <f t="shared" si="5"/>
        <v>966</v>
      </c>
      <c r="K210" s="69">
        <f t="shared" si="10"/>
        <v>16231</v>
      </c>
      <c r="L210" s="84">
        <f t="shared" ca="1" si="11"/>
        <v>1092.8571428571429</v>
      </c>
      <c r="M210" s="44">
        <f t="shared" si="6"/>
        <v>3.4738849302498958</v>
      </c>
      <c r="N210" s="45">
        <f t="shared" si="7"/>
        <v>2.8180972319143986</v>
      </c>
      <c r="O210" s="71">
        <f t="shared" si="12"/>
        <v>7060.8570769113676</v>
      </c>
      <c r="P210" s="71">
        <f t="shared" si="13"/>
        <v>0.10504311574883106</v>
      </c>
      <c r="Q210" s="85">
        <f t="shared" si="14"/>
        <v>1.7353018102418174</v>
      </c>
      <c r="R210" s="85">
        <f t="shared" ca="1" si="15"/>
        <v>1.439137669219589</v>
      </c>
      <c r="S210" s="86">
        <f t="shared" ca="1" si="16"/>
        <v>1.0000000000000009E-2</v>
      </c>
      <c r="T210" s="146"/>
      <c r="U210" s="381"/>
      <c r="V210" s="372"/>
      <c r="W210" s="372"/>
      <c r="X210" s="372"/>
      <c r="Y210" s="372"/>
      <c r="Z210" s="372"/>
      <c r="AA210" s="372"/>
      <c r="AB210" s="372"/>
      <c r="AC210" s="372"/>
      <c r="AD210" s="372"/>
      <c r="AE210" s="146"/>
      <c r="AF210" s="146"/>
      <c r="AG210" s="146"/>
      <c r="AH210" s="146"/>
      <c r="AI210" s="146"/>
      <c r="AJ210" s="146"/>
      <c r="AK210" s="146"/>
      <c r="AL210" s="146"/>
      <c r="AM210" s="146"/>
      <c r="AN210" s="146"/>
      <c r="AO210" s="146"/>
      <c r="AP210" s="146"/>
      <c r="AQ210" s="146"/>
      <c r="AR210" s="146"/>
      <c r="AS210" s="146"/>
    </row>
    <row r="211" spans="1:45" x14ac:dyDescent="0.25">
      <c r="A211" s="61">
        <v>44101</v>
      </c>
      <c r="B211" s="62">
        <f t="shared" ca="1" si="0"/>
        <v>44101</v>
      </c>
      <c r="C211" s="12">
        <f t="shared" si="17"/>
        <v>208</v>
      </c>
      <c r="D211" s="63">
        <f>DANE!D211</f>
        <v>1350</v>
      </c>
      <c r="E211" s="64">
        <f t="shared" si="8"/>
        <v>87330</v>
      </c>
      <c r="F211" s="65">
        <f>DANE!E211</f>
        <v>8</v>
      </c>
      <c r="G211" s="66">
        <f t="shared" si="9"/>
        <v>2431</v>
      </c>
      <c r="H211" s="67">
        <f t="shared" si="4"/>
        <v>578</v>
      </c>
      <c r="I211" s="68">
        <f>DANE!F211</f>
        <v>67904</v>
      </c>
      <c r="J211" s="54">
        <f t="shared" si="5"/>
        <v>764</v>
      </c>
      <c r="K211" s="69">
        <f t="shared" si="10"/>
        <v>16995</v>
      </c>
      <c r="L211" s="84">
        <f t="shared" ca="1" si="11"/>
        <v>1155.7142857142858</v>
      </c>
      <c r="M211" s="44">
        <f t="shared" si="6"/>
        <v>3.4563162010378901</v>
      </c>
      <c r="N211" s="45">
        <f t="shared" si="7"/>
        <v>2.7836940341234397</v>
      </c>
      <c r="O211" s="71">
        <f t="shared" si="12"/>
        <v>7402.1632087811722</v>
      </c>
      <c r="P211" s="71">
        <f t="shared" si="13"/>
        <v>4.8337776583222143E-2</v>
      </c>
      <c r="Q211" s="85">
        <f t="shared" si="14"/>
        <v>1.3383644360825551</v>
      </c>
      <c r="R211" s="85">
        <f t="shared" ca="1" si="15"/>
        <v>1.4342926984759701</v>
      </c>
      <c r="S211" s="86">
        <f t="shared" ca="1" si="16"/>
        <v>-1.0000000000000009E-2</v>
      </c>
      <c r="T211" s="146"/>
      <c r="U211" s="381"/>
      <c r="V211" s="372"/>
      <c r="W211" s="372"/>
      <c r="X211" s="372"/>
      <c r="Y211" s="372"/>
      <c r="Z211" s="372"/>
      <c r="AA211" s="372"/>
      <c r="AB211" s="372"/>
      <c r="AC211" s="372"/>
      <c r="AD211" s="372"/>
      <c r="AE211" s="146"/>
      <c r="AF211" s="146"/>
      <c r="AG211" s="146"/>
      <c r="AH211" s="146"/>
      <c r="AI211" s="146"/>
      <c r="AJ211" s="146"/>
      <c r="AK211" s="146"/>
      <c r="AL211" s="146"/>
      <c r="AM211" s="146"/>
      <c r="AN211" s="146"/>
      <c r="AO211" s="146"/>
      <c r="AP211" s="146"/>
      <c r="AQ211" s="146"/>
      <c r="AR211" s="146"/>
      <c r="AS211" s="146"/>
    </row>
    <row r="212" spans="1:45" x14ac:dyDescent="0.25">
      <c r="A212" s="32">
        <v>44102</v>
      </c>
      <c r="B212" s="33">
        <f t="shared" ca="1" si="0"/>
        <v>44102</v>
      </c>
      <c r="C212" s="51">
        <f t="shared" si="17"/>
        <v>209</v>
      </c>
      <c r="D212" s="35">
        <f>DANE!D212</f>
        <v>1306</v>
      </c>
      <c r="E212" s="52">
        <f t="shared" si="8"/>
        <v>88636</v>
      </c>
      <c r="F212" s="37">
        <f>DANE!E212</f>
        <v>15</v>
      </c>
      <c r="G212" s="53">
        <f t="shared" si="9"/>
        <v>2446</v>
      </c>
      <c r="H212" s="39">
        <f t="shared" si="4"/>
        <v>516</v>
      </c>
      <c r="I212" s="40">
        <f>DANE!F212</f>
        <v>68420</v>
      </c>
      <c r="J212" s="54">
        <f t="shared" si="5"/>
        <v>775</v>
      </c>
      <c r="K212" s="42">
        <f t="shared" si="10"/>
        <v>17770</v>
      </c>
      <c r="L212" s="79">
        <f t="shared" ca="1" si="11"/>
        <v>1235.4285714285713</v>
      </c>
      <c r="M212" s="44">
        <f t="shared" si="6"/>
        <v>3.4515846809471395</v>
      </c>
      <c r="N212" s="45">
        <f t="shared" si="7"/>
        <v>2.7596010650300102</v>
      </c>
      <c r="O212" s="46">
        <f t="shared" si="12"/>
        <v>7650.7113218124341</v>
      </c>
      <c r="P212" s="46">
        <f t="shared" si="13"/>
        <v>3.3577767204107274E-2</v>
      </c>
      <c r="Q212" s="80">
        <f t="shared" si="14"/>
        <v>1.235044370428751</v>
      </c>
      <c r="R212" s="80">
        <f t="shared" ca="1" si="15"/>
        <v>1.4577242655075116</v>
      </c>
      <c r="S212" s="81">
        <f t="shared" ca="1" si="16"/>
        <v>3.0000000000000027E-2</v>
      </c>
      <c r="T212" s="146"/>
      <c r="U212" s="381"/>
      <c r="V212" s="372"/>
      <c r="W212" s="372"/>
      <c r="X212" s="372"/>
      <c r="Y212" s="372"/>
      <c r="Z212" s="372"/>
      <c r="AA212" s="372"/>
      <c r="AB212" s="372"/>
      <c r="AC212" s="372"/>
      <c r="AD212" s="372"/>
      <c r="AE212" s="146"/>
      <c r="AF212" s="146"/>
      <c r="AG212" s="146"/>
      <c r="AH212" s="146"/>
      <c r="AI212" s="146"/>
      <c r="AJ212" s="146"/>
      <c r="AK212" s="146"/>
      <c r="AL212" s="146"/>
      <c r="AM212" s="146"/>
      <c r="AN212" s="146"/>
      <c r="AO212" s="146"/>
      <c r="AP212" s="146"/>
      <c r="AQ212" s="146"/>
      <c r="AR212" s="146"/>
      <c r="AS212" s="146"/>
    </row>
    <row r="213" spans="1:45" x14ac:dyDescent="0.25">
      <c r="A213" s="32">
        <v>44103</v>
      </c>
      <c r="B213" s="33">
        <f t="shared" ref="B213:B298" ca="1" si="26">IF(ISBLANK(D213),"",IF(DATEDIF(A213,TODAY(),"D")&lt;$X$2,A213,""))</f>
        <v>44103</v>
      </c>
      <c r="C213" s="51">
        <f t="shared" si="17"/>
        <v>210</v>
      </c>
      <c r="D213" s="35">
        <f>DANE!D213</f>
        <v>1326</v>
      </c>
      <c r="E213" s="52">
        <f t="shared" si="8"/>
        <v>89962</v>
      </c>
      <c r="F213" s="37">
        <f>DANE!E213</f>
        <v>36</v>
      </c>
      <c r="G213" s="155">
        <f>IF(ISBLANK(F213), "",G212+F213)</f>
        <v>2482</v>
      </c>
      <c r="H213" s="39">
        <f t="shared" si="4"/>
        <v>535</v>
      </c>
      <c r="I213" s="40">
        <f>DANE!F213</f>
        <v>68955</v>
      </c>
      <c r="J213" s="54">
        <f t="shared" si="5"/>
        <v>755</v>
      </c>
      <c r="K213" s="42">
        <f t="shared" si="10"/>
        <v>18525</v>
      </c>
      <c r="L213" s="79">
        <f t="shared" ca="1" si="11"/>
        <v>1323.2857142857142</v>
      </c>
      <c r="M213" s="44">
        <f t="shared" si="6"/>
        <v>3.4743900219774067</v>
      </c>
      <c r="N213" s="45">
        <f t="shared" si="7"/>
        <v>2.7589426646806428</v>
      </c>
      <c r="O213" s="46">
        <f t="shared" si="12"/>
        <v>7883.7525615535151</v>
      </c>
      <c r="P213" s="46">
        <f t="shared" si="13"/>
        <v>3.04600748791387E-2</v>
      </c>
      <c r="Q213" s="80">
        <f t="shared" si="14"/>
        <v>1.2132205241539709</v>
      </c>
      <c r="R213" s="80">
        <f t="shared" ca="1" si="15"/>
        <v>1.4870672784970813</v>
      </c>
      <c r="S213" s="81">
        <f t="shared" ca="1" si="16"/>
        <v>3.0000000000000027E-2</v>
      </c>
      <c r="T213" s="146"/>
      <c r="U213" s="381"/>
      <c r="V213" s="372"/>
      <c r="W213" s="372"/>
      <c r="X213" s="372"/>
      <c r="Y213" s="372"/>
      <c r="Z213" s="372"/>
      <c r="AA213" s="372"/>
      <c r="AB213" s="372"/>
      <c r="AC213" s="372"/>
      <c r="AD213" s="372"/>
      <c r="AE213" s="146"/>
      <c r="AF213" s="146"/>
      <c r="AG213" s="146"/>
      <c r="AH213" s="146"/>
      <c r="AI213" s="146"/>
      <c r="AJ213" s="146"/>
      <c r="AK213" s="146"/>
      <c r="AL213" s="146"/>
      <c r="AM213" s="146"/>
      <c r="AN213" s="146"/>
      <c r="AO213" s="146"/>
      <c r="AP213" s="146"/>
      <c r="AQ213" s="146"/>
      <c r="AR213" s="146"/>
      <c r="AS213" s="146"/>
    </row>
    <row r="214" spans="1:45" x14ac:dyDescent="0.25">
      <c r="A214" s="32">
        <v>44104</v>
      </c>
      <c r="B214" s="33">
        <f t="shared" ca="1" si="26"/>
        <v>44104</v>
      </c>
      <c r="C214" s="51">
        <f t="shared" si="17"/>
        <v>211</v>
      </c>
      <c r="D214" s="35">
        <f>DANE!D214</f>
        <v>1552</v>
      </c>
      <c r="E214" s="52">
        <f t="shared" si="8"/>
        <v>91514</v>
      </c>
      <c r="F214" s="37">
        <f>DANE!E214</f>
        <v>30</v>
      </c>
      <c r="G214" s="53">
        <f t="shared" ref="G214:G282" si="27">IF(ISBLANK(F214),"",G213+F214)</f>
        <v>2512</v>
      </c>
      <c r="H214" s="39">
        <f t="shared" si="4"/>
        <v>740</v>
      </c>
      <c r="I214" s="40">
        <f>DANE!F214</f>
        <v>69695</v>
      </c>
      <c r="J214" s="54">
        <f t="shared" si="5"/>
        <v>782</v>
      </c>
      <c r="K214" s="42">
        <f t="shared" si="10"/>
        <v>19307</v>
      </c>
      <c r="L214" s="79">
        <f t="shared" ca="1" si="11"/>
        <v>1405.8571428571429</v>
      </c>
      <c r="M214" s="44">
        <f t="shared" si="6"/>
        <v>3.4788870885094241</v>
      </c>
      <c r="N214" s="45">
        <f t="shared" si="7"/>
        <v>2.7449352011714052</v>
      </c>
      <c r="O214" s="46">
        <f t="shared" si="12"/>
        <v>8309.5021956173005</v>
      </c>
      <c r="P214" s="46">
        <f t="shared" si="13"/>
        <v>5.4003424224655046E-2</v>
      </c>
      <c r="Q214" s="80">
        <f t="shared" si="14"/>
        <v>1.3780239695725853</v>
      </c>
      <c r="R214" s="80">
        <f t="shared" ca="1" si="15"/>
        <v>1.4869174325756711</v>
      </c>
      <c r="S214" s="81">
        <f t="shared" ca="1" si="16"/>
        <v>0</v>
      </c>
      <c r="T214" s="146"/>
      <c r="U214" s="381"/>
      <c r="V214" s="372"/>
      <c r="W214" s="372"/>
      <c r="X214" s="372"/>
      <c r="Y214" s="372"/>
      <c r="Z214" s="372"/>
      <c r="AA214" s="372"/>
      <c r="AB214" s="372"/>
      <c r="AC214" s="372"/>
      <c r="AD214" s="372"/>
      <c r="AE214" s="146"/>
      <c r="AF214" s="146"/>
      <c r="AG214" s="146"/>
      <c r="AH214" s="146"/>
      <c r="AI214" s="146"/>
      <c r="AJ214" s="146"/>
      <c r="AK214" s="146"/>
      <c r="AL214" s="146"/>
      <c r="AM214" s="146"/>
      <c r="AN214" s="146"/>
      <c r="AO214" s="146"/>
      <c r="AP214" s="146"/>
      <c r="AQ214" s="146"/>
      <c r="AR214" s="146"/>
      <c r="AS214" s="146"/>
    </row>
    <row r="215" spans="1:45" x14ac:dyDescent="0.25">
      <c r="A215" s="32">
        <v>44105</v>
      </c>
      <c r="B215" s="33">
        <f t="shared" ca="1" si="26"/>
        <v>44105</v>
      </c>
      <c r="C215" s="51">
        <f t="shared" si="17"/>
        <v>212</v>
      </c>
      <c r="D215" s="35">
        <f>DANE!D215</f>
        <v>1967</v>
      </c>
      <c r="E215" s="52">
        <f t="shared" si="8"/>
        <v>93481</v>
      </c>
      <c r="F215" s="37">
        <f>DANE!E215</f>
        <v>30</v>
      </c>
      <c r="G215" s="53">
        <f t="shared" si="27"/>
        <v>2542</v>
      </c>
      <c r="H215" s="39">
        <f t="shared" si="4"/>
        <v>706</v>
      </c>
      <c r="I215" s="40">
        <f>DANE!F215</f>
        <v>70401</v>
      </c>
      <c r="J215" s="54">
        <f t="shared" si="5"/>
        <v>1231</v>
      </c>
      <c r="K215" s="42">
        <f t="shared" si="10"/>
        <v>20538</v>
      </c>
      <c r="L215" s="79">
        <f t="shared" ca="1" si="11"/>
        <v>1524.5714285714287</v>
      </c>
      <c r="M215" s="44">
        <f t="shared" si="6"/>
        <v>3.4849128771780711</v>
      </c>
      <c r="N215" s="45">
        <f t="shared" si="7"/>
        <v>2.7192691562991409</v>
      </c>
      <c r="O215" s="46">
        <f t="shared" si="12"/>
        <v>9089.4304533862578</v>
      </c>
      <c r="P215" s="46">
        <f t="shared" si="13"/>
        <v>9.3859805245651975E-2</v>
      </c>
      <c r="Q215" s="80">
        <f t="shared" si="14"/>
        <v>1.6570186367195638</v>
      </c>
      <c r="R215" s="80">
        <f t="shared" ca="1" si="15"/>
        <v>1.5056603296508115</v>
      </c>
      <c r="S215" s="81">
        <f t="shared" ca="1" si="16"/>
        <v>2.0000000000000018E-2</v>
      </c>
      <c r="T215" s="146"/>
      <c r="U215" s="381"/>
      <c r="V215" s="372"/>
      <c r="W215" s="372"/>
      <c r="X215" s="372"/>
      <c r="Y215" s="372"/>
      <c r="Z215" s="372"/>
      <c r="AA215" s="372"/>
      <c r="AB215" s="372"/>
      <c r="AC215" s="372"/>
      <c r="AD215" s="372"/>
      <c r="AE215" s="146"/>
      <c r="AF215" s="146"/>
      <c r="AG215" s="146"/>
      <c r="AH215" s="146"/>
      <c r="AI215" s="146"/>
      <c r="AJ215" s="146"/>
      <c r="AK215" s="146"/>
      <c r="AL215" s="146"/>
      <c r="AM215" s="146"/>
      <c r="AN215" s="146"/>
      <c r="AO215" s="146"/>
      <c r="AP215" s="146"/>
      <c r="AQ215" s="146"/>
      <c r="AR215" s="146"/>
      <c r="AS215" s="146"/>
    </row>
    <row r="216" spans="1:45" x14ac:dyDescent="0.25">
      <c r="A216" s="32">
        <v>44106</v>
      </c>
      <c r="B216" s="33">
        <f t="shared" ca="1" si="26"/>
        <v>44106</v>
      </c>
      <c r="C216" s="51">
        <f t="shared" si="17"/>
        <v>213</v>
      </c>
      <c r="D216" s="35">
        <f>DANE!D216</f>
        <v>2292</v>
      </c>
      <c r="E216" s="52">
        <f t="shared" si="8"/>
        <v>95773</v>
      </c>
      <c r="F216" s="37">
        <f>DANE!E216</f>
        <v>27</v>
      </c>
      <c r="G216" s="53">
        <f t="shared" si="27"/>
        <v>2569</v>
      </c>
      <c r="H216" s="39">
        <f t="shared" si="4"/>
        <v>952</v>
      </c>
      <c r="I216" s="40">
        <f>DANE!F216</f>
        <v>71353</v>
      </c>
      <c r="J216" s="54">
        <f t="shared" si="5"/>
        <v>1313</v>
      </c>
      <c r="K216" s="42">
        <f t="shared" si="10"/>
        <v>21851</v>
      </c>
      <c r="L216" s="79">
        <f t="shared" ca="1" si="11"/>
        <v>1625.2857142857142</v>
      </c>
      <c r="M216" s="44">
        <f t="shared" si="6"/>
        <v>3.475284759611482</v>
      </c>
      <c r="N216" s="45">
        <f t="shared" si="7"/>
        <v>2.6823843880843246</v>
      </c>
      <c r="O216" s="46">
        <f t="shared" si="12"/>
        <v>10082.940388616793</v>
      </c>
      <c r="P216" s="46">
        <f t="shared" si="13"/>
        <v>0.10930387116394119</v>
      </c>
      <c r="Q216" s="156">
        <f t="shared" si="14"/>
        <v>1.7651270981475884</v>
      </c>
      <c r="R216" s="156">
        <f t="shared" ca="1" si="15"/>
        <v>1.4745858350495473</v>
      </c>
      <c r="S216" s="81">
        <f t="shared" ca="1" si="16"/>
        <v>-4.0000000000000036E-2</v>
      </c>
      <c r="T216" s="146"/>
      <c r="U216" s="381"/>
      <c r="V216" s="372"/>
      <c r="W216" s="372"/>
      <c r="X216" s="372"/>
      <c r="Y216" s="372"/>
      <c r="Z216" s="372"/>
      <c r="AA216" s="372"/>
      <c r="AB216" s="372"/>
      <c r="AC216" s="372"/>
      <c r="AD216" s="372"/>
      <c r="AE216" s="146"/>
      <c r="AF216" s="146"/>
      <c r="AG216" s="146"/>
      <c r="AH216" s="146"/>
      <c r="AI216" s="146"/>
      <c r="AJ216" s="146"/>
      <c r="AK216" s="146"/>
      <c r="AL216" s="146"/>
      <c r="AM216" s="146"/>
      <c r="AN216" s="146"/>
      <c r="AO216" s="146"/>
      <c r="AP216" s="146"/>
      <c r="AQ216" s="146"/>
      <c r="AR216" s="146"/>
      <c r="AS216" s="146"/>
    </row>
    <row r="217" spans="1:45" x14ac:dyDescent="0.25">
      <c r="A217" s="61">
        <v>44107</v>
      </c>
      <c r="B217" s="62">
        <f t="shared" ca="1" si="26"/>
        <v>44107</v>
      </c>
      <c r="C217" s="12">
        <f t="shared" si="17"/>
        <v>214</v>
      </c>
      <c r="D217" s="63">
        <f>DANE!D217</f>
        <v>2367</v>
      </c>
      <c r="E217" s="64">
        <f t="shared" si="8"/>
        <v>98140</v>
      </c>
      <c r="F217" s="65">
        <f>DANE!E217</f>
        <v>34</v>
      </c>
      <c r="G217" s="66">
        <f t="shared" si="27"/>
        <v>2603</v>
      </c>
      <c r="H217" s="67">
        <f t="shared" si="4"/>
        <v>856</v>
      </c>
      <c r="I217" s="68">
        <f>DANE!F217</f>
        <v>72209</v>
      </c>
      <c r="J217" s="54">
        <f t="shared" si="5"/>
        <v>1477</v>
      </c>
      <c r="K217" s="69">
        <f t="shared" si="10"/>
        <v>23328</v>
      </c>
      <c r="L217" s="84">
        <f t="shared" ca="1" si="11"/>
        <v>1737.1428571428571</v>
      </c>
      <c r="M217" s="44">
        <f t="shared" si="6"/>
        <v>3.4793883334224458</v>
      </c>
      <c r="N217" s="45">
        <f t="shared" si="7"/>
        <v>2.6523334012635011</v>
      </c>
      <c r="O217" s="71">
        <f t="shared" si="12"/>
        <v>11009.520333100108</v>
      </c>
      <c r="P217" s="71">
        <f t="shared" si="13"/>
        <v>9.1895807053405235E-2</v>
      </c>
      <c r="Q217" s="157">
        <f t="shared" si="14"/>
        <v>1.6432706493738367</v>
      </c>
      <c r="R217" s="157">
        <f t="shared" ca="1" si="15"/>
        <v>1.4614385263541219</v>
      </c>
      <c r="S217" s="86">
        <f t="shared" ca="1" si="16"/>
        <v>-1.0000000000000009E-2</v>
      </c>
      <c r="T217" s="146"/>
      <c r="U217" s="381"/>
      <c r="V217" s="372"/>
      <c r="W217" s="372"/>
      <c r="X217" s="372"/>
      <c r="Y217" s="372"/>
      <c r="Z217" s="372"/>
      <c r="AA217" s="372"/>
      <c r="AB217" s="372"/>
      <c r="AC217" s="372"/>
      <c r="AD217" s="372"/>
      <c r="AE217" s="146"/>
      <c r="AF217" s="146"/>
      <c r="AG217" s="146"/>
      <c r="AH217" s="146"/>
      <c r="AI217" s="146"/>
      <c r="AJ217" s="146"/>
      <c r="AK217" s="146"/>
      <c r="AL217" s="146"/>
      <c r="AM217" s="146"/>
      <c r="AN217" s="146"/>
      <c r="AO217" s="146"/>
      <c r="AP217" s="146"/>
      <c r="AQ217" s="146"/>
      <c r="AR217" s="146"/>
      <c r="AS217" s="146"/>
    </row>
    <row r="218" spans="1:45" x14ac:dyDescent="0.25">
      <c r="A218" s="61">
        <v>44108</v>
      </c>
      <c r="B218" s="62">
        <f t="shared" ca="1" si="26"/>
        <v>44108</v>
      </c>
      <c r="C218" s="12">
        <f t="shared" si="17"/>
        <v>215</v>
      </c>
      <c r="D218" s="63">
        <f>DANE!D218</f>
        <v>1934</v>
      </c>
      <c r="E218" s="64">
        <f t="shared" si="8"/>
        <v>100074</v>
      </c>
      <c r="F218" s="65">
        <f>DANE!E218</f>
        <v>26</v>
      </c>
      <c r="G218" s="66">
        <f t="shared" si="27"/>
        <v>2629</v>
      </c>
      <c r="H218" s="67">
        <f t="shared" si="4"/>
        <v>794</v>
      </c>
      <c r="I218" s="68">
        <f>DANE!F218</f>
        <v>73003</v>
      </c>
      <c r="J218" s="54">
        <f t="shared" si="5"/>
        <v>1114</v>
      </c>
      <c r="K218" s="69">
        <f t="shared" si="10"/>
        <v>24442</v>
      </c>
      <c r="L218" s="84">
        <f t="shared" ca="1" si="11"/>
        <v>1820.5714285714287</v>
      </c>
      <c r="M218" s="44">
        <f t="shared" si="6"/>
        <v>3.4760418870319443</v>
      </c>
      <c r="N218" s="45">
        <f t="shared" si="7"/>
        <v>2.6270559785758536</v>
      </c>
      <c r="O218" s="71">
        <f t="shared" si="12"/>
        <v>11370.731714085809</v>
      </c>
      <c r="P218" s="71">
        <f t="shared" si="13"/>
        <v>3.2809002577498178E-2</v>
      </c>
      <c r="Q218" s="157">
        <f t="shared" si="14"/>
        <v>1.2296630180424872</v>
      </c>
      <c r="R218" s="157">
        <f t="shared" ca="1" si="15"/>
        <v>1.4459097523483975</v>
      </c>
      <c r="S218" s="86">
        <f t="shared" ca="1" si="16"/>
        <v>-1.0000000000000009E-2</v>
      </c>
      <c r="T218" s="146"/>
      <c r="U218" s="381"/>
      <c r="V218" s="372"/>
      <c r="W218" s="372"/>
      <c r="X218" s="372"/>
      <c r="Y218" s="372"/>
      <c r="Z218" s="372"/>
      <c r="AA218" s="372"/>
      <c r="AB218" s="372"/>
      <c r="AC218" s="372"/>
      <c r="AD218" s="372"/>
      <c r="AE218" s="146"/>
      <c r="AF218" s="146"/>
      <c r="AG218" s="146"/>
      <c r="AH218" s="146"/>
      <c r="AI218" s="146"/>
      <c r="AJ218" s="146"/>
      <c r="AK218" s="146"/>
      <c r="AL218" s="146"/>
      <c r="AM218" s="146"/>
      <c r="AN218" s="146"/>
      <c r="AO218" s="146"/>
      <c r="AP218" s="146"/>
      <c r="AQ218" s="146"/>
      <c r="AR218" s="146"/>
      <c r="AS218" s="146"/>
    </row>
    <row r="219" spans="1:45" x14ac:dyDescent="0.25">
      <c r="A219" s="32">
        <v>44109</v>
      </c>
      <c r="B219" s="33">
        <f t="shared" ca="1" si="26"/>
        <v>44109</v>
      </c>
      <c r="C219" s="51">
        <f t="shared" si="17"/>
        <v>216</v>
      </c>
      <c r="D219" s="35">
        <f>DANE!D219</f>
        <v>2006</v>
      </c>
      <c r="E219" s="52">
        <f t="shared" si="8"/>
        <v>102080</v>
      </c>
      <c r="F219" s="37">
        <f>DANE!E219</f>
        <v>29</v>
      </c>
      <c r="G219" s="53">
        <f t="shared" si="27"/>
        <v>2658</v>
      </c>
      <c r="H219" s="39">
        <f t="shared" si="4"/>
        <v>549</v>
      </c>
      <c r="I219" s="40">
        <f>DANE!F219</f>
        <v>73552</v>
      </c>
      <c r="J219" s="54">
        <f t="shared" si="5"/>
        <v>1428</v>
      </c>
      <c r="K219" s="42">
        <f t="shared" si="10"/>
        <v>25870</v>
      </c>
      <c r="L219" s="79">
        <f t="shared" ca="1" si="11"/>
        <v>1920.5714285714287</v>
      </c>
      <c r="M219" s="44">
        <f t="shared" si="6"/>
        <v>3.4877312688623539</v>
      </c>
      <c r="N219" s="45">
        <f t="shared" si="7"/>
        <v>2.6038401253918497</v>
      </c>
      <c r="O219" s="46">
        <f t="shared" si="12"/>
        <v>11752.341469216408</v>
      </c>
      <c r="P219" s="46">
        <f t="shared" si="13"/>
        <v>3.3560703455686118E-2</v>
      </c>
      <c r="Q219" s="156">
        <f t="shared" si="14"/>
        <v>1.2349249241898028</v>
      </c>
      <c r="R219" s="156">
        <f t="shared" ca="1" si="15"/>
        <v>1.4458926885999765</v>
      </c>
      <c r="S219" s="81">
        <f t="shared" ca="1" si="16"/>
        <v>0</v>
      </c>
      <c r="T219" s="146"/>
      <c r="U219" s="381"/>
      <c r="V219" s="372"/>
      <c r="W219" s="372"/>
      <c r="X219" s="372"/>
      <c r="Y219" s="372"/>
      <c r="Z219" s="372"/>
      <c r="AA219" s="372"/>
      <c r="AB219" s="372"/>
      <c r="AC219" s="372"/>
      <c r="AD219" s="372"/>
      <c r="AE219" s="146"/>
      <c r="AF219" s="146"/>
      <c r="AG219" s="146"/>
      <c r="AH219" s="146"/>
      <c r="AI219" s="146"/>
      <c r="AJ219" s="146"/>
      <c r="AK219" s="146"/>
      <c r="AL219" s="146"/>
      <c r="AM219" s="146"/>
      <c r="AN219" s="146"/>
      <c r="AO219" s="146"/>
      <c r="AP219" s="146"/>
      <c r="AQ219" s="146"/>
      <c r="AR219" s="146"/>
      <c r="AS219" s="146"/>
    </row>
    <row r="220" spans="1:45" x14ac:dyDescent="0.25">
      <c r="A220" s="32">
        <v>44110</v>
      </c>
      <c r="B220" s="33">
        <f t="shared" ca="1" si="26"/>
        <v>44110</v>
      </c>
      <c r="C220" s="51">
        <f t="shared" si="17"/>
        <v>217</v>
      </c>
      <c r="D220" s="35">
        <f>DANE!D220</f>
        <v>2236</v>
      </c>
      <c r="E220" s="52">
        <f t="shared" si="8"/>
        <v>104316</v>
      </c>
      <c r="F220" s="37">
        <f>DANE!E220</f>
        <v>58</v>
      </c>
      <c r="G220" s="53">
        <f t="shared" si="27"/>
        <v>2716</v>
      </c>
      <c r="H220" s="39">
        <f t="shared" si="4"/>
        <v>606</v>
      </c>
      <c r="I220" s="40">
        <f>DANE!F220</f>
        <v>74158</v>
      </c>
      <c r="J220" s="54">
        <f t="shared" si="5"/>
        <v>1572</v>
      </c>
      <c r="K220" s="42">
        <f t="shared" si="10"/>
        <v>27442</v>
      </c>
      <c r="L220" s="79">
        <f t="shared" ca="1" si="11"/>
        <v>2050.5714285714284</v>
      </c>
      <c r="M220" s="44">
        <f t="shared" si="6"/>
        <v>3.5330540885084685</v>
      </c>
      <c r="N220" s="45">
        <f t="shared" si="7"/>
        <v>2.6036274397024424</v>
      </c>
      <c r="O220" s="46">
        <f t="shared" si="12"/>
        <v>12309.435545042636</v>
      </c>
      <c r="P220" s="46">
        <f t="shared" si="13"/>
        <v>4.7402815624908161E-2</v>
      </c>
      <c r="Q220" s="156">
        <f t="shared" si="14"/>
        <v>1.3318197093743571</v>
      </c>
      <c r="R220" s="156">
        <f t="shared" ca="1" si="15"/>
        <v>1.462835429345746</v>
      </c>
      <c r="S220" s="81">
        <f t="shared" ca="1" si="16"/>
        <v>1.0000000000000009E-2</v>
      </c>
      <c r="T220" s="146"/>
      <c r="U220" s="381"/>
      <c r="V220" s="372"/>
      <c r="W220" s="372"/>
      <c r="X220" s="372"/>
      <c r="Y220" s="372"/>
      <c r="Z220" s="372"/>
      <c r="AA220" s="372"/>
      <c r="AB220" s="372"/>
      <c r="AC220" s="372"/>
      <c r="AD220" s="372"/>
      <c r="AE220" s="146"/>
      <c r="AF220" s="146"/>
      <c r="AG220" s="146"/>
      <c r="AH220" s="146"/>
      <c r="AI220" s="146"/>
      <c r="AJ220" s="146"/>
      <c r="AK220" s="146"/>
      <c r="AL220" s="146"/>
      <c r="AM220" s="146"/>
      <c r="AN220" s="146"/>
      <c r="AO220" s="146"/>
      <c r="AP220" s="146"/>
      <c r="AQ220" s="146"/>
      <c r="AR220" s="146"/>
      <c r="AS220" s="146"/>
    </row>
    <row r="221" spans="1:45" x14ac:dyDescent="0.25">
      <c r="A221" s="32">
        <v>44111</v>
      </c>
      <c r="B221" s="33">
        <f t="shared" ca="1" si="26"/>
        <v>44111</v>
      </c>
      <c r="C221" s="51">
        <f t="shared" si="17"/>
        <v>218</v>
      </c>
      <c r="D221" s="35">
        <f>DANE!D221</f>
        <v>3003</v>
      </c>
      <c r="E221" s="52">
        <f t="shared" si="8"/>
        <v>107319</v>
      </c>
      <c r="F221" s="37">
        <f>DANE!E221</f>
        <v>75</v>
      </c>
      <c r="G221" s="53">
        <f t="shared" si="27"/>
        <v>2791</v>
      </c>
      <c r="H221" s="39">
        <f t="shared" si="4"/>
        <v>1188</v>
      </c>
      <c r="I221" s="40">
        <f>DANE!F221</f>
        <v>75346</v>
      </c>
      <c r="J221" s="54">
        <f t="shared" si="5"/>
        <v>1740</v>
      </c>
      <c r="K221" s="42">
        <f t="shared" si="10"/>
        <v>29182</v>
      </c>
      <c r="L221" s="79">
        <f t="shared" ca="1" si="11"/>
        <v>2257.8571428571427</v>
      </c>
      <c r="M221" s="44">
        <f t="shared" si="6"/>
        <v>3.5719313513444337</v>
      </c>
      <c r="N221" s="45">
        <f t="shared" si="7"/>
        <v>2.6006578518249333</v>
      </c>
      <c r="O221" s="46">
        <f t="shared" si="12"/>
        <v>13553.944752893689</v>
      </c>
      <c r="P221" s="46">
        <f t="shared" si="13"/>
        <v>0.10110205324177135</v>
      </c>
      <c r="Q221" s="156">
        <f t="shared" si="14"/>
        <v>1.7077143726923993</v>
      </c>
      <c r="R221" s="156">
        <f t="shared" ca="1" si="15"/>
        <v>1.5099340583628622</v>
      </c>
      <c r="S221" s="81">
        <f t="shared" ca="1" si="16"/>
        <v>5.0000000000000044E-2</v>
      </c>
      <c r="T221" s="146"/>
      <c r="U221" s="381"/>
      <c r="V221" s="372"/>
      <c r="W221" s="372"/>
      <c r="X221" s="372"/>
      <c r="Y221" s="372"/>
      <c r="Z221" s="372"/>
      <c r="AA221" s="372"/>
      <c r="AB221" s="372"/>
      <c r="AC221" s="372"/>
      <c r="AD221" s="372"/>
      <c r="AE221" s="146"/>
      <c r="AF221" s="146"/>
      <c r="AG221" s="146"/>
      <c r="AH221" s="146"/>
      <c r="AI221" s="146"/>
      <c r="AJ221" s="146"/>
      <c r="AK221" s="146"/>
      <c r="AL221" s="146"/>
      <c r="AM221" s="146"/>
      <c r="AN221" s="146"/>
      <c r="AO221" s="146"/>
      <c r="AP221" s="146"/>
      <c r="AQ221" s="146"/>
      <c r="AR221" s="146"/>
      <c r="AS221" s="146"/>
    </row>
    <row r="222" spans="1:45" x14ac:dyDescent="0.25">
      <c r="A222" s="32">
        <v>44112</v>
      </c>
      <c r="B222" s="33">
        <f t="shared" ca="1" si="26"/>
        <v>44112</v>
      </c>
      <c r="C222" s="51">
        <f t="shared" si="17"/>
        <v>219</v>
      </c>
      <c r="D222" s="35">
        <f>DANE!D222</f>
        <v>4280</v>
      </c>
      <c r="E222" s="52">
        <f t="shared" si="8"/>
        <v>111599</v>
      </c>
      <c r="F222" s="37">
        <f>DANE!E222</f>
        <v>76</v>
      </c>
      <c r="G222" s="53">
        <f t="shared" si="27"/>
        <v>2867</v>
      </c>
      <c r="H222" s="39">
        <f t="shared" si="4"/>
        <v>1144</v>
      </c>
      <c r="I222" s="40">
        <f>DANE!F222</f>
        <v>76490</v>
      </c>
      <c r="J222" s="54">
        <f t="shared" si="5"/>
        <v>3060</v>
      </c>
      <c r="K222" s="42">
        <f t="shared" si="10"/>
        <v>32242</v>
      </c>
      <c r="L222" s="79">
        <f t="shared" ca="1" si="11"/>
        <v>2588.2857142857142</v>
      </c>
      <c r="M222" s="44">
        <f t="shared" si="6"/>
        <v>3.6127877817961869</v>
      </c>
      <c r="N222" s="45">
        <f t="shared" si="7"/>
        <v>2.5690194356580256</v>
      </c>
      <c r="O222" s="46">
        <f t="shared" si="12"/>
        <v>15897.666931051734</v>
      </c>
      <c r="P222" s="46">
        <f t="shared" si="13"/>
        <v>0.17291808553798876</v>
      </c>
      <c r="Q222" s="156">
        <f t="shared" si="14"/>
        <v>2.2104265987659213</v>
      </c>
      <c r="R222" s="156">
        <f t="shared" ca="1" si="15"/>
        <v>1.5889923386551992</v>
      </c>
      <c r="S222" s="81">
        <f t="shared" ca="1" si="16"/>
        <v>8.0000000000000071E-2</v>
      </c>
      <c r="T222" s="146"/>
      <c r="U222" s="381"/>
      <c r="V222" s="372"/>
      <c r="W222" s="372"/>
      <c r="X222" s="372"/>
      <c r="Y222" s="372"/>
      <c r="Z222" s="372"/>
      <c r="AA222" s="372"/>
      <c r="AB222" s="372"/>
      <c r="AC222" s="372"/>
      <c r="AD222" s="372"/>
      <c r="AE222" s="146"/>
      <c r="AF222" s="146"/>
      <c r="AG222" s="146"/>
      <c r="AH222" s="146"/>
      <c r="AI222" s="146"/>
      <c r="AJ222" s="146"/>
      <c r="AK222" s="146"/>
      <c r="AL222" s="146"/>
      <c r="AM222" s="146"/>
      <c r="AN222" s="146"/>
      <c r="AO222" s="146"/>
      <c r="AP222" s="146"/>
      <c r="AQ222" s="146"/>
      <c r="AR222" s="146"/>
      <c r="AS222" s="146"/>
    </row>
    <row r="223" spans="1:45" x14ac:dyDescent="0.25">
      <c r="A223" s="32">
        <v>44113</v>
      </c>
      <c r="B223" s="33">
        <f t="shared" ca="1" si="26"/>
        <v>44113</v>
      </c>
      <c r="C223" s="51">
        <f t="shared" si="17"/>
        <v>220</v>
      </c>
      <c r="D223" s="35">
        <f>DANE!D223</f>
        <v>4739</v>
      </c>
      <c r="E223" s="52">
        <f t="shared" si="8"/>
        <v>116338</v>
      </c>
      <c r="F223" s="37">
        <f>DANE!E223</f>
        <v>52</v>
      </c>
      <c r="G223" s="53">
        <f t="shared" si="27"/>
        <v>2919</v>
      </c>
      <c r="H223" s="39">
        <f t="shared" si="4"/>
        <v>1385</v>
      </c>
      <c r="I223" s="40">
        <f>DANE!F223</f>
        <v>77875</v>
      </c>
      <c r="J223" s="54">
        <f t="shared" si="5"/>
        <v>3302</v>
      </c>
      <c r="K223" s="42">
        <f t="shared" si="10"/>
        <v>35544</v>
      </c>
      <c r="L223" s="79">
        <f t="shared" ca="1" si="11"/>
        <v>2937.8571428571427</v>
      </c>
      <c r="M223" s="44">
        <f t="shared" si="6"/>
        <v>3.6128920464390921</v>
      </c>
      <c r="N223" s="45">
        <f t="shared" si="7"/>
        <v>2.5090684041327855</v>
      </c>
      <c r="O223" s="46">
        <f t="shared" si="12"/>
        <v>18365.571655187203</v>
      </c>
      <c r="P223" s="46">
        <f t="shared" si="13"/>
        <v>0.15523691211036092</v>
      </c>
      <c r="Q223" s="156">
        <f t="shared" si="14"/>
        <v>2.0866583847725266</v>
      </c>
      <c r="R223" s="156">
        <f t="shared" ca="1" si="15"/>
        <v>1.6349253796016185</v>
      </c>
      <c r="S223" s="81">
        <f t="shared" ca="1" si="16"/>
        <v>3.9999999999999813E-2</v>
      </c>
      <c r="T223" s="146"/>
      <c r="U223" s="381"/>
      <c r="V223" s="372"/>
      <c r="W223" s="372"/>
      <c r="X223" s="372"/>
      <c r="Y223" s="372"/>
      <c r="Z223" s="372"/>
      <c r="AA223" s="372"/>
      <c r="AB223" s="372"/>
      <c r="AC223" s="372"/>
      <c r="AD223" s="372"/>
      <c r="AE223" s="146"/>
      <c r="AF223" s="146"/>
      <c r="AG223" s="146"/>
      <c r="AH223" s="146"/>
      <c r="AI223" s="146"/>
      <c r="AJ223" s="146"/>
      <c r="AK223" s="146"/>
      <c r="AL223" s="146"/>
      <c r="AM223" s="146"/>
      <c r="AN223" s="146"/>
      <c r="AO223" s="146"/>
      <c r="AP223" s="146"/>
      <c r="AQ223" s="146"/>
      <c r="AR223" s="146"/>
      <c r="AS223" s="146"/>
    </row>
    <row r="224" spans="1:45" x14ac:dyDescent="0.25">
      <c r="A224" s="61">
        <v>44114</v>
      </c>
      <c r="B224" s="62">
        <f t="shared" ca="1" si="26"/>
        <v>44114</v>
      </c>
      <c r="C224" s="12">
        <f t="shared" si="17"/>
        <v>221</v>
      </c>
      <c r="D224" s="63">
        <f>DANE!D224</f>
        <v>5300</v>
      </c>
      <c r="E224" s="64">
        <f t="shared" si="8"/>
        <v>121638</v>
      </c>
      <c r="F224" s="65">
        <f>DANE!E224</f>
        <v>53</v>
      </c>
      <c r="G224" s="66">
        <f t="shared" si="27"/>
        <v>2972</v>
      </c>
      <c r="H224" s="67">
        <f t="shared" si="4"/>
        <v>1107</v>
      </c>
      <c r="I224" s="68">
        <f>DANE!F224</f>
        <v>78982</v>
      </c>
      <c r="J224" s="54">
        <f t="shared" si="5"/>
        <v>4140</v>
      </c>
      <c r="K224" s="69">
        <f t="shared" si="10"/>
        <v>39684</v>
      </c>
      <c r="L224" s="84">
        <f t="shared" ca="1" si="11"/>
        <v>3356.8571428571427</v>
      </c>
      <c r="M224" s="44">
        <f t="shared" si="6"/>
        <v>3.6264245796422379</v>
      </c>
      <c r="N224" s="45">
        <f t="shared" si="7"/>
        <v>2.4433154113023892</v>
      </c>
      <c r="O224" s="71">
        <f t="shared" si="12"/>
        <v>21041.918561589031</v>
      </c>
      <c r="P224" s="71">
        <f t="shared" si="13"/>
        <v>0.14572630553789032</v>
      </c>
      <c r="Q224" s="157">
        <f t="shared" si="14"/>
        <v>2.020084138765232</v>
      </c>
      <c r="R224" s="157">
        <f t="shared" ca="1" si="15"/>
        <v>1.6887558780861036</v>
      </c>
      <c r="S224" s="86">
        <f t="shared" ca="1" si="16"/>
        <v>6.0000000000000053E-2</v>
      </c>
      <c r="T224" s="146"/>
      <c r="U224" s="381"/>
      <c r="V224" s="372"/>
      <c r="W224" s="372"/>
      <c r="X224" s="372"/>
      <c r="Y224" s="372"/>
      <c r="Z224" s="372"/>
      <c r="AA224" s="372"/>
      <c r="AB224" s="372"/>
      <c r="AC224" s="372"/>
      <c r="AD224" s="372"/>
      <c r="AE224" s="146"/>
      <c r="AF224" s="146"/>
      <c r="AG224" s="146"/>
      <c r="AH224" s="146"/>
      <c r="AI224" s="146"/>
      <c r="AJ224" s="146"/>
      <c r="AK224" s="146"/>
      <c r="AL224" s="146"/>
      <c r="AM224" s="146"/>
      <c r="AN224" s="146"/>
      <c r="AO224" s="146"/>
      <c r="AP224" s="146"/>
      <c r="AQ224" s="146"/>
      <c r="AR224" s="146"/>
      <c r="AS224" s="146"/>
    </row>
    <row r="225" spans="1:45" x14ac:dyDescent="0.25">
      <c r="A225" s="61">
        <v>44115</v>
      </c>
      <c r="B225" s="62">
        <f t="shared" ca="1" si="26"/>
        <v>44115</v>
      </c>
      <c r="C225" s="12">
        <f t="shared" si="17"/>
        <v>222</v>
      </c>
      <c r="D225" s="63">
        <f>DANE!D225</f>
        <v>4178</v>
      </c>
      <c r="E225" s="64">
        <f t="shared" si="8"/>
        <v>125816</v>
      </c>
      <c r="F225" s="65">
        <f>DANE!E225</f>
        <v>31</v>
      </c>
      <c r="G225" s="66">
        <f t="shared" si="27"/>
        <v>3003</v>
      </c>
      <c r="H225" s="67">
        <f t="shared" si="4"/>
        <v>1320</v>
      </c>
      <c r="I225" s="68">
        <f>DANE!F225</f>
        <v>80302</v>
      </c>
      <c r="J225" s="54">
        <f t="shared" si="5"/>
        <v>2827</v>
      </c>
      <c r="K225" s="69">
        <f t="shared" si="10"/>
        <v>42511</v>
      </c>
      <c r="L225" s="84">
        <f t="shared" ca="1" si="11"/>
        <v>3677.4285714285716</v>
      </c>
      <c r="M225" s="44">
        <f t="shared" si="6"/>
        <v>3.6048256407178436</v>
      </c>
      <c r="N225" s="45">
        <f t="shared" si="7"/>
        <v>2.3868188465695934</v>
      </c>
      <c r="O225" s="71">
        <f t="shared" si="12"/>
        <v>22213.930195647743</v>
      </c>
      <c r="P225" s="71">
        <f t="shared" si="13"/>
        <v>5.569889602168504E-2</v>
      </c>
      <c r="Q225" s="157">
        <f t="shared" si="14"/>
        <v>1.3898922721517952</v>
      </c>
      <c r="R225" s="157">
        <f t="shared" ca="1" si="15"/>
        <v>1.7116457715302906</v>
      </c>
      <c r="S225" s="86">
        <f t="shared" ca="1" si="16"/>
        <v>2.0000000000000018E-2</v>
      </c>
      <c r="T225" s="146"/>
      <c r="U225" s="381"/>
      <c r="V225" s="372"/>
      <c r="W225" s="372"/>
      <c r="X225" s="372"/>
      <c r="Y225" s="372"/>
      <c r="Z225" s="372"/>
      <c r="AA225" s="372"/>
      <c r="AB225" s="372"/>
      <c r="AC225" s="372"/>
      <c r="AD225" s="372"/>
      <c r="AE225" s="146"/>
      <c r="AF225" s="146"/>
      <c r="AG225" s="146"/>
      <c r="AH225" s="146"/>
      <c r="AI225" s="146"/>
      <c r="AJ225" s="146"/>
      <c r="AK225" s="146"/>
      <c r="AL225" s="146"/>
      <c r="AM225" s="146"/>
      <c r="AN225" s="146"/>
      <c r="AO225" s="146"/>
      <c r="AP225" s="146"/>
      <c r="AQ225" s="146"/>
      <c r="AR225" s="146"/>
      <c r="AS225" s="146"/>
    </row>
    <row r="226" spans="1:45" x14ac:dyDescent="0.25">
      <c r="A226" s="32">
        <v>44116</v>
      </c>
      <c r="B226" s="33">
        <f t="shared" ca="1" si="26"/>
        <v>44116</v>
      </c>
      <c r="C226" s="51">
        <f t="shared" si="17"/>
        <v>223</v>
      </c>
      <c r="D226" s="35">
        <f>DANE!D226</f>
        <v>4394</v>
      </c>
      <c r="E226" s="52">
        <f t="shared" si="8"/>
        <v>130210</v>
      </c>
      <c r="F226" s="37">
        <f>DANE!E226</f>
        <v>35</v>
      </c>
      <c r="G226" s="53">
        <f t="shared" si="27"/>
        <v>3038</v>
      </c>
      <c r="H226" s="39">
        <f t="shared" si="4"/>
        <v>899</v>
      </c>
      <c r="I226" s="40">
        <f>DANE!F226</f>
        <v>81201</v>
      </c>
      <c r="J226" s="54">
        <f t="shared" si="5"/>
        <v>3460</v>
      </c>
      <c r="K226" s="42">
        <f t="shared" si="10"/>
        <v>45971</v>
      </c>
      <c r="L226" s="79">
        <f t="shared" ca="1" si="11"/>
        <v>4018.5714285714284</v>
      </c>
      <c r="M226" s="44">
        <f t="shared" si="6"/>
        <v>3.6064055841118723</v>
      </c>
      <c r="N226" s="45">
        <f t="shared" si="7"/>
        <v>2.3331541356270638</v>
      </c>
      <c r="O226" s="46">
        <f t="shared" si="12"/>
        <v>23434.511596269494</v>
      </c>
      <c r="P226" s="46">
        <f t="shared" si="13"/>
        <v>5.4946665892598036E-2</v>
      </c>
      <c r="Q226" s="156">
        <f t="shared" si="14"/>
        <v>1.3846266612481863</v>
      </c>
      <c r="R226" s="156">
        <f t="shared" ca="1" si="15"/>
        <v>1.7330317339672026</v>
      </c>
      <c r="S226" s="81">
        <f t="shared" ca="1" si="16"/>
        <v>2.0000000000000018E-2</v>
      </c>
      <c r="T226" s="146"/>
      <c r="U226" s="381"/>
      <c r="V226" s="372"/>
      <c r="W226" s="372"/>
      <c r="X226" s="372"/>
      <c r="Y226" s="372"/>
      <c r="Z226" s="372"/>
      <c r="AA226" s="372"/>
      <c r="AB226" s="372"/>
      <c r="AC226" s="372"/>
      <c r="AD226" s="372"/>
      <c r="AE226" s="146"/>
      <c r="AF226" s="146"/>
      <c r="AG226" s="146"/>
      <c r="AH226" s="146"/>
      <c r="AI226" s="146"/>
      <c r="AJ226" s="146"/>
      <c r="AK226" s="146"/>
      <c r="AL226" s="146"/>
      <c r="AM226" s="146"/>
      <c r="AN226" s="146"/>
      <c r="AO226" s="146"/>
      <c r="AP226" s="146"/>
      <c r="AQ226" s="146"/>
      <c r="AR226" s="146"/>
      <c r="AS226" s="146"/>
    </row>
    <row r="227" spans="1:45" x14ac:dyDescent="0.25">
      <c r="A227" s="32">
        <v>44117</v>
      </c>
      <c r="B227" s="33">
        <f t="shared" ca="1" si="26"/>
        <v>44117</v>
      </c>
      <c r="C227" s="51">
        <f t="shared" si="17"/>
        <v>224</v>
      </c>
      <c r="D227" s="35">
        <f>DANE!D227</f>
        <v>5068</v>
      </c>
      <c r="E227" s="52">
        <f t="shared" si="8"/>
        <v>135278</v>
      </c>
      <c r="F227" s="37">
        <f>DANE!E227</f>
        <v>63</v>
      </c>
      <c r="G227" s="53">
        <f t="shared" si="27"/>
        <v>3101</v>
      </c>
      <c r="H227" s="39">
        <f t="shared" si="4"/>
        <v>803</v>
      </c>
      <c r="I227" s="40">
        <f>DANE!F227</f>
        <v>82004</v>
      </c>
      <c r="J227" s="54">
        <f t="shared" si="5"/>
        <v>4202</v>
      </c>
      <c r="K227" s="42">
        <f t="shared" si="10"/>
        <v>50173</v>
      </c>
      <c r="L227" s="79">
        <f t="shared" ca="1" si="11"/>
        <v>4423.1428571428569</v>
      </c>
      <c r="M227" s="44">
        <f t="shared" si="6"/>
        <v>3.6437342106809232</v>
      </c>
      <c r="N227" s="45">
        <f t="shared" si="7"/>
        <v>2.2923165629296709</v>
      </c>
      <c r="O227" s="46">
        <f t="shared" si="12"/>
        <v>25154.724225373855</v>
      </c>
      <c r="P227" s="46">
        <f t="shared" si="13"/>
        <v>7.340509837543184E-2</v>
      </c>
      <c r="Q227" s="156">
        <f t="shared" si="14"/>
        <v>1.5138356886280229</v>
      </c>
      <c r="R227" s="156">
        <f t="shared" ca="1" si="15"/>
        <v>1.7590340167177261</v>
      </c>
      <c r="S227" s="81">
        <f t="shared" ca="1" si="16"/>
        <v>3.0000000000000027E-2</v>
      </c>
      <c r="T227" s="146"/>
      <c r="U227" s="381"/>
      <c r="V227" s="372"/>
      <c r="W227" s="372"/>
      <c r="X227" s="372"/>
      <c r="Y227" s="372"/>
      <c r="Z227" s="372"/>
      <c r="AA227" s="372"/>
      <c r="AB227" s="372"/>
      <c r="AC227" s="372"/>
      <c r="AD227" s="372"/>
      <c r="AE227" s="146"/>
      <c r="AF227" s="146"/>
      <c r="AG227" s="146"/>
      <c r="AH227" s="146"/>
      <c r="AI227" s="146"/>
      <c r="AJ227" s="146"/>
      <c r="AK227" s="146"/>
      <c r="AL227" s="146"/>
      <c r="AM227" s="146"/>
      <c r="AN227" s="146"/>
      <c r="AO227" s="146"/>
      <c r="AP227" s="146"/>
      <c r="AQ227" s="146"/>
      <c r="AR227" s="146"/>
      <c r="AS227" s="146"/>
    </row>
    <row r="228" spans="1:45" x14ac:dyDescent="0.25">
      <c r="A228" s="32">
        <v>44118</v>
      </c>
      <c r="B228" s="33">
        <f t="shared" ca="1" si="26"/>
        <v>44118</v>
      </c>
      <c r="C228" s="51">
        <f t="shared" si="17"/>
        <v>225</v>
      </c>
      <c r="D228" s="35">
        <f>DANE!D228</f>
        <v>6526</v>
      </c>
      <c r="E228" s="52">
        <f t="shared" si="8"/>
        <v>141804</v>
      </c>
      <c r="F228" s="37">
        <f>DANE!E228</f>
        <v>116</v>
      </c>
      <c r="G228" s="53">
        <f t="shared" si="27"/>
        <v>3217</v>
      </c>
      <c r="H228" s="39">
        <f t="shared" si="4"/>
        <v>1843</v>
      </c>
      <c r="I228" s="40">
        <f>DANE!F228</f>
        <v>83847</v>
      </c>
      <c r="J228" s="54">
        <f t="shared" si="5"/>
        <v>4567</v>
      </c>
      <c r="K228" s="42">
        <f t="shared" si="10"/>
        <v>54740</v>
      </c>
      <c r="L228" s="79">
        <f t="shared" ca="1" si="11"/>
        <v>4926.4285714285716</v>
      </c>
      <c r="M228" s="44">
        <f t="shared" si="6"/>
        <v>3.6949830010107507</v>
      </c>
      <c r="N228" s="45">
        <f t="shared" si="7"/>
        <v>2.2686242983272686</v>
      </c>
      <c r="O228" s="46">
        <f t="shared" si="12"/>
        <v>28087.192193177591</v>
      </c>
      <c r="P228" s="46">
        <f t="shared" si="13"/>
        <v>0.11657722587336981</v>
      </c>
      <c r="Q228" s="156">
        <f t="shared" si="14"/>
        <v>1.8160405811135889</v>
      </c>
      <c r="R228" s="156">
        <f t="shared" ca="1" si="15"/>
        <v>1.7745091893493246</v>
      </c>
      <c r="S228" s="81">
        <f t="shared" ca="1" si="16"/>
        <v>1.0000000000000009E-2</v>
      </c>
      <c r="T228" s="146"/>
      <c r="U228" s="381"/>
      <c r="V228" s="372"/>
      <c r="W228" s="372"/>
      <c r="X228" s="372"/>
      <c r="Y228" s="372"/>
      <c r="Z228" s="372"/>
      <c r="AA228" s="372"/>
      <c r="AB228" s="372"/>
      <c r="AC228" s="372"/>
      <c r="AD228" s="372"/>
      <c r="AE228" s="146"/>
      <c r="AF228" s="146"/>
      <c r="AG228" s="146"/>
      <c r="AH228" s="146"/>
      <c r="AI228" s="146"/>
      <c r="AJ228" s="146"/>
      <c r="AK228" s="146"/>
      <c r="AL228" s="146"/>
      <c r="AM228" s="146"/>
      <c r="AN228" s="146"/>
      <c r="AO228" s="146"/>
      <c r="AP228" s="146"/>
      <c r="AQ228" s="146"/>
      <c r="AR228" s="146"/>
      <c r="AS228" s="146"/>
    </row>
    <row r="229" spans="1:45" x14ac:dyDescent="0.25">
      <c r="A229" s="32">
        <v>44119</v>
      </c>
      <c r="B229" s="33">
        <f t="shared" ca="1" si="26"/>
        <v>44119</v>
      </c>
      <c r="C229" s="51">
        <f t="shared" si="17"/>
        <v>226</v>
      </c>
      <c r="D229" s="35">
        <f>DANE!D229</f>
        <v>8099</v>
      </c>
      <c r="E229" s="52">
        <f t="shared" si="8"/>
        <v>149903</v>
      </c>
      <c r="F229" s="37">
        <f>DANE!E229</f>
        <v>91</v>
      </c>
      <c r="G229" s="53">
        <f t="shared" si="27"/>
        <v>3308</v>
      </c>
      <c r="H229" s="39">
        <f t="shared" si="4"/>
        <v>1741</v>
      </c>
      <c r="I229" s="40">
        <f>DANE!F229</f>
        <v>85588</v>
      </c>
      <c r="J229" s="54">
        <f t="shared" si="5"/>
        <v>6267</v>
      </c>
      <c r="K229" s="42">
        <f t="shared" si="10"/>
        <v>61007</v>
      </c>
      <c r="L229" s="79">
        <f t="shared" ca="1" si="11"/>
        <v>5472</v>
      </c>
      <c r="M229" s="44">
        <f t="shared" si="6"/>
        <v>3.7212023038156947</v>
      </c>
      <c r="N229" s="45">
        <f t="shared" si="7"/>
        <v>2.2067603717070372</v>
      </c>
      <c r="O229" s="46">
        <f t="shared" si="12"/>
        <v>32173.736165580794</v>
      </c>
      <c r="P229" s="46">
        <f t="shared" si="13"/>
        <v>0.14549492680851986</v>
      </c>
      <c r="Q229" s="156">
        <f t="shared" si="14"/>
        <v>2.0184644876596392</v>
      </c>
      <c r="R229" s="156">
        <f t="shared" ca="1" si="15"/>
        <v>1.7470860306198557</v>
      </c>
      <c r="S229" s="81">
        <f t="shared" ca="1" si="16"/>
        <v>-2.0000000000000018E-2</v>
      </c>
      <c r="T229" s="146"/>
      <c r="U229" s="381"/>
      <c r="V229" s="372"/>
      <c r="W229" s="372"/>
      <c r="X229" s="372"/>
      <c r="Y229" s="372"/>
      <c r="Z229" s="372"/>
      <c r="AA229" s="372"/>
      <c r="AB229" s="372"/>
      <c r="AC229" s="372"/>
      <c r="AD229" s="372"/>
      <c r="AE229" s="146"/>
      <c r="AF229" s="146"/>
      <c r="AG229" s="146"/>
      <c r="AH229" s="146"/>
      <c r="AI229" s="146"/>
      <c r="AJ229" s="146"/>
      <c r="AK229" s="146"/>
      <c r="AL229" s="146"/>
      <c r="AM229" s="146"/>
      <c r="AN229" s="146"/>
      <c r="AO229" s="146"/>
      <c r="AP229" s="146"/>
      <c r="AQ229" s="146"/>
      <c r="AR229" s="146"/>
      <c r="AS229" s="146"/>
    </row>
    <row r="230" spans="1:45" x14ac:dyDescent="0.25">
      <c r="A230" s="32">
        <v>44120</v>
      </c>
      <c r="B230" s="33">
        <f t="shared" ca="1" si="26"/>
        <v>44120</v>
      </c>
      <c r="C230" s="51">
        <f t="shared" si="17"/>
        <v>227</v>
      </c>
      <c r="D230" s="35">
        <f>DANE!D230</f>
        <v>7705</v>
      </c>
      <c r="E230" s="52">
        <f t="shared" si="8"/>
        <v>157608</v>
      </c>
      <c r="F230" s="37">
        <f>DANE!E230</f>
        <v>132</v>
      </c>
      <c r="G230" s="53">
        <f t="shared" si="27"/>
        <v>3440</v>
      </c>
      <c r="H230" s="39">
        <f t="shared" si="4"/>
        <v>2185</v>
      </c>
      <c r="I230" s="40">
        <f>DANE!F230</f>
        <v>87773</v>
      </c>
      <c r="J230" s="54">
        <f t="shared" si="5"/>
        <v>5388</v>
      </c>
      <c r="K230" s="42">
        <f t="shared" si="10"/>
        <v>66395</v>
      </c>
      <c r="L230" s="79">
        <f t="shared" ca="1" si="11"/>
        <v>5895.7142857142853</v>
      </c>
      <c r="M230" s="44">
        <f t="shared" si="6"/>
        <v>3.7713922357558682</v>
      </c>
      <c r="N230" s="45">
        <f t="shared" si="7"/>
        <v>2.1826303233338411</v>
      </c>
      <c r="O230" s="46">
        <f t="shared" si="12"/>
        <v>35282.488141926398</v>
      </c>
      <c r="P230" s="46">
        <f t="shared" si="13"/>
        <v>9.6623903433115166E-2</v>
      </c>
      <c r="Q230" s="156">
        <f t="shared" si="14"/>
        <v>1.6763673240318062</v>
      </c>
      <c r="R230" s="156">
        <f t="shared" ca="1" si="15"/>
        <v>1.6884730219426098</v>
      </c>
      <c r="S230" s="81">
        <f t="shared" ca="1" si="16"/>
        <v>-6.0000000000000053E-2</v>
      </c>
      <c r="T230" s="146"/>
      <c r="U230" s="381"/>
      <c r="V230" s="372"/>
      <c r="W230" s="372"/>
      <c r="X230" s="372"/>
      <c r="Y230" s="372"/>
      <c r="Z230" s="372"/>
      <c r="AA230" s="372"/>
      <c r="AB230" s="372"/>
      <c r="AC230" s="372"/>
      <c r="AD230" s="372"/>
      <c r="AE230" s="146"/>
      <c r="AF230" s="146"/>
      <c r="AG230" s="146"/>
      <c r="AH230" s="146"/>
      <c r="AI230" s="146"/>
      <c r="AJ230" s="146"/>
      <c r="AK230" s="146"/>
      <c r="AL230" s="146"/>
      <c r="AM230" s="146"/>
      <c r="AN230" s="146"/>
      <c r="AO230" s="146"/>
      <c r="AP230" s="146"/>
      <c r="AQ230" s="146"/>
      <c r="AR230" s="146"/>
      <c r="AS230" s="146"/>
    </row>
    <row r="231" spans="1:45" x14ac:dyDescent="0.25">
      <c r="A231" s="61">
        <v>44121</v>
      </c>
      <c r="B231" s="62">
        <f t="shared" ca="1" si="26"/>
        <v>44121</v>
      </c>
      <c r="C231" s="12">
        <f t="shared" si="17"/>
        <v>228</v>
      </c>
      <c r="D231" s="63">
        <f>DANE!D231</f>
        <v>9622</v>
      </c>
      <c r="E231" s="64">
        <f t="shared" si="8"/>
        <v>167230</v>
      </c>
      <c r="F231" s="65">
        <f>DANE!E231</f>
        <v>84</v>
      </c>
      <c r="G231" s="66">
        <f t="shared" si="27"/>
        <v>3524</v>
      </c>
      <c r="H231" s="67">
        <f t="shared" si="4"/>
        <v>2389</v>
      </c>
      <c r="I231" s="68">
        <f>DANE!F231</f>
        <v>90162</v>
      </c>
      <c r="J231" s="54">
        <f t="shared" si="5"/>
        <v>7149</v>
      </c>
      <c r="K231" s="69">
        <f t="shared" si="10"/>
        <v>73544</v>
      </c>
      <c r="L231" s="84">
        <f t="shared" ca="1" si="11"/>
        <v>6513.1428571428569</v>
      </c>
      <c r="M231" s="44">
        <f t="shared" si="6"/>
        <v>3.7615011848088296</v>
      </c>
      <c r="N231" s="45">
        <f t="shared" si="7"/>
        <v>2.1072774023799559</v>
      </c>
      <c r="O231" s="71">
        <f t="shared" si="12"/>
        <v>39864.132693079773</v>
      </c>
      <c r="P231" s="71">
        <f t="shared" si="13"/>
        <v>0.12985605019474175</v>
      </c>
      <c r="Q231" s="157">
        <f t="shared" si="14"/>
        <v>1.9089923513631923</v>
      </c>
      <c r="R231" s="157">
        <f t="shared" ca="1" si="15"/>
        <v>1.6726027665994614</v>
      </c>
      <c r="S231" s="86">
        <f t="shared" ca="1" si="16"/>
        <v>-2.0000000000000018E-2</v>
      </c>
      <c r="T231" s="146"/>
      <c r="U231" s="381"/>
      <c r="V231" s="372"/>
      <c r="W231" s="372"/>
      <c r="X231" s="372"/>
      <c r="Y231" s="372"/>
      <c r="Z231" s="372"/>
      <c r="AA231" s="372"/>
      <c r="AB231" s="372"/>
      <c r="AC231" s="372"/>
      <c r="AD231" s="372"/>
      <c r="AE231" s="146"/>
      <c r="AF231" s="146"/>
      <c r="AG231" s="146"/>
      <c r="AH231" s="146"/>
      <c r="AI231" s="146"/>
      <c r="AJ231" s="146"/>
      <c r="AK231" s="146"/>
      <c r="AL231" s="146"/>
      <c r="AM231" s="146"/>
      <c r="AN231" s="146"/>
      <c r="AO231" s="146"/>
      <c r="AP231" s="146"/>
      <c r="AQ231" s="146"/>
      <c r="AR231" s="146"/>
      <c r="AS231" s="146"/>
    </row>
    <row r="232" spans="1:45" x14ac:dyDescent="0.25">
      <c r="A232" s="61">
        <v>44122</v>
      </c>
      <c r="B232" s="62">
        <f t="shared" ca="1" si="26"/>
        <v>44122</v>
      </c>
      <c r="C232" s="12">
        <f t="shared" si="17"/>
        <v>229</v>
      </c>
      <c r="D232" s="63">
        <f>DANE!D232</f>
        <v>8536</v>
      </c>
      <c r="E232" s="64">
        <f t="shared" si="8"/>
        <v>175766</v>
      </c>
      <c r="F232" s="65">
        <f>DANE!E232</f>
        <v>49</v>
      </c>
      <c r="G232" s="66">
        <f t="shared" si="27"/>
        <v>3573</v>
      </c>
      <c r="H232" s="67">
        <f t="shared" si="4"/>
        <v>2489</v>
      </c>
      <c r="I232" s="68">
        <f>DANE!F232</f>
        <v>92651</v>
      </c>
      <c r="J232" s="54">
        <f t="shared" si="5"/>
        <v>5998</v>
      </c>
      <c r="K232" s="69">
        <f t="shared" si="10"/>
        <v>79542</v>
      </c>
      <c r="L232" s="84">
        <f t="shared" ca="1" si="11"/>
        <v>7135.7142857142853</v>
      </c>
      <c r="M232" s="44">
        <f t="shared" si="6"/>
        <v>3.7132108413701364</v>
      </c>
      <c r="N232" s="45">
        <f t="shared" si="7"/>
        <v>2.0328163581124903</v>
      </c>
      <c r="O232" s="71">
        <f t="shared" si="12"/>
        <v>42705.256594068378</v>
      </c>
      <c r="P232" s="71">
        <f t="shared" si="13"/>
        <v>7.1270179709235479E-2</v>
      </c>
      <c r="Q232" s="157">
        <f t="shared" si="14"/>
        <v>1.4988912579646483</v>
      </c>
      <c r="R232" s="157">
        <f t="shared" ca="1" si="15"/>
        <v>1.6881740502870122</v>
      </c>
      <c r="S232" s="86">
        <f t="shared" ca="1" si="16"/>
        <v>2.0000000000000018E-2</v>
      </c>
      <c r="T232" s="146"/>
      <c r="U232" s="381"/>
      <c r="V232" s="372"/>
      <c r="W232" s="372"/>
      <c r="X232" s="372"/>
      <c r="Y232" s="372"/>
      <c r="Z232" s="372"/>
      <c r="AA232" s="372"/>
      <c r="AB232" s="372"/>
      <c r="AC232" s="372"/>
      <c r="AD232" s="372"/>
      <c r="AE232" s="146"/>
      <c r="AF232" s="146"/>
      <c r="AG232" s="146"/>
      <c r="AH232" s="146"/>
      <c r="AI232" s="146"/>
      <c r="AJ232" s="146"/>
      <c r="AK232" s="146"/>
      <c r="AL232" s="146"/>
      <c r="AM232" s="146"/>
      <c r="AN232" s="146"/>
      <c r="AO232" s="146"/>
      <c r="AP232" s="146"/>
      <c r="AQ232" s="146"/>
      <c r="AR232" s="146"/>
      <c r="AS232" s="146"/>
    </row>
    <row r="233" spans="1:45" x14ac:dyDescent="0.25">
      <c r="A233" s="32">
        <v>44123</v>
      </c>
      <c r="B233" s="33">
        <f t="shared" ca="1" si="26"/>
        <v>44123</v>
      </c>
      <c r="C233" s="51">
        <f t="shared" si="17"/>
        <v>230</v>
      </c>
      <c r="D233" s="35">
        <f>DANE!D233</f>
        <v>7482</v>
      </c>
      <c r="E233" s="52">
        <f t="shared" si="8"/>
        <v>183248</v>
      </c>
      <c r="F233" s="37">
        <f>DANE!E233</f>
        <v>41</v>
      </c>
      <c r="G233" s="53">
        <f t="shared" si="27"/>
        <v>3614</v>
      </c>
      <c r="H233" s="39">
        <f t="shared" si="4"/>
        <v>1363</v>
      </c>
      <c r="I233" s="40">
        <f>DANE!F233</f>
        <v>94014</v>
      </c>
      <c r="J233" s="54">
        <f t="shared" si="5"/>
        <v>6078</v>
      </c>
      <c r="K233" s="42">
        <f t="shared" si="10"/>
        <v>85620</v>
      </c>
      <c r="L233" s="79">
        <f t="shared" ca="1" si="11"/>
        <v>7576.8571428571431</v>
      </c>
      <c r="M233" s="44">
        <f t="shared" si="6"/>
        <v>3.7018068586880815</v>
      </c>
      <c r="N233" s="45">
        <f t="shared" si="7"/>
        <v>1.9721906923950057</v>
      </c>
      <c r="O233" s="46">
        <f t="shared" si="12"/>
        <v>44086.505652058615</v>
      </c>
      <c r="P233" s="46">
        <f t="shared" si="13"/>
        <v>3.2343771426538812E-2</v>
      </c>
      <c r="Q233" s="156">
        <f t="shared" si="14"/>
        <v>1.2264063999857717</v>
      </c>
      <c r="R233" s="156">
        <f t="shared" ca="1" si="15"/>
        <v>1.6655711558209527</v>
      </c>
      <c r="S233" s="81">
        <f t="shared" ca="1" si="16"/>
        <v>-2.0000000000000018E-2</v>
      </c>
      <c r="T233" s="146"/>
      <c r="U233" s="381"/>
      <c r="V233" s="372"/>
      <c r="W233" s="372"/>
      <c r="X233" s="372"/>
      <c r="Y233" s="372"/>
      <c r="Z233" s="372"/>
      <c r="AA233" s="372"/>
      <c r="AB233" s="372"/>
      <c r="AC233" s="372"/>
      <c r="AD233" s="372"/>
      <c r="AE233" s="146"/>
      <c r="AF233" s="146"/>
      <c r="AG233" s="146"/>
      <c r="AH233" s="146"/>
      <c r="AI233" s="146"/>
      <c r="AJ233" s="146"/>
      <c r="AK233" s="146"/>
      <c r="AL233" s="146"/>
      <c r="AM233" s="146"/>
      <c r="AN233" s="146"/>
      <c r="AO233" s="146"/>
      <c r="AP233" s="146"/>
      <c r="AQ233" s="146"/>
      <c r="AR233" s="146"/>
      <c r="AS233" s="146"/>
    </row>
    <row r="234" spans="1:45" x14ac:dyDescent="0.25">
      <c r="A234" s="32">
        <v>44124</v>
      </c>
      <c r="B234" s="33">
        <f t="shared" ca="1" si="26"/>
        <v>44124</v>
      </c>
      <c r="C234" s="51">
        <f t="shared" si="17"/>
        <v>231</v>
      </c>
      <c r="D234" s="35">
        <f>DANE!D234</f>
        <v>9291</v>
      </c>
      <c r="E234" s="52">
        <f t="shared" si="8"/>
        <v>192539</v>
      </c>
      <c r="F234" s="37">
        <f>DANE!E234</f>
        <v>107</v>
      </c>
      <c r="G234" s="53">
        <f t="shared" si="27"/>
        <v>3721</v>
      </c>
      <c r="H234" s="39">
        <f t="shared" si="4"/>
        <v>1942</v>
      </c>
      <c r="I234" s="40">
        <f>DANE!F234</f>
        <v>95956</v>
      </c>
      <c r="J234" s="54">
        <f t="shared" si="5"/>
        <v>7242</v>
      </c>
      <c r="K234" s="42">
        <f t="shared" si="10"/>
        <v>92862</v>
      </c>
      <c r="L234" s="79">
        <f t="shared" ca="1" si="11"/>
        <v>8180.1428571428569</v>
      </c>
      <c r="M234" s="44">
        <f t="shared" si="6"/>
        <v>3.733057776618478</v>
      </c>
      <c r="N234" s="45">
        <f t="shared" si="7"/>
        <v>1.9325954741636759</v>
      </c>
      <c r="O234" s="46">
        <f t="shared" si="12"/>
        <v>47079.433416050248</v>
      </c>
      <c r="P234" s="46">
        <f t="shared" si="13"/>
        <v>6.7887615943357904E-2</v>
      </c>
      <c r="Q234" s="156">
        <f t="shared" si="14"/>
        <v>1.4752133116035053</v>
      </c>
      <c r="R234" s="156">
        <f t="shared" ca="1" si="15"/>
        <v>1.6600536733888787</v>
      </c>
      <c r="S234" s="81">
        <f t="shared" ca="1" si="16"/>
        <v>-1.0000000000000009E-2</v>
      </c>
      <c r="T234" s="146"/>
      <c r="U234" s="381"/>
      <c r="V234" s="372"/>
      <c r="W234" s="372"/>
      <c r="X234" s="372"/>
      <c r="Y234" s="372"/>
      <c r="Z234" s="372"/>
      <c r="AA234" s="372"/>
      <c r="AB234" s="372"/>
      <c r="AC234" s="372"/>
      <c r="AD234" s="372"/>
      <c r="AE234" s="146"/>
      <c r="AF234" s="146"/>
      <c r="AG234" s="146"/>
      <c r="AH234" s="146"/>
      <c r="AI234" s="146"/>
      <c r="AJ234" s="146"/>
      <c r="AK234" s="146"/>
      <c r="AL234" s="146"/>
      <c r="AM234" s="146"/>
      <c r="AN234" s="146"/>
      <c r="AO234" s="146"/>
      <c r="AP234" s="146"/>
      <c r="AQ234" s="146"/>
      <c r="AR234" s="146"/>
      <c r="AS234" s="146"/>
    </row>
    <row r="235" spans="1:45" x14ac:dyDescent="0.25">
      <c r="A235" s="32">
        <v>44125</v>
      </c>
      <c r="B235" s="33">
        <f t="shared" ca="1" si="26"/>
        <v>44125</v>
      </c>
      <c r="C235" s="51">
        <f t="shared" si="17"/>
        <v>232</v>
      </c>
      <c r="D235" s="35">
        <f>DANE!D235</f>
        <v>10040</v>
      </c>
      <c r="E235" s="52">
        <f t="shared" si="8"/>
        <v>202579</v>
      </c>
      <c r="F235" s="37">
        <f>DANE!E235</f>
        <v>130</v>
      </c>
      <c r="G235" s="53">
        <f t="shared" si="27"/>
        <v>3851</v>
      </c>
      <c r="H235" s="39">
        <f t="shared" si="4"/>
        <v>2928</v>
      </c>
      <c r="I235" s="40">
        <f>DANE!F235</f>
        <v>98884</v>
      </c>
      <c r="J235" s="54">
        <f t="shared" si="5"/>
        <v>6982</v>
      </c>
      <c r="K235" s="42">
        <f t="shared" si="10"/>
        <v>99844</v>
      </c>
      <c r="L235" s="79">
        <f t="shared" ca="1" si="11"/>
        <v>8682.1428571428569</v>
      </c>
      <c r="M235" s="44">
        <f t="shared" si="6"/>
        <v>3.7484790967051151</v>
      </c>
      <c r="N235" s="45">
        <f t="shared" si="7"/>
        <v>1.9009867755295464</v>
      </c>
      <c r="O235" s="46">
        <f t="shared" si="12"/>
        <v>50393.800070900215</v>
      </c>
      <c r="P235" s="46">
        <f t="shared" si="13"/>
        <v>7.0399459261972316E-2</v>
      </c>
      <c r="Q235" s="156">
        <f t="shared" si="14"/>
        <v>1.4927962148338063</v>
      </c>
      <c r="R235" s="156">
        <f t="shared" ca="1" si="15"/>
        <v>1.6138759067774815</v>
      </c>
      <c r="S235" s="81">
        <f t="shared" ca="1" si="16"/>
        <v>-4.9999999999999822E-2</v>
      </c>
      <c r="T235" s="146"/>
      <c r="U235" s="381"/>
      <c r="V235" s="372"/>
      <c r="W235" s="372"/>
      <c r="X235" s="372"/>
      <c r="Y235" s="372"/>
      <c r="Z235" s="372"/>
      <c r="AA235" s="372"/>
      <c r="AB235" s="372"/>
      <c r="AC235" s="372"/>
      <c r="AD235" s="372"/>
      <c r="AE235" s="146"/>
      <c r="AF235" s="146"/>
      <c r="AG235" s="146"/>
      <c r="AH235" s="146"/>
      <c r="AI235" s="146"/>
      <c r="AJ235" s="146"/>
      <c r="AK235" s="146"/>
      <c r="AL235" s="146"/>
      <c r="AM235" s="146"/>
      <c r="AN235" s="146"/>
      <c r="AO235" s="146"/>
      <c r="AP235" s="146"/>
      <c r="AQ235" s="146"/>
      <c r="AR235" s="146"/>
      <c r="AS235" s="146"/>
    </row>
    <row r="236" spans="1:45" x14ac:dyDescent="0.25">
      <c r="A236" s="32">
        <v>44126</v>
      </c>
      <c r="B236" s="33">
        <f t="shared" ca="1" si="26"/>
        <v>44126</v>
      </c>
      <c r="C236" s="51">
        <f t="shared" si="17"/>
        <v>233</v>
      </c>
      <c r="D236" s="35">
        <f>DANE!D236</f>
        <v>12107</v>
      </c>
      <c r="E236" s="52">
        <f t="shared" si="8"/>
        <v>214686</v>
      </c>
      <c r="F236" s="37">
        <f>DANE!E236</f>
        <v>168</v>
      </c>
      <c r="G236" s="53">
        <f t="shared" si="27"/>
        <v>4019</v>
      </c>
      <c r="H236" s="39">
        <f t="shared" si="4"/>
        <v>3320</v>
      </c>
      <c r="I236" s="40">
        <f>DANE!F236</f>
        <v>102204</v>
      </c>
      <c r="J236" s="54">
        <f t="shared" si="5"/>
        <v>8619</v>
      </c>
      <c r="K236" s="42">
        <f t="shared" si="10"/>
        <v>108463</v>
      </c>
      <c r="L236" s="79">
        <f t="shared" ca="1" si="11"/>
        <v>9254.7142857142862</v>
      </c>
      <c r="M236" s="44">
        <f t="shared" si="6"/>
        <v>3.7835497020419306</v>
      </c>
      <c r="N236" s="45">
        <f t="shared" si="7"/>
        <v>1.872036369395303</v>
      </c>
      <c r="O236" s="46">
        <f t="shared" si="12"/>
        <v>55301.685775057333</v>
      </c>
      <c r="P236" s="46">
        <f t="shared" si="13"/>
        <v>9.7390665066974469E-2</v>
      </c>
      <c r="Q236" s="156">
        <f t="shared" si="14"/>
        <v>1.6817346554688213</v>
      </c>
      <c r="R236" s="156">
        <f t="shared" ca="1" si="15"/>
        <v>1.5657716450359358</v>
      </c>
      <c r="S236" s="81">
        <f t="shared" ca="1" si="16"/>
        <v>-4.0000000000000036E-2</v>
      </c>
      <c r="T236" s="146"/>
      <c r="U236" s="381"/>
      <c r="V236" s="372"/>
      <c r="W236" s="372"/>
      <c r="X236" s="372"/>
      <c r="Y236" s="372"/>
      <c r="Z236" s="372"/>
      <c r="AA236" s="372"/>
      <c r="AB236" s="372"/>
      <c r="AC236" s="372"/>
      <c r="AD236" s="372"/>
      <c r="AE236" s="146"/>
      <c r="AF236" s="146"/>
      <c r="AG236" s="146"/>
      <c r="AH236" s="146"/>
      <c r="AI236" s="146"/>
      <c r="AJ236" s="146"/>
      <c r="AK236" s="146"/>
      <c r="AL236" s="146"/>
      <c r="AM236" s="146"/>
      <c r="AN236" s="146"/>
      <c r="AO236" s="146"/>
      <c r="AP236" s="146"/>
      <c r="AQ236" s="146"/>
      <c r="AR236" s="146"/>
      <c r="AS236" s="146"/>
    </row>
    <row r="237" spans="1:45" x14ac:dyDescent="0.25">
      <c r="A237" s="32">
        <v>44127</v>
      </c>
      <c r="B237" s="33">
        <f t="shared" ca="1" si="26"/>
        <v>44127</v>
      </c>
      <c r="C237" s="51">
        <f t="shared" si="17"/>
        <v>234</v>
      </c>
      <c r="D237" s="35">
        <f>DANE!D237</f>
        <v>13632</v>
      </c>
      <c r="E237" s="52">
        <f t="shared" si="8"/>
        <v>228318</v>
      </c>
      <c r="F237" s="37">
        <f>DANE!E237</f>
        <v>153</v>
      </c>
      <c r="G237" s="53">
        <f t="shared" si="27"/>
        <v>4172</v>
      </c>
      <c r="H237" s="39">
        <f t="shared" si="4"/>
        <v>2888</v>
      </c>
      <c r="I237" s="40">
        <f>DANE!F237</f>
        <v>105092</v>
      </c>
      <c r="J237" s="54">
        <f t="shared" si="5"/>
        <v>10591</v>
      </c>
      <c r="K237" s="42">
        <f t="shared" si="10"/>
        <v>119054</v>
      </c>
      <c r="L237" s="79">
        <f t="shared" ca="1" si="11"/>
        <v>10101.428571428571</v>
      </c>
      <c r="M237" s="44">
        <f t="shared" si="6"/>
        <v>3.8182750036608577</v>
      </c>
      <c r="N237" s="45">
        <f t="shared" si="7"/>
        <v>1.8272759922564143</v>
      </c>
      <c r="O237" s="46">
        <f t="shared" si="12"/>
        <v>61033.444950049146</v>
      </c>
      <c r="P237" s="46">
        <f t="shared" si="13"/>
        <v>0.10364528846925321</v>
      </c>
      <c r="Q237" s="156">
        <f t="shared" si="14"/>
        <v>1.7255170192847724</v>
      </c>
      <c r="R237" s="156">
        <f t="shared" ca="1" si="15"/>
        <v>1.5727930300720738</v>
      </c>
      <c r="S237" s="81">
        <f t="shared" ca="1" si="16"/>
        <v>0</v>
      </c>
      <c r="T237" s="146"/>
      <c r="U237" s="381"/>
      <c r="V237" s="372"/>
      <c r="W237" s="372"/>
      <c r="X237" s="372"/>
      <c r="Y237" s="372"/>
      <c r="Z237" s="372"/>
      <c r="AA237" s="372"/>
      <c r="AB237" s="372"/>
      <c r="AC237" s="372"/>
      <c r="AD237" s="372"/>
      <c r="AE237" s="146"/>
      <c r="AF237" s="146"/>
      <c r="AG237" s="146"/>
      <c r="AH237" s="146"/>
      <c r="AI237" s="146"/>
      <c r="AJ237" s="146"/>
      <c r="AK237" s="146"/>
      <c r="AL237" s="146"/>
      <c r="AM237" s="146"/>
      <c r="AN237" s="146"/>
      <c r="AO237" s="146"/>
      <c r="AP237" s="146"/>
      <c r="AQ237" s="146"/>
      <c r="AR237" s="146"/>
      <c r="AS237" s="146"/>
    </row>
    <row r="238" spans="1:45" x14ac:dyDescent="0.25">
      <c r="A238" s="61">
        <v>44128</v>
      </c>
      <c r="B238" s="62">
        <f t="shared" ca="1" si="26"/>
        <v>44128</v>
      </c>
      <c r="C238" s="12">
        <f t="shared" si="17"/>
        <v>235</v>
      </c>
      <c r="D238" s="63">
        <f>DANE!D238</f>
        <v>13628</v>
      </c>
      <c r="E238" s="64">
        <f t="shared" si="8"/>
        <v>241946</v>
      </c>
      <c r="F238" s="65">
        <f>DANE!E238</f>
        <v>178</v>
      </c>
      <c r="G238" s="66">
        <f t="shared" si="27"/>
        <v>4350</v>
      </c>
      <c r="H238" s="67">
        <f t="shared" si="4"/>
        <v>4252</v>
      </c>
      <c r="I238" s="68">
        <f>DANE!F238</f>
        <v>109344</v>
      </c>
      <c r="J238" s="54">
        <f t="shared" si="5"/>
        <v>9198</v>
      </c>
      <c r="K238" s="69">
        <f t="shared" si="10"/>
        <v>128252</v>
      </c>
      <c r="L238" s="84">
        <f t="shared" ca="1" si="11"/>
        <v>10673.714285714286</v>
      </c>
      <c r="M238" s="44">
        <f t="shared" si="6"/>
        <v>3.8260594226608262</v>
      </c>
      <c r="N238" s="45">
        <f t="shared" si="7"/>
        <v>1.7979218503302392</v>
      </c>
      <c r="O238" s="71">
        <f t="shared" si="12"/>
        <v>65942.381385756424</v>
      </c>
      <c r="P238" s="71">
        <f t="shared" si="13"/>
        <v>8.0430269661573878E-2</v>
      </c>
      <c r="Q238" s="157">
        <f t="shared" si="14"/>
        <v>1.5630118876310171</v>
      </c>
      <c r="R238" s="157">
        <f t="shared" ca="1" si="15"/>
        <v>1.5233672495389059</v>
      </c>
      <c r="S238" s="86">
        <f t="shared" ca="1" si="16"/>
        <v>-5.0000000000000044E-2</v>
      </c>
      <c r="T238" s="146"/>
      <c r="U238" s="381"/>
      <c r="V238" s="372"/>
      <c r="W238" s="372"/>
      <c r="X238" s="372"/>
      <c r="Y238" s="372"/>
      <c r="Z238" s="372"/>
      <c r="AA238" s="372"/>
      <c r="AB238" s="372"/>
      <c r="AC238" s="372"/>
      <c r="AD238" s="372"/>
      <c r="AE238" s="146"/>
      <c r="AF238" s="146"/>
      <c r="AG238" s="146"/>
      <c r="AH238" s="146"/>
      <c r="AI238" s="146"/>
      <c r="AJ238" s="146"/>
      <c r="AK238" s="146"/>
      <c r="AL238" s="146"/>
      <c r="AM238" s="146"/>
      <c r="AN238" s="146"/>
      <c r="AO238" s="146"/>
      <c r="AP238" s="146"/>
      <c r="AQ238" s="146"/>
      <c r="AR238" s="146"/>
      <c r="AS238" s="146"/>
    </row>
    <row r="239" spans="1:45" x14ac:dyDescent="0.25">
      <c r="A239" s="61">
        <v>44129</v>
      </c>
      <c r="B239" s="62">
        <f t="shared" ca="1" si="26"/>
        <v>44129</v>
      </c>
      <c r="C239" s="12">
        <f t="shared" si="17"/>
        <v>236</v>
      </c>
      <c r="D239" s="63">
        <f>DANE!D239</f>
        <v>11742</v>
      </c>
      <c r="E239" s="64">
        <f t="shared" si="8"/>
        <v>253688</v>
      </c>
      <c r="F239" s="65">
        <f>DANE!E239</f>
        <v>87</v>
      </c>
      <c r="G239" s="66">
        <f t="shared" si="27"/>
        <v>4437</v>
      </c>
      <c r="H239" s="67">
        <f t="shared" si="4"/>
        <v>3275</v>
      </c>
      <c r="I239" s="68">
        <f>DANE!F239</f>
        <v>112619</v>
      </c>
      <c r="J239" s="54">
        <f t="shared" si="5"/>
        <v>8380</v>
      </c>
      <c r="K239" s="69">
        <f t="shared" si="10"/>
        <v>136632</v>
      </c>
      <c r="L239" s="84">
        <f t="shared" ca="1" si="11"/>
        <v>11131.714285714286</v>
      </c>
      <c r="M239" s="44">
        <f t="shared" si="6"/>
        <v>3.7904934390377254</v>
      </c>
      <c r="N239" s="45">
        <f t="shared" si="7"/>
        <v>1.7489987701428524</v>
      </c>
      <c r="O239" s="71">
        <f t="shared" si="12"/>
        <v>68264.041187791227</v>
      </c>
      <c r="P239" s="71">
        <f t="shared" si="13"/>
        <v>3.5207400055107536E-2</v>
      </c>
      <c r="Q239" s="157">
        <f t="shared" si="14"/>
        <v>1.2464518003857528</v>
      </c>
      <c r="R239" s="157">
        <f t="shared" ca="1" si="15"/>
        <v>1.4873044698847782</v>
      </c>
      <c r="S239" s="86">
        <f t="shared" ca="1" si="16"/>
        <v>-3.0000000000000027E-2</v>
      </c>
      <c r="T239" s="146"/>
      <c r="U239" s="381"/>
      <c r="V239" s="372"/>
      <c r="W239" s="372"/>
      <c r="X239" s="372"/>
      <c r="Y239" s="372"/>
      <c r="Z239" s="372"/>
      <c r="AA239" s="372"/>
      <c r="AB239" s="372"/>
      <c r="AC239" s="372"/>
      <c r="AD239" s="372"/>
      <c r="AE239" s="146"/>
      <c r="AF239" s="146"/>
      <c r="AG239" s="146"/>
      <c r="AH239" s="146"/>
      <c r="AI239" s="146"/>
      <c r="AJ239" s="146"/>
      <c r="AK239" s="146"/>
      <c r="AL239" s="146"/>
      <c r="AM239" s="146"/>
      <c r="AN239" s="146"/>
      <c r="AO239" s="146"/>
      <c r="AP239" s="146"/>
      <c r="AQ239" s="146"/>
      <c r="AR239" s="146"/>
      <c r="AS239" s="146"/>
    </row>
    <row r="240" spans="1:45" x14ac:dyDescent="0.25">
      <c r="A240" s="32">
        <v>44130</v>
      </c>
      <c r="B240" s="33">
        <f t="shared" ca="1" si="26"/>
        <v>44130</v>
      </c>
      <c r="C240" s="51">
        <f t="shared" si="17"/>
        <v>237</v>
      </c>
      <c r="D240" s="35">
        <f>DANE!D240</f>
        <v>10241</v>
      </c>
      <c r="E240" s="52">
        <f t="shared" si="8"/>
        <v>263929</v>
      </c>
      <c r="F240" s="37">
        <f>DANE!E240</f>
        <v>45</v>
      </c>
      <c r="G240" s="53">
        <f t="shared" si="27"/>
        <v>4482</v>
      </c>
      <c r="H240" s="39">
        <f t="shared" si="4"/>
        <v>2683</v>
      </c>
      <c r="I240" s="40">
        <f>DANE!F240</f>
        <v>115302</v>
      </c>
      <c r="J240" s="54">
        <f t="shared" si="5"/>
        <v>7513</v>
      </c>
      <c r="K240" s="42">
        <f t="shared" si="10"/>
        <v>144145</v>
      </c>
      <c r="L240" s="79">
        <f t="shared" ca="1" si="11"/>
        <v>11525.857142857143</v>
      </c>
      <c r="M240" s="44">
        <f t="shared" si="6"/>
        <v>3.7417351232217988</v>
      </c>
      <c r="N240" s="45">
        <f t="shared" si="7"/>
        <v>1.6981839812980004</v>
      </c>
      <c r="O240" s="46">
        <f t="shared" si="12"/>
        <v>68753.03530382106</v>
      </c>
      <c r="P240" s="46">
        <f t="shared" si="13"/>
        <v>7.163275240102367E-3</v>
      </c>
      <c r="Q240" s="156">
        <f t="shared" si="14"/>
        <v>1.0501429266807165</v>
      </c>
      <c r="R240" s="156">
        <f t="shared" ca="1" si="15"/>
        <v>1.4621239736983418</v>
      </c>
      <c r="S240" s="81">
        <f t="shared" ca="1" si="16"/>
        <v>-3.0000000000000027E-2</v>
      </c>
      <c r="T240" s="146"/>
      <c r="U240" s="381"/>
      <c r="V240" s="372"/>
      <c r="W240" s="372"/>
      <c r="X240" s="372"/>
      <c r="Y240" s="372"/>
      <c r="Z240" s="372"/>
      <c r="AA240" s="372"/>
      <c r="AB240" s="372"/>
      <c r="AC240" s="372"/>
      <c r="AD240" s="372"/>
      <c r="AE240" s="146"/>
      <c r="AF240" s="146"/>
      <c r="AG240" s="146"/>
      <c r="AH240" s="146"/>
      <c r="AI240" s="146"/>
      <c r="AJ240" s="146"/>
      <c r="AK240" s="146"/>
      <c r="AL240" s="146"/>
      <c r="AM240" s="146"/>
      <c r="AN240" s="146"/>
      <c r="AO240" s="146"/>
      <c r="AP240" s="146"/>
      <c r="AQ240" s="146"/>
      <c r="AR240" s="146"/>
      <c r="AS240" s="146"/>
    </row>
    <row r="241" spans="1:45" x14ac:dyDescent="0.25">
      <c r="A241" s="32">
        <v>44131</v>
      </c>
      <c r="B241" s="33">
        <f t="shared" ca="1" si="26"/>
        <v>44131</v>
      </c>
      <c r="C241" s="51">
        <f t="shared" si="17"/>
        <v>238</v>
      </c>
      <c r="D241" s="35">
        <f>DANE!D241</f>
        <v>16300</v>
      </c>
      <c r="E241" s="52">
        <f t="shared" si="8"/>
        <v>280229</v>
      </c>
      <c r="F241" s="37">
        <f>DANE!E241</f>
        <v>132</v>
      </c>
      <c r="G241" s="53">
        <f t="shared" si="27"/>
        <v>4614</v>
      </c>
      <c r="H241" s="39">
        <f t="shared" si="4"/>
        <v>3935</v>
      </c>
      <c r="I241" s="40">
        <f>DANE!F241</f>
        <v>119237</v>
      </c>
      <c r="J241" s="54">
        <f t="shared" si="5"/>
        <v>12233</v>
      </c>
      <c r="K241" s="42">
        <f t="shared" si="10"/>
        <v>156378</v>
      </c>
      <c r="L241" s="79">
        <f t="shared" ca="1" si="11"/>
        <v>12527.142857142857</v>
      </c>
      <c r="M241" s="44">
        <f t="shared" si="6"/>
        <v>3.7254442838572155</v>
      </c>
      <c r="N241" s="45">
        <f t="shared" si="7"/>
        <v>1.646510532457383</v>
      </c>
      <c r="O241" s="46">
        <f t="shared" si="12"/>
        <v>75231.173117560917</v>
      </c>
      <c r="P241" s="46">
        <f t="shared" si="13"/>
        <v>9.422329916218003E-2</v>
      </c>
      <c r="Q241" s="156">
        <f t="shared" si="14"/>
        <v>1.6595630941352604</v>
      </c>
      <c r="R241" s="156">
        <f t="shared" ca="1" si="15"/>
        <v>1.4884596569171638</v>
      </c>
      <c r="S241" s="81">
        <f t="shared" ca="1" si="16"/>
        <v>3.0000000000000027E-2</v>
      </c>
      <c r="T241" s="146"/>
      <c r="U241" s="381"/>
      <c r="V241" s="372"/>
      <c r="W241" s="372"/>
      <c r="X241" s="372"/>
      <c r="Y241" s="372"/>
      <c r="Z241" s="372"/>
      <c r="AA241" s="372"/>
      <c r="AB241" s="372"/>
      <c r="AC241" s="372"/>
      <c r="AD241" s="372"/>
      <c r="AE241" s="146"/>
      <c r="AF241" s="146"/>
      <c r="AG241" s="146"/>
      <c r="AH241" s="146"/>
      <c r="AI241" s="146"/>
      <c r="AJ241" s="146"/>
      <c r="AK241" s="146"/>
      <c r="AL241" s="146"/>
      <c r="AM241" s="146"/>
      <c r="AN241" s="146"/>
      <c r="AO241" s="146"/>
      <c r="AP241" s="146"/>
      <c r="AQ241" s="146"/>
      <c r="AR241" s="146"/>
      <c r="AS241" s="146"/>
    </row>
    <row r="242" spans="1:45" x14ac:dyDescent="0.25">
      <c r="A242" s="32">
        <v>44132</v>
      </c>
      <c r="B242" s="33">
        <f t="shared" ca="1" si="26"/>
        <v>44132</v>
      </c>
      <c r="C242" s="51">
        <f t="shared" si="17"/>
        <v>239</v>
      </c>
      <c r="D242" s="35">
        <f>DANE!D242</f>
        <v>18820</v>
      </c>
      <c r="E242" s="52">
        <f t="shared" si="8"/>
        <v>299049</v>
      </c>
      <c r="F242" s="37">
        <f>DANE!E242</f>
        <v>234</v>
      </c>
      <c r="G242" s="53">
        <f t="shared" si="27"/>
        <v>4848</v>
      </c>
      <c r="H242" s="39">
        <f t="shared" si="4"/>
        <v>4267</v>
      </c>
      <c r="I242" s="40">
        <f>DANE!F242</f>
        <v>123504</v>
      </c>
      <c r="J242" s="54">
        <f t="shared" si="5"/>
        <v>14319</v>
      </c>
      <c r="K242" s="42">
        <f t="shared" si="10"/>
        <v>170697</v>
      </c>
      <c r="L242" s="79">
        <f t="shared" ca="1" si="11"/>
        <v>13781.428571428571</v>
      </c>
      <c r="M242" s="44">
        <f t="shared" si="6"/>
        <v>3.7771129394166039</v>
      </c>
      <c r="N242" s="45">
        <f t="shared" si="7"/>
        <v>1.6211390106638042</v>
      </c>
      <c r="O242" s="46">
        <f t="shared" si="12"/>
        <v>83303.862672195071</v>
      </c>
      <c r="P242" s="46">
        <f t="shared" si="13"/>
        <v>0.10730511329418281</v>
      </c>
      <c r="Q242" s="156">
        <f t="shared" si="14"/>
        <v>1.7511357930592797</v>
      </c>
      <c r="R242" s="156">
        <f t="shared" ca="1" si="15"/>
        <v>1.5253653109493743</v>
      </c>
      <c r="S242" s="81">
        <f t="shared" ca="1" si="16"/>
        <v>4.0000000000000036E-2</v>
      </c>
      <c r="T242" s="146"/>
      <c r="U242" s="381"/>
      <c r="V242" s="372"/>
      <c r="W242" s="372"/>
      <c r="X242" s="372"/>
      <c r="Y242" s="372"/>
      <c r="Z242" s="372"/>
      <c r="AA242" s="372"/>
      <c r="AB242" s="372"/>
      <c r="AC242" s="372"/>
      <c r="AD242" s="372"/>
      <c r="AE242" s="146"/>
      <c r="AF242" s="146"/>
      <c r="AG242" s="146"/>
      <c r="AH242" s="146"/>
      <c r="AI242" s="146"/>
      <c r="AJ242" s="146"/>
      <c r="AK242" s="146"/>
      <c r="AL242" s="146"/>
      <c r="AM242" s="146"/>
      <c r="AN242" s="146"/>
      <c r="AO242" s="146"/>
      <c r="AP242" s="146"/>
      <c r="AQ242" s="146"/>
      <c r="AR242" s="146"/>
      <c r="AS242" s="146"/>
    </row>
    <row r="243" spans="1:45" x14ac:dyDescent="0.25">
      <c r="A243" s="32">
        <v>44133</v>
      </c>
      <c r="B243" s="33">
        <f t="shared" ca="1" si="26"/>
        <v>44133</v>
      </c>
      <c r="C243" s="51">
        <f t="shared" si="17"/>
        <v>240</v>
      </c>
      <c r="D243" s="35">
        <f>DANE!D243</f>
        <v>20156</v>
      </c>
      <c r="E243" s="52">
        <f t="shared" si="8"/>
        <v>319205</v>
      </c>
      <c r="F243" s="37">
        <f>DANE!E243</f>
        <v>301</v>
      </c>
      <c r="G243" s="53">
        <f t="shared" si="27"/>
        <v>5149</v>
      </c>
      <c r="H243" s="39">
        <f t="shared" si="4"/>
        <v>5763</v>
      </c>
      <c r="I243" s="40">
        <f>DANE!F243</f>
        <v>129267</v>
      </c>
      <c r="J243" s="54">
        <f t="shared" si="5"/>
        <v>14092</v>
      </c>
      <c r="K243" s="42">
        <f t="shared" si="10"/>
        <v>184789</v>
      </c>
      <c r="L243" s="79">
        <f t="shared" ca="1" si="11"/>
        <v>14931.285714285714</v>
      </c>
      <c r="M243" s="44">
        <f t="shared" si="6"/>
        <v>3.8306451612903225</v>
      </c>
      <c r="N243" s="45">
        <f t="shared" si="7"/>
        <v>1.6130699707084788</v>
      </c>
      <c r="O243" s="46">
        <f t="shared" si="12"/>
        <v>91559.310861881502</v>
      </c>
      <c r="P243" s="46">
        <f t="shared" si="13"/>
        <v>9.9100424936740789E-2</v>
      </c>
      <c r="Q243" s="156">
        <f t="shared" si="14"/>
        <v>1.6937029745571857</v>
      </c>
      <c r="R243" s="156">
        <f t="shared" ca="1" si="15"/>
        <v>1.5270750708191407</v>
      </c>
      <c r="S243" s="81">
        <f t="shared" ca="1" si="16"/>
        <v>0</v>
      </c>
      <c r="T243" s="146"/>
      <c r="U243" s="381"/>
      <c r="V243" s="372"/>
      <c r="W243" s="372"/>
      <c r="X243" s="372"/>
      <c r="Y243" s="372"/>
      <c r="Z243" s="372"/>
      <c r="AA243" s="372"/>
      <c r="AB243" s="372"/>
      <c r="AC243" s="372"/>
      <c r="AD243" s="372"/>
      <c r="AE243" s="146"/>
      <c r="AF243" s="146"/>
      <c r="AG243" s="146"/>
      <c r="AH243" s="146"/>
      <c r="AI243" s="146"/>
      <c r="AJ243" s="146"/>
      <c r="AK243" s="146"/>
      <c r="AL243" s="146"/>
      <c r="AM243" s="146"/>
      <c r="AN243" s="146"/>
      <c r="AO243" s="146"/>
      <c r="AP243" s="146"/>
      <c r="AQ243" s="146"/>
      <c r="AR243" s="146"/>
      <c r="AS243" s="146"/>
    </row>
    <row r="244" spans="1:45" x14ac:dyDescent="0.25">
      <c r="A244" s="32">
        <v>44134</v>
      </c>
      <c r="B244" s="33">
        <f t="shared" ca="1" si="26"/>
        <v>44134</v>
      </c>
      <c r="C244" s="51">
        <f t="shared" si="17"/>
        <v>241</v>
      </c>
      <c r="D244" s="35">
        <f>DANE!D244</f>
        <v>21629</v>
      </c>
      <c r="E244" s="52">
        <f t="shared" si="8"/>
        <v>340834</v>
      </c>
      <c r="F244" s="37">
        <f>DANE!E244</f>
        <v>202</v>
      </c>
      <c r="G244" s="53">
        <f t="shared" si="27"/>
        <v>5351</v>
      </c>
      <c r="H244" s="39">
        <f t="shared" si="4"/>
        <v>5457</v>
      </c>
      <c r="I244" s="40">
        <f>DANE!F244</f>
        <v>134724</v>
      </c>
      <c r="J244" s="54">
        <f t="shared" si="5"/>
        <v>15970</v>
      </c>
      <c r="K244" s="42">
        <f t="shared" si="10"/>
        <v>200759</v>
      </c>
      <c r="L244" s="79">
        <f t="shared" ca="1" si="11"/>
        <v>16073.714285714286</v>
      </c>
      <c r="M244" s="44">
        <f t="shared" si="6"/>
        <v>3.8200963769409242</v>
      </c>
      <c r="N244" s="45">
        <f t="shared" si="7"/>
        <v>1.569972479271434</v>
      </c>
      <c r="O244" s="46">
        <f t="shared" si="12"/>
        <v>100108.40931018416</v>
      </c>
      <c r="P244" s="46">
        <f t="shared" si="13"/>
        <v>9.3372245463916703E-2</v>
      </c>
      <c r="Q244" s="156">
        <f t="shared" si="14"/>
        <v>1.6536057182474169</v>
      </c>
      <c r="R244" s="156">
        <f t="shared" ca="1" si="15"/>
        <v>1.5168020278138041</v>
      </c>
      <c r="S244" s="81">
        <f t="shared" ca="1" si="16"/>
        <v>-1.0000000000000009E-2</v>
      </c>
      <c r="T244" s="146"/>
      <c r="U244" s="381"/>
      <c r="V244" s="372"/>
      <c r="W244" s="372"/>
      <c r="X244" s="372"/>
      <c r="Y244" s="372"/>
      <c r="Z244" s="372"/>
      <c r="AA244" s="372"/>
      <c r="AB244" s="372"/>
      <c r="AC244" s="372"/>
      <c r="AD244" s="372"/>
      <c r="AE244" s="146"/>
      <c r="AF244" s="146"/>
      <c r="AG244" s="146"/>
      <c r="AH244" s="146"/>
      <c r="AI244" s="146"/>
      <c r="AJ244" s="146"/>
      <c r="AK244" s="146"/>
      <c r="AL244" s="146"/>
      <c r="AM244" s="146"/>
      <c r="AN244" s="146"/>
      <c r="AO244" s="146"/>
      <c r="AP244" s="146"/>
      <c r="AQ244" s="146"/>
      <c r="AR244" s="146"/>
      <c r="AS244" s="146"/>
    </row>
    <row r="245" spans="1:45" x14ac:dyDescent="0.25">
      <c r="A245" s="61">
        <v>44135</v>
      </c>
      <c r="B245" s="62">
        <f t="shared" ca="1" si="26"/>
        <v>44135</v>
      </c>
      <c r="C245" s="12">
        <f t="shared" si="17"/>
        <v>242</v>
      </c>
      <c r="D245" s="63">
        <f>DANE!D245</f>
        <v>21897</v>
      </c>
      <c r="E245" s="64">
        <f t="shared" si="8"/>
        <v>362731</v>
      </c>
      <c r="F245" s="65">
        <f>DANE!E245</f>
        <v>280</v>
      </c>
      <c r="G245" s="66">
        <f t="shared" si="27"/>
        <v>5631</v>
      </c>
      <c r="H245" s="67">
        <f t="shared" si="4"/>
        <v>5556</v>
      </c>
      <c r="I245" s="68">
        <f>DANE!F245</f>
        <v>140280</v>
      </c>
      <c r="J245" s="54">
        <f t="shared" si="5"/>
        <v>16061</v>
      </c>
      <c r="K245" s="69">
        <f t="shared" si="10"/>
        <v>216820</v>
      </c>
      <c r="L245" s="84">
        <f t="shared" ca="1" si="11"/>
        <v>17255</v>
      </c>
      <c r="M245" s="44">
        <f t="shared" si="6"/>
        <v>3.8592018422188867</v>
      </c>
      <c r="N245" s="45">
        <f t="shared" si="7"/>
        <v>1.552390063159752</v>
      </c>
      <c r="O245" s="71">
        <f t="shared" si="12"/>
        <v>107704.20798015785</v>
      </c>
      <c r="P245" s="71">
        <f t="shared" si="13"/>
        <v>7.5875730343873959E-2</v>
      </c>
      <c r="Q245" s="157">
        <f t="shared" si="14"/>
        <v>1.5311301124071177</v>
      </c>
      <c r="R245" s="157">
        <f t="shared" ca="1" si="15"/>
        <v>1.5122474884961041</v>
      </c>
      <c r="S245" s="86">
        <f t="shared" ca="1" si="16"/>
        <v>-1.0000000000000009E-2</v>
      </c>
      <c r="T245" s="146"/>
      <c r="U245" s="381"/>
      <c r="V245" s="372"/>
      <c r="W245" s="372"/>
      <c r="X245" s="372"/>
      <c r="Y245" s="372"/>
      <c r="Z245" s="372"/>
      <c r="AA245" s="372"/>
      <c r="AB245" s="372"/>
      <c r="AC245" s="372"/>
      <c r="AD245" s="372"/>
      <c r="AE245" s="146"/>
      <c r="AF245" s="146"/>
      <c r="AG245" s="146"/>
      <c r="AH245" s="146"/>
      <c r="AI245" s="146"/>
      <c r="AJ245" s="146"/>
      <c r="AK245" s="146"/>
      <c r="AL245" s="146"/>
      <c r="AM245" s="146"/>
      <c r="AN245" s="146"/>
      <c r="AO245" s="146"/>
      <c r="AP245" s="146"/>
      <c r="AQ245" s="146"/>
      <c r="AR245" s="146"/>
      <c r="AS245" s="146"/>
    </row>
    <row r="246" spans="1:45" x14ac:dyDescent="0.25">
      <c r="A246" s="61">
        <v>44136</v>
      </c>
      <c r="B246" s="62">
        <f t="shared" ca="1" si="26"/>
        <v>44136</v>
      </c>
      <c r="C246" s="12">
        <f t="shared" si="17"/>
        <v>243</v>
      </c>
      <c r="D246" s="63">
        <f>DANE!D246</f>
        <v>17171</v>
      </c>
      <c r="E246" s="64">
        <f t="shared" si="8"/>
        <v>379902</v>
      </c>
      <c r="F246" s="65">
        <f>DANE!E246</f>
        <v>152</v>
      </c>
      <c r="G246" s="66">
        <f t="shared" si="27"/>
        <v>5783</v>
      </c>
      <c r="H246" s="67">
        <f t="shared" si="4"/>
        <v>6315</v>
      </c>
      <c r="I246" s="68">
        <f>DANE!F246</f>
        <v>146595</v>
      </c>
      <c r="J246" s="54">
        <f t="shared" si="5"/>
        <v>10704</v>
      </c>
      <c r="K246" s="69">
        <f t="shared" si="10"/>
        <v>227524</v>
      </c>
      <c r="L246" s="84">
        <f t="shared" ca="1" si="11"/>
        <v>18030.571428571428</v>
      </c>
      <c r="M246" s="44">
        <f t="shared" si="6"/>
        <v>3.7951672813660764</v>
      </c>
      <c r="N246" s="45">
        <f t="shared" si="7"/>
        <v>1.5222346815757748</v>
      </c>
      <c r="O246" s="71">
        <f t="shared" si="12"/>
        <v>109488.89255442102</v>
      </c>
      <c r="P246" s="71">
        <f t="shared" si="13"/>
        <v>1.657023999091994E-2</v>
      </c>
      <c r="Q246" s="157">
        <f t="shared" si="14"/>
        <v>1.1159916799364396</v>
      </c>
      <c r="R246" s="157">
        <f t="shared" ca="1" si="15"/>
        <v>1.4936103284319167</v>
      </c>
      <c r="S246" s="86">
        <f t="shared" ca="1" si="16"/>
        <v>-2.0000000000000018E-2</v>
      </c>
      <c r="T246" s="146"/>
      <c r="U246" s="381"/>
      <c r="V246" s="372"/>
      <c r="W246" s="372"/>
      <c r="X246" s="372"/>
      <c r="Y246" s="372"/>
      <c r="Z246" s="372"/>
      <c r="AA246" s="372"/>
      <c r="AB246" s="372"/>
      <c r="AC246" s="372"/>
      <c r="AD246" s="372"/>
      <c r="AE246" s="146"/>
      <c r="AF246" s="146"/>
      <c r="AG246" s="146"/>
      <c r="AH246" s="146"/>
      <c r="AI246" s="146"/>
      <c r="AJ246" s="146"/>
      <c r="AK246" s="146"/>
      <c r="AL246" s="146"/>
      <c r="AM246" s="146"/>
      <c r="AN246" s="146"/>
      <c r="AO246" s="146"/>
      <c r="AP246" s="146"/>
      <c r="AQ246" s="146"/>
      <c r="AR246" s="146"/>
      <c r="AS246" s="146"/>
    </row>
    <row r="247" spans="1:45" x14ac:dyDescent="0.25">
      <c r="A247" s="32">
        <v>44137</v>
      </c>
      <c r="B247" s="33">
        <f t="shared" ca="1" si="26"/>
        <v>44137</v>
      </c>
      <c r="C247" s="51">
        <f t="shared" si="17"/>
        <v>244</v>
      </c>
      <c r="D247" s="35">
        <f>DANE!D247</f>
        <v>15578</v>
      </c>
      <c r="E247" s="52">
        <f t="shared" si="8"/>
        <v>395480</v>
      </c>
      <c r="F247" s="37">
        <f>DANE!E247</f>
        <v>92</v>
      </c>
      <c r="G247" s="53">
        <f t="shared" si="27"/>
        <v>5875</v>
      </c>
      <c r="H247" s="39">
        <f t="shared" si="4"/>
        <v>7818</v>
      </c>
      <c r="I247" s="40">
        <f>DANE!F247</f>
        <v>154413</v>
      </c>
      <c r="J247" s="54">
        <f t="shared" si="5"/>
        <v>7668</v>
      </c>
      <c r="K247" s="42">
        <f t="shared" si="10"/>
        <v>235192</v>
      </c>
      <c r="L247" s="79">
        <f t="shared" ca="1" si="11"/>
        <v>18793</v>
      </c>
      <c r="M247" s="44">
        <f t="shared" si="6"/>
        <v>3.6652775004991014</v>
      </c>
      <c r="N247" s="45">
        <f t="shared" si="7"/>
        <v>1.4855365631637503</v>
      </c>
      <c r="O247" s="46">
        <f t="shared" si="12"/>
        <v>109425.62218950375</v>
      </c>
      <c r="P247" s="46">
        <f t="shared" si="13"/>
        <v>-5.7787016966883678E-4</v>
      </c>
      <c r="Q247" s="156">
        <f t="shared" si="14"/>
        <v>0.99595490881231818</v>
      </c>
      <c r="R247" s="156">
        <f t="shared" ca="1" si="15"/>
        <v>1.4858691830221455</v>
      </c>
      <c r="S247" s="81">
        <f t="shared" ca="1" si="16"/>
        <v>0</v>
      </c>
      <c r="T247" s="146"/>
      <c r="U247" s="381"/>
      <c r="V247" s="372"/>
      <c r="W247" s="372"/>
      <c r="X247" s="372"/>
      <c r="Y247" s="372"/>
      <c r="Z247" s="372"/>
      <c r="AA247" s="372"/>
      <c r="AB247" s="372"/>
      <c r="AC247" s="372"/>
      <c r="AD247" s="372"/>
      <c r="AE247" s="146"/>
      <c r="AF247" s="146"/>
      <c r="AG247" s="146"/>
      <c r="AH247" s="146"/>
      <c r="AI247" s="146"/>
      <c r="AJ247" s="146"/>
      <c r="AK247" s="146"/>
      <c r="AL247" s="146"/>
      <c r="AM247" s="146"/>
      <c r="AN247" s="146"/>
      <c r="AO247" s="146"/>
      <c r="AP247" s="146"/>
      <c r="AQ247" s="146"/>
      <c r="AR247" s="146"/>
      <c r="AS247" s="146"/>
    </row>
    <row r="248" spans="1:45" x14ac:dyDescent="0.25">
      <c r="A248" s="32">
        <v>44138</v>
      </c>
      <c r="B248" s="33">
        <f t="shared" ca="1" si="26"/>
        <v>44138</v>
      </c>
      <c r="C248" s="51">
        <f t="shared" si="17"/>
        <v>245</v>
      </c>
      <c r="D248" s="35">
        <f>DANE!D248</f>
        <v>19364</v>
      </c>
      <c r="E248" s="52">
        <f t="shared" si="8"/>
        <v>414844</v>
      </c>
      <c r="F248" s="37">
        <f>DANE!E248</f>
        <v>227</v>
      </c>
      <c r="G248" s="53">
        <f t="shared" si="27"/>
        <v>6102</v>
      </c>
      <c r="H248" s="39">
        <f t="shared" si="4"/>
        <v>5573</v>
      </c>
      <c r="I248" s="40">
        <f>DANE!F248</f>
        <v>159986</v>
      </c>
      <c r="J248" s="54">
        <f t="shared" si="5"/>
        <v>13564</v>
      </c>
      <c r="K248" s="42">
        <f t="shared" si="10"/>
        <v>248756</v>
      </c>
      <c r="L248" s="79">
        <f t="shared" ca="1" si="11"/>
        <v>19230.714285714286</v>
      </c>
      <c r="M248" s="44">
        <f t="shared" si="6"/>
        <v>3.6739559751457063</v>
      </c>
      <c r="N248" s="45">
        <f t="shared" si="7"/>
        <v>1.4709143678105505</v>
      </c>
      <c r="O248" s="46">
        <f t="shared" si="12"/>
        <v>113157.39044814608</v>
      </c>
      <c r="P248" s="46">
        <f t="shared" si="13"/>
        <v>3.4103240027090191E-2</v>
      </c>
      <c r="Q248" s="156">
        <f t="shared" si="14"/>
        <v>1.2387226801896314</v>
      </c>
      <c r="R248" s="156">
        <f t="shared" ca="1" si="15"/>
        <v>1.4257491238870557</v>
      </c>
      <c r="S248" s="81">
        <f t="shared" ca="1" si="16"/>
        <v>-6.0000000000000053E-2</v>
      </c>
      <c r="T248" s="146"/>
      <c r="U248" s="381"/>
      <c r="V248" s="372"/>
      <c r="W248" s="372"/>
      <c r="X248" s="372"/>
      <c r="Y248" s="372"/>
      <c r="Z248" s="372"/>
      <c r="AA248" s="372"/>
      <c r="AB248" s="372"/>
      <c r="AC248" s="372"/>
      <c r="AD248" s="372"/>
      <c r="AE248" s="146"/>
      <c r="AF248" s="146"/>
      <c r="AG248" s="146"/>
      <c r="AH248" s="146"/>
      <c r="AI248" s="146"/>
      <c r="AJ248" s="146"/>
      <c r="AK248" s="146"/>
      <c r="AL248" s="146"/>
      <c r="AM248" s="146"/>
      <c r="AN248" s="146"/>
      <c r="AO248" s="146"/>
      <c r="AP248" s="146"/>
      <c r="AQ248" s="146"/>
      <c r="AR248" s="146"/>
      <c r="AS248" s="146"/>
    </row>
    <row r="249" spans="1:45" x14ac:dyDescent="0.25">
      <c r="A249" s="32">
        <v>44139</v>
      </c>
      <c r="B249" s="33">
        <f t="shared" ca="1" si="26"/>
        <v>44139</v>
      </c>
      <c r="C249" s="51">
        <f t="shared" si="17"/>
        <v>246</v>
      </c>
      <c r="D249" s="35">
        <f>DANE!D249</f>
        <v>24692</v>
      </c>
      <c r="E249" s="52">
        <f t="shared" si="8"/>
        <v>439536</v>
      </c>
      <c r="F249" s="37">
        <f>DANE!E249</f>
        <v>372</v>
      </c>
      <c r="G249" s="53">
        <f t="shared" si="27"/>
        <v>6474</v>
      </c>
      <c r="H249" s="39">
        <f t="shared" si="4"/>
        <v>8974</v>
      </c>
      <c r="I249" s="40">
        <f>DANE!F249</f>
        <v>168960</v>
      </c>
      <c r="J249" s="54">
        <f t="shared" si="5"/>
        <v>15346</v>
      </c>
      <c r="K249" s="42">
        <f t="shared" si="10"/>
        <v>264102</v>
      </c>
      <c r="L249" s="79">
        <f t="shared" ca="1" si="11"/>
        <v>20069.571428571428</v>
      </c>
      <c r="M249" s="44">
        <f t="shared" si="6"/>
        <v>3.6902766852491533</v>
      </c>
      <c r="N249" s="45">
        <f t="shared" si="7"/>
        <v>1.4729168941793163</v>
      </c>
      <c r="O249" s="46">
        <f t="shared" si="12"/>
        <v>121684.04895555379</v>
      </c>
      <c r="P249" s="46">
        <f t="shared" si="13"/>
        <v>7.5352201686862186E-2</v>
      </c>
      <c r="Q249" s="156">
        <f t="shared" si="14"/>
        <v>1.5274654118080353</v>
      </c>
      <c r="R249" s="156">
        <f t="shared" ca="1" si="15"/>
        <v>1.3937962122797352</v>
      </c>
      <c r="S249" s="81">
        <f t="shared" ca="1" si="16"/>
        <v>-4.0000000000000036E-2</v>
      </c>
      <c r="T249" s="146"/>
      <c r="U249" s="401"/>
      <c r="V249" s="372"/>
      <c r="W249" s="372"/>
      <c r="X249" s="372"/>
      <c r="Y249" s="372"/>
      <c r="Z249" s="372"/>
      <c r="AA249" s="372"/>
      <c r="AB249" s="372"/>
      <c r="AC249" s="372"/>
      <c r="AD249" s="372"/>
      <c r="AE249" s="146"/>
      <c r="AF249" s="146"/>
      <c r="AG249" s="146"/>
      <c r="AH249" s="146"/>
      <c r="AI249" s="146"/>
      <c r="AJ249" s="146"/>
      <c r="AK249" s="146"/>
      <c r="AL249" s="146"/>
      <c r="AM249" s="146"/>
      <c r="AN249" s="146"/>
      <c r="AO249" s="146"/>
      <c r="AP249" s="146"/>
      <c r="AQ249" s="146"/>
      <c r="AR249" s="146"/>
      <c r="AS249" s="146"/>
    </row>
    <row r="250" spans="1:45" x14ac:dyDescent="0.25">
      <c r="A250" s="32">
        <v>44140</v>
      </c>
      <c r="B250" s="33">
        <f t="shared" ca="1" si="26"/>
        <v>44140</v>
      </c>
      <c r="C250" s="51">
        <f t="shared" si="17"/>
        <v>247</v>
      </c>
      <c r="D250" s="35">
        <f>DANE!D250</f>
        <v>27143</v>
      </c>
      <c r="E250" s="52">
        <f t="shared" si="8"/>
        <v>466679</v>
      </c>
      <c r="F250" s="37">
        <f>DANE!E250</f>
        <v>367</v>
      </c>
      <c r="G250" s="53">
        <f t="shared" si="27"/>
        <v>6841</v>
      </c>
      <c r="H250" s="39">
        <f t="shared" si="4"/>
        <v>8721</v>
      </c>
      <c r="I250" s="40">
        <f>DANE!F250</f>
        <v>177681</v>
      </c>
      <c r="J250" s="54">
        <f t="shared" si="5"/>
        <v>18055</v>
      </c>
      <c r="K250" s="42">
        <f t="shared" si="10"/>
        <v>282157</v>
      </c>
      <c r="L250" s="79">
        <f t="shared" ca="1" si="11"/>
        <v>21067.714285714286</v>
      </c>
      <c r="M250" s="44">
        <f t="shared" si="6"/>
        <v>3.7074170017667267</v>
      </c>
      <c r="N250" s="45">
        <f t="shared" si="7"/>
        <v>1.4658898300544914</v>
      </c>
      <c r="O250" s="46">
        <f t="shared" si="12"/>
        <v>131443.6133904747</v>
      </c>
      <c r="P250" s="46">
        <f t="shared" si="13"/>
        <v>8.0204139479987821E-2</v>
      </c>
      <c r="Q250" s="156">
        <f t="shared" si="14"/>
        <v>1.5614289763599147</v>
      </c>
      <c r="R250" s="156">
        <f t="shared" ca="1" si="15"/>
        <v>1.374899926822982</v>
      </c>
      <c r="S250" s="81">
        <f t="shared" ca="1" si="16"/>
        <v>-1.9999999999999796E-2</v>
      </c>
      <c r="T250" s="146"/>
      <c r="U250" s="381"/>
      <c r="V250" s="372"/>
      <c r="W250" s="372"/>
      <c r="X250" s="372"/>
      <c r="Y250" s="372"/>
      <c r="Z250" s="372"/>
      <c r="AA250" s="372"/>
      <c r="AB250" s="372"/>
      <c r="AC250" s="372"/>
      <c r="AD250" s="372"/>
      <c r="AE250" s="146"/>
      <c r="AF250" s="146"/>
      <c r="AG250" s="146"/>
      <c r="AH250" s="146"/>
      <c r="AI250" s="146"/>
      <c r="AJ250" s="146"/>
      <c r="AK250" s="146"/>
      <c r="AL250" s="146"/>
      <c r="AM250" s="146"/>
      <c r="AN250" s="146"/>
      <c r="AO250" s="146"/>
      <c r="AP250" s="146"/>
      <c r="AQ250" s="146"/>
      <c r="AR250" s="146"/>
      <c r="AS250" s="146"/>
    </row>
    <row r="251" spans="1:45" x14ac:dyDescent="0.25">
      <c r="A251" s="32">
        <v>44141</v>
      </c>
      <c r="B251" s="33">
        <f t="shared" ca="1" si="26"/>
        <v>44141</v>
      </c>
      <c r="C251" s="51">
        <f t="shared" si="17"/>
        <v>248</v>
      </c>
      <c r="D251" s="35">
        <f>DANE!D251</f>
        <v>27086</v>
      </c>
      <c r="E251" s="52">
        <f t="shared" si="8"/>
        <v>493765</v>
      </c>
      <c r="F251" s="37">
        <f>DANE!E251</f>
        <v>445</v>
      </c>
      <c r="G251" s="53">
        <f t="shared" si="27"/>
        <v>7286</v>
      </c>
      <c r="H251" s="39">
        <f t="shared" si="4"/>
        <v>10994</v>
      </c>
      <c r="I251" s="40">
        <f>DANE!F251</f>
        <v>188675</v>
      </c>
      <c r="J251" s="54">
        <f t="shared" si="5"/>
        <v>15647</v>
      </c>
      <c r="K251" s="42">
        <f t="shared" si="10"/>
        <v>297804</v>
      </c>
      <c r="L251" s="79">
        <f t="shared" ca="1" si="11"/>
        <v>21847.285714285714</v>
      </c>
      <c r="M251" s="44">
        <f t="shared" si="6"/>
        <v>3.718086762161859</v>
      </c>
      <c r="N251" s="45">
        <f t="shared" si="7"/>
        <v>1.4756007412433041</v>
      </c>
      <c r="O251" s="46">
        <f t="shared" si="12"/>
        <v>139751.95433469262</v>
      </c>
      <c r="P251" s="46">
        <f t="shared" si="13"/>
        <v>6.320840343559822E-2</v>
      </c>
      <c r="Q251" s="156">
        <f t="shared" si="14"/>
        <v>1.4424588240491876</v>
      </c>
      <c r="R251" s="156">
        <f t="shared" ca="1" si="15"/>
        <v>1.3447360847946634</v>
      </c>
      <c r="S251" s="81">
        <f t="shared" ca="1" si="16"/>
        <v>-3.0000000000000027E-2</v>
      </c>
      <c r="T251" s="146"/>
      <c r="U251" s="401"/>
      <c r="V251" s="372"/>
      <c r="W251" s="372"/>
      <c r="X251" s="372"/>
      <c r="Y251" s="372"/>
      <c r="Z251" s="372"/>
      <c r="AA251" s="372"/>
      <c r="AB251" s="372"/>
      <c r="AC251" s="372"/>
      <c r="AD251" s="372"/>
      <c r="AE251" s="146"/>
      <c r="AF251" s="146"/>
      <c r="AG251" s="146"/>
      <c r="AH251" s="146"/>
      <c r="AI251" s="146"/>
      <c r="AJ251" s="146"/>
      <c r="AK251" s="146"/>
      <c r="AL251" s="146"/>
      <c r="AM251" s="146"/>
      <c r="AN251" s="146"/>
      <c r="AO251" s="146"/>
      <c r="AP251" s="146"/>
      <c r="AQ251" s="146"/>
      <c r="AR251" s="146"/>
      <c r="AS251" s="146"/>
    </row>
    <row r="252" spans="1:45" x14ac:dyDescent="0.25">
      <c r="A252" s="61">
        <v>44142</v>
      </c>
      <c r="B252" s="62">
        <f t="shared" ca="1" si="26"/>
        <v>44142</v>
      </c>
      <c r="C252" s="12">
        <f t="shared" si="17"/>
        <v>249</v>
      </c>
      <c r="D252" s="63">
        <f>DANE!D252</f>
        <v>27875</v>
      </c>
      <c r="E252" s="64">
        <f t="shared" si="8"/>
        <v>521640</v>
      </c>
      <c r="F252" s="65">
        <f>DANE!E252</f>
        <v>349</v>
      </c>
      <c r="G252" s="66">
        <f t="shared" si="27"/>
        <v>7635</v>
      </c>
      <c r="H252" s="67">
        <f t="shared" si="4"/>
        <v>11835</v>
      </c>
      <c r="I252" s="68">
        <f>DANE!F252</f>
        <v>200510</v>
      </c>
      <c r="J252" s="54">
        <f t="shared" si="5"/>
        <v>15691</v>
      </c>
      <c r="K252" s="69">
        <f t="shared" si="10"/>
        <v>313495</v>
      </c>
      <c r="L252" s="84">
        <f t="shared" ca="1" si="11"/>
        <v>22701.285714285714</v>
      </c>
      <c r="M252" s="44">
        <f t="shared" si="6"/>
        <v>3.6681159768430662</v>
      </c>
      <c r="N252" s="45">
        <f t="shared" si="7"/>
        <v>1.4636530940878767</v>
      </c>
      <c r="O252" s="71">
        <f t="shared" si="12"/>
        <v>147662.38942973653</v>
      </c>
      <c r="P252" s="71">
        <f t="shared" si="13"/>
        <v>5.6603395156100446E-2</v>
      </c>
      <c r="Q252" s="157">
        <f t="shared" si="14"/>
        <v>1.396223766092703</v>
      </c>
      <c r="R252" s="157">
        <f t="shared" ca="1" si="15"/>
        <v>1.32546374960689</v>
      </c>
      <c r="S252" s="86">
        <f t="shared" ca="1" si="16"/>
        <v>-1.0000000000000009E-2</v>
      </c>
      <c r="T252" s="146"/>
      <c r="U252" s="381"/>
      <c r="V252" s="372"/>
      <c r="W252" s="372"/>
      <c r="X252" s="372"/>
      <c r="Y252" s="372"/>
      <c r="Z252" s="372"/>
      <c r="AA252" s="372"/>
      <c r="AB252" s="372"/>
      <c r="AC252" s="372"/>
      <c r="AD252" s="372"/>
      <c r="AE252" s="146"/>
      <c r="AF252" s="146"/>
      <c r="AG252" s="146"/>
      <c r="AH252" s="146"/>
      <c r="AI252" s="146"/>
      <c r="AJ252" s="146"/>
      <c r="AK252" s="146"/>
      <c r="AL252" s="146"/>
      <c r="AM252" s="146"/>
      <c r="AN252" s="146"/>
      <c r="AO252" s="146"/>
      <c r="AP252" s="146"/>
      <c r="AQ252" s="146"/>
      <c r="AR252" s="146"/>
      <c r="AS252" s="146"/>
    </row>
    <row r="253" spans="1:45" x14ac:dyDescent="0.25">
      <c r="A253" s="61">
        <v>44143</v>
      </c>
      <c r="B253" s="62">
        <f t="shared" ca="1" si="26"/>
        <v>44143</v>
      </c>
      <c r="C253" s="12">
        <f t="shared" si="17"/>
        <v>250</v>
      </c>
      <c r="D253" s="63">
        <f>DANE!D253</f>
        <v>24785</v>
      </c>
      <c r="E253" s="64">
        <f t="shared" si="8"/>
        <v>546425</v>
      </c>
      <c r="F253" s="65">
        <f>DANE!E253</f>
        <v>236</v>
      </c>
      <c r="G253" s="66">
        <f t="shared" si="27"/>
        <v>7871</v>
      </c>
      <c r="H253" s="67">
        <f t="shared" si="4"/>
        <v>8853</v>
      </c>
      <c r="I253" s="68">
        <f>DANE!F253</f>
        <v>209363</v>
      </c>
      <c r="J253" s="54">
        <f t="shared" si="5"/>
        <v>15696</v>
      </c>
      <c r="K253" s="69">
        <f t="shared" si="10"/>
        <v>329191</v>
      </c>
      <c r="L253" s="84">
        <f t="shared" ca="1" si="11"/>
        <v>23789</v>
      </c>
      <c r="M253" s="44">
        <f t="shared" si="6"/>
        <v>3.6232818067153394</v>
      </c>
      <c r="N253" s="45">
        <f t="shared" si="7"/>
        <v>1.4404538591755502</v>
      </c>
      <c r="O253" s="71">
        <f t="shared" si="12"/>
        <v>151352.7623683456</v>
      </c>
      <c r="P253" s="71">
        <f t="shared" si="13"/>
        <v>2.4991962766287842E-2</v>
      </c>
      <c r="Q253" s="157">
        <f t="shared" si="14"/>
        <v>1.174943739364015</v>
      </c>
      <c r="R253" s="157">
        <f t="shared" ca="1" si="15"/>
        <v>1.333885472382258</v>
      </c>
      <c r="S253" s="86">
        <f t="shared" ca="1" si="16"/>
        <v>0</v>
      </c>
      <c r="T253" s="146"/>
      <c r="U253" s="401"/>
      <c r="V253" s="372"/>
      <c r="W253" s="372"/>
      <c r="X253" s="372"/>
      <c r="Y253" s="372"/>
      <c r="Z253" s="372"/>
      <c r="AA253" s="372"/>
      <c r="AB253" s="372"/>
      <c r="AC253" s="372"/>
      <c r="AD253" s="372"/>
      <c r="AE253" s="146"/>
      <c r="AF253" s="146"/>
      <c r="AG253" s="146"/>
      <c r="AH253" s="146"/>
      <c r="AI253" s="146"/>
      <c r="AJ253" s="146"/>
      <c r="AK253" s="146"/>
      <c r="AL253" s="146"/>
      <c r="AM253" s="146"/>
      <c r="AN253" s="146"/>
      <c r="AO253" s="146"/>
      <c r="AP253" s="146"/>
      <c r="AQ253" s="146"/>
      <c r="AR253" s="146"/>
      <c r="AS253" s="146"/>
    </row>
    <row r="254" spans="1:45" x14ac:dyDescent="0.25">
      <c r="A254" s="32">
        <v>44144</v>
      </c>
      <c r="B254" s="33">
        <f t="shared" ca="1" si="26"/>
        <v>44144</v>
      </c>
      <c r="C254" s="51">
        <f t="shared" si="17"/>
        <v>251</v>
      </c>
      <c r="D254" s="35">
        <f>DANE!D254</f>
        <v>21713</v>
      </c>
      <c r="E254" s="52">
        <f t="shared" si="8"/>
        <v>568138</v>
      </c>
      <c r="F254" s="37">
        <f>DANE!E254</f>
        <v>173</v>
      </c>
      <c r="G254" s="53">
        <f t="shared" si="27"/>
        <v>8044</v>
      </c>
      <c r="H254" s="39">
        <f t="shared" si="4"/>
        <v>10008</v>
      </c>
      <c r="I254" s="40">
        <f>DANE!F254</f>
        <v>219371</v>
      </c>
      <c r="J254" s="54">
        <f t="shared" si="5"/>
        <v>11532</v>
      </c>
      <c r="K254" s="42">
        <f t="shared" si="10"/>
        <v>340723</v>
      </c>
      <c r="L254" s="79">
        <f t="shared" ca="1" si="11"/>
        <v>24665.428571428572</v>
      </c>
      <c r="M254" s="44">
        <f t="shared" si="6"/>
        <v>3.5371457467625267</v>
      </c>
      <c r="N254" s="45">
        <f t="shared" si="7"/>
        <v>1.4158531905980589</v>
      </c>
      <c r="O254" s="46">
        <f t="shared" si="12"/>
        <v>151443.93917286769</v>
      </c>
      <c r="P254" s="46">
        <f t="shared" si="13"/>
        <v>6.0241255656890813E-4</v>
      </c>
      <c r="Q254" s="156">
        <f t="shared" si="14"/>
        <v>1.0042168878959823</v>
      </c>
      <c r="R254" s="156">
        <f t="shared" ca="1" si="15"/>
        <v>1.3350657551084955</v>
      </c>
      <c r="S254" s="81">
        <f t="shared" ca="1" si="16"/>
        <v>1.0000000000000009E-2</v>
      </c>
      <c r="T254" s="146"/>
      <c r="U254" s="381"/>
      <c r="V254" s="372"/>
      <c r="W254" s="372"/>
      <c r="X254" s="372"/>
      <c r="Y254" s="372"/>
      <c r="Z254" s="372"/>
      <c r="AA254" s="372"/>
      <c r="AB254" s="372"/>
      <c r="AC254" s="372"/>
      <c r="AD254" s="372"/>
      <c r="AE254" s="146"/>
      <c r="AF254" s="146"/>
      <c r="AG254" s="146"/>
      <c r="AH254" s="146"/>
      <c r="AI254" s="146"/>
      <c r="AJ254" s="146"/>
      <c r="AK254" s="146"/>
      <c r="AL254" s="146"/>
      <c r="AM254" s="146"/>
      <c r="AN254" s="146"/>
      <c r="AO254" s="146"/>
      <c r="AP254" s="146"/>
      <c r="AQ254" s="146"/>
      <c r="AR254" s="146"/>
      <c r="AS254" s="146"/>
    </row>
    <row r="255" spans="1:45" x14ac:dyDescent="0.25">
      <c r="A255" s="32">
        <v>44145</v>
      </c>
      <c r="B255" s="33">
        <f t="shared" ca="1" si="26"/>
        <v>44145</v>
      </c>
      <c r="C255" s="51">
        <f t="shared" si="17"/>
        <v>252</v>
      </c>
      <c r="D255" s="35">
        <f>DANE!D255</f>
        <v>25454</v>
      </c>
      <c r="E255" s="52">
        <f t="shared" si="8"/>
        <v>593592</v>
      </c>
      <c r="F255" s="37">
        <f>DANE!E255</f>
        <v>330</v>
      </c>
      <c r="G255" s="53">
        <f t="shared" si="27"/>
        <v>8374</v>
      </c>
      <c r="H255" s="39">
        <f t="shared" si="4"/>
        <v>11290</v>
      </c>
      <c r="I255" s="40">
        <f>DANE!F255</f>
        <v>230661</v>
      </c>
      <c r="J255" s="54">
        <f t="shared" si="5"/>
        <v>13834</v>
      </c>
      <c r="K255" s="42">
        <f t="shared" si="10"/>
        <v>354557</v>
      </c>
      <c r="L255" s="79">
        <f t="shared" ca="1" si="11"/>
        <v>25535.428571428572</v>
      </c>
      <c r="M255" s="44">
        <f t="shared" si="6"/>
        <v>3.5032526617440962</v>
      </c>
      <c r="N255" s="45">
        <f t="shared" si="7"/>
        <v>1.4107332982924299</v>
      </c>
      <c r="O255" s="46">
        <f t="shared" si="12"/>
        <v>155263.09071960088</v>
      </c>
      <c r="P255" s="46">
        <f t="shared" si="13"/>
        <v>2.5218252824061656E-2</v>
      </c>
      <c r="Q255" s="156">
        <f t="shared" si="14"/>
        <v>1.1765277697684315</v>
      </c>
      <c r="R255" s="156">
        <f t="shared" ca="1" si="15"/>
        <v>1.3261807679054674</v>
      </c>
      <c r="S255" s="81">
        <f t="shared" ca="1" si="16"/>
        <v>-1.0000000000000009E-2</v>
      </c>
      <c r="T255" s="146"/>
      <c r="U255" s="401"/>
      <c r="V255" s="372"/>
      <c r="W255" s="372"/>
      <c r="X255" s="372"/>
      <c r="Y255" s="372"/>
      <c r="Z255" s="372"/>
      <c r="AA255" s="372"/>
      <c r="AB255" s="372"/>
      <c r="AC255" s="372"/>
      <c r="AD255" s="372"/>
      <c r="AE255" s="146"/>
      <c r="AF255" s="146"/>
      <c r="AG255" s="146"/>
      <c r="AH255" s="146"/>
      <c r="AI255" s="146"/>
      <c r="AJ255" s="146"/>
      <c r="AK255" s="146"/>
      <c r="AL255" s="146"/>
      <c r="AM255" s="146"/>
      <c r="AN255" s="146"/>
      <c r="AO255" s="146"/>
      <c r="AP255" s="146"/>
      <c r="AQ255" s="146"/>
      <c r="AR255" s="146"/>
      <c r="AS255" s="146"/>
    </row>
    <row r="256" spans="1:45" x14ac:dyDescent="0.25">
      <c r="A256" s="32">
        <v>44146</v>
      </c>
      <c r="B256" s="33">
        <f t="shared" ca="1" si="26"/>
        <v>44146</v>
      </c>
      <c r="C256" s="51">
        <f t="shared" si="17"/>
        <v>253</v>
      </c>
      <c r="D256" s="35">
        <f>DANE!D256</f>
        <v>25221</v>
      </c>
      <c r="E256" s="52">
        <f t="shared" si="8"/>
        <v>618813</v>
      </c>
      <c r="F256" s="37">
        <f>DANE!E256</f>
        <v>429</v>
      </c>
      <c r="G256" s="53">
        <f t="shared" si="27"/>
        <v>8803</v>
      </c>
      <c r="H256" s="39">
        <f t="shared" si="4"/>
        <v>12214</v>
      </c>
      <c r="I256" s="40">
        <f>DANE!F256</f>
        <v>242875</v>
      </c>
      <c r="J256" s="54">
        <f t="shared" si="5"/>
        <v>12578</v>
      </c>
      <c r="K256" s="42">
        <f t="shared" si="10"/>
        <v>367135</v>
      </c>
      <c r="L256" s="79">
        <f t="shared" ca="1" si="11"/>
        <v>25611</v>
      </c>
      <c r="M256" s="44">
        <f t="shared" si="6"/>
        <v>3.4977232813356749</v>
      </c>
      <c r="N256" s="45">
        <f t="shared" si="7"/>
        <v>1.4225622280074919</v>
      </c>
      <c r="O256" s="46">
        <f t="shared" si="12"/>
        <v>158303.64918822932</v>
      </c>
      <c r="P256" s="46">
        <f t="shared" si="13"/>
        <v>1.9583266406306265E-2</v>
      </c>
      <c r="Q256" s="156">
        <f t="shared" si="14"/>
        <v>1.1370828648441438</v>
      </c>
      <c r="R256" s="156">
        <f t="shared" ca="1" si="15"/>
        <v>1.270411832624911</v>
      </c>
      <c r="S256" s="81">
        <f t="shared" ca="1" si="16"/>
        <v>-6.0000000000000053E-2</v>
      </c>
      <c r="T256" s="146"/>
      <c r="U256" s="381"/>
      <c r="V256" s="372"/>
      <c r="W256" s="372"/>
      <c r="X256" s="372"/>
      <c r="Y256" s="372"/>
      <c r="Z256" s="372"/>
      <c r="AA256" s="372"/>
      <c r="AB256" s="372"/>
      <c r="AC256" s="372"/>
      <c r="AD256" s="372"/>
      <c r="AE256" s="146"/>
      <c r="AF256" s="146"/>
      <c r="AG256" s="146"/>
      <c r="AH256" s="146"/>
      <c r="AI256" s="146"/>
      <c r="AJ256" s="146"/>
      <c r="AK256" s="146"/>
      <c r="AL256" s="146"/>
      <c r="AM256" s="146"/>
      <c r="AN256" s="146"/>
      <c r="AO256" s="146"/>
      <c r="AP256" s="146"/>
      <c r="AQ256" s="146"/>
      <c r="AR256" s="146"/>
      <c r="AS256" s="146"/>
    </row>
    <row r="257" spans="1:45" x14ac:dyDescent="0.25">
      <c r="A257" s="32">
        <v>44147</v>
      </c>
      <c r="B257" s="33">
        <f t="shared" ca="1" si="26"/>
        <v>44147</v>
      </c>
      <c r="C257" s="51">
        <f t="shared" si="17"/>
        <v>254</v>
      </c>
      <c r="D257" s="35">
        <f>DANE!D257</f>
        <v>22683</v>
      </c>
      <c r="E257" s="52">
        <f t="shared" si="8"/>
        <v>641496</v>
      </c>
      <c r="F257" s="37">
        <f>DANE!E257</f>
        <v>275</v>
      </c>
      <c r="G257" s="53">
        <f t="shared" si="27"/>
        <v>9078</v>
      </c>
      <c r="H257" s="39">
        <f t="shared" si="4"/>
        <v>11474</v>
      </c>
      <c r="I257" s="40">
        <f>DANE!F257</f>
        <v>254349</v>
      </c>
      <c r="J257" s="54">
        <f t="shared" si="5"/>
        <v>10934</v>
      </c>
      <c r="K257" s="42">
        <f t="shared" si="10"/>
        <v>378069</v>
      </c>
      <c r="L257" s="79">
        <f t="shared" ca="1" si="11"/>
        <v>24973.857142857141</v>
      </c>
      <c r="M257" s="44">
        <f t="shared" si="6"/>
        <v>3.4461160017765833</v>
      </c>
      <c r="N257" s="45">
        <f t="shared" si="7"/>
        <v>1.4151296344794044</v>
      </c>
      <c r="O257" s="46">
        <f t="shared" si="12"/>
        <v>158371.84216133942</v>
      </c>
      <c r="P257" s="46">
        <f t="shared" si="13"/>
        <v>4.3077322259964506E-4</v>
      </c>
      <c r="Q257" s="156">
        <f t="shared" si="14"/>
        <v>1.0030154125581976</v>
      </c>
      <c r="R257" s="156">
        <f t="shared" ca="1" si="15"/>
        <v>1.1906384663675227</v>
      </c>
      <c r="S257" s="81">
        <f t="shared" ca="1" si="16"/>
        <v>-8.0000000000000071E-2</v>
      </c>
      <c r="T257" s="146"/>
      <c r="U257" s="401"/>
      <c r="V257" s="372"/>
      <c r="W257" s="372"/>
      <c r="X257" s="372"/>
      <c r="Y257" s="372"/>
      <c r="Z257" s="372"/>
      <c r="AA257" s="372"/>
      <c r="AB257" s="372"/>
      <c r="AC257" s="372"/>
      <c r="AD257" s="372"/>
      <c r="AE257" s="146"/>
      <c r="AF257" s="146"/>
      <c r="AG257" s="146"/>
      <c r="AH257" s="146"/>
      <c r="AI257" s="146"/>
      <c r="AJ257" s="146"/>
      <c r="AK257" s="146"/>
      <c r="AL257" s="146"/>
      <c r="AM257" s="146"/>
      <c r="AN257" s="146"/>
      <c r="AO257" s="146"/>
      <c r="AP257" s="146"/>
      <c r="AQ257" s="146"/>
      <c r="AR257" s="146"/>
      <c r="AS257" s="146"/>
    </row>
    <row r="258" spans="1:45" x14ac:dyDescent="0.25">
      <c r="A258" s="32">
        <v>44148</v>
      </c>
      <c r="B258" s="33">
        <f t="shared" ca="1" si="26"/>
        <v>44148</v>
      </c>
      <c r="C258" s="51">
        <f t="shared" si="17"/>
        <v>255</v>
      </c>
      <c r="D258" s="35">
        <f>DANE!D258</f>
        <v>24051</v>
      </c>
      <c r="E258" s="52">
        <f t="shared" si="8"/>
        <v>665547</v>
      </c>
      <c r="F258" s="37">
        <f>DANE!E258</f>
        <v>419</v>
      </c>
      <c r="G258" s="53">
        <f t="shared" si="27"/>
        <v>9497</v>
      </c>
      <c r="H258" s="39">
        <f t="shared" si="4"/>
        <v>13231</v>
      </c>
      <c r="I258" s="40">
        <f>DANE!F258</f>
        <v>267580</v>
      </c>
      <c r="J258" s="54">
        <f t="shared" si="5"/>
        <v>10401</v>
      </c>
      <c r="K258" s="42">
        <f t="shared" si="10"/>
        <v>388470</v>
      </c>
      <c r="L258" s="79">
        <f t="shared" ca="1" si="11"/>
        <v>24540.285714285714</v>
      </c>
      <c r="M258" s="44">
        <f t="shared" si="6"/>
        <v>3.4275670661945958</v>
      </c>
      <c r="N258" s="45">
        <f t="shared" si="7"/>
        <v>1.4269465567420483</v>
      </c>
      <c r="O258" s="46">
        <f t="shared" si="12"/>
        <v>159798.29328114807</v>
      </c>
      <c r="P258" s="46">
        <f t="shared" si="13"/>
        <v>9.0069743481008113E-3</v>
      </c>
      <c r="Q258" s="156">
        <f t="shared" si="14"/>
        <v>1.0630488204367057</v>
      </c>
      <c r="R258" s="156">
        <f t="shared" ca="1" si="15"/>
        <v>1.1364370372800257</v>
      </c>
      <c r="S258" s="81">
        <f t="shared" ca="1" si="16"/>
        <v>-5.0000000000000044E-2</v>
      </c>
      <c r="T258" s="146"/>
      <c r="U258" s="381"/>
      <c r="V258" s="372"/>
      <c r="W258" s="372"/>
      <c r="X258" s="372"/>
      <c r="Y258" s="372"/>
      <c r="Z258" s="372"/>
      <c r="AA258" s="372"/>
      <c r="AB258" s="372"/>
      <c r="AC258" s="372"/>
      <c r="AD258" s="372"/>
      <c r="AE258" s="146"/>
      <c r="AF258" s="146"/>
      <c r="AG258" s="146"/>
      <c r="AH258" s="146"/>
      <c r="AI258" s="146"/>
      <c r="AJ258" s="146"/>
      <c r="AK258" s="146"/>
      <c r="AL258" s="146"/>
      <c r="AM258" s="146"/>
      <c r="AN258" s="146"/>
      <c r="AO258" s="146"/>
      <c r="AP258" s="146"/>
      <c r="AQ258" s="146"/>
      <c r="AR258" s="146"/>
      <c r="AS258" s="146"/>
    </row>
    <row r="259" spans="1:45" x14ac:dyDescent="0.25">
      <c r="A259" s="61">
        <v>44149</v>
      </c>
      <c r="B259" s="62">
        <f t="shared" ca="1" si="26"/>
        <v>44149</v>
      </c>
      <c r="C259" s="12">
        <f t="shared" si="17"/>
        <v>256</v>
      </c>
      <c r="D259" s="63">
        <f>DANE!D259</f>
        <v>25571</v>
      </c>
      <c r="E259" s="64">
        <f t="shared" si="8"/>
        <v>691118</v>
      </c>
      <c r="F259" s="65">
        <f>DANE!E259</f>
        <v>548</v>
      </c>
      <c r="G259" s="66">
        <f t="shared" si="27"/>
        <v>10045</v>
      </c>
      <c r="H259" s="67">
        <f t="shared" si="4"/>
        <v>14635</v>
      </c>
      <c r="I259" s="68">
        <f>DANE!F259</f>
        <v>282215</v>
      </c>
      <c r="J259" s="54">
        <f t="shared" si="5"/>
        <v>10388</v>
      </c>
      <c r="K259" s="69">
        <f t="shared" si="10"/>
        <v>398858</v>
      </c>
      <c r="L259" s="84">
        <f t="shared" ca="1" si="11"/>
        <v>24211.142857142859</v>
      </c>
      <c r="M259" s="44">
        <f t="shared" si="6"/>
        <v>3.4370081434339284</v>
      </c>
      <c r="N259" s="45">
        <f t="shared" si="7"/>
        <v>1.4534421039533045</v>
      </c>
      <c r="O259" s="71">
        <f t="shared" si="12"/>
        <v>162540.9656695555</v>
      </c>
      <c r="P259" s="71">
        <f t="shared" si="13"/>
        <v>1.7163339683371904E-2</v>
      </c>
      <c r="Q259" s="157">
        <f t="shared" si="14"/>
        <v>1.1201433777836034</v>
      </c>
      <c r="R259" s="157">
        <f t="shared" ca="1" si="15"/>
        <v>1.0969969818072971</v>
      </c>
      <c r="S259" s="86">
        <f t="shared" ca="1" si="16"/>
        <v>-3.9999999999999813E-2</v>
      </c>
      <c r="T259" s="146"/>
      <c r="U259" s="401"/>
      <c r="V259" s="372"/>
      <c r="W259" s="372"/>
      <c r="X259" s="372"/>
      <c r="Y259" s="372"/>
      <c r="Z259" s="372"/>
      <c r="AA259" s="372"/>
      <c r="AB259" s="372"/>
      <c r="AC259" s="372"/>
      <c r="AD259" s="372"/>
      <c r="AE259" s="146"/>
      <c r="AF259" s="146"/>
      <c r="AG259" s="146"/>
      <c r="AH259" s="146"/>
      <c r="AI259" s="146"/>
      <c r="AJ259" s="146"/>
      <c r="AK259" s="146"/>
      <c r="AL259" s="146"/>
      <c r="AM259" s="146"/>
      <c r="AN259" s="146"/>
      <c r="AO259" s="146"/>
      <c r="AP259" s="146"/>
      <c r="AQ259" s="146"/>
      <c r="AR259" s="146"/>
      <c r="AS259" s="146"/>
    </row>
    <row r="260" spans="1:45" x14ac:dyDescent="0.25">
      <c r="A260" s="61">
        <v>44150</v>
      </c>
      <c r="B260" s="62">
        <f t="shared" ca="1" si="26"/>
        <v>44150</v>
      </c>
      <c r="C260" s="12">
        <f t="shared" si="17"/>
        <v>257</v>
      </c>
      <c r="D260" s="63">
        <f>DANE!D260</f>
        <v>21854</v>
      </c>
      <c r="E260" s="64">
        <f t="shared" si="8"/>
        <v>712972</v>
      </c>
      <c r="F260" s="65">
        <f>DANE!E260</f>
        <v>303</v>
      </c>
      <c r="G260" s="66">
        <f t="shared" si="27"/>
        <v>10348</v>
      </c>
      <c r="H260" s="67">
        <f t="shared" si="4"/>
        <v>12568</v>
      </c>
      <c r="I260" s="68">
        <f>DANE!F260</f>
        <v>294783</v>
      </c>
      <c r="J260" s="54">
        <f t="shared" si="5"/>
        <v>8983</v>
      </c>
      <c r="K260" s="69">
        <f t="shared" si="10"/>
        <v>407841</v>
      </c>
      <c r="L260" s="84">
        <f t="shared" ca="1" si="11"/>
        <v>23792.428571428572</v>
      </c>
      <c r="M260" s="44">
        <f t="shared" si="6"/>
        <v>3.3913302810923835</v>
      </c>
      <c r="N260" s="45">
        <f t="shared" si="7"/>
        <v>1.4513893953759756</v>
      </c>
      <c r="O260" s="71">
        <f t="shared" si="12"/>
        <v>161174.82771676188</v>
      </c>
      <c r="P260" s="71">
        <f t="shared" si="13"/>
        <v>-8.4048839452016671E-3</v>
      </c>
      <c r="Q260" s="157">
        <f t="shared" si="14"/>
        <v>0.94116581238358832</v>
      </c>
      <c r="R260" s="157">
        <f t="shared" ca="1" si="15"/>
        <v>1.0636001350958075</v>
      </c>
      <c r="S260" s="86">
        <f t="shared" ca="1" si="16"/>
        <v>-4.0000000000000036E-2</v>
      </c>
      <c r="T260" s="146"/>
      <c r="U260" s="381"/>
      <c r="V260" s="372"/>
      <c r="W260" s="372"/>
      <c r="X260" s="372"/>
      <c r="Y260" s="372"/>
      <c r="Z260" s="372"/>
      <c r="AA260" s="372"/>
      <c r="AB260" s="372"/>
      <c r="AC260" s="372"/>
      <c r="AD260" s="372"/>
      <c r="AE260" s="146"/>
      <c r="AF260" s="146"/>
      <c r="AG260" s="146"/>
      <c r="AH260" s="146"/>
      <c r="AI260" s="146"/>
      <c r="AJ260" s="146"/>
      <c r="AK260" s="146"/>
      <c r="AL260" s="146"/>
      <c r="AM260" s="146"/>
      <c r="AN260" s="146"/>
      <c r="AO260" s="146"/>
      <c r="AP260" s="146"/>
      <c r="AQ260" s="146"/>
      <c r="AR260" s="146"/>
      <c r="AS260" s="146"/>
    </row>
    <row r="261" spans="1:45" x14ac:dyDescent="0.25">
      <c r="A261" s="32">
        <v>44151</v>
      </c>
      <c r="B261" s="33">
        <f t="shared" ca="1" si="26"/>
        <v>44151</v>
      </c>
      <c r="C261" s="51">
        <f t="shared" si="17"/>
        <v>258</v>
      </c>
      <c r="D261" s="35">
        <f>DANE!D261</f>
        <v>20816</v>
      </c>
      <c r="E261" s="52">
        <f t="shared" si="8"/>
        <v>733788</v>
      </c>
      <c r="F261" s="37">
        <f>DANE!E261</f>
        <v>143</v>
      </c>
      <c r="G261" s="53">
        <f t="shared" si="27"/>
        <v>10491</v>
      </c>
      <c r="H261" s="39">
        <f t="shared" si="4"/>
        <v>11239</v>
      </c>
      <c r="I261" s="40">
        <f>DANE!F261</f>
        <v>306022</v>
      </c>
      <c r="J261" s="54">
        <f t="shared" si="5"/>
        <v>9434</v>
      </c>
      <c r="K261" s="42">
        <f t="shared" si="10"/>
        <v>417275</v>
      </c>
      <c r="L261" s="79">
        <f t="shared" ca="1" si="11"/>
        <v>23664.285714285714</v>
      </c>
      <c r="M261" s="44">
        <f t="shared" si="6"/>
        <v>3.3145558002356932</v>
      </c>
      <c r="N261" s="45">
        <f t="shared" si="7"/>
        <v>1.4297044923056796</v>
      </c>
      <c r="O261" s="46">
        <f t="shared" si="12"/>
        <v>158965.85232865304</v>
      </c>
      <c r="P261" s="46">
        <f t="shared" si="13"/>
        <v>-1.3705461450784046E-2</v>
      </c>
      <c r="Q261" s="156">
        <f t="shared" si="14"/>
        <v>0.9040617698445117</v>
      </c>
      <c r="R261" s="156">
        <f t="shared" ca="1" si="15"/>
        <v>1.0492922610884547</v>
      </c>
      <c r="S261" s="81">
        <f t="shared" ca="1" si="16"/>
        <v>-1.0000000000000009E-2</v>
      </c>
      <c r="T261" s="146"/>
      <c r="U261" s="401"/>
      <c r="V261" s="372"/>
      <c r="W261" s="372"/>
      <c r="X261" s="372"/>
      <c r="Y261" s="372"/>
      <c r="Z261" s="372"/>
      <c r="AA261" s="372"/>
      <c r="AB261" s="372"/>
      <c r="AC261" s="372"/>
      <c r="AD261" s="372"/>
      <c r="AE261" s="146"/>
      <c r="AF261" s="146"/>
      <c r="AG261" s="146"/>
      <c r="AH261" s="146"/>
      <c r="AI261" s="146"/>
      <c r="AJ261" s="146"/>
      <c r="AK261" s="146"/>
      <c r="AL261" s="146"/>
      <c r="AM261" s="146"/>
      <c r="AN261" s="146"/>
      <c r="AO261" s="146"/>
      <c r="AP261" s="146"/>
      <c r="AQ261" s="146"/>
      <c r="AR261" s="146"/>
      <c r="AS261" s="146"/>
    </row>
    <row r="262" spans="1:45" x14ac:dyDescent="0.25">
      <c r="A262" s="32">
        <v>44152</v>
      </c>
      <c r="B262" s="33">
        <f t="shared" ca="1" si="26"/>
        <v>44152</v>
      </c>
      <c r="C262" s="51">
        <f t="shared" si="17"/>
        <v>259</v>
      </c>
      <c r="D262" s="35">
        <f>DANE!D262</f>
        <v>19152</v>
      </c>
      <c r="E262" s="52">
        <f t="shared" si="8"/>
        <v>752940</v>
      </c>
      <c r="F262" s="37">
        <f>DANE!E262</f>
        <v>357</v>
      </c>
      <c r="G262" s="53">
        <f t="shared" si="27"/>
        <v>10848</v>
      </c>
      <c r="H262" s="39">
        <f t="shared" si="4"/>
        <v>18260</v>
      </c>
      <c r="I262" s="40">
        <f>DANE!F262</f>
        <v>324282</v>
      </c>
      <c r="J262" s="54">
        <f t="shared" si="5"/>
        <v>535</v>
      </c>
      <c r="K262" s="42">
        <f t="shared" si="10"/>
        <v>417810</v>
      </c>
      <c r="L262" s="79">
        <f t="shared" ca="1" si="11"/>
        <v>22764</v>
      </c>
      <c r="M262" s="44">
        <f t="shared" si="6"/>
        <v>3.2369528242771466</v>
      </c>
      <c r="N262" s="45">
        <f t="shared" si="7"/>
        <v>1.4407522511753925</v>
      </c>
      <c r="O262" s="46">
        <f t="shared" si="12"/>
        <v>155408.44485313119</v>
      </c>
      <c r="P262" s="46">
        <f t="shared" si="13"/>
        <v>-2.237843803188061E-2</v>
      </c>
      <c r="Q262" s="156">
        <f t="shared" si="14"/>
        <v>0.84335093377683568</v>
      </c>
      <c r="R262" s="156">
        <f t="shared" ca="1" si="15"/>
        <v>1.0016955702325123</v>
      </c>
      <c r="S262" s="81">
        <f t="shared" ca="1" si="16"/>
        <v>-5.0000000000000044E-2</v>
      </c>
      <c r="T262" s="146"/>
      <c r="U262" s="401"/>
      <c r="V262" s="372"/>
      <c r="W262" s="372"/>
      <c r="X262" s="372"/>
      <c r="Y262" s="372"/>
      <c r="Z262" s="372"/>
      <c r="AA262" s="372"/>
      <c r="AB262" s="372"/>
      <c r="AC262" s="372"/>
      <c r="AD262" s="372"/>
      <c r="AE262" s="146"/>
      <c r="AF262" s="146"/>
      <c r="AG262" s="146"/>
      <c r="AH262" s="146"/>
      <c r="AI262" s="146"/>
      <c r="AJ262" s="146"/>
      <c r="AK262" s="146"/>
      <c r="AL262" s="146"/>
      <c r="AM262" s="146"/>
      <c r="AN262" s="146"/>
      <c r="AO262" s="146"/>
      <c r="AP262" s="146"/>
      <c r="AQ262" s="146"/>
      <c r="AR262" s="146"/>
      <c r="AS262" s="146"/>
    </row>
    <row r="263" spans="1:45" x14ac:dyDescent="0.25">
      <c r="A263" s="32">
        <v>44153</v>
      </c>
      <c r="B263" s="33">
        <f t="shared" ca="1" si="26"/>
        <v>44153</v>
      </c>
      <c r="C263" s="51">
        <f t="shared" si="17"/>
        <v>260</v>
      </c>
      <c r="D263" s="35">
        <f>DANE!D263</f>
        <v>19883</v>
      </c>
      <c r="E263" s="52">
        <f t="shared" si="8"/>
        <v>772823</v>
      </c>
      <c r="F263" s="37">
        <f>DANE!E263</f>
        <v>603</v>
      </c>
      <c r="G263" s="53">
        <f t="shared" si="27"/>
        <v>11451</v>
      </c>
      <c r="H263" s="39">
        <f t="shared" si="4"/>
        <v>18501</v>
      </c>
      <c r="I263" s="40">
        <f>DANE!F263</f>
        <v>342783</v>
      </c>
      <c r="J263" s="54">
        <f t="shared" si="5"/>
        <v>779</v>
      </c>
      <c r="K263" s="42">
        <f t="shared" si="10"/>
        <v>418589</v>
      </c>
      <c r="L263" s="79">
        <f t="shared" ca="1" si="11"/>
        <v>22001.428571428572</v>
      </c>
      <c r="M263" s="44">
        <f t="shared" si="6"/>
        <v>3.2326089534036826</v>
      </c>
      <c r="N263" s="45">
        <f t="shared" si="7"/>
        <v>1.4817105598565261</v>
      </c>
      <c r="O263" s="46">
        <f t="shared" si="12"/>
        <v>153090.23844554104</v>
      </c>
      <c r="P263" s="46">
        <f t="shared" si="13"/>
        <v>-1.491686252816557E-2</v>
      </c>
      <c r="Q263" s="156">
        <f t="shared" si="14"/>
        <v>0.89558196230284104</v>
      </c>
      <c r="R263" s="156">
        <f t="shared" ca="1" si="15"/>
        <v>0.96719544129804036</v>
      </c>
      <c r="S263" s="81">
        <f t="shared" ca="1" si="16"/>
        <v>-3.0000000000000027E-2</v>
      </c>
      <c r="T263" s="146"/>
      <c r="U263" s="401"/>
      <c r="V263" s="372"/>
      <c r="W263" s="372"/>
      <c r="X263" s="372"/>
      <c r="Y263" s="372"/>
      <c r="Z263" s="372"/>
      <c r="AA263" s="372"/>
      <c r="AB263" s="372"/>
      <c r="AC263" s="372"/>
      <c r="AD263" s="372"/>
      <c r="AE263" s="146"/>
      <c r="AF263" s="146"/>
      <c r="AG263" s="146"/>
      <c r="AH263" s="146"/>
      <c r="AI263" s="146"/>
      <c r="AJ263" s="146"/>
      <c r="AK263" s="146"/>
      <c r="AL263" s="146"/>
      <c r="AM263" s="146"/>
      <c r="AN263" s="146"/>
      <c r="AO263" s="146"/>
      <c r="AP263" s="146"/>
      <c r="AQ263" s="146"/>
      <c r="AR263" s="146"/>
      <c r="AS263" s="146"/>
    </row>
    <row r="264" spans="1:45" x14ac:dyDescent="0.25">
      <c r="A264" s="32">
        <v>44154</v>
      </c>
      <c r="B264" s="33">
        <f t="shared" ca="1" si="26"/>
        <v>44154</v>
      </c>
      <c r="C264" s="51">
        <f t="shared" si="17"/>
        <v>261</v>
      </c>
      <c r="D264" s="35">
        <f>DANE!D264</f>
        <v>23975</v>
      </c>
      <c r="E264" s="52">
        <f t="shared" si="8"/>
        <v>796798</v>
      </c>
      <c r="F264" s="37">
        <f>DANE!E264</f>
        <v>637</v>
      </c>
      <c r="G264" s="53">
        <f t="shared" si="27"/>
        <v>12088</v>
      </c>
      <c r="H264" s="39">
        <f t="shared" si="4"/>
        <v>19103</v>
      </c>
      <c r="I264" s="40">
        <f>DANE!F264</f>
        <v>361886</v>
      </c>
      <c r="J264" s="54">
        <f t="shared" si="5"/>
        <v>4235</v>
      </c>
      <c r="K264" s="42">
        <f t="shared" si="10"/>
        <v>422824</v>
      </c>
      <c r="L264" s="79">
        <f t="shared" ca="1" si="11"/>
        <v>22186</v>
      </c>
      <c r="M264" s="44">
        <f t="shared" si="6"/>
        <v>3.2323102675587072</v>
      </c>
      <c r="N264" s="45">
        <f t="shared" si="7"/>
        <v>1.5170720810042193</v>
      </c>
      <c r="O264" s="46">
        <f t="shared" si="12"/>
        <v>155195.20438189231</v>
      </c>
      <c r="P264" s="46">
        <f t="shared" si="13"/>
        <v>1.3749837727897186E-2</v>
      </c>
      <c r="Q264" s="156">
        <f t="shared" si="14"/>
        <v>1.0962488640952803</v>
      </c>
      <c r="R264" s="156">
        <f t="shared" ca="1" si="15"/>
        <v>0.98051450580333799</v>
      </c>
      <c r="S264" s="81">
        <f t="shared" ca="1" si="16"/>
        <v>1.0000000000000009E-2</v>
      </c>
      <c r="T264" s="146"/>
      <c r="U264" s="401"/>
      <c r="V264" s="372"/>
      <c r="W264" s="372"/>
      <c r="X264" s="372"/>
      <c r="Y264" s="372"/>
      <c r="Z264" s="372"/>
      <c r="AA264" s="372"/>
      <c r="AB264" s="372"/>
      <c r="AC264" s="372"/>
      <c r="AD264" s="372"/>
      <c r="AE264" s="146"/>
      <c r="AF264" s="146"/>
      <c r="AG264" s="146"/>
      <c r="AH264" s="146"/>
      <c r="AI264" s="146"/>
      <c r="AJ264" s="146"/>
      <c r="AK264" s="146"/>
      <c r="AL264" s="146"/>
      <c r="AM264" s="146"/>
      <c r="AN264" s="146"/>
      <c r="AO264" s="146"/>
      <c r="AP264" s="146"/>
      <c r="AQ264" s="146"/>
      <c r="AR264" s="146"/>
      <c r="AS264" s="146"/>
    </row>
    <row r="265" spans="1:45" x14ac:dyDescent="0.25">
      <c r="A265" s="32">
        <v>44155</v>
      </c>
      <c r="B265" s="33">
        <f t="shared" ca="1" si="26"/>
        <v>44155</v>
      </c>
      <c r="C265" s="51">
        <f t="shared" si="17"/>
        <v>262</v>
      </c>
      <c r="D265" s="35">
        <f>DANE!D265</f>
        <v>22464</v>
      </c>
      <c r="E265" s="52">
        <f t="shared" si="8"/>
        <v>819262</v>
      </c>
      <c r="F265" s="37">
        <f>DANE!E265</f>
        <v>626</v>
      </c>
      <c r="G265" s="53">
        <f t="shared" si="27"/>
        <v>12714</v>
      </c>
      <c r="H265" s="39">
        <f t="shared" si="4"/>
        <v>19914</v>
      </c>
      <c r="I265" s="40">
        <f>DANE!F265</f>
        <v>381800</v>
      </c>
      <c r="J265" s="54">
        <f t="shared" si="5"/>
        <v>1924</v>
      </c>
      <c r="K265" s="42">
        <f t="shared" si="10"/>
        <v>424748</v>
      </c>
      <c r="L265" s="79">
        <f t="shared" ca="1" si="11"/>
        <v>21959.285714285714</v>
      </c>
      <c r="M265" s="44">
        <f t="shared" si="6"/>
        <v>3.2226993211901229</v>
      </c>
      <c r="N265" s="45">
        <f t="shared" si="7"/>
        <v>1.5518845009288846</v>
      </c>
      <c r="O265" s="46">
        <f t="shared" si="12"/>
        <v>155488.46089876484</v>
      </c>
      <c r="P265" s="46">
        <f t="shared" si="13"/>
        <v>1.8895978006569325E-3</v>
      </c>
      <c r="Q265" s="156">
        <f t="shared" si="14"/>
        <v>1.0132271846045986</v>
      </c>
      <c r="R265" s="156">
        <f t="shared" ca="1" si="15"/>
        <v>0.97339712925589417</v>
      </c>
      <c r="S265" s="81">
        <f t="shared" ca="1" si="16"/>
        <v>-1.0000000000000009E-2</v>
      </c>
      <c r="T265" s="146"/>
      <c r="U265" s="401"/>
      <c r="V265" s="372"/>
      <c r="W265" s="372"/>
      <c r="X265" s="372"/>
      <c r="Y265" s="372"/>
      <c r="Z265" s="372"/>
      <c r="AA265" s="372"/>
      <c r="AB265" s="372"/>
      <c r="AC265" s="372"/>
      <c r="AD265" s="372"/>
      <c r="AE265" s="146"/>
      <c r="AF265" s="146"/>
      <c r="AG265" s="146"/>
      <c r="AH265" s="146"/>
      <c r="AI265" s="146"/>
      <c r="AJ265" s="146"/>
      <c r="AK265" s="146"/>
      <c r="AL265" s="146"/>
      <c r="AM265" s="146"/>
      <c r="AN265" s="146"/>
      <c r="AO265" s="146"/>
      <c r="AP265" s="146"/>
      <c r="AQ265" s="146"/>
      <c r="AR265" s="146"/>
      <c r="AS265" s="146"/>
    </row>
    <row r="266" spans="1:45" x14ac:dyDescent="0.25">
      <c r="A266" s="61">
        <v>44156</v>
      </c>
      <c r="B266" s="62">
        <f t="shared" ca="1" si="26"/>
        <v>44156</v>
      </c>
      <c r="C266" s="12">
        <f t="shared" si="17"/>
        <v>263</v>
      </c>
      <c r="D266" s="63">
        <f>DANE!D266</f>
        <v>24213</v>
      </c>
      <c r="E266" s="64">
        <f t="shared" si="8"/>
        <v>843475</v>
      </c>
      <c r="F266" s="65">
        <f>DANE!E266</f>
        <v>574</v>
      </c>
      <c r="G266" s="66">
        <f t="shared" si="27"/>
        <v>13288</v>
      </c>
      <c r="H266" s="67">
        <f t="shared" si="4"/>
        <v>25275</v>
      </c>
      <c r="I266" s="68">
        <f>DANE!F266</f>
        <v>407075</v>
      </c>
      <c r="J266" s="54">
        <f t="shared" si="5"/>
        <v>-1636</v>
      </c>
      <c r="K266" s="69">
        <f t="shared" si="10"/>
        <v>423112</v>
      </c>
      <c r="L266" s="84">
        <f t="shared" ca="1" si="11"/>
        <v>21765.285714285714</v>
      </c>
      <c r="M266" s="44">
        <f t="shared" si="6"/>
        <v>3.1610774497279732</v>
      </c>
      <c r="N266" s="45">
        <f t="shared" si="7"/>
        <v>1.5753875337146921</v>
      </c>
      <c r="O266" s="71">
        <f t="shared" si="12"/>
        <v>157488.82362751273</v>
      </c>
      <c r="P266" s="71">
        <f t="shared" si="13"/>
        <v>1.2865023662754506E-2</v>
      </c>
      <c r="Q266" s="157">
        <f t="shared" si="14"/>
        <v>1.0900551656392816</v>
      </c>
      <c r="R266" s="157">
        <f t="shared" ca="1" si="15"/>
        <v>0.96909881323527658</v>
      </c>
      <c r="S266" s="86">
        <f t="shared" ca="1" si="16"/>
        <v>0</v>
      </c>
      <c r="T266" s="146"/>
      <c r="U266" s="401"/>
      <c r="V266" s="372"/>
      <c r="W266" s="372"/>
      <c r="X266" s="372"/>
      <c r="Y266" s="372"/>
      <c r="Z266" s="372"/>
      <c r="AA266" s="372"/>
      <c r="AB266" s="372"/>
      <c r="AC266" s="372"/>
      <c r="AD266" s="372"/>
      <c r="AE266" s="146"/>
      <c r="AF266" s="146"/>
      <c r="AG266" s="146"/>
      <c r="AH266" s="146"/>
      <c r="AI266" s="146"/>
      <c r="AJ266" s="146"/>
      <c r="AK266" s="146"/>
      <c r="AL266" s="146"/>
      <c r="AM266" s="146"/>
      <c r="AN266" s="146"/>
      <c r="AO266" s="146"/>
      <c r="AP266" s="146"/>
      <c r="AQ266" s="146"/>
      <c r="AR266" s="146"/>
      <c r="AS266" s="146"/>
    </row>
    <row r="267" spans="1:45" x14ac:dyDescent="0.25">
      <c r="A267" s="61">
        <v>44157</v>
      </c>
      <c r="B267" s="62">
        <f t="shared" ca="1" si="26"/>
        <v>44157</v>
      </c>
      <c r="C267" s="12">
        <f t="shared" si="17"/>
        <v>264</v>
      </c>
      <c r="D267" s="63">
        <f>DANE!D267</f>
        <v>17856</v>
      </c>
      <c r="E267" s="64">
        <f t="shared" si="8"/>
        <v>861331</v>
      </c>
      <c r="F267" s="65">
        <f>DANE!E267</f>
        <v>330</v>
      </c>
      <c r="G267" s="66">
        <f t="shared" si="27"/>
        <v>13618</v>
      </c>
      <c r="H267" s="67">
        <f t="shared" si="4"/>
        <v>16896</v>
      </c>
      <c r="I267" s="68">
        <f>DANE!F267</f>
        <v>423971</v>
      </c>
      <c r="J267" s="54">
        <f t="shared" si="5"/>
        <v>630</v>
      </c>
      <c r="K267" s="69">
        <f t="shared" si="10"/>
        <v>423742</v>
      </c>
      <c r="L267" s="84">
        <f t="shared" ca="1" si="11"/>
        <v>21194.142857142859</v>
      </c>
      <c r="M267" s="44">
        <f t="shared" si="6"/>
        <v>3.1120526338641969</v>
      </c>
      <c r="N267" s="45">
        <f t="shared" si="7"/>
        <v>1.581041434709769</v>
      </c>
      <c r="O267" s="71">
        <f t="shared" si="12"/>
        <v>152846.42025215377</v>
      </c>
      <c r="P267" s="71">
        <f t="shared" si="13"/>
        <v>-2.9477668754063574E-2</v>
      </c>
      <c r="Q267" s="157">
        <f t="shared" si="14"/>
        <v>0.79365631872155495</v>
      </c>
      <c r="R267" s="157">
        <f t="shared" ca="1" si="15"/>
        <v>0.94802602842641481</v>
      </c>
      <c r="S267" s="86">
        <f t="shared" ca="1" si="16"/>
        <v>-2.0000000000000018E-2</v>
      </c>
      <c r="T267" s="146"/>
      <c r="U267" s="401"/>
      <c r="V267" s="372"/>
      <c r="W267" s="372"/>
      <c r="X267" s="372"/>
      <c r="Y267" s="372"/>
      <c r="Z267" s="372"/>
      <c r="AA267" s="372"/>
      <c r="AB267" s="372"/>
      <c r="AC267" s="372"/>
      <c r="AD267" s="372"/>
      <c r="AE267" s="146"/>
      <c r="AF267" s="146"/>
      <c r="AG267" s="146"/>
      <c r="AH267" s="146"/>
      <c r="AI267" s="146"/>
      <c r="AJ267" s="146"/>
      <c r="AK267" s="146"/>
      <c r="AL267" s="146"/>
      <c r="AM267" s="146"/>
      <c r="AN267" s="146"/>
      <c r="AO267" s="146"/>
      <c r="AP267" s="146"/>
      <c r="AQ267" s="146"/>
      <c r="AR267" s="146"/>
      <c r="AS267" s="146"/>
    </row>
    <row r="268" spans="1:45" x14ac:dyDescent="0.25">
      <c r="A268" s="32">
        <v>44158</v>
      </c>
      <c r="B268" s="33">
        <f t="shared" ca="1" si="26"/>
        <v>44158</v>
      </c>
      <c r="C268" s="51">
        <f t="shared" si="17"/>
        <v>265</v>
      </c>
      <c r="D268" s="35">
        <f>DANE!D268</f>
        <v>15002</v>
      </c>
      <c r="E268" s="52">
        <f t="shared" si="8"/>
        <v>876333</v>
      </c>
      <c r="F268" s="37">
        <f>DANE!E268</f>
        <v>156</v>
      </c>
      <c r="G268" s="53">
        <f t="shared" si="27"/>
        <v>13774</v>
      </c>
      <c r="H268" s="39">
        <f t="shared" si="4"/>
        <v>14897</v>
      </c>
      <c r="I268" s="40">
        <f>DANE!F268</f>
        <v>438868</v>
      </c>
      <c r="J268" s="54">
        <f t="shared" si="5"/>
        <v>-51</v>
      </c>
      <c r="K268" s="42">
        <f t="shared" si="10"/>
        <v>423691</v>
      </c>
      <c r="L268" s="79">
        <f t="shared" ca="1" si="11"/>
        <v>20363.571428571428</v>
      </c>
      <c r="M268" s="44">
        <f t="shared" si="6"/>
        <v>3.0430229629596899</v>
      </c>
      <c r="N268" s="45">
        <f t="shared" si="7"/>
        <v>1.5717769386751383</v>
      </c>
      <c r="O268" s="46">
        <f t="shared" si="12"/>
        <v>146013.21735898894</v>
      </c>
      <c r="P268" s="46">
        <f t="shared" si="13"/>
        <v>-4.4706332551929927E-2</v>
      </c>
      <c r="Q268" s="156">
        <f t="shared" si="14"/>
        <v>0.68705567213649044</v>
      </c>
      <c r="R268" s="156">
        <f t="shared" ca="1" si="15"/>
        <v>0.91702515732526901</v>
      </c>
      <c r="S268" s="81">
        <f t="shared" ca="1" si="16"/>
        <v>-2.9999999999999916E-2</v>
      </c>
      <c r="T268" s="146"/>
      <c r="U268" s="401"/>
      <c r="V268" s="372"/>
      <c r="W268" s="372"/>
      <c r="X268" s="372"/>
      <c r="Y268" s="372"/>
      <c r="Z268" s="372"/>
      <c r="AA268" s="372"/>
      <c r="AB268" s="372"/>
      <c r="AC268" s="372"/>
      <c r="AD268" s="372"/>
      <c r="AE268" s="146"/>
      <c r="AF268" s="146"/>
      <c r="AG268" s="146"/>
      <c r="AH268" s="146"/>
      <c r="AI268" s="146"/>
      <c r="AJ268" s="146"/>
      <c r="AK268" s="146"/>
      <c r="AL268" s="146"/>
      <c r="AM268" s="146"/>
      <c r="AN268" s="146"/>
      <c r="AO268" s="146"/>
      <c r="AP268" s="146"/>
      <c r="AQ268" s="146"/>
      <c r="AR268" s="146"/>
      <c r="AS268" s="146"/>
    </row>
    <row r="269" spans="1:45" x14ac:dyDescent="0.25">
      <c r="A269" s="32">
        <v>44159</v>
      </c>
      <c r="B269" s="33">
        <f t="shared" ca="1" si="26"/>
        <v>44159</v>
      </c>
      <c r="C269" s="51">
        <f t="shared" si="17"/>
        <v>266</v>
      </c>
      <c r="D269" s="158">
        <f>DANE!D269</f>
        <v>32733</v>
      </c>
      <c r="E269" s="159">
        <f t="shared" si="8"/>
        <v>909066</v>
      </c>
      <c r="F269" s="37">
        <f>DANE!E269</f>
        <v>540</v>
      </c>
      <c r="G269" s="53">
        <f t="shared" si="27"/>
        <v>14314</v>
      </c>
      <c r="H269" s="39">
        <f t="shared" si="4"/>
        <v>15849</v>
      </c>
      <c r="I269" s="40">
        <f>DANE!F269</f>
        <v>454717</v>
      </c>
      <c r="J269" s="54">
        <f t="shared" si="5"/>
        <v>16344</v>
      </c>
      <c r="K269" s="42">
        <f t="shared" si="10"/>
        <v>440035</v>
      </c>
      <c r="L269" s="79">
        <f t="shared" ca="1" si="11"/>
        <v>22303.714285714286</v>
      </c>
      <c r="M269" s="44">
        <f t="shared" si="6"/>
        <v>3.0518238666527373</v>
      </c>
      <c r="N269" s="45">
        <f t="shared" si="7"/>
        <v>1.5745831435781339</v>
      </c>
      <c r="O269" s="46">
        <f t="shared" si="12"/>
        <v>157887.18630770483</v>
      </c>
      <c r="P269" s="46">
        <f t="shared" si="13"/>
        <v>8.1321192447410304E-2</v>
      </c>
      <c r="Q269" s="156">
        <f t="shared" si="14"/>
        <v>1.5692483471318721</v>
      </c>
      <c r="R269" s="156">
        <f t="shared" ca="1" si="15"/>
        <v>1.02072478780456</v>
      </c>
      <c r="S269" s="81">
        <f t="shared" ca="1" si="16"/>
        <v>9.9999999999999978E-2</v>
      </c>
      <c r="T269" s="146"/>
      <c r="U269" s="401"/>
      <c r="V269" s="372"/>
      <c r="W269" s="372"/>
      <c r="X269" s="372"/>
      <c r="Y269" s="372"/>
      <c r="Z269" s="372"/>
      <c r="AA269" s="372"/>
      <c r="AB269" s="372"/>
      <c r="AC269" s="372"/>
      <c r="AD269" s="372"/>
      <c r="AE269" s="146"/>
      <c r="AF269" s="146"/>
      <c r="AG269" s="146"/>
      <c r="AH269" s="146"/>
      <c r="AI269" s="146"/>
      <c r="AJ269" s="146"/>
      <c r="AK269" s="146"/>
      <c r="AL269" s="146"/>
      <c r="AM269" s="146"/>
      <c r="AN269" s="146"/>
      <c r="AO269" s="146"/>
      <c r="AP269" s="146"/>
      <c r="AQ269" s="146"/>
      <c r="AR269" s="146"/>
      <c r="AS269" s="146"/>
    </row>
    <row r="270" spans="1:45" x14ac:dyDescent="0.25">
      <c r="A270" s="32">
        <v>44160</v>
      </c>
      <c r="B270" s="33">
        <f t="shared" ca="1" si="26"/>
        <v>44160</v>
      </c>
      <c r="C270" s="51">
        <f t="shared" si="17"/>
        <v>267</v>
      </c>
      <c r="D270" s="35">
        <f>DANE!D270</f>
        <v>15362</v>
      </c>
      <c r="E270" s="52">
        <f t="shared" si="8"/>
        <v>924428</v>
      </c>
      <c r="F270" s="37">
        <f>DANE!E270</f>
        <v>674</v>
      </c>
      <c r="G270" s="53">
        <f t="shared" si="27"/>
        <v>14988</v>
      </c>
      <c r="H270" s="39">
        <f t="shared" si="4"/>
        <v>14810</v>
      </c>
      <c r="I270" s="40">
        <f>DANE!F270</f>
        <v>469527</v>
      </c>
      <c r="J270" s="54">
        <f t="shared" si="5"/>
        <v>-122</v>
      </c>
      <c r="K270" s="42">
        <f t="shared" si="10"/>
        <v>439913</v>
      </c>
      <c r="L270" s="79">
        <f t="shared" ca="1" si="11"/>
        <v>21657.857142857141</v>
      </c>
      <c r="M270" s="44">
        <f t="shared" si="6"/>
        <v>3.0934026810315469</v>
      </c>
      <c r="N270" s="45">
        <f t="shared" si="7"/>
        <v>1.6213269178345961</v>
      </c>
      <c r="O270" s="46">
        <f t="shared" si="12"/>
        <v>150693.87397803273</v>
      </c>
      <c r="P270" s="46">
        <f t="shared" si="13"/>
        <v>-4.5559823427679079E-2</v>
      </c>
      <c r="Q270" s="156">
        <f t="shared" si="14"/>
        <v>0.68108123600624637</v>
      </c>
      <c r="R270" s="156">
        <f t="shared" ca="1" si="15"/>
        <v>0.99008182690504631</v>
      </c>
      <c r="S270" s="81">
        <f t="shared" ca="1" si="16"/>
        <v>-3.0000000000000027E-2</v>
      </c>
      <c r="T270" s="146"/>
      <c r="U270" s="401"/>
      <c r="V270" s="372"/>
      <c r="W270" s="372"/>
      <c r="X270" s="372"/>
      <c r="Y270" s="372"/>
      <c r="Z270" s="372"/>
      <c r="AA270" s="372"/>
      <c r="AB270" s="372"/>
      <c r="AC270" s="372"/>
      <c r="AD270" s="372"/>
      <c r="AE270" s="146"/>
      <c r="AF270" s="146"/>
      <c r="AG270" s="146"/>
      <c r="AH270" s="146"/>
      <c r="AI270" s="146"/>
      <c r="AJ270" s="146"/>
      <c r="AK270" s="146"/>
      <c r="AL270" s="146"/>
      <c r="AM270" s="146"/>
      <c r="AN270" s="146"/>
      <c r="AO270" s="146"/>
      <c r="AP270" s="146"/>
      <c r="AQ270" s="146"/>
      <c r="AR270" s="146"/>
      <c r="AS270" s="146"/>
    </row>
    <row r="271" spans="1:45" x14ac:dyDescent="0.25">
      <c r="A271" s="32">
        <v>44161</v>
      </c>
      <c r="B271" s="33">
        <f t="shared" ca="1" si="26"/>
        <v>44161</v>
      </c>
      <c r="C271" s="51">
        <f t="shared" si="17"/>
        <v>268</v>
      </c>
      <c r="D271" s="35">
        <f>DANE!D271</f>
        <v>16687</v>
      </c>
      <c r="E271" s="52">
        <f t="shared" si="8"/>
        <v>941115</v>
      </c>
      <c r="F271" s="37">
        <f>DANE!E271</f>
        <v>580</v>
      </c>
      <c r="G271" s="53">
        <f t="shared" si="27"/>
        <v>15568</v>
      </c>
      <c r="H271" s="39">
        <f t="shared" si="4"/>
        <v>25342</v>
      </c>
      <c r="I271" s="40">
        <f>DANE!F271</f>
        <v>494869</v>
      </c>
      <c r="J271" s="54">
        <f t="shared" si="5"/>
        <v>-9235</v>
      </c>
      <c r="K271" s="42">
        <f t="shared" si="10"/>
        <v>430678</v>
      </c>
      <c r="L271" s="79">
        <f t="shared" ca="1" si="11"/>
        <v>20616.714285714286</v>
      </c>
      <c r="M271" s="44">
        <f t="shared" si="6"/>
        <v>3.0499356433800839</v>
      </c>
      <c r="N271" s="45">
        <f t="shared" si="7"/>
        <v>1.6542080404626427</v>
      </c>
      <c r="O271" s="46">
        <f t="shared" si="12"/>
        <v>145853.17769545663</v>
      </c>
      <c r="P271" s="46">
        <f t="shared" si="13"/>
        <v>-3.2122714446121074E-2</v>
      </c>
      <c r="Q271" s="156">
        <f t="shared" si="14"/>
        <v>0.77514099887715249</v>
      </c>
      <c r="R271" s="156">
        <f t="shared" ca="1" si="15"/>
        <v>0.944209274731028</v>
      </c>
      <c r="S271" s="81">
        <f t="shared" ca="1" si="16"/>
        <v>-5.0000000000000044E-2</v>
      </c>
      <c r="T271" s="146"/>
      <c r="U271" s="401"/>
      <c r="V271" s="372"/>
      <c r="W271" s="372"/>
      <c r="X271" s="372"/>
      <c r="Y271" s="372"/>
      <c r="Z271" s="372"/>
      <c r="AA271" s="372"/>
      <c r="AB271" s="372"/>
      <c r="AC271" s="372"/>
      <c r="AD271" s="372"/>
      <c r="AE271" s="146"/>
      <c r="AF271" s="146"/>
      <c r="AG271" s="146"/>
      <c r="AH271" s="146"/>
      <c r="AI271" s="146"/>
      <c r="AJ271" s="146"/>
      <c r="AK271" s="146"/>
      <c r="AL271" s="146"/>
      <c r="AM271" s="146"/>
      <c r="AN271" s="146"/>
      <c r="AO271" s="146"/>
      <c r="AP271" s="146"/>
      <c r="AQ271" s="146"/>
      <c r="AR271" s="146"/>
      <c r="AS271" s="146"/>
    </row>
    <row r="272" spans="1:45" x14ac:dyDescent="0.25">
      <c r="A272" s="32">
        <v>44162</v>
      </c>
      <c r="B272" s="33">
        <f t="shared" ca="1" si="26"/>
        <v>44162</v>
      </c>
      <c r="C272" s="51">
        <f t="shared" si="17"/>
        <v>269</v>
      </c>
      <c r="D272" s="35">
        <f>DANE!D272</f>
        <v>17060</v>
      </c>
      <c r="E272" s="52">
        <f t="shared" si="8"/>
        <v>958175</v>
      </c>
      <c r="F272" s="37">
        <f>DANE!E272</f>
        <v>579</v>
      </c>
      <c r="G272" s="53">
        <f t="shared" si="27"/>
        <v>16147</v>
      </c>
      <c r="H272" s="39">
        <f t="shared" si="4"/>
        <v>21767</v>
      </c>
      <c r="I272" s="40">
        <f>DANE!F272</f>
        <v>516636</v>
      </c>
      <c r="J272" s="54">
        <f t="shared" si="5"/>
        <v>-5286</v>
      </c>
      <c r="K272" s="42">
        <f t="shared" si="10"/>
        <v>425392</v>
      </c>
      <c r="L272" s="79">
        <f t="shared" ca="1" si="11"/>
        <v>19844.714285714286</v>
      </c>
      <c r="M272" s="44">
        <f t="shared" si="6"/>
        <v>3.030689793030183</v>
      </c>
      <c r="N272" s="45">
        <f t="shared" si="7"/>
        <v>1.6851827693271062</v>
      </c>
      <c r="O272" s="46">
        <f t="shared" si="12"/>
        <v>142077.00945324855</v>
      </c>
      <c r="P272" s="46">
        <f t="shared" si="13"/>
        <v>-2.5890202063973997E-2</v>
      </c>
      <c r="Q272" s="156">
        <f t="shared" si="14"/>
        <v>0.81876858555218202</v>
      </c>
      <c r="R272" s="156">
        <f t="shared" ca="1" si="15"/>
        <v>0.91642947486639703</v>
      </c>
      <c r="S272" s="81">
        <f t="shared" ca="1" si="16"/>
        <v>-1.9999999999999907E-2</v>
      </c>
      <c r="T272" s="146"/>
      <c r="U272" s="401"/>
      <c r="V272" s="372"/>
      <c r="W272" s="372"/>
      <c r="X272" s="372"/>
      <c r="Y272" s="372"/>
      <c r="Z272" s="372"/>
      <c r="AA272" s="372"/>
      <c r="AB272" s="372"/>
      <c r="AC272" s="372"/>
      <c r="AD272" s="372"/>
      <c r="AE272" s="146"/>
      <c r="AF272" s="146"/>
      <c r="AG272" s="146"/>
      <c r="AH272" s="146"/>
      <c r="AI272" s="146"/>
      <c r="AJ272" s="146"/>
      <c r="AK272" s="146"/>
      <c r="AL272" s="146"/>
      <c r="AM272" s="146"/>
      <c r="AN272" s="146"/>
      <c r="AO272" s="146"/>
      <c r="AP272" s="146"/>
      <c r="AQ272" s="146"/>
      <c r="AR272" s="146"/>
      <c r="AS272" s="146"/>
    </row>
    <row r="273" spans="1:45" x14ac:dyDescent="0.25">
      <c r="A273" s="61">
        <v>44163</v>
      </c>
      <c r="B273" s="62">
        <f t="shared" ca="1" si="26"/>
        <v>44163</v>
      </c>
      <c r="C273" s="12">
        <f t="shared" si="17"/>
        <v>270</v>
      </c>
      <c r="D273" s="63">
        <f>DANE!D273</f>
        <v>15178</v>
      </c>
      <c r="E273" s="64">
        <f t="shared" si="8"/>
        <v>973353</v>
      </c>
      <c r="F273" s="65">
        <f>DANE!E273</f>
        <v>599</v>
      </c>
      <c r="G273" s="66">
        <f t="shared" si="27"/>
        <v>16746</v>
      </c>
      <c r="H273" s="67">
        <f t="shared" si="4"/>
        <v>21637</v>
      </c>
      <c r="I273" s="68">
        <f>DANE!F273</f>
        <v>538273</v>
      </c>
      <c r="J273" s="54">
        <f t="shared" si="5"/>
        <v>-7058</v>
      </c>
      <c r="K273" s="69">
        <f t="shared" si="10"/>
        <v>418334</v>
      </c>
      <c r="L273" s="84">
        <f t="shared" ca="1" si="11"/>
        <v>18554</v>
      </c>
      <c r="M273" s="44">
        <f t="shared" si="6"/>
        <v>3.0171940059709668</v>
      </c>
      <c r="N273" s="45">
        <f t="shared" si="7"/>
        <v>1.7204446896449694</v>
      </c>
      <c r="O273" s="71">
        <f t="shared" si="12"/>
        <v>136958.2938170702</v>
      </c>
      <c r="P273" s="71">
        <f t="shared" si="13"/>
        <v>-3.6027754637267373E-2</v>
      </c>
      <c r="Q273" s="157">
        <f t="shared" si="14"/>
        <v>0.74780571753912839</v>
      </c>
      <c r="R273" s="157">
        <f t="shared" ca="1" si="15"/>
        <v>0.86753669656637522</v>
      </c>
      <c r="S273" s="86">
        <f t="shared" ca="1" si="16"/>
        <v>-5.0000000000000044E-2</v>
      </c>
      <c r="T273" s="146"/>
      <c r="U273" s="401"/>
      <c r="V273" s="372"/>
      <c r="W273" s="372"/>
      <c r="X273" s="372"/>
      <c r="Y273" s="372"/>
      <c r="Z273" s="372"/>
      <c r="AA273" s="372"/>
      <c r="AB273" s="372"/>
      <c r="AC273" s="372"/>
      <c r="AD273" s="372"/>
      <c r="AE273" s="146"/>
      <c r="AF273" s="146"/>
      <c r="AG273" s="146"/>
      <c r="AH273" s="146"/>
      <c r="AI273" s="146"/>
      <c r="AJ273" s="146"/>
      <c r="AK273" s="146"/>
      <c r="AL273" s="146"/>
      <c r="AM273" s="146"/>
      <c r="AN273" s="146"/>
      <c r="AO273" s="146"/>
      <c r="AP273" s="146"/>
      <c r="AQ273" s="146"/>
      <c r="AR273" s="146"/>
      <c r="AS273" s="146"/>
    </row>
    <row r="274" spans="1:45" x14ac:dyDescent="0.25">
      <c r="A274" s="61">
        <v>44164</v>
      </c>
      <c r="B274" s="62">
        <f t="shared" ca="1" si="26"/>
        <v>44164</v>
      </c>
      <c r="C274" s="12">
        <f t="shared" si="17"/>
        <v>271</v>
      </c>
      <c r="D274" s="63">
        <f>DANE!D274</f>
        <v>11483</v>
      </c>
      <c r="E274" s="64">
        <f t="shared" si="8"/>
        <v>984836</v>
      </c>
      <c r="F274" s="65">
        <f>DANE!E274</f>
        <v>283</v>
      </c>
      <c r="G274" s="66">
        <f t="shared" si="27"/>
        <v>17029</v>
      </c>
      <c r="H274" s="67">
        <f t="shared" si="4"/>
        <v>21156</v>
      </c>
      <c r="I274" s="68">
        <f>DANE!F274</f>
        <v>559429</v>
      </c>
      <c r="J274" s="54">
        <f t="shared" si="5"/>
        <v>-9956</v>
      </c>
      <c r="K274" s="69">
        <f t="shared" si="10"/>
        <v>408378</v>
      </c>
      <c r="L274" s="84">
        <f t="shared" ca="1" si="11"/>
        <v>17643.571428571428</v>
      </c>
      <c r="M274" s="44">
        <f t="shared" si="6"/>
        <v>2.954074711427372</v>
      </c>
      <c r="N274" s="45">
        <f t="shared" si="7"/>
        <v>1.729120381464528</v>
      </c>
      <c r="O274" s="71">
        <f t="shared" si="12"/>
        <v>128875.82327177447</v>
      </c>
      <c r="P274" s="71">
        <f t="shared" si="13"/>
        <v>-5.9014100716610604E-2</v>
      </c>
      <c r="Q274" s="157">
        <f t="shared" si="14"/>
        <v>0.58690129498372579</v>
      </c>
      <c r="R274" s="157">
        <f t="shared" ca="1" si="15"/>
        <v>0.83800026460382815</v>
      </c>
      <c r="S274" s="86">
        <f t="shared" ca="1" si="16"/>
        <v>-3.0000000000000027E-2</v>
      </c>
      <c r="T274" s="146"/>
      <c r="U274" s="401"/>
      <c r="V274" s="372"/>
      <c r="W274" s="372"/>
      <c r="X274" s="372"/>
      <c r="Y274" s="372"/>
      <c r="Z274" s="372"/>
      <c r="AA274" s="372"/>
      <c r="AB274" s="372"/>
      <c r="AC274" s="372"/>
      <c r="AD274" s="372"/>
      <c r="AE274" s="146"/>
      <c r="AF274" s="146"/>
      <c r="AG274" s="146"/>
      <c r="AH274" s="146"/>
      <c r="AI274" s="146"/>
      <c r="AJ274" s="146"/>
      <c r="AK274" s="146"/>
      <c r="AL274" s="146"/>
      <c r="AM274" s="146"/>
      <c r="AN274" s="146"/>
      <c r="AO274" s="146"/>
      <c r="AP274" s="146"/>
      <c r="AQ274" s="146"/>
      <c r="AR274" s="146"/>
      <c r="AS274" s="146"/>
    </row>
    <row r="275" spans="1:45" x14ac:dyDescent="0.25">
      <c r="A275" s="32">
        <v>44165</v>
      </c>
      <c r="B275" s="33">
        <f t="shared" ca="1" si="26"/>
        <v>44165</v>
      </c>
      <c r="C275" s="51">
        <f t="shared" si="17"/>
        <v>272</v>
      </c>
      <c r="D275" s="35">
        <f>DANE!D275</f>
        <v>5733</v>
      </c>
      <c r="E275" s="52">
        <f t="shared" si="8"/>
        <v>990569</v>
      </c>
      <c r="F275" s="37">
        <f>DANE!E275</f>
        <v>121</v>
      </c>
      <c r="G275" s="53">
        <f t="shared" si="27"/>
        <v>17150</v>
      </c>
      <c r="H275" s="39">
        <f t="shared" si="4"/>
        <v>18085</v>
      </c>
      <c r="I275" s="40">
        <f>DANE!F275</f>
        <v>577514</v>
      </c>
      <c r="J275" s="54">
        <f t="shared" si="5"/>
        <v>-12473</v>
      </c>
      <c r="K275" s="42">
        <f t="shared" si="10"/>
        <v>395905</v>
      </c>
      <c r="L275" s="79">
        <f t="shared" ca="1" si="11"/>
        <v>16319.428571428571</v>
      </c>
      <c r="M275" s="44">
        <f t="shared" si="6"/>
        <v>2.8839815425181281</v>
      </c>
      <c r="N275" s="45">
        <f t="shared" si="7"/>
        <v>1.7313281558377054</v>
      </c>
      <c r="O275" s="46">
        <f t="shared" si="12"/>
        <v>116197.9913758067</v>
      </c>
      <c r="P275" s="46">
        <f t="shared" si="13"/>
        <v>-9.8372460979222198E-2</v>
      </c>
      <c r="Q275" s="156">
        <f t="shared" si="14"/>
        <v>0.31139277314544456</v>
      </c>
      <c r="R275" s="156">
        <f t="shared" ca="1" si="15"/>
        <v>0.78433413617653591</v>
      </c>
      <c r="S275" s="81">
        <f t="shared" ca="1" si="16"/>
        <v>-5.9999999999999942E-2</v>
      </c>
      <c r="T275" s="146"/>
      <c r="U275" s="401"/>
      <c r="V275" s="372"/>
      <c r="W275" s="372"/>
      <c r="X275" s="372"/>
      <c r="Y275" s="372"/>
      <c r="Z275" s="372"/>
      <c r="AA275" s="372"/>
      <c r="AB275" s="372"/>
      <c r="AC275" s="372"/>
      <c r="AD275" s="372"/>
      <c r="AE275" s="146"/>
      <c r="AF275" s="146"/>
      <c r="AG275" s="146"/>
      <c r="AH275" s="146"/>
      <c r="AI275" s="146"/>
      <c r="AJ275" s="146"/>
      <c r="AK275" s="146"/>
      <c r="AL275" s="146"/>
      <c r="AM275" s="146"/>
      <c r="AN275" s="146"/>
      <c r="AO275" s="146"/>
      <c r="AP275" s="146"/>
      <c r="AQ275" s="146"/>
      <c r="AR275" s="146"/>
      <c r="AS275" s="146"/>
    </row>
    <row r="276" spans="1:45" x14ac:dyDescent="0.25">
      <c r="A276" s="32">
        <v>44166</v>
      </c>
      <c r="B276" s="33">
        <f t="shared" ca="1" si="26"/>
        <v>44166</v>
      </c>
      <c r="C276" s="51">
        <f t="shared" si="17"/>
        <v>273</v>
      </c>
      <c r="D276" s="35">
        <f>DANE!D276</f>
        <v>9105</v>
      </c>
      <c r="E276" s="52">
        <f t="shared" si="8"/>
        <v>999674</v>
      </c>
      <c r="F276" s="37">
        <f>DANE!E276</f>
        <v>449</v>
      </c>
      <c r="G276" s="53">
        <f t="shared" si="27"/>
        <v>17599</v>
      </c>
      <c r="H276" s="39">
        <f t="shared" si="4"/>
        <v>20075</v>
      </c>
      <c r="I276" s="40">
        <f>DANE!F276</f>
        <v>597589</v>
      </c>
      <c r="J276" s="54">
        <f t="shared" si="5"/>
        <v>-11419</v>
      </c>
      <c r="K276" s="42">
        <f t="shared" si="10"/>
        <v>384486</v>
      </c>
      <c r="L276" s="79">
        <f t="shared" ca="1" si="11"/>
        <v>12944</v>
      </c>
      <c r="M276" s="44">
        <f t="shared" si="6"/>
        <v>2.8607515101074794</v>
      </c>
      <c r="N276" s="45">
        <f t="shared" si="7"/>
        <v>1.7604739144961257</v>
      </c>
      <c r="O276" s="46">
        <f t="shared" si="12"/>
        <v>108703.27832212004</v>
      </c>
      <c r="P276" s="46">
        <f t="shared" si="13"/>
        <v>-6.449950610116241E-2</v>
      </c>
      <c r="Q276" s="156">
        <f t="shared" si="14"/>
        <v>0.54850345729186312</v>
      </c>
      <c r="R276" s="156">
        <f t="shared" ca="1" si="15"/>
        <v>0.63851343762796309</v>
      </c>
      <c r="S276" s="81">
        <f t="shared" ca="1" si="16"/>
        <v>-0.14000000000000001</v>
      </c>
      <c r="T276" s="146"/>
      <c r="U276" s="401"/>
      <c r="V276" s="372"/>
      <c r="W276" s="372"/>
      <c r="X276" s="372"/>
      <c r="Y276" s="372"/>
      <c r="Z276" s="372"/>
      <c r="AA276" s="372"/>
      <c r="AB276" s="372"/>
      <c r="AC276" s="372"/>
      <c r="AD276" s="372"/>
      <c r="AE276" s="146"/>
      <c r="AF276" s="146"/>
      <c r="AG276" s="146"/>
      <c r="AH276" s="146"/>
      <c r="AI276" s="146"/>
      <c r="AJ276" s="146"/>
      <c r="AK276" s="146"/>
      <c r="AL276" s="146"/>
      <c r="AM276" s="146"/>
      <c r="AN276" s="146"/>
      <c r="AO276" s="146"/>
      <c r="AP276" s="146"/>
      <c r="AQ276" s="146"/>
      <c r="AR276" s="146"/>
      <c r="AS276" s="146"/>
    </row>
    <row r="277" spans="1:45" x14ac:dyDescent="0.25">
      <c r="A277" s="32">
        <v>44167</v>
      </c>
      <c r="B277" s="33">
        <f t="shared" ca="1" si="26"/>
        <v>44167</v>
      </c>
      <c r="C277" s="51">
        <f t="shared" si="17"/>
        <v>274</v>
      </c>
      <c r="D277" s="35">
        <f>DANE!D277</f>
        <v>13855</v>
      </c>
      <c r="E277" s="52">
        <f t="shared" si="8"/>
        <v>1013529</v>
      </c>
      <c r="F277" s="37">
        <f>DANE!E277</f>
        <v>609</v>
      </c>
      <c r="G277" s="53">
        <f t="shared" si="27"/>
        <v>18208</v>
      </c>
      <c r="H277" s="39">
        <f t="shared" si="4"/>
        <v>25391</v>
      </c>
      <c r="I277" s="40">
        <f>DANE!F277</f>
        <v>622980</v>
      </c>
      <c r="J277" s="54">
        <f t="shared" si="5"/>
        <v>-12145</v>
      </c>
      <c r="K277" s="42">
        <f t="shared" si="10"/>
        <v>372341</v>
      </c>
      <c r="L277" s="79">
        <f t="shared" ca="1" si="11"/>
        <v>12728.714285714286</v>
      </c>
      <c r="M277" s="44">
        <f t="shared" si="6"/>
        <v>2.8397287535013129</v>
      </c>
      <c r="N277" s="45">
        <f t="shared" si="7"/>
        <v>1.7964952162197629</v>
      </c>
      <c r="O277" s="46">
        <f t="shared" si="12"/>
        <v>107029.23856181718</v>
      </c>
      <c r="P277" s="46">
        <f t="shared" si="13"/>
        <v>-1.5400085316122464E-2</v>
      </c>
      <c r="Q277" s="156">
        <f t="shared" si="14"/>
        <v>0.89219940278714271</v>
      </c>
      <c r="R277" s="156">
        <f t="shared" ca="1" si="15"/>
        <v>0.6686731757395199</v>
      </c>
      <c r="S277" s="81">
        <f t="shared" ca="1" si="16"/>
        <v>3.0000000000000027E-2</v>
      </c>
      <c r="T277" s="146"/>
      <c r="U277" s="401"/>
      <c r="V277" s="372"/>
      <c r="W277" s="372"/>
      <c r="X277" s="372"/>
      <c r="Y277" s="372"/>
      <c r="Z277" s="372"/>
      <c r="AA277" s="372"/>
      <c r="AB277" s="372"/>
      <c r="AC277" s="372"/>
      <c r="AD277" s="372"/>
      <c r="AE277" s="146"/>
      <c r="AF277" s="146"/>
      <c r="AG277" s="146"/>
      <c r="AH277" s="146"/>
      <c r="AI277" s="146"/>
      <c r="AJ277" s="146"/>
      <c r="AK277" s="146"/>
      <c r="AL277" s="146"/>
      <c r="AM277" s="146"/>
      <c r="AN277" s="146"/>
      <c r="AO277" s="146"/>
      <c r="AP277" s="146"/>
      <c r="AQ277" s="146"/>
      <c r="AR277" s="146"/>
      <c r="AS277" s="146"/>
    </row>
    <row r="278" spans="1:45" x14ac:dyDescent="0.25">
      <c r="A278" s="32">
        <v>44168</v>
      </c>
      <c r="B278" s="33">
        <f t="shared" ca="1" si="26"/>
        <v>44168</v>
      </c>
      <c r="C278" s="51">
        <f t="shared" si="17"/>
        <v>275</v>
      </c>
      <c r="D278" s="35">
        <f>DANE!D278</f>
        <v>14838</v>
      </c>
      <c r="E278" s="52">
        <f t="shared" si="8"/>
        <v>1028367</v>
      </c>
      <c r="F278" s="37">
        <f>DANE!E278</f>
        <v>620</v>
      </c>
      <c r="G278" s="53">
        <f t="shared" si="27"/>
        <v>18828</v>
      </c>
      <c r="H278" s="39">
        <f t="shared" si="4"/>
        <v>23580</v>
      </c>
      <c r="I278" s="40">
        <f>DANE!F278</f>
        <v>646560</v>
      </c>
      <c r="J278" s="54">
        <f t="shared" si="5"/>
        <v>-9362</v>
      </c>
      <c r="K278" s="42">
        <f t="shared" si="10"/>
        <v>362979</v>
      </c>
      <c r="L278" s="79">
        <f t="shared" ca="1" si="11"/>
        <v>12464.571428571429</v>
      </c>
      <c r="M278" s="44">
        <f t="shared" si="6"/>
        <v>2.8296272250175836</v>
      </c>
      <c r="N278" s="45">
        <f t="shared" si="7"/>
        <v>1.8308638841969844</v>
      </c>
      <c r="O278" s="46">
        <f t="shared" si="12"/>
        <v>106577.34733870045</v>
      </c>
      <c r="P278" s="46">
        <f t="shared" si="13"/>
        <v>-4.2221287303257238E-3</v>
      </c>
      <c r="Q278" s="156">
        <f t="shared" si="14"/>
        <v>0.9704450988877199</v>
      </c>
      <c r="R278" s="156">
        <f t="shared" ca="1" si="15"/>
        <v>0.69657376145531524</v>
      </c>
      <c r="S278" s="81">
        <f t="shared" ca="1" si="16"/>
        <v>2.9999999999999916E-2</v>
      </c>
      <c r="T278" s="146"/>
      <c r="U278" s="401"/>
      <c r="V278" s="372"/>
      <c r="W278" s="372"/>
      <c r="X278" s="372"/>
      <c r="Y278" s="372"/>
      <c r="Z278" s="372"/>
      <c r="AA278" s="372"/>
      <c r="AB278" s="372"/>
      <c r="AC278" s="372"/>
      <c r="AD278" s="372"/>
      <c r="AE278" s="146"/>
      <c r="AF278" s="146"/>
      <c r="AG278" s="146"/>
      <c r="AH278" s="146"/>
      <c r="AI278" s="146"/>
      <c r="AJ278" s="146"/>
      <c r="AK278" s="146"/>
      <c r="AL278" s="146"/>
      <c r="AM278" s="146"/>
      <c r="AN278" s="146"/>
      <c r="AO278" s="146"/>
      <c r="AP278" s="146"/>
      <c r="AQ278" s="146"/>
      <c r="AR278" s="146"/>
      <c r="AS278" s="146"/>
    </row>
    <row r="279" spans="1:45" x14ac:dyDescent="0.25">
      <c r="A279" s="32">
        <v>44169</v>
      </c>
      <c r="B279" s="33">
        <f t="shared" ca="1" si="26"/>
        <v>44169</v>
      </c>
      <c r="C279" s="51">
        <f t="shared" si="17"/>
        <v>276</v>
      </c>
      <c r="D279" s="35">
        <f>DANE!D279</f>
        <v>13239</v>
      </c>
      <c r="E279" s="52">
        <f t="shared" si="8"/>
        <v>1041606</v>
      </c>
      <c r="F279" s="37">
        <f>DANE!E279</f>
        <v>531</v>
      </c>
      <c r="G279" s="53">
        <f t="shared" si="27"/>
        <v>19359</v>
      </c>
      <c r="H279" s="39">
        <f t="shared" si="4"/>
        <v>19853</v>
      </c>
      <c r="I279" s="40">
        <f>DANE!F279</f>
        <v>666413</v>
      </c>
      <c r="J279" s="54">
        <f t="shared" si="5"/>
        <v>-7145</v>
      </c>
      <c r="K279" s="42">
        <f t="shared" si="10"/>
        <v>355834</v>
      </c>
      <c r="L279" s="79">
        <f t="shared" ca="1" si="11"/>
        <v>11918.714285714286</v>
      </c>
      <c r="M279" s="44">
        <f t="shared" si="6"/>
        <v>2.8229499017166053</v>
      </c>
      <c r="N279" s="45">
        <f t="shared" si="7"/>
        <v>1.8585722432474467</v>
      </c>
      <c r="O279" s="46">
        <f t="shared" si="12"/>
        <v>104591.01200460039</v>
      </c>
      <c r="P279" s="46">
        <f t="shared" si="13"/>
        <v>-1.8637500216509728E-2</v>
      </c>
      <c r="Q279" s="156">
        <f t="shared" si="14"/>
        <v>0.86953749848443196</v>
      </c>
      <c r="R279" s="156">
        <f t="shared" ca="1" si="15"/>
        <v>0.70382646330277954</v>
      </c>
      <c r="S279" s="81">
        <f t="shared" ca="1" si="16"/>
        <v>0</v>
      </c>
      <c r="T279" s="146"/>
      <c r="U279" s="401"/>
      <c r="V279" s="372"/>
      <c r="W279" s="372"/>
      <c r="X279" s="372"/>
      <c r="Y279" s="372"/>
      <c r="Z279" s="372"/>
      <c r="AA279" s="372"/>
      <c r="AB279" s="372"/>
      <c r="AC279" s="372"/>
      <c r="AD279" s="372"/>
      <c r="AE279" s="146"/>
      <c r="AF279" s="146"/>
      <c r="AG279" s="146"/>
      <c r="AH279" s="146"/>
      <c r="AI279" s="146"/>
      <c r="AJ279" s="146"/>
      <c r="AK279" s="146"/>
      <c r="AL279" s="146"/>
      <c r="AM279" s="146"/>
      <c r="AN279" s="146"/>
      <c r="AO279" s="146"/>
      <c r="AP279" s="146"/>
      <c r="AQ279" s="146"/>
      <c r="AR279" s="146"/>
      <c r="AS279" s="146"/>
    </row>
    <row r="280" spans="1:45" x14ac:dyDescent="0.25">
      <c r="A280" s="61">
        <v>44170</v>
      </c>
      <c r="B280" s="62">
        <f t="shared" ca="1" si="26"/>
        <v>44170</v>
      </c>
      <c r="C280" s="12">
        <f t="shared" si="17"/>
        <v>277</v>
      </c>
      <c r="D280" s="63">
        <f>DANE!D280</f>
        <v>12430</v>
      </c>
      <c r="E280" s="64">
        <f t="shared" si="8"/>
        <v>1054036</v>
      </c>
      <c r="F280" s="65">
        <f>DANE!E280</f>
        <v>502</v>
      </c>
      <c r="G280" s="66">
        <f t="shared" si="27"/>
        <v>19861</v>
      </c>
      <c r="H280" s="67">
        <f t="shared" si="4"/>
        <v>21497</v>
      </c>
      <c r="I280" s="68">
        <f>DANE!F280</f>
        <v>687910</v>
      </c>
      <c r="J280" s="54">
        <f t="shared" si="5"/>
        <v>-9569</v>
      </c>
      <c r="K280" s="69">
        <f t="shared" si="10"/>
        <v>346265</v>
      </c>
      <c r="L280" s="84">
        <f t="shared" ca="1" si="11"/>
        <v>11526.142857142857</v>
      </c>
      <c r="M280" s="44">
        <f t="shared" si="6"/>
        <v>2.8061336223156927</v>
      </c>
      <c r="N280" s="45">
        <f t="shared" si="7"/>
        <v>1.8842809923000734</v>
      </c>
      <c r="O280" s="71">
        <f t="shared" si="12"/>
        <v>102079.43886108605</v>
      </c>
      <c r="P280" s="71">
        <f t="shared" si="13"/>
        <v>-2.4013278917349692E-2</v>
      </c>
      <c r="Q280" s="157">
        <f t="shared" si="14"/>
        <v>0.83190704757855216</v>
      </c>
      <c r="R280" s="157">
        <f t="shared" ca="1" si="15"/>
        <v>0.71584093902269708</v>
      </c>
      <c r="S280" s="86">
        <f t="shared" ca="1" si="16"/>
        <v>2.0000000000000018E-2</v>
      </c>
      <c r="T280" s="146"/>
      <c r="U280" s="401"/>
      <c r="V280" s="372"/>
      <c r="W280" s="372"/>
      <c r="X280" s="372"/>
      <c r="Y280" s="372"/>
      <c r="Z280" s="372"/>
      <c r="AA280" s="372"/>
      <c r="AB280" s="372"/>
      <c r="AC280" s="372"/>
      <c r="AD280" s="372"/>
      <c r="AE280" s="146"/>
      <c r="AF280" s="146"/>
      <c r="AG280" s="146"/>
      <c r="AH280" s="146"/>
      <c r="AI280" s="146"/>
      <c r="AJ280" s="146"/>
      <c r="AK280" s="146"/>
      <c r="AL280" s="146"/>
      <c r="AM280" s="146"/>
      <c r="AN280" s="146"/>
      <c r="AO280" s="146"/>
      <c r="AP280" s="146"/>
      <c r="AQ280" s="146"/>
      <c r="AR280" s="146"/>
      <c r="AS280" s="146"/>
    </row>
    <row r="281" spans="1:45" x14ac:dyDescent="0.25">
      <c r="A281" s="61">
        <v>44171</v>
      </c>
      <c r="B281" s="62">
        <f t="shared" ca="1" si="26"/>
        <v>44171</v>
      </c>
      <c r="C281" s="12">
        <f t="shared" si="17"/>
        <v>278</v>
      </c>
      <c r="D281" s="63">
        <f>DANE!D281</f>
        <v>9176</v>
      </c>
      <c r="E281" s="64">
        <f t="shared" si="8"/>
        <v>1063212</v>
      </c>
      <c r="F281" s="65">
        <f>DANE!E281</f>
        <v>228</v>
      </c>
      <c r="G281" s="66">
        <f t="shared" si="27"/>
        <v>20089</v>
      </c>
      <c r="H281" s="67">
        <f t="shared" si="4"/>
        <v>18810</v>
      </c>
      <c r="I281" s="68">
        <f>DANE!F281</f>
        <v>706720</v>
      </c>
      <c r="J281" s="54">
        <f t="shared" si="5"/>
        <v>-9862</v>
      </c>
      <c r="K281" s="69">
        <f t="shared" si="10"/>
        <v>336403</v>
      </c>
      <c r="L281" s="84">
        <f t="shared" ca="1" si="11"/>
        <v>11196.571428571429</v>
      </c>
      <c r="M281" s="44">
        <f t="shared" si="6"/>
        <v>2.7639998954333258</v>
      </c>
      <c r="N281" s="45">
        <f t="shared" si="7"/>
        <v>1.8894632490980161</v>
      </c>
      <c r="O281" s="71">
        <f t="shared" si="12"/>
        <v>96672.6618809309</v>
      </c>
      <c r="P281" s="71">
        <f t="shared" si="13"/>
        <v>-5.2966366591345737E-2</v>
      </c>
      <c r="Q281" s="157">
        <f t="shared" si="14"/>
        <v>0.6292354338605799</v>
      </c>
      <c r="R281" s="157">
        <f t="shared" ca="1" si="15"/>
        <v>0.72188867314796201</v>
      </c>
      <c r="S281" s="86">
        <f t="shared" ca="1" si="16"/>
        <v>0</v>
      </c>
      <c r="T281" s="146"/>
      <c r="U281" s="401"/>
      <c r="V281" s="372"/>
      <c r="W281" s="372"/>
      <c r="X281" s="372"/>
      <c r="Y281" s="372"/>
      <c r="Z281" s="372"/>
      <c r="AA281" s="372"/>
      <c r="AB281" s="372"/>
      <c r="AC281" s="372"/>
      <c r="AD281" s="372"/>
      <c r="AE281" s="146"/>
      <c r="AF281" s="146"/>
      <c r="AG281" s="146"/>
      <c r="AH281" s="146"/>
      <c r="AI281" s="146"/>
      <c r="AJ281" s="146"/>
      <c r="AK281" s="146"/>
      <c r="AL281" s="146"/>
      <c r="AM281" s="146"/>
      <c r="AN281" s="146"/>
      <c r="AO281" s="146"/>
      <c r="AP281" s="146"/>
      <c r="AQ281" s="146"/>
      <c r="AR281" s="146"/>
      <c r="AS281" s="146"/>
    </row>
    <row r="282" spans="1:45" x14ac:dyDescent="0.25">
      <c r="A282" s="32">
        <v>44172</v>
      </c>
      <c r="B282" s="33">
        <f t="shared" ca="1" si="26"/>
        <v>44172</v>
      </c>
      <c r="C282" s="51">
        <f t="shared" si="17"/>
        <v>279</v>
      </c>
      <c r="D282" s="35">
        <f>DANE!D282</f>
        <v>4423</v>
      </c>
      <c r="E282" s="52">
        <f t="shared" si="8"/>
        <v>1067635</v>
      </c>
      <c r="F282" s="37">
        <f>DANE!E282</f>
        <v>92</v>
      </c>
      <c r="G282" s="53">
        <f t="shared" si="27"/>
        <v>20181</v>
      </c>
      <c r="H282" s="39">
        <f t="shared" si="4"/>
        <v>15726</v>
      </c>
      <c r="I282" s="40">
        <f>DANE!F282</f>
        <v>722446</v>
      </c>
      <c r="J282" s="54">
        <f t="shared" si="5"/>
        <v>-11395</v>
      </c>
      <c r="K282" s="42">
        <f t="shared" si="10"/>
        <v>325008</v>
      </c>
      <c r="L282" s="79">
        <f t="shared" ca="1" si="11"/>
        <v>11009.428571428571</v>
      </c>
      <c r="M282" s="44">
        <f t="shared" si="6"/>
        <v>2.717514983969072</v>
      </c>
      <c r="N282" s="45">
        <f t="shared" si="7"/>
        <v>1.8902527549209232</v>
      </c>
      <c r="O282" s="46">
        <f t="shared" si="12"/>
        <v>87285.281612226492</v>
      </c>
      <c r="P282" s="46">
        <f t="shared" si="13"/>
        <v>-9.71048079783568E-2</v>
      </c>
      <c r="Q282" s="156">
        <f t="shared" si="14"/>
        <v>0.32026634415150235</v>
      </c>
      <c r="R282" s="156">
        <f t="shared" ca="1" si="15"/>
        <v>0.72315632614882741</v>
      </c>
      <c r="S282" s="81">
        <f t="shared" ca="1" si="16"/>
        <v>0</v>
      </c>
      <c r="T282" s="146"/>
      <c r="U282" s="401"/>
      <c r="V282" s="372"/>
      <c r="W282" s="372"/>
      <c r="X282" s="372"/>
      <c r="Y282" s="372"/>
      <c r="Z282" s="372"/>
      <c r="AA282" s="372"/>
      <c r="AB282" s="372"/>
      <c r="AC282" s="372"/>
      <c r="AD282" s="372"/>
      <c r="AE282" s="146"/>
      <c r="AF282" s="146"/>
      <c r="AG282" s="146"/>
      <c r="AH282" s="146"/>
      <c r="AI282" s="146"/>
      <c r="AJ282" s="146"/>
      <c r="AK282" s="146"/>
      <c r="AL282" s="146"/>
      <c r="AM282" s="146"/>
      <c r="AN282" s="146"/>
      <c r="AO282" s="146"/>
      <c r="AP282" s="146"/>
      <c r="AQ282" s="146"/>
      <c r="AR282" s="146"/>
      <c r="AS282" s="146"/>
    </row>
    <row r="283" spans="1:45" x14ac:dyDescent="0.25">
      <c r="A283" s="32">
        <v>44173</v>
      </c>
      <c r="B283" s="33">
        <f t="shared" ca="1" si="26"/>
        <v>44173</v>
      </c>
      <c r="C283" s="51">
        <f t="shared" si="17"/>
        <v>280</v>
      </c>
      <c r="D283" s="35">
        <f>DANE!D283</f>
        <v>8312</v>
      </c>
      <c r="E283" s="52">
        <f t="shared" si="8"/>
        <v>1075947</v>
      </c>
      <c r="F283" s="37">
        <f>DANE!E283</f>
        <v>411</v>
      </c>
      <c r="G283" s="53">
        <f t="shared" ref="G283:G298" si="28">IF(ISBLANK(F283),,G282+F283)</f>
        <v>20592</v>
      </c>
      <c r="H283" s="39">
        <f t="shared" si="4"/>
        <v>16399</v>
      </c>
      <c r="I283" s="40">
        <f>DANE!F283</f>
        <v>738845</v>
      </c>
      <c r="J283" s="54">
        <f t="shared" si="5"/>
        <v>-8498</v>
      </c>
      <c r="K283" s="42">
        <f t="shared" si="10"/>
        <v>316510</v>
      </c>
      <c r="L283" s="79">
        <f t="shared" ca="1" si="11"/>
        <v>10896.142857142857</v>
      </c>
      <c r="M283" s="44">
        <f t="shared" si="6"/>
        <v>2.7114823217725763</v>
      </c>
      <c r="N283" s="45">
        <f t="shared" si="7"/>
        <v>1.9138489163499688</v>
      </c>
      <c r="O283" s="46">
        <f t="shared" si="12"/>
        <v>83127.955667622708</v>
      </c>
      <c r="P283" s="46">
        <f t="shared" si="13"/>
        <v>-4.7629174905720266E-2</v>
      </c>
      <c r="Q283" s="156">
        <f t="shared" si="14"/>
        <v>0.66659577565995809</v>
      </c>
      <c r="R283" s="156">
        <f t="shared" ca="1" si="15"/>
        <v>0.74002665734426942</v>
      </c>
      <c r="S283" s="81">
        <f t="shared" ca="1" si="16"/>
        <v>2.0000000000000018E-2</v>
      </c>
      <c r="T283" s="146"/>
      <c r="U283" s="401"/>
      <c r="V283" s="372"/>
      <c r="W283" s="372"/>
      <c r="X283" s="372"/>
      <c r="Y283" s="372"/>
      <c r="Z283" s="372"/>
      <c r="AA283" s="372"/>
      <c r="AB283" s="372"/>
      <c r="AC283" s="372"/>
      <c r="AD283" s="372"/>
      <c r="AE283" s="146"/>
      <c r="AF283" s="146"/>
      <c r="AG283" s="146"/>
      <c r="AH283" s="146"/>
      <c r="AI283" s="146"/>
      <c r="AJ283" s="146"/>
      <c r="AK283" s="146"/>
      <c r="AL283" s="146"/>
      <c r="AM283" s="146"/>
      <c r="AN283" s="146"/>
      <c r="AO283" s="146"/>
      <c r="AP283" s="146"/>
      <c r="AQ283" s="146"/>
      <c r="AR283" s="146"/>
      <c r="AS283" s="146"/>
    </row>
    <row r="284" spans="1:45" x14ac:dyDescent="0.25">
      <c r="A284" s="32">
        <v>44174</v>
      </c>
      <c r="B284" s="33">
        <f t="shared" ca="1" si="26"/>
        <v>44174</v>
      </c>
      <c r="C284" s="51">
        <f t="shared" si="17"/>
        <v>281</v>
      </c>
      <c r="D284" s="35">
        <f>DANE!D284</f>
        <v>12168</v>
      </c>
      <c r="E284" s="52">
        <f t="shared" si="8"/>
        <v>1088115</v>
      </c>
      <c r="F284" s="37">
        <f>DANE!E284</f>
        <v>568</v>
      </c>
      <c r="G284" s="53">
        <f t="shared" si="28"/>
        <v>21160</v>
      </c>
      <c r="H284" s="39">
        <f t="shared" si="4"/>
        <v>29396</v>
      </c>
      <c r="I284" s="40">
        <f>DANE!F284</f>
        <v>768241</v>
      </c>
      <c r="J284" s="54">
        <f t="shared" si="5"/>
        <v>-17796</v>
      </c>
      <c r="K284" s="42">
        <f t="shared" si="10"/>
        <v>298714</v>
      </c>
      <c r="L284" s="79">
        <f t="shared" ca="1" si="11"/>
        <v>10655.142857142857</v>
      </c>
      <c r="M284" s="44">
        <f t="shared" si="6"/>
        <v>2.6805134526052035</v>
      </c>
      <c r="N284" s="45">
        <f t="shared" si="7"/>
        <v>1.9446473948066152</v>
      </c>
      <c r="O284" s="46">
        <f t="shared" si="12"/>
        <v>83420.533429390896</v>
      </c>
      <c r="P284" s="46">
        <f t="shared" si="13"/>
        <v>3.5196073260603971E-3</v>
      </c>
      <c r="Q284" s="156">
        <f t="shared" si="14"/>
        <v>1.0246372512824229</v>
      </c>
      <c r="R284" s="156">
        <f t="shared" ca="1" si="15"/>
        <v>0.75894634998645238</v>
      </c>
      <c r="S284" s="81">
        <f t="shared" ca="1" si="16"/>
        <v>2.0000000000000018E-2</v>
      </c>
      <c r="T284" s="146"/>
      <c r="U284" s="401"/>
      <c r="V284" s="372"/>
      <c r="W284" s="372"/>
      <c r="X284" s="372"/>
      <c r="Y284" s="372"/>
      <c r="Z284" s="372"/>
      <c r="AA284" s="372"/>
      <c r="AB284" s="372"/>
      <c r="AC284" s="372"/>
      <c r="AD284" s="372"/>
      <c r="AE284" s="146"/>
      <c r="AF284" s="146"/>
      <c r="AG284" s="146"/>
      <c r="AH284" s="146"/>
      <c r="AI284" s="146"/>
      <c r="AJ284" s="146"/>
      <c r="AK284" s="146"/>
      <c r="AL284" s="146"/>
      <c r="AM284" s="146"/>
      <c r="AN284" s="146"/>
      <c r="AO284" s="146"/>
      <c r="AP284" s="146"/>
      <c r="AQ284" s="146"/>
      <c r="AR284" s="146"/>
      <c r="AS284" s="146"/>
    </row>
    <row r="285" spans="1:45" x14ac:dyDescent="0.25">
      <c r="A285" s="32">
        <v>44175</v>
      </c>
      <c r="B285" s="33">
        <f t="shared" ca="1" si="26"/>
        <v>44175</v>
      </c>
      <c r="C285" s="51">
        <f t="shared" si="17"/>
        <v>282</v>
      </c>
      <c r="D285" s="35">
        <f>DANE!D285</f>
        <v>13749</v>
      </c>
      <c r="E285" s="52">
        <f t="shared" si="8"/>
        <v>1101864</v>
      </c>
      <c r="F285" s="37">
        <f>DANE!E285</f>
        <v>470</v>
      </c>
      <c r="G285" s="53">
        <f t="shared" si="28"/>
        <v>21630</v>
      </c>
      <c r="H285" s="39">
        <f t="shared" si="4"/>
        <v>23878</v>
      </c>
      <c r="I285" s="40">
        <f>DANE!F285</f>
        <v>792119</v>
      </c>
      <c r="J285" s="54">
        <f t="shared" si="5"/>
        <v>-10599</v>
      </c>
      <c r="K285" s="42">
        <f t="shared" si="10"/>
        <v>288115</v>
      </c>
      <c r="L285" s="79">
        <f t="shared" ca="1" si="11"/>
        <v>10499.571428571429</v>
      </c>
      <c r="M285" s="44">
        <f t="shared" si="6"/>
        <v>2.6580677825717758</v>
      </c>
      <c r="N285" s="45">
        <f t="shared" si="7"/>
        <v>1.9630371806320923</v>
      </c>
      <c r="O285" s="46">
        <f t="shared" si="12"/>
        <v>85252.314368049352</v>
      </c>
      <c r="P285" s="46">
        <f t="shared" si="13"/>
        <v>2.1958393975134653E-2</v>
      </c>
      <c r="Q285" s="156">
        <f t="shared" si="14"/>
        <v>1.1537087578259426</v>
      </c>
      <c r="R285" s="156">
        <f t="shared" ca="1" si="15"/>
        <v>0.78512687269191284</v>
      </c>
      <c r="S285" s="81">
        <f t="shared" ca="1" si="16"/>
        <v>3.0000000000000027E-2</v>
      </c>
      <c r="T285" s="146"/>
      <c r="U285" s="401"/>
      <c r="V285" s="372"/>
      <c r="W285" s="372"/>
      <c r="X285" s="372"/>
      <c r="Y285" s="372"/>
      <c r="Z285" s="372"/>
      <c r="AA285" s="372"/>
      <c r="AB285" s="372"/>
      <c r="AC285" s="372"/>
      <c r="AD285" s="372"/>
      <c r="AE285" s="146"/>
      <c r="AF285" s="146"/>
      <c r="AG285" s="146"/>
      <c r="AH285" s="146"/>
      <c r="AI285" s="146"/>
      <c r="AJ285" s="146"/>
      <c r="AK285" s="146"/>
      <c r="AL285" s="146"/>
      <c r="AM285" s="146"/>
      <c r="AN285" s="146"/>
      <c r="AO285" s="146"/>
      <c r="AP285" s="146"/>
      <c r="AQ285" s="146"/>
      <c r="AR285" s="146"/>
      <c r="AS285" s="146"/>
    </row>
    <row r="286" spans="1:45" x14ac:dyDescent="0.25">
      <c r="A286" s="32">
        <v>44176</v>
      </c>
      <c r="B286" s="33">
        <f t="shared" ca="1" si="26"/>
        <v>44176</v>
      </c>
      <c r="C286" s="51">
        <f t="shared" si="17"/>
        <v>283</v>
      </c>
      <c r="D286" s="35">
        <f>DANE!D286</f>
        <v>13110</v>
      </c>
      <c r="E286" s="52">
        <f t="shared" si="8"/>
        <v>1114974</v>
      </c>
      <c r="F286" s="37">
        <f>DANE!E286</f>
        <v>544</v>
      </c>
      <c r="G286" s="53">
        <f t="shared" si="28"/>
        <v>22174</v>
      </c>
      <c r="H286" s="39">
        <f t="shared" si="4"/>
        <v>23237</v>
      </c>
      <c r="I286" s="40">
        <f>DANE!F286</f>
        <v>815356</v>
      </c>
      <c r="J286" s="54">
        <f t="shared" si="5"/>
        <v>-10671</v>
      </c>
      <c r="K286" s="42">
        <f t="shared" si="10"/>
        <v>277444</v>
      </c>
      <c r="L286" s="79">
        <f t="shared" ca="1" si="11"/>
        <v>10481.142857142857</v>
      </c>
      <c r="M286" s="44">
        <f t="shared" si="6"/>
        <v>2.6475469535419629</v>
      </c>
      <c r="N286" s="45">
        <f t="shared" si="7"/>
        <v>1.9887459259139675</v>
      </c>
      <c r="O286" s="46">
        <f t="shared" si="12"/>
        <v>86183.41231547088</v>
      </c>
      <c r="P286" s="46">
        <f t="shared" si="13"/>
        <v>1.0921673556002391E-2</v>
      </c>
      <c r="Q286" s="156">
        <f t="shared" si="14"/>
        <v>1.0764517148920167</v>
      </c>
      <c r="R286" s="156">
        <f t="shared" ca="1" si="15"/>
        <v>0.814686046464425</v>
      </c>
      <c r="S286" s="81">
        <f t="shared" ca="1" si="16"/>
        <v>2.0000000000000018E-2</v>
      </c>
      <c r="T286" s="146"/>
      <c r="U286" s="401"/>
      <c r="V286" s="372"/>
      <c r="W286" s="372"/>
      <c r="X286" s="372"/>
      <c r="Y286" s="372"/>
      <c r="Z286" s="372"/>
      <c r="AA286" s="372"/>
      <c r="AB286" s="372"/>
      <c r="AC286" s="372"/>
      <c r="AD286" s="372"/>
      <c r="AE286" s="146"/>
      <c r="AF286" s="146"/>
      <c r="AG286" s="146"/>
      <c r="AH286" s="146"/>
      <c r="AI286" s="146"/>
      <c r="AJ286" s="146"/>
      <c r="AK286" s="146"/>
      <c r="AL286" s="146"/>
      <c r="AM286" s="146"/>
      <c r="AN286" s="146"/>
      <c r="AO286" s="146"/>
      <c r="AP286" s="146"/>
      <c r="AQ286" s="146"/>
      <c r="AR286" s="146"/>
      <c r="AS286" s="146"/>
    </row>
    <row r="287" spans="1:45" x14ac:dyDescent="0.25">
      <c r="A287" s="61">
        <v>44177</v>
      </c>
      <c r="B287" s="33">
        <f t="shared" ca="1" si="26"/>
        <v>44177</v>
      </c>
      <c r="C287" s="51">
        <f t="shared" si="17"/>
        <v>284</v>
      </c>
      <c r="D287" s="63">
        <f>DANE!D287</f>
        <v>11497</v>
      </c>
      <c r="E287" s="52">
        <f t="shared" si="8"/>
        <v>1126471</v>
      </c>
      <c r="F287" s="65">
        <f>DANE!E287</f>
        <v>502</v>
      </c>
      <c r="G287" s="53">
        <f t="shared" si="28"/>
        <v>22676</v>
      </c>
      <c r="H287" s="39">
        <f t="shared" si="4"/>
        <v>25185</v>
      </c>
      <c r="I287" s="40">
        <f>DANE!F287</f>
        <v>840541</v>
      </c>
      <c r="J287" s="54">
        <f t="shared" si="5"/>
        <v>-14190</v>
      </c>
      <c r="K287" s="42">
        <f t="shared" si="10"/>
        <v>263254</v>
      </c>
      <c r="L287" s="79">
        <f t="shared" ca="1" si="11"/>
        <v>10347.857142857143</v>
      </c>
      <c r="M287" s="44">
        <f t="shared" si="6"/>
        <v>2.6269176811856116</v>
      </c>
      <c r="N287" s="45">
        <f t="shared" si="7"/>
        <v>2.0130123190033298</v>
      </c>
      <c r="O287" s="46">
        <f t="shared" si="12"/>
        <v>85368.496270403615</v>
      </c>
      <c r="P287" s="46">
        <f t="shared" si="13"/>
        <v>-9.4556019908366741E-3</v>
      </c>
      <c r="Q287" s="157">
        <f t="shared" si="14"/>
        <v>0.93381078606414325</v>
      </c>
      <c r="R287" s="157">
        <f t="shared" ca="1" si="15"/>
        <v>0.82924372339093799</v>
      </c>
      <c r="S287" s="86">
        <f t="shared" ca="1" si="16"/>
        <v>1.9999999999999907E-2</v>
      </c>
      <c r="T287" s="146"/>
      <c r="U287" s="401"/>
      <c r="V287" s="372"/>
      <c r="W287" s="372"/>
      <c r="X287" s="372"/>
      <c r="Y287" s="372"/>
      <c r="Z287" s="372"/>
      <c r="AA287" s="372"/>
      <c r="AB287" s="372"/>
      <c r="AC287" s="372"/>
      <c r="AD287" s="372"/>
      <c r="AE287" s="146"/>
      <c r="AF287" s="146"/>
      <c r="AG287" s="146"/>
      <c r="AH287" s="146"/>
      <c r="AI287" s="146"/>
      <c r="AJ287" s="146"/>
      <c r="AK287" s="146"/>
      <c r="AL287" s="146"/>
      <c r="AM287" s="146"/>
      <c r="AN287" s="146"/>
      <c r="AO287" s="146"/>
      <c r="AP287" s="146"/>
      <c r="AQ287" s="146"/>
      <c r="AR287" s="146"/>
      <c r="AS287" s="146"/>
    </row>
    <row r="288" spans="1:45" x14ac:dyDescent="0.25">
      <c r="A288" s="61">
        <v>44178</v>
      </c>
      <c r="B288" s="33">
        <f t="shared" ca="1" si="26"/>
        <v>44178</v>
      </c>
      <c r="C288" s="51">
        <f t="shared" si="17"/>
        <v>285</v>
      </c>
      <c r="D288" s="63">
        <f>DANE!D288</f>
        <v>8977</v>
      </c>
      <c r="E288" s="52">
        <f t="shared" si="8"/>
        <v>1135448</v>
      </c>
      <c r="F288" s="65">
        <f>DANE!E288</f>
        <v>188</v>
      </c>
      <c r="G288" s="53">
        <f t="shared" si="28"/>
        <v>22864</v>
      </c>
      <c r="H288" s="39">
        <f t="shared" si="4"/>
        <v>18354</v>
      </c>
      <c r="I288" s="68">
        <f>DANE!F288</f>
        <v>858895</v>
      </c>
      <c r="J288" s="54">
        <f t="shared" si="5"/>
        <v>-9565</v>
      </c>
      <c r="K288" s="42">
        <f t="shared" si="10"/>
        <v>253689</v>
      </c>
      <c r="L288" s="79">
        <f t="shared" ca="1" si="11"/>
        <v>10319.428571428571</v>
      </c>
      <c r="M288" s="44">
        <f t="shared" si="6"/>
        <v>2.5929987672368529</v>
      </c>
      <c r="N288" s="45">
        <f t="shared" si="7"/>
        <v>2.0136545222678626</v>
      </c>
      <c r="O288" s="46">
        <f t="shared" si="12"/>
        <v>82149.996803203103</v>
      </c>
      <c r="P288" s="46">
        <f t="shared" si="13"/>
        <v>-3.7701255238301923E-2</v>
      </c>
      <c r="Q288" s="157">
        <f t="shared" si="14"/>
        <v>0.73609121333188654</v>
      </c>
      <c r="R288" s="157">
        <f t="shared" ca="1" si="15"/>
        <v>0.84450883474398164</v>
      </c>
      <c r="S288" s="86">
        <f t="shared" ca="1" si="16"/>
        <v>1.0000000000000009E-2</v>
      </c>
      <c r="T288" s="146"/>
      <c r="U288" s="401"/>
      <c r="V288" s="372"/>
      <c r="W288" s="372"/>
      <c r="X288" s="372"/>
      <c r="Y288" s="372"/>
      <c r="Z288" s="372"/>
      <c r="AA288" s="372"/>
      <c r="AB288" s="372"/>
      <c r="AC288" s="372"/>
      <c r="AD288" s="372"/>
      <c r="AE288" s="146"/>
      <c r="AF288" s="146"/>
      <c r="AG288" s="146"/>
      <c r="AH288" s="146"/>
      <c r="AI288" s="146"/>
      <c r="AJ288" s="146"/>
      <c r="AK288" s="146"/>
      <c r="AL288" s="146"/>
      <c r="AM288" s="146"/>
      <c r="AN288" s="146"/>
      <c r="AO288" s="146"/>
      <c r="AP288" s="146"/>
      <c r="AQ288" s="146"/>
      <c r="AR288" s="146"/>
      <c r="AS288" s="146"/>
    </row>
    <row r="289" spans="1:45" x14ac:dyDescent="0.25">
      <c r="A289" s="32">
        <v>44179</v>
      </c>
      <c r="B289" s="33">
        <f t="shared" ca="1" si="26"/>
        <v>44179</v>
      </c>
      <c r="C289" s="51">
        <f t="shared" si="17"/>
        <v>286</v>
      </c>
      <c r="D289" s="35">
        <f>DANE!D289</f>
        <v>4896</v>
      </c>
      <c r="E289" s="52">
        <f t="shared" si="8"/>
        <v>1140344</v>
      </c>
      <c r="F289" s="37">
        <f>DANE!E289</f>
        <v>96</v>
      </c>
      <c r="G289" s="53">
        <f t="shared" si="28"/>
        <v>22960</v>
      </c>
      <c r="H289" s="39">
        <f t="shared" si="4"/>
        <v>10260</v>
      </c>
      <c r="I289" s="40">
        <f>DANE!F289</f>
        <v>869155</v>
      </c>
      <c r="J289" s="54">
        <f t="shared" si="5"/>
        <v>-5460</v>
      </c>
      <c r="K289" s="42">
        <f t="shared" si="10"/>
        <v>248229</v>
      </c>
      <c r="L289" s="79">
        <f t="shared" ca="1" si="11"/>
        <v>10387</v>
      </c>
      <c r="M289" s="44">
        <f t="shared" si="6"/>
        <v>2.5736592255482758</v>
      </c>
      <c r="N289" s="45">
        <f t="shared" si="7"/>
        <v>2.0134275271321633</v>
      </c>
      <c r="O289" s="46">
        <f t="shared" si="12"/>
        <v>75310.282974174101</v>
      </c>
      <c r="P289" s="46">
        <f t="shared" si="13"/>
        <v>-8.3258844737560789E-2</v>
      </c>
      <c r="Q289" s="156">
        <f t="shared" si="14"/>
        <v>0.41718808683707442</v>
      </c>
      <c r="R289" s="156">
        <f t="shared" ca="1" si="15"/>
        <v>0.85835479798477787</v>
      </c>
      <c r="S289" s="81">
        <f t="shared" ca="1" si="16"/>
        <v>2.0000000000000018E-2</v>
      </c>
      <c r="T289" s="146"/>
      <c r="U289" s="401"/>
      <c r="V289" s="372"/>
      <c r="W289" s="372"/>
      <c r="X289" s="372"/>
      <c r="Y289" s="372"/>
      <c r="Z289" s="372"/>
      <c r="AA289" s="372"/>
      <c r="AB289" s="372"/>
      <c r="AC289" s="372"/>
      <c r="AD289" s="372"/>
      <c r="AE289" s="146"/>
      <c r="AF289" s="146"/>
      <c r="AG289" s="146"/>
      <c r="AH289" s="146"/>
      <c r="AI289" s="146"/>
      <c r="AJ289" s="146"/>
      <c r="AK289" s="146"/>
      <c r="AL289" s="146"/>
      <c r="AM289" s="146"/>
      <c r="AN289" s="146"/>
      <c r="AO289" s="146"/>
      <c r="AP289" s="146"/>
      <c r="AQ289" s="146"/>
      <c r="AR289" s="146"/>
      <c r="AS289" s="146"/>
    </row>
    <row r="290" spans="1:45" x14ac:dyDescent="0.25">
      <c r="A290" s="32">
        <v>44180</v>
      </c>
      <c r="B290" s="33">
        <f t="shared" ca="1" si="26"/>
        <v>44180</v>
      </c>
      <c r="C290" s="51">
        <f t="shared" si="17"/>
        <v>287</v>
      </c>
      <c r="D290" s="35">
        <f>DANE!D290</f>
        <v>6907</v>
      </c>
      <c r="E290" s="52">
        <f t="shared" si="8"/>
        <v>1147251</v>
      </c>
      <c r="F290" s="37">
        <f>DANE!E290</f>
        <v>349</v>
      </c>
      <c r="G290" s="53">
        <f t="shared" si="28"/>
        <v>23309</v>
      </c>
      <c r="H290" s="39">
        <f t="shared" si="4"/>
        <v>10593</v>
      </c>
      <c r="I290" s="40">
        <f>DANE!F290</f>
        <v>879748</v>
      </c>
      <c r="J290" s="54">
        <f t="shared" si="5"/>
        <v>-4035</v>
      </c>
      <c r="K290" s="42">
        <f t="shared" si="10"/>
        <v>244194</v>
      </c>
      <c r="L290" s="79">
        <f t="shared" ca="1" si="11"/>
        <v>10186.285714285714</v>
      </c>
      <c r="M290" s="44">
        <f t="shared" si="6"/>
        <v>2.5811216789194922</v>
      </c>
      <c r="N290" s="45">
        <f t="shared" si="7"/>
        <v>2.031726274372391</v>
      </c>
      <c r="O290" s="46">
        <f t="shared" si="12"/>
        <v>71458.671120720654</v>
      </c>
      <c r="P290" s="46">
        <f t="shared" si="13"/>
        <v>-5.1143239692437052E-2</v>
      </c>
      <c r="Q290" s="156">
        <f t="shared" si="14"/>
        <v>0.6419973221529407</v>
      </c>
      <c r="R290" s="156">
        <f t="shared" ca="1" si="15"/>
        <v>0.85484073319806098</v>
      </c>
      <c r="S290" s="81">
        <f t="shared" ca="1" si="16"/>
        <v>-1.0000000000000009E-2</v>
      </c>
      <c r="T290" s="146"/>
      <c r="U290" s="401"/>
      <c r="V290" s="372"/>
      <c r="W290" s="372"/>
      <c r="X290" s="372"/>
      <c r="Y290" s="372"/>
      <c r="Z290" s="372"/>
      <c r="AA290" s="372"/>
      <c r="AB290" s="372"/>
      <c r="AC290" s="372"/>
      <c r="AD290" s="372"/>
      <c r="AE290" s="146"/>
      <c r="AF290" s="146"/>
      <c r="AG290" s="146"/>
      <c r="AH290" s="146"/>
      <c r="AI290" s="146"/>
      <c r="AJ290" s="146"/>
      <c r="AK290" s="146"/>
      <c r="AL290" s="146"/>
      <c r="AM290" s="146"/>
      <c r="AN290" s="146"/>
      <c r="AO290" s="146"/>
      <c r="AP290" s="146"/>
      <c r="AQ290" s="146"/>
      <c r="AR290" s="146"/>
      <c r="AS290" s="146"/>
    </row>
    <row r="291" spans="1:45" x14ac:dyDescent="0.25">
      <c r="A291" s="32">
        <v>44181</v>
      </c>
      <c r="B291" s="33">
        <f t="shared" ca="1" si="26"/>
        <v>44181</v>
      </c>
      <c r="C291" s="51">
        <f t="shared" si="17"/>
        <v>288</v>
      </c>
      <c r="D291" s="35">
        <f>DANE!D291</f>
        <v>12454</v>
      </c>
      <c r="E291" s="52">
        <f t="shared" si="8"/>
        <v>1159705</v>
      </c>
      <c r="F291" s="37">
        <f>DANE!E291</f>
        <v>605</v>
      </c>
      <c r="G291" s="53">
        <f t="shared" si="28"/>
        <v>23914</v>
      </c>
      <c r="H291" s="39">
        <f t="shared" si="4"/>
        <v>12902</v>
      </c>
      <c r="I291" s="40">
        <f>DANE!F291</f>
        <v>892650</v>
      </c>
      <c r="J291" s="54">
        <f t="shared" si="5"/>
        <v>-1053</v>
      </c>
      <c r="K291" s="42">
        <f t="shared" si="10"/>
        <v>243141</v>
      </c>
      <c r="L291" s="79">
        <f t="shared" ca="1" si="11"/>
        <v>10227.142857142857</v>
      </c>
      <c r="M291" s="44">
        <f t="shared" si="6"/>
        <v>2.6090922183284531</v>
      </c>
      <c r="N291" s="45">
        <f t="shared" si="7"/>
        <v>2.0620761314299756</v>
      </c>
      <c r="O291" s="46">
        <f t="shared" si="12"/>
        <v>73704.28953204627</v>
      </c>
      <c r="P291" s="46">
        <f t="shared" si="13"/>
        <v>3.1425415224023971E-2</v>
      </c>
      <c r="Q291" s="156">
        <f t="shared" si="14"/>
        <v>1.2199779065681677</v>
      </c>
      <c r="R291" s="156">
        <f t="shared" ca="1" si="15"/>
        <v>0.88274654109602457</v>
      </c>
      <c r="S291" s="81">
        <f t="shared" ca="1" si="16"/>
        <v>3.0000000000000027E-2</v>
      </c>
      <c r="T291" s="146"/>
      <c r="U291" s="401"/>
      <c r="V291" s="372"/>
      <c r="W291" s="372"/>
      <c r="X291" s="372"/>
      <c r="Y291" s="372"/>
      <c r="Z291" s="372"/>
      <c r="AA291" s="372"/>
      <c r="AB291" s="372"/>
      <c r="AC291" s="372"/>
      <c r="AD291" s="372"/>
      <c r="AE291" s="146"/>
      <c r="AF291" s="146"/>
      <c r="AG291" s="146"/>
      <c r="AH291" s="146"/>
      <c r="AI291" s="146"/>
      <c r="AJ291" s="146"/>
      <c r="AK291" s="146"/>
      <c r="AL291" s="146"/>
      <c r="AM291" s="146"/>
      <c r="AN291" s="146"/>
      <c r="AO291" s="146"/>
      <c r="AP291" s="146"/>
      <c r="AQ291" s="146"/>
      <c r="AR291" s="146"/>
      <c r="AS291" s="146"/>
    </row>
    <row r="292" spans="1:45" x14ac:dyDescent="0.25">
      <c r="A292" s="32">
        <v>44182</v>
      </c>
      <c r="B292" s="33">
        <f t="shared" ca="1" si="26"/>
        <v>44182</v>
      </c>
      <c r="C292" s="51">
        <f t="shared" si="17"/>
        <v>289</v>
      </c>
      <c r="D292" s="35">
        <f>DANE!D292</f>
        <v>11953</v>
      </c>
      <c r="E292" s="52">
        <f t="shared" si="8"/>
        <v>1171658</v>
      </c>
      <c r="F292" s="37">
        <f>DANE!E292</f>
        <v>431</v>
      </c>
      <c r="G292" s="53">
        <f t="shared" si="28"/>
        <v>24345</v>
      </c>
      <c r="H292" s="39">
        <f t="shared" si="4"/>
        <v>10699</v>
      </c>
      <c r="I292" s="40">
        <f>DANE!F292</f>
        <v>903349</v>
      </c>
      <c r="J292" s="54">
        <f t="shared" si="5"/>
        <v>823</v>
      </c>
      <c r="K292" s="42">
        <f t="shared" si="10"/>
        <v>243964</v>
      </c>
      <c r="L292" s="79">
        <f t="shared" ca="1" si="11"/>
        <v>9970.5714285714294</v>
      </c>
      <c r="M292" s="44">
        <f t="shared" si="6"/>
        <v>2.6242489441561547</v>
      </c>
      <c r="N292" s="45">
        <f t="shared" si="7"/>
        <v>2.0778247577364723</v>
      </c>
      <c r="O292" s="46">
        <f t="shared" si="12"/>
        <v>75128.105313182517</v>
      </c>
      <c r="P292" s="46">
        <f t="shared" si="13"/>
        <v>1.9317950015883118E-2</v>
      </c>
      <c r="Q292" s="156">
        <f t="shared" si="14"/>
        <v>1.1352256501111819</v>
      </c>
      <c r="R292" s="156">
        <f t="shared" ca="1" si="15"/>
        <v>0.88010609713677301</v>
      </c>
      <c r="S292" s="81">
        <f t="shared" ca="1" si="16"/>
        <v>0</v>
      </c>
      <c r="T292" s="146"/>
      <c r="U292" s="401"/>
      <c r="V292" s="372"/>
      <c r="W292" s="372"/>
      <c r="X292" s="372"/>
      <c r="Y292" s="372"/>
      <c r="Z292" s="372"/>
      <c r="AA292" s="372"/>
      <c r="AB292" s="372"/>
      <c r="AC292" s="372"/>
      <c r="AD292" s="372"/>
      <c r="AE292" s="146"/>
      <c r="AF292" s="146"/>
      <c r="AG292" s="146"/>
      <c r="AH292" s="146"/>
      <c r="AI292" s="146"/>
      <c r="AJ292" s="146"/>
      <c r="AK292" s="146"/>
      <c r="AL292" s="146"/>
      <c r="AM292" s="146"/>
      <c r="AN292" s="146"/>
      <c r="AO292" s="146"/>
      <c r="AP292" s="146"/>
      <c r="AQ292" s="146"/>
      <c r="AR292" s="146"/>
      <c r="AS292" s="146"/>
    </row>
    <row r="293" spans="1:45" x14ac:dyDescent="0.25">
      <c r="A293" s="32">
        <v>44183</v>
      </c>
      <c r="B293" s="33">
        <f t="shared" ca="1" si="26"/>
        <v>44183</v>
      </c>
      <c r="C293" s="51">
        <f t="shared" si="17"/>
        <v>290</v>
      </c>
      <c r="D293" s="35">
        <f>DANE!D293</f>
        <v>11013</v>
      </c>
      <c r="E293" s="52">
        <f t="shared" si="8"/>
        <v>1182671</v>
      </c>
      <c r="F293" s="37">
        <f>DANE!E293</f>
        <v>426</v>
      </c>
      <c r="G293" s="53">
        <f t="shared" si="28"/>
        <v>24771</v>
      </c>
      <c r="H293" s="39">
        <f t="shared" si="4"/>
        <v>12227</v>
      </c>
      <c r="I293" s="40">
        <f>DANE!F293</f>
        <v>915576</v>
      </c>
      <c r="J293" s="54">
        <f t="shared" si="5"/>
        <v>-1640</v>
      </c>
      <c r="K293" s="42">
        <f t="shared" si="10"/>
        <v>242324</v>
      </c>
      <c r="L293" s="79">
        <f t="shared" ca="1" si="11"/>
        <v>9671</v>
      </c>
      <c r="M293" s="44">
        <f t="shared" si="6"/>
        <v>2.634240338938711</v>
      </c>
      <c r="N293" s="45">
        <f t="shared" si="7"/>
        <v>2.0944962715751041</v>
      </c>
      <c r="O293" s="46">
        <f t="shared" si="12"/>
        <v>75408.518839870725</v>
      </c>
      <c r="P293" s="46">
        <f t="shared" si="13"/>
        <v>3.732471696434547E-3</v>
      </c>
      <c r="Q293" s="156">
        <f t="shared" si="14"/>
        <v>1.0261273018750419</v>
      </c>
      <c r="R293" s="156">
        <f t="shared" ca="1" si="15"/>
        <v>0.87291689527720517</v>
      </c>
      <c r="S293" s="81">
        <f t="shared" ca="1" si="16"/>
        <v>-1.0000000000000009E-2</v>
      </c>
      <c r="T293" s="146"/>
      <c r="U293" s="401"/>
      <c r="V293" s="372"/>
      <c r="W293" s="372"/>
      <c r="X293" s="372"/>
      <c r="Y293" s="372"/>
      <c r="Z293" s="372"/>
      <c r="AA293" s="372"/>
      <c r="AB293" s="372"/>
      <c r="AC293" s="372"/>
      <c r="AD293" s="372"/>
      <c r="AE293" s="146"/>
      <c r="AF293" s="146"/>
      <c r="AG293" s="146"/>
      <c r="AH293" s="146"/>
      <c r="AI293" s="146"/>
      <c r="AJ293" s="146"/>
      <c r="AK293" s="146"/>
      <c r="AL293" s="146"/>
      <c r="AM293" s="146"/>
      <c r="AN293" s="146"/>
      <c r="AO293" s="146"/>
      <c r="AP293" s="146"/>
      <c r="AQ293" s="146"/>
      <c r="AR293" s="146"/>
      <c r="AS293" s="146"/>
    </row>
    <row r="294" spans="1:45" x14ac:dyDescent="0.25">
      <c r="A294" s="32">
        <v>44184</v>
      </c>
      <c r="B294" s="33">
        <f t="shared" ca="1" si="26"/>
        <v>44184</v>
      </c>
      <c r="C294" s="51">
        <f t="shared" si="17"/>
        <v>291</v>
      </c>
      <c r="D294" s="35">
        <f>DANE!D294</f>
        <v>11267</v>
      </c>
      <c r="E294" s="52">
        <f t="shared" si="8"/>
        <v>1193938</v>
      </c>
      <c r="F294" s="37">
        <f>DANE!E294</f>
        <v>483</v>
      </c>
      <c r="G294" s="53">
        <f t="shared" si="28"/>
        <v>25254</v>
      </c>
      <c r="H294" s="39">
        <f t="shared" si="4"/>
        <v>12147</v>
      </c>
      <c r="I294" s="40">
        <f>DANE!F294</f>
        <v>927723</v>
      </c>
      <c r="J294" s="54">
        <f t="shared" si="5"/>
        <v>-1363</v>
      </c>
      <c r="K294" s="42">
        <f t="shared" si="10"/>
        <v>240961</v>
      </c>
      <c r="L294" s="79">
        <f t="shared" ca="1" si="11"/>
        <v>9638.1428571428569</v>
      </c>
      <c r="M294" s="44">
        <f t="shared" si="6"/>
        <v>2.6500114903087901</v>
      </c>
      <c r="N294" s="45">
        <f t="shared" si="7"/>
        <v>2.115185210622327</v>
      </c>
      <c r="O294" s="46">
        <f t="shared" si="12"/>
        <v>75902.873291317766</v>
      </c>
      <c r="P294" s="46">
        <f t="shared" si="13"/>
        <v>6.5556844114230432E-3</v>
      </c>
      <c r="Q294" s="156">
        <f t="shared" si="14"/>
        <v>1.0458897908799614</v>
      </c>
      <c r="R294" s="156">
        <f t="shared" ca="1" si="15"/>
        <v>0.88892818167946497</v>
      </c>
      <c r="S294" s="81">
        <f t="shared" ca="1" si="16"/>
        <v>2.0000000000000018E-2</v>
      </c>
      <c r="T294" s="146"/>
      <c r="U294" s="401"/>
      <c r="V294" s="372"/>
      <c r="W294" s="372"/>
      <c r="X294" s="372"/>
      <c r="Y294" s="372"/>
      <c r="Z294" s="372"/>
      <c r="AA294" s="372"/>
      <c r="AB294" s="372"/>
      <c r="AC294" s="372"/>
      <c r="AD294" s="372"/>
      <c r="AE294" s="146"/>
      <c r="AF294" s="146"/>
      <c r="AG294" s="146"/>
      <c r="AH294" s="146"/>
      <c r="AI294" s="146"/>
      <c r="AJ294" s="146"/>
      <c r="AK294" s="146"/>
      <c r="AL294" s="146"/>
      <c r="AM294" s="146"/>
      <c r="AN294" s="146"/>
      <c r="AO294" s="146"/>
      <c r="AP294" s="146"/>
      <c r="AQ294" s="146"/>
      <c r="AR294" s="146"/>
      <c r="AS294" s="146"/>
    </row>
    <row r="295" spans="1:45" x14ac:dyDescent="0.25">
      <c r="A295" s="32">
        <v>44185</v>
      </c>
      <c r="B295" s="33">
        <f t="shared" ca="1" si="26"/>
        <v>44185</v>
      </c>
      <c r="C295" s="51">
        <f t="shared" si="17"/>
        <v>292</v>
      </c>
      <c r="D295" s="35">
        <f>DANE!D295</f>
        <v>8594</v>
      </c>
      <c r="E295" s="52">
        <f t="shared" si="8"/>
        <v>1202532</v>
      </c>
      <c r="F295" s="37">
        <f>DANE!E295</f>
        <v>143</v>
      </c>
      <c r="G295" s="53">
        <f t="shared" si="28"/>
        <v>25397</v>
      </c>
      <c r="H295" s="39">
        <f t="shared" si="4"/>
        <v>10573</v>
      </c>
      <c r="I295" s="40">
        <f>DANE!F295</f>
        <v>938296</v>
      </c>
      <c r="J295" s="54">
        <f t="shared" si="5"/>
        <v>-2122</v>
      </c>
      <c r="K295" s="42">
        <f t="shared" si="10"/>
        <v>238839</v>
      </c>
      <c r="L295" s="79">
        <f t="shared" ca="1" si="11"/>
        <v>9583.4285714285706</v>
      </c>
      <c r="M295" s="44">
        <f t="shared" si="6"/>
        <v>2.6353828449516601</v>
      </c>
      <c r="N295" s="45">
        <f t="shared" si="7"/>
        <v>2.1119604301590313</v>
      </c>
      <c r="O295" s="46">
        <f t="shared" si="12"/>
        <v>73653.605678272375</v>
      </c>
      <c r="P295" s="46">
        <f t="shared" si="13"/>
        <v>-2.9633497593860865E-2</v>
      </c>
      <c r="Q295" s="156">
        <f t="shared" si="14"/>
        <v>0.79256551684297394</v>
      </c>
      <c r="R295" s="156">
        <f t="shared" ca="1" si="15"/>
        <v>0.89699593932390598</v>
      </c>
      <c r="S295" s="81">
        <f t="shared" ca="1" si="16"/>
        <v>1.0000000000000009E-2</v>
      </c>
      <c r="T295" s="146"/>
      <c r="U295" s="401"/>
      <c r="V295" s="372"/>
      <c r="W295" s="372"/>
      <c r="X295" s="372"/>
      <c r="Y295" s="372"/>
      <c r="Z295" s="372"/>
      <c r="AA295" s="372"/>
      <c r="AB295" s="372"/>
      <c r="AC295" s="372"/>
      <c r="AD295" s="372"/>
      <c r="AE295" s="146"/>
      <c r="AF295" s="146"/>
      <c r="AG295" s="146"/>
      <c r="AH295" s="146"/>
      <c r="AI295" s="146"/>
      <c r="AJ295" s="146"/>
      <c r="AK295" s="146"/>
      <c r="AL295" s="146"/>
      <c r="AM295" s="146"/>
      <c r="AN295" s="146"/>
      <c r="AO295" s="146"/>
      <c r="AP295" s="146"/>
      <c r="AQ295" s="146"/>
      <c r="AR295" s="146"/>
      <c r="AS295" s="146"/>
    </row>
    <row r="296" spans="1:45" x14ac:dyDescent="0.25">
      <c r="A296" s="32">
        <v>44186</v>
      </c>
      <c r="B296" s="33" t="e">
        <f t="shared" ca="1" si="26"/>
        <v>#NUM!</v>
      </c>
      <c r="C296" s="51">
        <f t="shared" si="17"/>
        <v>293</v>
      </c>
      <c r="D296" s="35">
        <f>DANE!D296</f>
        <v>0</v>
      </c>
      <c r="E296" s="52">
        <f t="shared" si="8"/>
        <v>1202532</v>
      </c>
      <c r="F296" s="37">
        <f>DANE!E296</f>
        <v>0</v>
      </c>
      <c r="G296" s="53">
        <f t="shared" si="28"/>
        <v>25397</v>
      </c>
      <c r="H296" s="39">
        <f t="shared" si="4"/>
        <v>-938296</v>
      </c>
      <c r="I296" s="40">
        <f>DANE!F296</f>
        <v>0</v>
      </c>
      <c r="J296" s="54">
        <f t="shared" si="5"/>
        <v>938296</v>
      </c>
      <c r="K296" s="42">
        <f t="shared" si="10"/>
        <v>1177135</v>
      </c>
      <c r="L296" s="79">
        <f t="shared" ca="1" si="11"/>
        <v>8884</v>
      </c>
      <c r="M296" s="44">
        <f t="shared" si="6"/>
        <v>100</v>
      </c>
      <c r="N296" s="45">
        <f t="shared" si="7"/>
        <v>2.1119604301590313</v>
      </c>
      <c r="O296" s="46">
        <f t="shared" si="12"/>
        <v>63131.662009947751</v>
      </c>
      <c r="P296" s="46">
        <f t="shared" si="13"/>
        <v>-0.14285714285714285</v>
      </c>
      <c r="Q296" s="156">
        <f t="shared" si="14"/>
        <v>0</v>
      </c>
      <c r="R296" s="156">
        <f t="shared" ca="1" si="15"/>
        <v>0.83739764120432392</v>
      </c>
      <c r="S296" s="81">
        <f t="shared" ca="1" si="16"/>
        <v>-6.0000000000000053E-2</v>
      </c>
      <c r="T296" s="146"/>
      <c r="U296" s="401"/>
      <c r="V296" s="372"/>
      <c r="W296" s="372"/>
      <c r="X296" s="372"/>
      <c r="Y296" s="372"/>
      <c r="Z296" s="372"/>
      <c r="AA296" s="372"/>
      <c r="AB296" s="372"/>
      <c r="AC296" s="372"/>
      <c r="AD296" s="372"/>
      <c r="AE296" s="146"/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</row>
    <row r="297" spans="1:45" x14ac:dyDescent="0.25">
      <c r="A297" s="32">
        <v>44187</v>
      </c>
      <c r="B297" s="33" t="e">
        <f t="shared" ca="1" si="26"/>
        <v>#NUM!</v>
      </c>
      <c r="C297" s="51">
        <f t="shared" si="17"/>
        <v>294</v>
      </c>
      <c r="D297" s="35">
        <f>DANE!D297</f>
        <v>0</v>
      </c>
      <c r="E297" s="52">
        <f t="shared" si="8"/>
        <v>1202532</v>
      </c>
      <c r="F297" s="37">
        <f>DANE!E297</f>
        <v>0</v>
      </c>
      <c r="G297" s="53">
        <f t="shared" si="28"/>
        <v>25397</v>
      </c>
      <c r="H297" s="39">
        <f t="shared" si="4"/>
        <v>0</v>
      </c>
      <c r="I297" s="40">
        <f>DANE!F297</f>
        <v>0</v>
      </c>
      <c r="J297" s="54">
        <f t="shared" si="5"/>
        <v>0</v>
      </c>
      <c r="K297" s="42">
        <f t="shared" si="10"/>
        <v>1177135</v>
      </c>
      <c r="L297" s="79">
        <f t="shared" ca="1" si="11"/>
        <v>7897.2857142857147</v>
      </c>
      <c r="M297" s="44">
        <f t="shared" si="6"/>
        <v>100</v>
      </c>
      <c r="N297" s="45">
        <f t="shared" si="7"/>
        <v>2.1119604301590313</v>
      </c>
      <c r="O297" s="46">
        <f t="shared" si="12"/>
        <v>54112.853151383788</v>
      </c>
      <c r="P297" s="46">
        <f t="shared" si="13"/>
        <v>-0.14285714285714285</v>
      </c>
      <c r="Q297" s="156">
        <f t="shared" si="14"/>
        <v>0</v>
      </c>
      <c r="R297" s="156">
        <f t="shared" ca="1" si="15"/>
        <v>0.74568373803961818</v>
      </c>
      <c r="S297" s="81">
        <f t="shared" ca="1" si="16"/>
        <v>-8.9999999999999969E-2</v>
      </c>
      <c r="T297" s="146"/>
      <c r="U297" s="401"/>
      <c r="V297" s="372"/>
      <c r="W297" s="372"/>
      <c r="X297" s="372"/>
      <c r="Y297" s="372"/>
      <c r="Z297" s="372"/>
      <c r="AA297" s="372"/>
      <c r="AB297" s="372"/>
      <c r="AC297" s="372"/>
      <c r="AD297" s="372"/>
      <c r="AE297" s="146"/>
      <c r="AF297" s="146"/>
      <c r="AG297" s="146"/>
      <c r="AH297" s="146"/>
      <c r="AI297" s="146"/>
      <c r="AJ297" s="146"/>
      <c r="AK297" s="146"/>
      <c r="AL297" s="146"/>
      <c r="AM297" s="146"/>
      <c r="AN297" s="146"/>
      <c r="AO297" s="146"/>
      <c r="AP297" s="146"/>
      <c r="AQ297" s="146"/>
      <c r="AR297" s="146"/>
      <c r="AS297" s="146"/>
    </row>
    <row r="298" spans="1:45" x14ac:dyDescent="0.25">
      <c r="A298" s="32">
        <v>44188</v>
      </c>
      <c r="B298" s="33" t="e">
        <f t="shared" ca="1" si="26"/>
        <v>#NUM!</v>
      </c>
      <c r="C298" s="51">
        <f t="shared" si="17"/>
        <v>295</v>
      </c>
      <c r="D298" s="35">
        <f>DANE!D298</f>
        <v>0</v>
      </c>
      <c r="E298" s="52">
        <f t="shared" si="8"/>
        <v>1202532</v>
      </c>
      <c r="F298" s="37">
        <f>DANE!E298</f>
        <v>0</v>
      </c>
      <c r="G298" s="53">
        <f t="shared" si="28"/>
        <v>25397</v>
      </c>
      <c r="H298" s="39">
        <f t="shared" si="4"/>
        <v>0</v>
      </c>
      <c r="I298" s="40">
        <f>DANE!F298</f>
        <v>0</v>
      </c>
      <c r="J298" s="54">
        <f t="shared" si="5"/>
        <v>0</v>
      </c>
      <c r="K298" s="42">
        <f t="shared" si="10"/>
        <v>1177135</v>
      </c>
      <c r="L298" s="79">
        <f t="shared" ca="1" si="11"/>
        <v>6118.1428571428569</v>
      </c>
      <c r="M298" s="44">
        <f t="shared" si="6"/>
        <v>100</v>
      </c>
      <c r="N298" s="45">
        <f t="shared" si="7"/>
        <v>2.1119604301590313</v>
      </c>
      <c r="O298" s="46">
        <f t="shared" si="12"/>
        <v>46382.445558328967</v>
      </c>
      <c r="P298" s="46">
        <f t="shared" si="13"/>
        <v>-0.14285714285714274</v>
      </c>
      <c r="Q298" s="156">
        <f t="shared" si="14"/>
        <v>7.7715611723760958E-16</v>
      </c>
      <c r="R298" s="156">
        <f t="shared" ca="1" si="15"/>
        <v>0.57140117995845141</v>
      </c>
      <c r="S298" s="81">
        <f t="shared" ca="1" si="16"/>
        <v>-0.18000000000000005</v>
      </c>
      <c r="T298" s="146"/>
      <c r="U298" s="401"/>
      <c r="V298" s="372"/>
      <c r="W298" s="372"/>
      <c r="X298" s="372"/>
      <c r="Y298" s="372"/>
      <c r="Z298" s="372"/>
      <c r="AA298" s="372"/>
      <c r="AB298" s="372"/>
      <c r="AC298" s="372"/>
      <c r="AD298" s="372"/>
      <c r="AE298" s="146"/>
      <c r="AF298" s="146"/>
      <c r="AG298" s="146"/>
      <c r="AH298" s="146"/>
      <c r="AI298" s="146"/>
      <c r="AJ298" s="146"/>
      <c r="AK298" s="146"/>
      <c r="AL298" s="146"/>
      <c r="AM298" s="146"/>
      <c r="AN298" s="146"/>
      <c r="AO298" s="146"/>
      <c r="AP298" s="146"/>
      <c r="AQ298" s="146"/>
      <c r="AR298" s="146"/>
      <c r="AS298" s="146"/>
    </row>
    <row r="299" spans="1:45" x14ac:dyDescent="0.25">
      <c r="A299" s="147"/>
      <c r="B299" s="147"/>
      <c r="C299" s="160"/>
      <c r="D299" s="160"/>
      <c r="E299" s="161"/>
      <c r="F299" s="162"/>
      <c r="G299" s="163"/>
      <c r="H299" s="163"/>
      <c r="I299" s="164"/>
      <c r="J299" s="162"/>
      <c r="K299" s="165"/>
      <c r="L299" s="166"/>
      <c r="M299" s="167"/>
      <c r="N299" s="167"/>
      <c r="O299" s="168"/>
      <c r="P299" s="168"/>
      <c r="Q299" s="147"/>
      <c r="R299" s="147"/>
      <c r="S299" s="169"/>
      <c r="T299" s="146"/>
      <c r="U299" s="401"/>
      <c r="V299" s="372"/>
      <c r="W299" s="372"/>
      <c r="X299" s="372"/>
      <c r="Y299" s="372"/>
      <c r="Z299" s="372"/>
      <c r="AA299" s="372"/>
      <c r="AB299" s="372"/>
      <c r="AC299" s="372"/>
      <c r="AD299" s="372"/>
      <c r="AE299" s="146"/>
      <c r="AF299" s="146"/>
      <c r="AG299" s="146"/>
      <c r="AH299" s="146"/>
      <c r="AI299" s="146"/>
      <c r="AJ299" s="146"/>
      <c r="AK299" s="146"/>
      <c r="AL299" s="146"/>
      <c r="AM299" s="146"/>
      <c r="AN299" s="146"/>
      <c r="AO299" s="146"/>
      <c r="AP299" s="146"/>
      <c r="AQ299" s="146"/>
      <c r="AR299" s="146"/>
      <c r="AS299" s="146"/>
    </row>
    <row r="300" spans="1:45" x14ac:dyDescent="0.25">
      <c r="A300" s="147"/>
      <c r="B300" s="147"/>
      <c r="C300" s="160"/>
      <c r="D300" s="160"/>
      <c r="E300" s="161"/>
      <c r="F300" s="162"/>
      <c r="G300" s="163"/>
      <c r="H300" s="163"/>
      <c r="I300" s="164"/>
      <c r="J300" s="162"/>
      <c r="K300" s="165"/>
      <c r="L300" s="166"/>
      <c r="M300" s="167"/>
      <c r="N300" s="167"/>
      <c r="O300" s="168"/>
      <c r="P300" s="168"/>
      <c r="Q300" s="147"/>
      <c r="R300" s="147"/>
      <c r="S300" s="169"/>
      <c r="T300" s="146"/>
      <c r="U300" s="401"/>
      <c r="V300" s="372"/>
      <c r="W300" s="372"/>
      <c r="X300" s="372"/>
      <c r="Y300" s="372"/>
      <c r="Z300" s="372"/>
      <c r="AA300" s="372"/>
      <c r="AB300" s="372"/>
      <c r="AC300" s="372"/>
      <c r="AD300" s="372"/>
      <c r="AE300" s="146"/>
      <c r="AF300" s="146"/>
      <c r="AG300" s="146"/>
      <c r="AH300" s="146"/>
      <c r="AI300" s="146"/>
      <c r="AJ300" s="146"/>
      <c r="AK300" s="146"/>
      <c r="AL300" s="146"/>
      <c r="AM300" s="146"/>
      <c r="AN300" s="146"/>
      <c r="AO300" s="146"/>
      <c r="AP300" s="146"/>
      <c r="AQ300" s="146"/>
      <c r="AR300" s="146"/>
      <c r="AS300" s="146"/>
    </row>
    <row r="301" spans="1:45" x14ac:dyDescent="0.25">
      <c r="A301" s="147"/>
      <c r="B301" s="147"/>
      <c r="C301" s="160"/>
      <c r="D301" s="160"/>
      <c r="E301" s="161"/>
      <c r="F301" s="162"/>
      <c r="G301" s="163"/>
      <c r="H301" s="163"/>
      <c r="I301" s="164"/>
      <c r="J301" s="162"/>
      <c r="K301" s="165"/>
      <c r="L301" s="166"/>
      <c r="M301" s="167"/>
      <c r="N301" s="167"/>
      <c r="O301" s="168"/>
      <c r="P301" s="168"/>
      <c r="Q301" s="147"/>
      <c r="R301" s="147"/>
      <c r="S301" s="169"/>
      <c r="T301" s="146"/>
      <c r="U301" s="401"/>
      <c r="V301" s="372"/>
      <c r="W301" s="372"/>
      <c r="X301" s="372"/>
      <c r="Y301" s="372"/>
      <c r="Z301" s="372"/>
      <c r="AA301" s="372"/>
      <c r="AB301" s="372"/>
      <c r="AC301" s="372"/>
      <c r="AD301" s="372"/>
      <c r="AE301" s="146"/>
      <c r="AF301" s="146"/>
      <c r="AG301" s="146"/>
      <c r="AH301" s="146"/>
      <c r="AI301" s="146"/>
      <c r="AJ301" s="146"/>
      <c r="AK301" s="146"/>
      <c r="AL301" s="146"/>
      <c r="AM301" s="146"/>
      <c r="AN301" s="146"/>
      <c r="AO301" s="146"/>
      <c r="AP301" s="146"/>
      <c r="AQ301" s="146"/>
      <c r="AR301" s="146"/>
      <c r="AS301" s="146"/>
    </row>
    <row r="302" spans="1:45" x14ac:dyDescent="0.25">
      <c r="A302" s="147"/>
      <c r="B302" s="147"/>
      <c r="C302" s="160"/>
      <c r="D302" s="160"/>
      <c r="E302" s="161"/>
      <c r="F302" s="162"/>
      <c r="G302" s="163"/>
      <c r="H302" s="163"/>
      <c r="I302" s="164"/>
      <c r="J302" s="162"/>
      <c r="K302" s="165"/>
      <c r="L302" s="166"/>
      <c r="M302" s="167"/>
      <c r="N302" s="167"/>
      <c r="O302" s="168"/>
      <c r="P302" s="168"/>
      <c r="Q302" s="147"/>
      <c r="R302" s="147"/>
      <c r="S302" s="169"/>
      <c r="T302" s="146"/>
      <c r="U302" s="401"/>
      <c r="V302" s="372"/>
      <c r="W302" s="372"/>
      <c r="X302" s="372"/>
      <c r="Y302" s="372"/>
      <c r="Z302" s="372"/>
      <c r="AA302" s="372"/>
      <c r="AB302" s="372"/>
      <c r="AC302" s="372"/>
      <c r="AD302" s="372"/>
      <c r="AE302" s="146"/>
      <c r="AF302" s="146"/>
      <c r="AG302" s="146"/>
      <c r="AH302" s="146"/>
      <c r="AI302" s="146"/>
      <c r="AJ302" s="146"/>
      <c r="AK302" s="146"/>
      <c r="AL302" s="146"/>
      <c r="AM302" s="146"/>
      <c r="AN302" s="146"/>
      <c r="AO302" s="146"/>
      <c r="AP302" s="146"/>
      <c r="AQ302" s="146"/>
      <c r="AR302" s="146"/>
      <c r="AS302" s="146"/>
    </row>
    <row r="303" spans="1:45" x14ac:dyDescent="0.25">
      <c r="A303" s="147"/>
      <c r="B303" s="147"/>
      <c r="C303" s="160"/>
      <c r="D303" s="160"/>
      <c r="E303" s="161"/>
      <c r="F303" s="162"/>
      <c r="G303" s="163"/>
      <c r="H303" s="163"/>
      <c r="I303" s="164"/>
      <c r="J303" s="162"/>
      <c r="K303" s="165"/>
      <c r="L303" s="166"/>
      <c r="M303" s="167"/>
      <c r="N303" s="167"/>
      <c r="O303" s="168"/>
      <c r="P303" s="168"/>
      <c r="Q303" s="147"/>
      <c r="R303" s="147"/>
      <c r="S303" s="169"/>
      <c r="T303" s="146"/>
      <c r="U303" s="401"/>
      <c r="V303" s="372"/>
      <c r="W303" s="372"/>
      <c r="X303" s="372"/>
      <c r="Y303" s="372"/>
      <c r="Z303" s="372"/>
      <c r="AA303" s="372"/>
      <c r="AB303" s="372"/>
      <c r="AC303" s="372"/>
      <c r="AD303" s="372"/>
      <c r="AE303" s="146"/>
      <c r="AF303" s="146"/>
      <c r="AG303" s="146"/>
      <c r="AH303" s="146"/>
      <c r="AI303" s="146"/>
      <c r="AJ303" s="146"/>
      <c r="AK303" s="146"/>
      <c r="AL303" s="146"/>
      <c r="AM303" s="146"/>
      <c r="AN303" s="146"/>
      <c r="AO303" s="146"/>
      <c r="AP303" s="146"/>
      <c r="AQ303" s="146"/>
      <c r="AR303" s="146"/>
      <c r="AS303" s="146"/>
    </row>
    <row r="304" spans="1:45" x14ac:dyDescent="0.25">
      <c r="A304" s="147"/>
      <c r="B304" s="147"/>
      <c r="C304" s="160"/>
      <c r="D304" s="160"/>
      <c r="E304" s="161"/>
      <c r="F304" s="162"/>
      <c r="G304" s="163"/>
      <c r="H304" s="163"/>
      <c r="I304" s="164"/>
      <c r="J304" s="162"/>
      <c r="K304" s="165"/>
      <c r="L304" s="166"/>
      <c r="M304" s="167"/>
      <c r="N304" s="167"/>
      <c r="O304" s="168"/>
      <c r="P304" s="168"/>
      <c r="Q304" s="147"/>
      <c r="R304" s="147"/>
      <c r="S304" s="169"/>
      <c r="T304" s="146"/>
      <c r="U304" s="401"/>
      <c r="V304" s="372"/>
      <c r="W304" s="372"/>
      <c r="X304" s="372"/>
      <c r="Y304" s="372"/>
      <c r="Z304" s="372"/>
      <c r="AA304" s="372"/>
      <c r="AB304" s="372"/>
      <c r="AC304" s="372"/>
      <c r="AD304" s="372"/>
      <c r="AE304" s="146"/>
      <c r="AF304" s="146"/>
      <c r="AG304" s="146"/>
      <c r="AH304" s="146"/>
      <c r="AI304" s="146"/>
      <c r="AJ304" s="146"/>
      <c r="AK304" s="146"/>
      <c r="AL304" s="146"/>
      <c r="AM304" s="146"/>
      <c r="AN304" s="146"/>
      <c r="AO304" s="146"/>
      <c r="AP304" s="146"/>
      <c r="AQ304" s="146"/>
      <c r="AR304" s="146"/>
      <c r="AS304" s="146"/>
    </row>
    <row r="305" spans="1:45" x14ac:dyDescent="0.25">
      <c r="A305" s="147"/>
      <c r="B305" s="147"/>
      <c r="C305" s="160"/>
      <c r="D305" s="160"/>
      <c r="E305" s="161"/>
      <c r="F305" s="162"/>
      <c r="G305" s="163"/>
      <c r="H305" s="163"/>
      <c r="I305" s="164"/>
      <c r="J305" s="162"/>
      <c r="K305" s="165"/>
      <c r="L305" s="166"/>
      <c r="M305" s="167"/>
      <c r="N305" s="167"/>
      <c r="O305" s="168"/>
      <c r="P305" s="168"/>
      <c r="Q305" s="147"/>
      <c r="R305" s="147"/>
      <c r="S305" s="169"/>
      <c r="AE305" s="150"/>
      <c r="AF305" s="150"/>
      <c r="AG305" s="150"/>
      <c r="AH305" s="150"/>
      <c r="AI305" s="150"/>
      <c r="AJ305" s="150"/>
      <c r="AK305" s="150"/>
      <c r="AL305" s="150"/>
      <c r="AM305" s="150"/>
      <c r="AN305" s="150"/>
      <c r="AO305" s="150"/>
      <c r="AP305" s="150"/>
      <c r="AQ305" s="150"/>
      <c r="AR305" s="150"/>
      <c r="AS305" s="150"/>
    </row>
    <row r="306" spans="1:45" x14ac:dyDescent="0.25">
      <c r="A306" s="147"/>
      <c r="B306" s="147"/>
      <c r="C306" s="160"/>
      <c r="D306" s="160"/>
      <c r="E306" s="161"/>
      <c r="F306" s="162"/>
      <c r="G306" s="163"/>
      <c r="H306" s="163"/>
      <c r="I306" s="164"/>
      <c r="J306" s="162"/>
      <c r="K306" s="165"/>
      <c r="L306" s="166"/>
      <c r="M306" s="167"/>
      <c r="N306" s="167"/>
      <c r="O306" s="168"/>
      <c r="P306" s="168"/>
      <c r="Q306" s="147"/>
      <c r="R306" s="147"/>
      <c r="S306" s="169"/>
      <c r="T306" s="147"/>
      <c r="U306" s="147"/>
      <c r="V306" s="147"/>
      <c r="W306" s="147"/>
      <c r="X306" s="147"/>
      <c r="Y306" s="147"/>
      <c r="Z306" s="147"/>
      <c r="AA306" s="147"/>
      <c r="AB306" s="147"/>
      <c r="AC306" s="147"/>
      <c r="AD306" s="147"/>
      <c r="AE306" s="150"/>
      <c r="AF306" s="150"/>
      <c r="AG306" s="150"/>
      <c r="AH306" s="150"/>
      <c r="AI306" s="150"/>
      <c r="AJ306" s="150"/>
      <c r="AK306" s="150"/>
      <c r="AL306" s="150"/>
      <c r="AM306" s="150"/>
      <c r="AN306" s="150"/>
      <c r="AO306" s="150"/>
      <c r="AP306" s="150"/>
      <c r="AQ306" s="150"/>
      <c r="AR306" s="150"/>
      <c r="AS306" s="150"/>
    </row>
    <row r="307" spans="1:45" x14ac:dyDescent="0.25">
      <c r="A307" s="147"/>
      <c r="B307" s="147"/>
      <c r="C307" s="160"/>
      <c r="D307" s="160"/>
      <c r="E307" s="161"/>
      <c r="F307" s="162"/>
      <c r="G307" s="163"/>
      <c r="H307" s="163"/>
      <c r="I307" s="164"/>
      <c r="J307" s="162"/>
      <c r="K307" s="165"/>
      <c r="L307" s="166"/>
      <c r="M307" s="167"/>
      <c r="N307" s="167"/>
      <c r="O307" s="168"/>
      <c r="P307" s="168"/>
      <c r="Q307" s="147"/>
      <c r="R307" s="147"/>
      <c r="S307" s="169"/>
    </row>
    <row r="308" spans="1:45" x14ac:dyDescent="0.25">
      <c r="A308" s="147"/>
      <c r="B308" s="147"/>
      <c r="C308" s="160"/>
      <c r="D308" s="160"/>
      <c r="E308" s="161"/>
      <c r="F308" s="162"/>
      <c r="G308" s="163"/>
      <c r="H308" s="163"/>
      <c r="I308" s="164"/>
      <c r="J308" s="162"/>
      <c r="K308" s="165"/>
      <c r="L308" s="166"/>
      <c r="M308" s="167"/>
      <c r="N308" s="167"/>
      <c r="O308" s="168"/>
      <c r="P308" s="168"/>
      <c r="Q308" s="147"/>
      <c r="R308" s="147"/>
      <c r="S308" s="169"/>
    </row>
    <row r="309" spans="1:45" x14ac:dyDescent="0.25">
      <c r="A309" s="147"/>
      <c r="B309" s="147"/>
      <c r="C309" s="160"/>
      <c r="D309" s="160"/>
      <c r="E309" s="161"/>
      <c r="F309" s="162"/>
      <c r="G309" s="163"/>
      <c r="H309" s="163"/>
      <c r="I309" s="164"/>
      <c r="J309" s="162"/>
      <c r="K309" s="165"/>
      <c r="L309" s="166"/>
      <c r="M309" s="167"/>
      <c r="N309" s="167"/>
      <c r="O309" s="168"/>
      <c r="P309" s="168"/>
      <c r="Q309" s="147"/>
      <c r="R309" s="147"/>
      <c r="S309" s="169"/>
    </row>
    <row r="310" spans="1:45" x14ac:dyDescent="0.25">
      <c r="A310" s="147"/>
      <c r="B310" s="147"/>
      <c r="C310" s="160"/>
      <c r="D310" s="160"/>
      <c r="E310" s="161"/>
      <c r="F310" s="162"/>
      <c r="G310" s="163"/>
      <c r="H310" s="163"/>
      <c r="I310" s="164"/>
      <c r="J310" s="162"/>
      <c r="K310" s="165"/>
      <c r="L310" s="166"/>
      <c r="M310" s="167"/>
      <c r="N310" s="167"/>
      <c r="O310" s="168"/>
      <c r="P310" s="168"/>
      <c r="Q310" s="147"/>
      <c r="R310" s="147"/>
      <c r="S310" s="169"/>
    </row>
    <row r="311" spans="1:45" x14ac:dyDescent="0.25">
      <c r="A311" s="147"/>
      <c r="B311" s="147"/>
      <c r="C311" s="160"/>
      <c r="D311" s="160"/>
      <c r="E311" s="161"/>
      <c r="F311" s="162"/>
      <c r="G311" s="163"/>
      <c r="H311" s="163"/>
      <c r="I311" s="164"/>
      <c r="J311" s="162"/>
      <c r="K311" s="165"/>
      <c r="L311" s="166"/>
      <c r="M311" s="167"/>
      <c r="N311" s="167"/>
      <c r="O311" s="168"/>
      <c r="P311" s="168"/>
      <c r="Q311" s="147"/>
      <c r="R311" s="147"/>
      <c r="S311" s="169"/>
    </row>
    <row r="312" spans="1:45" x14ac:dyDescent="0.25">
      <c r="A312" s="147"/>
      <c r="B312" s="147"/>
      <c r="C312" s="160"/>
      <c r="D312" s="160"/>
      <c r="E312" s="161"/>
      <c r="F312" s="162"/>
      <c r="G312" s="163"/>
      <c r="H312" s="163"/>
      <c r="I312" s="164"/>
      <c r="J312" s="162"/>
      <c r="K312" s="165"/>
      <c r="L312" s="166"/>
      <c r="M312" s="167"/>
      <c r="N312" s="167"/>
      <c r="O312" s="168"/>
      <c r="P312" s="168"/>
      <c r="Q312" s="147"/>
      <c r="R312" s="147"/>
      <c r="S312" s="169"/>
    </row>
    <row r="313" spans="1:45" x14ac:dyDescent="0.25">
      <c r="A313" s="147"/>
      <c r="B313" s="147"/>
      <c r="C313" s="160"/>
      <c r="D313" s="160"/>
      <c r="E313" s="161"/>
      <c r="F313" s="162"/>
      <c r="G313" s="163"/>
      <c r="H313" s="163"/>
      <c r="I313" s="164"/>
      <c r="J313" s="162"/>
      <c r="K313" s="165"/>
      <c r="L313" s="166"/>
      <c r="M313" s="167"/>
      <c r="N313" s="167"/>
      <c r="O313" s="168"/>
      <c r="P313" s="168"/>
      <c r="Q313" s="147"/>
      <c r="R313" s="147"/>
      <c r="S313" s="169"/>
    </row>
    <row r="314" spans="1:45" x14ac:dyDescent="0.25">
      <c r="A314" s="147"/>
      <c r="B314" s="147"/>
      <c r="C314" s="160"/>
      <c r="D314" s="160"/>
      <c r="E314" s="161"/>
      <c r="F314" s="162"/>
      <c r="G314" s="163"/>
      <c r="H314" s="163"/>
      <c r="I314" s="164"/>
      <c r="J314" s="162"/>
      <c r="K314" s="165"/>
      <c r="L314" s="166"/>
      <c r="M314" s="167"/>
      <c r="N314" s="167"/>
      <c r="O314" s="168"/>
      <c r="P314" s="168"/>
      <c r="Q314" s="147"/>
      <c r="R314" s="147"/>
      <c r="S314" s="169"/>
    </row>
    <row r="315" spans="1:45" x14ac:dyDescent="0.25">
      <c r="A315" s="147"/>
      <c r="B315" s="147"/>
      <c r="C315" s="160"/>
      <c r="D315" s="160"/>
      <c r="E315" s="161"/>
      <c r="F315" s="162"/>
      <c r="G315" s="163"/>
      <c r="H315" s="163"/>
      <c r="I315" s="164"/>
      <c r="J315" s="162"/>
      <c r="K315" s="165"/>
      <c r="L315" s="166"/>
      <c r="M315" s="167"/>
      <c r="N315" s="167"/>
      <c r="O315" s="168"/>
      <c r="P315" s="168"/>
      <c r="Q315" s="147"/>
      <c r="R315" s="147"/>
      <c r="S315" s="169"/>
    </row>
    <row r="316" spans="1:45" x14ac:dyDescent="0.25">
      <c r="A316" s="147"/>
      <c r="B316" s="147"/>
      <c r="C316" s="160"/>
      <c r="D316" s="160"/>
      <c r="E316" s="161"/>
      <c r="F316" s="162"/>
      <c r="G316" s="163"/>
      <c r="H316" s="163"/>
      <c r="I316" s="164"/>
      <c r="J316" s="162"/>
      <c r="K316" s="165"/>
      <c r="L316" s="166"/>
      <c r="M316" s="167"/>
      <c r="N316" s="167"/>
      <c r="O316" s="168"/>
      <c r="P316" s="168"/>
      <c r="Q316" s="147"/>
      <c r="R316" s="147"/>
      <c r="S316" s="169"/>
    </row>
    <row r="317" spans="1:45" x14ac:dyDescent="0.25">
      <c r="A317" s="147"/>
      <c r="B317" s="147"/>
      <c r="C317" s="160"/>
      <c r="D317" s="160"/>
      <c r="E317" s="161"/>
      <c r="F317" s="162"/>
      <c r="G317" s="163"/>
      <c r="H317" s="163"/>
      <c r="I317" s="164"/>
      <c r="J317" s="162"/>
      <c r="K317" s="165"/>
      <c r="L317" s="166"/>
      <c r="M317" s="167"/>
      <c r="N317" s="167"/>
      <c r="O317" s="168"/>
      <c r="P317" s="168"/>
      <c r="Q317" s="147"/>
      <c r="R317" s="147"/>
      <c r="S317" s="169"/>
    </row>
    <row r="318" spans="1:45" x14ac:dyDescent="0.25">
      <c r="A318" s="147"/>
      <c r="B318" s="147"/>
      <c r="C318" s="160"/>
      <c r="D318" s="160"/>
      <c r="E318" s="161"/>
      <c r="F318" s="162"/>
      <c r="G318" s="163"/>
      <c r="H318" s="163"/>
      <c r="I318" s="164"/>
      <c r="J318" s="162"/>
      <c r="K318" s="165"/>
      <c r="L318" s="166"/>
      <c r="M318" s="167"/>
      <c r="N318" s="167"/>
      <c r="O318" s="168"/>
      <c r="P318" s="168"/>
      <c r="Q318" s="147"/>
      <c r="R318" s="147"/>
      <c r="S318" s="169"/>
      <c r="AE318" s="147"/>
      <c r="AF318" s="147"/>
      <c r="AG318" s="147"/>
      <c r="AH318" s="147"/>
      <c r="AI318" s="147"/>
      <c r="AJ318" s="147"/>
      <c r="AK318" s="147"/>
      <c r="AL318" s="147"/>
      <c r="AM318" s="147"/>
      <c r="AN318" s="147"/>
      <c r="AO318" s="147"/>
      <c r="AP318" s="147"/>
      <c r="AQ318" s="147"/>
      <c r="AR318" s="147"/>
      <c r="AS318" s="147"/>
    </row>
    <row r="319" spans="1:45" x14ac:dyDescent="0.25">
      <c r="A319" s="147"/>
      <c r="B319" s="147"/>
      <c r="C319" s="160"/>
      <c r="D319" s="160"/>
      <c r="E319" s="161"/>
      <c r="F319" s="162"/>
      <c r="G319" s="163"/>
      <c r="H319" s="163"/>
      <c r="I319" s="164"/>
      <c r="J319" s="162"/>
      <c r="K319" s="165"/>
      <c r="L319" s="166"/>
      <c r="M319" s="167"/>
      <c r="N319" s="167"/>
      <c r="O319" s="168"/>
      <c r="P319" s="168"/>
      <c r="Q319" s="147"/>
      <c r="R319" s="147"/>
      <c r="S319" s="169"/>
      <c r="T319" s="147"/>
      <c r="U319" s="147"/>
      <c r="V319" s="147"/>
      <c r="W319" s="147"/>
      <c r="X319" s="147"/>
      <c r="Y319" s="147"/>
      <c r="Z319" s="147"/>
      <c r="AA319" s="147"/>
      <c r="AB319" s="147"/>
      <c r="AC319" s="147"/>
      <c r="AD319" s="147"/>
      <c r="AE319" s="147"/>
      <c r="AF319" s="147"/>
      <c r="AG319" s="147"/>
      <c r="AH319" s="147"/>
      <c r="AI319" s="147"/>
      <c r="AJ319" s="147"/>
      <c r="AK319" s="147"/>
      <c r="AL319" s="147"/>
      <c r="AM319" s="147"/>
      <c r="AN319" s="147"/>
      <c r="AO319" s="147"/>
      <c r="AP319" s="147"/>
      <c r="AQ319" s="147"/>
      <c r="AR319" s="147"/>
      <c r="AS319" s="147"/>
    </row>
    <row r="320" spans="1:45" x14ac:dyDescent="0.25">
      <c r="A320" s="147"/>
      <c r="B320" s="147"/>
      <c r="C320" s="160"/>
      <c r="D320" s="160"/>
      <c r="E320" s="161"/>
      <c r="F320" s="162"/>
      <c r="G320" s="163"/>
      <c r="H320" s="163"/>
      <c r="I320" s="164"/>
      <c r="J320" s="162"/>
      <c r="K320" s="165"/>
      <c r="L320" s="166"/>
      <c r="M320" s="167"/>
      <c r="N320" s="167"/>
      <c r="O320" s="168"/>
      <c r="P320" s="168"/>
      <c r="Q320" s="147"/>
      <c r="R320" s="147"/>
      <c r="S320" s="169"/>
      <c r="T320" s="147"/>
      <c r="U320" s="147"/>
      <c r="V320" s="147"/>
      <c r="W320" s="147"/>
      <c r="X320" s="147"/>
      <c r="Y320" s="147"/>
      <c r="Z320" s="147"/>
      <c r="AA320" s="147"/>
      <c r="AB320" s="147"/>
      <c r="AC320" s="147"/>
      <c r="AD320" s="147"/>
      <c r="AE320" s="147"/>
      <c r="AF320" s="147"/>
      <c r="AG320" s="147"/>
      <c r="AH320" s="147"/>
      <c r="AI320" s="147"/>
      <c r="AJ320" s="147"/>
      <c r="AK320" s="147"/>
      <c r="AL320" s="147"/>
      <c r="AM320" s="147"/>
      <c r="AN320" s="147"/>
      <c r="AO320" s="147"/>
      <c r="AP320" s="147"/>
      <c r="AQ320" s="147"/>
      <c r="AR320" s="147"/>
      <c r="AS320" s="147"/>
    </row>
    <row r="321" spans="1:45" x14ac:dyDescent="0.25">
      <c r="A321" s="147"/>
      <c r="B321" s="147"/>
      <c r="C321" s="160"/>
      <c r="D321" s="160"/>
      <c r="E321" s="161"/>
      <c r="F321" s="162"/>
      <c r="G321" s="163"/>
      <c r="H321" s="163"/>
      <c r="I321" s="164"/>
      <c r="J321" s="162"/>
      <c r="K321" s="165"/>
      <c r="L321" s="166"/>
      <c r="M321" s="167"/>
      <c r="N321" s="167"/>
      <c r="O321" s="168"/>
      <c r="P321" s="168"/>
      <c r="Q321" s="147"/>
      <c r="R321" s="147"/>
      <c r="S321" s="169"/>
      <c r="T321" s="147"/>
      <c r="U321" s="147"/>
      <c r="V321" s="147"/>
      <c r="W321" s="147"/>
      <c r="X321" s="147"/>
      <c r="Y321" s="147"/>
      <c r="Z321" s="147"/>
      <c r="AA321" s="147"/>
      <c r="AB321" s="147"/>
      <c r="AC321" s="147"/>
      <c r="AD321" s="147"/>
      <c r="AE321" s="147"/>
      <c r="AF321" s="147"/>
      <c r="AG321" s="147"/>
      <c r="AH321" s="147"/>
      <c r="AI321" s="147"/>
      <c r="AJ321" s="147"/>
      <c r="AK321" s="147"/>
      <c r="AL321" s="147"/>
      <c r="AM321" s="147"/>
      <c r="AN321" s="147"/>
      <c r="AO321" s="147"/>
      <c r="AP321" s="147"/>
      <c r="AQ321" s="147"/>
      <c r="AR321" s="147"/>
      <c r="AS321" s="147"/>
    </row>
    <row r="322" spans="1:45" x14ac:dyDescent="0.25">
      <c r="A322" s="147"/>
      <c r="B322" s="147"/>
      <c r="C322" s="160"/>
      <c r="D322" s="160"/>
      <c r="E322" s="161"/>
      <c r="F322" s="162"/>
      <c r="G322" s="163"/>
      <c r="H322" s="163"/>
      <c r="I322" s="164"/>
      <c r="J322" s="162"/>
      <c r="K322" s="165"/>
      <c r="L322" s="166"/>
      <c r="M322" s="167"/>
      <c r="N322" s="167"/>
      <c r="O322" s="168"/>
      <c r="P322" s="168"/>
      <c r="Q322" s="147"/>
      <c r="R322" s="147"/>
      <c r="S322" s="169"/>
      <c r="T322" s="147"/>
      <c r="U322" s="147"/>
      <c r="V322" s="147"/>
      <c r="W322" s="147"/>
      <c r="X322" s="147"/>
      <c r="Y322" s="147"/>
      <c r="Z322" s="147"/>
      <c r="AA322" s="147"/>
      <c r="AB322" s="147"/>
      <c r="AC322" s="147"/>
      <c r="AD322" s="147"/>
      <c r="AE322" s="147"/>
      <c r="AF322" s="147"/>
      <c r="AG322" s="147"/>
      <c r="AH322" s="147"/>
      <c r="AI322" s="147"/>
      <c r="AJ322" s="147"/>
      <c r="AK322" s="147"/>
      <c r="AL322" s="147"/>
      <c r="AM322" s="147"/>
      <c r="AN322" s="147"/>
      <c r="AO322" s="147"/>
      <c r="AP322" s="147"/>
      <c r="AQ322" s="147"/>
      <c r="AR322" s="147"/>
      <c r="AS322" s="147"/>
    </row>
    <row r="323" spans="1:45" x14ac:dyDescent="0.25">
      <c r="A323" s="147"/>
      <c r="B323" s="147"/>
      <c r="C323" s="160"/>
      <c r="D323" s="160"/>
      <c r="E323" s="161"/>
      <c r="F323" s="162"/>
      <c r="G323" s="163"/>
      <c r="H323" s="163"/>
      <c r="I323" s="164"/>
      <c r="J323" s="162"/>
      <c r="K323" s="165"/>
      <c r="L323" s="166"/>
      <c r="M323" s="167"/>
      <c r="N323" s="167"/>
      <c r="O323" s="168"/>
      <c r="P323" s="168"/>
      <c r="Q323" s="147"/>
      <c r="R323" s="147"/>
      <c r="S323" s="169"/>
      <c r="T323" s="147"/>
      <c r="U323" s="147"/>
      <c r="V323" s="147"/>
      <c r="W323" s="147"/>
      <c r="X323" s="147"/>
      <c r="Y323" s="147"/>
      <c r="Z323" s="147"/>
      <c r="AA323" s="147"/>
      <c r="AB323" s="147"/>
      <c r="AC323" s="147"/>
      <c r="AD323" s="147"/>
      <c r="AE323" s="147"/>
      <c r="AF323" s="147"/>
      <c r="AG323" s="147"/>
      <c r="AH323" s="147"/>
      <c r="AI323" s="147"/>
      <c r="AJ323" s="147"/>
      <c r="AK323" s="147"/>
      <c r="AL323" s="147"/>
      <c r="AM323" s="147"/>
      <c r="AN323" s="147"/>
      <c r="AO323" s="147"/>
      <c r="AP323" s="147"/>
      <c r="AQ323" s="147"/>
      <c r="AR323" s="147"/>
      <c r="AS323" s="147"/>
    </row>
    <row r="324" spans="1:45" x14ac:dyDescent="0.25">
      <c r="A324" s="147"/>
      <c r="B324" s="147"/>
      <c r="C324" s="160"/>
      <c r="D324" s="160"/>
      <c r="E324" s="161"/>
      <c r="F324" s="162"/>
      <c r="G324" s="163"/>
      <c r="H324" s="163"/>
      <c r="I324" s="164"/>
      <c r="J324" s="162"/>
      <c r="K324" s="165"/>
      <c r="L324" s="166"/>
      <c r="M324" s="167"/>
      <c r="N324" s="167"/>
      <c r="O324" s="168"/>
      <c r="P324" s="168"/>
      <c r="Q324" s="147"/>
      <c r="R324" s="147"/>
      <c r="S324" s="169"/>
      <c r="T324" s="147"/>
      <c r="U324" s="147"/>
      <c r="V324" s="147"/>
      <c r="W324" s="147"/>
      <c r="X324" s="147"/>
      <c r="Y324" s="147"/>
      <c r="Z324" s="147"/>
      <c r="AA324" s="147"/>
      <c r="AB324" s="147"/>
      <c r="AC324" s="147"/>
      <c r="AD324" s="147"/>
      <c r="AE324" s="147"/>
      <c r="AF324" s="147"/>
      <c r="AG324" s="147"/>
      <c r="AH324" s="147"/>
      <c r="AI324" s="147"/>
      <c r="AJ324" s="147"/>
      <c r="AK324" s="147"/>
      <c r="AL324" s="147"/>
      <c r="AM324" s="147"/>
      <c r="AN324" s="147"/>
      <c r="AO324" s="147"/>
      <c r="AP324" s="147"/>
      <c r="AQ324" s="147"/>
      <c r="AR324" s="147"/>
      <c r="AS324" s="147"/>
    </row>
    <row r="325" spans="1:45" x14ac:dyDescent="0.25">
      <c r="A325" s="147"/>
      <c r="B325" s="147"/>
      <c r="C325" s="160"/>
      <c r="D325" s="160"/>
      <c r="E325" s="161"/>
      <c r="F325" s="162"/>
      <c r="G325" s="163"/>
      <c r="H325" s="163"/>
      <c r="I325" s="164"/>
      <c r="J325" s="162"/>
      <c r="K325" s="165"/>
      <c r="L325" s="166"/>
      <c r="M325" s="167"/>
      <c r="N325" s="167"/>
      <c r="O325" s="168"/>
      <c r="P325" s="168"/>
      <c r="Q325" s="147"/>
      <c r="R325" s="147"/>
      <c r="S325" s="169"/>
      <c r="T325" s="147"/>
      <c r="U325" s="147"/>
      <c r="V325" s="147"/>
      <c r="W325" s="147"/>
      <c r="X325" s="147"/>
      <c r="Y325" s="147"/>
      <c r="Z325" s="147"/>
      <c r="AA325" s="147"/>
      <c r="AB325" s="147"/>
      <c r="AC325" s="147"/>
      <c r="AD325" s="147"/>
      <c r="AE325" s="147"/>
      <c r="AF325" s="147"/>
      <c r="AG325" s="147"/>
      <c r="AH325" s="147"/>
      <c r="AI325" s="147"/>
      <c r="AJ325" s="147"/>
      <c r="AK325" s="147"/>
      <c r="AL325" s="147"/>
      <c r="AM325" s="147"/>
      <c r="AN325" s="147"/>
      <c r="AO325" s="147"/>
      <c r="AP325" s="147"/>
      <c r="AQ325" s="147"/>
      <c r="AR325" s="147"/>
      <c r="AS325" s="147"/>
    </row>
    <row r="326" spans="1:45" x14ac:dyDescent="0.25">
      <c r="A326" s="147"/>
      <c r="B326" s="147"/>
      <c r="C326" s="160"/>
      <c r="D326" s="160"/>
      <c r="E326" s="161"/>
      <c r="F326" s="162"/>
      <c r="G326" s="163"/>
      <c r="H326" s="163"/>
      <c r="I326" s="164"/>
      <c r="J326" s="162"/>
      <c r="K326" s="165"/>
      <c r="L326" s="166"/>
      <c r="M326" s="167"/>
      <c r="N326" s="167"/>
      <c r="O326" s="168"/>
      <c r="P326" s="168"/>
      <c r="Q326" s="147"/>
      <c r="R326" s="147"/>
      <c r="S326" s="169"/>
      <c r="T326" s="147"/>
      <c r="U326" s="147"/>
      <c r="V326" s="147"/>
      <c r="W326" s="147"/>
      <c r="X326" s="147"/>
      <c r="Y326" s="147"/>
      <c r="Z326" s="147"/>
      <c r="AA326" s="147"/>
      <c r="AB326" s="147"/>
      <c r="AC326" s="147"/>
      <c r="AD326" s="147"/>
      <c r="AE326" s="147"/>
      <c r="AF326" s="147"/>
      <c r="AG326" s="147"/>
      <c r="AH326" s="147"/>
      <c r="AI326" s="147"/>
      <c r="AJ326" s="147"/>
      <c r="AK326" s="147"/>
      <c r="AL326" s="147"/>
      <c r="AM326" s="147"/>
      <c r="AN326" s="147"/>
      <c r="AO326" s="147"/>
      <c r="AP326" s="147"/>
      <c r="AQ326" s="147"/>
      <c r="AR326" s="147"/>
      <c r="AS326" s="147"/>
    </row>
    <row r="327" spans="1:45" x14ac:dyDescent="0.25">
      <c r="A327" s="147"/>
      <c r="B327" s="147"/>
      <c r="C327" s="160"/>
      <c r="D327" s="160"/>
      <c r="E327" s="161"/>
      <c r="F327" s="162"/>
      <c r="G327" s="163"/>
      <c r="H327" s="163"/>
      <c r="I327" s="164"/>
      <c r="J327" s="162"/>
      <c r="K327" s="165"/>
      <c r="L327" s="166"/>
      <c r="M327" s="167"/>
      <c r="N327" s="167"/>
      <c r="O327" s="168"/>
      <c r="P327" s="168"/>
      <c r="Q327" s="147"/>
      <c r="R327" s="147"/>
      <c r="S327" s="169"/>
      <c r="T327" s="147"/>
      <c r="U327" s="147"/>
      <c r="V327" s="147"/>
      <c r="W327" s="147"/>
      <c r="X327" s="147"/>
      <c r="Y327" s="147"/>
      <c r="Z327" s="147"/>
      <c r="AA327" s="147"/>
      <c r="AB327" s="147"/>
      <c r="AC327" s="147"/>
      <c r="AD327" s="147"/>
      <c r="AE327" s="147"/>
      <c r="AF327" s="147"/>
      <c r="AG327" s="147"/>
      <c r="AH327" s="147"/>
      <c r="AI327" s="147"/>
      <c r="AJ327" s="147"/>
      <c r="AK327" s="147"/>
      <c r="AL327" s="147"/>
      <c r="AM327" s="147"/>
      <c r="AN327" s="147"/>
      <c r="AO327" s="147"/>
      <c r="AP327" s="147"/>
      <c r="AQ327" s="147"/>
      <c r="AR327" s="147"/>
      <c r="AS327" s="147"/>
    </row>
    <row r="328" spans="1:45" x14ac:dyDescent="0.25">
      <c r="A328" s="147"/>
      <c r="B328" s="147"/>
      <c r="C328" s="160"/>
      <c r="D328" s="160"/>
      <c r="E328" s="161"/>
      <c r="F328" s="162"/>
      <c r="G328" s="163"/>
      <c r="H328" s="163"/>
      <c r="I328" s="164"/>
      <c r="J328" s="162"/>
      <c r="K328" s="165"/>
      <c r="L328" s="166"/>
      <c r="M328" s="167"/>
      <c r="N328" s="167"/>
      <c r="O328" s="168"/>
      <c r="P328" s="168"/>
      <c r="Q328" s="147"/>
      <c r="R328" s="147"/>
      <c r="S328" s="169"/>
      <c r="T328" s="147"/>
      <c r="U328" s="147"/>
      <c r="V328" s="147"/>
      <c r="W328" s="147"/>
      <c r="X328" s="147"/>
      <c r="Y328" s="147"/>
      <c r="Z328" s="147"/>
      <c r="AA328" s="147"/>
      <c r="AB328" s="147"/>
      <c r="AC328" s="147"/>
      <c r="AD328" s="147"/>
      <c r="AE328" s="147"/>
      <c r="AF328" s="147"/>
      <c r="AG328" s="147"/>
      <c r="AH328" s="147"/>
      <c r="AI328" s="147"/>
      <c r="AJ328" s="147"/>
      <c r="AK328" s="147"/>
      <c r="AL328" s="147"/>
      <c r="AM328" s="147"/>
      <c r="AN328" s="147"/>
      <c r="AO328" s="147"/>
      <c r="AP328" s="147"/>
      <c r="AQ328" s="147"/>
      <c r="AR328" s="147"/>
      <c r="AS328" s="147"/>
    </row>
    <row r="329" spans="1:45" x14ac:dyDescent="0.25">
      <c r="A329" s="147"/>
      <c r="B329" s="147"/>
      <c r="C329" s="160"/>
      <c r="D329" s="160"/>
      <c r="E329" s="161"/>
      <c r="F329" s="162"/>
      <c r="G329" s="163"/>
      <c r="H329" s="163"/>
      <c r="I329" s="164"/>
      <c r="J329" s="162"/>
      <c r="K329" s="165"/>
      <c r="L329" s="166"/>
      <c r="M329" s="167"/>
      <c r="N329" s="167"/>
      <c r="O329" s="168"/>
      <c r="P329" s="168"/>
      <c r="Q329" s="147"/>
      <c r="R329" s="147"/>
      <c r="S329" s="169"/>
      <c r="T329" s="147"/>
      <c r="U329" s="147"/>
      <c r="V329" s="147"/>
      <c r="W329" s="147"/>
      <c r="X329" s="147"/>
      <c r="Y329" s="147"/>
      <c r="Z329" s="147"/>
      <c r="AA329" s="147"/>
      <c r="AB329" s="147"/>
      <c r="AC329" s="147"/>
      <c r="AD329" s="147"/>
      <c r="AE329" s="147"/>
      <c r="AF329" s="147"/>
      <c r="AG329" s="147"/>
      <c r="AH329" s="147"/>
      <c r="AI329" s="147"/>
      <c r="AJ329" s="147"/>
      <c r="AK329" s="147"/>
      <c r="AL329" s="147"/>
      <c r="AM329" s="147"/>
      <c r="AN329" s="147"/>
      <c r="AO329" s="147"/>
      <c r="AP329" s="147"/>
      <c r="AQ329" s="147"/>
      <c r="AR329" s="147"/>
      <c r="AS329" s="147"/>
    </row>
    <row r="330" spans="1:45" x14ac:dyDescent="0.25">
      <c r="A330" s="147"/>
      <c r="B330" s="147"/>
      <c r="C330" s="160"/>
      <c r="D330" s="160"/>
      <c r="E330" s="161"/>
      <c r="F330" s="162"/>
      <c r="G330" s="163"/>
      <c r="H330" s="163"/>
      <c r="I330" s="164"/>
      <c r="J330" s="162"/>
      <c r="K330" s="165"/>
      <c r="L330" s="166"/>
      <c r="M330" s="167"/>
      <c r="N330" s="167"/>
      <c r="O330" s="168"/>
      <c r="P330" s="168"/>
      <c r="Q330" s="147"/>
      <c r="R330" s="147"/>
      <c r="S330" s="169"/>
      <c r="T330" s="147"/>
      <c r="U330" s="147"/>
      <c r="V330" s="147"/>
      <c r="W330" s="147"/>
      <c r="X330" s="147"/>
      <c r="Y330" s="147"/>
      <c r="Z330" s="147"/>
      <c r="AA330" s="147"/>
      <c r="AB330" s="147"/>
      <c r="AC330" s="147"/>
      <c r="AD330" s="147"/>
      <c r="AE330" s="147"/>
      <c r="AF330" s="147"/>
      <c r="AG330" s="147"/>
      <c r="AH330" s="147"/>
      <c r="AI330" s="147"/>
      <c r="AJ330" s="147"/>
      <c r="AK330" s="147"/>
      <c r="AL330" s="147"/>
      <c r="AM330" s="147"/>
      <c r="AN330" s="147"/>
      <c r="AO330" s="147"/>
      <c r="AP330" s="147"/>
      <c r="AQ330" s="147"/>
      <c r="AR330" s="147"/>
      <c r="AS330" s="147"/>
    </row>
    <row r="331" spans="1:45" x14ac:dyDescent="0.25">
      <c r="A331" s="147"/>
      <c r="B331" s="147"/>
      <c r="C331" s="160"/>
      <c r="D331" s="160"/>
      <c r="E331" s="161"/>
      <c r="F331" s="162"/>
      <c r="G331" s="163"/>
      <c r="H331" s="163"/>
      <c r="I331" s="164"/>
      <c r="J331" s="162"/>
      <c r="K331" s="165"/>
      <c r="L331" s="166"/>
      <c r="M331" s="167"/>
      <c r="N331" s="167"/>
      <c r="O331" s="168"/>
      <c r="P331" s="168"/>
      <c r="Q331" s="147"/>
      <c r="R331" s="147"/>
      <c r="S331" s="169"/>
      <c r="T331" s="147"/>
      <c r="U331" s="147"/>
      <c r="V331" s="147"/>
      <c r="W331" s="147"/>
      <c r="X331" s="147"/>
      <c r="Y331" s="147"/>
      <c r="Z331" s="147"/>
      <c r="AA331" s="147"/>
      <c r="AB331" s="147"/>
      <c r="AC331" s="147"/>
      <c r="AD331" s="147"/>
      <c r="AE331" s="147"/>
      <c r="AF331" s="147"/>
      <c r="AG331" s="147"/>
      <c r="AH331" s="147"/>
      <c r="AI331" s="147"/>
      <c r="AJ331" s="147"/>
      <c r="AK331" s="147"/>
      <c r="AL331" s="147"/>
      <c r="AM331" s="147"/>
      <c r="AN331" s="147"/>
      <c r="AO331" s="147"/>
      <c r="AP331" s="147"/>
      <c r="AQ331" s="147"/>
      <c r="AR331" s="147"/>
      <c r="AS331" s="147"/>
    </row>
    <row r="332" spans="1:45" x14ac:dyDescent="0.25">
      <c r="A332" s="147"/>
      <c r="B332" s="147"/>
      <c r="C332" s="160"/>
      <c r="D332" s="160"/>
      <c r="E332" s="161"/>
      <c r="F332" s="162"/>
      <c r="G332" s="163"/>
      <c r="H332" s="163"/>
      <c r="I332" s="164"/>
      <c r="J332" s="162"/>
      <c r="K332" s="165"/>
      <c r="L332" s="166"/>
      <c r="M332" s="167"/>
      <c r="N332" s="167"/>
      <c r="O332" s="168"/>
      <c r="P332" s="168"/>
      <c r="Q332" s="147"/>
      <c r="R332" s="147"/>
      <c r="S332" s="169"/>
      <c r="T332" s="147"/>
      <c r="U332" s="147"/>
      <c r="V332" s="147"/>
      <c r="W332" s="147"/>
      <c r="X332" s="147"/>
      <c r="Y332" s="147"/>
      <c r="Z332" s="147"/>
      <c r="AA332" s="147"/>
      <c r="AB332" s="147"/>
      <c r="AC332" s="147"/>
      <c r="AD332" s="147"/>
      <c r="AE332" s="147"/>
      <c r="AF332" s="147"/>
      <c r="AG332" s="147"/>
      <c r="AH332" s="147"/>
      <c r="AI332" s="147"/>
      <c r="AJ332" s="147"/>
      <c r="AK332" s="147"/>
      <c r="AL332" s="147"/>
      <c r="AM332" s="147"/>
      <c r="AN332" s="147"/>
      <c r="AO332" s="147"/>
      <c r="AP332" s="147"/>
      <c r="AQ332" s="147"/>
      <c r="AR332" s="147"/>
      <c r="AS332" s="147"/>
    </row>
    <row r="333" spans="1:45" x14ac:dyDescent="0.25">
      <c r="A333" s="147"/>
      <c r="B333" s="147"/>
      <c r="C333" s="160"/>
      <c r="D333" s="160"/>
      <c r="E333" s="161"/>
      <c r="F333" s="162"/>
      <c r="G333" s="163"/>
      <c r="H333" s="163"/>
      <c r="I333" s="164"/>
      <c r="J333" s="162"/>
      <c r="K333" s="165"/>
      <c r="L333" s="166"/>
      <c r="M333" s="167"/>
      <c r="N333" s="167"/>
      <c r="O333" s="168"/>
      <c r="P333" s="168"/>
      <c r="Q333" s="147"/>
      <c r="R333" s="147"/>
      <c r="S333" s="169"/>
      <c r="T333" s="147"/>
      <c r="U333" s="147"/>
      <c r="V333" s="147"/>
      <c r="W333" s="147"/>
      <c r="X333" s="147"/>
      <c r="Y333" s="147"/>
      <c r="Z333" s="147"/>
      <c r="AA333" s="147"/>
      <c r="AB333" s="147"/>
      <c r="AC333" s="147"/>
      <c r="AD333" s="147"/>
      <c r="AE333" s="147"/>
      <c r="AF333" s="147"/>
      <c r="AG333" s="147"/>
      <c r="AH333" s="147"/>
      <c r="AI333" s="147"/>
      <c r="AJ333" s="147"/>
      <c r="AK333" s="147"/>
      <c r="AL333" s="147"/>
      <c r="AM333" s="147"/>
      <c r="AN333" s="147"/>
      <c r="AO333" s="147"/>
      <c r="AP333" s="147"/>
      <c r="AQ333" s="147"/>
      <c r="AR333" s="147"/>
      <c r="AS333" s="147"/>
    </row>
    <row r="334" spans="1:45" x14ac:dyDescent="0.25">
      <c r="A334" s="147"/>
      <c r="B334" s="147"/>
      <c r="C334" s="160"/>
      <c r="D334" s="160"/>
      <c r="E334" s="161"/>
      <c r="F334" s="162"/>
      <c r="G334" s="163"/>
      <c r="H334" s="163"/>
      <c r="I334" s="164"/>
      <c r="J334" s="162"/>
      <c r="K334" s="165"/>
      <c r="L334" s="166"/>
      <c r="M334" s="167"/>
      <c r="N334" s="167"/>
      <c r="O334" s="168"/>
      <c r="P334" s="168"/>
      <c r="Q334" s="147"/>
      <c r="R334" s="147"/>
      <c r="S334" s="169"/>
      <c r="T334" s="147"/>
      <c r="U334" s="147"/>
      <c r="V334" s="147"/>
      <c r="W334" s="147"/>
      <c r="X334" s="147"/>
      <c r="Y334" s="147"/>
      <c r="Z334" s="147"/>
      <c r="AA334" s="147"/>
      <c r="AB334" s="147"/>
      <c r="AC334" s="147"/>
      <c r="AD334" s="147"/>
      <c r="AE334" s="147"/>
      <c r="AF334" s="147"/>
      <c r="AG334" s="147"/>
      <c r="AH334" s="147"/>
      <c r="AI334" s="147"/>
      <c r="AJ334" s="147"/>
      <c r="AK334" s="147"/>
      <c r="AL334" s="147"/>
      <c r="AM334" s="147"/>
      <c r="AN334" s="147"/>
      <c r="AO334" s="147"/>
      <c r="AP334" s="147"/>
      <c r="AQ334" s="147"/>
      <c r="AR334" s="147"/>
      <c r="AS334" s="147"/>
    </row>
    <row r="335" spans="1:45" x14ac:dyDescent="0.25">
      <c r="A335" s="147"/>
      <c r="B335" s="147"/>
      <c r="C335" s="160"/>
      <c r="D335" s="160"/>
      <c r="E335" s="161"/>
      <c r="F335" s="162"/>
      <c r="G335" s="163"/>
      <c r="H335" s="163"/>
      <c r="I335" s="164"/>
      <c r="J335" s="162"/>
      <c r="K335" s="165"/>
      <c r="L335" s="166"/>
      <c r="M335" s="167"/>
      <c r="N335" s="167"/>
      <c r="O335" s="168"/>
      <c r="P335" s="168"/>
      <c r="Q335" s="147"/>
      <c r="R335" s="147"/>
      <c r="S335" s="169"/>
      <c r="T335" s="147"/>
      <c r="U335" s="147"/>
      <c r="V335" s="147"/>
      <c r="W335" s="147"/>
      <c r="X335" s="147"/>
      <c r="Y335" s="147"/>
      <c r="Z335" s="147"/>
      <c r="AA335" s="147"/>
      <c r="AB335" s="147"/>
      <c r="AC335" s="147"/>
      <c r="AD335" s="147"/>
      <c r="AE335" s="147"/>
      <c r="AF335" s="147"/>
      <c r="AG335" s="147"/>
      <c r="AH335" s="147"/>
      <c r="AI335" s="147"/>
      <c r="AJ335" s="147"/>
      <c r="AK335" s="147"/>
      <c r="AL335" s="147"/>
      <c r="AM335" s="147"/>
      <c r="AN335" s="147"/>
      <c r="AO335" s="147"/>
      <c r="AP335" s="147"/>
      <c r="AQ335" s="147"/>
      <c r="AR335" s="147"/>
      <c r="AS335" s="147"/>
    </row>
    <row r="336" spans="1:45" x14ac:dyDescent="0.25">
      <c r="A336" s="147"/>
      <c r="B336" s="147"/>
      <c r="C336" s="160"/>
      <c r="D336" s="160"/>
      <c r="E336" s="161"/>
      <c r="F336" s="162"/>
      <c r="G336" s="163"/>
      <c r="H336" s="163"/>
      <c r="I336" s="164"/>
      <c r="J336" s="162"/>
      <c r="K336" s="165"/>
      <c r="L336" s="166"/>
      <c r="M336" s="167"/>
      <c r="N336" s="167"/>
      <c r="O336" s="168"/>
      <c r="P336" s="168"/>
      <c r="Q336" s="147"/>
      <c r="R336" s="147"/>
      <c r="S336" s="169"/>
      <c r="T336" s="147"/>
      <c r="U336" s="147"/>
      <c r="V336" s="147"/>
      <c r="W336" s="147"/>
      <c r="X336" s="147"/>
      <c r="Y336" s="147"/>
      <c r="Z336" s="147"/>
      <c r="AA336" s="147"/>
      <c r="AB336" s="147"/>
      <c r="AC336" s="147"/>
      <c r="AD336" s="147"/>
      <c r="AE336" s="147"/>
      <c r="AF336" s="147"/>
      <c r="AG336" s="147"/>
      <c r="AH336" s="147"/>
      <c r="AI336" s="147"/>
      <c r="AJ336" s="147"/>
      <c r="AK336" s="147"/>
      <c r="AL336" s="147"/>
      <c r="AM336" s="147"/>
      <c r="AN336" s="147"/>
      <c r="AO336" s="147"/>
      <c r="AP336" s="147"/>
      <c r="AQ336" s="147"/>
      <c r="AR336" s="147"/>
      <c r="AS336" s="147"/>
    </row>
    <row r="337" spans="1:45" x14ac:dyDescent="0.25">
      <c r="A337" s="147"/>
      <c r="B337" s="147"/>
      <c r="C337" s="160"/>
      <c r="D337" s="160"/>
      <c r="E337" s="161"/>
      <c r="F337" s="162"/>
      <c r="G337" s="163"/>
      <c r="H337" s="163"/>
      <c r="I337" s="164"/>
      <c r="J337" s="162"/>
      <c r="K337" s="165"/>
      <c r="L337" s="166"/>
      <c r="M337" s="167"/>
      <c r="N337" s="167"/>
      <c r="O337" s="168"/>
      <c r="P337" s="168"/>
      <c r="Q337" s="147"/>
      <c r="R337" s="147"/>
      <c r="S337" s="169"/>
      <c r="T337" s="147"/>
      <c r="U337" s="147"/>
      <c r="V337" s="147"/>
      <c r="W337" s="147"/>
      <c r="X337" s="147"/>
      <c r="Y337" s="147"/>
      <c r="Z337" s="147"/>
      <c r="AA337" s="147"/>
      <c r="AB337" s="147"/>
      <c r="AC337" s="147"/>
      <c r="AD337" s="147"/>
      <c r="AE337" s="147"/>
      <c r="AF337" s="147"/>
      <c r="AG337" s="147"/>
      <c r="AH337" s="147"/>
      <c r="AI337" s="147"/>
      <c r="AJ337" s="147"/>
      <c r="AK337" s="147"/>
      <c r="AL337" s="147"/>
      <c r="AM337" s="147"/>
      <c r="AN337" s="147"/>
      <c r="AO337" s="147"/>
      <c r="AP337" s="147"/>
      <c r="AQ337" s="147"/>
      <c r="AR337" s="147"/>
      <c r="AS337" s="147"/>
    </row>
    <row r="338" spans="1:45" x14ac:dyDescent="0.25">
      <c r="A338" s="147"/>
      <c r="B338" s="147"/>
      <c r="C338" s="160"/>
      <c r="D338" s="160"/>
      <c r="E338" s="161"/>
      <c r="F338" s="162"/>
      <c r="G338" s="163"/>
      <c r="H338" s="163"/>
      <c r="I338" s="164"/>
      <c r="J338" s="162"/>
      <c r="K338" s="165"/>
      <c r="L338" s="166"/>
      <c r="M338" s="167"/>
      <c r="N338" s="167"/>
      <c r="O338" s="168"/>
      <c r="P338" s="168"/>
      <c r="Q338" s="147"/>
      <c r="R338" s="147"/>
      <c r="S338" s="169"/>
      <c r="T338" s="147"/>
      <c r="U338" s="147"/>
      <c r="V338" s="147"/>
      <c r="W338" s="147"/>
      <c r="X338" s="147"/>
      <c r="Y338" s="147"/>
      <c r="Z338" s="147"/>
      <c r="AA338" s="147"/>
      <c r="AB338" s="147"/>
      <c r="AC338" s="147"/>
      <c r="AD338" s="147"/>
      <c r="AE338" s="147"/>
      <c r="AF338" s="147"/>
      <c r="AG338" s="147"/>
      <c r="AH338" s="147"/>
      <c r="AI338" s="147"/>
      <c r="AJ338" s="147"/>
      <c r="AK338" s="147"/>
      <c r="AL338" s="147"/>
      <c r="AM338" s="147"/>
      <c r="AN338" s="147"/>
      <c r="AO338" s="147"/>
      <c r="AP338" s="147"/>
      <c r="AQ338" s="147"/>
      <c r="AR338" s="147"/>
      <c r="AS338" s="147"/>
    </row>
    <row r="339" spans="1:45" x14ac:dyDescent="0.25">
      <c r="A339" s="147"/>
      <c r="B339" s="147"/>
      <c r="C339" s="160"/>
      <c r="D339" s="160"/>
      <c r="E339" s="161"/>
      <c r="F339" s="162"/>
      <c r="G339" s="163"/>
      <c r="H339" s="163"/>
      <c r="I339" s="164"/>
      <c r="J339" s="162"/>
      <c r="K339" s="165"/>
      <c r="L339" s="166"/>
      <c r="M339" s="167"/>
      <c r="N339" s="167"/>
      <c r="O339" s="168"/>
      <c r="P339" s="168"/>
      <c r="Q339" s="147"/>
      <c r="R339" s="147"/>
      <c r="S339" s="169"/>
      <c r="T339" s="147"/>
      <c r="U339" s="147"/>
      <c r="V339" s="147"/>
      <c r="W339" s="147"/>
      <c r="X339" s="147"/>
      <c r="Y339" s="147"/>
      <c r="Z339" s="147"/>
      <c r="AA339" s="147"/>
      <c r="AB339" s="147"/>
      <c r="AC339" s="147"/>
      <c r="AD339" s="147"/>
      <c r="AE339" s="147"/>
      <c r="AF339" s="147"/>
      <c r="AG339" s="147"/>
      <c r="AH339" s="147"/>
      <c r="AI339" s="147"/>
      <c r="AJ339" s="147"/>
      <c r="AK339" s="147"/>
      <c r="AL339" s="147"/>
      <c r="AM339" s="147"/>
      <c r="AN339" s="147"/>
      <c r="AO339" s="147"/>
      <c r="AP339" s="147"/>
      <c r="AQ339" s="147"/>
      <c r="AR339" s="147"/>
      <c r="AS339" s="147"/>
    </row>
    <row r="340" spans="1:45" x14ac:dyDescent="0.25">
      <c r="A340" s="147"/>
      <c r="B340" s="147"/>
      <c r="C340" s="160"/>
      <c r="D340" s="160"/>
      <c r="E340" s="161"/>
      <c r="F340" s="162"/>
      <c r="G340" s="163"/>
      <c r="H340" s="163"/>
      <c r="I340" s="164"/>
      <c r="J340" s="162"/>
      <c r="K340" s="165"/>
      <c r="L340" s="166"/>
      <c r="M340" s="167"/>
      <c r="N340" s="167"/>
      <c r="O340" s="168"/>
      <c r="P340" s="168"/>
      <c r="Q340" s="147"/>
      <c r="R340" s="147"/>
      <c r="S340" s="169"/>
      <c r="T340" s="147"/>
      <c r="U340" s="147"/>
      <c r="V340" s="147"/>
      <c r="W340" s="147"/>
      <c r="X340" s="147"/>
      <c r="Y340" s="147"/>
      <c r="Z340" s="147"/>
      <c r="AA340" s="147"/>
      <c r="AB340" s="147"/>
      <c r="AC340" s="147"/>
      <c r="AD340" s="147"/>
      <c r="AE340" s="147"/>
      <c r="AF340" s="147"/>
      <c r="AG340" s="147"/>
      <c r="AH340" s="147"/>
      <c r="AI340" s="147"/>
      <c r="AJ340" s="147"/>
      <c r="AK340" s="147"/>
      <c r="AL340" s="147"/>
      <c r="AM340" s="147"/>
      <c r="AN340" s="147"/>
      <c r="AO340" s="147"/>
      <c r="AP340" s="147"/>
      <c r="AQ340" s="147"/>
      <c r="AR340" s="147"/>
      <c r="AS340" s="147"/>
    </row>
    <row r="341" spans="1:45" x14ac:dyDescent="0.25">
      <c r="A341" s="147"/>
      <c r="B341" s="147"/>
      <c r="C341" s="160"/>
      <c r="D341" s="160"/>
      <c r="E341" s="161"/>
      <c r="F341" s="162"/>
      <c r="G341" s="163"/>
      <c r="H341" s="163"/>
      <c r="I341" s="164"/>
      <c r="J341" s="162"/>
      <c r="K341" s="165"/>
      <c r="L341" s="166"/>
      <c r="M341" s="167"/>
      <c r="N341" s="167"/>
      <c r="O341" s="168"/>
      <c r="P341" s="168"/>
      <c r="Q341" s="147"/>
      <c r="R341" s="147"/>
      <c r="S341" s="169"/>
      <c r="T341" s="147"/>
      <c r="U341" s="147"/>
      <c r="V341" s="147"/>
      <c r="W341" s="147"/>
      <c r="X341" s="147"/>
      <c r="Y341" s="147"/>
      <c r="Z341" s="147"/>
      <c r="AA341" s="147"/>
      <c r="AB341" s="147"/>
      <c r="AC341" s="147"/>
      <c r="AD341" s="147"/>
      <c r="AE341" s="147"/>
      <c r="AF341" s="147"/>
      <c r="AG341" s="147"/>
      <c r="AH341" s="147"/>
      <c r="AI341" s="147"/>
      <c r="AJ341" s="147"/>
      <c r="AK341" s="147"/>
      <c r="AL341" s="147"/>
      <c r="AM341" s="147"/>
      <c r="AN341" s="147"/>
      <c r="AO341" s="147"/>
      <c r="AP341" s="147"/>
      <c r="AQ341" s="147"/>
      <c r="AR341" s="147"/>
      <c r="AS341" s="147"/>
    </row>
    <row r="342" spans="1:45" x14ac:dyDescent="0.25">
      <c r="A342" s="147"/>
      <c r="B342" s="147"/>
      <c r="C342" s="160"/>
      <c r="D342" s="160"/>
      <c r="E342" s="161"/>
      <c r="F342" s="162"/>
      <c r="G342" s="163"/>
      <c r="H342" s="163"/>
      <c r="I342" s="164"/>
      <c r="J342" s="162"/>
      <c r="K342" s="165"/>
      <c r="L342" s="166"/>
      <c r="M342" s="167"/>
      <c r="N342" s="167"/>
      <c r="O342" s="168"/>
      <c r="P342" s="168"/>
      <c r="Q342" s="147"/>
      <c r="R342" s="147"/>
      <c r="S342" s="169"/>
      <c r="T342" s="147"/>
      <c r="U342" s="147"/>
      <c r="V342" s="147"/>
      <c r="W342" s="147"/>
      <c r="X342" s="147"/>
      <c r="Y342" s="147"/>
      <c r="Z342" s="147"/>
      <c r="AA342" s="147"/>
      <c r="AB342" s="147"/>
      <c r="AC342" s="147"/>
      <c r="AD342" s="147"/>
      <c r="AE342" s="147"/>
      <c r="AF342" s="147"/>
      <c r="AG342" s="147"/>
      <c r="AH342" s="147"/>
      <c r="AI342" s="147"/>
      <c r="AJ342" s="147"/>
      <c r="AK342" s="147"/>
      <c r="AL342" s="147"/>
      <c r="AM342" s="147"/>
      <c r="AN342" s="147"/>
      <c r="AO342" s="147"/>
      <c r="AP342" s="147"/>
      <c r="AQ342" s="147"/>
      <c r="AR342" s="147"/>
      <c r="AS342" s="147"/>
    </row>
    <row r="343" spans="1:45" x14ac:dyDescent="0.25">
      <c r="A343" s="147"/>
      <c r="B343" s="147"/>
      <c r="C343" s="160"/>
      <c r="D343" s="160"/>
      <c r="E343" s="161"/>
      <c r="F343" s="162"/>
      <c r="G343" s="163"/>
      <c r="H343" s="163"/>
      <c r="I343" s="164"/>
      <c r="J343" s="162"/>
      <c r="K343" s="165"/>
      <c r="L343" s="166"/>
      <c r="M343" s="167"/>
      <c r="N343" s="167"/>
      <c r="O343" s="168"/>
      <c r="P343" s="168"/>
      <c r="Q343" s="147"/>
      <c r="R343" s="147"/>
      <c r="S343" s="169"/>
      <c r="T343" s="147"/>
      <c r="U343" s="147"/>
      <c r="V343" s="147"/>
      <c r="W343" s="147"/>
      <c r="X343" s="147"/>
      <c r="Y343" s="147"/>
      <c r="Z343" s="147"/>
      <c r="AA343" s="147"/>
      <c r="AB343" s="147"/>
      <c r="AC343" s="147"/>
      <c r="AD343" s="147"/>
      <c r="AE343" s="147"/>
      <c r="AF343" s="147"/>
      <c r="AG343" s="147"/>
      <c r="AH343" s="147"/>
      <c r="AI343" s="147"/>
      <c r="AJ343" s="147"/>
      <c r="AK343" s="147"/>
      <c r="AL343" s="147"/>
      <c r="AM343" s="147"/>
      <c r="AN343" s="147"/>
      <c r="AO343" s="147"/>
      <c r="AP343" s="147"/>
      <c r="AQ343" s="147"/>
      <c r="AR343" s="147"/>
      <c r="AS343" s="147"/>
    </row>
    <row r="344" spans="1:45" x14ac:dyDescent="0.25">
      <c r="A344" s="147"/>
      <c r="B344" s="147"/>
      <c r="C344" s="160"/>
      <c r="D344" s="160"/>
      <c r="E344" s="161"/>
      <c r="F344" s="162"/>
      <c r="G344" s="163"/>
      <c r="H344" s="163"/>
      <c r="I344" s="164"/>
      <c r="J344" s="162"/>
      <c r="K344" s="165"/>
      <c r="L344" s="166"/>
      <c r="M344" s="167"/>
      <c r="N344" s="167"/>
      <c r="O344" s="168"/>
      <c r="P344" s="168"/>
      <c r="Q344" s="147"/>
      <c r="R344" s="147"/>
      <c r="S344" s="169"/>
      <c r="T344" s="147"/>
      <c r="U344" s="147"/>
      <c r="V344" s="147"/>
      <c r="W344" s="147"/>
      <c r="X344" s="147"/>
      <c r="Y344" s="147"/>
      <c r="Z344" s="147"/>
      <c r="AA344" s="147"/>
      <c r="AB344" s="147"/>
      <c r="AC344" s="147"/>
      <c r="AD344" s="147"/>
      <c r="AE344" s="147"/>
      <c r="AF344" s="147"/>
      <c r="AG344" s="147"/>
      <c r="AH344" s="147"/>
      <c r="AI344" s="147"/>
      <c r="AJ344" s="147"/>
      <c r="AK344" s="147"/>
      <c r="AL344" s="147"/>
      <c r="AM344" s="147"/>
      <c r="AN344" s="147"/>
      <c r="AO344" s="147"/>
      <c r="AP344" s="147"/>
      <c r="AQ344" s="147"/>
      <c r="AR344" s="147"/>
      <c r="AS344" s="147"/>
    </row>
    <row r="345" spans="1:45" x14ac:dyDescent="0.25">
      <c r="A345" s="147"/>
      <c r="B345" s="147"/>
      <c r="C345" s="160"/>
      <c r="D345" s="160"/>
      <c r="E345" s="161"/>
      <c r="F345" s="162"/>
      <c r="G345" s="163"/>
      <c r="H345" s="163"/>
      <c r="I345" s="164"/>
      <c r="J345" s="162"/>
      <c r="K345" s="165"/>
      <c r="L345" s="166"/>
      <c r="M345" s="167"/>
      <c r="N345" s="167"/>
      <c r="O345" s="168"/>
      <c r="P345" s="168"/>
      <c r="Q345" s="147"/>
      <c r="R345" s="147"/>
      <c r="S345" s="169"/>
      <c r="T345" s="147"/>
      <c r="U345" s="147"/>
      <c r="V345" s="147"/>
      <c r="W345" s="147"/>
      <c r="X345" s="147"/>
      <c r="Y345" s="147"/>
      <c r="Z345" s="147"/>
      <c r="AA345" s="147"/>
      <c r="AB345" s="147"/>
      <c r="AC345" s="147"/>
      <c r="AD345" s="147"/>
      <c r="AE345" s="147"/>
      <c r="AF345" s="147"/>
      <c r="AG345" s="147"/>
      <c r="AH345" s="147"/>
      <c r="AI345" s="147"/>
      <c r="AJ345" s="147"/>
      <c r="AK345" s="147"/>
      <c r="AL345" s="147"/>
      <c r="AM345" s="147"/>
      <c r="AN345" s="147"/>
      <c r="AO345" s="147"/>
      <c r="AP345" s="147"/>
      <c r="AQ345" s="147"/>
      <c r="AR345" s="147"/>
      <c r="AS345" s="147"/>
    </row>
    <row r="346" spans="1:45" x14ac:dyDescent="0.25">
      <c r="A346" s="147"/>
      <c r="B346" s="147"/>
      <c r="C346" s="160"/>
      <c r="D346" s="160"/>
      <c r="E346" s="161"/>
      <c r="F346" s="162"/>
      <c r="G346" s="163"/>
      <c r="H346" s="163"/>
      <c r="I346" s="164"/>
      <c r="J346" s="162"/>
      <c r="K346" s="165"/>
      <c r="L346" s="166"/>
      <c r="M346" s="167"/>
      <c r="N346" s="167"/>
      <c r="O346" s="168"/>
      <c r="P346" s="168"/>
      <c r="Q346" s="147"/>
      <c r="R346" s="147"/>
      <c r="S346" s="169"/>
      <c r="T346" s="147"/>
      <c r="U346" s="147"/>
      <c r="V346" s="147"/>
      <c r="W346" s="147"/>
      <c r="X346" s="147"/>
      <c r="Y346" s="147"/>
      <c r="Z346" s="147"/>
      <c r="AA346" s="147"/>
      <c r="AB346" s="147"/>
      <c r="AC346" s="147"/>
      <c r="AD346" s="147"/>
      <c r="AE346" s="147"/>
      <c r="AF346" s="147"/>
      <c r="AG346" s="147"/>
      <c r="AH346" s="147"/>
      <c r="AI346" s="147"/>
      <c r="AJ346" s="147"/>
      <c r="AK346" s="147"/>
      <c r="AL346" s="147"/>
      <c r="AM346" s="147"/>
      <c r="AN346" s="147"/>
      <c r="AO346" s="147"/>
      <c r="AP346" s="147"/>
      <c r="AQ346" s="147"/>
      <c r="AR346" s="147"/>
      <c r="AS346" s="147"/>
    </row>
    <row r="347" spans="1:45" x14ac:dyDescent="0.25">
      <c r="A347" s="147"/>
      <c r="B347" s="147"/>
      <c r="C347" s="160"/>
      <c r="D347" s="160"/>
      <c r="E347" s="161"/>
      <c r="F347" s="162"/>
      <c r="G347" s="163"/>
      <c r="H347" s="163"/>
      <c r="I347" s="164"/>
      <c r="J347" s="162"/>
      <c r="K347" s="165"/>
      <c r="L347" s="166"/>
      <c r="M347" s="167"/>
      <c r="N347" s="167"/>
      <c r="O347" s="168"/>
      <c r="P347" s="168"/>
      <c r="Q347" s="147"/>
      <c r="R347" s="147"/>
      <c r="S347" s="169"/>
      <c r="T347" s="147"/>
      <c r="U347" s="147"/>
      <c r="V347" s="147"/>
      <c r="W347" s="147"/>
      <c r="X347" s="147"/>
      <c r="Y347" s="147"/>
      <c r="Z347" s="147"/>
      <c r="AA347" s="147"/>
      <c r="AB347" s="147"/>
      <c r="AC347" s="147"/>
      <c r="AD347" s="147"/>
      <c r="AE347" s="147"/>
      <c r="AF347" s="147"/>
      <c r="AG347" s="147"/>
      <c r="AH347" s="147"/>
      <c r="AI347" s="147"/>
      <c r="AJ347" s="147"/>
      <c r="AK347" s="147"/>
      <c r="AL347" s="147"/>
      <c r="AM347" s="147"/>
      <c r="AN347" s="147"/>
      <c r="AO347" s="147"/>
      <c r="AP347" s="147"/>
      <c r="AQ347" s="147"/>
      <c r="AR347" s="147"/>
      <c r="AS347" s="147"/>
    </row>
    <row r="348" spans="1:45" x14ac:dyDescent="0.25">
      <c r="A348" s="147"/>
      <c r="B348" s="147"/>
      <c r="C348" s="160"/>
      <c r="D348" s="160"/>
      <c r="E348" s="161"/>
      <c r="F348" s="162"/>
      <c r="G348" s="163"/>
      <c r="H348" s="163"/>
      <c r="I348" s="164"/>
      <c r="J348" s="162"/>
      <c r="K348" s="165"/>
      <c r="L348" s="166"/>
      <c r="M348" s="167"/>
      <c r="N348" s="167"/>
      <c r="O348" s="168"/>
      <c r="P348" s="168"/>
      <c r="Q348" s="147"/>
      <c r="R348" s="147"/>
      <c r="S348" s="169"/>
      <c r="T348" s="147"/>
      <c r="U348" s="147"/>
      <c r="V348" s="147"/>
      <c r="W348" s="147"/>
      <c r="X348" s="147"/>
      <c r="Y348" s="147"/>
      <c r="Z348" s="147"/>
      <c r="AA348" s="147"/>
      <c r="AB348" s="147"/>
      <c r="AC348" s="147"/>
      <c r="AD348" s="147"/>
      <c r="AE348" s="147"/>
      <c r="AF348" s="147"/>
      <c r="AG348" s="147"/>
      <c r="AH348" s="147"/>
      <c r="AI348" s="147"/>
      <c r="AJ348" s="147"/>
      <c r="AK348" s="147"/>
      <c r="AL348" s="147"/>
      <c r="AM348" s="147"/>
      <c r="AN348" s="147"/>
      <c r="AO348" s="147"/>
      <c r="AP348" s="147"/>
      <c r="AQ348" s="147"/>
      <c r="AR348" s="147"/>
      <c r="AS348" s="147"/>
    </row>
    <row r="349" spans="1:45" x14ac:dyDescent="0.25">
      <c r="A349" s="147"/>
      <c r="B349" s="147"/>
      <c r="C349" s="160"/>
      <c r="D349" s="160"/>
      <c r="E349" s="161"/>
      <c r="F349" s="162"/>
      <c r="G349" s="163"/>
      <c r="H349" s="163"/>
      <c r="I349" s="164"/>
      <c r="J349" s="162"/>
      <c r="K349" s="165"/>
      <c r="L349" s="166"/>
      <c r="M349" s="167"/>
      <c r="N349" s="167"/>
      <c r="O349" s="168"/>
      <c r="P349" s="168"/>
      <c r="Q349" s="147"/>
      <c r="R349" s="147"/>
      <c r="S349" s="169"/>
      <c r="T349" s="147"/>
      <c r="U349" s="147"/>
      <c r="V349" s="147"/>
      <c r="W349" s="147"/>
      <c r="X349" s="147"/>
      <c r="Y349" s="147"/>
      <c r="Z349" s="147"/>
      <c r="AA349" s="147"/>
      <c r="AB349" s="147"/>
      <c r="AC349" s="147"/>
      <c r="AD349" s="147"/>
      <c r="AE349" s="147"/>
      <c r="AF349" s="147"/>
      <c r="AG349" s="147"/>
      <c r="AH349" s="147"/>
      <c r="AI349" s="147"/>
      <c r="AJ349" s="147"/>
      <c r="AK349" s="147"/>
      <c r="AL349" s="147"/>
      <c r="AM349" s="147"/>
      <c r="AN349" s="147"/>
      <c r="AO349" s="147"/>
      <c r="AP349" s="147"/>
      <c r="AQ349" s="147"/>
      <c r="AR349" s="147"/>
      <c r="AS349" s="147"/>
    </row>
    <row r="350" spans="1:45" x14ac:dyDescent="0.25">
      <c r="A350" s="147"/>
      <c r="B350" s="147"/>
      <c r="C350" s="160"/>
      <c r="D350" s="160"/>
      <c r="E350" s="161"/>
      <c r="F350" s="162"/>
      <c r="G350" s="163"/>
      <c r="H350" s="163"/>
      <c r="I350" s="164"/>
      <c r="J350" s="162"/>
      <c r="K350" s="165"/>
      <c r="L350" s="166"/>
      <c r="M350" s="167"/>
      <c r="N350" s="167"/>
      <c r="O350" s="168"/>
      <c r="P350" s="168"/>
      <c r="Q350" s="147"/>
      <c r="R350" s="147"/>
      <c r="S350" s="169"/>
      <c r="T350" s="147"/>
      <c r="U350" s="147"/>
      <c r="V350" s="147"/>
      <c r="W350" s="147"/>
      <c r="X350" s="147"/>
      <c r="Y350" s="147"/>
      <c r="Z350" s="147"/>
      <c r="AA350" s="147"/>
      <c r="AB350" s="147"/>
      <c r="AC350" s="147"/>
      <c r="AD350" s="147"/>
      <c r="AE350" s="147"/>
      <c r="AF350" s="147"/>
      <c r="AG350" s="147"/>
      <c r="AH350" s="147"/>
      <c r="AI350" s="147"/>
      <c r="AJ350" s="147"/>
      <c r="AK350" s="147"/>
      <c r="AL350" s="147"/>
      <c r="AM350" s="147"/>
      <c r="AN350" s="147"/>
      <c r="AO350" s="147"/>
      <c r="AP350" s="147"/>
      <c r="AQ350" s="147"/>
      <c r="AR350" s="147"/>
      <c r="AS350" s="147"/>
    </row>
    <row r="351" spans="1:45" x14ac:dyDescent="0.25">
      <c r="A351" s="147"/>
      <c r="B351" s="147"/>
      <c r="C351" s="160"/>
      <c r="D351" s="160"/>
      <c r="E351" s="161"/>
      <c r="F351" s="162"/>
      <c r="G351" s="163"/>
      <c r="H351" s="163"/>
      <c r="I351" s="164"/>
      <c r="J351" s="162"/>
      <c r="K351" s="165"/>
      <c r="L351" s="166"/>
      <c r="M351" s="167"/>
      <c r="N351" s="167"/>
      <c r="O351" s="168"/>
      <c r="P351" s="168"/>
      <c r="Q351" s="147"/>
      <c r="R351" s="147"/>
      <c r="S351" s="169"/>
      <c r="T351" s="147"/>
      <c r="U351" s="147"/>
      <c r="V351" s="147"/>
      <c r="W351" s="147"/>
      <c r="X351" s="147"/>
      <c r="Y351" s="147"/>
      <c r="Z351" s="147"/>
      <c r="AA351" s="147"/>
      <c r="AB351" s="147"/>
      <c r="AC351" s="147"/>
      <c r="AD351" s="147"/>
      <c r="AE351" s="147"/>
      <c r="AF351" s="147"/>
      <c r="AG351" s="147"/>
      <c r="AH351" s="147"/>
      <c r="AI351" s="147"/>
      <c r="AJ351" s="147"/>
      <c r="AK351" s="147"/>
      <c r="AL351" s="147"/>
      <c r="AM351" s="147"/>
      <c r="AN351" s="147"/>
      <c r="AO351" s="147"/>
      <c r="AP351" s="147"/>
      <c r="AQ351" s="147"/>
      <c r="AR351" s="147"/>
      <c r="AS351" s="147"/>
    </row>
    <row r="352" spans="1:45" x14ac:dyDescent="0.25">
      <c r="A352" s="147"/>
      <c r="B352" s="147"/>
      <c r="C352" s="160"/>
      <c r="D352" s="160"/>
      <c r="E352" s="161"/>
      <c r="F352" s="162"/>
      <c r="G352" s="163"/>
      <c r="H352" s="163"/>
      <c r="I352" s="164"/>
      <c r="J352" s="162"/>
      <c r="K352" s="165"/>
      <c r="L352" s="166"/>
      <c r="M352" s="167"/>
      <c r="N352" s="167"/>
      <c r="O352" s="168"/>
      <c r="P352" s="168"/>
      <c r="Q352" s="147"/>
      <c r="R352" s="147"/>
      <c r="S352" s="169"/>
      <c r="T352" s="147"/>
      <c r="U352" s="147"/>
      <c r="V352" s="147"/>
      <c r="W352" s="147"/>
      <c r="X352" s="147"/>
      <c r="Y352" s="147"/>
      <c r="Z352" s="147"/>
      <c r="AA352" s="147"/>
      <c r="AB352" s="147"/>
      <c r="AC352" s="147"/>
      <c r="AD352" s="147"/>
      <c r="AE352" s="147"/>
      <c r="AF352" s="147"/>
      <c r="AG352" s="147"/>
      <c r="AH352" s="147"/>
      <c r="AI352" s="147"/>
      <c r="AJ352" s="147"/>
      <c r="AK352" s="147"/>
      <c r="AL352" s="147"/>
      <c r="AM352" s="147"/>
      <c r="AN352" s="147"/>
      <c r="AO352" s="147"/>
      <c r="AP352" s="147"/>
      <c r="AQ352" s="147"/>
      <c r="AR352" s="147"/>
      <c r="AS352" s="147"/>
    </row>
    <row r="353" spans="1:45" x14ac:dyDescent="0.25">
      <c r="A353" s="147"/>
      <c r="B353" s="147"/>
      <c r="C353" s="160"/>
      <c r="D353" s="160"/>
      <c r="E353" s="161"/>
      <c r="F353" s="162"/>
      <c r="G353" s="163"/>
      <c r="H353" s="163"/>
      <c r="I353" s="164"/>
      <c r="J353" s="162"/>
      <c r="K353" s="165"/>
      <c r="L353" s="166"/>
      <c r="M353" s="167"/>
      <c r="N353" s="167"/>
      <c r="O353" s="168"/>
      <c r="P353" s="168"/>
      <c r="Q353" s="147"/>
      <c r="R353" s="147"/>
      <c r="S353" s="169"/>
      <c r="T353" s="147"/>
      <c r="U353" s="147"/>
      <c r="V353" s="147"/>
      <c r="W353" s="147"/>
      <c r="X353" s="147"/>
      <c r="Y353" s="147"/>
      <c r="Z353" s="147"/>
      <c r="AA353" s="147"/>
      <c r="AB353" s="147"/>
      <c r="AC353" s="147"/>
      <c r="AD353" s="147"/>
      <c r="AE353" s="147"/>
      <c r="AF353" s="147"/>
      <c r="AG353" s="147"/>
      <c r="AH353" s="147"/>
      <c r="AI353" s="147"/>
      <c r="AJ353" s="147"/>
      <c r="AK353" s="147"/>
      <c r="AL353" s="147"/>
      <c r="AM353" s="147"/>
      <c r="AN353" s="147"/>
      <c r="AO353" s="147"/>
      <c r="AP353" s="147"/>
      <c r="AQ353" s="147"/>
      <c r="AR353" s="147"/>
      <c r="AS353" s="147"/>
    </row>
    <row r="354" spans="1:45" x14ac:dyDescent="0.25">
      <c r="A354" s="147"/>
      <c r="B354" s="147"/>
      <c r="C354" s="160"/>
      <c r="D354" s="160"/>
      <c r="E354" s="161"/>
      <c r="F354" s="162"/>
      <c r="G354" s="163"/>
      <c r="H354" s="163"/>
      <c r="I354" s="164"/>
      <c r="J354" s="162"/>
      <c r="K354" s="165"/>
      <c r="L354" s="166"/>
      <c r="M354" s="167"/>
      <c r="N354" s="167"/>
      <c r="O354" s="168"/>
      <c r="P354" s="168"/>
      <c r="Q354" s="147"/>
      <c r="R354" s="147"/>
      <c r="S354" s="169"/>
      <c r="T354" s="147"/>
      <c r="U354" s="147"/>
      <c r="V354" s="147"/>
      <c r="W354" s="147"/>
      <c r="X354" s="147"/>
      <c r="Y354" s="147"/>
      <c r="Z354" s="147"/>
      <c r="AA354" s="147"/>
      <c r="AB354" s="147"/>
      <c r="AC354" s="147"/>
      <c r="AD354" s="147"/>
      <c r="AE354" s="147"/>
      <c r="AF354" s="147"/>
      <c r="AG354" s="147"/>
      <c r="AH354" s="147"/>
      <c r="AI354" s="147"/>
      <c r="AJ354" s="147"/>
      <c r="AK354" s="147"/>
      <c r="AL354" s="147"/>
      <c r="AM354" s="147"/>
      <c r="AN354" s="147"/>
      <c r="AO354" s="147"/>
      <c r="AP354" s="147"/>
      <c r="AQ354" s="147"/>
      <c r="AR354" s="147"/>
      <c r="AS354" s="147"/>
    </row>
    <row r="355" spans="1:45" x14ac:dyDescent="0.25">
      <c r="A355" s="147"/>
      <c r="B355" s="147"/>
      <c r="C355" s="160"/>
      <c r="D355" s="160"/>
      <c r="E355" s="161"/>
      <c r="F355" s="162"/>
      <c r="G355" s="163"/>
      <c r="H355" s="163"/>
      <c r="I355" s="164"/>
      <c r="J355" s="162"/>
      <c r="K355" s="165"/>
      <c r="L355" s="166"/>
      <c r="M355" s="167"/>
      <c r="N355" s="167"/>
      <c r="O355" s="168"/>
      <c r="P355" s="168"/>
      <c r="Q355" s="147"/>
      <c r="R355" s="147"/>
      <c r="S355" s="169"/>
      <c r="T355" s="147"/>
      <c r="U355" s="147"/>
      <c r="V355" s="147"/>
      <c r="W355" s="147"/>
      <c r="X355" s="147"/>
      <c r="Y355" s="147"/>
      <c r="Z355" s="147"/>
      <c r="AA355" s="147"/>
      <c r="AB355" s="147"/>
      <c r="AC355" s="147"/>
      <c r="AD355" s="147"/>
      <c r="AE355" s="147"/>
      <c r="AF355" s="147"/>
      <c r="AG355" s="147"/>
      <c r="AH355" s="147"/>
      <c r="AI355" s="147"/>
      <c r="AJ355" s="147"/>
      <c r="AK355" s="147"/>
      <c r="AL355" s="147"/>
      <c r="AM355" s="147"/>
      <c r="AN355" s="147"/>
      <c r="AO355" s="147"/>
      <c r="AP355" s="147"/>
      <c r="AQ355" s="147"/>
      <c r="AR355" s="147"/>
      <c r="AS355" s="147"/>
    </row>
    <row r="356" spans="1:45" x14ac:dyDescent="0.25">
      <c r="A356" s="147"/>
      <c r="B356" s="147"/>
      <c r="C356" s="160"/>
      <c r="D356" s="160"/>
      <c r="E356" s="161"/>
      <c r="F356" s="162"/>
      <c r="G356" s="163"/>
      <c r="H356" s="163"/>
      <c r="I356" s="164"/>
      <c r="J356" s="162"/>
      <c r="K356" s="165"/>
      <c r="L356" s="166"/>
      <c r="M356" s="167"/>
      <c r="N356" s="167"/>
      <c r="O356" s="168"/>
      <c r="P356" s="168"/>
      <c r="Q356" s="147"/>
      <c r="R356" s="147"/>
      <c r="S356" s="169"/>
      <c r="T356" s="147"/>
      <c r="U356" s="147"/>
      <c r="V356" s="147"/>
      <c r="W356" s="147"/>
      <c r="X356" s="147"/>
      <c r="Y356" s="147"/>
      <c r="Z356" s="147"/>
      <c r="AA356" s="147"/>
      <c r="AB356" s="147"/>
      <c r="AC356" s="147"/>
      <c r="AD356" s="147"/>
      <c r="AE356" s="147"/>
      <c r="AF356" s="147"/>
      <c r="AG356" s="147"/>
      <c r="AH356" s="147"/>
      <c r="AI356" s="147"/>
      <c r="AJ356" s="147"/>
      <c r="AK356" s="147"/>
      <c r="AL356" s="147"/>
      <c r="AM356" s="147"/>
      <c r="AN356" s="147"/>
      <c r="AO356" s="147"/>
      <c r="AP356" s="147"/>
      <c r="AQ356" s="147"/>
      <c r="AR356" s="147"/>
      <c r="AS356" s="147"/>
    </row>
    <row r="357" spans="1:45" x14ac:dyDescent="0.25">
      <c r="A357" s="147"/>
      <c r="B357" s="147"/>
      <c r="C357" s="160"/>
      <c r="D357" s="160"/>
      <c r="E357" s="161"/>
      <c r="F357" s="162"/>
      <c r="G357" s="163"/>
      <c r="H357" s="163"/>
      <c r="I357" s="164"/>
      <c r="J357" s="162"/>
      <c r="K357" s="165"/>
      <c r="L357" s="166"/>
      <c r="M357" s="167"/>
      <c r="N357" s="167"/>
      <c r="O357" s="168"/>
      <c r="P357" s="168"/>
      <c r="Q357" s="147"/>
      <c r="R357" s="147"/>
      <c r="S357" s="169"/>
      <c r="T357" s="147"/>
      <c r="U357" s="147"/>
      <c r="V357" s="147"/>
      <c r="W357" s="147"/>
      <c r="X357" s="147"/>
      <c r="Y357" s="147"/>
      <c r="Z357" s="147"/>
      <c r="AA357" s="147"/>
      <c r="AB357" s="147"/>
      <c r="AC357" s="147"/>
      <c r="AD357" s="147"/>
      <c r="AE357" s="147"/>
      <c r="AF357" s="147"/>
      <c r="AG357" s="147"/>
      <c r="AH357" s="147"/>
      <c r="AI357" s="147"/>
      <c r="AJ357" s="147"/>
      <c r="AK357" s="147"/>
      <c r="AL357" s="147"/>
      <c r="AM357" s="147"/>
      <c r="AN357" s="147"/>
      <c r="AO357" s="147"/>
      <c r="AP357" s="147"/>
      <c r="AQ357" s="147"/>
      <c r="AR357" s="147"/>
      <c r="AS357" s="147"/>
    </row>
    <row r="358" spans="1:45" x14ac:dyDescent="0.25">
      <c r="A358" s="147"/>
      <c r="B358" s="147"/>
      <c r="C358" s="160"/>
      <c r="D358" s="160"/>
      <c r="E358" s="161"/>
      <c r="F358" s="162"/>
      <c r="G358" s="163"/>
      <c r="H358" s="163"/>
      <c r="I358" s="164"/>
      <c r="J358" s="162"/>
      <c r="K358" s="165"/>
      <c r="L358" s="166"/>
      <c r="M358" s="167"/>
      <c r="N358" s="167"/>
      <c r="O358" s="168"/>
      <c r="P358" s="168"/>
      <c r="Q358" s="147"/>
      <c r="R358" s="147"/>
      <c r="S358" s="169"/>
      <c r="T358" s="147"/>
      <c r="U358" s="147"/>
      <c r="V358" s="147"/>
      <c r="W358" s="147"/>
      <c r="X358" s="147"/>
      <c r="Y358" s="147"/>
      <c r="Z358" s="147"/>
      <c r="AA358" s="147"/>
      <c r="AB358" s="147"/>
      <c r="AC358" s="147"/>
      <c r="AD358" s="147"/>
      <c r="AE358" s="147"/>
      <c r="AF358" s="147"/>
      <c r="AG358" s="147"/>
      <c r="AH358" s="147"/>
      <c r="AI358" s="147"/>
      <c r="AJ358" s="147"/>
      <c r="AK358" s="147"/>
      <c r="AL358" s="147"/>
      <c r="AM358" s="147"/>
      <c r="AN358" s="147"/>
      <c r="AO358" s="147"/>
      <c r="AP358" s="147"/>
      <c r="AQ358" s="147"/>
      <c r="AR358" s="147"/>
      <c r="AS358" s="147"/>
    </row>
    <row r="359" spans="1:45" x14ac:dyDescent="0.25">
      <c r="A359" s="147"/>
      <c r="B359" s="147"/>
      <c r="C359" s="160"/>
      <c r="D359" s="160"/>
      <c r="E359" s="161"/>
      <c r="F359" s="162"/>
      <c r="G359" s="163"/>
      <c r="H359" s="163"/>
      <c r="I359" s="164"/>
      <c r="J359" s="162"/>
      <c r="K359" s="165"/>
      <c r="L359" s="166"/>
      <c r="M359" s="167"/>
      <c r="N359" s="167"/>
      <c r="O359" s="168"/>
      <c r="P359" s="168"/>
      <c r="Q359" s="147"/>
      <c r="R359" s="147"/>
      <c r="S359" s="169"/>
      <c r="T359" s="147"/>
      <c r="U359" s="147"/>
      <c r="V359" s="147"/>
      <c r="W359" s="147"/>
      <c r="X359" s="147"/>
      <c r="Y359" s="147"/>
      <c r="Z359" s="147"/>
      <c r="AA359" s="147"/>
      <c r="AB359" s="147"/>
      <c r="AC359" s="147"/>
      <c r="AD359" s="147"/>
      <c r="AE359" s="147"/>
      <c r="AF359" s="147"/>
      <c r="AG359" s="147"/>
      <c r="AH359" s="147"/>
      <c r="AI359" s="147"/>
      <c r="AJ359" s="147"/>
      <c r="AK359" s="147"/>
      <c r="AL359" s="147"/>
      <c r="AM359" s="147"/>
      <c r="AN359" s="147"/>
      <c r="AO359" s="147"/>
      <c r="AP359" s="147"/>
      <c r="AQ359" s="147"/>
      <c r="AR359" s="147"/>
      <c r="AS359" s="147"/>
    </row>
    <row r="360" spans="1:45" x14ac:dyDescent="0.25">
      <c r="A360" s="147"/>
      <c r="B360" s="147"/>
      <c r="C360" s="160"/>
      <c r="D360" s="160"/>
      <c r="E360" s="161"/>
      <c r="F360" s="162"/>
      <c r="G360" s="163"/>
      <c r="H360" s="163"/>
      <c r="I360" s="164"/>
      <c r="J360" s="162"/>
      <c r="K360" s="165"/>
      <c r="L360" s="166"/>
      <c r="M360" s="167"/>
      <c r="N360" s="167"/>
      <c r="O360" s="168"/>
      <c r="P360" s="168"/>
      <c r="Q360" s="147"/>
      <c r="R360" s="147"/>
      <c r="S360" s="169"/>
      <c r="T360" s="147"/>
      <c r="U360" s="147"/>
      <c r="V360" s="147"/>
      <c r="W360" s="147"/>
      <c r="X360" s="147"/>
      <c r="Y360" s="147"/>
      <c r="Z360" s="147"/>
      <c r="AA360" s="147"/>
      <c r="AB360" s="147"/>
      <c r="AC360" s="147"/>
      <c r="AD360" s="147"/>
      <c r="AE360" s="147"/>
      <c r="AF360" s="147"/>
      <c r="AG360" s="147"/>
      <c r="AH360" s="147"/>
      <c r="AI360" s="147"/>
      <c r="AJ360" s="147"/>
      <c r="AK360" s="147"/>
      <c r="AL360" s="147"/>
      <c r="AM360" s="147"/>
      <c r="AN360" s="147"/>
      <c r="AO360" s="147"/>
      <c r="AP360" s="147"/>
      <c r="AQ360" s="147"/>
      <c r="AR360" s="147"/>
      <c r="AS360" s="147"/>
    </row>
    <row r="361" spans="1:45" x14ac:dyDescent="0.25">
      <c r="A361" s="147"/>
      <c r="B361" s="147"/>
      <c r="C361" s="160"/>
      <c r="D361" s="160"/>
      <c r="E361" s="161"/>
      <c r="F361" s="162"/>
      <c r="G361" s="163"/>
      <c r="H361" s="163"/>
      <c r="I361" s="164"/>
      <c r="J361" s="162"/>
      <c r="K361" s="165"/>
      <c r="L361" s="166"/>
      <c r="M361" s="167"/>
      <c r="N361" s="167"/>
      <c r="O361" s="168"/>
      <c r="P361" s="168"/>
      <c r="Q361" s="147"/>
      <c r="R361" s="147"/>
      <c r="S361" s="169"/>
      <c r="T361" s="147"/>
      <c r="U361" s="147"/>
      <c r="V361" s="147"/>
      <c r="W361" s="147"/>
      <c r="X361" s="147"/>
      <c r="Y361" s="147"/>
      <c r="Z361" s="147"/>
      <c r="AA361" s="147"/>
      <c r="AB361" s="147"/>
      <c r="AC361" s="147"/>
      <c r="AD361" s="147"/>
      <c r="AE361" s="147"/>
      <c r="AF361" s="147"/>
      <c r="AG361" s="147"/>
      <c r="AH361" s="147"/>
      <c r="AI361" s="147"/>
      <c r="AJ361" s="147"/>
      <c r="AK361" s="147"/>
      <c r="AL361" s="147"/>
      <c r="AM361" s="147"/>
      <c r="AN361" s="147"/>
      <c r="AO361" s="147"/>
      <c r="AP361" s="147"/>
      <c r="AQ361" s="147"/>
      <c r="AR361" s="147"/>
      <c r="AS361" s="147"/>
    </row>
    <row r="362" spans="1:45" x14ac:dyDescent="0.25">
      <c r="A362" s="147"/>
      <c r="B362" s="147"/>
      <c r="C362" s="160"/>
      <c r="D362" s="160"/>
      <c r="E362" s="161"/>
      <c r="F362" s="162"/>
      <c r="G362" s="163"/>
      <c r="H362" s="163"/>
      <c r="I362" s="164"/>
      <c r="J362" s="162"/>
      <c r="K362" s="165"/>
      <c r="L362" s="166"/>
      <c r="M362" s="167"/>
      <c r="N362" s="167"/>
      <c r="O362" s="168"/>
      <c r="P362" s="168"/>
      <c r="Q362" s="147"/>
      <c r="R362" s="147"/>
      <c r="S362" s="169"/>
      <c r="T362" s="147"/>
      <c r="U362" s="147"/>
      <c r="V362" s="147"/>
      <c r="W362" s="147"/>
      <c r="X362" s="147"/>
      <c r="Y362" s="147"/>
      <c r="Z362" s="147"/>
      <c r="AA362" s="147"/>
      <c r="AB362" s="147"/>
      <c r="AC362" s="147"/>
      <c r="AD362" s="147"/>
      <c r="AE362" s="147"/>
      <c r="AF362" s="147"/>
      <c r="AG362" s="147"/>
      <c r="AH362" s="147"/>
      <c r="AI362" s="147"/>
      <c r="AJ362" s="147"/>
      <c r="AK362" s="147"/>
      <c r="AL362" s="147"/>
      <c r="AM362" s="147"/>
      <c r="AN362" s="147"/>
      <c r="AO362" s="147"/>
      <c r="AP362" s="147"/>
      <c r="AQ362" s="147"/>
      <c r="AR362" s="147"/>
      <c r="AS362" s="147"/>
    </row>
    <row r="363" spans="1:45" x14ac:dyDescent="0.25">
      <c r="A363" s="147"/>
      <c r="B363" s="147"/>
      <c r="C363" s="160"/>
      <c r="D363" s="160"/>
      <c r="E363" s="161"/>
      <c r="F363" s="162"/>
      <c r="G363" s="163"/>
      <c r="H363" s="163"/>
      <c r="I363" s="164"/>
      <c r="J363" s="162"/>
      <c r="K363" s="165"/>
      <c r="L363" s="166"/>
      <c r="M363" s="167"/>
      <c r="N363" s="167"/>
      <c r="O363" s="168"/>
      <c r="P363" s="168"/>
      <c r="Q363" s="147"/>
      <c r="R363" s="147"/>
      <c r="S363" s="169"/>
      <c r="T363" s="147"/>
      <c r="U363" s="147"/>
      <c r="V363" s="147"/>
      <c r="W363" s="147"/>
      <c r="X363" s="147"/>
      <c r="Y363" s="147"/>
      <c r="Z363" s="147"/>
      <c r="AA363" s="147"/>
      <c r="AB363" s="147"/>
      <c r="AC363" s="147"/>
      <c r="AD363" s="147"/>
      <c r="AE363" s="147"/>
      <c r="AF363" s="147"/>
      <c r="AG363" s="147"/>
      <c r="AH363" s="147"/>
      <c r="AI363" s="147"/>
      <c r="AJ363" s="147"/>
      <c r="AK363" s="147"/>
      <c r="AL363" s="147"/>
      <c r="AM363" s="147"/>
      <c r="AN363" s="147"/>
      <c r="AO363" s="147"/>
      <c r="AP363" s="147"/>
      <c r="AQ363" s="147"/>
      <c r="AR363" s="147"/>
      <c r="AS363" s="147"/>
    </row>
    <row r="364" spans="1:45" x14ac:dyDescent="0.25">
      <c r="A364" s="147"/>
      <c r="B364" s="147"/>
      <c r="C364" s="160"/>
      <c r="D364" s="160"/>
      <c r="E364" s="161"/>
      <c r="F364" s="162"/>
      <c r="G364" s="163"/>
      <c r="H364" s="163"/>
      <c r="I364" s="164"/>
      <c r="J364" s="162"/>
      <c r="K364" s="165"/>
      <c r="L364" s="166"/>
      <c r="M364" s="167"/>
      <c r="N364" s="167"/>
      <c r="O364" s="168"/>
      <c r="P364" s="168"/>
      <c r="Q364" s="147"/>
      <c r="R364" s="147"/>
      <c r="S364" s="169"/>
      <c r="T364" s="147"/>
      <c r="U364" s="147"/>
      <c r="V364" s="147"/>
      <c r="W364" s="147"/>
      <c r="X364" s="147"/>
      <c r="Y364" s="147"/>
      <c r="Z364" s="147"/>
      <c r="AA364" s="147"/>
      <c r="AB364" s="147"/>
      <c r="AC364" s="147"/>
      <c r="AD364" s="147"/>
      <c r="AE364" s="147"/>
      <c r="AF364" s="147"/>
      <c r="AG364" s="147"/>
      <c r="AH364" s="147"/>
      <c r="AI364" s="147"/>
      <c r="AJ364" s="147"/>
      <c r="AK364" s="147"/>
      <c r="AL364" s="147"/>
      <c r="AM364" s="147"/>
      <c r="AN364" s="147"/>
      <c r="AO364" s="147"/>
      <c r="AP364" s="147"/>
      <c r="AQ364" s="147"/>
      <c r="AR364" s="147"/>
      <c r="AS364" s="147"/>
    </row>
    <row r="365" spans="1:45" x14ac:dyDescent="0.25">
      <c r="A365" s="147"/>
      <c r="B365" s="147"/>
      <c r="C365" s="160"/>
      <c r="D365" s="160"/>
      <c r="E365" s="161"/>
      <c r="F365" s="162"/>
      <c r="G365" s="163"/>
      <c r="H365" s="163"/>
      <c r="I365" s="164"/>
      <c r="J365" s="162"/>
      <c r="K365" s="165"/>
      <c r="L365" s="166"/>
      <c r="M365" s="167"/>
      <c r="N365" s="167"/>
      <c r="O365" s="168"/>
      <c r="P365" s="168"/>
      <c r="Q365" s="147"/>
      <c r="R365" s="147"/>
      <c r="S365" s="169"/>
      <c r="T365" s="147"/>
      <c r="U365" s="147"/>
      <c r="V365" s="147"/>
      <c r="W365" s="147"/>
      <c r="X365" s="147"/>
      <c r="Y365" s="147"/>
      <c r="Z365" s="147"/>
      <c r="AA365" s="147"/>
      <c r="AB365" s="147"/>
      <c r="AC365" s="147"/>
      <c r="AD365" s="147"/>
      <c r="AE365" s="147"/>
      <c r="AF365" s="147"/>
      <c r="AG365" s="147"/>
      <c r="AH365" s="147"/>
      <c r="AI365" s="147"/>
      <c r="AJ365" s="147"/>
      <c r="AK365" s="147"/>
      <c r="AL365" s="147"/>
      <c r="AM365" s="147"/>
      <c r="AN365" s="147"/>
      <c r="AO365" s="147"/>
      <c r="AP365" s="147"/>
      <c r="AQ365" s="147"/>
      <c r="AR365" s="147"/>
      <c r="AS365" s="147"/>
    </row>
    <row r="366" spans="1:45" x14ac:dyDescent="0.25">
      <c r="A366" s="147"/>
      <c r="B366" s="147"/>
      <c r="C366" s="160"/>
      <c r="D366" s="160"/>
      <c r="E366" s="161"/>
      <c r="F366" s="162"/>
      <c r="G366" s="163"/>
      <c r="H366" s="163"/>
      <c r="I366" s="164"/>
      <c r="J366" s="162"/>
      <c r="K366" s="165"/>
      <c r="L366" s="166"/>
      <c r="M366" s="167"/>
      <c r="N366" s="167"/>
      <c r="O366" s="168"/>
      <c r="P366" s="168"/>
      <c r="Q366" s="147"/>
      <c r="R366" s="147"/>
      <c r="S366" s="169"/>
      <c r="T366" s="147"/>
      <c r="U366" s="147"/>
      <c r="V366" s="147"/>
      <c r="W366" s="147"/>
      <c r="X366" s="147"/>
      <c r="Y366" s="147"/>
      <c r="Z366" s="147"/>
      <c r="AA366" s="147"/>
      <c r="AB366" s="147"/>
      <c r="AC366" s="147"/>
      <c r="AD366" s="147"/>
      <c r="AE366" s="147"/>
      <c r="AF366" s="147"/>
      <c r="AG366" s="147"/>
      <c r="AH366" s="147"/>
      <c r="AI366" s="147"/>
      <c r="AJ366" s="147"/>
      <c r="AK366" s="147"/>
      <c r="AL366" s="147"/>
      <c r="AM366" s="147"/>
      <c r="AN366" s="147"/>
      <c r="AO366" s="147"/>
      <c r="AP366" s="147"/>
      <c r="AQ366" s="147"/>
      <c r="AR366" s="147"/>
      <c r="AS366" s="147"/>
    </row>
    <row r="367" spans="1:45" x14ac:dyDescent="0.25">
      <c r="A367" s="147"/>
      <c r="B367" s="147"/>
      <c r="C367" s="160"/>
      <c r="D367" s="160"/>
      <c r="E367" s="161"/>
      <c r="F367" s="162"/>
      <c r="G367" s="163"/>
      <c r="H367" s="163"/>
      <c r="I367" s="164"/>
      <c r="J367" s="162"/>
      <c r="K367" s="165"/>
      <c r="L367" s="166"/>
      <c r="M367" s="167"/>
      <c r="N367" s="167"/>
      <c r="O367" s="168"/>
      <c r="P367" s="168"/>
      <c r="Q367" s="147"/>
      <c r="R367" s="147"/>
      <c r="S367" s="169"/>
      <c r="T367" s="147"/>
      <c r="U367" s="147"/>
      <c r="V367" s="147"/>
      <c r="W367" s="147"/>
      <c r="X367" s="147"/>
      <c r="Y367" s="147"/>
      <c r="Z367" s="147"/>
      <c r="AA367" s="147"/>
      <c r="AB367" s="147"/>
      <c r="AC367" s="147"/>
      <c r="AD367" s="147"/>
      <c r="AE367" s="147"/>
      <c r="AF367" s="147"/>
      <c r="AG367" s="147"/>
      <c r="AH367" s="147"/>
      <c r="AI367" s="147"/>
      <c r="AJ367" s="147"/>
      <c r="AK367" s="147"/>
      <c r="AL367" s="147"/>
      <c r="AM367" s="147"/>
      <c r="AN367" s="147"/>
      <c r="AO367" s="147"/>
      <c r="AP367" s="147"/>
      <c r="AQ367" s="147"/>
      <c r="AR367" s="147"/>
      <c r="AS367" s="147"/>
    </row>
    <row r="368" spans="1:45" x14ac:dyDescent="0.25">
      <c r="A368" s="147"/>
      <c r="B368" s="147"/>
      <c r="C368" s="160"/>
      <c r="D368" s="160"/>
      <c r="E368" s="161"/>
      <c r="F368" s="162"/>
      <c r="G368" s="163"/>
      <c r="H368" s="163"/>
      <c r="I368" s="164"/>
      <c r="J368" s="162"/>
      <c r="K368" s="165"/>
      <c r="L368" s="166"/>
      <c r="M368" s="167"/>
      <c r="N368" s="167"/>
      <c r="O368" s="168"/>
      <c r="P368" s="168"/>
      <c r="Q368" s="147"/>
      <c r="R368" s="147"/>
      <c r="S368" s="169"/>
      <c r="T368" s="147"/>
      <c r="U368" s="147"/>
      <c r="V368" s="147"/>
      <c r="W368" s="147"/>
      <c r="X368" s="147"/>
      <c r="Y368" s="147"/>
      <c r="Z368" s="147"/>
      <c r="AA368" s="147"/>
      <c r="AB368" s="147"/>
      <c r="AC368" s="147"/>
      <c r="AD368" s="147"/>
      <c r="AE368" s="147"/>
      <c r="AF368" s="147"/>
      <c r="AG368" s="147"/>
      <c r="AH368" s="147"/>
      <c r="AI368" s="147"/>
      <c r="AJ368" s="147"/>
      <c r="AK368" s="147"/>
      <c r="AL368" s="147"/>
      <c r="AM368" s="147"/>
      <c r="AN368" s="147"/>
      <c r="AO368" s="147"/>
      <c r="AP368" s="147"/>
      <c r="AQ368" s="147"/>
      <c r="AR368" s="147"/>
      <c r="AS368" s="147"/>
    </row>
    <row r="369" spans="1:45" x14ac:dyDescent="0.25">
      <c r="A369" s="147"/>
      <c r="B369" s="147"/>
      <c r="C369" s="160"/>
      <c r="D369" s="160"/>
      <c r="E369" s="161"/>
      <c r="F369" s="162"/>
      <c r="G369" s="163"/>
      <c r="H369" s="163"/>
      <c r="I369" s="164"/>
      <c r="J369" s="162"/>
      <c r="K369" s="165"/>
      <c r="L369" s="166"/>
      <c r="M369" s="167"/>
      <c r="N369" s="167"/>
      <c r="O369" s="168"/>
      <c r="P369" s="168"/>
      <c r="Q369" s="147"/>
      <c r="R369" s="147"/>
      <c r="S369" s="169"/>
      <c r="T369" s="147"/>
      <c r="U369" s="147"/>
      <c r="V369" s="147"/>
      <c r="W369" s="147"/>
      <c r="X369" s="147"/>
      <c r="Y369" s="147"/>
      <c r="Z369" s="147"/>
      <c r="AA369" s="147"/>
      <c r="AB369" s="147"/>
      <c r="AC369" s="147"/>
      <c r="AD369" s="147"/>
      <c r="AE369" s="147"/>
      <c r="AF369" s="147"/>
      <c r="AG369" s="147"/>
      <c r="AH369" s="147"/>
      <c r="AI369" s="147"/>
      <c r="AJ369" s="147"/>
      <c r="AK369" s="147"/>
      <c r="AL369" s="147"/>
      <c r="AM369" s="147"/>
      <c r="AN369" s="147"/>
      <c r="AO369" s="147"/>
      <c r="AP369" s="147"/>
      <c r="AQ369" s="147"/>
      <c r="AR369" s="147"/>
      <c r="AS369" s="147"/>
    </row>
    <row r="370" spans="1:45" x14ac:dyDescent="0.25">
      <c r="A370" s="147"/>
      <c r="B370" s="147"/>
      <c r="C370" s="160"/>
      <c r="D370" s="160"/>
      <c r="E370" s="161"/>
      <c r="F370" s="162"/>
      <c r="G370" s="163"/>
      <c r="H370" s="163"/>
      <c r="I370" s="164"/>
      <c r="J370" s="162"/>
      <c r="K370" s="165"/>
      <c r="L370" s="166"/>
      <c r="M370" s="167"/>
      <c r="N370" s="167"/>
      <c r="O370" s="168"/>
      <c r="P370" s="168"/>
      <c r="Q370" s="147"/>
      <c r="R370" s="147"/>
      <c r="S370" s="169"/>
      <c r="T370" s="147"/>
      <c r="U370" s="147"/>
      <c r="V370" s="147"/>
      <c r="W370" s="147"/>
      <c r="X370" s="147"/>
      <c r="Y370" s="147"/>
      <c r="Z370" s="147"/>
      <c r="AA370" s="147"/>
      <c r="AB370" s="147"/>
      <c r="AC370" s="147"/>
      <c r="AD370" s="147"/>
      <c r="AE370" s="147"/>
      <c r="AF370" s="147"/>
      <c r="AG370" s="147"/>
      <c r="AH370" s="147"/>
      <c r="AI370" s="147"/>
      <c r="AJ370" s="147"/>
      <c r="AK370" s="147"/>
      <c r="AL370" s="147"/>
      <c r="AM370" s="147"/>
      <c r="AN370" s="147"/>
      <c r="AO370" s="147"/>
      <c r="AP370" s="147"/>
      <c r="AQ370" s="147"/>
      <c r="AR370" s="147"/>
      <c r="AS370" s="147"/>
    </row>
    <row r="371" spans="1:45" x14ac:dyDescent="0.25">
      <c r="A371" s="147"/>
      <c r="B371" s="147"/>
      <c r="C371" s="160"/>
      <c r="D371" s="160"/>
      <c r="E371" s="161"/>
      <c r="F371" s="162"/>
      <c r="G371" s="163"/>
      <c r="H371" s="163"/>
      <c r="I371" s="164"/>
      <c r="J371" s="162"/>
      <c r="K371" s="165"/>
      <c r="L371" s="166"/>
      <c r="M371" s="167"/>
      <c r="N371" s="167"/>
      <c r="O371" s="168"/>
      <c r="P371" s="168"/>
      <c r="Q371" s="147"/>
      <c r="R371" s="147"/>
      <c r="S371" s="169"/>
      <c r="T371" s="147"/>
      <c r="U371" s="147"/>
      <c r="V371" s="147"/>
      <c r="W371" s="147"/>
      <c r="X371" s="147"/>
      <c r="Y371" s="147"/>
      <c r="Z371" s="147"/>
      <c r="AA371" s="147"/>
      <c r="AB371" s="147"/>
      <c r="AC371" s="147"/>
      <c r="AD371" s="147"/>
      <c r="AE371" s="147"/>
      <c r="AF371" s="147"/>
      <c r="AG371" s="147"/>
      <c r="AH371" s="147"/>
      <c r="AI371" s="147"/>
      <c r="AJ371" s="147"/>
      <c r="AK371" s="147"/>
      <c r="AL371" s="147"/>
      <c r="AM371" s="147"/>
      <c r="AN371" s="147"/>
      <c r="AO371" s="147"/>
      <c r="AP371" s="147"/>
      <c r="AQ371" s="147"/>
      <c r="AR371" s="147"/>
      <c r="AS371" s="147"/>
    </row>
    <row r="372" spans="1:45" x14ac:dyDescent="0.25">
      <c r="A372" s="147"/>
      <c r="B372" s="147"/>
      <c r="C372" s="160"/>
      <c r="D372" s="160"/>
      <c r="E372" s="161"/>
      <c r="F372" s="162"/>
      <c r="G372" s="163"/>
      <c r="H372" s="163"/>
      <c r="I372" s="164"/>
      <c r="J372" s="162"/>
      <c r="K372" s="165"/>
      <c r="L372" s="166"/>
      <c r="M372" s="167"/>
      <c r="N372" s="167"/>
      <c r="O372" s="168"/>
      <c r="P372" s="168"/>
      <c r="Q372" s="147"/>
      <c r="R372" s="147"/>
      <c r="S372" s="169"/>
      <c r="T372" s="147"/>
      <c r="U372" s="147"/>
      <c r="V372" s="147"/>
      <c r="W372" s="147"/>
      <c r="X372" s="147"/>
      <c r="Y372" s="147"/>
      <c r="Z372" s="147"/>
      <c r="AA372" s="147"/>
      <c r="AB372" s="147"/>
      <c r="AC372" s="147"/>
      <c r="AD372" s="147"/>
      <c r="AE372" s="147"/>
      <c r="AF372" s="147"/>
      <c r="AG372" s="147"/>
      <c r="AH372" s="147"/>
      <c r="AI372" s="147"/>
      <c r="AJ372" s="147"/>
      <c r="AK372" s="147"/>
      <c r="AL372" s="147"/>
      <c r="AM372" s="147"/>
      <c r="AN372" s="147"/>
      <c r="AO372" s="147"/>
      <c r="AP372" s="147"/>
      <c r="AQ372" s="147"/>
      <c r="AR372" s="147"/>
      <c r="AS372" s="147"/>
    </row>
    <row r="373" spans="1:45" x14ac:dyDescent="0.25">
      <c r="A373" s="147"/>
      <c r="B373" s="147"/>
      <c r="C373" s="160"/>
      <c r="D373" s="160"/>
      <c r="E373" s="161"/>
      <c r="F373" s="162"/>
      <c r="G373" s="163"/>
      <c r="H373" s="163"/>
      <c r="I373" s="164"/>
      <c r="J373" s="162"/>
      <c r="K373" s="165"/>
      <c r="L373" s="166"/>
      <c r="M373" s="167"/>
      <c r="N373" s="167"/>
      <c r="O373" s="168"/>
      <c r="P373" s="168"/>
      <c r="Q373" s="147"/>
      <c r="R373" s="147"/>
      <c r="S373" s="169"/>
      <c r="T373" s="147"/>
      <c r="U373" s="147"/>
      <c r="V373" s="147"/>
      <c r="W373" s="147"/>
      <c r="X373" s="147"/>
      <c r="Y373" s="147"/>
      <c r="Z373" s="147"/>
      <c r="AA373" s="147"/>
      <c r="AB373" s="147"/>
      <c r="AC373" s="147"/>
      <c r="AD373" s="147"/>
      <c r="AE373" s="147"/>
      <c r="AF373" s="147"/>
      <c r="AG373" s="147"/>
      <c r="AH373" s="147"/>
      <c r="AI373" s="147"/>
      <c r="AJ373" s="147"/>
      <c r="AK373" s="147"/>
      <c r="AL373" s="147"/>
      <c r="AM373" s="147"/>
      <c r="AN373" s="147"/>
      <c r="AO373" s="147"/>
      <c r="AP373" s="147"/>
      <c r="AQ373" s="147"/>
      <c r="AR373" s="147"/>
      <c r="AS373" s="147"/>
    </row>
    <row r="374" spans="1:45" x14ac:dyDescent="0.25">
      <c r="A374" s="147"/>
      <c r="B374" s="147"/>
      <c r="C374" s="160"/>
      <c r="D374" s="160"/>
      <c r="E374" s="161"/>
      <c r="F374" s="162"/>
      <c r="G374" s="163"/>
      <c r="H374" s="163"/>
      <c r="I374" s="164"/>
      <c r="J374" s="162"/>
      <c r="K374" s="165"/>
      <c r="L374" s="166"/>
      <c r="M374" s="167"/>
      <c r="N374" s="167"/>
      <c r="O374" s="168"/>
      <c r="P374" s="168"/>
      <c r="Q374" s="147"/>
      <c r="R374" s="147"/>
      <c r="S374" s="169"/>
      <c r="T374" s="147"/>
      <c r="U374" s="147"/>
      <c r="V374" s="147"/>
      <c r="W374" s="147"/>
      <c r="X374" s="147"/>
      <c r="Y374" s="147"/>
      <c r="Z374" s="147"/>
      <c r="AA374" s="147"/>
      <c r="AB374" s="147"/>
      <c r="AC374" s="147"/>
      <c r="AD374" s="147"/>
      <c r="AE374" s="147"/>
      <c r="AF374" s="147"/>
      <c r="AG374" s="147"/>
      <c r="AH374" s="147"/>
      <c r="AI374" s="147"/>
      <c r="AJ374" s="147"/>
      <c r="AK374" s="147"/>
      <c r="AL374" s="147"/>
      <c r="AM374" s="147"/>
      <c r="AN374" s="147"/>
      <c r="AO374" s="147"/>
      <c r="AP374" s="147"/>
      <c r="AQ374" s="147"/>
      <c r="AR374" s="147"/>
      <c r="AS374" s="147"/>
    </row>
    <row r="375" spans="1:45" x14ac:dyDescent="0.25">
      <c r="A375" s="147"/>
      <c r="B375" s="147"/>
      <c r="C375" s="160"/>
      <c r="D375" s="160"/>
      <c r="E375" s="161"/>
      <c r="F375" s="162"/>
      <c r="G375" s="163"/>
      <c r="H375" s="163"/>
      <c r="I375" s="164"/>
      <c r="J375" s="162"/>
      <c r="K375" s="165"/>
      <c r="L375" s="166"/>
      <c r="M375" s="167"/>
      <c r="N375" s="167"/>
      <c r="O375" s="168"/>
      <c r="P375" s="168"/>
      <c r="Q375" s="147"/>
      <c r="R375" s="147"/>
      <c r="S375" s="169"/>
      <c r="T375" s="147"/>
      <c r="U375" s="147"/>
      <c r="V375" s="147"/>
      <c r="W375" s="147"/>
      <c r="X375" s="147"/>
      <c r="Y375" s="147"/>
      <c r="Z375" s="147"/>
      <c r="AA375" s="147"/>
      <c r="AB375" s="147"/>
      <c r="AC375" s="147"/>
      <c r="AD375" s="147"/>
      <c r="AE375" s="147"/>
      <c r="AF375" s="147"/>
      <c r="AG375" s="147"/>
      <c r="AH375" s="147"/>
      <c r="AI375" s="147"/>
      <c r="AJ375" s="147"/>
      <c r="AK375" s="147"/>
      <c r="AL375" s="147"/>
      <c r="AM375" s="147"/>
      <c r="AN375" s="147"/>
      <c r="AO375" s="147"/>
      <c r="AP375" s="147"/>
      <c r="AQ375" s="147"/>
      <c r="AR375" s="147"/>
      <c r="AS375" s="147"/>
    </row>
    <row r="376" spans="1:45" x14ac:dyDescent="0.25">
      <c r="A376" s="147"/>
      <c r="B376" s="147"/>
      <c r="C376" s="160"/>
      <c r="D376" s="160"/>
      <c r="E376" s="161"/>
      <c r="F376" s="162"/>
      <c r="G376" s="163"/>
      <c r="H376" s="163"/>
      <c r="I376" s="164"/>
      <c r="J376" s="162"/>
      <c r="K376" s="165"/>
      <c r="L376" s="166"/>
      <c r="M376" s="167"/>
      <c r="N376" s="167"/>
      <c r="O376" s="168"/>
      <c r="P376" s="168"/>
      <c r="Q376" s="147"/>
      <c r="R376" s="147"/>
      <c r="S376" s="169"/>
      <c r="T376" s="147"/>
      <c r="U376" s="147"/>
      <c r="V376" s="147"/>
      <c r="W376" s="147"/>
      <c r="X376" s="147"/>
      <c r="Y376" s="147"/>
      <c r="Z376" s="147"/>
      <c r="AA376" s="147"/>
      <c r="AB376" s="147"/>
      <c r="AC376" s="147"/>
      <c r="AD376" s="147"/>
      <c r="AE376" s="147"/>
      <c r="AF376" s="147"/>
      <c r="AG376" s="147"/>
      <c r="AH376" s="147"/>
      <c r="AI376" s="147"/>
      <c r="AJ376" s="147"/>
      <c r="AK376" s="147"/>
      <c r="AL376" s="147"/>
      <c r="AM376" s="147"/>
      <c r="AN376" s="147"/>
      <c r="AO376" s="147"/>
      <c r="AP376" s="147"/>
      <c r="AQ376" s="147"/>
      <c r="AR376" s="147"/>
      <c r="AS376" s="147"/>
    </row>
    <row r="377" spans="1:45" x14ac:dyDescent="0.25">
      <c r="A377" s="147"/>
      <c r="B377" s="147"/>
      <c r="C377" s="160"/>
      <c r="D377" s="160"/>
      <c r="E377" s="161"/>
      <c r="F377" s="162"/>
      <c r="G377" s="163"/>
      <c r="H377" s="163"/>
      <c r="I377" s="164"/>
      <c r="J377" s="162"/>
      <c r="K377" s="165"/>
      <c r="L377" s="166"/>
      <c r="M377" s="167"/>
      <c r="N377" s="167"/>
      <c r="O377" s="168"/>
      <c r="P377" s="168"/>
      <c r="Q377" s="147"/>
      <c r="R377" s="147"/>
      <c r="S377" s="169"/>
      <c r="T377" s="147"/>
      <c r="U377" s="147"/>
      <c r="V377" s="147"/>
      <c r="W377" s="147"/>
      <c r="X377" s="147"/>
      <c r="Y377" s="147"/>
      <c r="Z377" s="147"/>
      <c r="AA377" s="147"/>
      <c r="AB377" s="147"/>
      <c r="AC377" s="147"/>
      <c r="AD377" s="147"/>
      <c r="AE377" s="147"/>
      <c r="AF377" s="147"/>
      <c r="AG377" s="147"/>
      <c r="AH377" s="147"/>
      <c r="AI377" s="147"/>
      <c r="AJ377" s="147"/>
      <c r="AK377" s="147"/>
      <c r="AL377" s="147"/>
      <c r="AM377" s="147"/>
      <c r="AN377" s="147"/>
      <c r="AO377" s="147"/>
      <c r="AP377" s="147"/>
      <c r="AQ377" s="147"/>
      <c r="AR377" s="147"/>
      <c r="AS377" s="147"/>
    </row>
    <row r="378" spans="1:45" x14ac:dyDescent="0.25">
      <c r="A378" s="147"/>
      <c r="B378" s="147"/>
      <c r="C378" s="160"/>
      <c r="D378" s="160"/>
      <c r="E378" s="161"/>
      <c r="F378" s="162"/>
      <c r="G378" s="163"/>
      <c r="H378" s="163"/>
      <c r="I378" s="164"/>
      <c r="J378" s="162"/>
      <c r="K378" s="165"/>
      <c r="L378" s="166"/>
      <c r="M378" s="167"/>
      <c r="N378" s="167"/>
      <c r="O378" s="168"/>
      <c r="P378" s="168"/>
      <c r="Q378" s="147"/>
      <c r="R378" s="147"/>
      <c r="S378" s="169"/>
      <c r="T378" s="147"/>
      <c r="U378" s="147"/>
      <c r="V378" s="147"/>
      <c r="W378" s="147"/>
      <c r="X378" s="147"/>
      <c r="Y378" s="147"/>
      <c r="Z378" s="147"/>
      <c r="AA378" s="147"/>
      <c r="AB378" s="147"/>
      <c r="AC378" s="147"/>
      <c r="AD378" s="147"/>
      <c r="AE378" s="147"/>
      <c r="AF378" s="147"/>
      <c r="AG378" s="147"/>
      <c r="AH378" s="147"/>
      <c r="AI378" s="147"/>
      <c r="AJ378" s="147"/>
      <c r="AK378" s="147"/>
      <c r="AL378" s="147"/>
      <c r="AM378" s="147"/>
      <c r="AN378" s="147"/>
      <c r="AO378" s="147"/>
      <c r="AP378" s="147"/>
      <c r="AQ378" s="147"/>
      <c r="AR378" s="147"/>
      <c r="AS378" s="147"/>
    </row>
    <row r="379" spans="1:45" x14ac:dyDescent="0.25">
      <c r="A379" s="147"/>
      <c r="B379" s="147"/>
      <c r="C379" s="160"/>
      <c r="D379" s="160"/>
      <c r="E379" s="161"/>
      <c r="F379" s="162"/>
      <c r="G379" s="163"/>
      <c r="H379" s="163"/>
      <c r="I379" s="164"/>
      <c r="J379" s="162"/>
      <c r="K379" s="165"/>
      <c r="L379" s="166"/>
      <c r="M379" s="167"/>
      <c r="N379" s="167"/>
      <c r="O379" s="168"/>
      <c r="P379" s="168"/>
      <c r="Q379" s="147"/>
      <c r="R379" s="147"/>
      <c r="S379" s="169"/>
      <c r="T379" s="147"/>
      <c r="U379" s="147"/>
      <c r="V379" s="147"/>
      <c r="W379" s="147"/>
      <c r="X379" s="147"/>
      <c r="Y379" s="147"/>
      <c r="Z379" s="147"/>
      <c r="AA379" s="147"/>
      <c r="AB379" s="147"/>
      <c r="AC379" s="147"/>
      <c r="AD379" s="147"/>
      <c r="AE379" s="147"/>
      <c r="AF379" s="147"/>
      <c r="AG379" s="147"/>
      <c r="AH379" s="147"/>
      <c r="AI379" s="147"/>
      <c r="AJ379" s="147"/>
      <c r="AK379" s="147"/>
      <c r="AL379" s="147"/>
      <c r="AM379" s="147"/>
      <c r="AN379" s="147"/>
      <c r="AO379" s="147"/>
      <c r="AP379" s="147"/>
      <c r="AQ379" s="147"/>
      <c r="AR379" s="147"/>
      <c r="AS379" s="147"/>
    </row>
    <row r="380" spans="1:45" x14ac:dyDescent="0.25">
      <c r="A380" s="147"/>
      <c r="B380" s="147"/>
      <c r="C380" s="160"/>
      <c r="D380" s="160"/>
      <c r="E380" s="161"/>
      <c r="F380" s="162"/>
      <c r="G380" s="163"/>
      <c r="H380" s="163"/>
      <c r="I380" s="164"/>
      <c r="J380" s="162"/>
      <c r="K380" s="165"/>
      <c r="L380" s="166"/>
      <c r="M380" s="167"/>
      <c r="N380" s="167"/>
      <c r="O380" s="168"/>
      <c r="P380" s="168"/>
      <c r="Q380" s="147"/>
      <c r="R380" s="147"/>
      <c r="S380" s="169"/>
      <c r="T380" s="147"/>
      <c r="U380" s="147"/>
      <c r="V380" s="147"/>
      <c r="W380" s="147"/>
      <c r="X380" s="147"/>
      <c r="Y380" s="147"/>
      <c r="Z380" s="147"/>
      <c r="AA380" s="147"/>
      <c r="AB380" s="147"/>
      <c r="AC380" s="147"/>
      <c r="AD380" s="147"/>
      <c r="AE380" s="147"/>
      <c r="AF380" s="147"/>
      <c r="AG380" s="147"/>
      <c r="AH380" s="147"/>
      <c r="AI380" s="147"/>
      <c r="AJ380" s="147"/>
      <c r="AK380" s="147"/>
      <c r="AL380" s="147"/>
      <c r="AM380" s="147"/>
      <c r="AN380" s="147"/>
      <c r="AO380" s="147"/>
      <c r="AP380" s="147"/>
      <c r="AQ380" s="147"/>
      <c r="AR380" s="147"/>
      <c r="AS380" s="147"/>
    </row>
    <row r="381" spans="1:45" x14ac:dyDescent="0.25">
      <c r="A381" s="147"/>
      <c r="B381" s="147"/>
      <c r="C381" s="160"/>
      <c r="D381" s="160"/>
      <c r="E381" s="161"/>
      <c r="F381" s="162"/>
      <c r="G381" s="163"/>
      <c r="H381" s="163"/>
      <c r="I381" s="164"/>
      <c r="J381" s="162"/>
      <c r="K381" s="165"/>
      <c r="L381" s="166"/>
      <c r="M381" s="167"/>
      <c r="N381" s="167"/>
      <c r="O381" s="168"/>
      <c r="P381" s="168"/>
      <c r="Q381" s="147"/>
      <c r="R381" s="147"/>
      <c r="S381" s="169"/>
      <c r="T381" s="147"/>
      <c r="U381" s="147"/>
      <c r="V381" s="147"/>
      <c r="W381" s="147"/>
      <c r="X381" s="147"/>
      <c r="Y381" s="147"/>
      <c r="Z381" s="147"/>
      <c r="AA381" s="147"/>
      <c r="AB381" s="147"/>
      <c r="AC381" s="147"/>
      <c r="AD381" s="147"/>
      <c r="AE381" s="147"/>
      <c r="AF381" s="147"/>
      <c r="AG381" s="147"/>
      <c r="AH381" s="147"/>
      <c r="AI381" s="147"/>
      <c r="AJ381" s="147"/>
      <c r="AK381" s="147"/>
      <c r="AL381" s="147"/>
      <c r="AM381" s="147"/>
      <c r="AN381" s="147"/>
      <c r="AO381" s="147"/>
      <c r="AP381" s="147"/>
      <c r="AQ381" s="147"/>
      <c r="AR381" s="147"/>
      <c r="AS381" s="147"/>
    </row>
    <row r="382" spans="1:45" x14ac:dyDescent="0.25">
      <c r="A382" s="147"/>
      <c r="B382" s="147"/>
      <c r="C382" s="160"/>
      <c r="D382" s="160"/>
      <c r="E382" s="161"/>
      <c r="F382" s="162"/>
      <c r="G382" s="163"/>
      <c r="H382" s="163"/>
      <c r="I382" s="164"/>
      <c r="J382" s="162"/>
      <c r="K382" s="165"/>
      <c r="L382" s="166"/>
      <c r="M382" s="167"/>
      <c r="N382" s="167"/>
      <c r="O382" s="168"/>
      <c r="P382" s="168"/>
      <c r="Q382" s="147"/>
      <c r="R382" s="147"/>
      <c r="S382" s="169"/>
      <c r="T382" s="147"/>
      <c r="U382" s="147"/>
      <c r="V382" s="147"/>
      <c r="W382" s="147"/>
      <c r="X382" s="147"/>
      <c r="Y382" s="147"/>
      <c r="Z382" s="147"/>
      <c r="AA382" s="147"/>
      <c r="AB382" s="147"/>
      <c r="AC382" s="147"/>
      <c r="AD382" s="147"/>
      <c r="AE382" s="147"/>
      <c r="AF382" s="147"/>
      <c r="AG382" s="147"/>
      <c r="AH382" s="147"/>
      <c r="AI382" s="147"/>
      <c r="AJ382" s="147"/>
      <c r="AK382" s="147"/>
      <c r="AL382" s="147"/>
      <c r="AM382" s="147"/>
      <c r="AN382" s="147"/>
      <c r="AO382" s="147"/>
      <c r="AP382" s="147"/>
      <c r="AQ382" s="147"/>
      <c r="AR382" s="147"/>
      <c r="AS382" s="147"/>
    </row>
    <row r="383" spans="1:45" x14ac:dyDescent="0.25">
      <c r="A383" s="147"/>
      <c r="B383" s="147"/>
      <c r="C383" s="160"/>
      <c r="D383" s="160"/>
      <c r="E383" s="161"/>
      <c r="F383" s="162"/>
      <c r="G383" s="163"/>
      <c r="H383" s="163"/>
      <c r="I383" s="164"/>
      <c r="J383" s="162"/>
      <c r="K383" s="165"/>
      <c r="L383" s="166"/>
      <c r="M383" s="167"/>
      <c r="N383" s="167"/>
      <c r="O383" s="168"/>
      <c r="P383" s="168"/>
      <c r="Q383" s="147"/>
      <c r="R383" s="147"/>
      <c r="S383" s="169"/>
      <c r="T383" s="147"/>
      <c r="U383" s="147"/>
      <c r="V383" s="147"/>
      <c r="W383" s="147"/>
      <c r="X383" s="147"/>
      <c r="Y383" s="147"/>
      <c r="Z383" s="147"/>
      <c r="AA383" s="147"/>
      <c r="AB383" s="147"/>
      <c r="AC383" s="147"/>
      <c r="AD383" s="147"/>
      <c r="AE383" s="147"/>
      <c r="AF383" s="147"/>
      <c r="AG383" s="147"/>
      <c r="AH383" s="147"/>
      <c r="AI383" s="147"/>
      <c r="AJ383" s="147"/>
      <c r="AK383" s="147"/>
      <c r="AL383" s="147"/>
      <c r="AM383" s="147"/>
      <c r="AN383" s="147"/>
      <c r="AO383" s="147"/>
      <c r="AP383" s="147"/>
      <c r="AQ383" s="147"/>
      <c r="AR383" s="147"/>
      <c r="AS383" s="147"/>
    </row>
    <row r="384" spans="1:45" x14ac:dyDescent="0.25">
      <c r="A384" s="147"/>
      <c r="B384" s="147"/>
      <c r="C384" s="160"/>
      <c r="D384" s="160"/>
      <c r="E384" s="161"/>
      <c r="F384" s="162"/>
      <c r="G384" s="163"/>
      <c r="H384" s="163"/>
      <c r="I384" s="164"/>
      <c r="J384" s="162"/>
      <c r="K384" s="165"/>
      <c r="L384" s="166"/>
      <c r="M384" s="167"/>
      <c r="N384" s="167"/>
      <c r="O384" s="168"/>
      <c r="P384" s="168"/>
      <c r="Q384" s="147"/>
      <c r="R384" s="147"/>
      <c r="S384" s="169"/>
      <c r="T384" s="147"/>
      <c r="U384" s="147"/>
      <c r="V384" s="147"/>
      <c r="W384" s="147"/>
      <c r="X384" s="147"/>
      <c r="Y384" s="147"/>
      <c r="Z384" s="147"/>
      <c r="AA384" s="147"/>
      <c r="AB384" s="147"/>
      <c r="AC384" s="147"/>
      <c r="AD384" s="147"/>
      <c r="AE384" s="147"/>
      <c r="AF384" s="147"/>
      <c r="AG384" s="147"/>
      <c r="AH384" s="147"/>
      <c r="AI384" s="147"/>
      <c r="AJ384" s="147"/>
      <c r="AK384" s="147"/>
      <c r="AL384" s="147"/>
      <c r="AM384" s="147"/>
      <c r="AN384" s="147"/>
      <c r="AO384" s="147"/>
      <c r="AP384" s="147"/>
      <c r="AQ384" s="147"/>
      <c r="AR384" s="147"/>
      <c r="AS384" s="147"/>
    </row>
    <row r="385" spans="1:45" x14ac:dyDescent="0.25">
      <c r="A385" s="147"/>
      <c r="B385" s="147"/>
      <c r="C385" s="160"/>
      <c r="D385" s="160"/>
      <c r="E385" s="161"/>
      <c r="F385" s="162"/>
      <c r="G385" s="163"/>
      <c r="H385" s="163"/>
      <c r="I385" s="164"/>
      <c r="J385" s="162"/>
      <c r="K385" s="165"/>
      <c r="L385" s="166"/>
      <c r="M385" s="167"/>
      <c r="N385" s="167"/>
      <c r="O385" s="168"/>
      <c r="P385" s="168"/>
      <c r="Q385" s="147"/>
      <c r="R385" s="147"/>
      <c r="S385" s="169"/>
      <c r="T385" s="147"/>
      <c r="U385" s="147"/>
      <c r="V385" s="147"/>
      <c r="W385" s="147"/>
      <c r="X385" s="147"/>
      <c r="Y385" s="147"/>
      <c r="Z385" s="147"/>
      <c r="AA385" s="147"/>
      <c r="AB385" s="147"/>
      <c r="AC385" s="147"/>
      <c r="AD385" s="147"/>
      <c r="AE385" s="147"/>
      <c r="AF385" s="147"/>
      <c r="AG385" s="147"/>
      <c r="AH385" s="147"/>
      <c r="AI385" s="147"/>
      <c r="AJ385" s="147"/>
      <c r="AK385" s="147"/>
      <c r="AL385" s="147"/>
      <c r="AM385" s="147"/>
      <c r="AN385" s="147"/>
      <c r="AO385" s="147"/>
      <c r="AP385" s="147"/>
      <c r="AQ385" s="147"/>
      <c r="AR385" s="147"/>
      <c r="AS385" s="147"/>
    </row>
    <row r="386" spans="1:45" x14ac:dyDescent="0.25">
      <c r="A386" s="147"/>
      <c r="B386" s="147"/>
      <c r="C386" s="160"/>
      <c r="D386" s="160"/>
      <c r="E386" s="161"/>
      <c r="F386" s="162"/>
      <c r="G386" s="163"/>
      <c r="H386" s="163"/>
      <c r="I386" s="164"/>
      <c r="J386" s="162"/>
      <c r="K386" s="165"/>
      <c r="L386" s="166"/>
      <c r="M386" s="167"/>
      <c r="N386" s="167"/>
      <c r="O386" s="168"/>
      <c r="P386" s="168"/>
      <c r="Q386" s="147"/>
      <c r="R386" s="147"/>
      <c r="S386" s="169"/>
      <c r="T386" s="147"/>
      <c r="U386" s="147"/>
      <c r="V386" s="147"/>
      <c r="W386" s="147"/>
      <c r="X386" s="147"/>
      <c r="Y386" s="147"/>
      <c r="Z386" s="147"/>
      <c r="AA386" s="147"/>
      <c r="AB386" s="147"/>
      <c r="AC386" s="147"/>
      <c r="AD386" s="147"/>
      <c r="AE386" s="147"/>
      <c r="AF386" s="147"/>
      <c r="AG386" s="147"/>
      <c r="AH386" s="147"/>
      <c r="AI386" s="147"/>
      <c r="AJ386" s="147"/>
      <c r="AK386" s="147"/>
      <c r="AL386" s="147"/>
      <c r="AM386" s="147"/>
      <c r="AN386" s="147"/>
      <c r="AO386" s="147"/>
      <c r="AP386" s="147"/>
      <c r="AQ386" s="147"/>
      <c r="AR386" s="147"/>
      <c r="AS386" s="147"/>
    </row>
    <row r="387" spans="1:45" x14ac:dyDescent="0.25">
      <c r="A387" s="147"/>
      <c r="B387" s="147"/>
      <c r="C387" s="160"/>
      <c r="D387" s="160"/>
      <c r="E387" s="161"/>
      <c r="F387" s="162"/>
      <c r="G387" s="163"/>
      <c r="H387" s="163"/>
      <c r="I387" s="164"/>
      <c r="J387" s="162"/>
      <c r="K387" s="165"/>
      <c r="L387" s="166"/>
      <c r="M387" s="167"/>
      <c r="N387" s="167"/>
      <c r="O387" s="168"/>
      <c r="P387" s="168"/>
      <c r="Q387" s="147"/>
      <c r="R387" s="147"/>
      <c r="S387" s="169"/>
      <c r="T387" s="147"/>
      <c r="U387" s="147"/>
      <c r="V387" s="147"/>
      <c r="W387" s="147"/>
      <c r="X387" s="147"/>
      <c r="Y387" s="147"/>
      <c r="Z387" s="147"/>
      <c r="AA387" s="147"/>
      <c r="AB387" s="147"/>
      <c r="AC387" s="147"/>
      <c r="AD387" s="147"/>
      <c r="AE387" s="147"/>
      <c r="AF387" s="147"/>
      <c r="AG387" s="147"/>
      <c r="AH387" s="147"/>
      <c r="AI387" s="147"/>
      <c r="AJ387" s="147"/>
      <c r="AK387" s="147"/>
      <c r="AL387" s="147"/>
      <c r="AM387" s="147"/>
      <c r="AN387" s="147"/>
      <c r="AO387" s="147"/>
      <c r="AP387" s="147"/>
      <c r="AQ387" s="147"/>
      <c r="AR387" s="147"/>
      <c r="AS387" s="147"/>
    </row>
    <row r="388" spans="1:45" x14ac:dyDescent="0.25">
      <c r="A388" s="147"/>
      <c r="B388" s="147"/>
      <c r="C388" s="160"/>
      <c r="D388" s="160"/>
      <c r="E388" s="161"/>
      <c r="F388" s="162"/>
      <c r="G388" s="163"/>
      <c r="H388" s="163"/>
      <c r="I388" s="164"/>
      <c r="J388" s="162"/>
      <c r="K388" s="165"/>
      <c r="L388" s="166"/>
      <c r="M388" s="167"/>
      <c r="N388" s="167"/>
      <c r="O388" s="168"/>
      <c r="P388" s="168"/>
      <c r="Q388" s="147"/>
      <c r="R388" s="147"/>
      <c r="S388" s="169"/>
      <c r="T388" s="147"/>
      <c r="U388" s="147"/>
      <c r="V388" s="147"/>
      <c r="W388" s="147"/>
      <c r="X388" s="147"/>
      <c r="Y388" s="147"/>
      <c r="Z388" s="147"/>
      <c r="AA388" s="147"/>
      <c r="AB388" s="147"/>
      <c r="AC388" s="147"/>
      <c r="AD388" s="147"/>
      <c r="AE388" s="147"/>
      <c r="AF388" s="147"/>
      <c r="AG388" s="147"/>
      <c r="AH388" s="147"/>
      <c r="AI388" s="147"/>
      <c r="AJ388" s="147"/>
      <c r="AK388" s="147"/>
      <c r="AL388" s="147"/>
      <c r="AM388" s="147"/>
      <c r="AN388" s="147"/>
      <c r="AO388" s="147"/>
      <c r="AP388" s="147"/>
      <c r="AQ388" s="147"/>
      <c r="AR388" s="147"/>
      <c r="AS388" s="147"/>
    </row>
    <row r="389" spans="1:45" x14ac:dyDescent="0.25">
      <c r="A389" s="147"/>
      <c r="B389" s="147"/>
      <c r="C389" s="160"/>
      <c r="D389" s="160"/>
      <c r="E389" s="161"/>
      <c r="F389" s="162"/>
      <c r="G389" s="163"/>
      <c r="H389" s="163"/>
      <c r="I389" s="164"/>
      <c r="J389" s="162"/>
      <c r="K389" s="165"/>
      <c r="L389" s="166"/>
      <c r="M389" s="167"/>
      <c r="N389" s="167"/>
      <c r="O389" s="168"/>
      <c r="P389" s="168"/>
      <c r="Q389" s="147"/>
      <c r="R389" s="147"/>
      <c r="S389" s="169"/>
      <c r="T389" s="147"/>
      <c r="U389" s="147"/>
      <c r="V389" s="147"/>
      <c r="W389" s="147"/>
      <c r="X389" s="147"/>
      <c r="Y389" s="147"/>
      <c r="Z389" s="147"/>
      <c r="AA389" s="147"/>
      <c r="AB389" s="147"/>
      <c r="AC389" s="147"/>
      <c r="AD389" s="147"/>
      <c r="AE389" s="147"/>
      <c r="AF389" s="147"/>
      <c r="AG389" s="147"/>
      <c r="AH389" s="147"/>
      <c r="AI389" s="147"/>
      <c r="AJ389" s="147"/>
      <c r="AK389" s="147"/>
      <c r="AL389" s="147"/>
      <c r="AM389" s="147"/>
      <c r="AN389" s="147"/>
      <c r="AO389" s="147"/>
      <c r="AP389" s="147"/>
      <c r="AQ389" s="147"/>
      <c r="AR389" s="147"/>
      <c r="AS389" s="147"/>
    </row>
    <row r="390" spans="1:45" x14ac:dyDescent="0.25">
      <c r="A390" s="147"/>
      <c r="B390" s="147"/>
      <c r="C390" s="160"/>
      <c r="D390" s="160"/>
      <c r="E390" s="161"/>
      <c r="F390" s="162"/>
      <c r="G390" s="163"/>
      <c r="H390" s="163"/>
      <c r="I390" s="164"/>
      <c r="J390" s="162"/>
      <c r="K390" s="165"/>
      <c r="L390" s="166"/>
      <c r="M390" s="167"/>
      <c r="N390" s="167"/>
      <c r="O390" s="168"/>
      <c r="P390" s="168"/>
      <c r="Q390" s="147"/>
      <c r="R390" s="147"/>
      <c r="S390" s="169"/>
      <c r="T390" s="147"/>
      <c r="U390" s="147"/>
      <c r="V390" s="147"/>
      <c r="W390" s="147"/>
      <c r="X390" s="147"/>
      <c r="Y390" s="147"/>
      <c r="Z390" s="147"/>
      <c r="AA390" s="147"/>
      <c r="AB390" s="147"/>
      <c r="AC390" s="147"/>
      <c r="AD390" s="147"/>
      <c r="AE390" s="147"/>
      <c r="AF390" s="147"/>
      <c r="AG390" s="147"/>
      <c r="AH390" s="147"/>
      <c r="AI390" s="147"/>
      <c r="AJ390" s="147"/>
      <c r="AK390" s="147"/>
      <c r="AL390" s="147"/>
      <c r="AM390" s="147"/>
      <c r="AN390" s="147"/>
      <c r="AO390" s="147"/>
      <c r="AP390" s="147"/>
      <c r="AQ390" s="147"/>
      <c r="AR390" s="147"/>
      <c r="AS390" s="147"/>
    </row>
    <row r="391" spans="1:45" x14ac:dyDescent="0.25">
      <c r="A391" s="147"/>
      <c r="B391" s="147"/>
      <c r="C391" s="160"/>
      <c r="D391" s="160"/>
      <c r="E391" s="161"/>
      <c r="F391" s="162"/>
      <c r="G391" s="163"/>
      <c r="H391" s="163"/>
      <c r="I391" s="164"/>
      <c r="J391" s="162"/>
      <c r="K391" s="165"/>
      <c r="L391" s="166"/>
      <c r="M391" s="167"/>
      <c r="N391" s="167"/>
      <c r="O391" s="168"/>
      <c r="P391" s="168"/>
      <c r="Q391" s="147"/>
      <c r="R391" s="147"/>
      <c r="S391" s="169"/>
      <c r="T391" s="147"/>
      <c r="U391" s="147"/>
      <c r="V391" s="147"/>
      <c r="W391" s="147"/>
      <c r="X391" s="147"/>
      <c r="Y391" s="147"/>
      <c r="Z391" s="147"/>
      <c r="AA391" s="147"/>
      <c r="AB391" s="147"/>
      <c r="AC391" s="147"/>
      <c r="AD391" s="147"/>
      <c r="AE391" s="147"/>
      <c r="AF391" s="147"/>
      <c r="AG391" s="147"/>
      <c r="AH391" s="147"/>
      <c r="AI391" s="147"/>
      <c r="AJ391" s="147"/>
      <c r="AK391" s="147"/>
      <c r="AL391" s="147"/>
      <c r="AM391" s="147"/>
      <c r="AN391" s="147"/>
      <c r="AO391" s="147"/>
      <c r="AP391" s="147"/>
      <c r="AQ391" s="147"/>
      <c r="AR391" s="147"/>
      <c r="AS391" s="147"/>
    </row>
    <row r="392" spans="1:45" x14ac:dyDescent="0.25">
      <c r="A392" s="147"/>
      <c r="B392" s="147"/>
      <c r="C392" s="160"/>
      <c r="D392" s="160"/>
      <c r="E392" s="161"/>
      <c r="F392" s="162"/>
      <c r="G392" s="163"/>
      <c r="H392" s="163"/>
      <c r="I392" s="164"/>
      <c r="J392" s="162"/>
      <c r="K392" s="165"/>
      <c r="L392" s="166"/>
      <c r="M392" s="167"/>
      <c r="N392" s="167"/>
      <c r="O392" s="168"/>
      <c r="P392" s="168"/>
      <c r="Q392" s="147"/>
      <c r="R392" s="147"/>
      <c r="S392" s="169"/>
      <c r="T392" s="147"/>
      <c r="U392" s="147"/>
      <c r="V392" s="147"/>
      <c r="W392" s="147"/>
      <c r="X392" s="147"/>
      <c r="Y392" s="147"/>
      <c r="Z392" s="147"/>
      <c r="AA392" s="147"/>
      <c r="AB392" s="147"/>
      <c r="AC392" s="147"/>
      <c r="AD392" s="147"/>
      <c r="AE392" s="147"/>
      <c r="AF392" s="147"/>
      <c r="AG392" s="147"/>
      <c r="AH392" s="147"/>
      <c r="AI392" s="147"/>
      <c r="AJ392" s="147"/>
      <c r="AK392" s="147"/>
      <c r="AL392" s="147"/>
      <c r="AM392" s="147"/>
      <c r="AN392" s="147"/>
      <c r="AO392" s="147"/>
      <c r="AP392" s="147"/>
      <c r="AQ392" s="147"/>
      <c r="AR392" s="147"/>
      <c r="AS392" s="147"/>
    </row>
    <row r="393" spans="1:45" x14ac:dyDescent="0.25">
      <c r="A393" s="147"/>
      <c r="B393" s="147"/>
      <c r="C393" s="160"/>
      <c r="D393" s="160"/>
      <c r="E393" s="161"/>
      <c r="F393" s="162"/>
      <c r="G393" s="163"/>
      <c r="H393" s="163"/>
      <c r="I393" s="164"/>
      <c r="J393" s="162"/>
      <c r="K393" s="165"/>
      <c r="L393" s="166"/>
      <c r="M393" s="167"/>
      <c r="N393" s="167"/>
      <c r="O393" s="168"/>
      <c r="P393" s="168"/>
      <c r="Q393" s="147"/>
      <c r="R393" s="147"/>
      <c r="S393" s="169"/>
      <c r="T393" s="147"/>
      <c r="U393" s="147"/>
      <c r="V393" s="147"/>
      <c r="W393" s="147"/>
      <c r="X393" s="147"/>
      <c r="Y393" s="147"/>
      <c r="Z393" s="147"/>
      <c r="AA393" s="147"/>
      <c r="AB393" s="147"/>
      <c r="AC393" s="147"/>
      <c r="AD393" s="147"/>
      <c r="AE393" s="147"/>
      <c r="AF393" s="147"/>
      <c r="AG393" s="147"/>
      <c r="AH393" s="147"/>
      <c r="AI393" s="147"/>
      <c r="AJ393" s="147"/>
      <c r="AK393" s="147"/>
      <c r="AL393" s="147"/>
      <c r="AM393" s="147"/>
      <c r="AN393" s="147"/>
      <c r="AO393" s="147"/>
      <c r="AP393" s="147"/>
      <c r="AQ393" s="147"/>
      <c r="AR393" s="147"/>
      <c r="AS393" s="147"/>
    </row>
    <row r="394" spans="1:45" x14ac:dyDescent="0.25">
      <c r="A394" s="147"/>
      <c r="B394" s="147"/>
      <c r="C394" s="160"/>
      <c r="D394" s="160"/>
      <c r="E394" s="161"/>
      <c r="F394" s="162"/>
      <c r="G394" s="163"/>
      <c r="H394" s="163"/>
      <c r="I394" s="164"/>
      <c r="J394" s="162"/>
      <c r="K394" s="165"/>
      <c r="L394" s="166"/>
      <c r="M394" s="167"/>
      <c r="N394" s="167"/>
      <c r="O394" s="168"/>
      <c r="P394" s="168"/>
      <c r="Q394" s="147"/>
      <c r="R394" s="147"/>
      <c r="S394" s="169"/>
      <c r="T394" s="147"/>
      <c r="U394" s="147"/>
      <c r="V394" s="147"/>
      <c r="W394" s="147"/>
      <c r="X394" s="147"/>
      <c r="Y394" s="147"/>
      <c r="Z394" s="147"/>
      <c r="AA394" s="147"/>
      <c r="AB394" s="147"/>
      <c r="AC394" s="147"/>
      <c r="AD394" s="147"/>
      <c r="AE394" s="147"/>
      <c r="AF394" s="147"/>
      <c r="AG394" s="147"/>
      <c r="AH394" s="147"/>
      <c r="AI394" s="147"/>
      <c r="AJ394" s="147"/>
      <c r="AK394" s="147"/>
      <c r="AL394" s="147"/>
      <c r="AM394" s="147"/>
      <c r="AN394" s="147"/>
      <c r="AO394" s="147"/>
      <c r="AP394" s="147"/>
      <c r="AQ394" s="147"/>
      <c r="AR394" s="147"/>
      <c r="AS394" s="147"/>
    </row>
    <row r="395" spans="1:45" x14ac:dyDescent="0.25">
      <c r="A395" s="147"/>
      <c r="B395" s="147"/>
      <c r="C395" s="160"/>
      <c r="D395" s="160"/>
      <c r="E395" s="161"/>
      <c r="F395" s="162"/>
      <c r="G395" s="163"/>
      <c r="H395" s="163"/>
      <c r="I395" s="164"/>
      <c r="J395" s="162"/>
      <c r="K395" s="165"/>
      <c r="L395" s="166"/>
      <c r="M395" s="167"/>
      <c r="N395" s="167"/>
      <c r="O395" s="168"/>
      <c r="P395" s="168"/>
      <c r="Q395" s="147"/>
      <c r="R395" s="147"/>
      <c r="S395" s="169"/>
      <c r="T395" s="147"/>
      <c r="U395" s="147"/>
      <c r="V395" s="147"/>
      <c r="W395" s="147"/>
      <c r="X395" s="147"/>
      <c r="Y395" s="147"/>
      <c r="Z395" s="147"/>
      <c r="AA395" s="147"/>
      <c r="AB395" s="147"/>
      <c r="AC395" s="147"/>
      <c r="AD395" s="147"/>
      <c r="AE395" s="147"/>
      <c r="AF395" s="147"/>
      <c r="AG395" s="147"/>
      <c r="AH395" s="147"/>
      <c r="AI395" s="147"/>
      <c r="AJ395" s="147"/>
      <c r="AK395" s="147"/>
      <c r="AL395" s="147"/>
      <c r="AM395" s="147"/>
      <c r="AN395" s="147"/>
      <c r="AO395" s="147"/>
      <c r="AP395" s="147"/>
      <c r="AQ395" s="147"/>
      <c r="AR395" s="147"/>
      <c r="AS395" s="147"/>
    </row>
    <row r="396" spans="1:45" x14ac:dyDescent="0.25">
      <c r="A396" s="147"/>
      <c r="B396" s="147"/>
      <c r="C396" s="160"/>
      <c r="D396" s="160"/>
      <c r="E396" s="161"/>
      <c r="F396" s="162"/>
      <c r="G396" s="163"/>
      <c r="H396" s="163"/>
      <c r="I396" s="164"/>
      <c r="J396" s="162"/>
      <c r="K396" s="165"/>
      <c r="L396" s="166"/>
      <c r="M396" s="167"/>
      <c r="N396" s="167"/>
      <c r="O396" s="168"/>
      <c r="P396" s="168"/>
      <c r="Q396" s="147"/>
      <c r="R396" s="147"/>
      <c r="S396" s="169"/>
      <c r="T396" s="147"/>
      <c r="U396" s="147"/>
      <c r="V396" s="147"/>
      <c r="W396" s="147"/>
      <c r="X396" s="147"/>
      <c r="Y396" s="147"/>
      <c r="Z396" s="147"/>
      <c r="AA396" s="147"/>
      <c r="AB396" s="147"/>
      <c r="AC396" s="147"/>
      <c r="AD396" s="147"/>
      <c r="AE396" s="147"/>
      <c r="AF396" s="147"/>
      <c r="AG396" s="147"/>
      <c r="AH396" s="147"/>
      <c r="AI396" s="147"/>
      <c r="AJ396" s="147"/>
      <c r="AK396" s="147"/>
      <c r="AL396" s="147"/>
      <c r="AM396" s="147"/>
      <c r="AN396" s="147"/>
      <c r="AO396" s="147"/>
      <c r="AP396" s="147"/>
      <c r="AQ396" s="147"/>
      <c r="AR396" s="147"/>
      <c r="AS396" s="147"/>
    </row>
    <row r="397" spans="1:45" x14ac:dyDescent="0.25">
      <c r="A397" s="147"/>
      <c r="B397" s="147"/>
      <c r="C397" s="160"/>
      <c r="D397" s="160"/>
      <c r="E397" s="161"/>
      <c r="F397" s="162"/>
      <c r="G397" s="163"/>
      <c r="H397" s="163"/>
      <c r="I397" s="164"/>
      <c r="J397" s="162"/>
      <c r="K397" s="165"/>
      <c r="L397" s="166"/>
      <c r="M397" s="167"/>
      <c r="N397" s="167"/>
      <c r="O397" s="168"/>
      <c r="P397" s="168"/>
      <c r="Q397" s="147"/>
      <c r="R397" s="147"/>
      <c r="S397" s="169"/>
      <c r="T397" s="147"/>
      <c r="U397" s="147"/>
      <c r="V397" s="147"/>
      <c r="W397" s="147"/>
      <c r="X397" s="147"/>
      <c r="Y397" s="147"/>
      <c r="Z397" s="147"/>
      <c r="AA397" s="147"/>
      <c r="AB397" s="147"/>
      <c r="AC397" s="147"/>
      <c r="AD397" s="147"/>
      <c r="AE397" s="147"/>
      <c r="AF397" s="147"/>
      <c r="AG397" s="147"/>
      <c r="AH397" s="147"/>
      <c r="AI397" s="147"/>
      <c r="AJ397" s="147"/>
      <c r="AK397" s="147"/>
      <c r="AL397" s="147"/>
      <c r="AM397" s="147"/>
      <c r="AN397" s="147"/>
      <c r="AO397" s="147"/>
      <c r="AP397" s="147"/>
      <c r="AQ397" s="147"/>
      <c r="AR397" s="147"/>
      <c r="AS397" s="147"/>
    </row>
    <row r="398" spans="1:45" x14ac:dyDescent="0.25">
      <c r="A398" s="147"/>
      <c r="B398" s="147"/>
      <c r="C398" s="160"/>
      <c r="D398" s="160"/>
      <c r="E398" s="161"/>
      <c r="F398" s="162"/>
      <c r="G398" s="163"/>
      <c r="H398" s="163"/>
      <c r="I398" s="164"/>
      <c r="J398" s="162"/>
      <c r="K398" s="165"/>
      <c r="L398" s="166"/>
      <c r="M398" s="167"/>
      <c r="N398" s="167"/>
      <c r="O398" s="168"/>
      <c r="P398" s="168"/>
      <c r="Q398" s="147"/>
      <c r="R398" s="147"/>
      <c r="S398" s="169"/>
      <c r="T398" s="147"/>
      <c r="U398" s="147"/>
      <c r="V398" s="147"/>
      <c r="W398" s="147"/>
      <c r="X398" s="147"/>
      <c r="Y398" s="147"/>
      <c r="Z398" s="147"/>
      <c r="AA398" s="147"/>
      <c r="AB398" s="147"/>
      <c r="AC398" s="147"/>
      <c r="AD398" s="147"/>
      <c r="AE398" s="147"/>
      <c r="AF398" s="147"/>
      <c r="AG398" s="147"/>
      <c r="AH398" s="147"/>
      <c r="AI398" s="147"/>
      <c r="AJ398" s="147"/>
      <c r="AK398" s="147"/>
      <c r="AL398" s="147"/>
      <c r="AM398" s="147"/>
      <c r="AN398" s="147"/>
      <c r="AO398" s="147"/>
      <c r="AP398" s="147"/>
      <c r="AQ398" s="147"/>
      <c r="AR398" s="147"/>
      <c r="AS398" s="147"/>
    </row>
    <row r="399" spans="1:45" x14ac:dyDescent="0.25">
      <c r="A399" s="147"/>
      <c r="B399" s="147"/>
      <c r="C399" s="160"/>
      <c r="D399" s="160"/>
      <c r="E399" s="161"/>
      <c r="F399" s="162"/>
      <c r="G399" s="163"/>
      <c r="H399" s="163"/>
      <c r="I399" s="164"/>
      <c r="J399" s="162"/>
      <c r="K399" s="165"/>
      <c r="L399" s="166"/>
      <c r="M399" s="167"/>
      <c r="N399" s="167"/>
      <c r="O399" s="168"/>
      <c r="P399" s="168"/>
      <c r="Q399" s="147"/>
      <c r="R399" s="147"/>
      <c r="S399" s="169"/>
      <c r="T399" s="147"/>
      <c r="U399" s="147"/>
      <c r="V399" s="147"/>
      <c r="W399" s="147"/>
      <c r="X399" s="147"/>
      <c r="Y399" s="147"/>
      <c r="Z399" s="147"/>
      <c r="AA399" s="147"/>
      <c r="AB399" s="147"/>
      <c r="AC399" s="147"/>
      <c r="AD399" s="147"/>
      <c r="AE399" s="147"/>
      <c r="AF399" s="147"/>
      <c r="AG399" s="147"/>
      <c r="AH399" s="147"/>
      <c r="AI399" s="147"/>
      <c r="AJ399" s="147"/>
      <c r="AK399" s="147"/>
      <c r="AL399" s="147"/>
      <c r="AM399" s="147"/>
      <c r="AN399" s="147"/>
      <c r="AO399" s="147"/>
      <c r="AP399" s="147"/>
      <c r="AQ399" s="147"/>
      <c r="AR399" s="147"/>
      <c r="AS399" s="147"/>
    </row>
    <row r="400" spans="1:45" x14ac:dyDescent="0.25">
      <c r="A400" s="147"/>
      <c r="B400" s="147"/>
      <c r="C400" s="160"/>
      <c r="D400" s="160"/>
      <c r="E400" s="161"/>
      <c r="F400" s="162"/>
      <c r="G400" s="163"/>
      <c r="H400" s="163"/>
      <c r="I400" s="164"/>
      <c r="J400" s="162"/>
      <c r="K400" s="165"/>
      <c r="L400" s="166"/>
      <c r="M400" s="167"/>
      <c r="N400" s="167"/>
      <c r="O400" s="168"/>
      <c r="P400" s="168"/>
      <c r="Q400" s="147"/>
      <c r="R400" s="147"/>
      <c r="S400" s="169"/>
      <c r="T400" s="147"/>
      <c r="U400" s="147"/>
      <c r="V400" s="147"/>
      <c r="W400" s="147"/>
      <c r="X400" s="147"/>
      <c r="Y400" s="147"/>
      <c r="Z400" s="147"/>
      <c r="AA400" s="147"/>
      <c r="AB400" s="147"/>
      <c r="AC400" s="147"/>
      <c r="AD400" s="147"/>
      <c r="AE400" s="147"/>
      <c r="AF400" s="147"/>
      <c r="AG400" s="147"/>
      <c r="AH400" s="147"/>
      <c r="AI400" s="147"/>
      <c r="AJ400" s="147"/>
      <c r="AK400" s="147"/>
      <c r="AL400" s="147"/>
      <c r="AM400" s="147"/>
      <c r="AN400" s="147"/>
      <c r="AO400" s="147"/>
      <c r="AP400" s="147"/>
      <c r="AQ400" s="147"/>
      <c r="AR400" s="147"/>
      <c r="AS400" s="147"/>
    </row>
    <row r="401" spans="1:45" x14ac:dyDescent="0.25">
      <c r="A401" s="147"/>
      <c r="B401" s="147"/>
      <c r="C401" s="160"/>
      <c r="D401" s="160"/>
      <c r="E401" s="161"/>
      <c r="F401" s="162"/>
      <c r="G401" s="163"/>
      <c r="H401" s="163"/>
      <c r="I401" s="164"/>
      <c r="J401" s="162"/>
      <c r="K401" s="165"/>
      <c r="L401" s="166"/>
      <c r="M401" s="167"/>
      <c r="N401" s="167"/>
      <c r="O401" s="168"/>
      <c r="P401" s="168"/>
      <c r="Q401" s="147"/>
      <c r="R401" s="147"/>
      <c r="S401" s="169"/>
      <c r="T401" s="147"/>
      <c r="U401" s="147"/>
      <c r="V401" s="147"/>
      <c r="W401" s="147"/>
      <c r="X401" s="147"/>
      <c r="Y401" s="147"/>
      <c r="Z401" s="147"/>
      <c r="AA401" s="147"/>
      <c r="AB401" s="147"/>
      <c r="AC401" s="147"/>
      <c r="AD401" s="147"/>
      <c r="AE401" s="147"/>
      <c r="AF401" s="147"/>
      <c r="AG401" s="147"/>
      <c r="AH401" s="147"/>
      <c r="AI401" s="147"/>
      <c r="AJ401" s="147"/>
      <c r="AK401" s="147"/>
      <c r="AL401" s="147"/>
      <c r="AM401" s="147"/>
      <c r="AN401" s="147"/>
      <c r="AO401" s="147"/>
      <c r="AP401" s="147"/>
      <c r="AQ401" s="147"/>
      <c r="AR401" s="147"/>
      <c r="AS401" s="147"/>
    </row>
    <row r="402" spans="1:45" x14ac:dyDescent="0.25">
      <c r="A402" s="147"/>
      <c r="B402" s="147"/>
      <c r="C402" s="160"/>
      <c r="D402" s="160"/>
      <c r="E402" s="161"/>
      <c r="F402" s="162"/>
      <c r="G402" s="163"/>
      <c r="H402" s="163"/>
      <c r="I402" s="164"/>
      <c r="J402" s="162"/>
      <c r="K402" s="165"/>
      <c r="L402" s="166"/>
      <c r="M402" s="167"/>
      <c r="N402" s="167"/>
      <c r="O402" s="168"/>
      <c r="P402" s="168"/>
      <c r="Q402" s="147"/>
      <c r="R402" s="147"/>
      <c r="S402" s="169"/>
      <c r="T402" s="147"/>
      <c r="U402" s="147"/>
      <c r="V402" s="147"/>
      <c r="W402" s="147"/>
      <c r="X402" s="147"/>
      <c r="Y402" s="147"/>
      <c r="Z402" s="147"/>
      <c r="AA402" s="147"/>
      <c r="AB402" s="147"/>
      <c r="AC402" s="147"/>
      <c r="AD402" s="147"/>
      <c r="AE402" s="147"/>
      <c r="AF402" s="147"/>
      <c r="AG402" s="147"/>
      <c r="AH402" s="147"/>
      <c r="AI402" s="147"/>
      <c r="AJ402" s="147"/>
      <c r="AK402" s="147"/>
      <c r="AL402" s="147"/>
      <c r="AM402" s="147"/>
      <c r="AN402" s="147"/>
      <c r="AO402" s="147"/>
      <c r="AP402" s="147"/>
      <c r="AQ402" s="147"/>
      <c r="AR402" s="147"/>
      <c r="AS402" s="147"/>
    </row>
    <row r="403" spans="1:45" x14ac:dyDescent="0.25">
      <c r="A403" s="147"/>
      <c r="B403" s="147"/>
      <c r="C403" s="160"/>
      <c r="D403" s="160"/>
      <c r="E403" s="161"/>
      <c r="F403" s="162"/>
      <c r="G403" s="163"/>
      <c r="H403" s="163"/>
      <c r="I403" s="164"/>
      <c r="J403" s="162"/>
      <c r="K403" s="165"/>
      <c r="L403" s="166"/>
      <c r="M403" s="167"/>
      <c r="N403" s="167"/>
      <c r="O403" s="168"/>
      <c r="P403" s="168"/>
      <c r="Q403" s="147"/>
      <c r="R403" s="147"/>
      <c r="S403" s="169"/>
      <c r="T403" s="147"/>
      <c r="U403" s="147"/>
      <c r="V403" s="147"/>
      <c r="W403" s="147"/>
      <c r="X403" s="147"/>
      <c r="Y403" s="147"/>
      <c r="Z403" s="147"/>
      <c r="AA403" s="147"/>
      <c r="AB403" s="147"/>
      <c r="AC403" s="147"/>
      <c r="AD403" s="147"/>
      <c r="AE403" s="147"/>
      <c r="AF403" s="147"/>
      <c r="AG403" s="147"/>
      <c r="AH403" s="147"/>
      <c r="AI403" s="147"/>
      <c r="AJ403" s="147"/>
      <c r="AK403" s="147"/>
      <c r="AL403" s="147"/>
      <c r="AM403" s="147"/>
      <c r="AN403" s="147"/>
      <c r="AO403" s="147"/>
      <c r="AP403" s="147"/>
      <c r="AQ403" s="147"/>
      <c r="AR403" s="147"/>
      <c r="AS403" s="147"/>
    </row>
    <row r="404" spans="1:45" x14ac:dyDescent="0.25">
      <c r="A404" s="147"/>
      <c r="B404" s="147"/>
      <c r="C404" s="160"/>
      <c r="D404" s="160"/>
      <c r="E404" s="161"/>
      <c r="F404" s="162"/>
      <c r="G404" s="163"/>
      <c r="H404" s="163"/>
      <c r="I404" s="164"/>
      <c r="J404" s="162"/>
      <c r="K404" s="165"/>
      <c r="L404" s="166"/>
      <c r="M404" s="167"/>
      <c r="N404" s="167"/>
      <c r="O404" s="168"/>
      <c r="P404" s="168"/>
      <c r="Q404" s="147"/>
      <c r="R404" s="147"/>
      <c r="S404" s="169"/>
      <c r="T404" s="147"/>
      <c r="U404" s="147"/>
      <c r="V404" s="147"/>
      <c r="W404" s="147"/>
      <c r="X404" s="147"/>
      <c r="Y404" s="147"/>
      <c r="Z404" s="147"/>
      <c r="AA404" s="147"/>
      <c r="AB404" s="147"/>
      <c r="AC404" s="147"/>
      <c r="AD404" s="147"/>
      <c r="AE404" s="147"/>
      <c r="AF404" s="147"/>
      <c r="AG404" s="147"/>
      <c r="AH404" s="147"/>
      <c r="AI404" s="147"/>
      <c r="AJ404" s="147"/>
      <c r="AK404" s="147"/>
      <c r="AL404" s="147"/>
      <c r="AM404" s="147"/>
      <c r="AN404" s="147"/>
      <c r="AO404" s="147"/>
      <c r="AP404" s="147"/>
      <c r="AQ404" s="147"/>
      <c r="AR404" s="147"/>
      <c r="AS404" s="147"/>
    </row>
    <row r="405" spans="1:45" x14ac:dyDescent="0.25">
      <c r="A405" s="147"/>
      <c r="B405" s="147"/>
      <c r="C405" s="160"/>
      <c r="D405" s="160"/>
      <c r="E405" s="161"/>
      <c r="F405" s="162"/>
      <c r="G405" s="163"/>
      <c r="H405" s="163"/>
      <c r="I405" s="164"/>
      <c r="J405" s="162"/>
      <c r="K405" s="165"/>
      <c r="L405" s="166"/>
      <c r="M405" s="167"/>
      <c r="N405" s="167"/>
      <c r="O405" s="168"/>
      <c r="P405" s="168"/>
      <c r="Q405" s="147"/>
      <c r="R405" s="147"/>
      <c r="S405" s="169"/>
      <c r="T405" s="147"/>
      <c r="U405" s="147"/>
      <c r="V405" s="147"/>
      <c r="W405" s="147"/>
      <c r="X405" s="147"/>
      <c r="Y405" s="147"/>
      <c r="Z405" s="147"/>
      <c r="AA405" s="147"/>
      <c r="AB405" s="147"/>
      <c r="AC405" s="147"/>
      <c r="AD405" s="147"/>
      <c r="AE405" s="147"/>
      <c r="AF405" s="147"/>
      <c r="AG405" s="147"/>
      <c r="AH405" s="147"/>
      <c r="AI405" s="147"/>
      <c r="AJ405" s="147"/>
      <c r="AK405" s="147"/>
      <c r="AL405" s="147"/>
      <c r="AM405" s="147"/>
      <c r="AN405" s="147"/>
      <c r="AO405" s="147"/>
      <c r="AP405" s="147"/>
      <c r="AQ405" s="147"/>
      <c r="AR405" s="147"/>
      <c r="AS405" s="147"/>
    </row>
    <row r="406" spans="1:45" x14ac:dyDescent="0.25">
      <c r="A406" s="147"/>
      <c r="B406" s="147"/>
      <c r="C406" s="160"/>
      <c r="D406" s="160"/>
      <c r="E406" s="161"/>
      <c r="F406" s="162"/>
      <c r="G406" s="163"/>
      <c r="H406" s="163"/>
      <c r="I406" s="164"/>
      <c r="J406" s="162"/>
      <c r="K406" s="165"/>
      <c r="L406" s="166"/>
      <c r="M406" s="167"/>
      <c r="N406" s="167"/>
      <c r="O406" s="168"/>
      <c r="P406" s="168"/>
      <c r="Q406" s="147"/>
      <c r="R406" s="147"/>
      <c r="S406" s="169"/>
      <c r="T406" s="147"/>
      <c r="U406" s="147"/>
      <c r="V406" s="147"/>
      <c r="W406" s="147"/>
      <c r="X406" s="147"/>
      <c r="Y406" s="147"/>
      <c r="Z406" s="147"/>
      <c r="AA406" s="147"/>
      <c r="AB406" s="147"/>
      <c r="AC406" s="147"/>
      <c r="AD406" s="147"/>
      <c r="AE406" s="147"/>
      <c r="AF406" s="147"/>
      <c r="AG406" s="147"/>
      <c r="AH406" s="147"/>
      <c r="AI406" s="147"/>
      <c r="AJ406" s="147"/>
      <c r="AK406" s="147"/>
      <c r="AL406" s="147"/>
      <c r="AM406" s="147"/>
      <c r="AN406" s="147"/>
      <c r="AO406" s="147"/>
      <c r="AP406" s="147"/>
      <c r="AQ406" s="147"/>
      <c r="AR406" s="147"/>
      <c r="AS406" s="147"/>
    </row>
    <row r="407" spans="1:45" x14ac:dyDescent="0.25">
      <c r="A407" s="147"/>
      <c r="B407" s="147"/>
      <c r="C407" s="160"/>
      <c r="D407" s="160"/>
      <c r="E407" s="161"/>
      <c r="F407" s="162"/>
      <c r="G407" s="163"/>
      <c r="H407" s="163"/>
      <c r="I407" s="164"/>
      <c r="J407" s="162"/>
      <c r="K407" s="165"/>
      <c r="L407" s="166"/>
      <c r="M407" s="167"/>
      <c r="N407" s="167"/>
      <c r="O407" s="168"/>
      <c r="P407" s="168"/>
      <c r="Q407" s="147"/>
      <c r="R407" s="147"/>
      <c r="S407" s="169"/>
      <c r="T407" s="147"/>
      <c r="U407" s="147"/>
      <c r="V407" s="147"/>
      <c r="W407" s="147"/>
      <c r="X407" s="147"/>
      <c r="Y407" s="147"/>
      <c r="Z407" s="147"/>
      <c r="AA407" s="147"/>
      <c r="AB407" s="147"/>
      <c r="AC407" s="147"/>
      <c r="AD407" s="147"/>
      <c r="AE407" s="147"/>
      <c r="AF407" s="147"/>
      <c r="AG407" s="147"/>
      <c r="AH407" s="147"/>
      <c r="AI407" s="147"/>
      <c r="AJ407" s="147"/>
      <c r="AK407" s="147"/>
      <c r="AL407" s="147"/>
      <c r="AM407" s="147"/>
      <c r="AN407" s="147"/>
      <c r="AO407" s="147"/>
      <c r="AP407" s="147"/>
      <c r="AQ407" s="147"/>
      <c r="AR407" s="147"/>
      <c r="AS407" s="147"/>
    </row>
    <row r="408" spans="1:45" x14ac:dyDescent="0.25">
      <c r="A408" s="147"/>
      <c r="B408" s="147"/>
      <c r="C408" s="160"/>
      <c r="D408" s="160"/>
      <c r="E408" s="161"/>
      <c r="F408" s="162"/>
      <c r="G408" s="163"/>
      <c r="H408" s="163"/>
      <c r="I408" s="164"/>
      <c r="J408" s="162"/>
      <c r="K408" s="165"/>
      <c r="L408" s="166"/>
      <c r="M408" s="167"/>
      <c r="N408" s="167"/>
      <c r="O408" s="168"/>
      <c r="P408" s="168"/>
      <c r="Q408" s="147"/>
      <c r="R408" s="147"/>
      <c r="S408" s="169"/>
      <c r="T408" s="147"/>
      <c r="U408" s="147"/>
      <c r="V408" s="147"/>
      <c r="W408" s="147"/>
      <c r="X408" s="147"/>
      <c r="Y408" s="147"/>
      <c r="Z408" s="147"/>
      <c r="AA408" s="147"/>
      <c r="AB408" s="147"/>
      <c r="AC408" s="147"/>
      <c r="AD408" s="147"/>
      <c r="AE408" s="147"/>
      <c r="AF408" s="147"/>
      <c r="AG408" s="147"/>
      <c r="AH408" s="147"/>
      <c r="AI408" s="147"/>
      <c r="AJ408" s="147"/>
      <c r="AK408" s="147"/>
      <c r="AL408" s="147"/>
      <c r="AM408" s="147"/>
      <c r="AN408" s="147"/>
      <c r="AO408" s="147"/>
      <c r="AP408" s="147"/>
      <c r="AQ408" s="147"/>
      <c r="AR408" s="147"/>
      <c r="AS408" s="147"/>
    </row>
    <row r="409" spans="1:45" x14ac:dyDescent="0.25">
      <c r="A409" s="147"/>
      <c r="B409" s="147"/>
      <c r="C409" s="160"/>
      <c r="D409" s="160"/>
      <c r="E409" s="161"/>
      <c r="F409" s="162"/>
      <c r="G409" s="163"/>
      <c r="H409" s="163"/>
      <c r="I409" s="164"/>
      <c r="J409" s="162"/>
      <c r="K409" s="165"/>
      <c r="L409" s="166"/>
      <c r="M409" s="167"/>
      <c r="N409" s="167"/>
      <c r="O409" s="168"/>
      <c r="P409" s="168"/>
      <c r="Q409" s="147"/>
      <c r="R409" s="147"/>
      <c r="S409" s="169"/>
      <c r="T409" s="147"/>
      <c r="U409" s="147"/>
      <c r="V409" s="147"/>
      <c r="W409" s="147"/>
      <c r="X409" s="147"/>
      <c r="Y409" s="147"/>
      <c r="Z409" s="147"/>
      <c r="AA409" s="147"/>
      <c r="AB409" s="147"/>
      <c r="AC409" s="147"/>
      <c r="AD409" s="147"/>
      <c r="AE409" s="147"/>
      <c r="AF409" s="147"/>
      <c r="AG409" s="147"/>
      <c r="AH409" s="147"/>
      <c r="AI409" s="147"/>
      <c r="AJ409" s="147"/>
      <c r="AK409" s="147"/>
      <c r="AL409" s="147"/>
      <c r="AM409" s="147"/>
      <c r="AN409" s="147"/>
      <c r="AO409" s="147"/>
      <c r="AP409" s="147"/>
      <c r="AQ409" s="147"/>
      <c r="AR409" s="147"/>
      <c r="AS409" s="147"/>
    </row>
    <row r="410" spans="1:45" x14ac:dyDescent="0.25">
      <c r="A410" s="147"/>
      <c r="B410" s="147"/>
      <c r="C410" s="160"/>
      <c r="D410" s="160"/>
      <c r="E410" s="161"/>
      <c r="F410" s="162"/>
      <c r="G410" s="163"/>
      <c r="H410" s="163"/>
      <c r="I410" s="164"/>
      <c r="J410" s="162"/>
      <c r="K410" s="165"/>
      <c r="L410" s="166"/>
      <c r="M410" s="167"/>
      <c r="N410" s="167"/>
      <c r="O410" s="168"/>
      <c r="P410" s="168"/>
      <c r="Q410" s="147"/>
      <c r="R410" s="147"/>
      <c r="S410" s="169"/>
      <c r="T410" s="147"/>
      <c r="U410" s="147"/>
      <c r="V410" s="147"/>
      <c r="W410" s="147"/>
      <c r="X410" s="147"/>
      <c r="Y410" s="147"/>
      <c r="Z410" s="147"/>
      <c r="AA410" s="147"/>
      <c r="AB410" s="147"/>
      <c r="AC410" s="147"/>
      <c r="AD410" s="147"/>
      <c r="AE410" s="147"/>
      <c r="AF410" s="147"/>
      <c r="AG410" s="147"/>
      <c r="AH410" s="147"/>
      <c r="AI410" s="147"/>
      <c r="AJ410" s="147"/>
      <c r="AK410" s="147"/>
      <c r="AL410" s="147"/>
      <c r="AM410" s="147"/>
      <c r="AN410" s="147"/>
      <c r="AO410" s="147"/>
      <c r="AP410" s="147"/>
      <c r="AQ410" s="147"/>
      <c r="AR410" s="147"/>
      <c r="AS410" s="147"/>
    </row>
    <row r="411" spans="1:45" x14ac:dyDescent="0.25">
      <c r="A411" s="147"/>
      <c r="B411" s="147"/>
      <c r="C411" s="160"/>
      <c r="D411" s="160"/>
      <c r="E411" s="161"/>
      <c r="F411" s="162"/>
      <c r="G411" s="163"/>
      <c r="H411" s="163"/>
      <c r="I411" s="164"/>
      <c r="J411" s="162"/>
      <c r="K411" s="165"/>
      <c r="L411" s="166"/>
      <c r="M411" s="167"/>
      <c r="N411" s="167"/>
      <c r="O411" s="168"/>
      <c r="P411" s="168"/>
      <c r="Q411" s="147"/>
      <c r="R411" s="147"/>
      <c r="S411" s="169"/>
      <c r="T411" s="147"/>
      <c r="U411" s="147"/>
      <c r="V411" s="147"/>
      <c r="W411" s="147"/>
      <c r="X411" s="147"/>
      <c r="Y411" s="147"/>
      <c r="Z411" s="147"/>
      <c r="AA411" s="147"/>
      <c r="AB411" s="147"/>
      <c r="AC411" s="147"/>
      <c r="AD411" s="147"/>
      <c r="AE411" s="147"/>
      <c r="AF411" s="147"/>
      <c r="AG411" s="147"/>
      <c r="AH411" s="147"/>
      <c r="AI411" s="147"/>
      <c r="AJ411" s="147"/>
      <c r="AK411" s="147"/>
      <c r="AL411" s="147"/>
      <c r="AM411" s="147"/>
      <c r="AN411" s="147"/>
      <c r="AO411" s="147"/>
      <c r="AP411" s="147"/>
      <c r="AQ411" s="147"/>
      <c r="AR411" s="147"/>
      <c r="AS411" s="147"/>
    </row>
    <row r="412" spans="1:45" x14ac:dyDescent="0.25">
      <c r="A412" s="147"/>
      <c r="B412" s="147"/>
      <c r="C412" s="160"/>
      <c r="D412" s="160"/>
      <c r="E412" s="161"/>
      <c r="F412" s="162"/>
      <c r="G412" s="163"/>
      <c r="H412" s="163"/>
      <c r="I412" s="164"/>
      <c r="J412" s="162"/>
      <c r="K412" s="165"/>
      <c r="L412" s="166"/>
      <c r="M412" s="167"/>
      <c r="N412" s="167"/>
      <c r="O412" s="168"/>
      <c r="P412" s="168"/>
      <c r="Q412" s="147"/>
      <c r="R412" s="147"/>
      <c r="S412" s="169"/>
      <c r="T412" s="147"/>
      <c r="U412" s="147"/>
      <c r="V412" s="147"/>
      <c r="W412" s="147"/>
      <c r="X412" s="147"/>
      <c r="Y412" s="147"/>
      <c r="Z412" s="147"/>
      <c r="AA412" s="147"/>
      <c r="AB412" s="147"/>
      <c r="AC412" s="147"/>
      <c r="AD412" s="147"/>
      <c r="AE412" s="147"/>
      <c r="AF412" s="147"/>
      <c r="AG412" s="147"/>
      <c r="AH412" s="147"/>
      <c r="AI412" s="147"/>
      <c r="AJ412" s="147"/>
      <c r="AK412" s="147"/>
      <c r="AL412" s="147"/>
      <c r="AM412" s="147"/>
      <c r="AN412" s="147"/>
      <c r="AO412" s="147"/>
      <c r="AP412" s="147"/>
      <c r="AQ412" s="147"/>
      <c r="AR412" s="147"/>
      <c r="AS412" s="147"/>
    </row>
    <row r="413" spans="1:45" x14ac:dyDescent="0.25">
      <c r="A413" s="147"/>
      <c r="B413" s="147"/>
      <c r="C413" s="160"/>
      <c r="D413" s="160"/>
      <c r="E413" s="161"/>
      <c r="F413" s="162"/>
      <c r="G413" s="163"/>
      <c r="H413" s="163"/>
      <c r="I413" s="164"/>
      <c r="J413" s="162"/>
      <c r="K413" s="165"/>
      <c r="L413" s="166"/>
      <c r="M413" s="167"/>
      <c r="N413" s="167"/>
      <c r="O413" s="168"/>
      <c r="P413" s="168"/>
      <c r="Q413" s="147"/>
      <c r="R413" s="147"/>
      <c r="S413" s="169"/>
      <c r="T413" s="147"/>
      <c r="U413" s="147"/>
      <c r="V413" s="147"/>
      <c r="W413" s="147"/>
      <c r="X413" s="147"/>
      <c r="Y413" s="147"/>
      <c r="Z413" s="147"/>
      <c r="AA413" s="147"/>
      <c r="AB413" s="147"/>
      <c r="AC413" s="147"/>
      <c r="AD413" s="147"/>
      <c r="AE413" s="147"/>
      <c r="AF413" s="147"/>
      <c r="AG413" s="147"/>
      <c r="AH413" s="147"/>
      <c r="AI413" s="147"/>
      <c r="AJ413" s="147"/>
      <c r="AK413" s="147"/>
      <c r="AL413" s="147"/>
      <c r="AM413" s="147"/>
      <c r="AN413" s="147"/>
      <c r="AO413" s="147"/>
      <c r="AP413" s="147"/>
      <c r="AQ413" s="147"/>
      <c r="AR413" s="147"/>
      <c r="AS413" s="147"/>
    </row>
    <row r="414" spans="1:45" x14ac:dyDescent="0.25">
      <c r="A414" s="147"/>
      <c r="B414" s="147"/>
      <c r="C414" s="160"/>
      <c r="D414" s="160"/>
      <c r="E414" s="161"/>
      <c r="F414" s="162"/>
      <c r="G414" s="163"/>
      <c r="H414" s="163"/>
      <c r="I414" s="164"/>
      <c r="J414" s="162"/>
      <c r="K414" s="165"/>
      <c r="L414" s="166"/>
      <c r="M414" s="167"/>
      <c r="N414" s="167"/>
      <c r="O414" s="168"/>
      <c r="P414" s="168"/>
      <c r="Q414" s="147"/>
      <c r="R414" s="147"/>
      <c r="S414" s="169"/>
      <c r="T414" s="147"/>
      <c r="U414" s="147"/>
      <c r="V414" s="147"/>
      <c r="W414" s="147"/>
      <c r="X414" s="147"/>
      <c r="Y414" s="147"/>
      <c r="Z414" s="147"/>
      <c r="AA414" s="147"/>
      <c r="AB414" s="147"/>
      <c r="AC414" s="147"/>
      <c r="AD414" s="147"/>
      <c r="AE414" s="147"/>
      <c r="AF414" s="147"/>
      <c r="AG414" s="147"/>
      <c r="AH414" s="147"/>
      <c r="AI414" s="147"/>
      <c r="AJ414" s="147"/>
      <c r="AK414" s="147"/>
      <c r="AL414" s="147"/>
      <c r="AM414" s="147"/>
      <c r="AN414" s="147"/>
      <c r="AO414" s="147"/>
      <c r="AP414" s="147"/>
      <c r="AQ414" s="147"/>
      <c r="AR414" s="147"/>
      <c r="AS414" s="147"/>
    </row>
    <row r="415" spans="1:45" x14ac:dyDescent="0.25">
      <c r="A415" s="147"/>
      <c r="B415" s="147"/>
      <c r="C415" s="160"/>
      <c r="D415" s="160"/>
      <c r="E415" s="161"/>
      <c r="F415" s="162"/>
      <c r="G415" s="163"/>
      <c r="H415" s="163"/>
      <c r="I415" s="164"/>
      <c r="J415" s="162"/>
      <c r="K415" s="165"/>
      <c r="L415" s="166"/>
      <c r="M415" s="167"/>
      <c r="N415" s="167"/>
      <c r="O415" s="168"/>
      <c r="P415" s="168"/>
      <c r="Q415" s="147"/>
      <c r="R415" s="147"/>
      <c r="S415" s="169"/>
      <c r="T415" s="147"/>
      <c r="U415" s="147"/>
      <c r="V415" s="147"/>
      <c r="W415" s="147"/>
      <c r="X415" s="147"/>
      <c r="Y415" s="147"/>
      <c r="Z415" s="147"/>
      <c r="AA415" s="147"/>
      <c r="AB415" s="147"/>
      <c r="AC415" s="147"/>
      <c r="AD415" s="147"/>
      <c r="AE415" s="147"/>
      <c r="AF415" s="147"/>
      <c r="AG415" s="147"/>
      <c r="AH415" s="147"/>
      <c r="AI415" s="147"/>
      <c r="AJ415" s="147"/>
      <c r="AK415" s="147"/>
      <c r="AL415" s="147"/>
      <c r="AM415" s="147"/>
      <c r="AN415" s="147"/>
      <c r="AO415" s="147"/>
      <c r="AP415" s="147"/>
      <c r="AQ415" s="147"/>
      <c r="AR415" s="147"/>
      <c r="AS415" s="147"/>
    </row>
    <row r="416" spans="1:45" x14ac:dyDescent="0.25">
      <c r="A416" s="147"/>
      <c r="B416" s="147"/>
      <c r="C416" s="160"/>
      <c r="D416" s="160"/>
      <c r="E416" s="161"/>
      <c r="F416" s="162"/>
      <c r="G416" s="163"/>
      <c r="H416" s="163"/>
      <c r="I416" s="164"/>
      <c r="J416" s="162"/>
      <c r="K416" s="165"/>
      <c r="L416" s="166"/>
      <c r="M416" s="167"/>
      <c r="N416" s="167"/>
      <c r="O416" s="168"/>
      <c r="P416" s="168"/>
      <c r="Q416" s="147"/>
      <c r="R416" s="147"/>
      <c r="S416" s="169"/>
      <c r="T416" s="147"/>
      <c r="U416" s="147"/>
      <c r="V416" s="147"/>
      <c r="W416" s="147"/>
      <c r="X416" s="147"/>
      <c r="Y416" s="147"/>
      <c r="Z416" s="147"/>
      <c r="AA416" s="147"/>
      <c r="AB416" s="147"/>
      <c r="AC416" s="147"/>
      <c r="AD416" s="147"/>
      <c r="AE416" s="147"/>
      <c r="AF416" s="147"/>
      <c r="AG416" s="147"/>
      <c r="AH416" s="147"/>
      <c r="AI416" s="147"/>
      <c r="AJ416" s="147"/>
      <c r="AK416" s="147"/>
      <c r="AL416" s="147"/>
      <c r="AM416" s="147"/>
      <c r="AN416" s="147"/>
      <c r="AO416" s="147"/>
      <c r="AP416" s="147"/>
      <c r="AQ416" s="147"/>
      <c r="AR416" s="147"/>
      <c r="AS416" s="147"/>
    </row>
    <row r="417" spans="1:45" x14ac:dyDescent="0.25">
      <c r="A417" s="147"/>
      <c r="B417" s="147"/>
      <c r="C417" s="160"/>
      <c r="D417" s="160"/>
      <c r="E417" s="161"/>
      <c r="F417" s="162"/>
      <c r="G417" s="163"/>
      <c r="H417" s="163"/>
      <c r="I417" s="164"/>
      <c r="J417" s="162"/>
      <c r="K417" s="165"/>
      <c r="L417" s="166"/>
      <c r="M417" s="167"/>
      <c r="N417" s="167"/>
      <c r="O417" s="168"/>
      <c r="P417" s="168"/>
      <c r="Q417" s="147"/>
      <c r="R417" s="147"/>
      <c r="S417" s="169"/>
      <c r="T417" s="147"/>
      <c r="U417" s="147"/>
      <c r="V417" s="147"/>
      <c r="W417" s="147"/>
      <c r="X417" s="147"/>
      <c r="Y417" s="147"/>
      <c r="Z417" s="147"/>
      <c r="AA417" s="147"/>
      <c r="AB417" s="147"/>
      <c r="AC417" s="147"/>
      <c r="AD417" s="147"/>
      <c r="AE417" s="147"/>
      <c r="AF417" s="147"/>
      <c r="AG417" s="147"/>
      <c r="AH417" s="147"/>
      <c r="AI417" s="147"/>
      <c r="AJ417" s="147"/>
      <c r="AK417" s="147"/>
      <c r="AL417" s="147"/>
      <c r="AM417" s="147"/>
      <c r="AN417" s="147"/>
      <c r="AO417" s="147"/>
      <c r="AP417" s="147"/>
      <c r="AQ417" s="147"/>
      <c r="AR417" s="147"/>
      <c r="AS417" s="147"/>
    </row>
    <row r="418" spans="1:45" x14ac:dyDescent="0.25">
      <c r="A418" s="147"/>
      <c r="B418" s="147"/>
      <c r="C418" s="160"/>
      <c r="D418" s="160"/>
      <c r="E418" s="161"/>
      <c r="F418" s="162"/>
      <c r="G418" s="163"/>
      <c r="H418" s="163"/>
      <c r="I418" s="164"/>
      <c r="J418" s="162"/>
      <c r="K418" s="165"/>
      <c r="L418" s="166"/>
      <c r="M418" s="167"/>
      <c r="N418" s="167"/>
      <c r="O418" s="168"/>
      <c r="P418" s="168"/>
      <c r="Q418" s="147"/>
      <c r="R418" s="147"/>
      <c r="S418" s="169"/>
      <c r="T418" s="147"/>
      <c r="U418" s="147"/>
      <c r="V418" s="147"/>
      <c r="W418" s="147"/>
      <c r="X418" s="147"/>
      <c r="Y418" s="147"/>
      <c r="Z418" s="147"/>
      <c r="AA418" s="147"/>
      <c r="AB418" s="147"/>
      <c r="AC418" s="147"/>
      <c r="AD418" s="147"/>
      <c r="AE418" s="147"/>
      <c r="AF418" s="147"/>
      <c r="AG418" s="147"/>
      <c r="AH418" s="147"/>
      <c r="AI418" s="147"/>
      <c r="AJ418" s="147"/>
      <c r="AK418" s="147"/>
      <c r="AL418" s="147"/>
      <c r="AM418" s="147"/>
      <c r="AN418" s="147"/>
      <c r="AO418" s="147"/>
      <c r="AP418" s="147"/>
      <c r="AQ418" s="147"/>
      <c r="AR418" s="147"/>
      <c r="AS418" s="147"/>
    </row>
    <row r="419" spans="1:45" x14ac:dyDescent="0.25">
      <c r="A419" s="147"/>
      <c r="B419" s="147"/>
      <c r="C419" s="160"/>
      <c r="D419" s="160"/>
      <c r="E419" s="161"/>
      <c r="F419" s="162"/>
      <c r="G419" s="163"/>
      <c r="H419" s="163"/>
      <c r="I419" s="164"/>
      <c r="J419" s="162"/>
      <c r="K419" s="165"/>
      <c r="L419" s="166"/>
      <c r="M419" s="167"/>
      <c r="N419" s="167"/>
      <c r="O419" s="168"/>
      <c r="P419" s="168"/>
      <c r="Q419" s="147"/>
      <c r="R419" s="147"/>
      <c r="S419" s="169"/>
      <c r="T419" s="147"/>
      <c r="U419" s="147"/>
      <c r="V419" s="147"/>
      <c r="W419" s="147"/>
      <c r="X419" s="147"/>
      <c r="Y419" s="147"/>
      <c r="Z419" s="147"/>
      <c r="AA419" s="147"/>
      <c r="AB419" s="147"/>
      <c r="AC419" s="147"/>
      <c r="AD419" s="147"/>
      <c r="AE419" s="147"/>
      <c r="AF419" s="147"/>
      <c r="AG419" s="147"/>
      <c r="AH419" s="147"/>
      <c r="AI419" s="147"/>
      <c r="AJ419" s="147"/>
      <c r="AK419" s="147"/>
      <c r="AL419" s="147"/>
      <c r="AM419" s="147"/>
      <c r="AN419" s="147"/>
      <c r="AO419" s="147"/>
      <c r="AP419" s="147"/>
      <c r="AQ419" s="147"/>
      <c r="AR419" s="147"/>
      <c r="AS419" s="147"/>
    </row>
    <row r="420" spans="1:45" x14ac:dyDescent="0.25">
      <c r="A420" s="147"/>
      <c r="B420" s="147"/>
      <c r="C420" s="160"/>
      <c r="D420" s="160"/>
      <c r="E420" s="161"/>
      <c r="F420" s="162"/>
      <c r="G420" s="163"/>
      <c r="H420" s="163"/>
      <c r="I420" s="164"/>
      <c r="J420" s="162"/>
      <c r="K420" s="165"/>
      <c r="L420" s="166"/>
      <c r="M420" s="167"/>
      <c r="N420" s="167"/>
      <c r="O420" s="168"/>
      <c r="P420" s="168"/>
      <c r="Q420" s="147"/>
      <c r="R420" s="147"/>
      <c r="S420" s="169"/>
      <c r="T420" s="147"/>
      <c r="U420" s="147"/>
      <c r="V420" s="147"/>
      <c r="W420" s="147"/>
      <c r="X420" s="147"/>
      <c r="Y420" s="147"/>
      <c r="Z420" s="147"/>
      <c r="AA420" s="147"/>
      <c r="AB420" s="147"/>
      <c r="AC420" s="147"/>
      <c r="AD420" s="147"/>
      <c r="AE420" s="147"/>
      <c r="AF420" s="147"/>
      <c r="AG420" s="147"/>
      <c r="AH420" s="147"/>
      <c r="AI420" s="147"/>
      <c r="AJ420" s="147"/>
      <c r="AK420" s="147"/>
      <c r="AL420" s="147"/>
      <c r="AM420" s="147"/>
      <c r="AN420" s="147"/>
      <c r="AO420" s="147"/>
      <c r="AP420" s="147"/>
      <c r="AQ420" s="147"/>
      <c r="AR420" s="147"/>
      <c r="AS420" s="147"/>
    </row>
    <row r="421" spans="1:45" x14ac:dyDescent="0.25">
      <c r="A421" s="147"/>
      <c r="B421" s="147"/>
      <c r="C421" s="160"/>
      <c r="D421" s="160"/>
      <c r="E421" s="161"/>
      <c r="F421" s="162"/>
      <c r="G421" s="163"/>
      <c r="H421" s="163"/>
      <c r="I421" s="164"/>
      <c r="J421" s="162"/>
      <c r="K421" s="165"/>
      <c r="L421" s="166"/>
      <c r="M421" s="167"/>
      <c r="N421" s="167"/>
      <c r="O421" s="168"/>
      <c r="P421" s="168"/>
      <c r="Q421" s="147"/>
      <c r="R421" s="147"/>
      <c r="S421" s="169"/>
      <c r="T421" s="147"/>
      <c r="U421" s="147"/>
      <c r="V421" s="147"/>
      <c r="W421" s="147"/>
      <c r="X421" s="147"/>
      <c r="Y421" s="147"/>
      <c r="Z421" s="147"/>
      <c r="AA421" s="147"/>
      <c r="AB421" s="147"/>
      <c r="AC421" s="147"/>
      <c r="AD421" s="147"/>
      <c r="AE421" s="147"/>
      <c r="AF421" s="147"/>
      <c r="AG421" s="147"/>
      <c r="AH421" s="147"/>
      <c r="AI421" s="147"/>
      <c r="AJ421" s="147"/>
      <c r="AK421" s="147"/>
      <c r="AL421" s="147"/>
      <c r="AM421" s="147"/>
      <c r="AN421" s="147"/>
      <c r="AO421" s="147"/>
      <c r="AP421" s="147"/>
      <c r="AQ421" s="147"/>
      <c r="AR421" s="147"/>
      <c r="AS421" s="147"/>
    </row>
    <row r="422" spans="1:45" x14ac:dyDescent="0.25">
      <c r="A422" s="147"/>
      <c r="B422" s="147"/>
      <c r="C422" s="160"/>
      <c r="D422" s="160"/>
      <c r="E422" s="161"/>
      <c r="F422" s="162"/>
      <c r="G422" s="163"/>
      <c r="H422" s="163"/>
      <c r="I422" s="164"/>
      <c r="J422" s="162"/>
      <c r="K422" s="165"/>
      <c r="L422" s="166"/>
      <c r="M422" s="167"/>
      <c r="N422" s="167"/>
      <c r="O422" s="168"/>
      <c r="P422" s="168"/>
      <c r="Q422" s="147"/>
      <c r="R422" s="147"/>
      <c r="S422" s="169"/>
      <c r="T422" s="147"/>
      <c r="U422" s="147"/>
      <c r="V422" s="147"/>
      <c r="W422" s="147"/>
      <c r="X422" s="147"/>
      <c r="Y422" s="147"/>
      <c r="Z422" s="147"/>
      <c r="AA422" s="147"/>
      <c r="AB422" s="147"/>
      <c r="AC422" s="147"/>
      <c r="AD422" s="147"/>
      <c r="AE422" s="147"/>
      <c r="AF422" s="147"/>
      <c r="AG422" s="147"/>
      <c r="AH422" s="147"/>
      <c r="AI422" s="147"/>
      <c r="AJ422" s="147"/>
      <c r="AK422" s="147"/>
      <c r="AL422" s="147"/>
      <c r="AM422" s="147"/>
      <c r="AN422" s="147"/>
      <c r="AO422" s="147"/>
      <c r="AP422" s="147"/>
      <c r="AQ422" s="147"/>
      <c r="AR422" s="147"/>
      <c r="AS422" s="147"/>
    </row>
    <row r="423" spans="1:45" x14ac:dyDescent="0.25">
      <c r="A423" s="147"/>
      <c r="B423" s="147"/>
      <c r="C423" s="160"/>
      <c r="D423" s="160"/>
      <c r="E423" s="161"/>
      <c r="F423" s="162"/>
      <c r="G423" s="163"/>
      <c r="H423" s="163"/>
      <c r="I423" s="164"/>
      <c r="J423" s="162"/>
      <c r="K423" s="165"/>
      <c r="L423" s="166"/>
      <c r="M423" s="167"/>
      <c r="N423" s="167"/>
      <c r="O423" s="168"/>
      <c r="P423" s="168"/>
      <c r="Q423" s="147"/>
      <c r="R423" s="147"/>
      <c r="S423" s="169"/>
      <c r="T423" s="147"/>
      <c r="U423" s="147"/>
      <c r="V423" s="147"/>
      <c r="W423" s="147"/>
      <c r="X423" s="147"/>
      <c r="Y423" s="147"/>
      <c r="Z423" s="147"/>
      <c r="AA423" s="147"/>
      <c r="AB423" s="147"/>
      <c r="AC423" s="147"/>
      <c r="AD423" s="147"/>
      <c r="AE423" s="147"/>
      <c r="AF423" s="147"/>
      <c r="AG423" s="147"/>
      <c r="AH423" s="147"/>
      <c r="AI423" s="147"/>
      <c r="AJ423" s="147"/>
      <c r="AK423" s="147"/>
      <c r="AL423" s="147"/>
      <c r="AM423" s="147"/>
      <c r="AN423" s="147"/>
      <c r="AO423" s="147"/>
      <c r="AP423" s="147"/>
      <c r="AQ423" s="147"/>
      <c r="AR423" s="147"/>
      <c r="AS423" s="147"/>
    </row>
    <row r="424" spans="1:45" x14ac:dyDescent="0.25">
      <c r="A424" s="147"/>
      <c r="B424" s="147"/>
      <c r="C424" s="160"/>
      <c r="D424" s="160"/>
      <c r="E424" s="161"/>
      <c r="F424" s="162"/>
      <c r="G424" s="163"/>
      <c r="H424" s="163"/>
      <c r="I424" s="164"/>
      <c r="J424" s="162"/>
      <c r="K424" s="165"/>
      <c r="L424" s="166"/>
      <c r="M424" s="167"/>
      <c r="N424" s="167"/>
      <c r="O424" s="168"/>
      <c r="P424" s="168"/>
      <c r="Q424" s="147"/>
      <c r="R424" s="147"/>
      <c r="S424" s="169"/>
      <c r="T424" s="147"/>
      <c r="U424" s="147"/>
      <c r="V424" s="147"/>
      <c r="W424" s="147"/>
      <c r="X424" s="147"/>
      <c r="Y424" s="147"/>
      <c r="Z424" s="147"/>
      <c r="AA424" s="147"/>
      <c r="AB424" s="147"/>
      <c r="AC424" s="147"/>
      <c r="AD424" s="147"/>
      <c r="AE424" s="147"/>
      <c r="AF424" s="147"/>
      <c r="AG424" s="147"/>
      <c r="AH424" s="147"/>
      <c r="AI424" s="147"/>
      <c r="AJ424" s="147"/>
      <c r="AK424" s="147"/>
      <c r="AL424" s="147"/>
      <c r="AM424" s="147"/>
      <c r="AN424" s="147"/>
      <c r="AO424" s="147"/>
      <c r="AP424" s="147"/>
      <c r="AQ424" s="147"/>
      <c r="AR424" s="147"/>
      <c r="AS424" s="147"/>
    </row>
    <row r="425" spans="1:45" x14ac:dyDescent="0.25">
      <c r="A425" s="147"/>
      <c r="B425" s="147"/>
      <c r="C425" s="160"/>
      <c r="D425" s="160"/>
      <c r="E425" s="161"/>
      <c r="F425" s="162"/>
      <c r="G425" s="163"/>
      <c r="H425" s="163"/>
      <c r="I425" s="164"/>
      <c r="J425" s="162"/>
      <c r="K425" s="165"/>
      <c r="L425" s="166"/>
      <c r="M425" s="167"/>
      <c r="N425" s="167"/>
      <c r="O425" s="168"/>
      <c r="P425" s="168"/>
      <c r="Q425" s="147"/>
      <c r="R425" s="147"/>
      <c r="S425" s="169"/>
      <c r="T425" s="147"/>
      <c r="U425" s="147"/>
      <c r="V425" s="147"/>
      <c r="W425" s="147"/>
      <c r="X425" s="147"/>
      <c r="Y425" s="147"/>
      <c r="Z425" s="147"/>
      <c r="AA425" s="147"/>
      <c r="AB425" s="147"/>
      <c r="AC425" s="147"/>
      <c r="AD425" s="147"/>
      <c r="AE425" s="147"/>
      <c r="AF425" s="147"/>
      <c r="AG425" s="147"/>
      <c r="AH425" s="147"/>
      <c r="AI425" s="147"/>
      <c r="AJ425" s="147"/>
      <c r="AK425" s="147"/>
      <c r="AL425" s="147"/>
      <c r="AM425" s="147"/>
      <c r="AN425" s="147"/>
      <c r="AO425" s="147"/>
      <c r="AP425" s="147"/>
      <c r="AQ425" s="147"/>
      <c r="AR425" s="147"/>
      <c r="AS425" s="147"/>
    </row>
    <row r="426" spans="1:45" x14ac:dyDescent="0.25">
      <c r="A426" s="147"/>
      <c r="B426" s="147"/>
      <c r="C426" s="160"/>
      <c r="D426" s="160"/>
      <c r="E426" s="161"/>
      <c r="F426" s="162"/>
      <c r="G426" s="163"/>
      <c r="H426" s="163"/>
      <c r="I426" s="164"/>
      <c r="J426" s="162"/>
      <c r="K426" s="165"/>
      <c r="L426" s="166"/>
      <c r="M426" s="167"/>
      <c r="N426" s="167"/>
      <c r="O426" s="168"/>
      <c r="P426" s="168"/>
      <c r="Q426" s="147"/>
      <c r="R426" s="147"/>
      <c r="S426" s="169"/>
      <c r="T426" s="147"/>
      <c r="U426" s="147"/>
      <c r="V426" s="147"/>
      <c r="W426" s="147"/>
      <c r="X426" s="147"/>
      <c r="Y426" s="147"/>
      <c r="Z426" s="147"/>
      <c r="AA426" s="147"/>
      <c r="AB426" s="147"/>
      <c r="AC426" s="147"/>
      <c r="AD426" s="147"/>
      <c r="AE426" s="147"/>
      <c r="AF426" s="147"/>
      <c r="AG426" s="147"/>
      <c r="AH426" s="147"/>
      <c r="AI426" s="147"/>
      <c r="AJ426" s="147"/>
      <c r="AK426" s="147"/>
      <c r="AL426" s="147"/>
      <c r="AM426" s="147"/>
      <c r="AN426" s="147"/>
      <c r="AO426" s="147"/>
      <c r="AP426" s="147"/>
      <c r="AQ426" s="147"/>
      <c r="AR426" s="147"/>
      <c r="AS426" s="147"/>
    </row>
    <row r="427" spans="1:45" x14ac:dyDescent="0.25">
      <c r="A427" s="147"/>
      <c r="B427" s="147"/>
      <c r="C427" s="160"/>
      <c r="D427" s="160"/>
      <c r="E427" s="161"/>
      <c r="F427" s="162"/>
      <c r="G427" s="163"/>
      <c r="H427" s="163"/>
      <c r="I427" s="164"/>
      <c r="J427" s="162"/>
      <c r="K427" s="165"/>
      <c r="L427" s="166"/>
      <c r="M427" s="167"/>
      <c r="N427" s="167"/>
      <c r="O427" s="168"/>
      <c r="P427" s="168"/>
      <c r="Q427" s="147"/>
      <c r="R427" s="147"/>
      <c r="S427" s="169"/>
      <c r="T427" s="147"/>
      <c r="U427" s="147"/>
      <c r="V427" s="147"/>
      <c r="W427" s="147"/>
      <c r="X427" s="147"/>
      <c r="Y427" s="147"/>
      <c r="Z427" s="147"/>
      <c r="AA427" s="147"/>
      <c r="AB427" s="147"/>
      <c r="AC427" s="147"/>
      <c r="AD427" s="147"/>
      <c r="AE427" s="147"/>
      <c r="AF427" s="147"/>
      <c r="AG427" s="147"/>
      <c r="AH427" s="147"/>
      <c r="AI427" s="147"/>
      <c r="AJ427" s="147"/>
      <c r="AK427" s="147"/>
      <c r="AL427" s="147"/>
      <c r="AM427" s="147"/>
      <c r="AN427" s="147"/>
      <c r="AO427" s="147"/>
      <c r="AP427" s="147"/>
      <c r="AQ427" s="147"/>
      <c r="AR427" s="147"/>
      <c r="AS427" s="147"/>
    </row>
    <row r="428" spans="1:45" x14ac:dyDescent="0.25">
      <c r="A428" s="147"/>
      <c r="B428" s="147"/>
      <c r="C428" s="160"/>
      <c r="D428" s="160"/>
      <c r="E428" s="161"/>
      <c r="F428" s="162"/>
      <c r="G428" s="163"/>
      <c r="H428" s="163"/>
      <c r="I428" s="164"/>
      <c r="J428" s="162"/>
      <c r="K428" s="165"/>
      <c r="L428" s="166"/>
      <c r="M428" s="167"/>
      <c r="N428" s="167"/>
      <c r="O428" s="168"/>
      <c r="P428" s="168"/>
      <c r="Q428" s="147"/>
      <c r="R428" s="147"/>
      <c r="S428" s="169"/>
      <c r="T428" s="147"/>
      <c r="U428" s="147"/>
      <c r="V428" s="147"/>
      <c r="W428" s="147"/>
      <c r="X428" s="147"/>
      <c r="Y428" s="147"/>
      <c r="Z428" s="147"/>
      <c r="AA428" s="147"/>
      <c r="AB428" s="147"/>
      <c r="AC428" s="147"/>
      <c r="AD428" s="147"/>
      <c r="AE428" s="147"/>
      <c r="AF428" s="147"/>
      <c r="AG428" s="147"/>
      <c r="AH428" s="147"/>
      <c r="AI428" s="147"/>
      <c r="AJ428" s="147"/>
      <c r="AK428" s="147"/>
      <c r="AL428" s="147"/>
      <c r="AM428" s="147"/>
      <c r="AN428" s="147"/>
      <c r="AO428" s="147"/>
      <c r="AP428" s="147"/>
      <c r="AQ428" s="147"/>
      <c r="AR428" s="147"/>
      <c r="AS428" s="147"/>
    </row>
    <row r="429" spans="1:45" x14ac:dyDescent="0.25">
      <c r="A429" s="147"/>
      <c r="B429" s="147"/>
      <c r="C429" s="160"/>
      <c r="D429" s="160"/>
      <c r="E429" s="161"/>
      <c r="F429" s="162"/>
      <c r="G429" s="163"/>
      <c r="H429" s="163"/>
      <c r="I429" s="164"/>
      <c r="J429" s="162"/>
      <c r="K429" s="165"/>
      <c r="L429" s="166"/>
      <c r="M429" s="167"/>
      <c r="N429" s="167"/>
      <c r="O429" s="168"/>
      <c r="P429" s="168"/>
      <c r="Q429" s="147"/>
      <c r="R429" s="147"/>
      <c r="S429" s="169"/>
      <c r="T429" s="147"/>
      <c r="U429" s="147"/>
      <c r="V429" s="147"/>
      <c r="W429" s="147"/>
      <c r="X429" s="147"/>
      <c r="Y429" s="147"/>
      <c r="Z429" s="147"/>
      <c r="AA429" s="147"/>
      <c r="AB429" s="147"/>
      <c r="AC429" s="147"/>
      <c r="AD429" s="147"/>
      <c r="AE429" s="147"/>
      <c r="AF429" s="147"/>
      <c r="AG429" s="147"/>
      <c r="AH429" s="147"/>
      <c r="AI429" s="147"/>
      <c r="AJ429" s="147"/>
      <c r="AK429" s="147"/>
      <c r="AL429" s="147"/>
      <c r="AM429" s="147"/>
      <c r="AN429" s="147"/>
      <c r="AO429" s="147"/>
      <c r="AP429" s="147"/>
      <c r="AQ429" s="147"/>
      <c r="AR429" s="147"/>
      <c r="AS429" s="147"/>
    </row>
    <row r="430" spans="1:45" x14ac:dyDescent="0.25">
      <c r="A430" s="147"/>
      <c r="B430" s="147"/>
      <c r="C430" s="160"/>
      <c r="D430" s="160"/>
      <c r="E430" s="161"/>
      <c r="F430" s="162"/>
      <c r="G430" s="163"/>
      <c r="H430" s="163"/>
      <c r="I430" s="164"/>
      <c r="J430" s="162"/>
      <c r="K430" s="165"/>
      <c r="L430" s="166"/>
      <c r="M430" s="167"/>
      <c r="N430" s="167"/>
      <c r="O430" s="168"/>
      <c r="P430" s="168"/>
      <c r="Q430" s="147"/>
      <c r="R430" s="147"/>
      <c r="S430" s="169"/>
      <c r="T430" s="147"/>
      <c r="U430" s="147"/>
      <c r="V430" s="147"/>
      <c r="W430" s="147"/>
      <c r="X430" s="147"/>
      <c r="Y430" s="147"/>
      <c r="Z430" s="147"/>
      <c r="AA430" s="147"/>
      <c r="AB430" s="147"/>
      <c r="AC430" s="147"/>
      <c r="AD430" s="147"/>
      <c r="AE430" s="147"/>
      <c r="AF430" s="147"/>
      <c r="AG430" s="147"/>
      <c r="AH430" s="147"/>
      <c r="AI430" s="147"/>
      <c r="AJ430" s="147"/>
      <c r="AK430" s="147"/>
      <c r="AL430" s="147"/>
      <c r="AM430" s="147"/>
      <c r="AN430" s="147"/>
      <c r="AO430" s="147"/>
      <c r="AP430" s="147"/>
      <c r="AQ430" s="147"/>
      <c r="AR430" s="147"/>
      <c r="AS430" s="147"/>
    </row>
    <row r="431" spans="1:45" x14ac:dyDescent="0.25">
      <c r="A431" s="147"/>
      <c r="B431" s="147"/>
      <c r="C431" s="160"/>
      <c r="D431" s="160"/>
      <c r="E431" s="161"/>
      <c r="F431" s="162"/>
      <c r="G431" s="163"/>
      <c r="H431" s="163"/>
      <c r="I431" s="164"/>
      <c r="J431" s="162"/>
      <c r="K431" s="165"/>
      <c r="L431" s="166"/>
      <c r="M431" s="167"/>
      <c r="N431" s="167"/>
      <c r="O431" s="168"/>
      <c r="P431" s="168"/>
      <c r="Q431" s="147"/>
      <c r="R431" s="147"/>
      <c r="S431" s="169"/>
      <c r="T431" s="147"/>
      <c r="U431" s="147"/>
      <c r="V431" s="147"/>
      <c r="W431" s="147"/>
      <c r="X431" s="147"/>
      <c r="Y431" s="147"/>
      <c r="Z431" s="147"/>
      <c r="AA431" s="147"/>
      <c r="AB431" s="147"/>
      <c r="AC431" s="147"/>
      <c r="AD431" s="147"/>
      <c r="AE431" s="147"/>
      <c r="AF431" s="147"/>
      <c r="AG431" s="147"/>
      <c r="AH431" s="147"/>
      <c r="AI431" s="147"/>
      <c r="AJ431" s="147"/>
      <c r="AK431" s="147"/>
      <c r="AL431" s="147"/>
      <c r="AM431" s="147"/>
      <c r="AN431" s="147"/>
      <c r="AO431" s="147"/>
      <c r="AP431" s="147"/>
      <c r="AQ431" s="147"/>
      <c r="AR431" s="147"/>
      <c r="AS431" s="147"/>
    </row>
    <row r="432" spans="1:45" x14ac:dyDescent="0.25">
      <c r="A432" s="147"/>
      <c r="B432" s="147"/>
      <c r="C432" s="160"/>
      <c r="D432" s="160"/>
      <c r="E432" s="161"/>
      <c r="F432" s="162"/>
      <c r="G432" s="163"/>
      <c r="H432" s="163"/>
      <c r="I432" s="164"/>
      <c r="J432" s="162"/>
      <c r="K432" s="165"/>
      <c r="L432" s="166"/>
      <c r="M432" s="167"/>
      <c r="N432" s="167"/>
      <c r="O432" s="168"/>
      <c r="P432" s="168"/>
      <c r="Q432" s="147"/>
      <c r="R432" s="147"/>
      <c r="S432" s="169"/>
      <c r="T432" s="147"/>
      <c r="U432" s="147"/>
      <c r="V432" s="147"/>
      <c r="W432" s="147"/>
      <c r="X432" s="147"/>
      <c r="Y432" s="147"/>
      <c r="Z432" s="147"/>
      <c r="AA432" s="147"/>
      <c r="AB432" s="147"/>
      <c r="AC432" s="147"/>
      <c r="AD432" s="147"/>
      <c r="AE432" s="147"/>
      <c r="AF432" s="147"/>
      <c r="AG432" s="147"/>
      <c r="AH432" s="147"/>
      <c r="AI432" s="147"/>
      <c r="AJ432" s="147"/>
      <c r="AK432" s="147"/>
      <c r="AL432" s="147"/>
      <c r="AM432" s="147"/>
      <c r="AN432" s="147"/>
      <c r="AO432" s="147"/>
      <c r="AP432" s="147"/>
      <c r="AQ432" s="147"/>
      <c r="AR432" s="147"/>
      <c r="AS432" s="147"/>
    </row>
    <row r="433" spans="1:45" x14ac:dyDescent="0.25">
      <c r="A433" s="147"/>
      <c r="B433" s="147"/>
      <c r="C433" s="160"/>
      <c r="D433" s="160"/>
      <c r="E433" s="161"/>
      <c r="F433" s="162"/>
      <c r="G433" s="163"/>
      <c r="H433" s="163"/>
      <c r="I433" s="164"/>
      <c r="J433" s="162"/>
      <c r="K433" s="165"/>
      <c r="L433" s="166"/>
      <c r="M433" s="167"/>
      <c r="N433" s="167"/>
      <c r="O433" s="168"/>
      <c r="P433" s="168"/>
      <c r="Q433" s="147"/>
      <c r="R433" s="147"/>
      <c r="S433" s="169"/>
      <c r="T433" s="147"/>
      <c r="U433" s="147"/>
      <c r="V433" s="147"/>
      <c r="W433" s="147"/>
      <c r="X433" s="147"/>
      <c r="Y433" s="147"/>
      <c r="Z433" s="147"/>
      <c r="AA433" s="147"/>
      <c r="AB433" s="147"/>
      <c r="AC433" s="147"/>
      <c r="AD433" s="147"/>
      <c r="AE433" s="147"/>
      <c r="AF433" s="147"/>
      <c r="AG433" s="147"/>
      <c r="AH433" s="147"/>
      <c r="AI433" s="147"/>
      <c r="AJ433" s="147"/>
      <c r="AK433" s="147"/>
      <c r="AL433" s="147"/>
      <c r="AM433" s="147"/>
      <c r="AN433" s="147"/>
      <c r="AO433" s="147"/>
      <c r="AP433" s="147"/>
      <c r="AQ433" s="147"/>
      <c r="AR433" s="147"/>
      <c r="AS433" s="147"/>
    </row>
    <row r="434" spans="1:45" x14ac:dyDescent="0.25">
      <c r="A434" s="147"/>
      <c r="B434" s="147"/>
      <c r="C434" s="160"/>
      <c r="D434" s="160"/>
      <c r="E434" s="161"/>
      <c r="F434" s="162"/>
      <c r="G434" s="163"/>
      <c r="H434" s="163"/>
      <c r="I434" s="164"/>
      <c r="J434" s="162"/>
      <c r="K434" s="165"/>
      <c r="L434" s="166"/>
      <c r="M434" s="167"/>
      <c r="N434" s="167"/>
      <c r="O434" s="168"/>
      <c r="P434" s="168"/>
      <c r="Q434" s="147"/>
      <c r="R434" s="147"/>
      <c r="S434" s="169"/>
      <c r="T434" s="147"/>
      <c r="U434" s="147"/>
      <c r="V434" s="147"/>
      <c r="W434" s="147"/>
      <c r="X434" s="147"/>
      <c r="Y434" s="147"/>
      <c r="Z434" s="147"/>
      <c r="AA434" s="147"/>
      <c r="AB434" s="147"/>
      <c r="AC434" s="147"/>
      <c r="AD434" s="147"/>
      <c r="AE434" s="147"/>
      <c r="AF434" s="147"/>
      <c r="AG434" s="147"/>
      <c r="AH434" s="147"/>
      <c r="AI434" s="147"/>
      <c r="AJ434" s="147"/>
      <c r="AK434" s="147"/>
      <c r="AL434" s="147"/>
      <c r="AM434" s="147"/>
      <c r="AN434" s="147"/>
      <c r="AO434" s="147"/>
      <c r="AP434" s="147"/>
      <c r="AQ434" s="147"/>
      <c r="AR434" s="147"/>
      <c r="AS434" s="147"/>
    </row>
    <row r="435" spans="1:45" x14ac:dyDescent="0.25">
      <c r="A435" s="147"/>
      <c r="B435" s="147"/>
      <c r="C435" s="160"/>
      <c r="D435" s="160"/>
      <c r="E435" s="161"/>
      <c r="F435" s="162"/>
      <c r="G435" s="163"/>
      <c r="H435" s="163"/>
      <c r="I435" s="164"/>
      <c r="J435" s="162"/>
      <c r="K435" s="165"/>
      <c r="L435" s="166"/>
      <c r="M435" s="167"/>
      <c r="N435" s="167"/>
      <c r="O435" s="168"/>
      <c r="P435" s="168"/>
      <c r="Q435" s="147"/>
      <c r="R435" s="147"/>
      <c r="S435" s="169"/>
      <c r="T435" s="147"/>
      <c r="U435" s="147"/>
      <c r="V435" s="147"/>
      <c r="W435" s="147"/>
      <c r="X435" s="147"/>
      <c r="Y435" s="147"/>
      <c r="Z435" s="147"/>
      <c r="AA435" s="147"/>
      <c r="AB435" s="147"/>
      <c r="AC435" s="147"/>
      <c r="AD435" s="147"/>
      <c r="AE435" s="147"/>
      <c r="AF435" s="147"/>
      <c r="AG435" s="147"/>
      <c r="AH435" s="147"/>
      <c r="AI435" s="147"/>
      <c r="AJ435" s="147"/>
      <c r="AK435" s="147"/>
      <c r="AL435" s="147"/>
      <c r="AM435" s="147"/>
      <c r="AN435" s="147"/>
      <c r="AO435" s="147"/>
      <c r="AP435" s="147"/>
      <c r="AQ435" s="147"/>
      <c r="AR435" s="147"/>
      <c r="AS435" s="147"/>
    </row>
    <row r="436" spans="1:45" x14ac:dyDescent="0.25">
      <c r="A436" s="147"/>
      <c r="B436" s="147"/>
      <c r="C436" s="160"/>
      <c r="D436" s="160"/>
      <c r="E436" s="161"/>
      <c r="F436" s="162"/>
      <c r="G436" s="163"/>
      <c r="H436" s="163"/>
      <c r="I436" s="164"/>
      <c r="J436" s="162"/>
      <c r="K436" s="165"/>
      <c r="L436" s="166"/>
      <c r="M436" s="167"/>
      <c r="N436" s="167"/>
      <c r="O436" s="168"/>
      <c r="P436" s="168"/>
      <c r="Q436" s="147"/>
      <c r="R436" s="147"/>
      <c r="S436" s="169"/>
      <c r="T436" s="147"/>
      <c r="U436" s="147"/>
      <c r="V436" s="147"/>
      <c r="W436" s="147"/>
      <c r="X436" s="147"/>
      <c r="Y436" s="147"/>
      <c r="Z436" s="147"/>
      <c r="AA436" s="147"/>
      <c r="AB436" s="147"/>
      <c r="AC436" s="147"/>
      <c r="AD436" s="147"/>
      <c r="AE436" s="147"/>
      <c r="AF436" s="147"/>
      <c r="AG436" s="147"/>
      <c r="AH436" s="147"/>
      <c r="AI436" s="147"/>
      <c r="AJ436" s="147"/>
      <c r="AK436" s="147"/>
      <c r="AL436" s="147"/>
      <c r="AM436" s="147"/>
      <c r="AN436" s="147"/>
      <c r="AO436" s="147"/>
      <c r="AP436" s="147"/>
      <c r="AQ436" s="147"/>
      <c r="AR436" s="147"/>
      <c r="AS436" s="147"/>
    </row>
    <row r="437" spans="1:45" x14ac:dyDescent="0.25">
      <c r="A437" s="147"/>
      <c r="B437" s="147"/>
      <c r="C437" s="160"/>
      <c r="D437" s="160"/>
      <c r="E437" s="161"/>
      <c r="F437" s="162"/>
      <c r="G437" s="163"/>
      <c r="H437" s="163"/>
      <c r="I437" s="164"/>
      <c r="J437" s="162"/>
      <c r="K437" s="165"/>
      <c r="L437" s="166"/>
      <c r="M437" s="167"/>
      <c r="N437" s="167"/>
      <c r="O437" s="168"/>
      <c r="P437" s="168"/>
      <c r="Q437" s="147"/>
      <c r="R437" s="147"/>
      <c r="S437" s="169"/>
      <c r="T437" s="147"/>
      <c r="U437" s="147"/>
      <c r="V437" s="147"/>
      <c r="W437" s="147"/>
      <c r="X437" s="147"/>
      <c r="Y437" s="147"/>
      <c r="Z437" s="147"/>
      <c r="AA437" s="147"/>
      <c r="AB437" s="147"/>
      <c r="AC437" s="147"/>
      <c r="AD437" s="147"/>
      <c r="AE437" s="147"/>
      <c r="AF437" s="147"/>
      <c r="AG437" s="147"/>
      <c r="AH437" s="147"/>
      <c r="AI437" s="147"/>
      <c r="AJ437" s="147"/>
      <c r="AK437" s="147"/>
      <c r="AL437" s="147"/>
      <c r="AM437" s="147"/>
      <c r="AN437" s="147"/>
      <c r="AO437" s="147"/>
      <c r="AP437" s="147"/>
      <c r="AQ437" s="147"/>
      <c r="AR437" s="147"/>
      <c r="AS437" s="147"/>
    </row>
    <row r="438" spans="1:45" x14ac:dyDescent="0.25">
      <c r="A438" s="147"/>
      <c r="B438" s="147"/>
      <c r="C438" s="160"/>
      <c r="D438" s="160"/>
      <c r="E438" s="161"/>
      <c r="F438" s="162"/>
      <c r="G438" s="163"/>
      <c r="H438" s="163"/>
      <c r="I438" s="164"/>
      <c r="J438" s="162"/>
      <c r="K438" s="165"/>
      <c r="L438" s="166"/>
      <c r="M438" s="167"/>
      <c r="N438" s="167"/>
      <c r="O438" s="168"/>
      <c r="P438" s="168"/>
      <c r="Q438" s="147"/>
      <c r="R438" s="147"/>
      <c r="S438" s="169"/>
      <c r="T438" s="147"/>
      <c r="U438" s="147"/>
      <c r="V438" s="147"/>
      <c r="W438" s="147"/>
      <c r="X438" s="147"/>
      <c r="Y438" s="147"/>
      <c r="Z438" s="147"/>
      <c r="AA438" s="147"/>
      <c r="AB438" s="147"/>
      <c r="AC438" s="147"/>
      <c r="AD438" s="147"/>
      <c r="AE438" s="147"/>
      <c r="AF438" s="147"/>
      <c r="AG438" s="147"/>
      <c r="AH438" s="147"/>
      <c r="AI438" s="147"/>
      <c r="AJ438" s="147"/>
      <c r="AK438" s="147"/>
      <c r="AL438" s="147"/>
      <c r="AM438" s="147"/>
      <c r="AN438" s="147"/>
      <c r="AO438" s="147"/>
      <c r="AP438" s="147"/>
      <c r="AQ438" s="147"/>
      <c r="AR438" s="147"/>
      <c r="AS438" s="147"/>
    </row>
    <row r="439" spans="1:45" x14ac:dyDescent="0.25">
      <c r="A439" s="147"/>
      <c r="B439" s="147"/>
      <c r="C439" s="160"/>
      <c r="D439" s="160"/>
      <c r="E439" s="161"/>
      <c r="F439" s="162"/>
      <c r="G439" s="163"/>
      <c r="H439" s="163"/>
      <c r="I439" s="164"/>
      <c r="J439" s="162"/>
      <c r="K439" s="165"/>
      <c r="L439" s="166"/>
      <c r="M439" s="167"/>
      <c r="N439" s="167"/>
      <c r="O439" s="168"/>
      <c r="P439" s="168"/>
      <c r="Q439" s="147"/>
      <c r="R439" s="147"/>
      <c r="S439" s="169"/>
      <c r="T439" s="147"/>
      <c r="U439" s="147"/>
      <c r="V439" s="147"/>
      <c r="W439" s="147"/>
      <c r="X439" s="147"/>
      <c r="Y439" s="147"/>
      <c r="Z439" s="147"/>
      <c r="AA439" s="147"/>
      <c r="AB439" s="147"/>
      <c r="AC439" s="147"/>
      <c r="AD439" s="147"/>
      <c r="AE439" s="147"/>
      <c r="AF439" s="147"/>
      <c r="AG439" s="147"/>
      <c r="AH439" s="147"/>
      <c r="AI439" s="147"/>
      <c r="AJ439" s="147"/>
      <c r="AK439" s="147"/>
      <c r="AL439" s="147"/>
      <c r="AM439" s="147"/>
      <c r="AN439" s="147"/>
      <c r="AO439" s="147"/>
      <c r="AP439" s="147"/>
      <c r="AQ439" s="147"/>
      <c r="AR439" s="147"/>
      <c r="AS439" s="147"/>
    </row>
    <row r="440" spans="1:45" x14ac:dyDescent="0.25">
      <c r="A440" s="147"/>
      <c r="B440" s="147"/>
      <c r="C440" s="160"/>
      <c r="D440" s="160"/>
      <c r="E440" s="161"/>
      <c r="F440" s="162"/>
      <c r="G440" s="163"/>
      <c r="H440" s="163"/>
      <c r="I440" s="164"/>
      <c r="J440" s="162"/>
      <c r="K440" s="165"/>
      <c r="L440" s="166"/>
      <c r="M440" s="167"/>
      <c r="N440" s="167"/>
      <c r="O440" s="168"/>
      <c r="P440" s="168"/>
      <c r="Q440" s="147"/>
      <c r="R440" s="147"/>
      <c r="S440" s="169"/>
      <c r="T440" s="147"/>
      <c r="U440" s="147"/>
      <c r="V440" s="147"/>
      <c r="W440" s="147"/>
      <c r="X440" s="147"/>
      <c r="Y440" s="147"/>
      <c r="Z440" s="147"/>
      <c r="AA440" s="147"/>
      <c r="AB440" s="147"/>
      <c r="AC440" s="147"/>
      <c r="AD440" s="147"/>
      <c r="AE440" s="147"/>
      <c r="AF440" s="147"/>
      <c r="AG440" s="147"/>
      <c r="AH440" s="147"/>
      <c r="AI440" s="147"/>
      <c r="AJ440" s="147"/>
      <c r="AK440" s="147"/>
      <c r="AL440" s="147"/>
      <c r="AM440" s="147"/>
      <c r="AN440" s="147"/>
      <c r="AO440" s="147"/>
      <c r="AP440" s="147"/>
      <c r="AQ440" s="147"/>
      <c r="AR440" s="147"/>
      <c r="AS440" s="147"/>
    </row>
    <row r="441" spans="1:45" x14ac:dyDescent="0.25">
      <c r="A441" s="147"/>
      <c r="B441" s="147"/>
      <c r="C441" s="160"/>
      <c r="D441" s="160"/>
      <c r="E441" s="161"/>
      <c r="F441" s="162"/>
      <c r="G441" s="163"/>
      <c r="H441" s="163"/>
      <c r="I441" s="164"/>
      <c r="J441" s="162"/>
      <c r="K441" s="165"/>
      <c r="L441" s="166"/>
      <c r="M441" s="167"/>
      <c r="N441" s="167"/>
      <c r="O441" s="168"/>
      <c r="P441" s="168"/>
      <c r="Q441" s="147"/>
      <c r="R441" s="147"/>
      <c r="S441" s="169"/>
      <c r="T441" s="147"/>
      <c r="U441" s="147"/>
      <c r="V441" s="147"/>
      <c r="W441" s="147"/>
      <c r="X441" s="147"/>
      <c r="Y441" s="147"/>
      <c r="Z441" s="147"/>
      <c r="AA441" s="147"/>
      <c r="AB441" s="147"/>
      <c r="AC441" s="147"/>
      <c r="AD441" s="147"/>
      <c r="AE441" s="147"/>
      <c r="AF441" s="147"/>
      <c r="AG441" s="147"/>
      <c r="AH441" s="147"/>
      <c r="AI441" s="147"/>
      <c r="AJ441" s="147"/>
      <c r="AK441" s="147"/>
      <c r="AL441" s="147"/>
      <c r="AM441" s="147"/>
      <c r="AN441" s="147"/>
      <c r="AO441" s="147"/>
      <c r="AP441" s="147"/>
      <c r="AQ441" s="147"/>
      <c r="AR441" s="147"/>
      <c r="AS441" s="147"/>
    </row>
    <row r="442" spans="1:45" x14ac:dyDescent="0.25">
      <c r="A442" s="147"/>
      <c r="B442" s="147"/>
      <c r="C442" s="160"/>
      <c r="D442" s="160"/>
      <c r="E442" s="161"/>
      <c r="F442" s="162"/>
      <c r="G442" s="163"/>
      <c r="H442" s="163"/>
      <c r="I442" s="164"/>
      <c r="J442" s="162"/>
      <c r="K442" s="165"/>
      <c r="L442" s="166"/>
      <c r="M442" s="167"/>
      <c r="N442" s="167"/>
      <c r="O442" s="168"/>
      <c r="P442" s="168"/>
      <c r="Q442" s="147"/>
      <c r="R442" s="147"/>
      <c r="S442" s="169"/>
      <c r="T442" s="147"/>
      <c r="U442" s="147"/>
      <c r="V442" s="147"/>
      <c r="W442" s="147"/>
      <c r="X442" s="147"/>
      <c r="Y442" s="147"/>
      <c r="Z442" s="147"/>
      <c r="AA442" s="147"/>
      <c r="AB442" s="147"/>
      <c r="AC442" s="147"/>
      <c r="AD442" s="147"/>
      <c r="AE442" s="147"/>
      <c r="AF442" s="147"/>
      <c r="AG442" s="147"/>
      <c r="AH442" s="147"/>
      <c r="AI442" s="147"/>
      <c r="AJ442" s="147"/>
      <c r="AK442" s="147"/>
      <c r="AL442" s="147"/>
      <c r="AM442" s="147"/>
      <c r="AN442" s="147"/>
      <c r="AO442" s="147"/>
      <c r="AP442" s="147"/>
      <c r="AQ442" s="147"/>
      <c r="AR442" s="147"/>
      <c r="AS442" s="147"/>
    </row>
    <row r="443" spans="1:45" x14ac:dyDescent="0.25">
      <c r="A443" s="147"/>
      <c r="B443" s="147"/>
      <c r="C443" s="160"/>
      <c r="D443" s="160"/>
      <c r="E443" s="161"/>
      <c r="F443" s="162"/>
      <c r="G443" s="163"/>
      <c r="H443" s="163"/>
      <c r="I443" s="164"/>
      <c r="J443" s="162"/>
      <c r="K443" s="165"/>
      <c r="L443" s="166"/>
      <c r="M443" s="167"/>
      <c r="N443" s="167"/>
      <c r="O443" s="168"/>
      <c r="P443" s="168"/>
      <c r="Q443" s="147"/>
      <c r="R443" s="147"/>
      <c r="S443" s="169"/>
      <c r="T443" s="147"/>
      <c r="U443" s="147"/>
      <c r="V443" s="147"/>
      <c r="W443" s="147"/>
      <c r="X443" s="147"/>
      <c r="Y443" s="147"/>
      <c r="Z443" s="147"/>
      <c r="AA443" s="147"/>
      <c r="AB443" s="147"/>
      <c r="AC443" s="147"/>
      <c r="AD443" s="147"/>
      <c r="AE443" s="147"/>
      <c r="AF443" s="147"/>
      <c r="AG443" s="147"/>
      <c r="AH443" s="147"/>
      <c r="AI443" s="147"/>
      <c r="AJ443" s="147"/>
      <c r="AK443" s="147"/>
      <c r="AL443" s="147"/>
      <c r="AM443" s="147"/>
      <c r="AN443" s="147"/>
      <c r="AO443" s="147"/>
      <c r="AP443" s="147"/>
      <c r="AQ443" s="147"/>
      <c r="AR443" s="147"/>
      <c r="AS443" s="147"/>
    </row>
    <row r="444" spans="1:45" x14ac:dyDescent="0.25">
      <c r="A444" s="147"/>
      <c r="B444" s="147"/>
      <c r="C444" s="160"/>
      <c r="D444" s="160"/>
      <c r="E444" s="161"/>
      <c r="F444" s="162"/>
      <c r="G444" s="163"/>
      <c r="H444" s="163"/>
      <c r="I444" s="164"/>
      <c r="J444" s="162"/>
      <c r="K444" s="165"/>
      <c r="L444" s="166"/>
      <c r="M444" s="167"/>
      <c r="N444" s="167"/>
      <c r="O444" s="168"/>
      <c r="P444" s="168"/>
      <c r="Q444" s="147"/>
      <c r="R444" s="147"/>
      <c r="S444" s="169"/>
      <c r="T444" s="147"/>
      <c r="U444" s="147"/>
      <c r="V444" s="147"/>
      <c r="W444" s="147"/>
      <c r="X444" s="147"/>
      <c r="Y444" s="147"/>
      <c r="Z444" s="147"/>
      <c r="AA444" s="147"/>
      <c r="AB444" s="147"/>
      <c r="AC444" s="147"/>
      <c r="AD444" s="147"/>
      <c r="AE444" s="147"/>
      <c r="AF444" s="147"/>
      <c r="AG444" s="147"/>
      <c r="AH444" s="147"/>
      <c r="AI444" s="147"/>
      <c r="AJ444" s="147"/>
      <c r="AK444" s="147"/>
      <c r="AL444" s="147"/>
      <c r="AM444" s="147"/>
      <c r="AN444" s="147"/>
      <c r="AO444" s="147"/>
      <c r="AP444" s="147"/>
      <c r="AQ444" s="147"/>
      <c r="AR444" s="147"/>
      <c r="AS444" s="147"/>
    </row>
    <row r="445" spans="1:45" x14ac:dyDescent="0.25">
      <c r="A445" s="147"/>
      <c r="B445" s="147"/>
      <c r="C445" s="160"/>
      <c r="D445" s="160"/>
      <c r="E445" s="161"/>
      <c r="F445" s="162"/>
      <c r="G445" s="163"/>
      <c r="H445" s="163"/>
      <c r="I445" s="164"/>
      <c r="J445" s="162"/>
      <c r="K445" s="165"/>
      <c r="L445" s="166"/>
      <c r="M445" s="167"/>
      <c r="N445" s="167"/>
      <c r="O445" s="168"/>
      <c r="P445" s="168"/>
      <c r="Q445" s="147"/>
      <c r="R445" s="147"/>
      <c r="S445" s="169"/>
      <c r="T445" s="147"/>
      <c r="U445" s="147"/>
      <c r="V445" s="147"/>
      <c r="W445" s="147"/>
      <c r="X445" s="147"/>
      <c r="Y445" s="147"/>
      <c r="Z445" s="147"/>
      <c r="AA445" s="147"/>
      <c r="AB445" s="147"/>
      <c r="AC445" s="147"/>
      <c r="AD445" s="147"/>
      <c r="AE445" s="147"/>
      <c r="AF445" s="147"/>
      <c r="AG445" s="147"/>
      <c r="AH445" s="147"/>
      <c r="AI445" s="147"/>
      <c r="AJ445" s="147"/>
      <c r="AK445" s="147"/>
      <c r="AL445" s="147"/>
      <c r="AM445" s="147"/>
      <c r="AN445" s="147"/>
      <c r="AO445" s="147"/>
      <c r="AP445" s="147"/>
      <c r="AQ445" s="147"/>
      <c r="AR445" s="147"/>
      <c r="AS445" s="147"/>
    </row>
    <row r="446" spans="1:45" x14ac:dyDescent="0.25">
      <c r="A446" s="147"/>
      <c r="B446" s="147"/>
      <c r="C446" s="160"/>
      <c r="D446" s="160"/>
      <c r="E446" s="161"/>
      <c r="F446" s="162"/>
      <c r="G446" s="163"/>
      <c r="H446" s="163"/>
      <c r="I446" s="164"/>
      <c r="J446" s="162"/>
      <c r="K446" s="165"/>
      <c r="L446" s="166"/>
      <c r="M446" s="167"/>
      <c r="N446" s="167"/>
      <c r="O446" s="168"/>
      <c r="P446" s="168"/>
      <c r="Q446" s="147"/>
      <c r="R446" s="147"/>
      <c r="S446" s="169"/>
      <c r="T446" s="147"/>
      <c r="U446" s="147"/>
      <c r="V446" s="147"/>
      <c r="W446" s="147"/>
      <c r="X446" s="147"/>
      <c r="Y446" s="147"/>
      <c r="Z446" s="147"/>
      <c r="AA446" s="147"/>
      <c r="AB446" s="147"/>
      <c r="AC446" s="147"/>
      <c r="AD446" s="147"/>
      <c r="AE446" s="147"/>
      <c r="AF446" s="147"/>
      <c r="AG446" s="147"/>
      <c r="AH446" s="147"/>
      <c r="AI446" s="147"/>
      <c r="AJ446" s="147"/>
      <c r="AK446" s="147"/>
      <c r="AL446" s="147"/>
      <c r="AM446" s="147"/>
      <c r="AN446" s="147"/>
      <c r="AO446" s="147"/>
      <c r="AP446" s="147"/>
      <c r="AQ446" s="147"/>
      <c r="AR446" s="147"/>
      <c r="AS446" s="147"/>
    </row>
    <row r="447" spans="1:45" x14ac:dyDescent="0.25">
      <c r="A447" s="147"/>
      <c r="B447" s="147"/>
      <c r="C447" s="160"/>
      <c r="D447" s="160"/>
      <c r="E447" s="161"/>
      <c r="F447" s="162"/>
      <c r="G447" s="163"/>
      <c r="H447" s="163"/>
      <c r="I447" s="164"/>
      <c r="J447" s="162"/>
      <c r="K447" s="165"/>
      <c r="L447" s="166"/>
      <c r="M447" s="167"/>
      <c r="N447" s="167"/>
      <c r="O447" s="168"/>
      <c r="P447" s="168"/>
      <c r="Q447" s="147"/>
      <c r="R447" s="147"/>
      <c r="S447" s="169"/>
      <c r="T447" s="147"/>
      <c r="U447" s="147"/>
      <c r="V447" s="147"/>
      <c r="W447" s="147"/>
      <c r="X447" s="147"/>
      <c r="Y447" s="147"/>
      <c r="Z447" s="147"/>
      <c r="AA447" s="147"/>
      <c r="AB447" s="147"/>
      <c r="AC447" s="147"/>
      <c r="AD447" s="147"/>
      <c r="AE447" s="147"/>
      <c r="AF447" s="147"/>
      <c r="AG447" s="147"/>
      <c r="AH447" s="147"/>
      <c r="AI447" s="147"/>
      <c r="AJ447" s="147"/>
      <c r="AK447" s="147"/>
      <c r="AL447" s="147"/>
      <c r="AM447" s="147"/>
      <c r="AN447" s="147"/>
      <c r="AO447" s="147"/>
      <c r="AP447" s="147"/>
      <c r="AQ447" s="147"/>
      <c r="AR447" s="147"/>
      <c r="AS447" s="147"/>
    </row>
    <row r="448" spans="1:45" x14ac:dyDescent="0.25">
      <c r="A448" s="147"/>
      <c r="B448" s="147"/>
      <c r="C448" s="160"/>
      <c r="D448" s="160"/>
      <c r="E448" s="161"/>
      <c r="F448" s="162"/>
      <c r="G448" s="163"/>
      <c r="H448" s="163"/>
      <c r="I448" s="164"/>
      <c r="J448" s="162"/>
      <c r="K448" s="165"/>
      <c r="L448" s="166"/>
      <c r="M448" s="167"/>
      <c r="N448" s="167"/>
      <c r="O448" s="168"/>
      <c r="P448" s="168"/>
      <c r="Q448" s="147"/>
      <c r="R448" s="147"/>
      <c r="S448" s="169"/>
      <c r="T448" s="147"/>
      <c r="U448" s="147"/>
      <c r="V448" s="147"/>
      <c r="W448" s="147"/>
      <c r="X448" s="147"/>
      <c r="Y448" s="147"/>
      <c r="Z448" s="147"/>
      <c r="AA448" s="147"/>
      <c r="AB448" s="147"/>
      <c r="AC448" s="147"/>
      <c r="AD448" s="147"/>
      <c r="AE448" s="147"/>
      <c r="AF448" s="147"/>
      <c r="AG448" s="147"/>
      <c r="AH448" s="147"/>
      <c r="AI448" s="147"/>
      <c r="AJ448" s="147"/>
      <c r="AK448" s="147"/>
      <c r="AL448" s="147"/>
      <c r="AM448" s="147"/>
      <c r="AN448" s="147"/>
      <c r="AO448" s="147"/>
      <c r="AP448" s="147"/>
      <c r="AQ448" s="147"/>
      <c r="AR448" s="147"/>
      <c r="AS448" s="147"/>
    </row>
    <row r="449" spans="1:45" x14ac:dyDescent="0.25">
      <c r="A449" s="147"/>
      <c r="B449" s="147"/>
      <c r="C449" s="160"/>
      <c r="D449" s="160"/>
      <c r="E449" s="161"/>
      <c r="F449" s="162"/>
      <c r="G449" s="163"/>
      <c r="H449" s="163"/>
      <c r="I449" s="164"/>
      <c r="J449" s="162"/>
      <c r="K449" s="165"/>
      <c r="L449" s="166"/>
      <c r="M449" s="167"/>
      <c r="N449" s="167"/>
      <c r="O449" s="168"/>
      <c r="P449" s="168"/>
      <c r="Q449" s="147"/>
      <c r="R449" s="147"/>
      <c r="S449" s="169"/>
      <c r="T449" s="147"/>
      <c r="U449" s="147"/>
      <c r="V449" s="147"/>
      <c r="W449" s="147"/>
      <c r="X449" s="147"/>
      <c r="Y449" s="147"/>
      <c r="Z449" s="147"/>
      <c r="AA449" s="147"/>
      <c r="AB449" s="147"/>
      <c r="AC449" s="147"/>
      <c r="AD449" s="147"/>
      <c r="AE449" s="147"/>
      <c r="AF449" s="147"/>
      <c r="AG449" s="147"/>
      <c r="AH449" s="147"/>
      <c r="AI449" s="147"/>
      <c r="AJ449" s="147"/>
      <c r="AK449" s="147"/>
      <c r="AL449" s="147"/>
      <c r="AM449" s="147"/>
      <c r="AN449" s="147"/>
      <c r="AO449" s="147"/>
      <c r="AP449" s="147"/>
      <c r="AQ449" s="147"/>
      <c r="AR449" s="147"/>
      <c r="AS449" s="147"/>
    </row>
    <row r="450" spans="1:45" x14ac:dyDescent="0.25">
      <c r="A450" s="147"/>
      <c r="B450" s="147"/>
      <c r="C450" s="160"/>
      <c r="D450" s="160"/>
      <c r="E450" s="161"/>
      <c r="F450" s="162"/>
      <c r="G450" s="163"/>
      <c r="H450" s="163"/>
      <c r="I450" s="164"/>
      <c r="J450" s="162"/>
      <c r="K450" s="165"/>
      <c r="L450" s="166"/>
      <c r="M450" s="167"/>
      <c r="N450" s="167"/>
      <c r="O450" s="168"/>
      <c r="P450" s="168"/>
      <c r="Q450" s="147"/>
      <c r="R450" s="147"/>
      <c r="S450" s="169"/>
      <c r="T450" s="147"/>
      <c r="U450" s="147"/>
      <c r="V450" s="147"/>
      <c r="W450" s="147"/>
      <c r="X450" s="147"/>
      <c r="Y450" s="147"/>
      <c r="Z450" s="147"/>
      <c r="AA450" s="147"/>
      <c r="AB450" s="147"/>
      <c r="AC450" s="147"/>
      <c r="AD450" s="147"/>
      <c r="AE450" s="147"/>
      <c r="AF450" s="147"/>
      <c r="AG450" s="147"/>
      <c r="AH450" s="147"/>
      <c r="AI450" s="147"/>
      <c r="AJ450" s="147"/>
      <c r="AK450" s="147"/>
      <c r="AL450" s="147"/>
      <c r="AM450" s="147"/>
      <c r="AN450" s="147"/>
      <c r="AO450" s="147"/>
      <c r="AP450" s="147"/>
      <c r="AQ450" s="147"/>
      <c r="AR450" s="147"/>
      <c r="AS450" s="147"/>
    </row>
    <row r="451" spans="1:45" x14ac:dyDescent="0.25">
      <c r="A451" s="147"/>
      <c r="B451" s="147"/>
      <c r="C451" s="160"/>
      <c r="D451" s="160"/>
      <c r="E451" s="161"/>
      <c r="F451" s="162"/>
      <c r="G451" s="163"/>
      <c r="H451" s="163"/>
      <c r="I451" s="164"/>
      <c r="J451" s="162"/>
      <c r="K451" s="165"/>
      <c r="L451" s="166"/>
      <c r="M451" s="167"/>
      <c r="N451" s="167"/>
      <c r="O451" s="168"/>
      <c r="P451" s="168"/>
      <c r="Q451" s="147"/>
      <c r="R451" s="147"/>
      <c r="S451" s="169"/>
      <c r="T451" s="147"/>
      <c r="U451" s="147"/>
      <c r="V451" s="147"/>
      <c r="W451" s="147"/>
      <c r="X451" s="147"/>
      <c r="Y451" s="147"/>
      <c r="Z451" s="147"/>
      <c r="AA451" s="147"/>
      <c r="AB451" s="147"/>
      <c r="AC451" s="147"/>
      <c r="AD451" s="147"/>
      <c r="AE451" s="147"/>
      <c r="AF451" s="147"/>
      <c r="AG451" s="147"/>
      <c r="AH451" s="147"/>
      <c r="AI451" s="147"/>
      <c r="AJ451" s="147"/>
      <c r="AK451" s="147"/>
      <c r="AL451" s="147"/>
      <c r="AM451" s="147"/>
      <c r="AN451" s="147"/>
      <c r="AO451" s="147"/>
      <c r="AP451" s="147"/>
      <c r="AQ451" s="147"/>
      <c r="AR451" s="147"/>
      <c r="AS451" s="147"/>
    </row>
    <row r="452" spans="1:45" x14ac:dyDescent="0.25">
      <c r="A452" s="147"/>
      <c r="B452" s="147"/>
      <c r="C452" s="160"/>
      <c r="D452" s="160"/>
      <c r="E452" s="161"/>
      <c r="F452" s="162"/>
      <c r="G452" s="163"/>
      <c r="H452" s="163"/>
      <c r="I452" s="164"/>
      <c r="J452" s="162"/>
      <c r="K452" s="165"/>
      <c r="L452" s="166"/>
      <c r="M452" s="167"/>
      <c r="N452" s="167"/>
      <c r="O452" s="168"/>
      <c r="P452" s="168"/>
      <c r="Q452" s="147"/>
      <c r="R452" s="147"/>
      <c r="S452" s="169"/>
      <c r="T452" s="147"/>
      <c r="U452" s="147"/>
      <c r="V452" s="147"/>
      <c r="W452" s="147"/>
      <c r="X452" s="147"/>
      <c r="Y452" s="147"/>
      <c r="Z452" s="147"/>
      <c r="AA452" s="147"/>
      <c r="AB452" s="147"/>
      <c r="AC452" s="147"/>
      <c r="AD452" s="147"/>
      <c r="AE452" s="147"/>
      <c r="AF452" s="147"/>
      <c r="AG452" s="147"/>
      <c r="AH452" s="147"/>
      <c r="AI452" s="147"/>
      <c r="AJ452" s="147"/>
      <c r="AK452" s="147"/>
      <c r="AL452" s="147"/>
      <c r="AM452" s="147"/>
      <c r="AN452" s="147"/>
      <c r="AO452" s="147"/>
      <c r="AP452" s="147"/>
      <c r="AQ452" s="147"/>
      <c r="AR452" s="147"/>
      <c r="AS452" s="147"/>
    </row>
    <row r="453" spans="1:45" x14ac:dyDescent="0.25">
      <c r="A453" s="147"/>
      <c r="B453" s="147"/>
      <c r="C453" s="160"/>
      <c r="D453" s="160"/>
      <c r="E453" s="161"/>
      <c r="F453" s="162"/>
      <c r="G453" s="163"/>
      <c r="H453" s="163"/>
      <c r="I453" s="164"/>
      <c r="J453" s="162"/>
      <c r="K453" s="165"/>
      <c r="L453" s="166"/>
      <c r="M453" s="167"/>
      <c r="N453" s="167"/>
      <c r="O453" s="168"/>
      <c r="P453" s="168"/>
      <c r="Q453" s="147"/>
      <c r="R453" s="147"/>
      <c r="S453" s="169"/>
      <c r="T453" s="147"/>
      <c r="U453" s="147"/>
      <c r="V453" s="147"/>
      <c r="W453" s="147"/>
      <c r="X453" s="147"/>
      <c r="Y453" s="147"/>
      <c r="Z453" s="147"/>
      <c r="AA453" s="147"/>
      <c r="AB453" s="147"/>
      <c r="AC453" s="147"/>
      <c r="AD453" s="147"/>
      <c r="AE453" s="147"/>
      <c r="AF453" s="147"/>
      <c r="AG453" s="147"/>
      <c r="AH453" s="147"/>
      <c r="AI453" s="147"/>
      <c r="AJ453" s="147"/>
      <c r="AK453" s="147"/>
      <c r="AL453" s="147"/>
      <c r="AM453" s="147"/>
      <c r="AN453" s="147"/>
      <c r="AO453" s="147"/>
      <c r="AP453" s="147"/>
      <c r="AQ453" s="147"/>
      <c r="AR453" s="147"/>
      <c r="AS453" s="147"/>
    </row>
    <row r="454" spans="1:45" x14ac:dyDescent="0.25">
      <c r="A454" s="147"/>
      <c r="B454" s="147"/>
      <c r="C454" s="160"/>
      <c r="D454" s="160"/>
      <c r="E454" s="161"/>
      <c r="F454" s="162"/>
      <c r="G454" s="163"/>
      <c r="H454" s="163"/>
      <c r="I454" s="164"/>
      <c r="J454" s="162"/>
      <c r="K454" s="165"/>
      <c r="L454" s="166"/>
      <c r="M454" s="167"/>
      <c r="N454" s="167"/>
      <c r="O454" s="168"/>
      <c r="P454" s="168"/>
      <c r="Q454" s="147"/>
      <c r="R454" s="147"/>
      <c r="S454" s="169"/>
      <c r="T454" s="147"/>
      <c r="U454" s="147"/>
      <c r="V454" s="147"/>
      <c r="W454" s="147"/>
      <c r="X454" s="147"/>
      <c r="Y454" s="147"/>
      <c r="Z454" s="147"/>
      <c r="AA454" s="147"/>
      <c r="AB454" s="147"/>
      <c r="AC454" s="147"/>
      <c r="AD454" s="147"/>
      <c r="AE454" s="147"/>
      <c r="AF454" s="147"/>
      <c r="AG454" s="147"/>
      <c r="AH454" s="147"/>
      <c r="AI454" s="147"/>
      <c r="AJ454" s="147"/>
      <c r="AK454" s="147"/>
      <c r="AL454" s="147"/>
      <c r="AM454" s="147"/>
      <c r="AN454" s="147"/>
      <c r="AO454" s="147"/>
      <c r="AP454" s="147"/>
      <c r="AQ454" s="147"/>
      <c r="AR454" s="147"/>
      <c r="AS454" s="147"/>
    </row>
    <row r="455" spans="1:45" x14ac:dyDescent="0.25">
      <c r="A455" s="147"/>
      <c r="B455" s="147"/>
      <c r="C455" s="160"/>
      <c r="D455" s="160"/>
      <c r="E455" s="161"/>
      <c r="F455" s="162"/>
      <c r="G455" s="163"/>
      <c r="H455" s="163"/>
      <c r="I455" s="164"/>
      <c r="J455" s="162"/>
      <c r="K455" s="165"/>
      <c r="L455" s="166"/>
      <c r="M455" s="167"/>
      <c r="N455" s="167"/>
      <c r="O455" s="168"/>
      <c r="P455" s="168"/>
      <c r="Q455" s="147"/>
      <c r="R455" s="147"/>
      <c r="S455" s="169"/>
      <c r="T455" s="147"/>
      <c r="U455" s="147"/>
      <c r="V455" s="147"/>
      <c r="W455" s="147"/>
      <c r="X455" s="147"/>
      <c r="Y455" s="147"/>
      <c r="Z455" s="147"/>
      <c r="AA455" s="147"/>
      <c r="AB455" s="147"/>
      <c r="AC455" s="147"/>
      <c r="AD455" s="147"/>
      <c r="AE455" s="147"/>
      <c r="AF455" s="147"/>
      <c r="AG455" s="147"/>
      <c r="AH455" s="147"/>
      <c r="AI455" s="147"/>
      <c r="AJ455" s="147"/>
      <c r="AK455" s="147"/>
      <c r="AL455" s="147"/>
      <c r="AM455" s="147"/>
      <c r="AN455" s="147"/>
      <c r="AO455" s="147"/>
      <c r="AP455" s="147"/>
      <c r="AQ455" s="147"/>
      <c r="AR455" s="147"/>
      <c r="AS455" s="147"/>
    </row>
    <row r="456" spans="1:45" x14ac:dyDescent="0.25">
      <c r="A456" s="147"/>
      <c r="B456" s="147"/>
      <c r="C456" s="160"/>
      <c r="D456" s="160"/>
      <c r="E456" s="161"/>
      <c r="F456" s="162"/>
      <c r="G456" s="163"/>
      <c r="H456" s="163"/>
      <c r="I456" s="164"/>
      <c r="J456" s="162"/>
      <c r="K456" s="165"/>
      <c r="L456" s="166"/>
      <c r="M456" s="167"/>
      <c r="N456" s="167"/>
      <c r="O456" s="168"/>
      <c r="P456" s="168"/>
      <c r="Q456" s="147"/>
      <c r="R456" s="147"/>
      <c r="S456" s="169"/>
      <c r="T456" s="147"/>
      <c r="U456" s="147"/>
      <c r="V456" s="147"/>
      <c r="W456" s="147"/>
      <c r="X456" s="147"/>
      <c r="Y456" s="147"/>
      <c r="Z456" s="147"/>
      <c r="AA456" s="147"/>
      <c r="AB456" s="147"/>
      <c r="AC456" s="147"/>
      <c r="AD456" s="147"/>
      <c r="AE456" s="147"/>
      <c r="AF456" s="147"/>
      <c r="AG456" s="147"/>
      <c r="AH456" s="147"/>
      <c r="AI456" s="147"/>
      <c r="AJ456" s="147"/>
      <c r="AK456" s="147"/>
      <c r="AL456" s="147"/>
      <c r="AM456" s="147"/>
      <c r="AN456" s="147"/>
      <c r="AO456" s="147"/>
      <c r="AP456" s="147"/>
      <c r="AQ456" s="147"/>
      <c r="AR456" s="147"/>
      <c r="AS456" s="147"/>
    </row>
    <row r="457" spans="1:45" x14ac:dyDescent="0.25">
      <c r="A457" s="147"/>
      <c r="B457" s="147"/>
      <c r="C457" s="160"/>
      <c r="D457" s="160"/>
      <c r="E457" s="161"/>
      <c r="F457" s="162"/>
      <c r="G457" s="163"/>
      <c r="H457" s="163"/>
      <c r="I457" s="164"/>
      <c r="J457" s="162"/>
      <c r="K457" s="165"/>
      <c r="L457" s="166"/>
      <c r="M457" s="167"/>
      <c r="N457" s="167"/>
      <c r="O457" s="168"/>
      <c r="P457" s="168"/>
      <c r="Q457" s="147"/>
      <c r="R457" s="147"/>
      <c r="S457" s="169"/>
      <c r="T457" s="147"/>
      <c r="U457" s="147"/>
      <c r="V457" s="147"/>
      <c r="W457" s="147"/>
      <c r="X457" s="147"/>
      <c r="Y457" s="147"/>
      <c r="Z457" s="147"/>
      <c r="AA457" s="147"/>
      <c r="AB457" s="147"/>
      <c r="AC457" s="147"/>
      <c r="AD457" s="147"/>
      <c r="AE457" s="147"/>
      <c r="AF457" s="147"/>
      <c r="AG457" s="147"/>
      <c r="AH457" s="147"/>
      <c r="AI457" s="147"/>
      <c r="AJ457" s="147"/>
      <c r="AK457" s="147"/>
      <c r="AL457" s="147"/>
      <c r="AM457" s="147"/>
      <c r="AN457" s="147"/>
      <c r="AO457" s="147"/>
      <c r="AP457" s="147"/>
      <c r="AQ457" s="147"/>
      <c r="AR457" s="147"/>
      <c r="AS457" s="147"/>
    </row>
    <row r="458" spans="1:45" x14ac:dyDescent="0.25">
      <c r="A458" s="147"/>
      <c r="B458" s="147"/>
      <c r="C458" s="160"/>
      <c r="D458" s="160"/>
      <c r="E458" s="161"/>
      <c r="F458" s="162"/>
      <c r="G458" s="163"/>
      <c r="H458" s="163"/>
      <c r="I458" s="164"/>
      <c r="J458" s="162"/>
      <c r="K458" s="165"/>
      <c r="L458" s="166"/>
      <c r="M458" s="167"/>
      <c r="N458" s="167"/>
      <c r="O458" s="168"/>
      <c r="P458" s="168"/>
      <c r="Q458" s="147"/>
      <c r="R458" s="147"/>
      <c r="S458" s="169"/>
      <c r="T458" s="147"/>
      <c r="U458" s="147"/>
      <c r="V458" s="147"/>
      <c r="W458" s="147"/>
      <c r="X458" s="147"/>
      <c r="Y458" s="147"/>
      <c r="Z458" s="147"/>
      <c r="AA458" s="147"/>
      <c r="AB458" s="147"/>
      <c r="AC458" s="147"/>
      <c r="AD458" s="147"/>
      <c r="AE458" s="147"/>
      <c r="AF458" s="147"/>
      <c r="AG458" s="147"/>
      <c r="AH458" s="147"/>
      <c r="AI458" s="147"/>
      <c r="AJ458" s="147"/>
      <c r="AK458" s="147"/>
      <c r="AL458" s="147"/>
      <c r="AM458" s="147"/>
      <c r="AN458" s="147"/>
      <c r="AO458" s="147"/>
      <c r="AP458" s="147"/>
      <c r="AQ458" s="147"/>
      <c r="AR458" s="147"/>
      <c r="AS458" s="147"/>
    </row>
    <row r="459" spans="1:45" x14ac:dyDescent="0.25">
      <c r="A459" s="147"/>
      <c r="B459" s="147"/>
      <c r="C459" s="160"/>
      <c r="D459" s="160"/>
      <c r="E459" s="161"/>
      <c r="F459" s="162"/>
      <c r="G459" s="163"/>
      <c r="H459" s="163"/>
      <c r="I459" s="164"/>
      <c r="J459" s="162"/>
      <c r="K459" s="165"/>
      <c r="L459" s="166"/>
      <c r="M459" s="167"/>
      <c r="N459" s="167"/>
      <c r="O459" s="168"/>
      <c r="P459" s="168"/>
      <c r="Q459" s="147"/>
      <c r="R459" s="147"/>
      <c r="S459" s="169"/>
      <c r="T459" s="147"/>
      <c r="U459" s="147"/>
      <c r="V459" s="147"/>
      <c r="W459" s="147"/>
      <c r="X459" s="147"/>
      <c r="Y459" s="147"/>
      <c r="Z459" s="147"/>
      <c r="AA459" s="147"/>
      <c r="AB459" s="147"/>
      <c r="AC459" s="147"/>
      <c r="AD459" s="147"/>
      <c r="AE459" s="147"/>
      <c r="AF459" s="147"/>
      <c r="AG459" s="147"/>
      <c r="AH459" s="147"/>
      <c r="AI459" s="147"/>
      <c r="AJ459" s="147"/>
      <c r="AK459" s="147"/>
      <c r="AL459" s="147"/>
      <c r="AM459" s="147"/>
      <c r="AN459" s="147"/>
      <c r="AO459" s="147"/>
      <c r="AP459" s="147"/>
      <c r="AQ459" s="147"/>
      <c r="AR459" s="147"/>
      <c r="AS459" s="147"/>
    </row>
    <row r="460" spans="1:45" x14ac:dyDescent="0.25">
      <c r="A460" s="147"/>
      <c r="B460" s="147"/>
      <c r="C460" s="160"/>
      <c r="D460" s="160"/>
      <c r="E460" s="161"/>
      <c r="F460" s="162"/>
      <c r="G460" s="163"/>
      <c r="H460" s="163"/>
      <c r="I460" s="164"/>
      <c r="J460" s="162"/>
      <c r="K460" s="165"/>
      <c r="L460" s="166"/>
      <c r="M460" s="167"/>
      <c r="N460" s="167"/>
      <c r="O460" s="168"/>
      <c r="P460" s="168"/>
      <c r="Q460" s="147"/>
      <c r="R460" s="147"/>
      <c r="S460" s="169"/>
      <c r="T460" s="147"/>
      <c r="U460" s="147"/>
      <c r="V460" s="147"/>
      <c r="W460" s="147"/>
      <c r="X460" s="147"/>
      <c r="Y460" s="147"/>
      <c r="Z460" s="147"/>
      <c r="AA460" s="147"/>
      <c r="AB460" s="147"/>
      <c r="AC460" s="147"/>
      <c r="AD460" s="147"/>
      <c r="AE460" s="147"/>
      <c r="AF460" s="147"/>
      <c r="AG460" s="147"/>
      <c r="AH460" s="147"/>
      <c r="AI460" s="147"/>
      <c r="AJ460" s="147"/>
      <c r="AK460" s="147"/>
      <c r="AL460" s="147"/>
      <c r="AM460" s="147"/>
      <c r="AN460" s="147"/>
      <c r="AO460" s="147"/>
      <c r="AP460" s="147"/>
      <c r="AQ460" s="147"/>
      <c r="AR460" s="147"/>
      <c r="AS460" s="147"/>
    </row>
    <row r="461" spans="1:45" x14ac:dyDescent="0.25">
      <c r="A461" s="147"/>
      <c r="B461" s="147"/>
      <c r="C461" s="160"/>
      <c r="D461" s="160"/>
      <c r="E461" s="161"/>
      <c r="F461" s="162"/>
      <c r="G461" s="163"/>
      <c r="H461" s="163"/>
      <c r="I461" s="164"/>
      <c r="J461" s="162"/>
      <c r="K461" s="165"/>
      <c r="L461" s="166"/>
      <c r="M461" s="167"/>
      <c r="N461" s="167"/>
      <c r="O461" s="168"/>
      <c r="P461" s="168"/>
      <c r="Q461" s="147"/>
      <c r="R461" s="147"/>
      <c r="S461" s="169"/>
      <c r="T461" s="147"/>
      <c r="U461" s="147"/>
      <c r="V461" s="147"/>
      <c r="W461" s="147"/>
      <c r="X461" s="147"/>
      <c r="Y461" s="147"/>
      <c r="Z461" s="147"/>
      <c r="AA461" s="147"/>
      <c r="AB461" s="147"/>
      <c r="AC461" s="147"/>
      <c r="AD461" s="147"/>
      <c r="AE461" s="147"/>
      <c r="AF461" s="147"/>
      <c r="AG461" s="147"/>
      <c r="AH461" s="147"/>
      <c r="AI461" s="147"/>
      <c r="AJ461" s="147"/>
      <c r="AK461" s="147"/>
      <c r="AL461" s="147"/>
      <c r="AM461" s="147"/>
      <c r="AN461" s="147"/>
      <c r="AO461" s="147"/>
      <c r="AP461" s="147"/>
      <c r="AQ461" s="147"/>
      <c r="AR461" s="147"/>
      <c r="AS461" s="147"/>
    </row>
    <row r="462" spans="1:45" x14ac:dyDescent="0.25">
      <c r="A462" s="147"/>
      <c r="B462" s="147"/>
      <c r="C462" s="160"/>
      <c r="D462" s="160"/>
      <c r="E462" s="161"/>
      <c r="F462" s="162"/>
      <c r="G462" s="163"/>
      <c r="H462" s="163"/>
      <c r="I462" s="164"/>
      <c r="J462" s="162"/>
      <c r="K462" s="165"/>
      <c r="L462" s="166"/>
      <c r="M462" s="167"/>
      <c r="N462" s="167"/>
      <c r="O462" s="168"/>
      <c r="P462" s="168"/>
      <c r="Q462" s="147"/>
      <c r="R462" s="147"/>
      <c r="S462" s="169"/>
      <c r="T462" s="147"/>
      <c r="U462" s="147"/>
      <c r="V462" s="147"/>
      <c r="W462" s="147"/>
      <c r="X462" s="147"/>
      <c r="Y462" s="147"/>
      <c r="Z462" s="147"/>
      <c r="AA462" s="147"/>
      <c r="AB462" s="147"/>
      <c r="AC462" s="147"/>
      <c r="AD462" s="147"/>
      <c r="AE462" s="147"/>
      <c r="AF462" s="147"/>
      <c r="AG462" s="147"/>
      <c r="AH462" s="147"/>
      <c r="AI462" s="147"/>
      <c r="AJ462" s="147"/>
      <c r="AK462" s="147"/>
      <c r="AL462" s="147"/>
      <c r="AM462" s="147"/>
      <c r="AN462" s="147"/>
      <c r="AO462" s="147"/>
      <c r="AP462" s="147"/>
      <c r="AQ462" s="147"/>
      <c r="AR462" s="147"/>
      <c r="AS462" s="147"/>
    </row>
    <row r="463" spans="1:45" x14ac:dyDescent="0.25">
      <c r="A463" s="147"/>
      <c r="B463" s="147"/>
      <c r="C463" s="160"/>
      <c r="D463" s="160"/>
      <c r="E463" s="161"/>
      <c r="F463" s="162"/>
      <c r="G463" s="163"/>
      <c r="H463" s="163"/>
      <c r="I463" s="164"/>
      <c r="J463" s="162"/>
      <c r="K463" s="165"/>
      <c r="L463" s="166"/>
      <c r="M463" s="167"/>
      <c r="N463" s="167"/>
      <c r="O463" s="168"/>
      <c r="P463" s="168"/>
      <c r="Q463" s="147"/>
      <c r="R463" s="147"/>
      <c r="S463" s="169"/>
      <c r="T463" s="147"/>
      <c r="U463" s="147"/>
      <c r="V463" s="147"/>
      <c r="W463" s="147"/>
      <c r="X463" s="147"/>
      <c r="Y463" s="147"/>
      <c r="Z463" s="147"/>
      <c r="AA463" s="147"/>
      <c r="AB463" s="147"/>
      <c r="AC463" s="147"/>
      <c r="AD463" s="147"/>
      <c r="AE463" s="147"/>
      <c r="AF463" s="147"/>
      <c r="AG463" s="147"/>
      <c r="AH463" s="147"/>
      <c r="AI463" s="147"/>
      <c r="AJ463" s="147"/>
      <c r="AK463" s="147"/>
      <c r="AL463" s="147"/>
      <c r="AM463" s="147"/>
      <c r="AN463" s="147"/>
      <c r="AO463" s="147"/>
      <c r="AP463" s="147"/>
      <c r="AQ463" s="147"/>
      <c r="AR463" s="147"/>
      <c r="AS463" s="147"/>
    </row>
    <row r="464" spans="1:45" x14ac:dyDescent="0.25">
      <c r="A464" s="147"/>
      <c r="B464" s="147"/>
      <c r="C464" s="160"/>
      <c r="D464" s="160"/>
      <c r="E464" s="161"/>
      <c r="F464" s="162"/>
      <c r="G464" s="163"/>
      <c r="H464" s="163"/>
      <c r="I464" s="164"/>
      <c r="J464" s="162"/>
      <c r="K464" s="165"/>
      <c r="L464" s="166"/>
      <c r="M464" s="167"/>
      <c r="N464" s="167"/>
      <c r="O464" s="168"/>
      <c r="P464" s="168"/>
      <c r="Q464" s="147"/>
      <c r="R464" s="147"/>
      <c r="S464" s="169"/>
      <c r="T464" s="147"/>
      <c r="U464" s="147"/>
      <c r="V464" s="147"/>
      <c r="W464" s="147"/>
      <c r="X464" s="147"/>
      <c r="Y464" s="147"/>
      <c r="Z464" s="147"/>
      <c r="AA464" s="147"/>
      <c r="AB464" s="147"/>
      <c r="AC464" s="147"/>
      <c r="AD464" s="147"/>
      <c r="AE464" s="147"/>
      <c r="AF464" s="147"/>
      <c r="AG464" s="147"/>
      <c r="AH464" s="147"/>
      <c r="AI464" s="147"/>
      <c r="AJ464" s="147"/>
      <c r="AK464" s="147"/>
      <c r="AL464" s="147"/>
      <c r="AM464" s="147"/>
      <c r="AN464" s="147"/>
      <c r="AO464" s="147"/>
      <c r="AP464" s="147"/>
      <c r="AQ464" s="147"/>
      <c r="AR464" s="147"/>
      <c r="AS464" s="147"/>
    </row>
    <row r="465" spans="1:45" x14ac:dyDescent="0.25">
      <c r="A465" s="147"/>
      <c r="B465" s="147"/>
      <c r="C465" s="160"/>
      <c r="D465" s="160"/>
      <c r="E465" s="161"/>
      <c r="F465" s="162"/>
      <c r="G465" s="163"/>
      <c r="H465" s="163"/>
      <c r="I465" s="164"/>
      <c r="J465" s="162"/>
      <c r="K465" s="165"/>
      <c r="L465" s="166"/>
      <c r="M465" s="167"/>
      <c r="N465" s="167"/>
      <c r="O465" s="168"/>
      <c r="P465" s="168"/>
      <c r="Q465" s="147"/>
      <c r="R465" s="147"/>
      <c r="S465" s="169"/>
      <c r="T465" s="147"/>
      <c r="U465" s="147"/>
      <c r="V465" s="147"/>
      <c r="W465" s="147"/>
      <c r="X465" s="147"/>
      <c r="Y465" s="147"/>
      <c r="Z465" s="147"/>
      <c r="AA465" s="147"/>
      <c r="AB465" s="147"/>
      <c r="AC465" s="147"/>
      <c r="AD465" s="147"/>
      <c r="AE465" s="147"/>
      <c r="AF465" s="147"/>
      <c r="AG465" s="147"/>
      <c r="AH465" s="147"/>
      <c r="AI465" s="147"/>
      <c r="AJ465" s="147"/>
      <c r="AK465" s="147"/>
      <c r="AL465" s="147"/>
      <c r="AM465" s="147"/>
      <c r="AN465" s="147"/>
      <c r="AO465" s="147"/>
      <c r="AP465" s="147"/>
      <c r="AQ465" s="147"/>
      <c r="AR465" s="147"/>
      <c r="AS465" s="147"/>
    </row>
    <row r="466" spans="1:45" x14ac:dyDescent="0.25">
      <c r="A466" s="147"/>
      <c r="B466" s="147"/>
      <c r="C466" s="160"/>
      <c r="D466" s="160"/>
      <c r="E466" s="161"/>
      <c r="F466" s="162"/>
      <c r="G466" s="163"/>
      <c r="H466" s="163"/>
      <c r="I466" s="164"/>
      <c r="J466" s="162"/>
      <c r="K466" s="165"/>
      <c r="L466" s="166"/>
      <c r="M466" s="167"/>
      <c r="N466" s="167"/>
      <c r="O466" s="168"/>
      <c r="P466" s="168"/>
      <c r="Q466" s="147"/>
      <c r="R466" s="147"/>
      <c r="S466" s="169"/>
      <c r="T466" s="147"/>
      <c r="U466" s="147"/>
      <c r="V466" s="147"/>
      <c r="W466" s="147"/>
      <c r="X466" s="147"/>
      <c r="Y466" s="147"/>
      <c r="Z466" s="147"/>
      <c r="AA466" s="147"/>
      <c r="AB466" s="147"/>
      <c r="AC466" s="147"/>
      <c r="AD466" s="147"/>
      <c r="AE466" s="147"/>
      <c r="AF466" s="147"/>
      <c r="AG466" s="147"/>
      <c r="AH466" s="147"/>
      <c r="AI466" s="147"/>
      <c r="AJ466" s="147"/>
      <c r="AK466" s="147"/>
      <c r="AL466" s="147"/>
      <c r="AM466" s="147"/>
      <c r="AN466" s="147"/>
      <c r="AO466" s="147"/>
      <c r="AP466" s="147"/>
      <c r="AQ466" s="147"/>
      <c r="AR466" s="147"/>
      <c r="AS466" s="147"/>
    </row>
    <row r="467" spans="1:45" x14ac:dyDescent="0.25">
      <c r="A467" s="147"/>
      <c r="B467" s="147"/>
      <c r="C467" s="160"/>
      <c r="D467" s="160"/>
      <c r="E467" s="161"/>
      <c r="F467" s="162"/>
      <c r="G467" s="163"/>
      <c r="H467" s="163"/>
      <c r="I467" s="164"/>
      <c r="J467" s="162"/>
      <c r="K467" s="165"/>
      <c r="L467" s="166"/>
      <c r="M467" s="167"/>
      <c r="N467" s="167"/>
      <c r="O467" s="168"/>
      <c r="P467" s="168"/>
      <c r="Q467" s="147"/>
      <c r="R467" s="147"/>
      <c r="S467" s="169"/>
      <c r="T467" s="147"/>
      <c r="U467" s="147"/>
      <c r="V467" s="147"/>
      <c r="W467" s="147"/>
      <c r="X467" s="147"/>
      <c r="Y467" s="147"/>
      <c r="Z467" s="147"/>
      <c r="AA467" s="147"/>
      <c r="AB467" s="147"/>
      <c r="AC467" s="147"/>
      <c r="AD467" s="147"/>
      <c r="AE467" s="147"/>
      <c r="AF467" s="147"/>
      <c r="AG467" s="147"/>
      <c r="AH467" s="147"/>
      <c r="AI467" s="147"/>
      <c r="AJ467" s="147"/>
      <c r="AK467" s="147"/>
      <c r="AL467" s="147"/>
      <c r="AM467" s="147"/>
      <c r="AN467" s="147"/>
      <c r="AO467" s="147"/>
      <c r="AP467" s="147"/>
      <c r="AQ467" s="147"/>
      <c r="AR467" s="147"/>
      <c r="AS467" s="147"/>
    </row>
    <row r="468" spans="1:45" x14ac:dyDescent="0.25">
      <c r="A468" s="147"/>
      <c r="B468" s="147"/>
      <c r="C468" s="160"/>
      <c r="D468" s="160"/>
      <c r="E468" s="161"/>
      <c r="F468" s="162"/>
      <c r="G468" s="163"/>
      <c r="H468" s="163"/>
      <c r="I468" s="164"/>
      <c r="J468" s="162"/>
      <c r="K468" s="165"/>
      <c r="L468" s="166"/>
      <c r="M468" s="167"/>
      <c r="N468" s="167"/>
      <c r="O468" s="168"/>
      <c r="P468" s="168"/>
      <c r="Q468" s="147"/>
      <c r="R468" s="147"/>
      <c r="S468" s="169"/>
      <c r="T468" s="147"/>
      <c r="U468" s="147"/>
      <c r="V468" s="147"/>
      <c r="W468" s="147"/>
      <c r="X468" s="147"/>
      <c r="Y468" s="147"/>
      <c r="Z468" s="147"/>
      <c r="AA468" s="147"/>
      <c r="AB468" s="147"/>
      <c r="AC468" s="147"/>
      <c r="AD468" s="147"/>
      <c r="AE468" s="147"/>
      <c r="AF468" s="147"/>
      <c r="AG468" s="147"/>
      <c r="AH468" s="147"/>
      <c r="AI468" s="147"/>
      <c r="AJ468" s="147"/>
      <c r="AK468" s="147"/>
      <c r="AL468" s="147"/>
      <c r="AM468" s="147"/>
      <c r="AN468" s="147"/>
      <c r="AO468" s="147"/>
      <c r="AP468" s="147"/>
      <c r="AQ468" s="147"/>
      <c r="AR468" s="147"/>
      <c r="AS468" s="147"/>
    </row>
    <row r="469" spans="1:45" x14ac:dyDescent="0.25">
      <c r="A469" s="147"/>
      <c r="B469" s="147"/>
      <c r="C469" s="160"/>
      <c r="D469" s="160"/>
      <c r="E469" s="161"/>
      <c r="F469" s="162"/>
      <c r="G469" s="163"/>
      <c r="H469" s="163"/>
      <c r="I469" s="164"/>
      <c r="J469" s="162"/>
      <c r="K469" s="165"/>
      <c r="L469" s="166"/>
      <c r="M469" s="167"/>
      <c r="N469" s="167"/>
      <c r="O469" s="168"/>
      <c r="P469" s="168"/>
      <c r="Q469" s="147"/>
      <c r="R469" s="147"/>
      <c r="S469" s="169"/>
      <c r="T469" s="147"/>
      <c r="U469" s="147"/>
      <c r="V469" s="147"/>
      <c r="W469" s="147"/>
      <c r="X469" s="147"/>
      <c r="Y469" s="147"/>
      <c r="Z469" s="147"/>
      <c r="AA469" s="147"/>
      <c r="AB469" s="147"/>
      <c r="AC469" s="147"/>
      <c r="AD469" s="147"/>
      <c r="AE469" s="147"/>
      <c r="AF469" s="147"/>
      <c r="AG469" s="147"/>
      <c r="AH469" s="147"/>
      <c r="AI469" s="147"/>
      <c r="AJ469" s="147"/>
      <c r="AK469" s="147"/>
      <c r="AL469" s="147"/>
      <c r="AM469" s="147"/>
      <c r="AN469" s="147"/>
      <c r="AO469" s="147"/>
      <c r="AP469" s="147"/>
      <c r="AQ469" s="147"/>
      <c r="AR469" s="147"/>
      <c r="AS469" s="147"/>
    </row>
    <row r="470" spans="1:45" x14ac:dyDescent="0.25">
      <c r="A470" s="147"/>
      <c r="B470" s="147"/>
      <c r="C470" s="160"/>
      <c r="D470" s="160"/>
      <c r="E470" s="161"/>
      <c r="F470" s="162"/>
      <c r="G470" s="163"/>
      <c r="H470" s="163"/>
      <c r="I470" s="164"/>
      <c r="J470" s="162"/>
      <c r="K470" s="165"/>
      <c r="L470" s="166"/>
      <c r="M470" s="167"/>
      <c r="N470" s="167"/>
      <c r="O470" s="168"/>
      <c r="P470" s="168"/>
      <c r="Q470" s="147"/>
      <c r="R470" s="147"/>
      <c r="S470" s="169"/>
      <c r="T470" s="147"/>
      <c r="U470" s="147"/>
      <c r="V470" s="147"/>
      <c r="W470" s="147"/>
      <c r="X470" s="147"/>
      <c r="Y470" s="147"/>
      <c r="Z470" s="147"/>
      <c r="AA470" s="147"/>
      <c r="AB470" s="147"/>
      <c r="AC470" s="147"/>
      <c r="AD470" s="147"/>
      <c r="AE470" s="147"/>
      <c r="AF470" s="147"/>
      <c r="AG470" s="147"/>
      <c r="AH470" s="147"/>
      <c r="AI470" s="147"/>
      <c r="AJ470" s="147"/>
      <c r="AK470" s="147"/>
      <c r="AL470" s="147"/>
      <c r="AM470" s="147"/>
      <c r="AN470" s="147"/>
      <c r="AO470" s="147"/>
      <c r="AP470" s="147"/>
      <c r="AQ470" s="147"/>
      <c r="AR470" s="147"/>
      <c r="AS470" s="147"/>
    </row>
    <row r="471" spans="1:45" x14ac:dyDescent="0.25">
      <c r="A471" s="147"/>
      <c r="B471" s="147"/>
      <c r="C471" s="160"/>
      <c r="D471" s="160"/>
      <c r="E471" s="161"/>
      <c r="F471" s="162"/>
      <c r="G471" s="163"/>
      <c r="H471" s="163"/>
      <c r="I471" s="164"/>
      <c r="J471" s="162"/>
      <c r="K471" s="165"/>
      <c r="L471" s="166"/>
      <c r="M471" s="167"/>
      <c r="N471" s="167"/>
      <c r="O471" s="168"/>
      <c r="P471" s="168"/>
      <c r="Q471" s="147"/>
      <c r="R471" s="147"/>
      <c r="S471" s="169"/>
      <c r="T471" s="147"/>
      <c r="U471" s="147"/>
      <c r="V471" s="147"/>
      <c r="W471" s="147"/>
      <c r="X471" s="147"/>
      <c r="Y471" s="147"/>
      <c r="Z471" s="147"/>
      <c r="AA471" s="147"/>
      <c r="AB471" s="147"/>
      <c r="AC471" s="147"/>
      <c r="AD471" s="147"/>
      <c r="AE471" s="147"/>
      <c r="AF471" s="147"/>
      <c r="AG471" s="147"/>
      <c r="AH471" s="147"/>
      <c r="AI471" s="147"/>
      <c r="AJ471" s="147"/>
      <c r="AK471" s="147"/>
      <c r="AL471" s="147"/>
      <c r="AM471" s="147"/>
      <c r="AN471" s="147"/>
      <c r="AO471" s="147"/>
      <c r="AP471" s="147"/>
      <c r="AQ471" s="147"/>
      <c r="AR471" s="147"/>
      <c r="AS471" s="147"/>
    </row>
    <row r="472" spans="1:45" x14ac:dyDescent="0.25">
      <c r="A472" s="147"/>
      <c r="B472" s="147"/>
      <c r="C472" s="160"/>
      <c r="D472" s="160"/>
      <c r="E472" s="161"/>
      <c r="F472" s="162"/>
      <c r="G472" s="163"/>
      <c r="H472" s="163"/>
      <c r="I472" s="164"/>
      <c r="J472" s="162"/>
      <c r="K472" s="165"/>
      <c r="L472" s="166"/>
      <c r="M472" s="167"/>
      <c r="N472" s="167"/>
      <c r="O472" s="168"/>
      <c r="P472" s="168"/>
      <c r="Q472" s="147"/>
      <c r="R472" s="147"/>
      <c r="S472" s="169"/>
      <c r="T472" s="147"/>
      <c r="U472" s="147"/>
      <c r="V472" s="147"/>
      <c r="W472" s="147"/>
      <c r="X472" s="147"/>
      <c r="Y472" s="147"/>
      <c r="Z472" s="147"/>
      <c r="AA472" s="147"/>
      <c r="AB472" s="147"/>
      <c r="AC472" s="147"/>
      <c r="AD472" s="147"/>
      <c r="AE472" s="147"/>
      <c r="AF472" s="147"/>
      <c r="AG472" s="147"/>
      <c r="AH472" s="147"/>
      <c r="AI472" s="147"/>
      <c r="AJ472" s="147"/>
      <c r="AK472" s="147"/>
      <c r="AL472" s="147"/>
      <c r="AM472" s="147"/>
      <c r="AN472" s="147"/>
      <c r="AO472" s="147"/>
      <c r="AP472" s="147"/>
      <c r="AQ472" s="147"/>
      <c r="AR472" s="147"/>
      <c r="AS472" s="147"/>
    </row>
    <row r="473" spans="1:45" x14ac:dyDescent="0.25">
      <c r="A473" s="147"/>
      <c r="B473" s="147"/>
      <c r="C473" s="160"/>
      <c r="D473" s="160"/>
      <c r="E473" s="161"/>
      <c r="F473" s="162"/>
      <c r="G473" s="163"/>
      <c r="H473" s="163"/>
      <c r="I473" s="164"/>
      <c r="J473" s="162"/>
      <c r="K473" s="165"/>
      <c r="L473" s="166"/>
      <c r="M473" s="167"/>
      <c r="N473" s="167"/>
      <c r="O473" s="168"/>
      <c r="P473" s="168"/>
      <c r="Q473" s="147"/>
      <c r="R473" s="147"/>
      <c r="S473" s="169"/>
      <c r="T473" s="147"/>
      <c r="U473" s="147"/>
      <c r="V473" s="147"/>
      <c r="W473" s="147"/>
      <c r="X473" s="147"/>
      <c r="Y473" s="147"/>
      <c r="Z473" s="147"/>
      <c r="AA473" s="147"/>
      <c r="AB473" s="147"/>
      <c r="AC473" s="147"/>
      <c r="AD473" s="147"/>
      <c r="AE473" s="147"/>
      <c r="AF473" s="147"/>
      <c r="AG473" s="147"/>
      <c r="AH473" s="147"/>
      <c r="AI473" s="147"/>
      <c r="AJ473" s="147"/>
      <c r="AK473" s="147"/>
      <c r="AL473" s="147"/>
      <c r="AM473" s="147"/>
      <c r="AN473" s="147"/>
      <c r="AO473" s="147"/>
      <c r="AP473" s="147"/>
      <c r="AQ473" s="147"/>
      <c r="AR473" s="147"/>
      <c r="AS473" s="147"/>
    </row>
    <row r="474" spans="1:45" x14ac:dyDescent="0.25">
      <c r="A474" s="147"/>
      <c r="B474" s="147"/>
      <c r="C474" s="160"/>
      <c r="D474" s="160"/>
      <c r="E474" s="161"/>
      <c r="F474" s="162"/>
      <c r="G474" s="163"/>
      <c r="H474" s="163"/>
      <c r="I474" s="164"/>
      <c r="J474" s="162"/>
      <c r="K474" s="165"/>
      <c r="L474" s="166"/>
      <c r="M474" s="167"/>
      <c r="N474" s="167"/>
      <c r="O474" s="168"/>
      <c r="P474" s="168"/>
      <c r="Q474" s="147"/>
      <c r="R474" s="147"/>
      <c r="S474" s="169"/>
      <c r="T474" s="147"/>
      <c r="U474" s="147"/>
      <c r="V474" s="147"/>
      <c r="W474" s="147"/>
      <c r="X474" s="147"/>
      <c r="Y474" s="147"/>
      <c r="Z474" s="147"/>
      <c r="AA474" s="147"/>
      <c r="AB474" s="147"/>
      <c r="AC474" s="147"/>
      <c r="AD474" s="147"/>
      <c r="AE474" s="147"/>
      <c r="AF474" s="147"/>
      <c r="AG474" s="147"/>
      <c r="AH474" s="147"/>
      <c r="AI474" s="147"/>
      <c r="AJ474" s="147"/>
      <c r="AK474" s="147"/>
      <c r="AL474" s="147"/>
      <c r="AM474" s="147"/>
      <c r="AN474" s="147"/>
      <c r="AO474" s="147"/>
      <c r="AP474" s="147"/>
      <c r="AQ474" s="147"/>
      <c r="AR474" s="147"/>
      <c r="AS474" s="147"/>
    </row>
    <row r="475" spans="1:45" x14ac:dyDescent="0.25">
      <c r="A475" s="147"/>
      <c r="B475" s="147"/>
      <c r="C475" s="160"/>
      <c r="D475" s="160"/>
      <c r="E475" s="161"/>
      <c r="F475" s="162"/>
      <c r="G475" s="163"/>
      <c r="H475" s="163"/>
      <c r="I475" s="164"/>
      <c r="J475" s="162"/>
      <c r="K475" s="165"/>
      <c r="L475" s="166"/>
      <c r="M475" s="167"/>
      <c r="N475" s="167"/>
      <c r="O475" s="168"/>
      <c r="P475" s="168"/>
      <c r="Q475" s="147"/>
      <c r="R475" s="147"/>
      <c r="S475" s="169"/>
      <c r="T475" s="147"/>
      <c r="U475" s="147"/>
      <c r="V475" s="147"/>
      <c r="W475" s="147"/>
      <c r="X475" s="147"/>
      <c r="Y475" s="147"/>
      <c r="Z475" s="147"/>
      <c r="AA475" s="147"/>
      <c r="AB475" s="147"/>
      <c r="AC475" s="147"/>
      <c r="AD475" s="147"/>
      <c r="AE475" s="147"/>
      <c r="AF475" s="147"/>
      <c r="AG475" s="147"/>
      <c r="AH475" s="147"/>
      <c r="AI475" s="147"/>
      <c r="AJ475" s="147"/>
      <c r="AK475" s="147"/>
      <c r="AL475" s="147"/>
      <c r="AM475" s="147"/>
      <c r="AN475" s="147"/>
      <c r="AO475" s="147"/>
      <c r="AP475" s="147"/>
      <c r="AQ475" s="147"/>
      <c r="AR475" s="147"/>
      <c r="AS475" s="147"/>
    </row>
    <row r="476" spans="1:45" x14ac:dyDescent="0.25">
      <c r="A476" s="147"/>
      <c r="B476" s="147"/>
      <c r="C476" s="160"/>
      <c r="D476" s="160"/>
      <c r="E476" s="161"/>
      <c r="F476" s="162"/>
      <c r="G476" s="163"/>
      <c r="H476" s="163"/>
      <c r="I476" s="164"/>
      <c r="J476" s="162"/>
      <c r="K476" s="165"/>
      <c r="L476" s="166"/>
      <c r="M476" s="167"/>
      <c r="N476" s="167"/>
      <c r="O476" s="168"/>
      <c r="P476" s="168"/>
      <c r="Q476" s="147"/>
      <c r="R476" s="147"/>
      <c r="S476" s="169"/>
      <c r="T476" s="147"/>
      <c r="U476" s="147"/>
      <c r="V476" s="147"/>
      <c r="W476" s="147"/>
      <c r="X476" s="147"/>
      <c r="Y476" s="147"/>
      <c r="Z476" s="147"/>
      <c r="AA476" s="147"/>
      <c r="AB476" s="147"/>
      <c r="AC476" s="147"/>
      <c r="AD476" s="147"/>
      <c r="AE476" s="147"/>
      <c r="AF476" s="147"/>
      <c r="AG476" s="147"/>
      <c r="AH476" s="147"/>
      <c r="AI476" s="147"/>
      <c r="AJ476" s="147"/>
      <c r="AK476" s="147"/>
      <c r="AL476" s="147"/>
      <c r="AM476" s="147"/>
      <c r="AN476" s="147"/>
      <c r="AO476" s="147"/>
      <c r="AP476" s="147"/>
      <c r="AQ476" s="147"/>
      <c r="AR476" s="147"/>
      <c r="AS476" s="147"/>
    </row>
    <row r="477" spans="1:45" x14ac:dyDescent="0.25">
      <c r="A477" s="147"/>
      <c r="B477" s="147"/>
      <c r="C477" s="160"/>
      <c r="D477" s="160"/>
      <c r="E477" s="161"/>
      <c r="F477" s="162"/>
      <c r="G477" s="163"/>
      <c r="H477" s="163"/>
      <c r="I477" s="164"/>
      <c r="J477" s="162"/>
      <c r="K477" s="165"/>
      <c r="L477" s="166"/>
      <c r="M477" s="167"/>
      <c r="N477" s="167"/>
      <c r="O477" s="168"/>
      <c r="P477" s="168"/>
      <c r="Q477" s="147"/>
      <c r="R477" s="147"/>
      <c r="S477" s="169"/>
      <c r="T477" s="147"/>
      <c r="U477" s="147"/>
      <c r="V477" s="147"/>
      <c r="W477" s="147"/>
      <c r="X477" s="147"/>
      <c r="Y477" s="147"/>
      <c r="Z477" s="147"/>
      <c r="AA477" s="147"/>
      <c r="AB477" s="147"/>
      <c r="AC477" s="147"/>
      <c r="AD477" s="147"/>
      <c r="AE477" s="147"/>
      <c r="AF477" s="147"/>
      <c r="AG477" s="147"/>
      <c r="AH477" s="147"/>
      <c r="AI477" s="147"/>
      <c r="AJ477" s="147"/>
      <c r="AK477" s="147"/>
      <c r="AL477" s="147"/>
      <c r="AM477" s="147"/>
      <c r="AN477" s="147"/>
      <c r="AO477" s="147"/>
      <c r="AP477" s="147"/>
      <c r="AQ477" s="147"/>
      <c r="AR477" s="147"/>
      <c r="AS477" s="147"/>
    </row>
    <row r="478" spans="1:45" x14ac:dyDescent="0.25">
      <c r="A478" s="147"/>
      <c r="B478" s="147"/>
      <c r="C478" s="160"/>
      <c r="D478" s="160"/>
      <c r="E478" s="161"/>
      <c r="F478" s="162"/>
      <c r="G478" s="163"/>
      <c r="H478" s="163"/>
      <c r="I478" s="164"/>
      <c r="J478" s="162"/>
      <c r="K478" s="165"/>
      <c r="L478" s="166"/>
      <c r="M478" s="167"/>
      <c r="N478" s="167"/>
      <c r="O478" s="168"/>
      <c r="P478" s="168"/>
      <c r="Q478" s="147"/>
      <c r="R478" s="147"/>
      <c r="S478" s="169"/>
      <c r="T478" s="147"/>
      <c r="U478" s="147"/>
      <c r="V478" s="147"/>
      <c r="W478" s="147"/>
      <c r="X478" s="147"/>
      <c r="Y478" s="147"/>
      <c r="Z478" s="147"/>
      <c r="AA478" s="147"/>
      <c r="AB478" s="147"/>
      <c r="AC478" s="147"/>
      <c r="AD478" s="147"/>
      <c r="AE478" s="147"/>
      <c r="AF478" s="147"/>
      <c r="AG478" s="147"/>
      <c r="AH478" s="147"/>
      <c r="AI478" s="147"/>
      <c r="AJ478" s="147"/>
      <c r="AK478" s="147"/>
      <c r="AL478" s="147"/>
      <c r="AM478" s="147"/>
      <c r="AN478" s="147"/>
      <c r="AO478" s="147"/>
      <c r="AP478" s="147"/>
      <c r="AQ478" s="147"/>
      <c r="AR478" s="147"/>
      <c r="AS478" s="147"/>
    </row>
    <row r="479" spans="1:45" x14ac:dyDescent="0.25">
      <c r="A479" s="147"/>
      <c r="B479" s="147"/>
      <c r="C479" s="160"/>
      <c r="D479" s="160"/>
      <c r="E479" s="161"/>
      <c r="F479" s="162"/>
      <c r="G479" s="163"/>
      <c r="H479" s="163"/>
      <c r="I479" s="164"/>
      <c r="J479" s="162"/>
      <c r="K479" s="165"/>
      <c r="L479" s="166"/>
      <c r="M479" s="167"/>
      <c r="N479" s="167"/>
      <c r="O479" s="168"/>
      <c r="P479" s="168"/>
      <c r="Q479" s="147"/>
      <c r="R479" s="147"/>
      <c r="S479" s="169"/>
      <c r="T479" s="147"/>
      <c r="U479" s="147"/>
      <c r="V479" s="147"/>
      <c r="W479" s="147"/>
      <c r="X479" s="147"/>
      <c r="Y479" s="147"/>
      <c r="Z479" s="147"/>
      <c r="AA479" s="147"/>
      <c r="AB479" s="147"/>
      <c r="AC479" s="147"/>
      <c r="AD479" s="147"/>
      <c r="AE479" s="147"/>
      <c r="AF479" s="147"/>
      <c r="AG479" s="147"/>
      <c r="AH479" s="147"/>
      <c r="AI479" s="147"/>
      <c r="AJ479" s="147"/>
      <c r="AK479" s="147"/>
      <c r="AL479" s="147"/>
      <c r="AM479" s="147"/>
      <c r="AN479" s="147"/>
      <c r="AO479" s="147"/>
      <c r="AP479" s="147"/>
      <c r="AQ479" s="147"/>
      <c r="AR479" s="147"/>
      <c r="AS479" s="147"/>
    </row>
    <row r="480" spans="1:45" x14ac:dyDescent="0.25">
      <c r="A480" s="147"/>
      <c r="B480" s="147"/>
      <c r="C480" s="160"/>
      <c r="D480" s="160"/>
      <c r="E480" s="161"/>
      <c r="F480" s="162"/>
      <c r="G480" s="163"/>
      <c r="H480" s="163"/>
      <c r="I480" s="164"/>
      <c r="J480" s="162"/>
      <c r="K480" s="165"/>
      <c r="L480" s="166"/>
      <c r="M480" s="167"/>
      <c r="N480" s="167"/>
      <c r="O480" s="168"/>
      <c r="P480" s="168"/>
      <c r="Q480" s="147"/>
      <c r="R480" s="147"/>
      <c r="S480" s="169"/>
      <c r="T480" s="147"/>
      <c r="U480" s="147"/>
      <c r="V480" s="147"/>
      <c r="W480" s="147"/>
      <c r="X480" s="147"/>
      <c r="Y480" s="147"/>
      <c r="Z480" s="147"/>
      <c r="AA480" s="147"/>
      <c r="AB480" s="147"/>
      <c r="AC480" s="147"/>
      <c r="AD480" s="147"/>
      <c r="AE480" s="147"/>
      <c r="AF480" s="147"/>
      <c r="AG480" s="147"/>
      <c r="AH480" s="147"/>
      <c r="AI480" s="147"/>
      <c r="AJ480" s="147"/>
      <c r="AK480" s="147"/>
      <c r="AL480" s="147"/>
      <c r="AM480" s="147"/>
      <c r="AN480" s="147"/>
      <c r="AO480" s="147"/>
      <c r="AP480" s="147"/>
      <c r="AQ480" s="147"/>
      <c r="AR480" s="147"/>
      <c r="AS480" s="147"/>
    </row>
    <row r="481" spans="1:45" x14ac:dyDescent="0.25">
      <c r="A481" s="147"/>
      <c r="B481" s="147"/>
      <c r="C481" s="160"/>
      <c r="D481" s="160"/>
      <c r="E481" s="161"/>
      <c r="F481" s="162"/>
      <c r="G481" s="163"/>
      <c r="H481" s="163"/>
      <c r="I481" s="164"/>
      <c r="J481" s="162"/>
      <c r="K481" s="165"/>
      <c r="L481" s="166"/>
      <c r="M481" s="167"/>
      <c r="N481" s="167"/>
      <c r="O481" s="168"/>
      <c r="P481" s="168"/>
      <c r="Q481" s="147"/>
      <c r="R481" s="147"/>
      <c r="S481" s="169"/>
      <c r="T481" s="147"/>
      <c r="U481" s="147"/>
      <c r="V481" s="147"/>
      <c r="W481" s="147"/>
      <c r="X481" s="147"/>
      <c r="Y481" s="147"/>
      <c r="Z481" s="147"/>
      <c r="AA481" s="147"/>
      <c r="AB481" s="147"/>
      <c r="AC481" s="147"/>
      <c r="AD481" s="147"/>
      <c r="AE481" s="147"/>
      <c r="AF481" s="147"/>
      <c r="AG481" s="147"/>
      <c r="AH481" s="147"/>
      <c r="AI481" s="147"/>
      <c r="AJ481" s="147"/>
      <c r="AK481" s="147"/>
      <c r="AL481" s="147"/>
      <c r="AM481" s="147"/>
      <c r="AN481" s="147"/>
      <c r="AO481" s="147"/>
      <c r="AP481" s="147"/>
      <c r="AQ481" s="147"/>
      <c r="AR481" s="147"/>
      <c r="AS481" s="147"/>
    </row>
    <row r="482" spans="1:45" x14ac:dyDescent="0.25">
      <c r="A482" s="147"/>
      <c r="B482" s="147"/>
      <c r="C482" s="160"/>
      <c r="D482" s="160"/>
      <c r="E482" s="161"/>
      <c r="F482" s="162"/>
      <c r="G482" s="163"/>
      <c r="H482" s="163"/>
      <c r="I482" s="164"/>
      <c r="J482" s="162"/>
      <c r="K482" s="165"/>
      <c r="L482" s="166"/>
      <c r="M482" s="167"/>
      <c r="N482" s="167"/>
      <c r="O482" s="168"/>
      <c r="P482" s="168"/>
      <c r="Q482" s="147"/>
      <c r="R482" s="147"/>
      <c r="S482" s="169"/>
      <c r="T482" s="147"/>
      <c r="U482" s="147"/>
      <c r="V482" s="147"/>
      <c r="W482" s="147"/>
      <c r="X482" s="147"/>
      <c r="Y482" s="147"/>
      <c r="Z482" s="147"/>
      <c r="AA482" s="147"/>
      <c r="AB482" s="147"/>
      <c r="AC482" s="147"/>
      <c r="AD482" s="147"/>
      <c r="AE482" s="147"/>
      <c r="AF482" s="147"/>
      <c r="AG482" s="147"/>
      <c r="AH482" s="147"/>
      <c r="AI482" s="147"/>
      <c r="AJ482" s="147"/>
      <c r="AK482" s="147"/>
      <c r="AL482" s="147"/>
      <c r="AM482" s="147"/>
      <c r="AN482" s="147"/>
      <c r="AO482" s="147"/>
      <c r="AP482" s="147"/>
      <c r="AQ482" s="147"/>
      <c r="AR482" s="147"/>
      <c r="AS482" s="147"/>
    </row>
    <row r="483" spans="1:45" x14ac:dyDescent="0.25">
      <c r="A483" s="147"/>
      <c r="B483" s="147"/>
      <c r="C483" s="160"/>
      <c r="D483" s="160"/>
      <c r="E483" s="161"/>
      <c r="F483" s="162"/>
      <c r="G483" s="163"/>
      <c r="H483" s="163"/>
      <c r="I483" s="164"/>
      <c r="J483" s="162"/>
      <c r="K483" s="165"/>
      <c r="L483" s="166"/>
      <c r="M483" s="167"/>
      <c r="N483" s="167"/>
      <c r="O483" s="168"/>
      <c r="P483" s="168"/>
      <c r="Q483" s="147"/>
      <c r="R483" s="147"/>
      <c r="S483" s="169"/>
      <c r="T483" s="147"/>
      <c r="U483" s="147"/>
      <c r="V483" s="147"/>
      <c r="W483" s="147"/>
      <c r="X483" s="147"/>
      <c r="Y483" s="147"/>
      <c r="Z483" s="147"/>
      <c r="AA483" s="147"/>
      <c r="AB483" s="147"/>
      <c r="AC483" s="147"/>
      <c r="AD483" s="147"/>
      <c r="AE483" s="147"/>
      <c r="AF483" s="147"/>
      <c r="AG483" s="147"/>
      <c r="AH483" s="147"/>
      <c r="AI483" s="147"/>
      <c r="AJ483" s="147"/>
      <c r="AK483" s="147"/>
      <c r="AL483" s="147"/>
      <c r="AM483" s="147"/>
      <c r="AN483" s="147"/>
      <c r="AO483" s="147"/>
      <c r="AP483" s="147"/>
      <c r="AQ483" s="147"/>
      <c r="AR483" s="147"/>
      <c r="AS483" s="147"/>
    </row>
    <row r="484" spans="1:45" x14ac:dyDescent="0.25">
      <c r="A484" s="147"/>
      <c r="B484" s="147"/>
      <c r="C484" s="160"/>
      <c r="D484" s="160"/>
      <c r="E484" s="161"/>
      <c r="F484" s="162"/>
      <c r="G484" s="163"/>
      <c r="H484" s="163"/>
      <c r="I484" s="164"/>
      <c r="J484" s="162"/>
      <c r="K484" s="165"/>
      <c r="L484" s="166"/>
      <c r="M484" s="167"/>
      <c r="N484" s="167"/>
      <c r="O484" s="168"/>
      <c r="P484" s="168"/>
      <c r="Q484" s="147"/>
      <c r="R484" s="147"/>
      <c r="S484" s="169"/>
      <c r="T484" s="147"/>
      <c r="U484" s="147"/>
      <c r="V484" s="147"/>
      <c r="W484" s="147"/>
      <c r="X484" s="147"/>
      <c r="Y484" s="147"/>
      <c r="Z484" s="147"/>
      <c r="AA484" s="147"/>
      <c r="AB484" s="147"/>
      <c r="AC484" s="147"/>
      <c r="AD484" s="147"/>
      <c r="AE484" s="147"/>
      <c r="AF484" s="147"/>
      <c r="AG484" s="147"/>
      <c r="AH484" s="147"/>
      <c r="AI484" s="147"/>
      <c r="AJ484" s="147"/>
      <c r="AK484" s="147"/>
      <c r="AL484" s="147"/>
      <c r="AM484" s="147"/>
      <c r="AN484" s="147"/>
      <c r="AO484" s="147"/>
      <c r="AP484" s="147"/>
      <c r="AQ484" s="147"/>
      <c r="AR484" s="147"/>
      <c r="AS484" s="147"/>
    </row>
    <row r="485" spans="1:45" x14ac:dyDescent="0.25">
      <c r="A485" s="147"/>
      <c r="B485" s="147"/>
      <c r="C485" s="160"/>
      <c r="D485" s="160"/>
      <c r="E485" s="161"/>
      <c r="F485" s="162"/>
      <c r="G485" s="163"/>
      <c r="H485" s="163"/>
      <c r="I485" s="164"/>
      <c r="J485" s="162"/>
      <c r="K485" s="165"/>
      <c r="L485" s="166"/>
      <c r="M485" s="167"/>
      <c r="N485" s="167"/>
      <c r="O485" s="168"/>
      <c r="P485" s="168"/>
      <c r="Q485" s="147"/>
      <c r="R485" s="147"/>
      <c r="S485" s="169"/>
      <c r="T485" s="147"/>
      <c r="U485" s="147"/>
      <c r="V485" s="147"/>
      <c r="W485" s="147"/>
      <c r="X485" s="147"/>
      <c r="Y485" s="147"/>
      <c r="Z485" s="147"/>
      <c r="AA485" s="147"/>
      <c r="AB485" s="147"/>
      <c r="AC485" s="147"/>
      <c r="AD485" s="147"/>
      <c r="AE485" s="147"/>
      <c r="AF485" s="147"/>
      <c r="AG485" s="147"/>
      <c r="AH485" s="147"/>
      <c r="AI485" s="147"/>
      <c r="AJ485" s="147"/>
      <c r="AK485" s="147"/>
      <c r="AL485" s="147"/>
      <c r="AM485" s="147"/>
      <c r="AN485" s="147"/>
      <c r="AO485" s="147"/>
      <c r="AP485" s="147"/>
      <c r="AQ485" s="147"/>
      <c r="AR485" s="147"/>
      <c r="AS485" s="147"/>
    </row>
    <row r="486" spans="1:45" x14ac:dyDescent="0.25">
      <c r="A486" s="147"/>
      <c r="B486" s="147"/>
      <c r="C486" s="160"/>
      <c r="D486" s="160"/>
      <c r="E486" s="161"/>
      <c r="F486" s="162"/>
      <c r="G486" s="163"/>
      <c r="H486" s="163"/>
      <c r="I486" s="164"/>
      <c r="J486" s="162"/>
      <c r="K486" s="165"/>
      <c r="L486" s="166"/>
      <c r="M486" s="167"/>
      <c r="N486" s="167"/>
      <c r="O486" s="168"/>
      <c r="P486" s="168"/>
      <c r="Q486" s="147"/>
      <c r="R486" s="147"/>
      <c r="S486" s="169"/>
      <c r="T486" s="147"/>
      <c r="U486" s="147"/>
      <c r="V486" s="147"/>
      <c r="W486" s="147"/>
      <c r="X486" s="147"/>
      <c r="Y486" s="147"/>
      <c r="Z486" s="147"/>
      <c r="AA486" s="147"/>
      <c r="AB486" s="147"/>
      <c r="AC486" s="147"/>
      <c r="AD486" s="147"/>
      <c r="AE486" s="147"/>
      <c r="AF486" s="147"/>
      <c r="AG486" s="147"/>
      <c r="AH486" s="147"/>
      <c r="AI486" s="147"/>
      <c r="AJ486" s="147"/>
      <c r="AK486" s="147"/>
      <c r="AL486" s="147"/>
      <c r="AM486" s="147"/>
      <c r="AN486" s="147"/>
      <c r="AO486" s="147"/>
      <c r="AP486" s="147"/>
      <c r="AQ486" s="147"/>
      <c r="AR486" s="147"/>
      <c r="AS486" s="147"/>
    </row>
    <row r="487" spans="1:45" x14ac:dyDescent="0.25">
      <c r="A487" s="147"/>
      <c r="B487" s="147"/>
      <c r="C487" s="160"/>
      <c r="D487" s="160"/>
      <c r="E487" s="161"/>
      <c r="F487" s="162"/>
      <c r="G487" s="163"/>
      <c r="H487" s="163"/>
      <c r="I487" s="164"/>
      <c r="J487" s="162"/>
      <c r="K487" s="165"/>
      <c r="L487" s="166"/>
      <c r="M487" s="167"/>
      <c r="N487" s="167"/>
      <c r="O487" s="168"/>
      <c r="P487" s="168"/>
      <c r="Q487" s="147"/>
      <c r="R487" s="147"/>
      <c r="S487" s="169"/>
      <c r="T487" s="147"/>
      <c r="U487" s="147"/>
      <c r="V487" s="147"/>
      <c r="W487" s="147"/>
      <c r="X487" s="147"/>
      <c r="Y487" s="147"/>
      <c r="Z487" s="147"/>
      <c r="AA487" s="147"/>
      <c r="AB487" s="147"/>
      <c r="AC487" s="147"/>
      <c r="AD487" s="147"/>
      <c r="AE487" s="147"/>
      <c r="AF487" s="147"/>
      <c r="AG487" s="147"/>
      <c r="AH487" s="147"/>
      <c r="AI487" s="147"/>
      <c r="AJ487" s="147"/>
      <c r="AK487" s="147"/>
      <c r="AL487" s="147"/>
      <c r="AM487" s="147"/>
      <c r="AN487" s="147"/>
      <c r="AO487" s="147"/>
      <c r="AP487" s="147"/>
      <c r="AQ487" s="147"/>
      <c r="AR487" s="147"/>
      <c r="AS487" s="147"/>
    </row>
    <row r="488" spans="1:45" x14ac:dyDescent="0.25">
      <c r="A488" s="147"/>
      <c r="B488" s="147"/>
      <c r="C488" s="160"/>
      <c r="D488" s="160"/>
      <c r="E488" s="161"/>
      <c r="F488" s="162"/>
      <c r="G488" s="163"/>
      <c r="H488" s="163"/>
      <c r="I488" s="164"/>
      <c r="J488" s="162"/>
      <c r="K488" s="165"/>
      <c r="L488" s="166"/>
      <c r="M488" s="167"/>
      <c r="N488" s="167"/>
      <c r="O488" s="168"/>
      <c r="P488" s="168"/>
      <c r="Q488" s="147"/>
      <c r="R488" s="147"/>
      <c r="S488" s="169"/>
      <c r="T488" s="147"/>
      <c r="U488" s="147"/>
      <c r="V488" s="147"/>
      <c r="W488" s="147"/>
      <c r="X488" s="147"/>
      <c r="Y488" s="147"/>
      <c r="Z488" s="147"/>
      <c r="AA488" s="147"/>
      <c r="AB488" s="147"/>
      <c r="AC488" s="147"/>
      <c r="AD488" s="147"/>
      <c r="AE488" s="147"/>
      <c r="AF488" s="147"/>
      <c r="AG488" s="147"/>
      <c r="AH488" s="147"/>
      <c r="AI488" s="147"/>
      <c r="AJ488" s="147"/>
      <c r="AK488" s="147"/>
      <c r="AL488" s="147"/>
      <c r="AM488" s="147"/>
      <c r="AN488" s="147"/>
      <c r="AO488" s="147"/>
      <c r="AP488" s="147"/>
      <c r="AQ488" s="147"/>
      <c r="AR488" s="147"/>
      <c r="AS488" s="147"/>
    </row>
    <row r="489" spans="1:45" x14ac:dyDescent="0.25">
      <c r="A489" s="147"/>
      <c r="B489" s="147"/>
      <c r="C489" s="160"/>
      <c r="D489" s="160"/>
      <c r="E489" s="161"/>
      <c r="F489" s="162"/>
      <c r="G489" s="163"/>
      <c r="H489" s="163"/>
      <c r="I489" s="164"/>
      <c r="J489" s="162"/>
      <c r="K489" s="165"/>
      <c r="L489" s="166"/>
      <c r="M489" s="167"/>
      <c r="N489" s="167"/>
      <c r="O489" s="168"/>
      <c r="P489" s="168"/>
      <c r="Q489" s="147"/>
      <c r="R489" s="147"/>
      <c r="S489" s="169"/>
      <c r="T489" s="147"/>
      <c r="U489" s="147"/>
      <c r="V489" s="147"/>
      <c r="W489" s="147"/>
      <c r="X489" s="147"/>
      <c r="Y489" s="147"/>
      <c r="Z489" s="147"/>
      <c r="AA489" s="147"/>
      <c r="AB489" s="147"/>
      <c r="AC489" s="147"/>
      <c r="AD489" s="147"/>
      <c r="AE489" s="147"/>
      <c r="AF489" s="147"/>
      <c r="AG489" s="147"/>
      <c r="AH489" s="147"/>
      <c r="AI489" s="147"/>
      <c r="AJ489" s="147"/>
      <c r="AK489" s="147"/>
      <c r="AL489" s="147"/>
      <c r="AM489" s="147"/>
      <c r="AN489" s="147"/>
      <c r="AO489" s="147"/>
      <c r="AP489" s="147"/>
      <c r="AQ489" s="147"/>
      <c r="AR489" s="147"/>
      <c r="AS489" s="147"/>
    </row>
    <row r="490" spans="1:45" x14ac:dyDescent="0.25">
      <c r="A490" s="147"/>
      <c r="B490" s="147"/>
      <c r="C490" s="160"/>
      <c r="D490" s="160"/>
      <c r="E490" s="161"/>
      <c r="F490" s="162"/>
      <c r="G490" s="163"/>
      <c r="H490" s="163"/>
      <c r="I490" s="164"/>
      <c r="J490" s="162"/>
      <c r="K490" s="165"/>
      <c r="L490" s="166"/>
      <c r="M490" s="167"/>
      <c r="N490" s="167"/>
      <c r="O490" s="168"/>
      <c r="P490" s="168"/>
      <c r="Q490" s="147"/>
      <c r="R490" s="147"/>
      <c r="S490" s="169"/>
      <c r="T490" s="147"/>
      <c r="U490" s="147"/>
      <c r="V490" s="147"/>
      <c r="W490" s="147"/>
      <c r="X490" s="147"/>
      <c r="Y490" s="147"/>
      <c r="Z490" s="147"/>
      <c r="AA490" s="147"/>
      <c r="AB490" s="147"/>
      <c r="AC490" s="147"/>
      <c r="AD490" s="147"/>
      <c r="AE490" s="147"/>
      <c r="AF490" s="147"/>
      <c r="AG490" s="147"/>
      <c r="AH490" s="147"/>
      <c r="AI490" s="147"/>
      <c r="AJ490" s="147"/>
      <c r="AK490" s="147"/>
      <c r="AL490" s="147"/>
      <c r="AM490" s="147"/>
      <c r="AN490" s="147"/>
      <c r="AO490" s="147"/>
      <c r="AP490" s="147"/>
      <c r="AQ490" s="147"/>
      <c r="AR490" s="147"/>
      <c r="AS490" s="147"/>
    </row>
    <row r="491" spans="1:45" x14ac:dyDescent="0.25">
      <c r="A491" s="147"/>
      <c r="B491" s="147"/>
      <c r="C491" s="160"/>
      <c r="D491" s="160"/>
      <c r="E491" s="161"/>
      <c r="F491" s="162"/>
      <c r="G491" s="163"/>
      <c r="H491" s="163"/>
      <c r="I491" s="164"/>
      <c r="J491" s="162"/>
      <c r="K491" s="165"/>
      <c r="L491" s="166"/>
      <c r="M491" s="167"/>
      <c r="N491" s="167"/>
      <c r="O491" s="168"/>
      <c r="P491" s="168"/>
      <c r="Q491" s="147"/>
      <c r="R491" s="147"/>
      <c r="S491" s="169"/>
      <c r="T491" s="147"/>
      <c r="U491" s="147"/>
      <c r="V491" s="147"/>
      <c r="W491" s="147"/>
      <c r="X491" s="147"/>
      <c r="Y491" s="147"/>
      <c r="Z491" s="147"/>
      <c r="AA491" s="147"/>
      <c r="AB491" s="147"/>
      <c r="AC491" s="147"/>
      <c r="AD491" s="147"/>
      <c r="AE491" s="147"/>
      <c r="AF491" s="147"/>
      <c r="AG491" s="147"/>
      <c r="AH491" s="147"/>
      <c r="AI491" s="147"/>
      <c r="AJ491" s="147"/>
      <c r="AK491" s="147"/>
      <c r="AL491" s="147"/>
      <c r="AM491" s="147"/>
      <c r="AN491" s="147"/>
      <c r="AO491" s="147"/>
      <c r="AP491" s="147"/>
      <c r="AQ491" s="147"/>
      <c r="AR491" s="147"/>
      <c r="AS491" s="147"/>
    </row>
    <row r="492" spans="1:45" x14ac:dyDescent="0.25">
      <c r="A492" s="147"/>
      <c r="B492" s="147"/>
      <c r="C492" s="160"/>
      <c r="D492" s="160"/>
      <c r="E492" s="161"/>
      <c r="F492" s="162"/>
      <c r="G492" s="163"/>
      <c r="H492" s="163"/>
      <c r="I492" s="164"/>
      <c r="J492" s="162"/>
      <c r="K492" s="165"/>
      <c r="L492" s="166"/>
      <c r="M492" s="167"/>
      <c r="N492" s="167"/>
      <c r="O492" s="168"/>
      <c r="P492" s="168"/>
      <c r="Q492" s="147"/>
      <c r="R492" s="147"/>
      <c r="S492" s="169"/>
      <c r="T492" s="147"/>
      <c r="U492" s="147"/>
      <c r="V492" s="147"/>
      <c r="W492" s="147"/>
      <c r="X492" s="147"/>
      <c r="Y492" s="147"/>
      <c r="Z492" s="147"/>
      <c r="AA492" s="147"/>
      <c r="AB492" s="147"/>
      <c r="AC492" s="147"/>
      <c r="AD492" s="147"/>
      <c r="AE492" s="147"/>
      <c r="AF492" s="147"/>
      <c r="AG492" s="147"/>
      <c r="AH492" s="147"/>
      <c r="AI492" s="147"/>
      <c r="AJ492" s="147"/>
      <c r="AK492" s="147"/>
      <c r="AL492" s="147"/>
      <c r="AM492" s="147"/>
      <c r="AN492" s="147"/>
      <c r="AO492" s="147"/>
      <c r="AP492" s="147"/>
      <c r="AQ492" s="147"/>
      <c r="AR492" s="147"/>
      <c r="AS492" s="147"/>
    </row>
    <row r="493" spans="1:45" x14ac:dyDescent="0.25">
      <c r="A493" s="147"/>
      <c r="B493" s="147"/>
      <c r="C493" s="160"/>
      <c r="D493" s="160"/>
      <c r="E493" s="161"/>
      <c r="F493" s="162"/>
      <c r="G493" s="163"/>
      <c r="H493" s="163"/>
      <c r="I493" s="164"/>
      <c r="J493" s="162"/>
      <c r="K493" s="165"/>
      <c r="L493" s="166"/>
      <c r="M493" s="167"/>
      <c r="N493" s="167"/>
      <c r="O493" s="168"/>
      <c r="P493" s="168"/>
      <c r="Q493" s="147"/>
      <c r="R493" s="147"/>
      <c r="S493" s="169"/>
      <c r="T493" s="147"/>
      <c r="U493" s="147"/>
      <c r="V493" s="147"/>
      <c r="W493" s="147"/>
      <c r="X493" s="147"/>
      <c r="Y493" s="147"/>
      <c r="Z493" s="147"/>
      <c r="AA493" s="147"/>
      <c r="AB493" s="147"/>
      <c r="AC493" s="147"/>
      <c r="AD493" s="147"/>
      <c r="AE493" s="147"/>
      <c r="AF493" s="147"/>
      <c r="AG493" s="147"/>
      <c r="AH493" s="147"/>
      <c r="AI493" s="147"/>
      <c r="AJ493" s="147"/>
      <c r="AK493" s="147"/>
      <c r="AL493" s="147"/>
      <c r="AM493" s="147"/>
      <c r="AN493" s="147"/>
      <c r="AO493" s="147"/>
      <c r="AP493" s="147"/>
      <c r="AQ493" s="147"/>
      <c r="AR493" s="147"/>
      <c r="AS493" s="147"/>
    </row>
    <row r="494" spans="1:45" x14ac:dyDescent="0.25">
      <c r="A494" s="147"/>
      <c r="B494" s="147"/>
      <c r="C494" s="160"/>
      <c r="D494" s="160"/>
      <c r="E494" s="161"/>
      <c r="F494" s="162"/>
      <c r="G494" s="163"/>
      <c r="H494" s="163"/>
      <c r="I494" s="164"/>
      <c r="J494" s="162"/>
      <c r="K494" s="165"/>
      <c r="L494" s="166"/>
      <c r="M494" s="167"/>
      <c r="N494" s="167"/>
      <c r="O494" s="168"/>
      <c r="P494" s="168"/>
      <c r="Q494" s="147"/>
      <c r="R494" s="147"/>
      <c r="S494" s="169"/>
      <c r="T494" s="147"/>
      <c r="U494" s="147"/>
      <c r="V494" s="147"/>
      <c r="W494" s="147"/>
      <c r="X494" s="147"/>
      <c r="Y494" s="147"/>
      <c r="Z494" s="147"/>
      <c r="AA494" s="147"/>
      <c r="AB494" s="147"/>
      <c r="AC494" s="147"/>
      <c r="AD494" s="147"/>
      <c r="AE494" s="147"/>
      <c r="AF494" s="147"/>
      <c r="AG494" s="147"/>
      <c r="AH494" s="147"/>
      <c r="AI494" s="147"/>
      <c r="AJ494" s="147"/>
      <c r="AK494" s="147"/>
      <c r="AL494" s="147"/>
      <c r="AM494" s="147"/>
      <c r="AN494" s="147"/>
      <c r="AO494" s="147"/>
      <c r="AP494" s="147"/>
      <c r="AQ494" s="147"/>
      <c r="AR494" s="147"/>
      <c r="AS494" s="147"/>
    </row>
    <row r="495" spans="1:45" x14ac:dyDescent="0.25">
      <c r="A495" s="147"/>
      <c r="B495" s="147"/>
      <c r="C495" s="160"/>
      <c r="D495" s="160"/>
      <c r="E495" s="161"/>
      <c r="F495" s="162"/>
      <c r="G495" s="163"/>
      <c r="H495" s="163"/>
      <c r="I495" s="164"/>
      <c r="J495" s="162"/>
      <c r="K495" s="165"/>
      <c r="L495" s="166"/>
      <c r="M495" s="167"/>
      <c r="N495" s="167"/>
      <c r="O495" s="168"/>
      <c r="P495" s="168"/>
      <c r="Q495" s="147"/>
      <c r="R495" s="147"/>
      <c r="S495" s="169"/>
      <c r="T495" s="147"/>
      <c r="U495" s="147"/>
      <c r="V495" s="147"/>
      <c r="W495" s="147"/>
      <c r="X495" s="147"/>
      <c r="Y495" s="147"/>
      <c r="Z495" s="147"/>
      <c r="AA495" s="147"/>
      <c r="AB495" s="147"/>
      <c r="AC495" s="147"/>
      <c r="AD495" s="147"/>
      <c r="AE495" s="147"/>
      <c r="AF495" s="147"/>
      <c r="AG495" s="147"/>
      <c r="AH495" s="147"/>
      <c r="AI495" s="147"/>
      <c r="AJ495" s="147"/>
      <c r="AK495" s="147"/>
      <c r="AL495" s="147"/>
      <c r="AM495" s="147"/>
      <c r="AN495" s="147"/>
      <c r="AO495" s="147"/>
      <c r="AP495" s="147"/>
      <c r="AQ495" s="147"/>
      <c r="AR495" s="147"/>
      <c r="AS495" s="147"/>
    </row>
    <row r="496" spans="1:45" x14ac:dyDescent="0.25">
      <c r="A496" s="147"/>
      <c r="B496" s="147"/>
      <c r="C496" s="160"/>
      <c r="D496" s="160"/>
      <c r="E496" s="161"/>
      <c r="F496" s="162"/>
      <c r="G496" s="163"/>
      <c r="H496" s="163"/>
      <c r="I496" s="164"/>
      <c r="J496" s="162"/>
      <c r="K496" s="165"/>
      <c r="L496" s="166"/>
      <c r="M496" s="167"/>
      <c r="N496" s="167"/>
      <c r="O496" s="168"/>
      <c r="P496" s="168"/>
      <c r="Q496" s="147"/>
      <c r="R496" s="147"/>
      <c r="S496" s="169"/>
      <c r="T496" s="147"/>
      <c r="U496" s="147"/>
      <c r="V496" s="147"/>
      <c r="W496" s="147"/>
      <c r="X496" s="147"/>
      <c r="Y496" s="147"/>
      <c r="Z496" s="147"/>
      <c r="AA496" s="147"/>
      <c r="AB496" s="147"/>
      <c r="AC496" s="147"/>
      <c r="AD496" s="147"/>
      <c r="AE496" s="147"/>
      <c r="AF496" s="147"/>
      <c r="AG496" s="147"/>
      <c r="AH496" s="147"/>
      <c r="AI496" s="147"/>
      <c r="AJ496" s="147"/>
      <c r="AK496" s="147"/>
      <c r="AL496" s="147"/>
      <c r="AM496" s="147"/>
      <c r="AN496" s="147"/>
      <c r="AO496" s="147"/>
      <c r="AP496" s="147"/>
      <c r="AQ496" s="147"/>
      <c r="AR496" s="147"/>
      <c r="AS496" s="147"/>
    </row>
    <row r="497" spans="1:45" x14ac:dyDescent="0.25">
      <c r="A497" s="147"/>
      <c r="B497" s="147"/>
      <c r="C497" s="160"/>
      <c r="D497" s="160"/>
      <c r="E497" s="161"/>
      <c r="F497" s="162"/>
      <c r="G497" s="163"/>
      <c r="H497" s="163"/>
      <c r="I497" s="164"/>
      <c r="J497" s="162"/>
      <c r="K497" s="165"/>
      <c r="L497" s="166"/>
      <c r="M497" s="167"/>
      <c r="N497" s="167"/>
      <c r="O497" s="168"/>
      <c r="P497" s="168"/>
      <c r="Q497" s="147"/>
      <c r="R497" s="147"/>
      <c r="S497" s="169"/>
      <c r="T497" s="147"/>
      <c r="U497" s="147"/>
      <c r="V497" s="147"/>
      <c r="W497" s="147"/>
      <c r="X497" s="147"/>
      <c r="Y497" s="147"/>
      <c r="Z497" s="147"/>
      <c r="AA497" s="147"/>
      <c r="AB497" s="147"/>
      <c r="AC497" s="147"/>
      <c r="AD497" s="147"/>
      <c r="AE497" s="147"/>
      <c r="AF497" s="147"/>
      <c r="AG497" s="147"/>
      <c r="AH497" s="147"/>
      <c r="AI497" s="147"/>
      <c r="AJ497" s="147"/>
      <c r="AK497" s="147"/>
      <c r="AL497" s="147"/>
      <c r="AM497" s="147"/>
      <c r="AN497" s="147"/>
      <c r="AO497" s="147"/>
      <c r="AP497" s="147"/>
      <c r="AQ497" s="147"/>
      <c r="AR497" s="147"/>
      <c r="AS497" s="147"/>
    </row>
    <row r="498" spans="1:45" x14ac:dyDescent="0.25">
      <c r="A498" s="147"/>
      <c r="B498" s="147"/>
      <c r="C498" s="160"/>
      <c r="D498" s="160"/>
      <c r="E498" s="161"/>
      <c r="F498" s="162"/>
      <c r="G498" s="163"/>
      <c r="H498" s="163"/>
      <c r="I498" s="164"/>
      <c r="J498" s="162"/>
      <c r="K498" s="165"/>
      <c r="L498" s="166"/>
      <c r="M498" s="167"/>
      <c r="N498" s="167"/>
      <c r="O498" s="168"/>
      <c r="P498" s="168"/>
      <c r="Q498" s="147"/>
      <c r="R498" s="147"/>
      <c r="S498" s="169"/>
      <c r="T498" s="147"/>
      <c r="U498" s="147"/>
      <c r="V498" s="147"/>
      <c r="W498" s="147"/>
      <c r="X498" s="147"/>
      <c r="Y498" s="147"/>
      <c r="Z498" s="147"/>
      <c r="AA498" s="147"/>
      <c r="AB498" s="147"/>
      <c r="AC498" s="147"/>
      <c r="AD498" s="147"/>
      <c r="AE498" s="147"/>
      <c r="AF498" s="147"/>
      <c r="AG498" s="147"/>
      <c r="AH498" s="147"/>
      <c r="AI498" s="147"/>
      <c r="AJ498" s="147"/>
      <c r="AK498" s="147"/>
      <c r="AL498" s="147"/>
      <c r="AM498" s="147"/>
      <c r="AN498" s="147"/>
      <c r="AO498" s="147"/>
      <c r="AP498" s="147"/>
      <c r="AQ498" s="147"/>
      <c r="AR498" s="147"/>
      <c r="AS498" s="147"/>
    </row>
    <row r="499" spans="1:45" x14ac:dyDescent="0.25">
      <c r="A499" s="147"/>
      <c r="B499" s="147"/>
      <c r="C499" s="160"/>
      <c r="D499" s="160"/>
      <c r="E499" s="161"/>
      <c r="F499" s="162"/>
      <c r="G499" s="163"/>
      <c r="H499" s="163"/>
      <c r="I499" s="164"/>
      <c r="J499" s="162"/>
      <c r="K499" s="165"/>
      <c r="L499" s="166"/>
      <c r="M499" s="167"/>
      <c r="N499" s="167"/>
      <c r="O499" s="168"/>
      <c r="P499" s="168"/>
      <c r="Q499" s="147"/>
      <c r="R499" s="147"/>
      <c r="S499" s="169"/>
      <c r="T499" s="147"/>
      <c r="U499" s="147"/>
      <c r="V499" s="147"/>
      <c r="W499" s="147"/>
      <c r="X499" s="147"/>
      <c r="Y499" s="147"/>
      <c r="Z499" s="147"/>
      <c r="AA499" s="147"/>
      <c r="AB499" s="147"/>
      <c r="AC499" s="147"/>
      <c r="AD499" s="147"/>
      <c r="AE499" s="147"/>
      <c r="AF499" s="147"/>
      <c r="AG499" s="147"/>
      <c r="AH499" s="147"/>
      <c r="AI499" s="147"/>
      <c r="AJ499" s="147"/>
      <c r="AK499" s="147"/>
      <c r="AL499" s="147"/>
      <c r="AM499" s="147"/>
      <c r="AN499" s="147"/>
      <c r="AO499" s="147"/>
      <c r="AP499" s="147"/>
      <c r="AQ499" s="147"/>
      <c r="AR499" s="147"/>
      <c r="AS499" s="147"/>
    </row>
    <row r="500" spans="1:45" x14ac:dyDescent="0.25">
      <c r="A500" s="147"/>
      <c r="B500" s="147"/>
      <c r="C500" s="160"/>
      <c r="D500" s="160"/>
      <c r="E500" s="161"/>
      <c r="F500" s="162"/>
      <c r="G500" s="163"/>
      <c r="H500" s="163"/>
      <c r="I500" s="164"/>
      <c r="J500" s="162"/>
      <c r="K500" s="165"/>
      <c r="L500" s="166"/>
      <c r="M500" s="167"/>
      <c r="N500" s="167"/>
      <c r="O500" s="168"/>
      <c r="P500" s="168"/>
      <c r="Q500" s="147"/>
      <c r="R500" s="147"/>
      <c r="S500" s="169"/>
      <c r="T500" s="147"/>
      <c r="U500" s="147"/>
      <c r="V500" s="147"/>
      <c r="W500" s="147"/>
      <c r="X500" s="147"/>
      <c r="Y500" s="147"/>
      <c r="Z500" s="147"/>
      <c r="AA500" s="147"/>
      <c r="AB500" s="147"/>
      <c r="AC500" s="147"/>
      <c r="AD500" s="147"/>
      <c r="AE500" s="147"/>
      <c r="AF500" s="147"/>
      <c r="AG500" s="147"/>
      <c r="AH500" s="147"/>
      <c r="AI500" s="147"/>
      <c r="AJ500" s="147"/>
      <c r="AK500" s="147"/>
      <c r="AL500" s="147"/>
      <c r="AM500" s="147"/>
      <c r="AN500" s="147"/>
      <c r="AO500" s="147"/>
      <c r="AP500" s="147"/>
      <c r="AQ500" s="147"/>
      <c r="AR500" s="147"/>
      <c r="AS500" s="147"/>
    </row>
    <row r="501" spans="1:45" x14ac:dyDescent="0.25">
      <c r="A501" s="147"/>
      <c r="B501" s="147"/>
      <c r="C501" s="160"/>
      <c r="D501" s="160"/>
      <c r="E501" s="161"/>
      <c r="F501" s="162"/>
      <c r="G501" s="163"/>
      <c r="H501" s="163"/>
      <c r="I501" s="164"/>
      <c r="J501" s="162"/>
      <c r="K501" s="165"/>
      <c r="L501" s="166"/>
      <c r="M501" s="167"/>
      <c r="N501" s="167"/>
      <c r="O501" s="168"/>
      <c r="P501" s="168"/>
      <c r="Q501" s="147"/>
      <c r="R501" s="147"/>
      <c r="S501" s="169"/>
      <c r="T501" s="147"/>
      <c r="U501" s="147"/>
      <c r="V501" s="147"/>
      <c r="W501" s="147"/>
      <c r="X501" s="147"/>
      <c r="Y501" s="147"/>
      <c r="Z501" s="147"/>
      <c r="AA501" s="147"/>
      <c r="AB501" s="147"/>
      <c r="AC501" s="147"/>
      <c r="AD501" s="147"/>
      <c r="AE501" s="147"/>
      <c r="AF501" s="147"/>
      <c r="AG501" s="147"/>
      <c r="AH501" s="147"/>
      <c r="AI501" s="147"/>
      <c r="AJ501" s="147"/>
      <c r="AK501" s="147"/>
      <c r="AL501" s="147"/>
      <c r="AM501" s="147"/>
      <c r="AN501" s="147"/>
      <c r="AO501" s="147"/>
      <c r="AP501" s="147"/>
      <c r="AQ501" s="147"/>
      <c r="AR501" s="147"/>
      <c r="AS501" s="147"/>
    </row>
    <row r="502" spans="1:45" x14ac:dyDescent="0.25">
      <c r="A502" s="147"/>
      <c r="B502" s="147"/>
      <c r="C502" s="160"/>
      <c r="D502" s="160"/>
      <c r="E502" s="161"/>
      <c r="F502" s="162"/>
      <c r="G502" s="163"/>
      <c r="H502" s="163"/>
      <c r="I502" s="164"/>
      <c r="J502" s="162"/>
      <c r="K502" s="165"/>
      <c r="L502" s="166"/>
      <c r="M502" s="167"/>
      <c r="N502" s="167"/>
      <c r="O502" s="168"/>
      <c r="P502" s="168"/>
      <c r="Q502" s="147"/>
      <c r="R502" s="147"/>
      <c r="S502" s="169"/>
      <c r="T502" s="147"/>
      <c r="U502" s="147"/>
      <c r="V502" s="147"/>
      <c r="W502" s="147"/>
      <c r="X502" s="147"/>
      <c r="Y502" s="147"/>
      <c r="Z502" s="147"/>
      <c r="AA502" s="147"/>
      <c r="AB502" s="147"/>
      <c r="AC502" s="147"/>
      <c r="AD502" s="147"/>
      <c r="AE502" s="147"/>
      <c r="AF502" s="147"/>
      <c r="AG502" s="147"/>
      <c r="AH502" s="147"/>
      <c r="AI502" s="147"/>
      <c r="AJ502" s="147"/>
      <c r="AK502" s="147"/>
      <c r="AL502" s="147"/>
      <c r="AM502" s="147"/>
      <c r="AN502" s="147"/>
      <c r="AO502" s="147"/>
      <c r="AP502" s="147"/>
      <c r="AQ502" s="147"/>
      <c r="AR502" s="147"/>
      <c r="AS502" s="147"/>
    </row>
    <row r="503" spans="1:45" x14ac:dyDescent="0.25">
      <c r="A503" s="147"/>
      <c r="B503" s="147"/>
      <c r="C503" s="160"/>
      <c r="D503" s="160"/>
      <c r="E503" s="161"/>
      <c r="F503" s="162"/>
      <c r="G503" s="163"/>
      <c r="H503" s="163"/>
      <c r="I503" s="164"/>
      <c r="J503" s="162"/>
      <c r="K503" s="165"/>
      <c r="L503" s="166"/>
      <c r="M503" s="167"/>
      <c r="N503" s="167"/>
      <c r="O503" s="168"/>
      <c r="P503" s="168"/>
      <c r="Q503" s="147"/>
      <c r="R503" s="147"/>
      <c r="S503" s="169"/>
      <c r="T503" s="147"/>
      <c r="U503" s="147"/>
      <c r="V503" s="147"/>
      <c r="W503" s="147"/>
      <c r="X503" s="147"/>
      <c r="Y503" s="147"/>
      <c r="Z503" s="147"/>
      <c r="AA503" s="147"/>
      <c r="AB503" s="147"/>
      <c r="AC503" s="147"/>
      <c r="AD503" s="147"/>
      <c r="AE503" s="147"/>
      <c r="AF503" s="147"/>
      <c r="AG503" s="147"/>
      <c r="AH503" s="147"/>
      <c r="AI503" s="147"/>
      <c r="AJ503" s="147"/>
      <c r="AK503" s="147"/>
      <c r="AL503" s="147"/>
      <c r="AM503" s="147"/>
      <c r="AN503" s="147"/>
      <c r="AO503" s="147"/>
      <c r="AP503" s="147"/>
      <c r="AQ503" s="147"/>
      <c r="AR503" s="147"/>
      <c r="AS503" s="147"/>
    </row>
    <row r="504" spans="1:45" x14ac:dyDescent="0.25">
      <c r="A504" s="147"/>
      <c r="B504" s="147"/>
      <c r="C504" s="160"/>
      <c r="D504" s="160"/>
      <c r="E504" s="161"/>
      <c r="F504" s="162"/>
      <c r="G504" s="163"/>
      <c r="H504" s="163"/>
      <c r="I504" s="164"/>
      <c r="J504" s="162"/>
      <c r="K504" s="165"/>
      <c r="L504" s="166"/>
      <c r="M504" s="167"/>
      <c r="N504" s="167"/>
      <c r="O504" s="168"/>
      <c r="P504" s="168"/>
      <c r="Q504" s="147"/>
      <c r="R504" s="147"/>
      <c r="S504" s="169"/>
      <c r="T504" s="147"/>
      <c r="U504" s="147"/>
      <c r="V504" s="147"/>
      <c r="W504" s="147"/>
      <c r="X504" s="147"/>
      <c r="Y504" s="147"/>
      <c r="Z504" s="147"/>
      <c r="AA504" s="147"/>
      <c r="AB504" s="147"/>
      <c r="AC504" s="147"/>
      <c r="AD504" s="147"/>
      <c r="AE504" s="147"/>
      <c r="AF504" s="147"/>
      <c r="AG504" s="147"/>
      <c r="AH504" s="147"/>
      <c r="AI504" s="147"/>
      <c r="AJ504" s="147"/>
      <c r="AK504" s="147"/>
      <c r="AL504" s="147"/>
      <c r="AM504" s="147"/>
      <c r="AN504" s="147"/>
      <c r="AO504" s="147"/>
      <c r="AP504" s="147"/>
      <c r="AQ504" s="147"/>
      <c r="AR504" s="147"/>
      <c r="AS504" s="147"/>
    </row>
    <row r="505" spans="1:45" x14ac:dyDescent="0.25">
      <c r="A505" s="147"/>
      <c r="B505" s="147"/>
      <c r="C505" s="160"/>
      <c r="D505" s="160"/>
      <c r="E505" s="161"/>
      <c r="F505" s="162"/>
      <c r="G505" s="163"/>
      <c r="H505" s="163"/>
      <c r="I505" s="164"/>
      <c r="J505" s="162"/>
      <c r="K505" s="165"/>
      <c r="L505" s="166"/>
      <c r="M505" s="167"/>
      <c r="N505" s="167"/>
      <c r="O505" s="168"/>
      <c r="P505" s="168"/>
      <c r="Q505" s="147"/>
      <c r="R505" s="147"/>
      <c r="S505" s="169"/>
      <c r="T505" s="147"/>
      <c r="U505" s="147"/>
      <c r="V505" s="147"/>
      <c r="W505" s="147"/>
      <c r="X505" s="147"/>
      <c r="Y505" s="147"/>
      <c r="Z505" s="147"/>
      <c r="AA505" s="147"/>
      <c r="AB505" s="147"/>
      <c r="AC505" s="147"/>
      <c r="AD505" s="147"/>
      <c r="AE505" s="147"/>
      <c r="AF505" s="147"/>
      <c r="AG505" s="147"/>
      <c r="AH505" s="147"/>
      <c r="AI505" s="147"/>
      <c r="AJ505" s="147"/>
      <c r="AK505" s="147"/>
      <c r="AL505" s="147"/>
      <c r="AM505" s="147"/>
      <c r="AN505" s="147"/>
      <c r="AO505" s="147"/>
      <c r="AP505" s="147"/>
      <c r="AQ505" s="147"/>
      <c r="AR505" s="147"/>
      <c r="AS505" s="147"/>
    </row>
    <row r="506" spans="1:45" x14ac:dyDescent="0.25">
      <c r="A506" s="147"/>
      <c r="B506" s="147"/>
      <c r="C506" s="160"/>
      <c r="D506" s="160"/>
      <c r="E506" s="161"/>
      <c r="F506" s="162"/>
      <c r="G506" s="163"/>
      <c r="H506" s="163"/>
      <c r="I506" s="164"/>
      <c r="J506" s="162"/>
      <c r="K506" s="165"/>
      <c r="L506" s="166"/>
      <c r="M506" s="167"/>
      <c r="N506" s="167"/>
      <c r="O506" s="168"/>
      <c r="P506" s="168"/>
      <c r="Q506" s="147"/>
      <c r="R506" s="147"/>
      <c r="S506" s="169"/>
      <c r="T506" s="147"/>
      <c r="U506" s="147"/>
      <c r="V506" s="147"/>
      <c r="W506" s="147"/>
      <c r="X506" s="147"/>
      <c r="Y506" s="147"/>
      <c r="Z506" s="147"/>
      <c r="AA506" s="147"/>
      <c r="AB506" s="147"/>
      <c r="AC506" s="147"/>
      <c r="AD506" s="147"/>
      <c r="AE506" s="147"/>
      <c r="AF506" s="147"/>
      <c r="AG506" s="147"/>
      <c r="AH506" s="147"/>
      <c r="AI506" s="147"/>
      <c r="AJ506" s="147"/>
      <c r="AK506" s="147"/>
      <c r="AL506" s="147"/>
      <c r="AM506" s="147"/>
      <c r="AN506" s="147"/>
      <c r="AO506" s="147"/>
      <c r="AP506" s="147"/>
      <c r="AQ506" s="147"/>
      <c r="AR506" s="147"/>
      <c r="AS506" s="147"/>
    </row>
    <row r="507" spans="1:45" x14ac:dyDescent="0.25">
      <c r="A507" s="147"/>
      <c r="B507" s="147"/>
      <c r="C507" s="160"/>
      <c r="D507" s="160"/>
      <c r="E507" s="161"/>
      <c r="F507" s="162"/>
      <c r="G507" s="163"/>
      <c r="H507" s="163"/>
      <c r="I507" s="164"/>
      <c r="J507" s="162"/>
      <c r="K507" s="165"/>
      <c r="L507" s="166"/>
      <c r="M507" s="167"/>
      <c r="N507" s="167"/>
      <c r="O507" s="168"/>
      <c r="P507" s="168"/>
      <c r="Q507" s="147"/>
      <c r="R507" s="147"/>
      <c r="S507" s="169"/>
      <c r="T507" s="147"/>
      <c r="U507" s="147"/>
      <c r="V507" s="147"/>
      <c r="W507" s="147"/>
      <c r="X507" s="147"/>
      <c r="Y507" s="147"/>
      <c r="Z507" s="147"/>
      <c r="AA507" s="147"/>
      <c r="AB507" s="147"/>
      <c r="AC507" s="147"/>
      <c r="AD507" s="147"/>
      <c r="AE507" s="147"/>
      <c r="AF507" s="147"/>
      <c r="AG507" s="147"/>
      <c r="AH507" s="147"/>
      <c r="AI507" s="147"/>
      <c r="AJ507" s="147"/>
      <c r="AK507" s="147"/>
      <c r="AL507" s="147"/>
      <c r="AM507" s="147"/>
      <c r="AN507" s="147"/>
      <c r="AO507" s="147"/>
      <c r="AP507" s="147"/>
      <c r="AQ507" s="147"/>
      <c r="AR507" s="147"/>
      <c r="AS507" s="147"/>
    </row>
    <row r="508" spans="1:45" x14ac:dyDescent="0.25">
      <c r="A508" s="147"/>
      <c r="B508" s="147"/>
      <c r="C508" s="160"/>
      <c r="D508" s="160"/>
      <c r="E508" s="161"/>
      <c r="F508" s="162"/>
      <c r="G508" s="163"/>
      <c r="H508" s="163"/>
      <c r="I508" s="164"/>
      <c r="J508" s="162"/>
      <c r="K508" s="165"/>
      <c r="L508" s="166"/>
      <c r="M508" s="167"/>
      <c r="N508" s="167"/>
      <c r="O508" s="168"/>
      <c r="P508" s="168"/>
      <c r="Q508" s="147"/>
      <c r="R508" s="147"/>
      <c r="S508" s="169"/>
      <c r="T508" s="147"/>
      <c r="U508" s="147"/>
      <c r="V508" s="147"/>
      <c r="W508" s="147"/>
      <c r="X508" s="147"/>
      <c r="Y508" s="147"/>
      <c r="Z508" s="147"/>
      <c r="AA508" s="147"/>
      <c r="AB508" s="147"/>
      <c r="AC508" s="147"/>
      <c r="AD508" s="147"/>
      <c r="AE508" s="147"/>
      <c r="AF508" s="147"/>
      <c r="AG508" s="147"/>
      <c r="AH508" s="147"/>
      <c r="AI508" s="147"/>
      <c r="AJ508" s="147"/>
      <c r="AK508" s="147"/>
      <c r="AL508" s="147"/>
      <c r="AM508" s="147"/>
      <c r="AN508" s="147"/>
      <c r="AO508" s="147"/>
      <c r="AP508" s="147"/>
      <c r="AQ508" s="147"/>
      <c r="AR508" s="147"/>
      <c r="AS508" s="147"/>
    </row>
    <row r="509" spans="1:45" x14ac:dyDescent="0.25">
      <c r="A509" s="147"/>
      <c r="B509" s="147"/>
      <c r="C509" s="160"/>
      <c r="D509" s="160"/>
      <c r="E509" s="161"/>
      <c r="F509" s="162"/>
      <c r="G509" s="163"/>
      <c r="H509" s="163"/>
      <c r="I509" s="164"/>
      <c r="J509" s="162"/>
      <c r="K509" s="165"/>
      <c r="L509" s="166"/>
      <c r="M509" s="167"/>
      <c r="N509" s="167"/>
      <c r="O509" s="168"/>
      <c r="P509" s="168"/>
      <c r="Q509" s="147"/>
      <c r="R509" s="147"/>
      <c r="S509" s="169"/>
      <c r="T509" s="147"/>
      <c r="U509" s="147"/>
      <c r="V509" s="147"/>
      <c r="W509" s="147"/>
      <c r="X509" s="147"/>
      <c r="Y509" s="147"/>
      <c r="Z509" s="147"/>
      <c r="AA509" s="147"/>
      <c r="AB509" s="147"/>
      <c r="AC509" s="147"/>
      <c r="AD509" s="147"/>
      <c r="AE509" s="147"/>
      <c r="AF509" s="147"/>
      <c r="AG509" s="147"/>
      <c r="AH509" s="147"/>
      <c r="AI509" s="147"/>
      <c r="AJ509" s="147"/>
      <c r="AK509" s="147"/>
      <c r="AL509" s="147"/>
      <c r="AM509" s="147"/>
      <c r="AN509" s="147"/>
      <c r="AO509" s="147"/>
      <c r="AP509" s="147"/>
      <c r="AQ509" s="147"/>
      <c r="AR509" s="147"/>
      <c r="AS509" s="147"/>
    </row>
    <row r="510" spans="1:45" x14ac:dyDescent="0.25">
      <c r="A510" s="147"/>
      <c r="B510" s="147"/>
      <c r="C510" s="160"/>
      <c r="D510" s="160"/>
      <c r="E510" s="161"/>
      <c r="F510" s="162"/>
      <c r="G510" s="163"/>
      <c r="H510" s="163"/>
      <c r="I510" s="164"/>
      <c r="J510" s="162"/>
      <c r="K510" s="165"/>
      <c r="L510" s="166"/>
      <c r="M510" s="167"/>
      <c r="N510" s="167"/>
      <c r="O510" s="168"/>
      <c r="P510" s="168"/>
      <c r="Q510" s="147"/>
      <c r="R510" s="147"/>
      <c r="S510" s="169"/>
      <c r="T510" s="147"/>
      <c r="U510" s="147"/>
      <c r="V510" s="147"/>
      <c r="W510" s="147"/>
      <c r="X510" s="147"/>
      <c r="Y510" s="147"/>
      <c r="Z510" s="147"/>
      <c r="AA510" s="147"/>
      <c r="AB510" s="147"/>
      <c r="AC510" s="147"/>
      <c r="AD510" s="147"/>
      <c r="AE510" s="147"/>
      <c r="AF510" s="147"/>
      <c r="AG510" s="147"/>
      <c r="AH510" s="147"/>
      <c r="AI510" s="147"/>
      <c r="AJ510" s="147"/>
      <c r="AK510" s="147"/>
      <c r="AL510" s="147"/>
      <c r="AM510" s="147"/>
      <c r="AN510" s="147"/>
      <c r="AO510" s="147"/>
      <c r="AP510" s="147"/>
      <c r="AQ510" s="147"/>
      <c r="AR510" s="147"/>
      <c r="AS510" s="147"/>
    </row>
    <row r="511" spans="1:45" x14ac:dyDescent="0.25">
      <c r="A511" s="147"/>
      <c r="B511" s="147"/>
      <c r="C511" s="160"/>
      <c r="D511" s="160"/>
      <c r="E511" s="161"/>
      <c r="F511" s="162"/>
      <c r="G511" s="163"/>
      <c r="H511" s="163"/>
      <c r="I511" s="164"/>
      <c r="J511" s="162"/>
      <c r="K511" s="165"/>
      <c r="L511" s="166"/>
      <c r="M511" s="167"/>
      <c r="N511" s="167"/>
      <c r="O511" s="168"/>
      <c r="P511" s="168"/>
      <c r="Q511" s="147"/>
      <c r="R511" s="147"/>
      <c r="S511" s="169"/>
      <c r="T511" s="147"/>
      <c r="U511" s="147"/>
      <c r="V511" s="147"/>
      <c r="W511" s="147"/>
      <c r="X511" s="147"/>
      <c r="Y511" s="147"/>
      <c r="Z511" s="147"/>
      <c r="AA511" s="147"/>
      <c r="AB511" s="147"/>
      <c r="AC511" s="147"/>
      <c r="AD511" s="147"/>
      <c r="AE511" s="147"/>
      <c r="AF511" s="147"/>
      <c r="AG511" s="147"/>
      <c r="AH511" s="147"/>
      <c r="AI511" s="147"/>
      <c r="AJ511" s="147"/>
      <c r="AK511" s="147"/>
      <c r="AL511" s="147"/>
      <c r="AM511" s="147"/>
      <c r="AN511" s="147"/>
      <c r="AO511" s="147"/>
      <c r="AP511" s="147"/>
      <c r="AQ511" s="147"/>
      <c r="AR511" s="147"/>
      <c r="AS511" s="147"/>
    </row>
    <row r="512" spans="1:45" x14ac:dyDescent="0.25">
      <c r="A512" s="147"/>
      <c r="B512" s="147"/>
      <c r="C512" s="160"/>
      <c r="D512" s="160"/>
      <c r="E512" s="161"/>
      <c r="F512" s="162"/>
      <c r="G512" s="163"/>
      <c r="H512" s="163"/>
      <c r="I512" s="164"/>
      <c r="J512" s="162"/>
      <c r="K512" s="165"/>
      <c r="L512" s="166"/>
      <c r="M512" s="167"/>
      <c r="N512" s="167"/>
      <c r="O512" s="168"/>
      <c r="P512" s="168"/>
      <c r="Q512" s="147"/>
      <c r="R512" s="147"/>
      <c r="S512" s="169"/>
      <c r="T512" s="147"/>
      <c r="U512" s="147"/>
      <c r="V512" s="147"/>
      <c r="W512" s="147"/>
      <c r="X512" s="147"/>
      <c r="Y512" s="147"/>
      <c r="Z512" s="147"/>
      <c r="AA512" s="147"/>
      <c r="AB512" s="147"/>
      <c r="AC512" s="147"/>
      <c r="AD512" s="147"/>
      <c r="AE512" s="147"/>
      <c r="AF512" s="147"/>
      <c r="AG512" s="147"/>
      <c r="AH512" s="147"/>
      <c r="AI512" s="147"/>
      <c r="AJ512" s="147"/>
      <c r="AK512" s="147"/>
      <c r="AL512" s="147"/>
      <c r="AM512" s="147"/>
      <c r="AN512" s="147"/>
      <c r="AO512" s="147"/>
      <c r="AP512" s="147"/>
      <c r="AQ512" s="147"/>
      <c r="AR512" s="147"/>
      <c r="AS512" s="147"/>
    </row>
    <row r="513" spans="1:45" x14ac:dyDescent="0.25">
      <c r="A513" s="147"/>
      <c r="B513" s="147"/>
      <c r="C513" s="160"/>
      <c r="D513" s="160"/>
      <c r="E513" s="161"/>
      <c r="F513" s="162"/>
      <c r="G513" s="163"/>
      <c r="H513" s="163"/>
      <c r="I513" s="164"/>
      <c r="J513" s="162"/>
      <c r="K513" s="165"/>
      <c r="L513" s="166"/>
      <c r="M513" s="167"/>
      <c r="N513" s="167"/>
      <c r="O513" s="168"/>
      <c r="P513" s="168"/>
      <c r="Q513" s="147"/>
      <c r="R513" s="147"/>
      <c r="S513" s="169"/>
      <c r="T513" s="147"/>
      <c r="U513" s="147"/>
      <c r="V513" s="147"/>
      <c r="W513" s="147"/>
      <c r="X513" s="147"/>
      <c r="Y513" s="147"/>
      <c r="Z513" s="147"/>
      <c r="AA513" s="147"/>
      <c r="AB513" s="147"/>
      <c r="AC513" s="147"/>
      <c r="AD513" s="147"/>
      <c r="AE513" s="147"/>
      <c r="AF513" s="147"/>
      <c r="AG513" s="147"/>
      <c r="AH513" s="147"/>
      <c r="AI513" s="147"/>
      <c r="AJ513" s="147"/>
      <c r="AK513" s="147"/>
      <c r="AL513" s="147"/>
      <c r="AM513" s="147"/>
      <c r="AN513" s="147"/>
      <c r="AO513" s="147"/>
      <c r="AP513" s="147"/>
      <c r="AQ513" s="147"/>
      <c r="AR513" s="147"/>
      <c r="AS513" s="147"/>
    </row>
    <row r="514" spans="1:45" x14ac:dyDescent="0.25">
      <c r="A514" s="147"/>
      <c r="B514" s="147"/>
      <c r="C514" s="160"/>
      <c r="D514" s="160"/>
      <c r="E514" s="161"/>
      <c r="F514" s="162"/>
      <c r="G514" s="163"/>
      <c r="H514" s="163"/>
      <c r="I514" s="164"/>
      <c r="J514" s="162"/>
      <c r="K514" s="165"/>
      <c r="L514" s="166"/>
      <c r="M514" s="167"/>
      <c r="N514" s="167"/>
      <c r="O514" s="168"/>
      <c r="P514" s="168"/>
      <c r="Q514" s="147"/>
      <c r="R514" s="147"/>
      <c r="S514" s="169"/>
      <c r="T514" s="147"/>
      <c r="U514" s="147"/>
      <c r="V514" s="147"/>
      <c r="W514" s="147"/>
      <c r="X514" s="147"/>
      <c r="Y514" s="147"/>
      <c r="Z514" s="147"/>
      <c r="AA514" s="147"/>
      <c r="AB514" s="147"/>
      <c r="AC514" s="147"/>
      <c r="AD514" s="147"/>
      <c r="AE514" s="147"/>
      <c r="AF514" s="147"/>
      <c r="AG514" s="147"/>
      <c r="AH514" s="147"/>
      <c r="AI514" s="147"/>
      <c r="AJ514" s="147"/>
      <c r="AK514" s="147"/>
      <c r="AL514" s="147"/>
      <c r="AM514" s="147"/>
      <c r="AN514" s="147"/>
      <c r="AO514" s="147"/>
      <c r="AP514" s="147"/>
      <c r="AQ514" s="147"/>
      <c r="AR514" s="147"/>
      <c r="AS514" s="147"/>
    </row>
    <row r="515" spans="1:45" x14ac:dyDescent="0.25">
      <c r="A515" s="147"/>
      <c r="B515" s="147"/>
      <c r="C515" s="160"/>
      <c r="D515" s="160"/>
      <c r="E515" s="161"/>
      <c r="F515" s="162"/>
      <c r="G515" s="163"/>
      <c r="H515" s="163"/>
      <c r="I515" s="164"/>
      <c r="J515" s="162"/>
      <c r="K515" s="165"/>
      <c r="L515" s="166"/>
      <c r="M515" s="167"/>
      <c r="N515" s="167"/>
      <c r="O515" s="168"/>
      <c r="P515" s="168"/>
      <c r="Q515" s="147"/>
      <c r="R515" s="147"/>
      <c r="S515" s="169"/>
      <c r="T515" s="147"/>
      <c r="U515" s="147"/>
      <c r="V515" s="147"/>
      <c r="W515" s="147"/>
      <c r="X515" s="147"/>
      <c r="Y515" s="147"/>
      <c r="Z515" s="147"/>
      <c r="AA515" s="147"/>
      <c r="AB515" s="147"/>
      <c r="AC515" s="147"/>
      <c r="AD515" s="147"/>
      <c r="AE515" s="147"/>
      <c r="AF515" s="147"/>
      <c r="AG515" s="147"/>
      <c r="AH515" s="147"/>
      <c r="AI515" s="147"/>
      <c r="AJ515" s="147"/>
      <c r="AK515" s="147"/>
      <c r="AL515" s="147"/>
      <c r="AM515" s="147"/>
      <c r="AN515" s="147"/>
      <c r="AO515" s="147"/>
      <c r="AP515" s="147"/>
      <c r="AQ515" s="147"/>
      <c r="AR515" s="147"/>
      <c r="AS515" s="147"/>
    </row>
    <row r="516" spans="1:45" x14ac:dyDescent="0.25">
      <c r="A516" s="147"/>
      <c r="B516" s="147"/>
      <c r="C516" s="160"/>
      <c r="D516" s="160"/>
      <c r="E516" s="161"/>
      <c r="F516" s="162"/>
      <c r="G516" s="163"/>
      <c r="H516" s="163"/>
      <c r="I516" s="164"/>
      <c r="J516" s="162"/>
      <c r="K516" s="165"/>
      <c r="L516" s="166"/>
      <c r="M516" s="167"/>
      <c r="N516" s="167"/>
      <c r="O516" s="168"/>
      <c r="P516" s="168"/>
      <c r="Q516" s="147"/>
      <c r="R516" s="147"/>
      <c r="S516" s="169"/>
      <c r="T516" s="147"/>
      <c r="U516" s="147"/>
      <c r="V516" s="147"/>
      <c r="W516" s="147"/>
      <c r="X516" s="147"/>
      <c r="Y516" s="147"/>
      <c r="Z516" s="147"/>
      <c r="AA516" s="147"/>
      <c r="AB516" s="147"/>
      <c r="AC516" s="147"/>
      <c r="AD516" s="147"/>
      <c r="AE516" s="147"/>
      <c r="AF516" s="147"/>
      <c r="AG516" s="147"/>
      <c r="AH516" s="147"/>
      <c r="AI516" s="147"/>
      <c r="AJ516" s="147"/>
      <c r="AK516" s="147"/>
      <c r="AL516" s="147"/>
      <c r="AM516" s="147"/>
      <c r="AN516" s="147"/>
      <c r="AO516" s="147"/>
      <c r="AP516" s="147"/>
      <c r="AQ516" s="147"/>
      <c r="AR516" s="147"/>
      <c r="AS516" s="147"/>
    </row>
    <row r="517" spans="1:45" x14ac:dyDescent="0.25">
      <c r="A517" s="147"/>
      <c r="B517" s="147"/>
      <c r="C517" s="160"/>
      <c r="D517" s="160"/>
      <c r="E517" s="161"/>
      <c r="F517" s="162"/>
      <c r="G517" s="163"/>
      <c r="H517" s="163"/>
      <c r="I517" s="164"/>
      <c r="J517" s="162"/>
      <c r="K517" s="165"/>
      <c r="L517" s="166"/>
      <c r="M517" s="167"/>
      <c r="N517" s="167"/>
      <c r="O517" s="168"/>
      <c r="P517" s="168"/>
      <c r="Q517" s="147"/>
      <c r="R517" s="147"/>
      <c r="S517" s="169"/>
      <c r="T517" s="147"/>
      <c r="U517" s="147"/>
      <c r="V517" s="147"/>
      <c r="W517" s="147"/>
      <c r="X517" s="147"/>
      <c r="Y517" s="147"/>
      <c r="Z517" s="147"/>
      <c r="AA517" s="147"/>
      <c r="AB517" s="147"/>
      <c r="AC517" s="147"/>
      <c r="AD517" s="147"/>
      <c r="AE517" s="147"/>
      <c r="AF517" s="147"/>
      <c r="AG517" s="147"/>
      <c r="AH517" s="147"/>
      <c r="AI517" s="147"/>
      <c r="AJ517" s="147"/>
      <c r="AK517" s="147"/>
      <c r="AL517" s="147"/>
      <c r="AM517" s="147"/>
      <c r="AN517" s="147"/>
      <c r="AO517" s="147"/>
      <c r="AP517" s="147"/>
      <c r="AQ517" s="147"/>
      <c r="AR517" s="147"/>
      <c r="AS517" s="147"/>
    </row>
    <row r="518" spans="1:45" x14ac:dyDescent="0.25">
      <c r="A518" s="147"/>
      <c r="B518" s="147"/>
      <c r="C518" s="160"/>
      <c r="D518" s="160"/>
      <c r="E518" s="161"/>
      <c r="F518" s="162"/>
      <c r="G518" s="163"/>
      <c r="H518" s="163"/>
      <c r="I518" s="164"/>
      <c r="J518" s="162"/>
      <c r="K518" s="165"/>
      <c r="L518" s="166"/>
      <c r="M518" s="167"/>
      <c r="N518" s="167"/>
      <c r="O518" s="168"/>
      <c r="P518" s="168"/>
      <c r="Q518" s="147"/>
      <c r="R518" s="147"/>
      <c r="S518" s="169"/>
      <c r="T518" s="147"/>
      <c r="U518" s="147"/>
      <c r="V518" s="147"/>
      <c r="W518" s="147"/>
      <c r="X518" s="147"/>
      <c r="Y518" s="147"/>
      <c r="Z518" s="147"/>
      <c r="AA518" s="147"/>
      <c r="AB518" s="147"/>
      <c r="AC518" s="147"/>
      <c r="AD518" s="147"/>
      <c r="AE518" s="147"/>
      <c r="AF518" s="147"/>
      <c r="AG518" s="147"/>
      <c r="AH518" s="147"/>
      <c r="AI518" s="147"/>
      <c r="AJ518" s="147"/>
      <c r="AK518" s="147"/>
      <c r="AL518" s="147"/>
      <c r="AM518" s="147"/>
      <c r="AN518" s="147"/>
      <c r="AO518" s="147"/>
      <c r="AP518" s="147"/>
      <c r="AQ518" s="147"/>
      <c r="AR518" s="147"/>
      <c r="AS518" s="147"/>
    </row>
    <row r="519" spans="1:45" x14ac:dyDescent="0.25">
      <c r="A519" s="147"/>
      <c r="B519" s="147"/>
      <c r="C519" s="160"/>
      <c r="D519" s="160"/>
      <c r="E519" s="161"/>
      <c r="F519" s="162"/>
      <c r="G519" s="163"/>
      <c r="H519" s="163"/>
      <c r="I519" s="164"/>
      <c r="J519" s="162"/>
      <c r="K519" s="165"/>
      <c r="L519" s="166"/>
      <c r="M519" s="167"/>
      <c r="N519" s="167"/>
      <c r="O519" s="168"/>
      <c r="P519" s="168"/>
      <c r="Q519" s="147"/>
      <c r="R519" s="147"/>
      <c r="S519" s="169"/>
      <c r="T519" s="147"/>
      <c r="U519" s="147"/>
      <c r="V519" s="147"/>
      <c r="W519" s="147"/>
      <c r="X519" s="147"/>
      <c r="Y519" s="147"/>
      <c r="Z519" s="147"/>
      <c r="AA519" s="147"/>
      <c r="AB519" s="147"/>
      <c r="AC519" s="147"/>
      <c r="AD519" s="147"/>
      <c r="AE519" s="147"/>
      <c r="AF519" s="147"/>
      <c r="AG519" s="147"/>
      <c r="AH519" s="147"/>
      <c r="AI519" s="147"/>
      <c r="AJ519" s="147"/>
      <c r="AK519" s="147"/>
      <c r="AL519" s="147"/>
      <c r="AM519" s="147"/>
      <c r="AN519" s="147"/>
      <c r="AO519" s="147"/>
      <c r="AP519" s="147"/>
      <c r="AQ519" s="147"/>
      <c r="AR519" s="147"/>
      <c r="AS519" s="147"/>
    </row>
    <row r="520" spans="1:45" x14ac:dyDescent="0.25">
      <c r="A520" s="147"/>
      <c r="B520" s="147"/>
      <c r="C520" s="160"/>
      <c r="D520" s="160"/>
      <c r="E520" s="161"/>
      <c r="F520" s="162"/>
      <c r="G520" s="163"/>
      <c r="H520" s="163"/>
      <c r="I520" s="164"/>
      <c r="J520" s="162"/>
      <c r="K520" s="165"/>
      <c r="L520" s="166"/>
      <c r="M520" s="167"/>
      <c r="N520" s="167"/>
      <c r="O520" s="168"/>
      <c r="P520" s="168"/>
      <c r="Q520" s="147"/>
      <c r="R520" s="147"/>
      <c r="S520" s="169"/>
      <c r="T520" s="147"/>
      <c r="U520" s="147"/>
      <c r="V520" s="147"/>
      <c r="W520" s="147"/>
      <c r="X520" s="147"/>
      <c r="Y520" s="147"/>
      <c r="Z520" s="147"/>
      <c r="AA520" s="147"/>
      <c r="AB520" s="147"/>
      <c r="AC520" s="147"/>
      <c r="AD520" s="147"/>
      <c r="AE520" s="147"/>
      <c r="AF520" s="147"/>
      <c r="AG520" s="147"/>
      <c r="AH520" s="147"/>
      <c r="AI520" s="147"/>
      <c r="AJ520" s="147"/>
      <c r="AK520" s="147"/>
      <c r="AL520" s="147"/>
      <c r="AM520" s="147"/>
      <c r="AN520" s="147"/>
      <c r="AO520" s="147"/>
      <c r="AP520" s="147"/>
      <c r="AQ520" s="147"/>
      <c r="AR520" s="147"/>
      <c r="AS520" s="147"/>
    </row>
    <row r="521" spans="1:45" x14ac:dyDescent="0.25">
      <c r="A521" s="147"/>
      <c r="B521" s="147"/>
      <c r="C521" s="160"/>
      <c r="D521" s="160"/>
      <c r="E521" s="161"/>
      <c r="F521" s="162"/>
      <c r="G521" s="163"/>
      <c r="H521" s="163"/>
      <c r="I521" s="164"/>
      <c r="J521" s="162"/>
      <c r="K521" s="165"/>
      <c r="L521" s="166"/>
      <c r="M521" s="167"/>
      <c r="N521" s="167"/>
      <c r="O521" s="168"/>
      <c r="P521" s="168"/>
      <c r="Q521" s="147"/>
      <c r="R521" s="147"/>
      <c r="S521" s="169"/>
      <c r="T521" s="147"/>
      <c r="U521" s="147"/>
      <c r="V521" s="147"/>
      <c r="W521" s="147"/>
      <c r="X521" s="147"/>
      <c r="Y521" s="147"/>
      <c r="Z521" s="147"/>
      <c r="AA521" s="147"/>
      <c r="AB521" s="147"/>
      <c r="AC521" s="147"/>
      <c r="AD521" s="147"/>
      <c r="AE521" s="147"/>
      <c r="AF521" s="147"/>
      <c r="AG521" s="147"/>
      <c r="AH521" s="147"/>
      <c r="AI521" s="147"/>
      <c r="AJ521" s="147"/>
      <c r="AK521" s="147"/>
      <c r="AL521" s="147"/>
      <c r="AM521" s="147"/>
      <c r="AN521" s="147"/>
      <c r="AO521" s="147"/>
      <c r="AP521" s="147"/>
      <c r="AQ521" s="147"/>
      <c r="AR521" s="147"/>
      <c r="AS521" s="147"/>
    </row>
    <row r="522" spans="1:45" x14ac:dyDescent="0.25">
      <c r="A522" s="147"/>
      <c r="B522" s="147"/>
      <c r="C522" s="160"/>
      <c r="D522" s="160"/>
      <c r="E522" s="161"/>
      <c r="F522" s="162"/>
      <c r="G522" s="163"/>
      <c r="H522" s="163"/>
      <c r="I522" s="164"/>
      <c r="J522" s="162"/>
      <c r="K522" s="165"/>
      <c r="L522" s="166"/>
      <c r="M522" s="167"/>
      <c r="N522" s="167"/>
      <c r="O522" s="168"/>
      <c r="P522" s="168"/>
      <c r="Q522" s="147"/>
      <c r="R522" s="147"/>
      <c r="S522" s="169"/>
      <c r="T522" s="147"/>
      <c r="U522" s="147"/>
      <c r="V522" s="147"/>
      <c r="W522" s="147"/>
      <c r="X522" s="147"/>
      <c r="Y522" s="147"/>
      <c r="Z522" s="147"/>
      <c r="AA522" s="147"/>
      <c r="AB522" s="147"/>
      <c r="AC522" s="147"/>
      <c r="AD522" s="147"/>
      <c r="AE522" s="147"/>
      <c r="AF522" s="147"/>
      <c r="AG522" s="147"/>
      <c r="AH522" s="147"/>
      <c r="AI522" s="147"/>
      <c r="AJ522" s="147"/>
      <c r="AK522" s="147"/>
      <c r="AL522" s="147"/>
      <c r="AM522" s="147"/>
      <c r="AN522" s="147"/>
      <c r="AO522" s="147"/>
      <c r="AP522" s="147"/>
      <c r="AQ522" s="147"/>
      <c r="AR522" s="147"/>
      <c r="AS522" s="147"/>
    </row>
    <row r="523" spans="1:45" x14ac:dyDescent="0.25">
      <c r="A523" s="147"/>
      <c r="B523" s="147"/>
      <c r="C523" s="160"/>
      <c r="D523" s="160"/>
      <c r="E523" s="161"/>
      <c r="F523" s="162"/>
      <c r="G523" s="163"/>
      <c r="H523" s="163"/>
      <c r="I523" s="164"/>
      <c r="J523" s="162"/>
      <c r="K523" s="165"/>
      <c r="L523" s="166"/>
      <c r="M523" s="167"/>
      <c r="N523" s="167"/>
      <c r="O523" s="168"/>
      <c r="P523" s="168"/>
      <c r="Q523" s="147"/>
      <c r="R523" s="147"/>
      <c r="S523" s="169"/>
      <c r="T523" s="147"/>
      <c r="U523" s="147"/>
      <c r="V523" s="147"/>
      <c r="W523" s="147"/>
      <c r="X523" s="147"/>
      <c r="Y523" s="147"/>
      <c r="Z523" s="147"/>
      <c r="AA523" s="147"/>
      <c r="AB523" s="147"/>
      <c r="AC523" s="147"/>
      <c r="AD523" s="147"/>
      <c r="AE523" s="147"/>
      <c r="AF523" s="147"/>
      <c r="AG523" s="147"/>
      <c r="AH523" s="147"/>
      <c r="AI523" s="147"/>
      <c r="AJ523" s="147"/>
      <c r="AK523" s="147"/>
      <c r="AL523" s="147"/>
      <c r="AM523" s="147"/>
      <c r="AN523" s="147"/>
      <c r="AO523" s="147"/>
      <c r="AP523" s="147"/>
      <c r="AQ523" s="147"/>
      <c r="AR523" s="147"/>
      <c r="AS523" s="147"/>
    </row>
    <row r="524" spans="1:45" x14ac:dyDescent="0.25">
      <c r="A524" s="147"/>
      <c r="B524" s="147"/>
      <c r="C524" s="160"/>
      <c r="D524" s="160"/>
      <c r="E524" s="161"/>
      <c r="F524" s="162"/>
      <c r="G524" s="163"/>
      <c r="H524" s="163"/>
      <c r="I524" s="164"/>
      <c r="J524" s="162"/>
      <c r="K524" s="165"/>
      <c r="L524" s="166"/>
      <c r="M524" s="167"/>
      <c r="N524" s="167"/>
      <c r="O524" s="168"/>
      <c r="P524" s="168"/>
      <c r="Q524" s="147"/>
      <c r="R524" s="147"/>
      <c r="S524" s="169"/>
      <c r="T524" s="147"/>
      <c r="U524" s="147"/>
      <c r="V524" s="147"/>
      <c r="W524" s="147"/>
      <c r="X524" s="147"/>
      <c r="Y524" s="147"/>
      <c r="Z524" s="147"/>
      <c r="AA524" s="147"/>
      <c r="AB524" s="147"/>
      <c r="AC524" s="147"/>
      <c r="AD524" s="147"/>
      <c r="AE524" s="147"/>
      <c r="AF524" s="147"/>
      <c r="AG524" s="147"/>
      <c r="AH524" s="147"/>
      <c r="AI524" s="147"/>
      <c r="AJ524" s="147"/>
      <c r="AK524" s="147"/>
      <c r="AL524" s="147"/>
      <c r="AM524" s="147"/>
      <c r="AN524" s="147"/>
      <c r="AO524" s="147"/>
      <c r="AP524" s="147"/>
      <c r="AQ524" s="147"/>
      <c r="AR524" s="147"/>
      <c r="AS524" s="147"/>
    </row>
    <row r="525" spans="1:45" x14ac:dyDescent="0.25">
      <c r="A525" s="147"/>
      <c r="B525" s="147"/>
      <c r="C525" s="160"/>
      <c r="D525" s="160"/>
      <c r="E525" s="161"/>
      <c r="F525" s="162"/>
      <c r="G525" s="163"/>
      <c r="H525" s="163"/>
      <c r="I525" s="164"/>
      <c r="J525" s="162"/>
      <c r="K525" s="165"/>
      <c r="L525" s="166"/>
      <c r="M525" s="167"/>
      <c r="N525" s="167"/>
      <c r="O525" s="168"/>
      <c r="P525" s="168"/>
      <c r="Q525" s="147"/>
      <c r="R525" s="147"/>
      <c r="S525" s="169"/>
      <c r="T525" s="147"/>
      <c r="U525" s="147"/>
      <c r="V525" s="147"/>
      <c r="W525" s="147"/>
      <c r="X525" s="147"/>
      <c r="Y525" s="147"/>
      <c r="Z525" s="147"/>
      <c r="AA525" s="147"/>
      <c r="AB525" s="147"/>
      <c r="AC525" s="147"/>
      <c r="AD525" s="147"/>
      <c r="AE525" s="147"/>
      <c r="AF525" s="147"/>
      <c r="AG525" s="147"/>
      <c r="AH525" s="147"/>
      <c r="AI525" s="147"/>
      <c r="AJ525" s="147"/>
      <c r="AK525" s="147"/>
      <c r="AL525" s="147"/>
      <c r="AM525" s="147"/>
      <c r="AN525" s="147"/>
      <c r="AO525" s="147"/>
      <c r="AP525" s="147"/>
      <c r="AQ525" s="147"/>
      <c r="AR525" s="147"/>
      <c r="AS525" s="147"/>
    </row>
    <row r="526" spans="1:45" x14ac:dyDescent="0.25">
      <c r="A526" s="147"/>
      <c r="B526" s="147"/>
      <c r="C526" s="160"/>
      <c r="D526" s="160"/>
      <c r="E526" s="161"/>
      <c r="F526" s="162"/>
      <c r="G526" s="163"/>
      <c r="H526" s="163"/>
      <c r="I526" s="164"/>
      <c r="J526" s="162"/>
      <c r="K526" s="165"/>
      <c r="L526" s="166"/>
      <c r="M526" s="167"/>
      <c r="N526" s="167"/>
      <c r="O526" s="168"/>
      <c r="P526" s="168"/>
      <c r="Q526" s="147"/>
      <c r="R526" s="147"/>
      <c r="S526" s="169"/>
      <c r="T526" s="147"/>
      <c r="U526" s="147"/>
      <c r="V526" s="147"/>
      <c r="W526" s="147"/>
      <c r="X526" s="147"/>
      <c r="Y526" s="147"/>
      <c r="Z526" s="147"/>
      <c r="AA526" s="147"/>
      <c r="AB526" s="147"/>
      <c r="AC526" s="147"/>
      <c r="AD526" s="147"/>
      <c r="AE526" s="147"/>
      <c r="AF526" s="147"/>
      <c r="AG526" s="147"/>
      <c r="AH526" s="147"/>
      <c r="AI526" s="147"/>
      <c r="AJ526" s="147"/>
      <c r="AK526" s="147"/>
      <c r="AL526" s="147"/>
      <c r="AM526" s="147"/>
      <c r="AN526" s="147"/>
      <c r="AO526" s="147"/>
      <c r="AP526" s="147"/>
      <c r="AQ526" s="147"/>
      <c r="AR526" s="147"/>
      <c r="AS526" s="147"/>
    </row>
    <row r="527" spans="1:45" x14ac:dyDescent="0.25">
      <c r="A527" s="147"/>
      <c r="B527" s="147"/>
      <c r="C527" s="160"/>
      <c r="D527" s="160"/>
      <c r="E527" s="161"/>
      <c r="F527" s="162"/>
      <c r="G527" s="163"/>
      <c r="H527" s="163"/>
      <c r="I527" s="164"/>
      <c r="J527" s="162"/>
      <c r="K527" s="165"/>
      <c r="L527" s="166"/>
      <c r="M527" s="167"/>
      <c r="N527" s="167"/>
      <c r="O527" s="168"/>
      <c r="P527" s="168"/>
      <c r="Q527" s="147"/>
      <c r="R527" s="147"/>
      <c r="S527" s="169"/>
      <c r="T527" s="147"/>
      <c r="U527" s="147"/>
      <c r="V527" s="147"/>
      <c r="W527" s="147"/>
      <c r="X527" s="147"/>
      <c r="Y527" s="147"/>
      <c r="Z527" s="147"/>
      <c r="AA527" s="147"/>
      <c r="AB527" s="147"/>
      <c r="AC527" s="147"/>
      <c r="AD527" s="147"/>
      <c r="AE527" s="147"/>
      <c r="AF527" s="147"/>
      <c r="AG527" s="147"/>
      <c r="AH527" s="147"/>
      <c r="AI527" s="147"/>
      <c r="AJ527" s="147"/>
      <c r="AK527" s="147"/>
      <c r="AL527" s="147"/>
      <c r="AM527" s="147"/>
      <c r="AN527" s="147"/>
      <c r="AO527" s="147"/>
      <c r="AP527" s="147"/>
      <c r="AQ527" s="147"/>
      <c r="AR527" s="147"/>
      <c r="AS527" s="147"/>
    </row>
    <row r="528" spans="1:45" x14ac:dyDescent="0.25">
      <c r="A528" s="147"/>
      <c r="B528" s="147"/>
      <c r="C528" s="160"/>
      <c r="D528" s="160"/>
      <c r="E528" s="161"/>
      <c r="F528" s="162"/>
      <c r="G528" s="163"/>
      <c r="H528" s="163"/>
      <c r="I528" s="164"/>
      <c r="J528" s="162"/>
      <c r="K528" s="165"/>
      <c r="L528" s="166"/>
      <c r="M528" s="167"/>
      <c r="N528" s="167"/>
      <c r="O528" s="168"/>
      <c r="P528" s="168"/>
      <c r="Q528" s="147"/>
      <c r="R528" s="147"/>
      <c r="S528" s="169"/>
      <c r="T528" s="147"/>
      <c r="U528" s="147"/>
      <c r="V528" s="147"/>
      <c r="W528" s="147"/>
      <c r="X528" s="147"/>
      <c r="Y528" s="147"/>
      <c r="Z528" s="147"/>
      <c r="AA528" s="147"/>
      <c r="AB528" s="147"/>
      <c r="AC528" s="147"/>
      <c r="AD528" s="147"/>
      <c r="AE528" s="147"/>
      <c r="AF528" s="147"/>
      <c r="AG528" s="147"/>
      <c r="AH528" s="147"/>
      <c r="AI528" s="147"/>
      <c r="AJ528" s="147"/>
      <c r="AK528" s="147"/>
      <c r="AL528" s="147"/>
      <c r="AM528" s="147"/>
      <c r="AN528" s="147"/>
      <c r="AO528" s="147"/>
      <c r="AP528" s="147"/>
      <c r="AQ528" s="147"/>
      <c r="AR528" s="147"/>
      <c r="AS528" s="147"/>
    </row>
    <row r="529" spans="1:45" x14ac:dyDescent="0.25">
      <c r="A529" s="147"/>
      <c r="B529" s="147"/>
      <c r="C529" s="160"/>
      <c r="D529" s="160"/>
      <c r="E529" s="161"/>
      <c r="F529" s="162"/>
      <c r="G529" s="163"/>
      <c r="H529" s="163"/>
      <c r="I529" s="164"/>
      <c r="J529" s="162"/>
      <c r="K529" s="165"/>
      <c r="L529" s="166"/>
      <c r="M529" s="167"/>
      <c r="N529" s="167"/>
      <c r="O529" s="168"/>
      <c r="P529" s="168"/>
      <c r="Q529" s="147"/>
      <c r="R529" s="147"/>
      <c r="S529" s="169"/>
      <c r="T529" s="147"/>
      <c r="U529" s="147"/>
      <c r="V529" s="147"/>
      <c r="W529" s="147"/>
      <c r="X529" s="147"/>
      <c r="Y529" s="147"/>
      <c r="Z529" s="147"/>
      <c r="AA529" s="147"/>
      <c r="AB529" s="147"/>
      <c r="AC529" s="147"/>
      <c r="AD529" s="147"/>
      <c r="AE529" s="147"/>
      <c r="AF529" s="147"/>
      <c r="AG529" s="147"/>
      <c r="AH529" s="147"/>
      <c r="AI529" s="147"/>
      <c r="AJ529" s="147"/>
      <c r="AK529" s="147"/>
      <c r="AL529" s="147"/>
      <c r="AM529" s="147"/>
      <c r="AN529" s="147"/>
      <c r="AO529" s="147"/>
      <c r="AP529" s="147"/>
      <c r="AQ529" s="147"/>
      <c r="AR529" s="147"/>
      <c r="AS529" s="147"/>
    </row>
    <row r="530" spans="1:45" x14ac:dyDescent="0.25">
      <c r="A530" s="147"/>
      <c r="B530" s="147"/>
      <c r="C530" s="160"/>
      <c r="D530" s="160"/>
      <c r="E530" s="161"/>
      <c r="F530" s="162"/>
      <c r="G530" s="163"/>
      <c r="H530" s="163"/>
      <c r="I530" s="164"/>
      <c r="J530" s="162"/>
      <c r="K530" s="165"/>
      <c r="L530" s="166"/>
      <c r="M530" s="167"/>
      <c r="N530" s="167"/>
      <c r="O530" s="168"/>
      <c r="P530" s="168"/>
      <c r="Q530" s="147"/>
      <c r="R530" s="147"/>
      <c r="S530" s="169"/>
      <c r="T530" s="147"/>
      <c r="U530" s="147"/>
      <c r="V530" s="147"/>
      <c r="W530" s="147"/>
      <c r="X530" s="147"/>
      <c r="Y530" s="147"/>
      <c r="Z530" s="147"/>
      <c r="AA530" s="147"/>
      <c r="AB530" s="147"/>
      <c r="AC530" s="147"/>
      <c r="AD530" s="147"/>
      <c r="AE530" s="147"/>
      <c r="AF530" s="147"/>
      <c r="AG530" s="147"/>
      <c r="AH530" s="147"/>
      <c r="AI530" s="147"/>
      <c r="AJ530" s="147"/>
      <c r="AK530" s="147"/>
      <c r="AL530" s="147"/>
      <c r="AM530" s="147"/>
      <c r="AN530" s="147"/>
      <c r="AO530" s="147"/>
      <c r="AP530" s="147"/>
      <c r="AQ530" s="147"/>
      <c r="AR530" s="147"/>
      <c r="AS530" s="147"/>
    </row>
    <row r="531" spans="1:45" x14ac:dyDescent="0.25">
      <c r="A531" s="147"/>
      <c r="B531" s="147"/>
      <c r="C531" s="160"/>
      <c r="D531" s="160"/>
      <c r="E531" s="161"/>
      <c r="F531" s="162"/>
      <c r="G531" s="163"/>
      <c r="H531" s="163"/>
      <c r="I531" s="164"/>
      <c r="J531" s="162"/>
      <c r="K531" s="165"/>
      <c r="L531" s="166"/>
      <c r="M531" s="167"/>
      <c r="N531" s="167"/>
      <c r="O531" s="168"/>
      <c r="P531" s="168"/>
      <c r="Q531" s="147"/>
      <c r="R531" s="147"/>
      <c r="S531" s="169"/>
      <c r="T531" s="147"/>
      <c r="U531" s="147"/>
      <c r="V531" s="147"/>
      <c r="W531" s="147"/>
      <c r="X531" s="147"/>
      <c r="Y531" s="147"/>
      <c r="Z531" s="147"/>
      <c r="AA531" s="147"/>
      <c r="AB531" s="147"/>
      <c r="AC531" s="147"/>
      <c r="AD531" s="147"/>
      <c r="AE531" s="147"/>
      <c r="AF531" s="147"/>
      <c r="AG531" s="147"/>
      <c r="AH531" s="147"/>
      <c r="AI531" s="147"/>
      <c r="AJ531" s="147"/>
      <c r="AK531" s="147"/>
      <c r="AL531" s="147"/>
      <c r="AM531" s="147"/>
      <c r="AN531" s="147"/>
      <c r="AO531" s="147"/>
      <c r="AP531" s="147"/>
      <c r="AQ531" s="147"/>
      <c r="AR531" s="147"/>
      <c r="AS531" s="147"/>
    </row>
    <row r="532" spans="1:45" x14ac:dyDescent="0.25">
      <c r="A532" s="147"/>
      <c r="B532" s="147"/>
      <c r="C532" s="160"/>
      <c r="D532" s="160"/>
      <c r="E532" s="161"/>
      <c r="F532" s="162"/>
      <c r="G532" s="163"/>
      <c r="H532" s="163"/>
      <c r="I532" s="164"/>
      <c r="J532" s="162"/>
      <c r="K532" s="165"/>
      <c r="L532" s="166"/>
      <c r="M532" s="167"/>
      <c r="N532" s="167"/>
      <c r="O532" s="168"/>
      <c r="P532" s="168"/>
      <c r="Q532" s="147"/>
      <c r="R532" s="147"/>
      <c r="S532" s="169"/>
      <c r="T532" s="147"/>
      <c r="U532" s="147"/>
      <c r="V532" s="147"/>
      <c r="W532" s="147"/>
      <c r="X532" s="147"/>
      <c r="Y532" s="147"/>
      <c r="Z532" s="147"/>
      <c r="AA532" s="147"/>
      <c r="AB532" s="147"/>
      <c r="AC532" s="147"/>
      <c r="AD532" s="147"/>
      <c r="AE532" s="147"/>
      <c r="AF532" s="147"/>
      <c r="AG532" s="147"/>
      <c r="AH532" s="147"/>
      <c r="AI532" s="147"/>
      <c r="AJ532" s="147"/>
      <c r="AK532" s="147"/>
      <c r="AL532" s="147"/>
      <c r="AM532" s="147"/>
      <c r="AN532" s="147"/>
      <c r="AO532" s="147"/>
      <c r="AP532" s="147"/>
      <c r="AQ532" s="147"/>
      <c r="AR532" s="147"/>
      <c r="AS532" s="147"/>
    </row>
    <row r="533" spans="1:45" x14ac:dyDescent="0.25">
      <c r="A533" s="147"/>
      <c r="B533" s="147"/>
      <c r="C533" s="160"/>
      <c r="D533" s="160"/>
      <c r="E533" s="161"/>
      <c r="F533" s="162"/>
      <c r="G533" s="163"/>
      <c r="H533" s="163"/>
      <c r="I533" s="164"/>
      <c r="J533" s="162"/>
      <c r="K533" s="165"/>
      <c r="L533" s="166"/>
      <c r="M533" s="167"/>
      <c r="N533" s="167"/>
      <c r="O533" s="168"/>
      <c r="P533" s="168"/>
      <c r="Q533" s="147"/>
      <c r="R533" s="147"/>
      <c r="S533" s="169"/>
      <c r="T533" s="147"/>
      <c r="U533" s="147"/>
      <c r="V533" s="147"/>
      <c r="W533" s="147"/>
      <c r="X533" s="147"/>
      <c r="Y533" s="147"/>
      <c r="Z533" s="147"/>
      <c r="AA533" s="147"/>
      <c r="AB533" s="147"/>
      <c r="AC533" s="147"/>
      <c r="AD533" s="147"/>
      <c r="AE533" s="147"/>
      <c r="AF533" s="147"/>
      <c r="AG533" s="147"/>
      <c r="AH533" s="147"/>
      <c r="AI533" s="147"/>
      <c r="AJ533" s="147"/>
      <c r="AK533" s="147"/>
      <c r="AL533" s="147"/>
      <c r="AM533" s="147"/>
      <c r="AN533" s="147"/>
      <c r="AO533" s="147"/>
      <c r="AP533" s="147"/>
      <c r="AQ533" s="147"/>
      <c r="AR533" s="147"/>
      <c r="AS533" s="147"/>
    </row>
    <row r="534" spans="1:45" x14ac:dyDescent="0.25">
      <c r="A534" s="147"/>
      <c r="B534" s="147"/>
      <c r="C534" s="160"/>
      <c r="D534" s="160"/>
      <c r="E534" s="161"/>
      <c r="F534" s="162"/>
      <c r="G534" s="163"/>
      <c r="H534" s="163"/>
      <c r="I534" s="164"/>
      <c r="J534" s="162"/>
      <c r="K534" s="165"/>
      <c r="L534" s="166"/>
      <c r="M534" s="167"/>
      <c r="N534" s="167"/>
      <c r="O534" s="168"/>
      <c r="P534" s="168"/>
      <c r="Q534" s="147"/>
      <c r="R534" s="147"/>
      <c r="S534" s="169"/>
      <c r="T534" s="147"/>
      <c r="U534" s="147"/>
      <c r="V534" s="147"/>
      <c r="W534" s="147"/>
      <c r="X534" s="147"/>
      <c r="Y534" s="147"/>
      <c r="Z534" s="147"/>
      <c r="AA534" s="147"/>
      <c r="AB534" s="147"/>
      <c r="AC534" s="147"/>
      <c r="AD534" s="147"/>
      <c r="AE534" s="147"/>
      <c r="AF534" s="147"/>
      <c r="AG534" s="147"/>
      <c r="AH534" s="147"/>
      <c r="AI534" s="147"/>
      <c r="AJ534" s="147"/>
      <c r="AK534" s="147"/>
      <c r="AL534" s="147"/>
      <c r="AM534" s="147"/>
      <c r="AN534" s="147"/>
      <c r="AO534" s="147"/>
      <c r="AP534" s="147"/>
      <c r="AQ534" s="147"/>
      <c r="AR534" s="147"/>
      <c r="AS534" s="147"/>
    </row>
    <row r="535" spans="1:45" x14ac:dyDescent="0.25">
      <c r="A535" s="147"/>
      <c r="B535" s="147"/>
      <c r="C535" s="160"/>
      <c r="D535" s="160"/>
      <c r="E535" s="161"/>
      <c r="F535" s="162"/>
      <c r="G535" s="163"/>
      <c r="H535" s="163"/>
      <c r="I535" s="164"/>
      <c r="J535" s="162"/>
      <c r="K535" s="165"/>
      <c r="L535" s="166"/>
      <c r="M535" s="167"/>
      <c r="N535" s="167"/>
      <c r="O535" s="168"/>
      <c r="P535" s="168"/>
      <c r="Q535" s="147"/>
      <c r="R535" s="147"/>
      <c r="S535" s="169"/>
      <c r="T535" s="147"/>
      <c r="U535" s="147"/>
      <c r="V535" s="147"/>
      <c r="W535" s="147"/>
      <c r="X535" s="147"/>
      <c r="Y535" s="147"/>
      <c r="Z535" s="147"/>
      <c r="AA535" s="147"/>
      <c r="AB535" s="147"/>
      <c r="AC535" s="147"/>
      <c r="AD535" s="147"/>
      <c r="AE535" s="147"/>
      <c r="AF535" s="147"/>
      <c r="AG535" s="147"/>
      <c r="AH535" s="147"/>
      <c r="AI535" s="147"/>
      <c r="AJ535" s="147"/>
      <c r="AK535" s="147"/>
      <c r="AL535" s="147"/>
      <c r="AM535" s="147"/>
      <c r="AN535" s="147"/>
      <c r="AO535" s="147"/>
      <c r="AP535" s="147"/>
      <c r="AQ535" s="147"/>
      <c r="AR535" s="147"/>
      <c r="AS535" s="147"/>
    </row>
    <row r="536" spans="1:45" x14ac:dyDescent="0.25">
      <c r="A536" s="147"/>
      <c r="B536" s="147"/>
      <c r="C536" s="160"/>
      <c r="D536" s="160"/>
      <c r="E536" s="161"/>
      <c r="F536" s="162"/>
      <c r="G536" s="163"/>
      <c r="H536" s="163"/>
      <c r="I536" s="164"/>
      <c r="J536" s="162"/>
      <c r="K536" s="165"/>
      <c r="L536" s="166"/>
      <c r="M536" s="167"/>
      <c r="N536" s="167"/>
      <c r="O536" s="168"/>
      <c r="P536" s="168"/>
      <c r="Q536" s="147"/>
      <c r="R536" s="147"/>
      <c r="S536" s="169"/>
      <c r="T536" s="147"/>
      <c r="U536" s="147"/>
      <c r="V536" s="147"/>
      <c r="W536" s="147"/>
      <c r="X536" s="147"/>
      <c r="Y536" s="147"/>
      <c r="Z536" s="147"/>
      <c r="AA536" s="147"/>
      <c r="AB536" s="147"/>
      <c r="AC536" s="147"/>
      <c r="AD536" s="147"/>
      <c r="AE536" s="147"/>
      <c r="AF536" s="147"/>
      <c r="AG536" s="147"/>
      <c r="AH536" s="147"/>
      <c r="AI536" s="147"/>
      <c r="AJ536" s="147"/>
      <c r="AK536" s="147"/>
      <c r="AL536" s="147"/>
      <c r="AM536" s="147"/>
      <c r="AN536" s="147"/>
      <c r="AO536" s="147"/>
      <c r="AP536" s="147"/>
      <c r="AQ536" s="147"/>
      <c r="AR536" s="147"/>
      <c r="AS536" s="147"/>
    </row>
    <row r="537" spans="1:45" x14ac:dyDescent="0.25">
      <c r="A537" s="147"/>
      <c r="B537" s="147"/>
      <c r="C537" s="160"/>
      <c r="D537" s="160"/>
      <c r="E537" s="161"/>
      <c r="F537" s="162"/>
      <c r="G537" s="163"/>
      <c r="H537" s="163"/>
      <c r="I537" s="164"/>
      <c r="J537" s="162"/>
      <c r="K537" s="165"/>
      <c r="L537" s="166"/>
      <c r="M537" s="167"/>
      <c r="N537" s="167"/>
      <c r="O537" s="168"/>
      <c r="P537" s="168"/>
      <c r="Q537" s="147"/>
      <c r="R537" s="147"/>
      <c r="S537" s="169"/>
      <c r="T537" s="147"/>
      <c r="U537" s="147"/>
      <c r="V537" s="147"/>
      <c r="W537" s="147"/>
      <c r="X537" s="147"/>
      <c r="Y537" s="147"/>
      <c r="Z537" s="147"/>
      <c r="AA537" s="147"/>
      <c r="AB537" s="147"/>
      <c r="AC537" s="147"/>
      <c r="AD537" s="147"/>
      <c r="AE537" s="147"/>
      <c r="AF537" s="147"/>
      <c r="AG537" s="147"/>
      <c r="AH537" s="147"/>
      <c r="AI537" s="147"/>
      <c r="AJ537" s="147"/>
      <c r="AK537" s="147"/>
      <c r="AL537" s="147"/>
      <c r="AM537" s="147"/>
      <c r="AN537" s="147"/>
      <c r="AO537" s="147"/>
      <c r="AP537" s="147"/>
      <c r="AQ537" s="147"/>
      <c r="AR537" s="147"/>
      <c r="AS537" s="147"/>
    </row>
    <row r="538" spans="1:45" x14ac:dyDescent="0.25">
      <c r="A538" s="147"/>
      <c r="B538" s="147"/>
      <c r="C538" s="160"/>
      <c r="D538" s="160"/>
      <c r="E538" s="161"/>
      <c r="F538" s="162"/>
      <c r="G538" s="163"/>
      <c r="H538" s="163"/>
      <c r="I538" s="164"/>
      <c r="J538" s="162"/>
      <c r="K538" s="165"/>
      <c r="L538" s="166"/>
      <c r="M538" s="167"/>
      <c r="N538" s="167"/>
      <c r="O538" s="168"/>
      <c r="P538" s="168"/>
      <c r="Q538" s="147"/>
      <c r="R538" s="147"/>
      <c r="S538" s="169"/>
      <c r="T538" s="147"/>
      <c r="U538" s="147"/>
      <c r="V538" s="147"/>
      <c r="W538" s="147"/>
      <c r="X538" s="147"/>
      <c r="Y538" s="147"/>
      <c r="Z538" s="147"/>
      <c r="AA538" s="147"/>
      <c r="AB538" s="147"/>
      <c r="AC538" s="147"/>
      <c r="AD538" s="147"/>
      <c r="AE538" s="147"/>
      <c r="AF538" s="147"/>
      <c r="AG538" s="147"/>
      <c r="AH538" s="147"/>
      <c r="AI538" s="147"/>
      <c r="AJ538" s="147"/>
      <c r="AK538" s="147"/>
      <c r="AL538" s="147"/>
      <c r="AM538" s="147"/>
      <c r="AN538" s="147"/>
      <c r="AO538" s="147"/>
      <c r="AP538" s="147"/>
      <c r="AQ538" s="147"/>
      <c r="AR538" s="147"/>
      <c r="AS538" s="147"/>
    </row>
    <row r="539" spans="1:45" x14ac:dyDescent="0.25">
      <c r="A539" s="147"/>
      <c r="B539" s="147"/>
      <c r="C539" s="160"/>
      <c r="D539" s="160"/>
      <c r="E539" s="161"/>
      <c r="F539" s="162"/>
      <c r="G539" s="163"/>
      <c r="H539" s="163"/>
      <c r="I539" s="164"/>
      <c r="J539" s="162"/>
      <c r="K539" s="165"/>
      <c r="L539" s="166"/>
      <c r="M539" s="167"/>
      <c r="N539" s="167"/>
      <c r="O539" s="168"/>
      <c r="P539" s="168"/>
      <c r="Q539" s="147"/>
      <c r="R539" s="147"/>
      <c r="S539" s="169"/>
      <c r="T539" s="147"/>
      <c r="U539" s="147"/>
      <c r="V539" s="147"/>
      <c r="W539" s="147"/>
      <c r="X539" s="147"/>
      <c r="Y539" s="147"/>
      <c r="Z539" s="147"/>
      <c r="AA539" s="147"/>
      <c r="AB539" s="147"/>
      <c r="AC539" s="147"/>
      <c r="AD539" s="147"/>
      <c r="AE539" s="147"/>
      <c r="AF539" s="147"/>
      <c r="AG539" s="147"/>
      <c r="AH539" s="147"/>
      <c r="AI539" s="147"/>
      <c r="AJ539" s="147"/>
      <c r="AK539" s="147"/>
      <c r="AL539" s="147"/>
      <c r="AM539" s="147"/>
      <c r="AN539" s="147"/>
      <c r="AO539" s="147"/>
      <c r="AP539" s="147"/>
      <c r="AQ539" s="147"/>
      <c r="AR539" s="147"/>
      <c r="AS539" s="147"/>
    </row>
    <row r="540" spans="1:45" x14ac:dyDescent="0.25">
      <c r="A540" s="147"/>
      <c r="B540" s="147"/>
      <c r="C540" s="160"/>
      <c r="D540" s="160"/>
      <c r="E540" s="161"/>
      <c r="F540" s="162"/>
      <c r="G540" s="163"/>
      <c r="H540" s="163"/>
      <c r="I540" s="164"/>
      <c r="J540" s="162"/>
      <c r="K540" s="165"/>
      <c r="L540" s="166"/>
      <c r="M540" s="167"/>
      <c r="N540" s="167"/>
      <c r="O540" s="168"/>
      <c r="P540" s="168"/>
      <c r="Q540" s="147"/>
      <c r="R540" s="147"/>
      <c r="S540" s="169"/>
      <c r="T540" s="147"/>
      <c r="U540" s="147"/>
      <c r="V540" s="147"/>
      <c r="W540" s="147"/>
      <c r="X540" s="147"/>
      <c r="Y540" s="147"/>
      <c r="Z540" s="147"/>
      <c r="AA540" s="147"/>
      <c r="AB540" s="147"/>
      <c r="AC540" s="147"/>
      <c r="AD540" s="147"/>
      <c r="AE540" s="147"/>
      <c r="AF540" s="147"/>
      <c r="AG540" s="147"/>
      <c r="AH540" s="147"/>
      <c r="AI540" s="147"/>
      <c r="AJ540" s="147"/>
      <c r="AK540" s="147"/>
      <c r="AL540" s="147"/>
      <c r="AM540" s="147"/>
      <c r="AN540" s="147"/>
      <c r="AO540" s="147"/>
      <c r="AP540" s="147"/>
      <c r="AQ540" s="147"/>
      <c r="AR540" s="147"/>
      <c r="AS540" s="147"/>
    </row>
    <row r="541" spans="1:45" x14ac:dyDescent="0.25">
      <c r="A541" s="147"/>
      <c r="B541" s="147"/>
      <c r="C541" s="160"/>
      <c r="D541" s="160"/>
      <c r="E541" s="161"/>
      <c r="F541" s="162"/>
      <c r="G541" s="163"/>
      <c r="H541" s="163"/>
      <c r="I541" s="164"/>
      <c r="J541" s="162"/>
      <c r="K541" s="165"/>
      <c r="L541" s="166"/>
      <c r="M541" s="167"/>
      <c r="N541" s="167"/>
      <c r="O541" s="168"/>
      <c r="P541" s="168"/>
      <c r="Q541" s="147"/>
      <c r="R541" s="147"/>
      <c r="S541" s="169"/>
      <c r="T541" s="147"/>
      <c r="U541" s="147"/>
      <c r="V541" s="147"/>
      <c r="W541" s="147"/>
      <c r="X541" s="147"/>
      <c r="Y541" s="147"/>
      <c r="Z541" s="147"/>
      <c r="AA541" s="147"/>
      <c r="AB541" s="147"/>
      <c r="AC541" s="147"/>
      <c r="AD541" s="147"/>
      <c r="AE541" s="147"/>
      <c r="AF541" s="147"/>
      <c r="AG541" s="147"/>
      <c r="AH541" s="147"/>
      <c r="AI541" s="147"/>
      <c r="AJ541" s="147"/>
      <c r="AK541" s="147"/>
      <c r="AL541" s="147"/>
      <c r="AM541" s="147"/>
      <c r="AN541" s="147"/>
      <c r="AO541" s="147"/>
      <c r="AP541" s="147"/>
      <c r="AQ541" s="147"/>
      <c r="AR541" s="147"/>
      <c r="AS541" s="147"/>
    </row>
    <row r="542" spans="1:45" x14ac:dyDescent="0.25">
      <c r="A542" s="147"/>
      <c r="B542" s="147"/>
      <c r="C542" s="160"/>
      <c r="D542" s="160"/>
      <c r="E542" s="161"/>
      <c r="F542" s="162"/>
      <c r="G542" s="163"/>
      <c r="H542" s="163"/>
      <c r="I542" s="164"/>
      <c r="J542" s="162"/>
      <c r="K542" s="165"/>
      <c r="L542" s="166"/>
      <c r="M542" s="167"/>
      <c r="N542" s="167"/>
      <c r="O542" s="168"/>
      <c r="P542" s="168"/>
      <c r="Q542" s="147"/>
      <c r="R542" s="147"/>
      <c r="S542" s="169"/>
      <c r="T542" s="147"/>
      <c r="U542" s="147"/>
      <c r="V542" s="147"/>
      <c r="W542" s="147"/>
      <c r="X542" s="147"/>
      <c r="Y542" s="147"/>
      <c r="Z542" s="147"/>
      <c r="AA542" s="147"/>
      <c r="AB542" s="147"/>
      <c r="AC542" s="147"/>
      <c r="AD542" s="147"/>
      <c r="AE542" s="147"/>
      <c r="AF542" s="147"/>
      <c r="AG542" s="147"/>
      <c r="AH542" s="147"/>
      <c r="AI542" s="147"/>
      <c r="AJ542" s="147"/>
      <c r="AK542" s="147"/>
      <c r="AL542" s="147"/>
      <c r="AM542" s="147"/>
      <c r="AN542" s="147"/>
      <c r="AO542" s="147"/>
      <c r="AP542" s="147"/>
      <c r="AQ542" s="147"/>
      <c r="AR542" s="147"/>
      <c r="AS542" s="147"/>
    </row>
    <row r="543" spans="1:45" x14ac:dyDescent="0.25">
      <c r="A543" s="147"/>
      <c r="B543" s="147"/>
      <c r="C543" s="160"/>
      <c r="D543" s="160"/>
      <c r="E543" s="161"/>
      <c r="F543" s="162"/>
      <c r="G543" s="163"/>
      <c r="H543" s="163"/>
      <c r="I543" s="164"/>
      <c r="J543" s="162"/>
      <c r="K543" s="165"/>
      <c r="L543" s="166"/>
      <c r="M543" s="167"/>
      <c r="N543" s="167"/>
      <c r="O543" s="168"/>
      <c r="P543" s="168"/>
      <c r="Q543" s="147"/>
      <c r="R543" s="147"/>
      <c r="S543" s="169"/>
      <c r="T543" s="147"/>
      <c r="U543" s="147"/>
      <c r="V543" s="147"/>
      <c r="W543" s="147"/>
      <c r="X543" s="147"/>
      <c r="Y543" s="147"/>
      <c r="Z543" s="147"/>
      <c r="AA543" s="147"/>
      <c r="AB543" s="147"/>
      <c r="AC543" s="147"/>
      <c r="AD543" s="147"/>
      <c r="AE543" s="147"/>
      <c r="AF543" s="147"/>
      <c r="AG543" s="147"/>
      <c r="AH543" s="147"/>
      <c r="AI543" s="147"/>
      <c r="AJ543" s="147"/>
      <c r="AK543" s="147"/>
      <c r="AL543" s="147"/>
      <c r="AM543" s="147"/>
      <c r="AN543" s="147"/>
      <c r="AO543" s="147"/>
      <c r="AP543" s="147"/>
      <c r="AQ543" s="147"/>
      <c r="AR543" s="147"/>
      <c r="AS543" s="147"/>
    </row>
    <row r="544" spans="1:45" x14ac:dyDescent="0.25">
      <c r="A544" s="147"/>
      <c r="B544" s="147"/>
      <c r="C544" s="160"/>
      <c r="D544" s="160"/>
      <c r="E544" s="161"/>
      <c r="F544" s="162"/>
      <c r="G544" s="163"/>
      <c r="H544" s="163"/>
      <c r="I544" s="164"/>
      <c r="J544" s="162"/>
      <c r="K544" s="165"/>
      <c r="L544" s="166"/>
      <c r="M544" s="167"/>
      <c r="N544" s="167"/>
      <c r="O544" s="168"/>
      <c r="P544" s="168"/>
      <c r="Q544" s="147"/>
      <c r="R544" s="147"/>
      <c r="S544" s="169"/>
      <c r="T544" s="147"/>
      <c r="U544" s="147"/>
      <c r="V544" s="147"/>
      <c r="W544" s="147"/>
      <c r="X544" s="147"/>
      <c r="Y544" s="147"/>
      <c r="Z544" s="147"/>
      <c r="AA544" s="147"/>
      <c r="AB544" s="147"/>
      <c r="AC544" s="147"/>
      <c r="AD544" s="147"/>
      <c r="AE544" s="147"/>
      <c r="AF544" s="147"/>
      <c r="AG544" s="147"/>
      <c r="AH544" s="147"/>
      <c r="AI544" s="147"/>
      <c r="AJ544" s="147"/>
      <c r="AK544" s="147"/>
      <c r="AL544" s="147"/>
      <c r="AM544" s="147"/>
      <c r="AN544" s="147"/>
      <c r="AO544" s="147"/>
      <c r="AP544" s="147"/>
      <c r="AQ544" s="147"/>
      <c r="AR544" s="147"/>
      <c r="AS544" s="147"/>
    </row>
    <row r="545" spans="1:45" x14ac:dyDescent="0.25">
      <c r="A545" s="147"/>
      <c r="B545" s="147"/>
      <c r="C545" s="160"/>
      <c r="D545" s="160"/>
      <c r="E545" s="161"/>
      <c r="F545" s="162"/>
      <c r="G545" s="163"/>
      <c r="H545" s="163"/>
      <c r="I545" s="164"/>
      <c r="J545" s="162"/>
      <c r="K545" s="165"/>
      <c r="L545" s="166"/>
      <c r="M545" s="167"/>
      <c r="N545" s="167"/>
      <c r="O545" s="168"/>
      <c r="P545" s="168"/>
      <c r="Q545" s="147"/>
      <c r="R545" s="147"/>
      <c r="S545" s="169"/>
      <c r="T545" s="147"/>
      <c r="U545" s="147"/>
      <c r="V545" s="147"/>
      <c r="W545" s="147"/>
      <c r="X545" s="147"/>
      <c r="Y545" s="147"/>
      <c r="Z545" s="147"/>
      <c r="AA545" s="147"/>
      <c r="AB545" s="147"/>
      <c r="AC545" s="147"/>
      <c r="AD545" s="147"/>
      <c r="AE545" s="147"/>
      <c r="AF545" s="147"/>
      <c r="AG545" s="147"/>
      <c r="AH545" s="147"/>
      <c r="AI545" s="147"/>
      <c r="AJ545" s="147"/>
      <c r="AK545" s="147"/>
      <c r="AL545" s="147"/>
      <c r="AM545" s="147"/>
      <c r="AN545" s="147"/>
      <c r="AO545" s="147"/>
      <c r="AP545" s="147"/>
      <c r="AQ545" s="147"/>
      <c r="AR545" s="147"/>
      <c r="AS545" s="147"/>
    </row>
    <row r="546" spans="1:45" x14ac:dyDescent="0.25">
      <c r="A546" s="147"/>
      <c r="B546" s="147"/>
      <c r="C546" s="160"/>
      <c r="D546" s="160"/>
      <c r="E546" s="161"/>
      <c r="F546" s="162"/>
      <c r="G546" s="163"/>
      <c r="H546" s="163"/>
      <c r="I546" s="164"/>
      <c r="J546" s="162"/>
      <c r="K546" s="165"/>
      <c r="L546" s="166"/>
      <c r="M546" s="167"/>
      <c r="N546" s="167"/>
      <c r="O546" s="168"/>
      <c r="P546" s="168"/>
      <c r="Q546" s="147"/>
      <c r="R546" s="147"/>
      <c r="S546" s="169"/>
      <c r="T546" s="147"/>
      <c r="U546" s="147"/>
      <c r="V546" s="147"/>
      <c r="W546" s="147"/>
      <c r="X546" s="147"/>
      <c r="Y546" s="147"/>
      <c r="Z546" s="147"/>
      <c r="AA546" s="147"/>
      <c r="AB546" s="147"/>
      <c r="AC546" s="147"/>
      <c r="AD546" s="147"/>
      <c r="AE546" s="147"/>
      <c r="AF546" s="147"/>
      <c r="AG546" s="147"/>
      <c r="AH546" s="147"/>
      <c r="AI546" s="147"/>
      <c r="AJ546" s="147"/>
      <c r="AK546" s="147"/>
      <c r="AL546" s="147"/>
      <c r="AM546" s="147"/>
      <c r="AN546" s="147"/>
      <c r="AO546" s="147"/>
      <c r="AP546" s="147"/>
      <c r="AQ546" s="147"/>
      <c r="AR546" s="147"/>
      <c r="AS546" s="147"/>
    </row>
    <row r="547" spans="1:45" x14ac:dyDescent="0.25">
      <c r="A547" s="147"/>
      <c r="B547" s="147"/>
      <c r="C547" s="160"/>
      <c r="D547" s="160"/>
      <c r="E547" s="161"/>
      <c r="F547" s="162"/>
      <c r="G547" s="163"/>
      <c r="H547" s="163"/>
      <c r="I547" s="164"/>
      <c r="J547" s="162"/>
      <c r="K547" s="165"/>
      <c r="L547" s="166"/>
      <c r="M547" s="167"/>
      <c r="N547" s="167"/>
      <c r="O547" s="168"/>
      <c r="P547" s="168"/>
      <c r="Q547" s="147"/>
      <c r="R547" s="147"/>
      <c r="S547" s="169"/>
      <c r="T547" s="147"/>
      <c r="U547" s="147"/>
      <c r="V547" s="147"/>
      <c r="W547" s="147"/>
      <c r="X547" s="147"/>
      <c r="Y547" s="147"/>
      <c r="Z547" s="147"/>
      <c r="AA547" s="147"/>
      <c r="AB547" s="147"/>
      <c r="AC547" s="147"/>
      <c r="AD547" s="147"/>
      <c r="AE547" s="147"/>
      <c r="AF547" s="147"/>
      <c r="AG547" s="147"/>
      <c r="AH547" s="147"/>
      <c r="AI547" s="147"/>
      <c r="AJ547" s="147"/>
      <c r="AK547" s="147"/>
      <c r="AL547" s="147"/>
      <c r="AM547" s="147"/>
      <c r="AN547" s="147"/>
      <c r="AO547" s="147"/>
      <c r="AP547" s="147"/>
      <c r="AQ547" s="147"/>
      <c r="AR547" s="147"/>
      <c r="AS547" s="147"/>
    </row>
    <row r="548" spans="1:45" x14ac:dyDescent="0.25">
      <c r="A548" s="147"/>
      <c r="B548" s="147"/>
      <c r="C548" s="160"/>
      <c r="D548" s="160"/>
      <c r="E548" s="161"/>
      <c r="F548" s="162"/>
      <c r="G548" s="163"/>
      <c r="H548" s="163"/>
      <c r="I548" s="164"/>
      <c r="J548" s="162"/>
      <c r="K548" s="165"/>
      <c r="L548" s="166"/>
      <c r="M548" s="167"/>
      <c r="N548" s="167"/>
      <c r="O548" s="168"/>
      <c r="P548" s="168"/>
      <c r="Q548" s="147"/>
      <c r="R548" s="147"/>
      <c r="S548" s="169"/>
      <c r="T548" s="147"/>
      <c r="U548" s="147"/>
      <c r="V548" s="147"/>
      <c r="W548" s="147"/>
      <c r="X548" s="147"/>
      <c r="Y548" s="147"/>
      <c r="Z548" s="147"/>
      <c r="AA548" s="147"/>
      <c r="AB548" s="147"/>
      <c r="AC548" s="147"/>
      <c r="AD548" s="147"/>
      <c r="AE548" s="147"/>
      <c r="AF548" s="147"/>
      <c r="AG548" s="147"/>
      <c r="AH548" s="147"/>
      <c r="AI548" s="147"/>
      <c r="AJ548" s="147"/>
      <c r="AK548" s="147"/>
      <c r="AL548" s="147"/>
      <c r="AM548" s="147"/>
      <c r="AN548" s="147"/>
      <c r="AO548" s="147"/>
      <c r="AP548" s="147"/>
      <c r="AQ548" s="147"/>
      <c r="AR548" s="147"/>
      <c r="AS548" s="147"/>
    </row>
    <row r="549" spans="1:45" x14ac:dyDescent="0.25">
      <c r="A549" s="147"/>
      <c r="B549" s="147"/>
      <c r="C549" s="160"/>
      <c r="D549" s="160"/>
      <c r="E549" s="161"/>
      <c r="F549" s="162"/>
      <c r="G549" s="163"/>
      <c r="H549" s="163"/>
      <c r="I549" s="164"/>
      <c r="J549" s="162"/>
      <c r="K549" s="165"/>
      <c r="L549" s="166"/>
      <c r="M549" s="167"/>
      <c r="N549" s="167"/>
      <c r="O549" s="168"/>
      <c r="P549" s="168"/>
      <c r="Q549" s="147"/>
      <c r="R549" s="147"/>
      <c r="S549" s="169"/>
      <c r="T549" s="147"/>
      <c r="U549" s="147"/>
      <c r="V549" s="147"/>
      <c r="W549" s="147"/>
      <c r="X549" s="147"/>
      <c r="Y549" s="147"/>
      <c r="Z549" s="147"/>
      <c r="AA549" s="147"/>
      <c r="AB549" s="147"/>
      <c r="AC549" s="147"/>
      <c r="AD549" s="147"/>
      <c r="AE549" s="147"/>
      <c r="AF549" s="147"/>
      <c r="AG549" s="147"/>
      <c r="AH549" s="147"/>
      <c r="AI549" s="147"/>
      <c r="AJ549" s="147"/>
      <c r="AK549" s="147"/>
      <c r="AL549" s="147"/>
      <c r="AM549" s="147"/>
      <c r="AN549" s="147"/>
      <c r="AO549" s="147"/>
      <c r="AP549" s="147"/>
      <c r="AQ549" s="147"/>
      <c r="AR549" s="147"/>
      <c r="AS549" s="147"/>
    </row>
    <row r="550" spans="1:45" x14ac:dyDescent="0.25">
      <c r="A550" s="147"/>
      <c r="B550" s="147"/>
      <c r="C550" s="160"/>
      <c r="D550" s="160"/>
      <c r="E550" s="161"/>
      <c r="F550" s="162"/>
      <c r="G550" s="163"/>
      <c r="H550" s="163"/>
      <c r="I550" s="164"/>
      <c r="J550" s="162"/>
      <c r="K550" s="165"/>
      <c r="L550" s="166"/>
      <c r="M550" s="167"/>
      <c r="N550" s="167"/>
      <c r="O550" s="168"/>
      <c r="P550" s="168"/>
      <c r="Q550" s="147"/>
      <c r="R550" s="147"/>
      <c r="S550" s="169"/>
      <c r="T550" s="147"/>
      <c r="U550" s="147"/>
      <c r="V550" s="147"/>
      <c r="W550" s="147"/>
      <c r="X550" s="147"/>
      <c r="Y550" s="147"/>
      <c r="Z550" s="147"/>
      <c r="AA550" s="147"/>
      <c r="AB550" s="147"/>
      <c r="AC550" s="147"/>
      <c r="AD550" s="147"/>
      <c r="AE550" s="147"/>
      <c r="AF550" s="147"/>
      <c r="AG550" s="147"/>
      <c r="AH550" s="147"/>
      <c r="AI550" s="147"/>
      <c r="AJ550" s="147"/>
      <c r="AK550" s="147"/>
      <c r="AL550" s="147"/>
      <c r="AM550" s="147"/>
      <c r="AN550" s="147"/>
      <c r="AO550" s="147"/>
      <c r="AP550" s="147"/>
      <c r="AQ550" s="147"/>
      <c r="AR550" s="147"/>
      <c r="AS550" s="147"/>
    </row>
    <row r="551" spans="1:45" x14ac:dyDescent="0.25">
      <c r="A551" s="147"/>
      <c r="B551" s="147"/>
      <c r="C551" s="160"/>
      <c r="D551" s="160"/>
      <c r="E551" s="161"/>
      <c r="F551" s="162"/>
      <c r="G551" s="163"/>
      <c r="H551" s="163"/>
      <c r="I551" s="164"/>
      <c r="J551" s="162"/>
      <c r="K551" s="165"/>
      <c r="L551" s="166"/>
      <c r="M551" s="167"/>
      <c r="N551" s="167"/>
      <c r="O551" s="168"/>
      <c r="P551" s="168"/>
      <c r="Q551" s="147"/>
      <c r="R551" s="147"/>
      <c r="S551" s="169"/>
      <c r="T551" s="147"/>
      <c r="U551" s="147"/>
      <c r="V551" s="147"/>
      <c r="W551" s="147"/>
      <c r="X551" s="147"/>
      <c r="Y551" s="147"/>
      <c r="Z551" s="147"/>
      <c r="AA551" s="147"/>
      <c r="AB551" s="147"/>
      <c r="AC551" s="147"/>
      <c r="AD551" s="147"/>
      <c r="AE551" s="147"/>
      <c r="AF551" s="147"/>
      <c r="AG551" s="147"/>
      <c r="AH551" s="147"/>
      <c r="AI551" s="147"/>
      <c r="AJ551" s="147"/>
      <c r="AK551" s="147"/>
      <c r="AL551" s="147"/>
      <c r="AM551" s="147"/>
      <c r="AN551" s="147"/>
      <c r="AO551" s="147"/>
      <c r="AP551" s="147"/>
      <c r="AQ551" s="147"/>
      <c r="AR551" s="147"/>
      <c r="AS551" s="147"/>
    </row>
    <row r="552" spans="1:45" x14ac:dyDescent="0.25">
      <c r="A552" s="147"/>
      <c r="B552" s="147"/>
      <c r="C552" s="160"/>
      <c r="D552" s="160"/>
      <c r="E552" s="161"/>
      <c r="F552" s="162"/>
      <c r="G552" s="163"/>
      <c r="H552" s="163"/>
      <c r="I552" s="164"/>
      <c r="J552" s="162"/>
      <c r="K552" s="165"/>
      <c r="L552" s="166"/>
      <c r="M552" s="167"/>
      <c r="N552" s="167"/>
      <c r="O552" s="168"/>
      <c r="P552" s="168"/>
      <c r="Q552" s="147"/>
      <c r="R552" s="147"/>
      <c r="S552" s="169"/>
      <c r="T552" s="147"/>
      <c r="U552" s="147"/>
      <c r="V552" s="147"/>
      <c r="W552" s="147"/>
      <c r="X552" s="147"/>
      <c r="Y552" s="147"/>
      <c r="Z552" s="147"/>
      <c r="AA552" s="147"/>
      <c r="AB552" s="147"/>
      <c r="AC552" s="147"/>
      <c r="AD552" s="147"/>
      <c r="AE552" s="147"/>
      <c r="AF552" s="147"/>
      <c r="AG552" s="147"/>
      <c r="AH552" s="147"/>
      <c r="AI552" s="147"/>
      <c r="AJ552" s="147"/>
      <c r="AK552" s="147"/>
      <c r="AL552" s="147"/>
      <c r="AM552" s="147"/>
      <c r="AN552" s="147"/>
      <c r="AO552" s="147"/>
      <c r="AP552" s="147"/>
      <c r="AQ552" s="147"/>
      <c r="AR552" s="147"/>
      <c r="AS552" s="147"/>
    </row>
    <row r="553" spans="1:45" x14ac:dyDescent="0.25">
      <c r="A553" s="147"/>
      <c r="B553" s="147"/>
      <c r="C553" s="160"/>
      <c r="D553" s="160"/>
      <c r="E553" s="161"/>
      <c r="F553" s="162"/>
      <c r="G553" s="163"/>
      <c r="H553" s="163"/>
      <c r="I553" s="164"/>
      <c r="J553" s="162"/>
      <c r="K553" s="165"/>
      <c r="L553" s="166"/>
      <c r="M553" s="167"/>
      <c r="N553" s="167"/>
      <c r="O553" s="168"/>
      <c r="P553" s="168"/>
      <c r="Q553" s="147"/>
      <c r="R553" s="147"/>
      <c r="S553" s="169"/>
      <c r="T553" s="147"/>
      <c r="U553" s="147"/>
      <c r="V553" s="147"/>
      <c r="W553" s="147"/>
      <c r="X553" s="147"/>
      <c r="Y553" s="147"/>
      <c r="Z553" s="147"/>
      <c r="AA553" s="147"/>
      <c r="AB553" s="147"/>
      <c r="AC553" s="147"/>
      <c r="AD553" s="147"/>
      <c r="AE553" s="147"/>
      <c r="AF553" s="147"/>
      <c r="AG553" s="147"/>
      <c r="AH553" s="147"/>
      <c r="AI553" s="147"/>
      <c r="AJ553" s="147"/>
      <c r="AK553" s="147"/>
      <c r="AL553" s="147"/>
      <c r="AM553" s="147"/>
      <c r="AN553" s="147"/>
      <c r="AO553" s="147"/>
      <c r="AP553" s="147"/>
      <c r="AQ553" s="147"/>
      <c r="AR553" s="147"/>
      <c r="AS553" s="147"/>
    </row>
    <row r="554" spans="1:45" x14ac:dyDescent="0.25">
      <c r="A554" s="147"/>
      <c r="B554" s="147"/>
      <c r="C554" s="160"/>
      <c r="D554" s="160"/>
      <c r="E554" s="161"/>
      <c r="F554" s="162"/>
      <c r="G554" s="163"/>
      <c r="H554" s="163"/>
      <c r="I554" s="164"/>
      <c r="J554" s="162"/>
      <c r="K554" s="165"/>
      <c r="L554" s="166"/>
      <c r="M554" s="167"/>
      <c r="N554" s="167"/>
      <c r="O554" s="168"/>
      <c r="P554" s="168"/>
      <c r="Q554" s="147"/>
      <c r="R554" s="147"/>
      <c r="S554" s="169"/>
      <c r="T554" s="147"/>
      <c r="U554" s="147"/>
      <c r="V554" s="147"/>
      <c r="W554" s="147"/>
      <c r="X554" s="147"/>
      <c r="Y554" s="147"/>
      <c r="Z554" s="147"/>
      <c r="AA554" s="147"/>
      <c r="AB554" s="147"/>
      <c r="AC554" s="147"/>
      <c r="AD554" s="147"/>
      <c r="AE554" s="147"/>
      <c r="AF554" s="147"/>
      <c r="AG554" s="147"/>
      <c r="AH554" s="147"/>
      <c r="AI554" s="147"/>
      <c r="AJ554" s="147"/>
      <c r="AK554" s="147"/>
      <c r="AL554" s="147"/>
      <c r="AM554" s="147"/>
      <c r="AN554" s="147"/>
      <c r="AO554" s="147"/>
      <c r="AP554" s="147"/>
      <c r="AQ554" s="147"/>
      <c r="AR554" s="147"/>
      <c r="AS554" s="147"/>
    </row>
    <row r="555" spans="1:45" x14ac:dyDescent="0.25">
      <c r="A555" s="147"/>
      <c r="B555" s="147"/>
      <c r="C555" s="160"/>
      <c r="D555" s="160"/>
      <c r="E555" s="161"/>
      <c r="F555" s="162"/>
      <c r="G555" s="163"/>
      <c r="H555" s="163"/>
      <c r="I555" s="164"/>
      <c r="J555" s="162"/>
      <c r="K555" s="165"/>
      <c r="L555" s="166"/>
      <c r="M555" s="167"/>
      <c r="N555" s="167"/>
      <c r="O555" s="168"/>
      <c r="P555" s="168"/>
      <c r="Q555" s="147"/>
      <c r="R555" s="147"/>
      <c r="S555" s="169"/>
      <c r="T555" s="147"/>
      <c r="U555" s="147"/>
      <c r="V555" s="147"/>
      <c r="W555" s="147"/>
      <c r="X555" s="147"/>
      <c r="Y555" s="147"/>
      <c r="Z555" s="147"/>
      <c r="AA555" s="147"/>
      <c r="AB555" s="147"/>
      <c r="AC555" s="147"/>
      <c r="AD555" s="147"/>
      <c r="AE555" s="147"/>
      <c r="AF555" s="147"/>
      <c r="AG555" s="147"/>
      <c r="AH555" s="147"/>
      <c r="AI555" s="147"/>
      <c r="AJ555" s="147"/>
      <c r="AK555" s="147"/>
      <c r="AL555" s="147"/>
      <c r="AM555" s="147"/>
      <c r="AN555" s="147"/>
      <c r="AO555" s="147"/>
      <c r="AP555" s="147"/>
      <c r="AQ555" s="147"/>
      <c r="AR555" s="147"/>
      <c r="AS555" s="147"/>
    </row>
    <row r="556" spans="1:45" x14ac:dyDescent="0.25">
      <c r="A556" s="147"/>
      <c r="B556" s="147"/>
      <c r="C556" s="160"/>
      <c r="D556" s="160"/>
      <c r="E556" s="161"/>
      <c r="F556" s="162"/>
      <c r="G556" s="163"/>
      <c r="H556" s="163"/>
      <c r="I556" s="164"/>
      <c r="J556" s="162"/>
      <c r="K556" s="165"/>
      <c r="L556" s="166"/>
      <c r="M556" s="167"/>
      <c r="N556" s="167"/>
      <c r="O556" s="168"/>
      <c r="P556" s="168"/>
      <c r="Q556" s="147"/>
      <c r="R556" s="147"/>
      <c r="S556" s="169"/>
      <c r="T556" s="147"/>
      <c r="U556" s="147"/>
      <c r="V556" s="147"/>
      <c r="W556" s="147"/>
      <c r="X556" s="147"/>
      <c r="Y556" s="147"/>
      <c r="Z556" s="147"/>
      <c r="AA556" s="147"/>
      <c r="AB556" s="147"/>
      <c r="AC556" s="147"/>
      <c r="AD556" s="147"/>
      <c r="AE556" s="147"/>
      <c r="AF556" s="147"/>
      <c r="AG556" s="147"/>
      <c r="AH556" s="147"/>
      <c r="AI556" s="147"/>
      <c r="AJ556" s="147"/>
      <c r="AK556" s="147"/>
      <c r="AL556" s="147"/>
      <c r="AM556" s="147"/>
      <c r="AN556" s="147"/>
      <c r="AO556" s="147"/>
      <c r="AP556" s="147"/>
      <c r="AQ556" s="147"/>
      <c r="AR556" s="147"/>
      <c r="AS556" s="147"/>
    </row>
    <row r="557" spans="1:45" x14ac:dyDescent="0.25">
      <c r="A557" s="147"/>
      <c r="B557" s="147"/>
      <c r="C557" s="160"/>
      <c r="D557" s="160"/>
      <c r="E557" s="161"/>
      <c r="F557" s="162"/>
      <c r="G557" s="163"/>
      <c r="H557" s="163"/>
      <c r="I557" s="164"/>
      <c r="J557" s="162"/>
      <c r="K557" s="165"/>
      <c r="L557" s="166"/>
      <c r="M557" s="167"/>
      <c r="N557" s="167"/>
      <c r="O557" s="168"/>
      <c r="P557" s="168"/>
      <c r="Q557" s="147"/>
      <c r="R557" s="147"/>
      <c r="S557" s="169"/>
      <c r="T557" s="147"/>
      <c r="U557" s="147"/>
      <c r="V557" s="147"/>
      <c r="W557" s="147"/>
      <c r="X557" s="147"/>
      <c r="Y557" s="147"/>
      <c r="Z557" s="147"/>
      <c r="AA557" s="147"/>
      <c r="AB557" s="147"/>
      <c r="AC557" s="147"/>
      <c r="AD557" s="147"/>
      <c r="AE557" s="147"/>
      <c r="AF557" s="147"/>
      <c r="AG557" s="147"/>
      <c r="AH557" s="147"/>
      <c r="AI557" s="147"/>
      <c r="AJ557" s="147"/>
      <c r="AK557" s="147"/>
      <c r="AL557" s="147"/>
      <c r="AM557" s="147"/>
      <c r="AN557" s="147"/>
      <c r="AO557" s="147"/>
      <c r="AP557" s="147"/>
      <c r="AQ557" s="147"/>
      <c r="AR557" s="147"/>
      <c r="AS557" s="147"/>
    </row>
    <row r="558" spans="1:45" x14ac:dyDescent="0.25">
      <c r="A558" s="147"/>
      <c r="B558" s="147"/>
      <c r="C558" s="160"/>
      <c r="D558" s="160"/>
      <c r="E558" s="161"/>
      <c r="F558" s="162"/>
      <c r="G558" s="163"/>
      <c r="H558" s="163"/>
      <c r="I558" s="164"/>
      <c r="J558" s="162"/>
      <c r="K558" s="165"/>
      <c r="L558" s="166"/>
      <c r="M558" s="167"/>
      <c r="N558" s="167"/>
      <c r="O558" s="168"/>
      <c r="P558" s="168"/>
      <c r="Q558" s="147"/>
      <c r="R558" s="147"/>
      <c r="S558" s="169"/>
      <c r="T558" s="147"/>
      <c r="U558" s="147"/>
      <c r="V558" s="147"/>
      <c r="W558" s="147"/>
      <c r="X558" s="147"/>
      <c r="Y558" s="147"/>
      <c r="Z558" s="147"/>
      <c r="AA558" s="147"/>
      <c r="AB558" s="147"/>
      <c r="AC558" s="147"/>
      <c r="AD558" s="147"/>
      <c r="AE558" s="147"/>
      <c r="AF558" s="147"/>
      <c r="AG558" s="147"/>
      <c r="AH558" s="147"/>
      <c r="AI558" s="147"/>
      <c r="AJ558" s="147"/>
      <c r="AK558" s="147"/>
      <c r="AL558" s="147"/>
      <c r="AM558" s="147"/>
      <c r="AN558" s="147"/>
      <c r="AO558" s="147"/>
      <c r="AP558" s="147"/>
      <c r="AQ558" s="147"/>
      <c r="AR558" s="147"/>
      <c r="AS558" s="147"/>
    </row>
    <row r="559" spans="1:45" x14ac:dyDescent="0.25">
      <c r="A559" s="147"/>
      <c r="B559" s="147"/>
      <c r="C559" s="160"/>
      <c r="D559" s="160"/>
      <c r="E559" s="161"/>
      <c r="F559" s="162"/>
      <c r="G559" s="163"/>
      <c r="H559" s="163"/>
      <c r="I559" s="164"/>
      <c r="J559" s="162"/>
      <c r="K559" s="165"/>
      <c r="L559" s="166"/>
      <c r="M559" s="167"/>
      <c r="N559" s="167"/>
      <c r="O559" s="168"/>
      <c r="P559" s="168"/>
      <c r="Q559" s="147"/>
      <c r="R559" s="147"/>
      <c r="S559" s="169"/>
      <c r="T559" s="147"/>
      <c r="U559" s="147"/>
      <c r="V559" s="147"/>
      <c r="W559" s="147"/>
      <c r="X559" s="147"/>
      <c r="Y559" s="147"/>
      <c r="Z559" s="147"/>
      <c r="AA559" s="147"/>
      <c r="AB559" s="147"/>
      <c r="AC559" s="147"/>
      <c r="AD559" s="147"/>
      <c r="AE559" s="147"/>
      <c r="AF559" s="147"/>
      <c r="AG559" s="147"/>
      <c r="AH559" s="147"/>
      <c r="AI559" s="147"/>
      <c r="AJ559" s="147"/>
      <c r="AK559" s="147"/>
      <c r="AL559" s="147"/>
      <c r="AM559" s="147"/>
      <c r="AN559" s="147"/>
      <c r="AO559" s="147"/>
      <c r="AP559" s="147"/>
      <c r="AQ559" s="147"/>
      <c r="AR559" s="147"/>
      <c r="AS559" s="147"/>
    </row>
    <row r="560" spans="1:45" x14ac:dyDescent="0.25">
      <c r="A560" s="147"/>
      <c r="B560" s="147"/>
      <c r="C560" s="160"/>
      <c r="D560" s="160"/>
      <c r="E560" s="161"/>
      <c r="F560" s="162"/>
      <c r="G560" s="163"/>
      <c r="H560" s="163"/>
      <c r="I560" s="164"/>
      <c r="J560" s="162"/>
      <c r="K560" s="165"/>
      <c r="L560" s="166"/>
      <c r="M560" s="167"/>
      <c r="N560" s="167"/>
      <c r="O560" s="168"/>
      <c r="P560" s="168"/>
      <c r="Q560" s="147"/>
      <c r="R560" s="147"/>
      <c r="S560" s="169"/>
      <c r="T560" s="147"/>
      <c r="U560" s="147"/>
      <c r="V560" s="147"/>
      <c r="W560" s="147"/>
      <c r="X560" s="147"/>
      <c r="Y560" s="147"/>
      <c r="Z560" s="147"/>
      <c r="AA560" s="147"/>
      <c r="AB560" s="147"/>
      <c r="AC560" s="147"/>
      <c r="AD560" s="147"/>
      <c r="AE560" s="147"/>
      <c r="AF560" s="147"/>
      <c r="AG560" s="147"/>
      <c r="AH560" s="147"/>
      <c r="AI560" s="147"/>
      <c r="AJ560" s="147"/>
      <c r="AK560" s="147"/>
      <c r="AL560" s="147"/>
      <c r="AM560" s="147"/>
      <c r="AN560" s="147"/>
      <c r="AO560" s="147"/>
      <c r="AP560" s="147"/>
      <c r="AQ560" s="147"/>
      <c r="AR560" s="147"/>
      <c r="AS560" s="147"/>
    </row>
    <row r="561" spans="1:45" x14ac:dyDescent="0.25">
      <c r="A561" s="147"/>
      <c r="B561" s="147"/>
      <c r="C561" s="160"/>
      <c r="D561" s="160"/>
      <c r="E561" s="161"/>
      <c r="F561" s="162"/>
      <c r="G561" s="163"/>
      <c r="H561" s="163"/>
      <c r="I561" s="164"/>
      <c r="J561" s="162"/>
      <c r="K561" s="165"/>
      <c r="L561" s="166"/>
      <c r="M561" s="167"/>
      <c r="N561" s="167"/>
      <c r="O561" s="168"/>
      <c r="P561" s="168"/>
      <c r="Q561" s="147"/>
      <c r="R561" s="147"/>
      <c r="S561" s="169"/>
      <c r="T561" s="147"/>
      <c r="U561" s="147"/>
      <c r="V561" s="147"/>
      <c r="W561" s="147"/>
      <c r="X561" s="147"/>
      <c r="Y561" s="147"/>
      <c r="Z561" s="147"/>
      <c r="AA561" s="147"/>
      <c r="AB561" s="147"/>
      <c r="AC561" s="147"/>
      <c r="AD561" s="147"/>
      <c r="AE561" s="147"/>
      <c r="AF561" s="147"/>
      <c r="AG561" s="147"/>
      <c r="AH561" s="147"/>
      <c r="AI561" s="147"/>
      <c r="AJ561" s="147"/>
      <c r="AK561" s="147"/>
      <c r="AL561" s="147"/>
      <c r="AM561" s="147"/>
      <c r="AN561" s="147"/>
      <c r="AO561" s="147"/>
      <c r="AP561" s="147"/>
      <c r="AQ561" s="147"/>
      <c r="AR561" s="147"/>
      <c r="AS561" s="147"/>
    </row>
    <row r="562" spans="1:45" x14ac:dyDescent="0.25">
      <c r="A562" s="147"/>
      <c r="B562" s="147"/>
      <c r="C562" s="160"/>
      <c r="D562" s="160"/>
      <c r="E562" s="161"/>
      <c r="F562" s="162"/>
      <c r="G562" s="163"/>
      <c r="H562" s="163"/>
      <c r="I562" s="164"/>
      <c r="J562" s="162"/>
      <c r="K562" s="165"/>
      <c r="L562" s="166"/>
      <c r="M562" s="167"/>
      <c r="N562" s="167"/>
      <c r="O562" s="168"/>
      <c r="P562" s="168"/>
      <c r="Q562" s="147"/>
      <c r="R562" s="147"/>
      <c r="S562" s="169"/>
      <c r="T562" s="147"/>
      <c r="U562" s="147"/>
      <c r="V562" s="147"/>
      <c r="W562" s="147"/>
      <c r="X562" s="147"/>
      <c r="Y562" s="147"/>
      <c r="Z562" s="147"/>
      <c r="AA562" s="147"/>
      <c r="AB562" s="147"/>
      <c r="AC562" s="147"/>
      <c r="AD562" s="147"/>
      <c r="AE562" s="147"/>
      <c r="AF562" s="147"/>
      <c r="AG562" s="147"/>
      <c r="AH562" s="147"/>
      <c r="AI562" s="147"/>
      <c r="AJ562" s="147"/>
      <c r="AK562" s="147"/>
      <c r="AL562" s="147"/>
      <c r="AM562" s="147"/>
      <c r="AN562" s="147"/>
      <c r="AO562" s="147"/>
      <c r="AP562" s="147"/>
      <c r="AQ562" s="147"/>
      <c r="AR562" s="147"/>
      <c r="AS562" s="147"/>
    </row>
    <row r="563" spans="1:45" x14ac:dyDescent="0.25">
      <c r="A563" s="147"/>
      <c r="B563" s="147"/>
      <c r="C563" s="160"/>
      <c r="D563" s="160"/>
      <c r="E563" s="161"/>
      <c r="F563" s="162"/>
      <c r="G563" s="163"/>
      <c r="H563" s="163"/>
      <c r="I563" s="164"/>
      <c r="J563" s="162"/>
      <c r="K563" s="165"/>
      <c r="L563" s="166"/>
      <c r="M563" s="167"/>
      <c r="N563" s="167"/>
      <c r="O563" s="168"/>
      <c r="P563" s="168"/>
      <c r="Q563" s="147"/>
      <c r="R563" s="147"/>
      <c r="S563" s="169"/>
      <c r="T563" s="147"/>
      <c r="U563" s="147"/>
      <c r="V563" s="147"/>
      <c r="W563" s="147"/>
      <c r="X563" s="147"/>
      <c r="Y563" s="147"/>
      <c r="Z563" s="147"/>
      <c r="AA563" s="147"/>
      <c r="AB563" s="147"/>
      <c r="AC563" s="147"/>
      <c r="AD563" s="147"/>
      <c r="AE563" s="147"/>
      <c r="AF563" s="147"/>
      <c r="AG563" s="147"/>
      <c r="AH563" s="147"/>
      <c r="AI563" s="147"/>
      <c r="AJ563" s="147"/>
      <c r="AK563" s="147"/>
      <c r="AL563" s="147"/>
      <c r="AM563" s="147"/>
      <c r="AN563" s="147"/>
      <c r="AO563" s="147"/>
      <c r="AP563" s="147"/>
      <c r="AQ563" s="147"/>
      <c r="AR563" s="147"/>
      <c r="AS563" s="147"/>
    </row>
    <row r="564" spans="1:45" x14ac:dyDescent="0.25">
      <c r="A564" s="147"/>
      <c r="B564" s="147"/>
      <c r="C564" s="160"/>
      <c r="D564" s="160"/>
      <c r="E564" s="161"/>
      <c r="F564" s="162"/>
      <c r="G564" s="163"/>
      <c r="H564" s="163"/>
      <c r="I564" s="164"/>
      <c r="J564" s="162"/>
      <c r="K564" s="165"/>
      <c r="L564" s="166"/>
      <c r="M564" s="167"/>
      <c r="N564" s="167"/>
      <c r="O564" s="168"/>
      <c r="P564" s="168"/>
      <c r="Q564" s="147"/>
      <c r="R564" s="147"/>
      <c r="S564" s="169"/>
      <c r="T564" s="147"/>
      <c r="U564" s="147"/>
      <c r="V564" s="147"/>
      <c r="W564" s="147"/>
      <c r="X564" s="147"/>
      <c r="Y564" s="147"/>
      <c r="Z564" s="147"/>
      <c r="AA564" s="147"/>
      <c r="AB564" s="147"/>
      <c r="AC564" s="147"/>
      <c r="AD564" s="147"/>
      <c r="AE564" s="147"/>
      <c r="AF564" s="147"/>
      <c r="AG564" s="147"/>
      <c r="AH564" s="147"/>
      <c r="AI564" s="147"/>
      <c r="AJ564" s="147"/>
      <c r="AK564" s="147"/>
      <c r="AL564" s="147"/>
      <c r="AM564" s="147"/>
      <c r="AN564" s="147"/>
      <c r="AO564" s="147"/>
      <c r="AP564" s="147"/>
      <c r="AQ564" s="147"/>
      <c r="AR564" s="147"/>
      <c r="AS564" s="147"/>
    </row>
    <row r="565" spans="1:45" x14ac:dyDescent="0.25">
      <c r="A565" s="147"/>
      <c r="B565" s="147"/>
      <c r="C565" s="160"/>
      <c r="D565" s="160"/>
      <c r="E565" s="161"/>
      <c r="F565" s="162"/>
      <c r="G565" s="163"/>
      <c r="H565" s="163"/>
      <c r="I565" s="164"/>
      <c r="J565" s="162"/>
      <c r="K565" s="165"/>
      <c r="L565" s="166"/>
      <c r="M565" s="167"/>
      <c r="N565" s="167"/>
      <c r="O565" s="168"/>
      <c r="P565" s="168"/>
      <c r="Q565" s="147"/>
      <c r="R565" s="147"/>
      <c r="S565" s="169"/>
      <c r="T565" s="147"/>
      <c r="U565" s="147"/>
      <c r="V565" s="147"/>
      <c r="W565" s="147"/>
      <c r="X565" s="147"/>
      <c r="Y565" s="147"/>
      <c r="Z565" s="147"/>
      <c r="AA565" s="147"/>
      <c r="AB565" s="147"/>
      <c r="AC565" s="147"/>
      <c r="AD565" s="147"/>
      <c r="AE565" s="147"/>
      <c r="AF565" s="147"/>
      <c r="AG565" s="147"/>
      <c r="AH565" s="147"/>
      <c r="AI565" s="147"/>
      <c r="AJ565" s="147"/>
      <c r="AK565" s="147"/>
      <c r="AL565" s="147"/>
      <c r="AM565" s="147"/>
      <c r="AN565" s="147"/>
      <c r="AO565" s="147"/>
      <c r="AP565" s="147"/>
      <c r="AQ565" s="147"/>
      <c r="AR565" s="147"/>
      <c r="AS565" s="147"/>
    </row>
    <row r="566" spans="1:45" x14ac:dyDescent="0.25">
      <c r="A566" s="147"/>
      <c r="B566" s="147"/>
      <c r="C566" s="160"/>
      <c r="D566" s="160"/>
      <c r="E566" s="161"/>
      <c r="F566" s="162"/>
      <c r="G566" s="163"/>
      <c r="H566" s="163"/>
      <c r="I566" s="164"/>
      <c r="J566" s="162"/>
      <c r="K566" s="165"/>
      <c r="L566" s="166"/>
      <c r="M566" s="167"/>
      <c r="N566" s="167"/>
      <c r="O566" s="168"/>
      <c r="P566" s="168"/>
      <c r="Q566" s="147"/>
      <c r="R566" s="147"/>
      <c r="S566" s="169"/>
      <c r="T566" s="147"/>
      <c r="U566" s="147"/>
      <c r="V566" s="147"/>
      <c r="W566" s="147"/>
      <c r="X566" s="147"/>
      <c r="Y566" s="147"/>
      <c r="Z566" s="147"/>
      <c r="AA566" s="147"/>
      <c r="AB566" s="147"/>
      <c r="AC566" s="147"/>
      <c r="AD566" s="147"/>
      <c r="AE566" s="147"/>
      <c r="AF566" s="147"/>
      <c r="AG566" s="147"/>
      <c r="AH566" s="147"/>
      <c r="AI566" s="147"/>
      <c r="AJ566" s="147"/>
      <c r="AK566" s="147"/>
      <c r="AL566" s="147"/>
      <c r="AM566" s="147"/>
      <c r="AN566" s="147"/>
      <c r="AO566" s="147"/>
      <c r="AP566" s="147"/>
      <c r="AQ566" s="147"/>
      <c r="AR566" s="147"/>
      <c r="AS566" s="147"/>
    </row>
    <row r="567" spans="1:45" x14ac:dyDescent="0.25">
      <c r="A567" s="147"/>
      <c r="B567" s="147"/>
      <c r="C567" s="160"/>
      <c r="D567" s="160"/>
      <c r="E567" s="161"/>
      <c r="F567" s="162"/>
      <c r="G567" s="163"/>
      <c r="H567" s="163"/>
      <c r="I567" s="164"/>
      <c r="J567" s="162"/>
      <c r="K567" s="165"/>
      <c r="L567" s="166"/>
      <c r="M567" s="167"/>
      <c r="N567" s="167"/>
      <c r="O567" s="168"/>
      <c r="P567" s="168"/>
      <c r="Q567" s="147"/>
      <c r="R567" s="147"/>
      <c r="S567" s="169"/>
      <c r="T567" s="147"/>
      <c r="U567" s="147"/>
      <c r="V567" s="147"/>
      <c r="W567" s="147"/>
      <c r="X567" s="147"/>
      <c r="Y567" s="147"/>
      <c r="Z567" s="147"/>
      <c r="AA567" s="147"/>
      <c r="AB567" s="147"/>
      <c r="AC567" s="147"/>
      <c r="AD567" s="147"/>
      <c r="AE567" s="147"/>
      <c r="AF567" s="147"/>
      <c r="AG567" s="147"/>
      <c r="AH567" s="147"/>
      <c r="AI567" s="147"/>
      <c r="AJ567" s="147"/>
      <c r="AK567" s="147"/>
      <c r="AL567" s="147"/>
      <c r="AM567" s="147"/>
      <c r="AN567" s="147"/>
      <c r="AO567" s="147"/>
      <c r="AP567" s="147"/>
      <c r="AQ567" s="147"/>
      <c r="AR567" s="147"/>
      <c r="AS567" s="147"/>
    </row>
    <row r="568" spans="1:45" x14ac:dyDescent="0.25">
      <c r="A568" s="147"/>
      <c r="B568" s="147"/>
      <c r="C568" s="160"/>
      <c r="D568" s="160"/>
      <c r="E568" s="161"/>
      <c r="F568" s="162"/>
      <c r="G568" s="163"/>
      <c r="H568" s="163"/>
      <c r="I568" s="164"/>
      <c r="J568" s="162"/>
      <c r="K568" s="165"/>
      <c r="L568" s="166"/>
      <c r="M568" s="167"/>
      <c r="N568" s="167"/>
      <c r="O568" s="168"/>
      <c r="P568" s="168"/>
      <c r="Q568" s="147"/>
      <c r="R568" s="147"/>
      <c r="S568" s="169"/>
      <c r="T568" s="147"/>
      <c r="U568" s="147"/>
      <c r="V568" s="147"/>
      <c r="W568" s="147"/>
      <c r="X568" s="147"/>
      <c r="Y568" s="147"/>
      <c r="Z568" s="147"/>
      <c r="AA568" s="147"/>
      <c r="AB568" s="147"/>
      <c r="AC568" s="147"/>
      <c r="AD568" s="147"/>
      <c r="AE568" s="147"/>
      <c r="AF568" s="147"/>
      <c r="AG568" s="147"/>
      <c r="AH568" s="147"/>
      <c r="AI568" s="147"/>
      <c r="AJ568" s="147"/>
      <c r="AK568" s="147"/>
      <c r="AL568" s="147"/>
      <c r="AM568" s="147"/>
      <c r="AN568" s="147"/>
      <c r="AO568" s="147"/>
      <c r="AP568" s="147"/>
      <c r="AQ568" s="147"/>
      <c r="AR568" s="147"/>
      <c r="AS568" s="147"/>
    </row>
    <row r="569" spans="1:45" x14ac:dyDescent="0.25">
      <c r="A569" s="147"/>
      <c r="B569" s="147"/>
      <c r="C569" s="160"/>
      <c r="D569" s="160"/>
      <c r="E569" s="161"/>
      <c r="F569" s="162"/>
      <c r="G569" s="163"/>
      <c r="H569" s="163"/>
      <c r="I569" s="164"/>
      <c r="J569" s="162"/>
      <c r="K569" s="165"/>
      <c r="L569" s="166"/>
      <c r="M569" s="167"/>
      <c r="N569" s="167"/>
      <c r="O569" s="168"/>
      <c r="P569" s="168"/>
      <c r="Q569" s="147"/>
      <c r="R569" s="147"/>
      <c r="S569" s="169"/>
      <c r="T569" s="147"/>
      <c r="U569" s="147"/>
      <c r="V569" s="147"/>
      <c r="W569" s="147"/>
      <c r="X569" s="147"/>
      <c r="Y569" s="147"/>
      <c r="Z569" s="147"/>
      <c r="AA569" s="147"/>
      <c r="AB569" s="147"/>
      <c r="AC569" s="147"/>
      <c r="AD569" s="147"/>
      <c r="AE569" s="147"/>
      <c r="AF569" s="147"/>
      <c r="AG569" s="147"/>
      <c r="AH569" s="147"/>
      <c r="AI569" s="147"/>
      <c r="AJ569" s="147"/>
      <c r="AK569" s="147"/>
      <c r="AL569" s="147"/>
      <c r="AM569" s="147"/>
      <c r="AN569" s="147"/>
      <c r="AO569" s="147"/>
      <c r="AP569" s="147"/>
      <c r="AQ569" s="147"/>
      <c r="AR569" s="147"/>
      <c r="AS569" s="147"/>
    </row>
    <row r="570" spans="1:45" x14ac:dyDescent="0.25">
      <c r="A570" s="147"/>
      <c r="B570" s="147"/>
      <c r="C570" s="160"/>
      <c r="D570" s="160"/>
      <c r="E570" s="161"/>
      <c r="F570" s="162"/>
      <c r="G570" s="163"/>
      <c r="H570" s="163"/>
      <c r="I570" s="164"/>
      <c r="J570" s="162"/>
      <c r="K570" s="165"/>
      <c r="L570" s="166"/>
      <c r="M570" s="167"/>
      <c r="N570" s="167"/>
      <c r="O570" s="168"/>
      <c r="P570" s="168"/>
      <c r="Q570" s="147"/>
      <c r="R570" s="147"/>
      <c r="S570" s="169"/>
      <c r="T570" s="147"/>
      <c r="U570" s="147"/>
      <c r="V570" s="147"/>
      <c r="W570" s="147"/>
      <c r="X570" s="147"/>
      <c r="Y570" s="147"/>
      <c r="Z570" s="147"/>
      <c r="AA570" s="147"/>
      <c r="AB570" s="147"/>
      <c r="AC570" s="147"/>
      <c r="AD570" s="147"/>
      <c r="AE570" s="147"/>
      <c r="AF570" s="147"/>
      <c r="AG570" s="147"/>
      <c r="AH570" s="147"/>
      <c r="AI570" s="147"/>
      <c r="AJ570" s="147"/>
      <c r="AK570" s="147"/>
      <c r="AL570" s="147"/>
      <c r="AM570" s="147"/>
      <c r="AN570" s="147"/>
      <c r="AO570" s="147"/>
      <c r="AP570" s="147"/>
      <c r="AQ570" s="147"/>
      <c r="AR570" s="147"/>
      <c r="AS570" s="147"/>
    </row>
    <row r="571" spans="1:45" x14ac:dyDescent="0.25">
      <c r="A571" s="147"/>
      <c r="B571" s="147"/>
      <c r="C571" s="160"/>
      <c r="D571" s="160"/>
      <c r="E571" s="161"/>
      <c r="F571" s="162"/>
      <c r="G571" s="163"/>
      <c r="H571" s="163"/>
      <c r="I571" s="164"/>
      <c r="J571" s="162"/>
      <c r="K571" s="165"/>
      <c r="L571" s="166"/>
      <c r="M571" s="167"/>
      <c r="N571" s="167"/>
      <c r="O571" s="168"/>
      <c r="P571" s="168"/>
      <c r="Q571" s="147"/>
      <c r="R571" s="147"/>
      <c r="S571" s="169"/>
      <c r="T571" s="147"/>
      <c r="U571" s="147"/>
      <c r="V571" s="147"/>
      <c r="W571" s="147"/>
      <c r="X571" s="147"/>
      <c r="Y571" s="147"/>
      <c r="Z571" s="147"/>
      <c r="AA571" s="147"/>
      <c r="AB571" s="147"/>
      <c r="AC571" s="147"/>
      <c r="AD571" s="147"/>
      <c r="AE571" s="147"/>
      <c r="AF571" s="147"/>
      <c r="AG571" s="147"/>
      <c r="AH571" s="147"/>
      <c r="AI571" s="147"/>
      <c r="AJ571" s="147"/>
      <c r="AK571" s="147"/>
      <c r="AL571" s="147"/>
      <c r="AM571" s="147"/>
      <c r="AN571" s="147"/>
      <c r="AO571" s="147"/>
      <c r="AP571" s="147"/>
      <c r="AQ571" s="147"/>
      <c r="AR571" s="147"/>
      <c r="AS571" s="147"/>
    </row>
    <row r="572" spans="1:45" x14ac:dyDescent="0.25">
      <c r="A572" s="147"/>
      <c r="B572" s="147"/>
      <c r="C572" s="160"/>
      <c r="D572" s="160"/>
      <c r="E572" s="161"/>
      <c r="F572" s="162"/>
      <c r="G572" s="163"/>
      <c r="H572" s="163"/>
      <c r="I572" s="164"/>
      <c r="J572" s="162"/>
      <c r="K572" s="165"/>
      <c r="L572" s="166"/>
      <c r="M572" s="167"/>
      <c r="N572" s="167"/>
      <c r="O572" s="168"/>
      <c r="P572" s="168"/>
      <c r="Q572" s="147"/>
      <c r="R572" s="147"/>
      <c r="S572" s="169"/>
      <c r="T572" s="147"/>
      <c r="U572" s="147"/>
      <c r="V572" s="147"/>
      <c r="W572" s="147"/>
      <c r="X572" s="147"/>
      <c r="Y572" s="147"/>
      <c r="Z572" s="147"/>
      <c r="AA572" s="147"/>
      <c r="AB572" s="147"/>
      <c r="AC572" s="147"/>
      <c r="AD572" s="147"/>
      <c r="AE572" s="147"/>
      <c r="AF572" s="147"/>
      <c r="AG572" s="147"/>
      <c r="AH572" s="147"/>
      <c r="AI572" s="147"/>
      <c r="AJ572" s="147"/>
      <c r="AK572" s="147"/>
      <c r="AL572" s="147"/>
      <c r="AM572" s="147"/>
      <c r="AN572" s="147"/>
      <c r="AO572" s="147"/>
      <c r="AP572" s="147"/>
      <c r="AQ572" s="147"/>
      <c r="AR572" s="147"/>
      <c r="AS572" s="147"/>
    </row>
    <row r="573" spans="1:45" x14ac:dyDescent="0.25">
      <c r="A573" s="147"/>
      <c r="B573" s="147"/>
      <c r="C573" s="160"/>
      <c r="D573" s="160"/>
      <c r="E573" s="161"/>
      <c r="F573" s="162"/>
      <c r="G573" s="163"/>
      <c r="H573" s="163"/>
      <c r="I573" s="164"/>
      <c r="J573" s="162"/>
      <c r="K573" s="165"/>
      <c r="L573" s="166"/>
      <c r="M573" s="167"/>
      <c r="N573" s="167"/>
      <c r="O573" s="168"/>
      <c r="P573" s="168"/>
      <c r="Q573" s="147"/>
      <c r="R573" s="147"/>
      <c r="S573" s="169"/>
      <c r="T573" s="147"/>
      <c r="U573" s="147"/>
      <c r="V573" s="147"/>
      <c r="W573" s="147"/>
      <c r="X573" s="147"/>
      <c r="Y573" s="147"/>
      <c r="Z573" s="147"/>
      <c r="AA573" s="147"/>
      <c r="AB573" s="147"/>
      <c r="AC573" s="147"/>
      <c r="AD573" s="147"/>
      <c r="AE573" s="147"/>
      <c r="AF573" s="147"/>
      <c r="AG573" s="147"/>
      <c r="AH573" s="147"/>
      <c r="AI573" s="147"/>
      <c r="AJ573" s="147"/>
      <c r="AK573" s="147"/>
      <c r="AL573" s="147"/>
      <c r="AM573" s="147"/>
      <c r="AN573" s="147"/>
      <c r="AO573" s="147"/>
      <c r="AP573" s="147"/>
      <c r="AQ573" s="147"/>
      <c r="AR573" s="147"/>
      <c r="AS573" s="147"/>
    </row>
    <row r="574" spans="1:45" x14ac:dyDescent="0.25">
      <c r="A574" s="147"/>
      <c r="B574" s="147"/>
      <c r="C574" s="160"/>
      <c r="D574" s="160"/>
      <c r="E574" s="161"/>
      <c r="F574" s="162"/>
      <c r="G574" s="163"/>
      <c r="H574" s="163"/>
      <c r="I574" s="164"/>
      <c r="J574" s="162"/>
      <c r="K574" s="165"/>
      <c r="L574" s="166"/>
      <c r="M574" s="167"/>
      <c r="N574" s="167"/>
      <c r="O574" s="168"/>
      <c r="P574" s="168"/>
      <c r="Q574" s="147"/>
      <c r="R574" s="147"/>
      <c r="S574" s="169"/>
      <c r="T574" s="147"/>
      <c r="U574" s="147"/>
      <c r="V574" s="147"/>
      <c r="W574" s="147"/>
      <c r="X574" s="147"/>
      <c r="Y574" s="147"/>
      <c r="Z574" s="147"/>
      <c r="AA574" s="147"/>
      <c r="AB574" s="147"/>
      <c r="AC574" s="147"/>
      <c r="AD574" s="147"/>
      <c r="AE574" s="147"/>
      <c r="AF574" s="147"/>
      <c r="AG574" s="147"/>
      <c r="AH574" s="147"/>
      <c r="AI574" s="147"/>
      <c r="AJ574" s="147"/>
      <c r="AK574" s="147"/>
      <c r="AL574" s="147"/>
      <c r="AM574" s="147"/>
      <c r="AN574" s="147"/>
      <c r="AO574" s="147"/>
      <c r="AP574" s="147"/>
      <c r="AQ574" s="147"/>
      <c r="AR574" s="147"/>
      <c r="AS574" s="147"/>
    </row>
    <row r="575" spans="1:45" x14ac:dyDescent="0.25">
      <c r="A575" s="147"/>
      <c r="B575" s="147"/>
      <c r="C575" s="160"/>
      <c r="D575" s="160"/>
      <c r="E575" s="161"/>
      <c r="F575" s="162"/>
      <c r="G575" s="163"/>
      <c r="H575" s="163"/>
      <c r="I575" s="164"/>
      <c r="J575" s="162"/>
      <c r="K575" s="165"/>
      <c r="L575" s="166"/>
      <c r="M575" s="167"/>
      <c r="N575" s="167"/>
      <c r="O575" s="168"/>
      <c r="P575" s="168"/>
      <c r="Q575" s="147"/>
      <c r="R575" s="147"/>
      <c r="S575" s="169"/>
      <c r="T575" s="147"/>
      <c r="U575" s="147"/>
      <c r="V575" s="147"/>
      <c r="W575" s="147"/>
      <c r="X575" s="147"/>
      <c r="Y575" s="147"/>
      <c r="Z575" s="147"/>
      <c r="AA575" s="147"/>
      <c r="AB575" s="147"/>
      <c r="AC575" s="147"/>
      <c r="AD575" s="147"/>
      <c r="AE575" s="147"/>
      <c r="AF575" s="147"/>
      <c r="AG575" s="147"/>
      <c r="AH575" s="147"/>
      <c r="AI575" s="147"/>
      <c r="AJ575" s="147"/>
      <c r="AK575" s="147"/>
      <c r="AL575" s="147"/>
      <c r="AM575" s="147"/>
      <c r="AN575" s="147"/>
      <c r="AO575" s="147"/>
      <c r="AP575" s="147"/>
      <c r="AQ575" s="147"/>
      <c r="AR575" s="147"/>
      <c r="AS575" s="147"/>
    </row>
    <row r="576" spans="1:45" x14ac:dyDescent="0.25">
      <c r="A576" s="147"/>
      <c r="B576" s="147"/>
      <c r="C576" s="160"/>
      <c r="D576" s="160"/>
      <c r="E576" s="161"/>
      <c r="F576" s="162"/>
      <c r="G576" s="163"/>
      <c r="H576" s="163"/>
      <c r="I576" s="164"/>
      <c r="J576" s="162"/>
      <c r="K576" s="165"/>
      <c r="L576" s="166"/>
      <c r="M576" s="167"/>
      <c r="N576" s="167"/>
      <c r="O576" s="168"/>
      <c r="P576" s="168"/>
      <c r="Q576" s="147"/>
      <c r="R576" s="147"/>
      <c r="S576" s="169"/>
      <c r="T576" s="147"/>
      <c r="U576" s="147"/>
      <c r="V576" s="147"/>
      <c r="W576" s="147"/>
      <c r="X576" s="147"/>
      <c r="Y576" s="147"/>
      <c r="Z576" s="147"/>
      <c r="AA576" s="147"/>
      <c r="AB576" s="147"/>
      <c r="AC576" s="147"/>
      <c r="AD576" s="147"/>
      <c r="AE576" s="147"/>
      <c r="AF576" s="147"/>
      <c r="AG576" s="147"/>
      <c r="AH576" s="147"/>
      <c r="AI576" s="147"/>
      <c r="AJ576" s="147"/>
      <c r="AK576" s="147"/>
      <c r="AL576" s="147"/>
      <c r="AM576" s="147"/>
      <c r="AN576" s="147"/>
      <c r="AO576" s="147"/>
      <c r="AP576" s="147"/>
      <c r="AQ576" s="147"/>
      <c r="AR576" s="147"/>
      <c r="AS576" s="147"/>
    </row>
    <row r="577" spans="1:45" x14ac:dyDescent="0.25">
      <c r="A577" s="147"/>
      <c r="B577" s="147"/>
      <c r="C577" s="160"/>
      <c r="D577" s="160"/>
      <c r="E577" s="161"/>
      <c r="F577" s="162"/>
      <c r="G577" s="163"/>
      <c r="H577" s="163"/>
      <c r="I577" s="164"/>
      <c r="J577" s="162"/>
      <c r="K577" s="165"/>
      <c r="L577" s="166"/>
      <c r="M577" s="167"/>
      <c r="N577" s="167"/>
      <c r="O577" s="168"/>
      <c r="P577" s="168"/>
      <c r="Q577" s="147"/>
      <c r="R577" s="147"/>
      <c r="S577" s="169"/>
      <c r="T577" s="147"/>
      <c r="U577" s="147"/>
      <c r="V577" s="147"/>
      <c r="W577" s="147"/>
      <c r="X577" s="147"/>
      <c r="Y577" s="147"/>
      <c r="Z577" s="147"/>
      <c r="AA577" s="147"/>
      <c r="AB577" s="147"/>
      <c r="AC577" s="147"/>
      <c r="AD577" s="147"/>
      <c r="AE577" s="147"/>
      <c r="AF577" s="147"/>
      <c r="AG577" s="147"/>
      <c r="AH577" s="147"/>
      <c r="AI577" s="147"/>
      <c r="AJ577" s="147"/>
      <c r="AK577" s="147"/>
      <c r="AL577" s="147"/>
      <c r="AM577" s="147"/>
      <c r="AN577" s="147"/>
      <c r="AO577" s="147"/>
      <c r="AP577" s="147"/>
      <c r="AQ577" s="147"/>
      <c r="AR577" s="147"/>
      <c r="AS577" s="147"/>
    </row>
    <row r="578" spans="1:45" x14ac:dyDescent="0.25">
      <c r="A578" s="147"/>
      <c r="B578" s="147"/>
      <c r="C578" s="160"/>
      <c r="D578" s="160"/>
      <c r="E578" s="161"/>
      <c r="F578" s="162"/>
      <c r="G578" s="163"/>
      <c r="H578" s="163"/>
      <c r="I578" s="164"/>
      <c r="J578" s="162"/>
      <c r="K578" s="165"/>
      <c r="L578" s="166"/>
      <c r="M578" s="167"/>
      <c r="N578" s="167"/>
      <c r="O578" s="168"/>
      <c r="P578" s="168"/>
      <c r="Q578" s="147"/>
      <c r="R578" s="147"/>
      <c r="S578" s="169"/>
      <c r="T578" s="147"/>
      <c r="U578" s="147"/>
      <c r="V578" s="147"/>
      <c r="W578" s="147"/>
      <c r="X578" s="147"/>
      <c r="Y578" s="147"/>
      <c r="Z578" s="147"/>
      <c r="AA578" s="147"/>
      <c r="AB578" s="147"/>
      <c r="AC578" s="147"/>
      <c r="AD578" s="147"/>
      <c r="AE578" s="147"/>
      <c r="AF578" s="147"/>
      <c r="AG578" s="147"/>
      <c r="AH578" s="147"/>
      <c r="AI578" s="147"/>
      <c r="AJ578" s="147"/>
      <c r="AK578" s="147"/>
      <c r="AL578" s="147"/>
      <c r="AM578" s="147"/>
      <c r="AN578" s="147"/>
      <c r="AO578" s="147"/>
      <c r="AP578" s="147"/>
      <c r="AQ578" s="147"/>
      <c r="AR578" s="147"/>
      <c r="AS578" s="147"/>
    </row>
    <row r="579" spans="1:45" x14ac:dyDescent="0.25">
      <c r="A579" s="147"/>
      <c r="B579" s="147"/>
      <c r="C579" s="160"/>
      <c r="D579" s="160"/>
      <c r="E579" s="161"/>
      <c r="F579" s="162"/>
      <c r="G579" s="163"/>
      <c r="H579" s="163"/>
      <c r="I579" s="164"/>
      <c r="J579" s="162"/>
      <c r="K579" s="165"/>
      <c r="L579" s="166"/>
      <c r="M579" s="167"/>
      <c r="N579" s="167"/>
      <c r="O579" s="168"/>
      <c r="P579" s="168"/>
      <c r="Q579" s="147"/>
      <c r="R579" s="147"/>
      <c r="S579" s="169"/>
      <c r="T579" s="147"/>
      <c r="U579" s="147"/>
      <c r="V579" s="147"/>
      <c r="W579" s="147"/>
      <c r="X579" s="147"/>
      <c r="Y579" s="147"/>
      <c r="Z579" s="147"/>
      <c r="AA579" s="147"/>
      <c r="AB579" s="147"/>
      <c r="AC579" s="147"/>
      <c r="AD579" s="147"/>
      <c r="AE579" s="147"/>
      <c r="AF579" s="147"/>
      <c r="AG579" s="147"/>
      <c r="AH579" s="147"/>
      <c r="AI579" s="147"/>
      <c r="AJ579" s="147"/>
      <c r="AK579" s="147"/>
      <c r="AL579" s="147"/>
      <c r="AM579" s="147"/>
      <c r="AN579" s="147"/>
      <c r="AO579" s="147"/>
      <c r="AP579" s="147"/>
      <c r="AQ579" s="147"/>
      <c r="AR579" s="147"/>
      <c r="AS579" s="147"/>
    </row>
    <row r="580" spans="1:45" x14ac:dyDescent="0.25">
      <c r="A580" s="147"/>
      <c r="B580" s="147"/>
      <c r="C580" s="160"/>
      <c r="D580" s="160"/>
      <c r="E580" s="161"/>
      <c r="F580" s="162"/>
      <c r="G580" s="163"/>
      <c r="H580" s="163"/>
      <c r="I580" s="164"/>
      <c r="J580" s="162"/>
      <c r="K580" s="165"/>
      <c r="L580" s="166"/>
      <c r="M580" s="167"/>
      <c r="N580" s="167"/>
      <c r="O580" s="168"/>
      <c r="P580" s="168"/>
      <c r="Q580" s="147"/>
      <c r="R580" s="147"/>
      <c r="S580" s="169"/>
      <c r="T580" s="147"/>
      <c r="U580" s="147"/>
      <c r="V580" s="147"/>
      <c r="W580" s="147"/>
      <c r="X580" s="147"/>
      <c r="Y580" s="147"/>
      <c r="Z580" s="147"/>
      <c r="AA580" s="147"/>
      <c r="AB580" s="147"/>
      <c r="AC580" s="147"/>
      <c r="AD580" s="147"/>
      <c r="AE580" s="147"/>
      <c r="AF580" s="147"/>
      <c r="AG580" s="147"/>
      <c r="AH580" s="147"/>
      <c r="AI580" s="147"/>
      <c r="AJ580" s="147"/>
      <c r="AK580" s="147"/>
      <c r="AL580" s="147"/>
      <c r="AM580" s="147"/>
      <c r="AN580" s="147"/>
      <c r="AO580" s="147"/>
      <c r="AP580" s="147"/>
      <c r="AQ580" s="147"/>
      <c r="AR580" s="147"/>
      <c r="AS580" s="147"/>
    </row>
    <row r="581" spans="1:45" x14ac:dyDescent="0.25">
      <c r="A581" s="147"/>
      <c r="B581" s="147"/>
      <c r="C581" s="160"/>
      <c r="D581" s="160"/>
      <c r="E581" s="161"/>
      <c r="F581" s="162"/>
      <c r="G581" s="163"/>
      <c r="H581" s="163"/>
      <c r="I581" s="164"/>
      <c r="J581" s="162"/>
      <c r="K581" s="165"/>
      <c r="L581" s="166"/>
      <c r="M581" s="167"/>
      <c r="N581" s="167"/>
      <c r="O581" s="168"/>
      <c r="P581" s="168"/>
      <c r="Q581" s="147"/>
      <c r="R581" s="147"/>
      <c r="S581" s="169"/>
      <c r="T581" s="147"/>
      <c r="U581" s="147"/>
      <c r="V581" s="147"/>
      <c r="W581" s="147"/>
      <c r="X581" s="147"/>
      <c r="Y581" s="147"/>
      <c r="Z581" s="147"/>
      <c r="AA581" s="147"/>
      <c r="AB581" s="147"/>
      <c r="AC581" s="147"/>
      <c r="AD581" s="147"/>
      <c r="AE581" s="147"/>
      <c r="AF581" s="147"/>
      <c r="AG581" s="147"/>
      <c r="AH581" s="147"/>
      <c r="AI581" s="147"/>
      <c r="AJ581" s="147"/>
      <c r="AK581" s="147"/>
      <c r="AL581" s="147"/>
      <c r="AM581" s="147"/>
      <c r="AN581" s="147"/>
      <c r="AO581" s="147"/>
      <c r="AP581" s="147"/>
      <c r="AQ581" s="147"/>
      <c r="AR581" s="147"/>
      <c r="AS581" s="147"/>
    </row>
    <row r="582" spans="1:45" x14ac:dyDescent="0.25">
      <c r="A582" s="147"/>
      <c r="B582" s="147"/>
      <c r="C582" s="160"/>
      <c r="D582" s="160"/>
      <c r="E582" s="161"/>
      <c r="F582" s="162"/>
      <c r="G582" s="163"/>
      <c r="H582" s="163"/>
      <c r="I582" s="164"/>
      <c r="J582" s="162"/>
      <c r="K582" s="165"/>
      <c r="L582" s="166"/>
      <c r="M582" s="167"/>
      <c r="N582" s="167"/>
      <c r="O582" s="168"/>
      <c r="P582" s="168"/>
      <c r="Q582" s="147"/>
      <c r="R582" s="147"/>
      <c r="S582" s="169"/>
      <c r="T582" s="147"/>
      <c r="U582" s="147"/>
      <c r="V582" s="147"/>
      <c r="W582" s="147"/>
      <c r="X582" s="147"/>
      <c r="Y582" s="147"/>
      <c r="Z582" s="147"/>
      <c r="AA582" s="147"/>
      <c r="AB582" s="147"/>
      <c r="AC582" s="147"/>
      <c r="AD582" s="147"/>
      <c r="AE582" s="147"/>
      <c r="AF582" s="147"/>
      <c r="AG582" s="147"/>
      <c r="AH582" s="147"/>
      <c r="AI582" s="147"/>
      <c r="AJ582" s="147"/>
      <c r="AK582" s="147"/>
      <c r="AL582" s="147"/>
      <c r="AM582" s="147"/>
      <c r="AN582" s="147"/>
      <c r="AO582" s="147"/>
      <c r="AP582" s="147"/>
      <c r="AQ582" s="147"/>
      <c r="AR582" s="147"/>
      <c r="AS582" s="147"/>
    </row>
    <row r="583" spans="1:45" x14ac:dyDescent="0.25">
      <c r="A583" s="147"/>
      <c r="B583" s="147"/>
      <c r="C583" s="160"/>
      <c r="D583" s="160"/>
      <c r="E583" s="161"/>
      <c r="F583" s="162"/>
      <c r="G583" s="163"/>
      <c r="H583" s="163"/>
      <c r="I583" s="164"/>
      <c r="J583" s="162"/>
      <c r="K583" s="165"/>
      <c r="L583" s="166"/>
      <c r="M583" s="167"/>
      <c r="N583" s="167"/>
      <c r="O583" s="168"/>
      <c r="P583" s="168"/>
      <c r="Q583" s="147"/>
      <c r="R583" s="147"/>
      <c r="S583" s="169"/>
      <c r="T583" s="147"/>
      <c r="U583" s="147"/>
      <c r="V583" s="147"/>
      <c r="W583" s="147"/>
      <c r="X583" s="147"/>
      <c r="Y583" s="147"/>
      <c r="Z583" s="147"/>
      <c r="AA583" s="147"/>
      <c r="AB583" s="147"/>
      <c r="AC583" s="147"/>
      <c r="AD583" s="147"/>
      <c r="AE583" s="147"/>
      <c r="AF583" s="147"/>
      <c r="AG583" s="147"/>
      <c r="AH583" s="147"/>
      <c r="AI583" s="147"/>
      <c r="AJ583" s="147"/>
      <c r="AK583" s="147"/>
      <c r="AL583" s="147"/>
      <c r="AM583" s="147"/>
      <c r="AN583" s="147"/>
      <c r="AO583" s="147"/>
      <c r="AP583" s="147"/>
      <c r="AQ583" s="147"/>
      <c r="AR583" s="147"/>
      <c r="AS583" s="147"/>
    </row>
    <row r="584" spans="1:45" x14ac:dyDescent="0.25">
      <c r="A584" s="147"/>
      <c r="B584" s="147"/>
      <c r="C584" s="160"/>
      <c r="D584" s="160"/>
      <c r="E584" s="161"/>
      <c r="F584" s="162"/>
      <c r="G584" s="163"/>
      <c r="H584" s="163"/>
      <c r="I584" s="164"/>
      <c r="J584" s="162"/>
      <c r="K584" s="165"/>
      <c r="L584" s="166"/>
      <c r="M584" s="167"/>
      <c r="N584" s="167"/>
      <c r="O584" s="168"/>
      <c r="P584" s="168"/>
      <c r="Q584" s="147"/>
      <c r="R584" s="147"/>
      <c r="S584" s="169"/>
      <c r="T584" s="147"/>
      <c r="U584" s="147"/>
      <c r="V584" s="147"/>
      <c r="W584" s="147"/>
      <c r="X584" s="147"/>
      <c r="Y584" s="147"/>
      <c r="Z584" s="147"/>
      <c r="AA584" s="147"/>
      <c r="AB584" s="147"/>
      <c r="AC584" s="147"/>
      <c r="AD584" s="147"/>
      <c r="AE584" s="147"/>
      <c r="AF584" s="147"/>
      <c r="AG584" s="147"/>
      <c r="AH584" s="147"/>
      <c r="AI584" s="147"/>
      <c r="AJ584" s="147"/>
      <c r="AK584" s="147"/>
      <c r="AL584" s="147"/>
      <c r="AM584" s="147"/>
      <c r="AN584" s="147"/>
      <c r="AO584" s="147"/>
      <c r="AP584" s="147"/>
      <c r="AQ584" s="147"/>
      <c r="AR584" s="147"/>
      <c r="AS584" s="147"/>
    </row>
    <row r="585" spans="1:45" x14ac:dyDescent="0.25">
      <c r="A585" s="147"/>
      <c r="B585" s="147"/>
      <c r="C585" s="160"/>
      <c r="D585" s="160"/>
      <c r="E585" s="161"/>
      <c r="F585" s="162"/>
      <c r="G585" s="163"/>
      <c r="H585" s="163"/>
      <c r="I585" s="164"/>
      <c r="J585" s="162"/>
      <c r="K585" s="165"/>
      <c r="L585" s="166"/>
      <c r="M585" s="167"/>
      <c r="N585" s="167"/>
      <c r="O585" s="168"/>
      <c r="P585" s="168"/>
      <c r="Q585" s="147"/>
      <c r="R585" s="147"/>
      <c r="S585" s="169"/>
      <c r="T585" s="147"/>
      <c r="U585" s="147"/>
      <c r="V585" s="147"/>
      <c r="W585" s="147"/>
      <c r="X585" s="147"/>
      <c r="Y585" s="147"/>
      <c r="Z585" s="147"/>
      <c r="AA585" s="147"/>
      <c r="AB585" s="147"/>
      <c r="AC585" s="147"/>
      <c r="AD585" s="147"/>
      <c r="AE585" s="147"/>
      <c r="AF585" s="147"/>
      <c r="AG585" s="147"/>
      <c r="AH585" s="147"/>
      <c r="AI585" s="147"/>
      <c r="AJ585" s="147"/>
      <c r="AK585" s="147"/>
      <c r="AL585" s="147"/>
      <c r="AM585" s="147"/>
      <c r="AN585" s="147"/>
      <c r="AO585" s="147"/>
      <c r="AP585" s="147"/>
      <c r="AQ585" s="147"/>
      <c r="AR585" s="147"/>
      <c r="AS585" s="147"/>
    </row>
    <row r="586" spans="1:45" x14ac:dyDescent="0.25">
      <c r="A586" s="147"/>
      <c r="B586" s="147"/>
      <c r="C586" s="160"/>
      <c r="D586" s="160"/>
      <c r="E586" s="161"/>
      <c r="F586" s="162"/>
      <c r="G586" s="163"/>
      <c r="H586" s="163"/>
      <c r="I586" s="164"/>
      <c r="J586" s="162"/>
      <c r="K586" s="165"/>
      <c r="L586" s="166"/>
      <c r="M586" s="167"/>
      <c r="N586" s="167"/>
      <c r="O586" s="168"/>
      <c r="P586" s="168"/>
      <c r="Q586" s="147"/>
      <c r="R586" s="147"/>
      <c r="S586" s="169"/>
      <c r="T586" s="147"/>
      <c r="U586" s="147"/>
      <c r="V586" s="147"/>
      <c r="W586" s="147"/>
      <c r="X586" s="147"/>
      <c r="Y586" s="147"/>
      <c r="Z586" s="147"/>
      <c r="AA586" s="147"/>
      <c r="AB586" s="147"/>
      <c r="AC586" s="147"/>
      <c r="AD586" s="147"/>
      <c r="AE586" s="147"/>
      <c r="AF586" s="147"/>
      <c r="AG586" s="147"/>
      <c r="AH586" s="147"/>
      <c r="AI586" s="147"/>
      <c r="AJ586" s="147"/>
      <c r="AK586" s="147"/>
      <c r="AL586" s="147"/>
      <c r="AM586" s="147"/>
      <c r="AN586" s="147"/>
      <c r="AO586" s="147"/>
      <c r="AP586" s="147"/>
      <c r="AQ586" s="147"/>
      <c r="AR586" s="147"/>
      <c r="AS586" s="147"/>
    </row>
    <row r="587" spans="1:45" x14ac:dyDescent="0.25">
      <c r="A587" s="147"/>
      <c r="B587" s="147"/>
      <c r="C587" s="160"/>
      <c r="D587" s="160"/>
      <c r="E587" s="161"/>
      <c r="F587" s="162"/>
      <c r="G587" s="163"/>
      <c r="H587" s="163"/>
      <c r="I587" s="164"/>
      <c r="J587" s="162"/>
      <c r="K587" s="165"/>
      <c r="L587" s="166"/>
      <c r="M587" s="167"/>
      <c r="N587" s="167"/>
      <c r="O587" s="168"/>
      <c r="P587" s="168"/>
      <c r="Q587" s="147"/>
      <c r="R587" s="147"/>
      <c r="S587" s="169"/>
      <c r="T587" s="147"/>
      <c r="U587" s="147"/>
      <c r="V587" s="147"/>
      <c r="W587" s="147"/>
      <c r="X587" s="147"/>
      <c r="Y587" s="147"/>
      <c r="Z587" s="147"/>
      <c r="AA587" s="147"/>
      <c r="AB587" s="147"/>
      <c r="AC587" s="147"/>
      <c r="AD587" s="147"/>
      <c r="AE587" s="147"/>
      <c r="AF587" s="147"/>
      <c r="AG587" s="147"/>
      <c r="AH587" s="147"/>
      <c r="AI587" s="147"/>
      <c r="AJ587" s="147"/>
      <c r="AK587" s="147"/>
      <c r="AL587" s="147"/>
      <c r="AM587" s="147"/>
      <c r="AN587" s="147"/>
      <c r="AO587" s="147"/>
      <c r="AP587" s="147"/>
      <c r="AQ587" s="147"/>
      <c r="AR587" s="147"/>
      <c r="AS587" s="147"/>
    </row>
    <row r="588" spans="1:45" x14ac:dyDescent="0.25">
      <c r="A588" s="147"/>
      <c r="B588" s="147"/>
      <c r="C588" s="160"/>
      <c r="D588" s="160"/>
      <c r="E588" s="161"/>
      <c r="F588" s="162"/>
      <c r="G588" s="163"/>
      <c r="H588" s="163"/>
      <c r="I588" s="164"/>
      <c r="J588" s="162"/>
      <c r="K588" s="165"/>
      <c r="L588" s="166"/>
      <c r="M588" s="167"/>
      <c r="N588" s="167"/>
      <c r="O588" s="168"/>
      <c r="P588" s="168"/>
      <c r="Q588" s="147"/>
      <c r="R588" s="147"/>
      <c r="S588" s="169"/>
      <c r="T588" s="147"/>
      <c r="U588" s="147"/>
      <c r="V588" s="147"/>
      <c r="W588" s="147"/>
      <c r="X588" s="147"/>
      <c r="Y588" s="147"/>
      <c r="Z588" s="147"/>
      <c r="AA588" s="147"/>
      <c r="AB588" s="147"/>
      <c r="AC588" s="147"/>
      <c r="AD588" s="147"/>
      <c r="AE588" s="147"/>
      <c r="AF588" s="147"/>
      <c r="AG588" s="147"/>
      <c r="AH588" s="147"/>
      <c r="AI588" s="147"/>
      <c r="AJ588" s="147"/>
      <c r="AK588" s="147"/>
      <c r="AL588" s="147"/>
      <c r="AM588" s="147"/>
      <c r="AN588" s="147"/>
      <c r="AO588" s="147"/>
      <c r="AP588" s="147"/>
      <c r="AQ588" s="147"/>
      <c r="AR588" s="147"/>
      <c r="AS588" s="147"/>
    </row>
    <row r="589" spans="1:45" x14ac:dyDescent="0.25">
      <c r="A589" s="147"/>
      <c r="B589" s="147"/>
      <c r="C589" s="160"/>
      <c r="D589" s="160"/>
      <c r="E589" s="161"/>
      <c r="F589" s="162"/>
      <c r="G589" s="163"/>
      <c r="H589" s="163"/>
      <c r="I589" s="164"/>
      <c r="J589" s="162"/>
      <c r="K589" s="165"/>
      <c r="L589" s="166"/>
      <c r="M589" s="167"/>
      <c r="N589" s="167"/>
      <c r="O589" s="168"/>
      <c r="P589" s="168"/>
      <c r="Q589" s="147"/>
      <c r="R589" s="147"/>
      <c r="S589" s="169"/>
      <c r="T589" s="147"/>
      <c r="U589" s="147"/>
      <c r="V589" s="147"/>
      <c r="W589" s="147"/>
      <c r="X589" s="147"/>
      <c r="Y589" s="147"/>
      <c r="Z589" s="147"/>
      <c r="AA589" s="147"/>
      <c r="AB589" s="147"/>
      <c r="AC589" s="147"/>
      <c r="AD589" s="147"/>
      <c r="AE589" s="147"/>
      <c r="AF589" s="147"/>
      <c r="AG589" s="147"/>
      <c r="AH589" s="147"/>
      <c r="AI589" s="147"/>
      <c r="AJ589" s="147"/>
      <c r="AK589" s="147"/>
      <c r="AL589" s="147"/>
      <c r="AM589" s="147"/>
      <c r="AN589" s="147"/>
      <c r="AO589" s="147"/>
      <c r="AP589" s="147"/>
      <c r="AQ589" s="147"/>
      <c r="AR589" s="147"/>
      <c r="AS589" s="147"/>
    </row>
    <row r="590" spans="1:45" x14ac:dyDescent="0.25">
      <c r="A590" s="147"/>
      <c r="B590" s="147"/>
      <c r="C590" s="160"/>
      <c r="D590" s="160"/>
      <c r="E590" s="161"/>
      <c r="F590" s="162"/>
      <c r="G590" s="163"/>
      <c r="H590" s="163"/>
      <c r="I590" s="164"/>
      <c r="J590" s="162"/>
      <c r="K590" s="165"/>
      <c r="L590" s="166"/>
      <c r="M590" s="167"/>
      <c r="N590" s="167"/>
      <c r="O590" s="168"/>
      <c r="P590" s="168"/>
      <c r="Q590" s="147"/>
      <c r="R590" s="147"/>
      <c r="S590" s="169"/>
      <c r="T590" s="147"/>
      <c r="U590" s="147"/>
      <c r="V590" s="147"/>
      <c r="W590" s="147"/>
      <c r="X590" s="147"/>
      <c r="Y590" s="147"/>
      <c r="Z590" s="147"/>
      <c r="AA590" s="147"/>
      <c r="AB590" s="147"/>
      <c r="AC590" s="147"/>
      <c r="AD590" s="147"/>
      <c r="AE590" s="147"/>
      <c r="AF590" s="147"/>
      <c r="AG590" s="147"/>
      <c r="AH590" s="147"/>
      <c r="AI590" s="147"/>
      <c r="AJ590" s="147"/>
      <c r="AK590" s="147"/>
      <c r="AL590" s="147"/>
      <c r="AM590" s="147"/>
      <c r="AN590" s="147"/>
      <c r="AO590" s="147"/>
      <c r="AP590" s="147"/>
      <c r="AQ590" s="147"/>
      <c r="AR590" s="147"/>
      <c r="AS590" s="147"/>
    </row>
    <row r="591" spans="1:45" x14ac:dyDescent="0.25">
      <c r="A591" s="147"/>
      <c r="B591" s="147"/>
      <c r="C591" s="160"/>
      <c r="D591" s="160"/>
      <c r="E591" s="161"/>
      <c r="F591" s="162"/>
      <c r="G591" s="163"/>
      <c r="H591" s="163"/>
      <c r="I591" s="164"/>
      <c r="J591" s="162"/>
      <c r="K591" s="165"/>
      <c r="L591" s="166"/>
      <c r="M591" s="167"/>
      <c r="N591" s="167"/>
      <c r="O591" s="168"/>
      <c r="P591" s="168"/>
      <c r="Q591" s="147"/>
      <c r="R591" s="147"/>
      <c r="S591" s="169"/>
      <c r="T591" s="147"/>
      <c r="U591" s="147"/>
      <c r="V591" s="147"/>
      <c r="W591" s="147"/>
      <c r="X591" s="147"/>
      <c r="Y591" s="147"/>
      <c r="Z591" s="147"/>
      <c r="AA591" s="147"/>
      <c r="AB591" s="147"/>
      <c r="AC591" s="147"/>
      <c r="AD591" s="147"/>
      <c r="AE591" s="147"/>
      <c r="AF591" s="147"/>
      <c r="AG591" s="147"/>
      <c r="AH591" s="147"/>
      <c r="AI591" s="147"/>
      <c r="AJ591" s="147"/>
      <c r="AK591" s="147"/>
      <c r="AL591" s="147"/>
      <c r="AM591" s="147"/>
      <c r="AN591" s="147"/>
      <c r="AO591" s="147"/>
      <c r="AP591" s="147"/>
      <c r="AQ591" s="147"/>
      <c r="AR591" s="147"/>
      <c r="AS591" s="147"/>
    </row>
    <row r="592" spans="1:45" x14ac:dyDescent="0.25">
      <c r="A592" s="147"/>
      <c r="B592" s="147"/>
      <c r="C592" s="160"/>
      <c r="D592" s="160"/>
      <c r="E592" s="161"/>
      <c r="F592" s="162"/>
      <c r="G592" s="163"/>
      <c r="H592" s="163"/>
      <c r="I592" s="164"/>
      <c r="J592" s="162"/>
      <c r="K592" s="165"/>
      <c r="L592" s="166"/>
      <c r="M592" s="167"/>
      <c r="N592" s="167"/>
      <c r="O592" s="168"/>
      <c r="P592" s="168"/>
      <c r="Q592" s="147"/>
      <c r="R592" s="147"/>
      <c r="S592" s="169"/>
      <c r="T592" s="147"/>
      <c r="U592" s="147"/>
      <c r="V592" s="147"/>
      <c r="W592" s="147"/>
      <c r="X592" s="147"/>
      <c r="Y592" s="147"/>
      <c r="Z592" s="147"/>
      <c r="AA592" s="147"/>
      <c r="AB592" s="147"/>
      <c r="AC592" s="147"/>
      <c r="AD592" s="147"/>
      <c r="AE592" s="147"/>
      <c r="AF592" s="147"/>
      <c r="AG592" s="147"/>
      <c r="AH592" s="147"/>
      <c r="AI592" s="147"/>
      <c r="AJ592" s="147"/>
      <c r="AK592" s="147"/>
      <c r="AL592" s="147"/>
      <c r="AM592" s="147"/>
      <c r="AN592" s="147"/>
      <c r="AO592" s="147"/>
      <c r="AP592" s="147"/>
      <c r="AQ592" s="147"/>
      <c r="AR592" s="147"/>
      <c r="AS592" s="147"/>
    </row>
    <row r="593" spans="1:45" x14ac:dyDescent="0.25">
      <c r="A593" s="147"/>
      <c r="B593" s="147"/>
      <c r="C593" s="160"/>
      <c r="D593" s="160"/>
      <c r="E593" s="161"/>
      <c r="F593" s="162"/>
      <c r="G593" s="163"/>
      <c r="H593" s="163"/>
      <c r="I593" s="164"/>
      <c r="J593" s="162"/>
      <c r="K593" s="165"/>
      <c r="L593" s="166"/>
      <c r="M593" s="167"/>
      <c r="N593" s="167"/>
      <c r="O593" s="168"/>
      <c r="P593" s="168"/>
      <c r="Q593" s="147"/>
      <c r="R593" s="147"/>
      <c r="S593" s="169"/>
      <c r="T593" s="147"/>
      <c r="U593" s="147"/>
      <c r="V593" s="147"/>
      <c r="W593" s="147"/>
      <c r="X593" s="147"/>
      <c r="Y593" s="147"/>
      <c r="Z593" s="147"/>
      <c r="AA593" s="147"/>
      <c r="AB593" s="147"/>
      <c r="AC593" s="147"/>
      <c r="AD593" s="147"/>
      <c r="AE593" s="147"/>
      <c r="AF593" s="147"/>
      <c r="AG593" s="147"/>
      <c r="AH593" s="147"/>
      <c r="AI593" s="147"/>
      <c r="AJ593" s="147"/>
      <c r="AK593" s="147"/>
      <c r="AL593" s="147"/>
      <c r="AM593" s="147"/>
      <c r="AN593" s="147"/>
      <c r="AO593" s="147"/>
      <c r="AP593" s="147"/>
      <c r="AQ593" s="147"/>
      <c r="AR593" s="147"/>
      <c r="AS593" s="147"/>
    </row>
    <row r="594" spans="1:45" x14ac:dyDescent="0.25">
      <c r="A594" s="147"/>
      <c r="B594" s="147"/>
      <c r="C594" s="160"/>
      <c r="D594" s="160"/>
      <c r="E594" s="161"/>
      <c r="F594" s="162"/>
      <c r="G594" s="163"/>
      <c r="H594" s="163"/>
      <c r="I594" s="164"/>
      <c r="J594" s="162"/>
      <c r="K594" s="165"/>
      <c r="L594" s="166"/>
      <c r="M594" s="167"/>
      <c r="N594" s="167"/>
      <c r="O594" s="168"/>
      <c r="P594" s="168"/>
      <c r="Q594" s="147"/>
      <c r="R594" s="147"/>
      <c r="S594" s="169"/>
      <c r="T594" s="147"/>
      <c r="U594" s="147"/>
      <c r="V594" s="147"/>
      <c r="W594" s="147"/>
      <c r="X594" s="147"/>
      <c r="Y594" s="147"/>
      <c r="Z594" s="147"/>
      <c r="AA594" s="147"/>
      <c r="AB594" s="147"/>
      <c r="AC594" s="147"/>
      <c r="AD594" s="147"/>
      <c r="AE594" s="147"/>
      <c r="AF594" s="147"/>
      <c r="AG594" s="147"/>
      <c r="AH594" s="147"/>
      <c r="AI594" s="147"/>
      <c r="AJ594" s="147"/>
      <c r="AK594" s="147"/>
      <c r="AL594" s="147"/>
      <c r="AM594" s="147"/>
      <c r="AN594" s="147"/>
      <c r="AO594" s="147"/>
      <c r="AP594" s="147"/>
      <c r="AQ594" s="147"/>
      <c r="AR594" s="147"/>
      <c r="AS594" s="147"/>
    </row>
    <row r="595" spans="1:45" x14ac:dyDescent="0.25">
      <c r="A595" s="147"/>
      <c r="B595" s="147"/>
      <c r="C595" s="160"/>
      <c r="D595" s="160"/>
      <c r="E595" s="161"/>
      <c r="F595" s="162"/>
      <c r="G595" s="163"/>
      <c r="H595" s="163"/>
      <c r="I595" s="164"/>
      <c r="J595" s="162"/>
      <c r="K595" s="165"/>
      <c r="L595" s="166"/>
      <c r="M595" s="167"/>
      <c r="N595" s="167"/>
      <c r="O595" s="168"/>
      <c r="P595" s="168"/>
      <c r="Q595" s="147"/>
      <c r="R595" s="147"/>
      <c r="S595" s="169"/>
      <c r="T595" s="147"/>
      <c r="U595" s="147"/>
      <c r="V595" s="147"/>
      <c r="W595" s="147"/>
      <c r="X595" s="147"/>
      <c r="Y595" s="147"/>
      <c r="Z595" s="147"/>
      <c r="AA595" s="147"/>
      <c r="AB595" s="147"/>
      <c r="AC595" s="147"/>
      <c r="AD595" s="147"/>
      <c r="AE595" s="147"/>
      <c r="AF595" s="147"/>
      <c r="AG595" s="147"/>
      <c r="AH595" s="147"/>
      <c r="AI595" s="147"/>
      <c r="AJ595" s="147"/>
      <c r="AK595" s="147"/>
      <c r="AL595" s="147"/>
      <c r="AM595" s="147"/>
      <c r="AN595" s="147"/>
      <c r="AO595" s="147"/>
      <c r="AP595" s="147"/>
      <c r="AQ595" s="147"/>
      <c r="AR595" s="147"/>
      <c r="AS595" s="147"/>
    </row>
    <row r="596" spans="1:45" x14ac:dyDescent="0.25">
      <c r="A596" s="147"/>
      <c r="B596" s="147"/>
      <c r="C596" s="160"/>
      <c r="D596" s="160"/>
      <c r="E596" s="161"/>
      <c r="F596" s="162"/>
      <c r="G596" s="163"/>
      <c r="H596" s="163"/>
      <c r="I596" s="164"/>
      <c r="J596" s="162"/>
      <c r="K596" s="165"/>
      <c r="L596" s="166"/>
      <c r="M596" s="167"/>
      <c r="N596" s="167"/>
      <c r="O596" s="168"/>
      <c r="P596" s="168"/>
      <c r="Q596" s="147"/>
      <c r="R596" s="147"/>
      <c r="S596" s="169"/>
      <c r="T596" s="147"/>
      <c r="U596" s="147"/>
      <c r="V596" s="147"/>
      <c r="W596" s="147"/>
      <c r="X596" s="147"/>
      <c r="Y596" s="147"/>
      <c r="Z596" s="147"/>
      <c r="AA596" s="147"/>
      <c r="AB596" s="147"/>
      <c r="AC596" s="147"/>
      <c r="AD596" s="147"/>
      <c r="AE596" s="147"/>
      <c r="AF596" s="147"/>
      <c r="AG596" s="147"/>
      <c r="AH596" s="147"/>
      <c r="AI596" s="147"/>
      <c r="AJ596" s="147"/>
      <c r="AK596" s="147"/>
      <c r="AL596" s="147"/>
      <c r="AM596" s="147"/>
      <c r="AN596" s="147"/>
      <c r="AO596" s="147"/>
      <c r="AP596" s="147"/>
      <c r="AQ596" s="147"/>
      <c r="AR596" s="147"/>
      <c r="AS596" s="147"/>
    </row>
    <row r="597" spans="1:45" x14ac:dyDescent="0.25">
      <c r="A597" s="147"/>
      <c r="B597" s="147"/>
      <c r="C597" s="160"/>
      <c r="D597" s="160"/>
      <c r="E597" s="161"/>
      <c r="F597" s="162"/>
      <c r="G597" s="163"/>
      <c r="H597" s="163"/>
      <c r="I597" s="164"/>
      <c r="J597" s="162"/>
      <c r="K597" s="165"/>
      <c r="L597" s="166"/>
      <c r="M597" s="167"/>
      <c r="N597" s="167"/>
      <c r="O597" s="168"/>
      <c r="P597" s="168"/>
      <c r="Q597" s="147"/>
      <c r="R597" s="147"/>
      <c r="S597" s="169"/>
      <c r="T597" s="147"/>
      <c r="U597" s="147"/>
      <c r="V597" s="147"/>
      <c r="W597" s="147"/>
      <c r="X597" s="147"/>
      <c r="Y597" s="147"/>
      <c r="Z597" s="147"/>
      <c r="AA597" s="147"/>
      <c r="AB597" s="147"/>
      <c r="AC597" s="147"/>
      <c r="AD597" s="147"/>
      <c r="AE597" s="147"/>
      <c r="AF597" s="147"/>
      <c r="AG597" s="147"/>
      <c r="AH597" s="147"/>
      <c r="AI597" s="147"/>
      <c r="AJ597" s="147"/>
      <c r="AK597" s="147"/>
      <c r="AL597" s="147"/>
      <c r="AM597" s="147"/>
      <c r="AN597" s="147"/>
      <c r="AO597" s="147"/>
      <c r="AP597" s="147"/>
      <c r="AQ597" s="147"/>
      <c r="AR597" s="147"/>
      <c r="AS597" s="147"/>
    </row>
    <row r="598" spans="1:45" x14ac:dyDescent="0.25">
      <c r="A598" s="147"/>
      <c r="B598" s="147"/>
      <c r="C598" s="160"/>
      <c r="D598" s="160"/>
      <c r="E598" s="161"/>
      <c r="F598" s="162"/>
      <c r="G598" s="163"/>
      <c r="H598" s="163"/>
      <c r="I598" s="164"/>
      <c r="J598" s="162"/>
      <c r="K598" s="165"/>
      <c r="L598" s="166"/>
      <c r="M598" s="167"/>
      <c r="N598" s="167"/>
      <c r="O598" s="168"/>
      <c r="P598" s="168"/>
      <c r="Q598" s="147"/>
      <c r="R598" s="147"/>
      <c r="S598" s="169"/>
      <c r="T598" s="147"/>
      <c r="U598" s="147"/>
      <c r="V598" s="147"/>
      <c r="W598" s="147"/>
      <c r="X598" s="147"/>
      <c r="Y598" s="147"/>
      <c r="Z598" s="147"/>
      <c r="AA598" s="147"/>
      <c r="AB598" s="147"/>
      <c r="AC598" s="147"/>
      <c r="AD598" s="147"/>
      <c r="AE598" s="147"/>
      <c r="AF598" s="147"/>
      <c r="AG598" s="147"/>
      <c r="AH598" s="147"/>
      <c r="AI598" s="147"/>
      <c r="AJ598" s="147"/>
      <c r="AK598" s="147"/>
      <c r="AL598" s="147"/>
      <c r="AM598" s="147"/>
      <c r="AN598" s="147"/>
      <c r="AO598" s="147"/>
      <c r="AP598" s="147"/>
      <c r="AQ598" s="147"/>
      <c r="AR598" s="147"/>
      <c r="AS598" s="147"/>
    </row>
    <row r="599" spans="1:45" x14ac:dyDescent="0.25">
      <c r="A599" s="147"/>
      <c r="B599" s="147"/>
      <c r="C599" s="160"/>
      <c r="D599" s="160"/>
      <c r="E599" s="161"/>
      <c r="F599" s="162"/>
      <c r="G599" s="163"/>
      <c r="H599" s="163"/>
      <c r="I599" s="164"/>
      <c r="J599" s="162"/>
      <c r="K599" s="165"/>
      <c r="L599" s="166"/>
      <c r="M599" s="167"/>
      <c r="N599" s="167"/>
      <c r="O599" s="168"/>
      <c r="P599" s="168"/>
      <c r="Q599" s="147"/>
      <c r="R599" s="147"/>
      <c r="S599" s="169"/>
      <c r="T599" s="147"/>
      <c r="U599" s="147"/>
      <c r="V599" s="147"/>
      <c r="W599" s="147"/>
      <c r="X599" s="147"/>
      <c r="Y599" s="147"/>
      <c r="Z599" s="147"/>
      <c r="AA599" s="147"/>
      <c r="AB599" s="147"/>
      <c r="AC599" s="147"/>
      <c r="AD599" s="147"/>
      <c r="AE599" s="147"/>
      <c r="AF599" s="147"/>
      <c r="AG599" s="147"/>
      <c r="AH599" s="147"/>
      <c r="AI599" s="147"/>
      <c r="AJ599" s="147"/>
      <c r="AK599" s="147"/>
      <c r="AL599" s="147"/>
      <c r="AM599" s="147"/>
      <c r="AN599" s="147"/>
      <c r="AO599" s="147"/>
      <c r="AP599" s="147"/>
      <c r="AQ599" s="147"/>
      <c r="AR599" s="147"/>
      <c r="AS599" s="147"/>
    </row>
    <row r="600" spans="1:45" x14ac:dyDescent="0.25">
      <c r="A600" s="147"/>
      <c r="B600" s="147"/>
      <c r="C600" s="160"/>
      <c r="D600" s="160"/>
      <c r="E600" s="161"/>
      <c r="F600" s="162"/>
      <c r="G600" s="163"/>
      <c r="H600" s="163"/>
      <c r="I600" s="164"/>
      <c r="J600" s="162"/>
      <c r="K600" s="165"/>
      <c r="L600" s="166"/>
      <c r="M600" s="167"/>
      <c r="N600" s="167"/>
      <c r="O600" s="168"/>
      <c r="P600" s="168"/>
      <c r="Q600" s="147"/>
      <c r="R600" s="147"/>
      <c r="S600" s="169"/>
      <c r="T600" s="147"/>
      <c r="U600" s="147"/>
      <c r="V600" s="147"/>
      <c r="W600" s="147"/>
      <c r="X600" s="147"/>
      <c r="Y600" s="147"/>
      <c r="Z600" s="147"/>
      <c r="AA600" s="147"/>
      <c r="AB600" s="147"/>
      <c r="AC600" s="147"/>
      <c r="AD600" s="147"/>
      <c r="AE600" s="147"/>
      <c r="AF600" s="147"/>
      <c r="AG600" s="147"/>
      <c r="AH600" s="147"/>
      <c r="AI600" s="147"/>
      <c r="AJ600" s="147"/>
      <c r="AK600" s="147"/>
      <c r="AL600" s="147"/>
      <c r="AM600" s="147"/>
      <c r="AN600" s="147"/>
      <c r="AO600" s="147"/>
      <c r="AP600" s="147"/>
      <c r="AQ600" s="147"/>
      <c r="AR600" s="147"/>
      <c r="AS600" s="147"/>
    </row>
    <row r="601" spans="1:45" x14ac:dyDescent="0.25">
      <c r="A601" s="147"/>
      <c r="B601" s="147"/>
      <c r="C601" s="160"/>
      <c r="D601" s="160"/>
      <c r="E601" s="161"/>
      <c r="F601" s="162"/>
      <c r="G601" s="163"/>
      <c r="H601" s="163"/>
      <c r="I601" s="164"/>
      <c r="J601" s="162"/>
      <c r="K601" s="165"/>
      <c r="L601" s="166"/>
      <c r="M601" s="167"/>
      <c r="N601" s="167"/>
      <c r="O601" s="168"/>
      <c r="P601" s="168"/>
      <c r="Q601" s="147"/>
      <c r="R601" s="147"/>
      <c r="S601" s="169"/>
      <c r="T601" s="147"/>
      <c r="U601" s="147"/>
      <c r="V601" s="147"/>
      <c r="W601" s="147"/>
      <c r="X601" s="147"/>
      <c r="Y601" s="147"/>
      <c r="Z601" s="147"/>
      <c r="AA601" s="147"/>
      <c r="AB601" s="147"/>
      <c r="AC601" s="147"/>
      <c r="AD601" s="147"/>
      <c r="AE601" s="147"/>
      <c r="AF601" s="147"/>
      <c r="AG601" s="147"/>
      <c r="AH601" s="147"/>
      <c r="AI601" s="147"/>
      <c r="AJ601" s="147"/>
      <c r="AK601" s="147"/>
      <c r="AL601" s="147"/>
      <c r="AM601" s="147"/>
      <c r="AN601" s="147"/>
      <c r="AO601" s="147"/>
      <c r="AP601" s="147"/>
      <c r="AQ601" s="147"/>
      <c r="AR601" s="147"/>
      <c r="AS601" s="147"/>
    </row>
    <row r="602" spans="1:45" x14ac:dyDescent="0.25">
      <c r="A602" s="147"/>
      <c r="B602" s="147"/>
      <c r="C602" s="160"/>
      <c r="D602" s="160"/>
      <c r="E602" s="161"/>
      <c r="F602" s="162"/>
      <c r="G602" s="163"/>
      <c r="H602" s="163"/>
      <c r="I602" s="164"/>
      <c r="J602" s="162"/>
      <c r="K602" s="165"/>
      <c r="L602" s="166"/>
      <c r="M602" s="167"/>
      <c r="N602" s="167"/>
      <c r="O602" s="168"/>
      <c r="P602" s="168"/>
      <c r="Q602" s="147"/>
      <c r="R602" s="147"/>
      <c r="S602" s="169"/>
      <c r="T602" s="147"/>
      <c r="U602" s="147"/>
      <c r="V602" s="147"/>
      <c r="W602" s="147"/>
      <c r="X602" s="147"/>
      <c r="Y602" s="147"/>
      <c r="Z602" s="147"/>
      <c r="AA602" s="147"/>
      <c r="AB602" s="147"/>
      <c r="AC602" s="147"/>
      <c r="AD602" s="147"/>
      <c r="AE602" s="147"/>
      <c r="AF602" s="147"/>
      <c r="AG602" s="147"/>
      <c r="AH602" s="147"/>
      <c r="AI602" s="147"/>
      <c r="AJ602" s="147"/>
      <c r="AK602" s="147"/>
      <c r="AL602" s="147"/>
      <c r="AM602" s="147"/>
      <c r="AN602" s="147"/>
      <c r="AO602" s="147"/>
      <c r="AP602" s="147"/>
      <c r="AQ602" s="147"/>
      <c r="AR602" s="147"/>
      <c r="AS602" s="147"/>
    </row>
    <row r="603" spans="1:45" x14ac:dyDescent="0.25">
      <c r="A603" s="147"/>
      <c r="B603" s="147"/>
      <c r="C603" s="160"/>
      <c r="D603" s="160"/>
      <c r="E603" s="161"/>
      <c r="F603" s="162"/>
      <c r="G603" s="163"/>
      <c r="H603" s="163"/>
      <c r="I603" s="164"/>
      <c r="J603" s="162"/>
      <c r="K603" s="165"/>
      <c r="L603" s="166"/>
      <c r="M603" s="167"/>
      <c r="N603" s="167"/>
      <c r="O603" s="168"/>
      <c r="P603" s="168"/>
      <c r="Q603" s="147"/>
      <c r="R603" s="147"/>
      <c r="S603" s="169"/>
      <c r="T603" s="147"/>
      <c r="U603" s="147"/>
      <c r="V603" s="147"/>
      <c r="W603" s="147"/>
      <c r="X603" s="147"/>
      <c r="Y603" s="147"/>
      <c r="Z603" s="147"/>
      <c r="AA603" s="147"/>
      <c r="AB603" s="147"/>
      <c r="AC603" s="147"/>
      <c r="AD603" s="147"/>
      <c r="AE603" s="147"/>
      <c r="AF603" s="147"/>
      <c r="AG603" s="147"/>
      <c r="AH603" s="147"/>
      <c r="AI603" s="147"/>
      <c r="AJ603" s="147"/>
      <c r="AK603" s="147"/>
      <c r="AL603" s="147"/>
      <c r="AM603" s="147"/>
      <c r="AN603" s="147"/>
      <c r="AO603" s="147"/>
      <c r="AP603" s="147"/>
      <c r="AQ603" s="147"/>
      <c r="AR603" s="147"/>
      <c r="AS603" s="147"/>
    </row>
    <row r="604" spans="1:45" x14ac:dyDescent="0.25">
      <c r="A604" s="147"/>
      <c r="B604" s="147"/>
      <c r="C604" s="160"/>
      <c r="D604" s="160"/>
      <c r="E604" s="161"/>
      <c r="F604" s="162"/>
      <c r="G604" s="163"/>
      <c r="H604" s="163"/>
      <c r="I604" s="164"/>
      <c r="J604" s="162"/>
      <c r="K604" s="165"/>
      <c r="L604" s="166"/>
      <c r="M604" s="167"/>
      <c r="N604" s="167"/>
      <c r="O604" s="168"/>
      <c r="P604" s="168"/>
      <c r="Q604" s="147"/>
      <c r="R604" s="147"/>
      <c r="S604" s="169"/>
      <c r="T604" s="147"/>
      <c r="U604" s="147"/>
      <c r="V604" s="147"/>
      <c r="W604" s="147"/>
      <c r="X604" s="147"/>
      <c r="Y604" s="147"/>
      <c r="Z604" s="147"/>
      <c r="AA604" s="147"/>
      <c r="AB604" s="147"/>
      <c r="AC604" s="147"/>
      <c r="AD604" s="147"/>
      <c r="AE604" s="147"/>
      <c r="AF604" s="147"/>
      <c r="AG604" s="147"/>
      <c r="AH604" s="147"/>
      <c r="AI604" s="147"/>
      <c r="AJ604" s="147"/>
      <c r="AK604" s="147"/>
      <c r="AL604" s="147"/>
      <c r="AM604" s="147"/>
      <c r="AN604" s="147"/>
      <c r="AO604" s="147"/>
      <c r="AP604" s="147"/>
      <c r="AQ604" s="147"/>
      <c r="AR604" s="147"/>
      <c r="AS604" s="147"/>
    </row>
    <row r="605" spans="1:45" x14ac:dyDescent="0.25">
      <c r="A605" s="147"/>
      <c r="B605" s="147"/>
      <c r="C605" s="160"/>
      <c r="D605" s="160"/>
      <c r="E605" s="161"/>
      <c r="F605" s="162"/>
      <c r="G605" s="163"/>
      <c r="H605" s="163"/>
      <c r="I605" s="164"/>
      <c r="J605" s="162"/>
      <c r="K605" s="165"/>
      <c r="L605" s="166"/>
      <c r="M605" s="167"/>
      <c r="N605" s="167"/>
      <c r="O605" s="168"/>
      <c r="P605" s="168"/>
      <c r="Q605" s="147"/>
      <c r="R605" s="147"/>
      <c r="S605" s="169"/>
      <c r="T605" s="147"/>
      <c r="U605" s="147"/>
      <c r="V605" s="147"/>
      <c r="W605" s="147"/>
      <c r="X605" s="147"/>
      <c r="Y605" s="147"/>
      <c r="Z605" s="147"/>
      <c r="AA605" s="147"/>
      <c r="AB605" s="147"/>
      <c r="AC605" s="147"/>
      <c r="AD605" s="147"/>
      <c r="AE605" s="147"/>
      <c r="AF605" s="147"/>
      <c r="AG605" s="147"/>
      <c r="AH605" s="147"/>
      <c r="AI605" s="147"/>
      <c r="AJ605" s="147"/>
      <c r="AK605" s="147"/>
      <c r="AL605" s="147"/>
      <c r="AM605" s="147"/>
      <c r="AN605" s="147"/>
      <c r="AO605" s="147"/>
      <c r="AP605" s="147"/>
      <c r="AQ605" s="147"/>
      <c r="AR605" s="147"/>
      <c r="AS605" s="147"/>
    </row>
    <row r="606" spans="1:45" x14ac:dyDescent="0.25">
      <c r="A606" s="147"/>
      <c r="B606" s="147"/>
      <c r="C606" s="160"/>
      <c r="D606" s="160"/>
      <c r="E606" s="161"/>
      <c r="F606" s="162"/>
      <c r="G606" s="163"/>
      <c r="H606" s="163"/>
      <c r="I606" s="164"/>
      <c r="J606" s="162"/>
      <c r="K606" s="165"/>
      <c r="L606" s="166"/>
      <c r="M606" s="167"/>
      <c r="N606" s="167"/>
      <c r="O606" s="168"/>
      <c r="P606" s="168"/>
      <c r="Q606" s="147"/>
      <c r="R606" s="147"/>
      <c r="S606" s="169"/>
      <c r="T606" s="147"/>
      <c r="U606" s="147"/>
      <c r="V606" s="147"/>
      <c r="W606" s="147"/>
      <c r="X606" s="147"/>
      <c r="Y606" s="147"/>
      <c r="Z606" s="147"/>
      <c r="AA606" s="147"/>
      <c r="AB606" s="147"/>
      <c r="AC606" s="147"/>
      <c r="AD606" s="147"/>
      <c r="AE606" s="147"/>
      <c r="AF606" s="147"/>
      <c r="AG606" s="147"/>
      <c r="AH606" s="147"/>
      <c r="AI606" s="147"/>
      <c r="AJ606" s="147"/>
      <c r="AK606" s="147"/>
      <c r="AL606" s="147"/>
      <c r="AM606" s="147"/>
      <c r="AN606" s="147"/>
      <c r="AO606" s="147"/>
      <c r="AP606" s="147"/>
      <c r="AQ606" s="147"/>
      <c r="AR606" s="147"/>
      <c r="AS606" s="147"/>
    </row>
    <row r="607" spans="1:45" x14ac:dyDescent="0.25">
      <c r="A607" s="147"/>
      <c r="B607" s="147"/>
      <c r="C607" s="160"/>
      <c r="D607" s="160"/>
      <c r="E607" s="161"/>
      <c r="F607" s="162"/>
      <c r="G607" s="163"/>
      <c r="H607" s="163"/>
      <c r="I607" s="164"/>
      <c r="J607" s="162"/>
      <c r="K607" s="165"/>
      <c r="L607" s="166"/>
      <c r="M607" s="167"/>
      <c r="N607" s="167"/>
      <c r="O607" s="168"/>
      <c r="P607" s="168"/>
      <c r="Q607" s="147"/>
      <c r="R607" s="147"/>
      <c r="S607" s="169"/>
      <c r="T607" s="147"/>
      <c r="U607" s="147"/>
      <c r="V607" s="147"/>
      <c r="W607" s="147"/>
      <c r="X607" s="147"/>
      <c r="Y607" s="147"/>
      <c r="Z607" s="147"/>
      <c r="AA607" s="147"/>
      <c r="AB607" s="147"/>
      <c r="AC607" s="147"/>
      <c r="AD607" s="147"/>
      <c r="AE607" s="147"/>
      <c r="AF607" s="147"/>
      <c r="AG607" s="147"/>
      <c r="AH607" s="147"/>
      <c r="AI607" s="147"/>
      <c r="AJ607" s="147"/>
      <c r="AK607" s="147"/>
      <c r="AL607" s="147"/>
      <c r="AM607" s="147"/>
      <c r="AN607" s="147"/>
      <c r="AO607" s="147"/>
      <c r="AP607" s="147"/>
      <c r="AQ607" s="147"/>
      <c r="AR607" s="147"/>
      <c r="AS607" s="147"/>
    </row>
    <row r="608" spans="1:45" x14ac:dyDescent="0.25">
      <c r="A608" s="147"/>
      <c r="B608" s="147"/>
      <c r="C608" s="160"/>
      <c r="D608" s="160"/>
      <c r="E608" s="161"/>
      <c r="F608" s="162"/>
      <c r="G608" s="163"/>
      <c r="H608" s="163"/>
      <c r="I608" s="164"/>
      <c r="J608" s="162"/>
      <c r="K608" s="165"/>
      <c r="L608" s="166"/>
      <c r="M608" s="167"/>
      <c r="N608" s="167"/>
      <c r="O608" s="168"/>
      <c r="P608" s="168"/>
      <c r="Q608" s="147"/>
      <c r="R608" s="147"/>
      <c r="S608" s="169"/>
      <c r="T608" s="147"/>
      <c r="U608" s="147"/>
      <c r="V608" s="147"/>
      <c r="W608" s="147"/>
      <c r="X608" s="147"/>
      <c r="Y608" s="147"/>
      <c r="Z608" s="147"/>
      <c r="AA608" s="147"/>
      <c r="AB608" s="147"/>
      <c r="AC608" s="147"/>
      <c r="AD608" s="147"/>
      <c r="AE608" s="147"/>
      <c r="AF608" s="147"/>
      <c r="AG608" s="147"/>
      <c r="AH608" s="147"/>
      <c r="AI608" s="147"/>
      <c r="AJ608" s="147"/>
      <c r="AK608" s="147"/>
      <c r="AL608" s="147"/>
      <c r="AM608" s="147"/>
      <c r="AN608" s="147"/>
      <c r="AO608" s="147"/>
      <c r="AP608" s="147"/>
      <c r="AQ608" s="147"/>
      <c r="AR608" s="147"/>
      <c r="AS608" s="147"/>
    </row>
    <row r="609" spans="1:45" x14ac:dyDescent="0.25">
      <c r="A609" s="147"/>
      <c r="B609" s="147"/>
      <c r="C609" s="160"/>
      <c r="D609" s="160"/>
      <c r="E609" s="161"/>
      <c r="F609" s="162"/>
      <c r="G609" s="163"/>
      <c r="H609" s="163"/>
      <c r="I609" s="164"/>
      <c r="J609" s="162"/>
      <c r="K609" s="165"/>
      <c r="L609" s="166"/>
      <c r="M609" s="167"/>
      <c r="N609" s="167"/>
      <c r="O609" s="168"/>
      <c r="P609" s="168"/>
      <c r="Q609" s="147"/>
      <c r="R609" s="147"/>
      <c r="S609" s="169"/>
      <c r="T609" s="147"/>
      <c r="U609" s="147"/>
      <c r="V609" s="147"/>
      <c r="W609" s="147"/>
      <c r="X609" s="147"/>
      <c r="Y609" s="147"/>
      <c r="Z609" s="147"/>
      <c r="AA609" s="147"/>
      <c r="AB609" s="147"/>
      <c r="AC609" s="147"/>
      <c r="AD609" s="147"/>
      <c r="AE609" s="147"/>
      <c r="AF609" s="147"/>
      <c r="AG609" s="147"/>
      <c r="AH609" s="147"/>
      <c r="AI609" s="147"/>
      <c r="AJ609" s="147"/>
      <c r="AK609" s="147"/>
      <c r="AL609" s="147"/>
      <c r="AM609" s="147"/>
      <c r="AN609" s="147"/>
      <c r="AO609" s="147"/>
      <c r="AP609" s="147"/>
      <c r="AQ609" s="147"/>
      <c r="AR609" s="147"/>
      <c r="AS609" s="147"/>
    </row>
    <row r="610" spans="1:45" x14ac:dyDescent="0.25">
      <c r="A610" s="147"/>
      <c r="B610" s="147"/>
      <c r="C610" s="160"/>
      <c r="D610" s="160"/>
      <c r="E610" s="161"/>
      <c r="F610" s="162"/>
      <c r="G610" s="163"/>
      <c r="H610" s="163"/>
      <c r="I610" s="164"/>
      <c r="J610" s="162"/>
      <c r="K610" s="165"/>
      <c r="L610" s="166"/>
      <c r="M610" s="167"/>
      <c r="N610" s="167"/>
      <c r="O610" s="168"/>
      <c r="P610" s="168"/>
      <c r="Q610" s="147"/>
      <c r="R610" s="147"/>
      <c r="S610" s="169"/>
      <c r="T610" s="147"/>
      <c r="U610" s="147"/>
      <c r="V610" s="147"/>
      <c r="W610" s="147"/>
      <c r="X610" s="147"/>
      <c r="Y610" s="147"/>
      <c r="Z610" s="147"/>
      <c r="AA610" s="147"/>
      <c r="AB610" s="147"/>
      <c r="AC610" s="147"/>
      <c r="AD610" s="147"/>
      <c r="AE610" s="147"/>
      <c r="AF610" s="147"/>
      <c r="AG610" s="147"/>
      <c r="AH610" s="147"/>
      <c r="AI610" s="147"/>
      <c r="AJ610" s="147"/>
      <c r="AK610" s="147"/>
      <c r="AL610" s="147"/>
      <c r="AM610" s="147"/>
      <c r="AN610" s="147"/>
      <c r="AO610" s="147"/>
      <c r="AP610" s="147"/>
      <c r="AQ610" s="147"/>
      <c r="AR610" s="147"/>
      <c r="AS610" s="147"/>
    </row>
    <row r="611" spans="1:45" x14ac:dyDescent="0.25">
      <c r="A611" s="147"/>
      <c r="B611" s="147"/>
      <c r="C611" s="160"/>
      <c r="D611" s="160"/>
      <c r="E611" s="161"/>
      <c r="F611" s="162"/>
      <c r="G611" s="163"/>
      <c r="H611" s="163"/>
      <c r="I611" s="164"/>
      <c r="J611" s="162"/>
      <c r="K611" s="165"/>
      <c r="L611" s="166"/>
      <c r="M611" s="167"/>
      <c r="N611" s="167"/>
      <c r="O611" s="168"/>
      <c r="P611" s="168"/>
      <c r="Q611" s="147"/>
      <c r="R611" s="147"/>
      <c r="S611" s="169"/>
      <c r="T611" s="147"/>
      <c r="U611" s="147"/>
      <c r="V611" s="147"/>
      <c r="W611" s="147"/>
      <c r="X611" s="147"/>
      <c r="Y611" s="147"/>
      <c r="Z611" s="147"/>
      <c r="AA611" s="147"/>
      <c r="AB611" s="147"/>
      <c r="AC611" s="147"/>
      <c r="AD611" s="147"/>
      <c r="AE611" s="147"/>
      <c r="AF611" s="147"/>
      <c r="AG611" s="147"/>
      <c r="AH611" s="147"/>
      <c r="AI611" s="147"/>
      <c r="AJ611" s="147"/>
      <c r="AK611" s="147"/>
      <c r="AL611" s="147"/>
      <c r="AM611" s="147"/>
      <c r="AN611" s="147"/>
      <c r="AO611" s="147"/>
      <c r="AP611" s="147"/>
      <c r="AQ611" s="147"/>
      <c r="AR611" s="147"/>
      <c r="AS611" s="147"/>
    </row>
    <row r="612" spans="1:45" x14ac:dyDescent="0.25">
      <c r="A612" s="147"/>
      <c r="B612" s="147"/>
      <c r="C612" s="160"/>
      <c r="D612" s="160"/>
      <c r="E612" s="161"/>
      <c r="F612" s="162"/>
      <c r="G612" s="163"/>
      <c r="H612" s="163"/>
      <c r="I612" s="164"/>
      <c r="J612" s="162"/>
      <c r="K612" s="165"/>
      <c r="L612" s="166"/>
      <c r="M612" s="167"/>
      <c r="N612" s="167"/>
      <c r="O612" s="168"/>
      <c r="P612" s="168"/>
      <c r="Q612" s="147"/>
      <c r="R612" s="147"/>
      <c r="S612" s="169"/>
      <c r="T612" s="147"/>
      <c r="U612" s="147"/>
      <c r="V612" s="147"/>
      <c r="W612" s="147"/>
      <c r="X612" s="147"/>
      <c r="Y612" s="147"/>
      <c r="Z612" s="147"/>
      <c r="AA612" s="147"/>
      <c r="AB612" s="147"/>
      <c r="AC612" s="147"/>
      <c r="AD612" s="147"/>
      <c r="AE612" s="147"/>
      <c r="AF612" s="147"/>
      <c r="AG612" s="147"/>
      <c r="AH612" s="147"/>
      <c r="AI612" s="147"/>
      <c r="AJ612" s="147"/>
      <c r="AK612" s="147"/>
      <c r="AL612" s="147"/>
      <c r="AM612" s="147"/>
      <c r="AN612" s="147"/>
      <c r="AO612" s="147"/>
      <c r="AP612" s="147"/>
      <c r="AQ612" s="147"/>
      <c r="AR612" s="147"/>
      <c r="AS612" s="147"/>
    </row>
    <row r="613" spans="1:45" x14ac:dyDescent="0.25">
      <c r="A613" s="147"/>
      <c r="B613" s="147"/>
      <c r="C613" s="160"/>
      <c r="D613" s="160"/>
      <c r="E613" s="161"/>
      <c r="F613" s="162"/>
      <c r="G613" s="163"/>
      <c r="H613" s="163"/>
      <c r="I613" s="164"/>
      <c r="J613" s="162"/>
      <c r="K613" s="165"/>
      <c r="L613" s="166"/>
      <c r="M613" s="167"/>
      <c r="N613" s="167"/>
      <c r="O613" s="168"/>
      <c r="P613" s="168"/>
      <c r="Q613" s="147"/>
      <c r="R613" s="147"/>
      <c r="S613" s="169"/>
      <c r="T613" s="147"/>
      <c r="U613" s="147"/>
      <c r="V613" s="147"/>
      <c r="W613" s="147"/>
      <c r="X613" s="147"/>
      <c r="Y613" s="147"/>
      <c r="Z613" s="147"/>
      <c r="AA613" s="147"/>
      <c r="AB613" s="147"/>
      <c r="AC613" s="147"/>
      <c r="AD613" s="147"/>
      <c r="AE613" s="147"/>
      <c r="AF613" s="147"/>
      <c r="AG613" s="147"/>
      <c r="AH613" s="147"/>
      <c r="AI613" s="147"/>
      <c r="AJ613" s="147"/>
      <c r="AK613" s="147"/>
      <c r="AL613" s="147"/>
      <c r="AM613" s="147"/>
      <c r="AN613" s="147"/>
      <c r="AO613" s="147"/>
      <c r="AP613" s="147"/>
      <c r="AQ613" s="147"/>
      <c r="AR613" s="147"/>
      <c r="AS613" s="147"/>
    </row>
    <row r="614" spans="1:45" x14ac:dyDescent="0.25">
      <c r="A614" s="147"/>
      <c r="B614" s="147"/>
      <c r="C614" s="160"/>
      <c r="D614" s="160"/>
      <c r="E614" s="161"/>
      <c r="F614" s="162"/>
      <c r="G614" s="163"/>
      <c r="H614" s="163"/>
      <c r="I614" s="164"/>
      <c r="J614" s="162"/>
      <c r="K614" s="165"/>
      <c r="L614" s="166"/>
      <c r="M614" s="167"/>
      <c r="N614" s="167"/>
      <c r="O614" s="168"/>
      <c r="P614" s="168"/>
      <c r="Q614" s="147"/>
      <c r="R614" s="147"/>
      <c r="S614" s="169"/>
      <c r="T614" s="147"/>
      <c r="U614" s="147"/>
      <c r="V614" s="147"/>
      <c r="W614" s="147"/>
      <c r="X614" s="147"/>
      <c r="Y614" s="147"/>
      <c r="Z614" s="147"/>
      <c r="AA614" s="147"/>
      <c r="AB614" s="147"/>
      <c r="AC614" s="147"/>
      <c r="AD614" s="147"/>
      <c r="AE614" s="147"/>
      <c r="AF614" s="147"/>
      <c r="AG614" s="147"/>
      <c r="AH614" s="147"/>
      <c r="AI614" s="147"/>
      <c r="AJ614" s="147"/>
      <c r="AK614" s="147"/>
      <c r="AL614" s="147"/>
      <c r="AM614" s="147"/>
      <c r="AN614" s="147"/>
      <c r="AO614" s="147"/>
      <c r="AP614" s="147"/>
      <c r="AQ614" s="147"/>
      <c r="AR614" s="147"/>
      <c r="AS614" s="147"/>
    </row>
    <row r="615" spans="1:45" x14ac:dyDescent="0.25">
      <c r="A615" s="147"/>
      <c r="B615" s="147"/>
      <c r="C615" s="160"/>
      <c r="D615" s="160"/>
      <c r="E615" s="161"/>
      <c r="F615" s="162"/>
      <c r="G615" s="163"/>
      <c r="H615" s="163"/>
      <c r="I615" s="164"/>
      <c r="J615" s="162"/>
      <c r="K615" s="165"/>
      <c r="L615" s="166"/>
      <c r="M615" s="167"/>
      <c r="N615" s="167"/>
      <c r="O615" s="168"/>
      <c r="P615" s="168"/>
      <c r="Q615" s="147"/>
      <c r="R615" s="147"/>
      <c r="S615" s="169"/>
      <c r="T615" s="147"/>
      <c r="U615" s="147"/>
      <c r="V615" s="147"/>
      <c r="W615" s="147"/>
      <c r="X615" s="147"/>
      <c r="Y615" s="147"/>
      <c r="Z615" s="147"/>
      <c r="AA615" s="147"/>
      <c r="AB615" s="147"/>
      <c r="AC615" s="147"/>
      <c r="AD615" s="147"/>
      <c r="AE615" s="147"/>
      <c r="AF615" s="147"/>
      <c r="AG615" s="147"/>
      <c r="AH615" s="147"/>
      <c r="AI615" s="147"/>
      <c r="AJ615" s="147"/>
      <c r="AK615" s="147"/>
      <c r="AL615" s="147"/>
      <c r="AM615" s="147"/>
      <c r="AN615" s="147"/>
      <c r="AO615" s="147"/>
      <c r="AP615" s="147"/>
      <c r="AQ615" s="147"/>
      <c r="AR615" s="147"/>
      <c r="AS615" s="147"/>
    </row>
    <row r="616" spans="1:45" x14ac:dyDescent="0.25">
      <c r="A616" s="147"/>
      <c r="B616" s="147"/>
      <c r="C616" s="160"/>
      <c r="D616" s="160"/>
      <c r="E616" s="161"/>
      <c r="F616" s="162"/>
      <c r="G616" s="163"/>
      <c r="H616" s="163"/>
      <c r="I616" s="164"/>
      <c r="J616" s="162"/>
      <c r="K616" s="165"/>
      <c r="L616" s="166"/>
      <c r="M616" s="167"/>
      <c r="N616" s="167"/>
      <c r="O616" s="168"/>
      <c r="P616" s="168"/>
      <c r="Q616" s="147"/>
      <c r="R616" s="147"/>
      <c r="S616" s="169"/>
      <c r="T616" s="147"/>
      <c r="U616" s="147"/>
      <c r="V616" s="147"/>
      <c r="W616" s="147"/>
      <c r="X616" s="147"/>
      <c r="Y616" s="147"/>
      <c r="Z616" s="147"/>
      <c r="AA616" s="147"/>
      <c r="AB616" s="147"/>
      <c r="AC616" s="147"/>
      <c r="AD616" s="147"/>
      <c r="AE616" s="147"/>
      <c r="AF616" s="147"/>
      <c r="AG616" s="147"/>
      <c r="AH616" s="147"/>
      <c r="AI616" s="147"/>
      <c r="AJ616" s="147"/>
      <c r="AK616" s="147"/>
      <c r="AL616" s="147"/>
      <c r="AM616" s="147"/>
      <c r="AN616" s="147"/>
      <c r="AO616" s="147"/>
      <c r="AP616" s="147"/>
      <c r="AQ616" s="147"/>
      <c r="AR616" s="147"/>
      <c r="AS616" s="147"/>
    </row>
    <row r="617" spans="1:45" x14ac:dyDescent="0.25">
      <c r="A617" s="147"/>
      <c r="B617" s="147"/>
      <c r="C617" s="160"/>
      <c r="D617" s="160"/>
      <c r="E617" s="161"/>
      <c r="F617" s="162"/>
      <c r="G617" s="163"/>
      <c r="H617" s="163"/>
      <c r="I617" s="164"/>
      <c r="J617" s="162"/>
      <c r="K617" s="165"/>
      <c r="L617" s="166"/>
      <c r="M617" s="167"/>
      <c r="N617" s="167"/>
      <c r="O617" s="168"/>
      <c r="P617" s="168"/>
      <c r="Q617" s="147"/>
      <c r="R617" s="147"/>
      <c r="S617" s="169"/>
      <c r="T617" s="147"/>
      <c r="U617" s="147"/>
      <c r="V617" s="147"/>
      <c r="W617" s="147"/>
      <c r="X617" s="147"/>
      <c r="Y617" s="147"/>
      <c r="Z617" s="147"/>
      <c r="AA617" s="147"/>
      <c r="AB617" s="147"/>
      <c r="AC617" s="147"/>
      <c r="AD617" s="147"/>
      <c r="AE617" s="147"/>
      <c r="AF617" s="147"/>
      <c r="AG617" s="147"/>
      <c r="AH617" s="147"/>
      <c r="AI617" s="147"/>
      <c r="AJ617" s="147"/>
      <c r="AK617" s="147"/>
      <c r="AL617" s="147"/>
      <c r="AM617" s="147"/>
      <c r="AN617" s="147"/>
      <c r="AO617" s="147"/>
      <c r="AP617" s="147"/>
      <c r="AQ617" s="147"/>
      <c r="AR617" s="147"/>
      <c r="AS617" s="147"/>
    </row>
    <row r="618" spans="1:45" x14ac:dyDescent="0.25">
      <c r="A618" s="147"/>
      <c r="B618" s="147"/>
      <c r="C618" s="160"/>
      <c r="D618" s="160"/>
      <c r="E618" s="161"/>
      <c r="F618" s="162"/>
      <c r="G618" s="163"/>
      <c r="H618" s="163"/>
      <c r="I618" s="164"/>
      <c r="J618" s="162"/>
      <c r="K618" s="165"/>
      <c r="L618" s="166"/>
      <c r="M618" s="167"/>
      <c r="N618" s="167"/>
      <c r="O618" s="168"/>
      <c r="P618" s="168"/>
      <c r="Q618" s="147"/>
      <c r="R618" s="147"/>
      <c r="S618" s="169"/>
      <c r="T618" s="147"/>
      <c r="U618" s="147"/>
      <c r="V618" s="147"/>
      <c r="W618" s="147"/>
      <c r="X618" s="147"/>
      <c r="Y618" s="147"/>
      <c r="Z618" s="147"/>
      <c r="AA618" s="147"/>
      <c r="AB618" s="147"/>
      <c r="AC618" s="147"/>
      <c r="AD618" s="147"/>
      <c r="AE618" s="147"/>
      <c r="AF618" s="147"/>
      <c r="AG618" s="147"/>
      <c r="AH618" s="147"/>
      <c r="AI618" s="147"/>
      <c r="AJ618" s="147"/>
      <c r="AK618" s="147"/>
      <c r="AL618" s="147"/>
      <c r="AM618" s="147"/>
      <c r="AN618" s="147"/>
      <c r="AO618" s="147"/>
      <c r="AP618" s="147"/>
      <c r="AQ618" s="147"/>
      <c r="AR618" s="147"/>
      <c r="AS618" s="147"/>
    </row>
    <row r="619" spans="1:45" x14ac:dyDescent="0.25">
      <c r="A619" s="147"/>
      <c r="B619" s="147"/>
      <c r="C619" s="160"/>
      <c r="D619" s="160"/>
      <c r="E619" s="161"/>
      <c r="F619" s="162"/>
      <c r="G619" s="163"/>
      <c r="H619" s="163"/>
      <c r="I619" s="164"/>
      <c r="J619" s="162"/>
      <c r="K619" s="165"/>
      <c r="L619" s="166"/>
      <c r="M619" s="167"/>
      <c r="N619" s="167"/>
      <c r="O619" s="168"/>
      <c r="P619" s="168"/>
      <c r="Q619" s="147"/>
      <c r="R619" s="147"/>
      <c r="S619" s="169"/>
      <c r="T619" s="147"/>
      <c r="U619" s="147"/>
      <c r="V619" s="147"/>
      <c r="W619" s="147"/>
      <c r="X619" s="147"/>
      <c r="Y619" s="147"/>
      <c r="Z619" s="147"/>
      <c r="AA619" s="147"/>
      <c r="AB619" s="147"/>
      <c r="AC619" s="147"/>
      <c r="AD619" s="147"/>
      <c r="AE619" s="147"/>
      <c r="AF619" s="147"/>
      <c r="AG619" s="147"/>
      <c r="AH619" s="147"/>
      <c r="AI619" s="147"/>
      <c r="AJ619" s="147"/>
      <c r="AK619" s="147"/>
      <c r="AL619" s="147"/>
      <c r="AM619" s="147"/>
      <c r="AN619" s="147"/>
      <c r="AO619" s="147"/>
      <c r="AP619" s="147"/>
      <c r="AQ619" s="147"/>
      <c r="AR619" s="147"/>
      <c r="AS619" s="147"/>
    </row>
    <row r="620" spans="1:45" x14ac:dyDescent="0.25">
      <c r="A620" s="147"/>
      <c r="B620" s="147"/>
      <c r="C620" s="160"/>
      <c r="D620" s="160"/>
      <c r="E620" s="161"/>
      <c r="F620" s="162"/>
      <c r="G620" s="163"/>
      <c r="H620" s="163"/>
      <c r="I620" s="164"/>
      <c r="J620" s="162"/>
      <c r="K620" s="165"/>
      <c r="L620" s="166"/>
      <c r="M620" s="167"/>
      <c r="N620" s="167"/>
      <c r="O620" s="168"/>
      <c r="P620" s="168"/>
      <c r="Q620" s="147"/>
      <c r="R620" s="147"/>
      <c r="S620" s="169"/>
      <c r="T620" s="147"/>
      <c r="U620" s="147"/>
      <c r="V620" s="147"/>
      <c r="W620" s="147"/>
      <c r="X620" s="147"/>
      <c r="Y620" s="147"/>
      <c r="Z620" s="147"/>
      <c r="AA620" s="147"/>
      <c r="AB620" s="147"/>
      <c r="AC620" s="147"/>
      <c r="AD620" s="147"/>
      <c r="AE620" s="147"/>
      <c r="AF620" s="147"/>
      <c r="AG620" s="147"/>
      <c r="AH620" s="147"/>
      <c r="AI620" s="147"/>
      <c r="AJ620" s="147"/>
      <c r="AK620" s="147"/>
      <c r="AL620" s="147"/>
      <c r="AM620" s="147"/>
      <c r="AN620" s="147"/>
      <c r="AO620" s="147"/>
      <c r="AP620" s="147"/>
      <c r="AQ620" s="147"/>
      <c r="AR620" s="147"/>
      <c r="AS620" s="147"/>
    </row>
    <row r="621" spans="1:45" x14ac:dyDescent="0.25">
      <c r="A621" s="147"/>
      <c r="B621" s="147"/>
      <c r="C621" s="160"/>
      <c r="D621" s="160"/>
      <c r="E621" s="161"/>
      <c r="F621" s="162"/>
      <c r="G621" s="163"/>
      <c r="H621" s="163"/>
      <c r="I621" s="164"/>
      <c r="J621" s="162"/>
      <c r="K621" s="165"/>
      <c r="L621" s="166"/>
      <c r="M621" s="167"/>
      <c r="N621" s="167"/>
      <c r="O621" s="168"/>
      <c r="P621" s="168"/>
      <c r="Q621" s="147"/>
      <c r="R621" s="147"/>
      <c r="S621" s="169"/>
      <c r="T621" s="147"/>
      <c r="U621" s="147"/>
      <c r="V621" s="147"/>
      <c r="W621" s="147"/>
      <c r="X621" s="147"/>
      <c r="Y621" s="147"/>
      <c r="Z621" s="147"/>
      <c r="AA621" s="147"/>
      <c r="AB621" s="147"/>
      <c r="AC621" s="147"/>
      <c r="AD621" s="147"/>
      <c r="AE621" s="147"/>
      <c r="AF621" s="147"/>
      <c r="AG621" s="147"/>
      <c r="AH621" s="147"/>
      <c r="AI621" s="147"/>
      <c r="AJ621" s="147"/>
      <c r="AK621" s="147"/>
      <c r="AL621" s="147"/>
      <c r="AM621" s="147"/>
      <c r="AN621" s="147"/>
      <c r="AO621" s="147"/>
      <c r="AP621" s="147"/>
      <c r="AQ621" s="147"/>
      <c r="AR621" s="147"/>
      <c r="AS621" s="147"/>
    </row>
    <row r="622" spans="1:45" x14ac:dyDescent="0.25">
      <c r="A622" s="147"/>
      <c r="B622" s="147"/>
      <c r="C622" s="160"/>
      <c r="D622" s="160"/>
      <c r="E622" s="161"/>
      <c r="F622" s="162"/>
      <c r="G622" s="163"/>
      <c r="H622" s="163"/>
      <c r="I622" s="164"/>
      <c r="J622" s="162"/>
      <c r="K622" s="165"/>
      <c r="L622" s="166"/>
      <c r="M622" s="167"/>
      <c r="N622" s="167"/>
      <c r="O622" s="168"/>
      <c r="P622" s="168"/>
      <c r="Q622" s="147"/>
      <c r="R622" s="147"/>
      <c r="S622" s="169"/>
      <c r="T622" s="147"/>
      <c r="U622" s="147"/>
      <c r="V622" s="147"/>
      <c r="W622" s="147"/>
      <c r="X622" s="147"/>
      <c r="Y622" s="147"/>
      <c r="Z622" s="147"/>
      <c r="AA622" s="147"/>
      <c r="AB622" s="147"/>
      <c r="AC622" s="147"/>
      <c r="AD622" s="147"/>
      <c r="AE622" s="147"/>
      <c r="AF622" s="147"/>
      <c r="AG622" s="147"/>
      <c r="AH622" s="147"/>
      <c r="AI622" s="147"/>
      <c r="AJ622" s="147"/>
      <c r="AK622" s="147"/>
      <c r="AL622" s="147"/>
      <c r="AM622" s="147"/>
      <c r="AN622" s="147"/>
      <c r="AO622" s="147"/>
      <c r="AP622" s="147"/>
      <c r="AQ622" s="147"/>
      <c r="AR622" s="147"/>
      <c r="AS622" s="147"/>
    </row>
    <row r="623" spans="1:45" x14ac:dyDescent="0.25">
      <c r="A623" s="147"/>
      <c r="B623" s="147"/>
      <c r="C623" s="160"/>
      <c r="D623" s="160"/>
      <c r="E623" s="161"/>
      <c r="F623" s="162"/>
      <c r="G623" s="163"/>
      <c r="H623" s="163"/>
      <c r="I623" s="164"/>
      <c r="J623" s="162"/>
      <c r="K623" s="165"/>
      <c r="L623" s="166"/>
      <c r="M623" s="167"/>
      <c r="N623" s="167"/>
      <c r="O623" s="168"/>
      <c r="P623" s="168"/>
      <c r="Q623" s="147"/>
      <c r="R623" s="147"/>
      <c r="S623" s="169"/>
      <c r="T623" s="147"/>
      <c r="U623" s="147"/>
      <c r="V623" s="147"/>
      <c r="W623" s="147"/>
      <c r="X623" s="147"/>
      <c r="Y623" s="147"/>
      <c r="Z623" s="147"/>
      <c r="AA623" s="147"/>
      <c r="AB623" s="147"/>
      <c r="AC623" s="147"/>
      <c r="AD623" s="147"/>
      <c r="AE623" s="147"/>
      <c r="AF623" s="147"/>
      <c r="AG623" s="147"/>
      <c r="AH623" s="147"/>
      <c r="AI623" s="147"/>
      <c r="AJ623" s="147"/>
      <c r="AK623" s="147"/>
      <c r="AL623" s="147"/>
      <c r="AM623" s="147"/>
      <c r="AN623" s="147"/>
      <c r="AO623" s="147"/>
      <c r="AP623" s="147"/>
      <c r="AQ623" s="147"/>
      <c r="AR623" s="147"/>
      <c r="AS623" s="147"/>
    </row>
    <row r="624" spans="1:45" x14ac:dyDescent="0.25">
      <c r="A624" s="147"/>
      <c r="B624" s="147"/>
      <c r="C624" s="160"/>
      <c r="D624" s="160"/>
      <c r="E624" s="161"/>
      <c r="F624" s="162"/>
      <c r="G624" s="163"/>
      <c r="H624" s="163"/>
      <c r="I624" s="164"/>
      <c r="J624" s="162"/>
      <c r="K624" s="165"/>
      <c r="L624" s="166"/>
      <c r="M624" s="167"/>
      <c r="N624" s="167"/>
      <c r="O624" s="168"/>
      <c r="P624" s="168"/>
      <c r="Q624" s="147"/>
      <c r="R624" s="147"/>
      <c r="S624" s="169"/>
      <c r="T624" s="147"/>
      <c r="U624" s="147"/>
      <c r="V624" s="147"/>
      <c r="W624" s="147"/>
      <c r="X624" s="147"/>
      <c r="Y624" s="147"/>
      <c r="Z624" s="147"/>
      <c r="AA624" s="147"/>
      <c r="AB624" s="147"/>
      <c r="AC624" s="147"/>
      <c r="AD624" s="147"/>
      <c r="AE624" s="147"/>
      <c r="AF624" s="147"/>
      <c r="AG624" s="147"/>
      <c r="AH624" s="147"/>
      <c r="AI624" s="147"/>
      <c r="AJ624" s="147"/>
      <c r="AK624" s="147"/>
      <c r="AL624" s="147"/>
      <c r="AM624" s="147"/>
      <c r="AN624" s="147"/>
      <c r="AO624" s="147"/>
      <c r="AP624" s="147"/>
      <c r="AQ624" s="147"/>
      <c r="AR624" s="147"/>
      <c r="AS624" s="147"/>
    </row>
    <row r="625" spans="1:45" x14ac:dyDescent="0.25">
      <c r="A625" s="147"/>
      <c r="B625" s="147"/>
      <c r="C625" s="160"/>
      <c r="D625" s="160"/>
      <c r="E625" s="161"/>
      <c r="F625" s="162"/>
      <c r="G625" s="163"/>
      <c r="H625" s="163"/>
      <c r="I625" s="164"/>
      <c r="J625" s="162"/>
      <c r="K625" s="165"/>
      <c r="L625" s="166"/>
      <c r="M625" s="167"/>
      <c r="N625" s="167"/>
      <c r="O625" s="168"/>
      <c r="P625" s="168"/>
      <c r="Q625" s="147"/>
      <c r="R625" s="147"/>
      <c r="S625" s="169"/>
      <c r="T625" s="147"/>
      <c r="U625" s="147"/>
      <c r="V625" s="147"/>
      <c r="W625" s="147"/>
      <c r="X625" s="147"/>
      <c r="Y625" s="147"/>
      <c r="Z625" s="147"/>
      <c r="AA625" s="147"/>
      <c r="AB625" s="147"/>
      <c r="AC625" s="147"/>
      <c r="AD625" s="147"/>
      <c r="AE625" s="147"/>
      <c r="AF625" s="147"/>
      <c r="AG625" s="147"/>
      <c r="AH625" s="147"/>
      <c r="AI625" s="147"/>
      <c r="AJ625" s="147"/>
      <c r="AK625" s="147"/>
      <c r="AL625" s="147"/>
      <c r="AM625" s="147"/>
      <c r="AN625" s="147"/>
      <c r="AO625" s="147"/>
      <c r="AP625" s="147"/>
      <c r="AQ625" s="147"/>
      <c r="AR625" s="147"/>
      <c r="AS625" s="147"/>
    </row>
    <row r="626" spans="1:45" x14ac:dyDescent="0.25">
      <c r="A626" s="147"/>
      <c r="B626" s="147"/>
      <c r="C626" s="160"/>
      <c r="D626" s="160"/>
      <c r="E626" s="161"/>
      <c r="F626" s="162"/>
      <c r="G626" s="163"/>
      <c r="H626" s="163"/>
      <c r="I626" s="164"/>
      <c r="J626" s="162"/>
      <c r="K626" s="165"/>
      <c r="L626" s="166"/>
      <c r="M626" s="167"/>
      <c r="N626" s="167"/>
      <c r="O626" s="168"/>
      <c r="P626" s="168"/>
      <c r="Q626" s="147"/>
      <c r="R626" s="147"/>
      <c r="S626" s="169"/>
      <c r="T626" s="147"/>
      <c r="U626" s="147"/>
      <c r="V626" s="147"/>
      <c r="W626" s="147"/>
      <c r="X626" s="147"/>
      <c r="Y626" s="147"/>
      <c r="Z626" s="147"/>
      <c r="AA626" s="147"/>
      <c r="AB626" s="147"/>
      <c r="AC626" s="147"/>
      <c r="AD626" s="147"/>
      <c r="AE626" s="147"/>
      <c r="AF626" s="147"/>
      <c r="AG626" s="147"/>
      <c r="AH626" s="147"/>
      <c r="AI626" s="147"/>
      <c r="AJ626" s="147"/>
      <c r="AK626" s="147"/>
      <c r="AL626" s="147"/>
      <c r="AM626" s="147"/>
      <c r="AN626" s="147"/>
      <c r="AO626" s="147"/>
      <c r="AP626" s="147"/>
      <c r="AQ626" s="147"/>
      <c r="AR626" s="147"/>
      <c r="AS626" s="147"/>
    </row>
    <row r="627" spans="1:45" x14ac:dyDescent="0.25">
      <c r="A627" s="147"/>
      <c r="B627" s="147"/>
      <c r="C627" s="160"/>
      <c r="D627" s="160"/>
      <c r="E627" s="161"/>
      <c r="F627" s="162"/>
      <c r="G627" s="163"/>
      <c r="H627" s="163"/>
      <c r="I627" s="164"/>
      <c r="J627" s="162"/>
      <c r="K627" s="165"/>
      <c r="L627" s="166"/>
      <c r="M627" s="167"/>
      <c r="N627" s="167"/>
      <c r="O627" s="168"/>
      <c r="P627" s="168"/>
      <c r="Q627" s="147"/>
      <c r="R627" s="147"/>
      <c r="S627" s="169"/>
      <c r="T627" s="147"/>
      <c r="U627" s="147"/>
      <c r="V627" s="147"/>
      <c r="W627" s="147"/>
      <c r="X627" s="147"/>
      <c r="Y627" s="147"/>
      <c r="Z627" s="147"/>
      <c r="AA627" s="147"/>
      <c r="AB627" s="147"/>
      <c r="AC627" s="147"/>
      <c r="AD627" s="147"/>
      <c r="AE627" s="147"/>
      <c r="AF627" s="147"/>
      <c r="AG627" s="147"/>
      <c r="AH627" s="147"/>
      <c r="AI627" s="147"/>
      <c r="AJ627" s="147"/>
      <c r="AK627" s="147"/>
      <c r="AL627" s="147"/>
      <c r="AM627" s="147"/>
      <c r="AN627" s="147"/>
      <c r="AO627" s="147"/>
      <c r="AP627" s="147"/>
      <c r="AQ627" s="147"/>
      <c r="AR627" s="147"/>
      <c r="AS627" s="147"/>
    </row>
    <row r="628" spans="1:45" x14ac:dyDescent="0.25">
      <c r="A628" s="147"/>
      <c r="B628" s="147"/>
      <c r="C628" s="160"/>
      <c r="D628" s="160"/>
      <c r="E628" s="161"/>
      <c r="F628" s="162"/>
      <c r="G628" s="163"/>
      <c r="H628" s="163"/>
      <c r="I628" s="164"/>
      <c r="J628" s="162"/>
      <c r="K628" s="165"/>
      <c r="L628" s="166"/>
      <c r="M628" s="167"/>
      <c r="N628" s="167"/>
      <c r="O628" s="168"/>
      <c r="P628" s="168"/>
      <c r="Q628" s="147"/>
      <c r="R628" s="147"/>
      <c r="S628" s="169"/>
      <c r="T628" s="147"/>
      <c r="U628" s="147"/>
      <c r="V628" s="147"/>
      <c r="W628" s="147"/>
      <c r="X628" s="147"/>
      <c r="Y628" s="147"/>
      <c r="Z628" s="147"/>
      <c r="AA628" s="147"/>
      <c r="AB628" s="147"/>
      <c r="AC628" s="147"/>
      <c r="AD628" s="147"/>
      <c r="AE628" s="147"/>
      <c r="AF628" s="147"/>
      <c r="AG628" s="147"/>
      <c r="AH628" s="147"/>
      <c r="AI628" s="147"/>
      <c r="AJ628" s="147"/>
      <c r="AK628" s="147"/>
      <c r="AL628" s="147"/>
      <c r="AM628" s="147"/>
      <c r="AN628" s="147"/>
      <c r="AO628" s="147"/>
      <c r="AP628" s="147"/>
      <c r="AQ628" s="147"/>
      <c r="AR628" s="147"/>
      <c r="AS628" s="147"/>
    </row>
    <row r="629" spans="1:45" x14ac:dyDescent="0.25">
      <c r="A629" s="147"/>
      <c r="B629" s="147"/>
      <c r="C629" s="160"/>
      <c r="D629" s="160"/>
      <c r="E629" s="161"/>
      <c r="F629" s="162"/>
      <c r="G629" s="163"/>
      <c r="H629" s="163"/>
      <c r="I629" s="164"/>
      <c r="J629" s="162"/>
      <c r="K629" s="165"/>
      <c r="L629" s="166"/>
      <c r="M629" s="167"/>
      <c r="N629" s="167"/>
      <c r="O629" s="168"/>
      <c r="P629" s="168"/>
      <c r="Q629" s="147"/>
      <c r="R629" s="147"/>
      <c r="S629" s="169"/>
      <c r="T629" s="147"/>
      <c r="U629" s="147"/>
      <c r="V629" s="147"/>
      <c r="W629" s="147"/>
      <c r="X629" s="147"/>
      <c r="Y629" s="147"/>
      <c r="Z629" s="147"/>
      <c r="AA629" s="147"/>
      <c r="AB629" s="147"/>
      <c r="AC629" s="147"/>
      <c r="AD629" s="147"/>
      <c r="AE629" s="147"/>
      <c r="AF629" s="147"/>
      <c r="AG629" s="147"/>
      <c r="AH629" s="147"/>
      <c r="AI629" s="147"/>
      <c r="AJ629" s="147"/>
      <c r="AK629" s="147"/>
      <c r="AL629" s="147"/>
      <c r="AM629" s="147"/>
      <c r="AN629" s="147"/>
      <c r="AO629" s="147"/>
      <c r="AP629" s="147"/>
      <c r="AQ629" s="147"/>
      <c r="AR629" s="147"/>
      <c r="AS629" s="147"/>
    </row>
    <row r="630" spans="1:45" x14ac:dyDescent="0.25">
      <c r="A630" s="147"/>
      <c r="B630" s="147"/>
      <c r="C630" s="160"/>
      <c r="D630" s="160"/>
      <c r="E630" s="161"/>
      <c r="F630" s="162"/>
      <c r="G630" s="163"/>
      <c r="H630" s="163"/>
      <c r="I630" s="164"/>
      <c r="J630" s="162"/>
      <c r="K630" s="165"/>
      <c r="L630" s="166"/>
      <c r="M630" s="167"/>
      <c r="N630" s="167"/>
      <c r="O630" s="168"/>
      <c r="P630" s="168"/>
      <c r="Q630" s="147"/>
      <c r="R630" s="147"/>
      <c r="S630" s="169"/>
      <c r="T630" s="147"/>
      <c r="U630" s="147"/>
      <c r="V630" s="147"/>
      <c r="W630" s="147"/>
      <c r="X630" s="147"/>
      <c r="Y630" s="147"/>
      <c r="Z630" s="147"/>
      <c r="AA630" s="147"/>
      <c r="AB630" s="147"/>
      <c r="AC630" s="147"/>
      <c r="AD630" s="147"/>
      <c r="AE630" s="147"/>
      <c r="AF630" s="147"/>
      <c r="AG630" s="147"/>
      <c r="AH630" s="147"/>
      <c r="AI630" s="147"/>
      <c r="AJ630" s="147"/>
      <c r="AK630" s="147"/>
      <c r="AL630" s="147"/>
      <c r="AM630" s="147"/>
      <c r="AN630" s="147"/>
      <c r="AO630" s="147"/>
      <c r="AP630" s="147"/>
      <c r="AQ630" s="147"/>
      <c r="AR630" s="147"/>
      <c r="AS630" s="147"/>
    </row>
    <row r="631" spans="1:45" x14ac:dyDescent="0.25">
      <c r="A631" s="147"/>
      <c r="B631" s="147"/>
      <c r="C631" s="160"/>
      <c r="D631" s="160"/>
      <c r="E631" s="161"/>
      <c r="F631" s="162"/>
      <c r="G631" s="163"/>
      <c r="H631" s="163"/>
      <c r="I631" s="164"/>
      <c r="J631" s="162"/>
      <c r="K631" s="165"/>
      <c r="L631" s="166"/>
      <c r="M631" s="167"/>
      <c r="N631" s="167"/>
      <c r="O631" s="168"/>
      <c r="P631" s="168"/>
      <c r="Q631" s="147"/>
      <c r="R631" s="147"/>
      <c r="S631" s="169"/>
      <c r="T631" s="147"/>
      <c r="U631" s="147"/>
      <c r="V631" s="147"/>
      <c r="W631" s="147"/>
      <c r="X631" s="147"/>
      <c r="Y631" s="147"/>
      <c r="Z631" s="147"/>
      <c r="AA631" s="147"/>
      <c r="AB631" s="147"/>
      <c r="AC631" s="147"/>
      <c r="AD631" s="147"/>
      <c r="AE631" s="147"/>
      <c r="AF631" s="147"/>
      <c r="AG631" s="147"/>
      <c r="AH631" s="147"/>
      <c r="AI631" s="147"/>
      <c r="AJ631" s="147"/>
      <c r="AK631" s="147"/>
      <c r="AL631" s="147"/>
      <c r="AM631" s="147"/>
      <c r="AN631" s="147"/>
      <c r="AO631" s="147"/>
      <c r="AP631" s="147"/>
      <c r="AQ631" s="147"/>
      <c r="AR631" s="147"/>
      <c r="AS631" s="147"/>
    </row>
    <row r="632" spans="1:45" x14ac:dyDescent="0.25">
      <c r="A632" s="147"/>
      <c r="B632" s="147"/>
      <c r="C632" s="160"/>
      <c r="D632" s="160"/>
      <c r="E632" s="161"/>
      <c r="F632" s="162"/>
      <c r="G632" s="163"/>
      <c r="H632" s="163"/>
      <c r="I632" s="164"/>
      <c r="J632" s="162"/>
      <c r="K632" s="165"/>
      <c r="L632" s="166"/>
      <c r="M632" s="167"/>
      <c r="N632" s="167"/>
      <c r="O632" s="168"/>
      <c r="P632" s="168"/>
      <c r="Q632" s="147"/>
      <c r="R632" s="147"/>
      <c r="S632" s="169"/>
      <c r="T632" s="147"/>
      <c r="U632" s="147"/>
      <c r="V632" s="147"/>
      <c r="W632" s="147"/>
      <c r="X632" s="147"/>
      <c r="Y632" s="147"/>
      <c r="Z632" s="147"/>
      <c r="AA632" s="147"/>
      <c r="AB632" s="147"/>
      <c r="AC632" s="147"/>
      <c r="AD632" s="147"/>
      <c r="AE632" s="147"/>
      <c r="AF632" s="147"/>
      <c r="AG632" s="147"/>
      <c r="AH632" s="147"/>
      <c r="AI632" s="147"/>
      <c r="AJ632" s="147"/>
      <c r="AK632" s="147"/>
      <c r="AL632" s="147"/>
      <c r="AM632" s="147"/>
      <c r="AN632" s="147"/>
      <c r="AO632" s="147"/>
      <c r="AP632" s="147"/>
      <c r="AQ632" s="147"/>
      <c r="AR632" s="147"/>
      <c r="AS632" s="147"/>
    </row>
    <row r="633" spans="1:45" x14ac:dyDescent="0.25">
      <c r="A633" s="147"/>
      <c r="B633" s="147"/>
      <c r="C633" s="160"/>
      <c r="D633" s="160"/>
      <c r="E633" s="161"/>
      <c r="F633" s="162"/>
      <c r="G633" s="163"/>
      <c r="H633" s="163"/>
      <c r="I633" s="164"/>
      <c r="J633" s="162"/>
      <c r="K633" s="165"/>
      <c r="L633" s="166"/>
      <c r="M633" s="167"/>
      <c r="N633" s="167"/>
      <c r="O633" s="168"/>
      <c r="P633" s="168"/>
      <c r="Q633" s="147"/>
      <c r="R633" s="147"/>
      <c r="S633" s="169"/>
      <c r="T633" s="147"/>
      <c r="U633" s="147"/>
      <c r="V633" s="147"/>
      <c r="W633" s="147"/>
      <c r="X633" s="147"/>
      <c r="Y633" s="147"/>
      <c r="Z633" s="147"/>
      <c r="AA633" s="147"/>
      <c r="AB633" s="147"/>
      <c r="AC633" s="147"/>
      <c r="AD633" s="147"/>
      <c r="AE633" s="147"/>
      <c r="AF633" s="147"/>
      <c r="AG633" s="147"/>
      <c r="AH633" s="147"/>
      <c r="AI633" s="147"/>
      <c r="AJ633" s="147"/>
      <c r="AK633" s="147"/>
      <c r="AL633" s="147"/>
      <c r="AM633" s="147"/>
      <c r="AN633" s="147"/>
      <c r="AO633" s="147"/>
      <c r="AP633" s="147"/>
      <c r="AQ633" s="147"/>
      <c r="AR633" s="147"/>
      <c r="AS633" s="147"/>
    </row>
    <row r="634" spans="1:45" x14ac:dyDescent="0.25">
      <c r="A634" s="147"/>
      <c r="B634" s="147"/>
      <c r="C634" s="160"/>
      <c r="D634" s="160"/>
      <c r="E634" s="161"/>
      <c r="F634" s="162"/>
      <c r="G634" s="163"/>
      <c r="H634" s="163"/>
      <c r="I634" s="164"/>
      <c r="J634" s="162"/>
      <c r="K634" s="165"/>
      <c r="L634" s="166"/>
      <c r="M634" s="167"/>
      <c r="N634" s="167"/>
      <c r="O634" s="168"/>
      <c r="P634" s="168"/>
      <c r="Q634" s="147"/>
      <c r="R634" s="147"/>
      <c r="S634" s="169"/>
      <c r="T634" s="147"/>
      <c r="U634" s="147"/>
      <c r="V634" s="147"/>
      <c r="W634" s="147"/>
      <c r="X634" s="147"/>
      <c r="Y634" s="147"/>
      <c r="Z634" s="147"/>
      <c r="AA634" s="147"/>
      <c r="AB634" s="147"/>
      <c r="AC634" s="147"/>
      <c r="AD634" s="147"/>
      <c r="AE634" s="147"/>
      <c r="AF634" s="147"/>
      <c r="AG634" s="147"/>
      <c r="AH634" s="147"/>
      <c r="AI634" s="147"/>
      <c r="AJ634" s="147"/>
      <c r="AK634" s="147"/>
      <c r="AL634" s="147"/>
      <c r="AM634" s="147"/>
      <c r="AN634" s="147"/>
      <c r="AO634" s="147"/>
      <c r="AP634" s="147"/>
      <c r="AQ634" s="147"/>
      <c r="AR634" s="147"/>
      <c r="AS634" s="147"/>
    </row>
    <row r="635" spans="1:45" x14ac:dyDescent="0.25">
      <c r="A635" s="147"/>
      <c r="B635" s="147"/>
      <c r="C635" s="160"/>
      <c r="D635" s="160"/>
      <c r="E635" s="161"/>
      <c r="F635" s="162"/>
      <c r="G635" s="163"/>
      <c r="H635" s="163"/>
      <c r="I635" s="164"/>
      <c r="J635" s="162"/>
      <c r="K635" s="165"/>
      <c r="L635" s="166"/>
      <c r="M635" s="167"/>
      <c r="N635" s="167"/>
      <c r="O635" s="168"/>
      <c r="P635" s="168"/>
      <c r="Q635" s="147"/>
      <c r="R635" s="147"/>
      <c r="S635" s="169"/>
      <c r="T635" s="147"/>
      <c r="U635" s="147"/>
      <c r="V635" s="147"/>
      <c r="W635" s="147"/>
      <c r="X635" s="147"/>
      <c r="Y635" s="147"/>
      <c r="Z635" s="147"/>
      <c r="AA635" s="147"/>
      <c r="AB635" s="147"/>
      <c r="AC635" s="147"/>
      <c r="AD635" s="147"/>
      <c r="AE635" s="147"/>
      <c r="AF635" s="147"/>
      <c r="AG635" s="147"/>
      <c r="AH635" s="147"/>
      <c r="AI635" s="147"/>
      <c r="AJ635" s="147"/>
      <c r="AK635" s="147"/>
      <c r="AL635" s="147"/>
      <c r="AM635" s="147"/>
      <c r="AN635" s="147"/>
      <c r="AO635" s="147"/>
      <c r="AP635" s="147"/>
      <c r="AQ635" s="147"/>
      <c r="AR635" s="147"/>
      <c r="AS635" s="147"/>
    </row>
    <row r="636" spans="1:45" x14ac:dyDescent="0.25">
      <c r="A636" s="147"/>
      <c r="B636" s="147"/>
      <c r="C636" s="160"/>
      <c r="D636" s="160"/>
      <c r="E636" s="161"/>
      <c r="F636" s="162"/>
      <c r="G636" s="163"/>
      <c r="H636" s="163"/>
      <c r="I636" s="164"/>
      <c r="J636" s="162"/>
      <c r="K636" s="165"/>
      <c r="L636" s="166"/>
      <c r="M636" s="167"/>
      <c r="N636" s="167"/>
      <c r="O636" s="168"/>
      <c r="P636" s="168"/>
      <c r="Q636" s="147"/>
      <c r="R636" s="147"/>
      <c r="S636" s="169"/>
      <c r="T636" s="147"/>
      <c r="U636" s="147"/>
      <c r="V636" s="147"/>
      <c r="W636" s="147"/>
      <c r="X636" s="147"/>
      <c r="Y636" s="147"/>
      <c r="Z636" s="147"/>
      <c r="AA636" s="147"/>
      <c r="AB636" s="147"/>
      <c r="AC636" s="147"/>
      <c r="AD636" s="147"/>
      <c r="AE636" s="147"/>
      <c r="AF636" s="147"/>
      <c r="AG636" s="147"/>
      <c r="AH636" s="147"/>
      <c r="AI636" s="147"/>
      <c r="AJ636" s="147"/>
      <c r="AK636" s="147"/>
      <c r="AL636" s="147"/>
      <c r="AM636" s="147"/>
      <c r="AN636" s="147"/>
      <c r="AO636" s="147"/>
      <c r="AP636" s="147"/>
      <c r="AQ636" s="147"/>
      <c r="AR636" s="147"/>
      <c r="AS636" s="147"/>
    </row>
    <row r="637" spans="1:45" x14ac:dyDescent="0.25">
      <c r="A637" s="147"/>
      <c r="B637" s="147"/>
      <c r="C637" s="160"/>
      <c r="D637" s="160"/>
      <c r="E637" s="161"/>
      <c r="F637" s="162"/>
      <c r="G637" s="163"/>
      <c r="H637" s="163"/>
      <c r="I637" s="164"/>
      <c r="J637" s="162"/>
      <c r="K637" s="165"/>
      <c r="L637" s="166"/>
      <c r="M637" s="167"/>
      <c r="N637" s="167"/>
      <c r="O637" s="168"/>
      <c r="P637" s="168"/>
      <c r="Q637" s="147"/>
      <c r="R637" s="147"/>
      <c r="S637" s="169"/>
      <c r="T637" s="147"/>
      <c r="U637" s="147"/>
      <c r="V637" s="147"/>
      <c r="W637" s="147"/>
      <c r="X637" s="147"/>
      <c r="Y637" s="147"/>
      <c r="Z637" s="147"/>
      <c r="AA637" s="147"/>
      <c r="AB637" s="147"/>
      <c r="AC637" s="147"/>
      <c r="AD637" s="147"/>
      <c r="AE637" s="147"/>
      <c r="AF637" s="147"/>
      <c r="AG637" s="147"/>
      <c r="AH637" s="147"/>
      <c r="AI637" s="147"/>
      <c r="AJ637" s="147"/>
      <c r="AK637" s="147"/>
      <c r="AL637" s="147"/>
      <c r="AM637" s="147"/>
      <c r="AN637" s="147"/>
      <c r="AO637" s="147"/>
      <c r="AP637" s="147"/>
      <c r="AQ637" s="147"/>
      <c r="AR637" s="147"/>
      <c r="AS637" s="147"/>
    </row>
    <row r="638" spans="1:45" x14ac:dyDescent="0.25">
      <c r="A638" s="147"/>
      <c r="B638" s="147"/>
      <c r="C638" s="160"/>
      <c r="D638" s="160"/>
      <c r="E638" s="161"/>
      <c r="F638" s="162"/>
      <c r="G638" s="163"/>
      <c r="H638" s="163"/>
      <c r="I638" s="164"/>
      <c r="J638" s="162"/>
      <c r="K638" s="165"/>
      <c r="L638" s="166"/>
      <c r="M638" s="167"/>
      <c r="N638" s="167"/>
      <c r="O638" s="168"/>
      <c r="P638" s="168"/>
      <c r="Q638" s="147"/>
      <c r="R638" s="147"/>
      <c r="S638" s="169"/>
      <c r="T638" s="147"/>
      <c r="U638" s="147"/>
      <c r="V638" s="147"/>
      <c r="W638" s="147"/>
      <c r="X638" s="147"/>
      <c r="Y638" s="147"/>
      <c r="Z638" s="147"/>
      <c r="AA638" s="147"/>
      <c r="AB638" s="147"/>
      <c r="AC638" s="147"/>
      <c r="AD638" s="147"/>
      <c r="AE638" s="147"/>
      <c r="AF638" s="147"/>
      <c r="AG638" s="147"/>
      <c r="AH638" s="147"/>
      <c r="AI638" s="147"/>
      <c r="AJ638" s="147"/>
      <c r="AK638" s="147"/>
      <c r="AL638" s="147"/>
      <c r="AM638" s="147"/>
      <c r="AN638" s="147"/>
      <c r="AO638" s="147"/>
      <c r="AP638" s="147"/>
      <c r="AQ638" s="147"/>
      <c r="AR638" s="147"/>
      <c r="AS638" s="147"/>
    </row>
    <row r="639" spans="1:45" x14ac:dyDescent="0.25">
      <c r="A639" s="147"/>
      <c r="B639" s="147"/>
      <c r="C639" s="160"/>
      <c r="D639" s="160"/>
      <c r="E639" s="161"/>
      <c r="F639" s="162"/>
      <c r="G639" s="163"/>
      <c r="H639" s="163"/>
      <c r="I639" s="164"/>
      <c r="J639" s="162"/>
      <c r="K639" s="165"/>
      <c r="L639" s="166"/>
      <c r="M639" s="167"/>
      <c r="N639" s="167"/>
      <c r="O639" s="168"/>
      <c r="P639" s="168"/>
      <c r="Q639" s="147"/>
      <c r="R639" s="147"/>
      <c r="S639" s="169"/>
      <c r="T639" s="147"/>
      <c r="U639" s="147"/>
      <c r="V639" s="147"/>
      <c r="W639" s="147"/>
      <c r="X639" s="147"/>
      <c r="Y639" s="147"/>
      <c r="Z639" s="147"/>
      <c r="AA639" s="147"/>
      <c r="AB639" s="147"/>
      <c r="AC639" s="147"/>
      <c r="AD639" s="147"/>
      <c r="AE639" s="147"/>
      <c r="AF639" s="147"/>
      <c r="AG639" s="147"/>
      <c r="AH639" s="147"/>
      <c r="AI639" s="147"/>
      <c r="AJ639" s="147"/>
      <c r="AK639" s="147"/>
      <c r="AL639" s="147"/>
      <c r="AM639" s="147"/>
      <c r="AN639" s="147"/>
      <c r="AO639" s="147"/>
      <c r="AP639" s="147"/>
      <c r="AQ639" s="147"/>
      <c r="AR639" s="147"/>
      <c r="AS639" s="147"/>
    </row>
    <row r="640" spans="1:45" x14ac:dyDescent="0.25">
      <c r="A640" s="147"/>
      <c r="B640" s="147"/>
      <c r="C640" s="160"/>
      <c r="D640" s="160"/>
      <c r="E640" s="161"/>
      <c r="F640" s="162"/>
      <c r="G640" s="163"/>
      <c r="H640" s="163"/>
      <c r="I640" s="164"/>
      <c r="J640" s="162"/>
      <c r="K640" s="165"/>
      <c r="L640" s="166"/>
      <c r="M640" s="167"/>
      <c r="N640" s="167"/>
      <c r="O640" s="168"/>
      <c r="P640" s="168"/>
      <c r="Q640" s="147"/>
      <c r="R640" s="147"/>
      <c r="S640" s="169"/>
      <c r="T640" s="147"/>
      <c r="U640" s="147"/>
      <c r="V640" s="147"/>
      <c r="W640" s="147"/>
      <c r="X640" s="147"/>
      <c r="Y640" s="147"/>
      <c r="Z640" s="147"/>
      <c r="AA640" s="147"/>
      <c r="AB640" s="147"/>
      <c r="AC640" s="147"/>
      <c r="AD640" s="147"/>
      <c r="AE640" s="147"/>
      <c r="AF640" s="147"/>
      <c r="AG640" s="147"/>
      <c r="AH640" s="147"/>
      <c r="AI640" s="147"/>
      <c r="AJ640" s="147"/>
      <c r="AK640" s="147"/>
      <c r="AL640" s="147"/>
      <c r="AM640" s="147"/>
      <c r="AN640" s="147"/>
      <c r="AO640" s="147"/>
      <c r="AP640" s="147"/>
      <c r="AQ640" s="147"/>
      <c r="AR640" s="147"/>
      <c r="AS640" s="147"/>
    </row>
    <row r="641" spans="1:45" x14ac:dyDescent="0.25">
      <c r="A641" s="147"/>
      <c r="B641" s="147"/>
      <c r="C641" s="160"/>
      <c r="D641" s="160"/>
      <c r="E641" s="161"/>
      <c r="F641" s="162"/>
      <c r="G641" s="163"/>
      <c r="H641" s="163"/>
      <c r="I641" s="164"/>
      <c r="J641" s="162"/>
      <c r="K641" s="165"/>
      <c r="L641" s="166"/>
      <c r="M641" s="167"/>
      <c r="N641" s="167"/>
      <c r="O641" s="168"/>
      <c r="P641" s="168"/>
      <c r="Q641" s="147"/>
      <c r="R641" s="147"/>
      <c r="S641" s="169"/>
      <c r="T641" s="147"/>
      <c r="U641" s="147"/>
      <c r="V641" s="147"/>
      <c r="W641" s="147"/>
      <c r="X641" s="147"/>
      <c r="Y641" s="147"/>
      <c r="Z641" s="147"/>
      <c r="AA641" s="147"/>
      <c r="AB641" s="147"/>
      <c r="AC641" s="147"/>
      <c r="AD641" s="147"/>
      <c r="AE641" s="147"/>
      <c r="AF641" s="147"/>
      <c r="AG641" s="147"/>
      <c r="AH641" s="147"/>
      <c r="AI641" s="147"/>
      <c r="AJ641" s="147"/>
      <c r="AK641" s="147"/>
      <c r="AL641" s="147"/>
      <c r="AM641" s="147"/>
      <c r="AN641" s="147"/>
      <c r="AO641" s="147"/>
      <c r="AP641" s="147"/>
      <c r="AQ641" s="147"/>
      <c r="AR641" s="147"/>
      <c r="AS641" s="147"/>
    </row>
    <row r="642" spans="1:45" x14ac:dyDescent="0.25">
      <c r="A642" s="147"/>
      <c r="B642" s="147"/>
      <c r="C642" s="160"/>
      <c r="D642" s="160"/>
      <c r="E642" s="161"/>
      <c r="F642" s="162"/>
      <c r="G642" s="163"/>
      <c r="H642" s="163"/>
      <c r="I642" s="164"/>
      <c r="J642" s="162"/>
      <c r="K642" s="165"/>
      <c r="L642" s="166"/>
      <c r="M642" s="167"/>
      <c r="N642" s="167"/>
      <c r="O642" s="168"/>
      <c r="P642" s="168"/>
      <c r="Q642" s="147"/>
      <c r="R642" s="147"/>
      <c r="S642" s="169"/>
      <c r="T642" s="147"/>
      <c r="U642" s="147"/>
      <c r="V642" s="147"/>
      <c r="W642" s="147"/>
      <c r="X642" s="147"/>
      <c r="Y642" s="147"/>
      <c r="Z642" s="147"/>
      <c r="AA642" s="147"/>
      <c r="AB642" s="147"/>
      <c r="AC642" s="147"/>
      <c r="AD642" s="147"/>
      <c r="AE642" s="147"/>
      <c r="AF642" s="147"/>
      <c r="AG642" s="147"/>
      <c r="AH642" s="147"/>
      <c r="AI642" s="147"/>
      <c r="AJ642" s="147"/>
      <c r="AK642" s="147"/>
      <c r="AL642" s="147"/>
      <c r="AM642" s="147"/>
      <c r="AN642" s="147"/>
      <c r="AO642" s="147"/>
      <c r="AP642" s="147"/>
      <c r="AQ642" s="147"/>
      <c r="AR642" s="147"/>
      <c r="AS642" s="147"/>
    </row>
    <row r="643" spans="1:45" x14ac:dyDescent="0.25">
      <c r="A643" s="147"/>
      <c r="B643" s="147"/>
      <c r="C643" s="160"/>
      <c r="D643" s="160"/>
      <c r="E643" s="161"/>
      <c r="F643" s="162"/>
      <c r="G643" s="163"/>
      <c r="H643" s="163"/>
      <c r="I643" s="164"/>
      <c r="J643" s="162"/>
      <c r="K643" s="165"/>
      <c r="L643" s="166"/>
      <c r="M643" s="167"/>
      <c r="N643" s="167"/>
      <c r="O643" s="168"/>
      <c r="P643" s="168"/>
      <c r="Q643" s="147"/>
      <c r="R643" s="147"/>
      <c r="S643" s="169"/>
      <c r="T643" s="147"/>
      <c r="U643" s="147"/>
      <c r="V643" s="147"/>
      <c r="W643" s="147"/>
      <c r="X643" s="147"/>
      <c r="Y643" s="147"/>
      <c r="Z643" s="147"/>
      <c r="AA643" s="147"/>
      <c r="AB643" s="147"/>
      <c r="AC643" s="147"/>
      <c r="AD643" s="147"/>
      <c r="AE643" s="147"/>
      <c r="AF643" s="147"/>
      <c r="AG643" s="147"/>
      <c r="AH643" s="147"/>
      <c r="AI643" s="147"/>
      <c r="AJ643" s="147"/>
      <c r="AK643" s="147"/>
      <c r="AL643" s="147"/>
      <c r="AM643" s="147"/>
      <c r="AN643" s="147"/>
      <c r="AO643" s="147"/>
      <c r="AP643" s="147"/>
      <c r="AQ643" s="147"/>
      <c r="AR643" s="147"/>
      <c r="AS643" s="147"/>
    </row>
    <row r="644" spans="1:45" x14ac:dyDescent="0.25">
      <c r="A644" s="147"/>
      <c r="B644" s="147"/>
      <c r="C644" s="160"/>
      <c r="D644" s="160"/>
      <c r="E644" s="161"/>
      <c r="F644" s="162"/>
      <c r="G644" s="163"/>
      <c r="H644" s="163"/>
      <c r="I644" s="164"/>
      <c r="J644" s="162"/>
      <c r="K644" s="165"/>
      <c r="L644" s="166"/>
      <c r="M644" s="167"/>
      <c r="N644" s="167"/>
      <c r="O644" s="168"/>
      <c r="P644" s="168"/>
      <c r="Q644" s="147"/>
      <c r="R644" s="147"/>
      <c r="S644" s="169"/>
      <c r="T644" s="147"/>
      <c r="U644" s="147"/>
      <c r="V644" s="147"/>
      <c r="W644" s="147"/>
      <c r="X644" s="147"/>
      <c r="Y644" s="147"/>
      <c r="Z644" s="147"/>
      <c r="AA644" s="147"/>
      <c r="AB644" s="147"/>
      <c r="AC644" s="147"/>
      <c r="AD644" s="147"/>
      <c r="AE644" s="147"/>
      <c r="AF644" s="147"/>
      <c r="AG644" s="147"/>
      <c r="AH644" s="147"/>
      <c r="AI644" s="147"/>
      <c r="AJ644" s="147"/>
      <c r="AK644" s="147"/>
      <c r="AL644" s="147"/>
      <c r="AM644" s="147"/>
      <c r="AN644" s="147"/>
      <c r="AO644" s="147"/>
      <c r="AP644" s="147"/>
      <c r="AQ644" s="147"/>
      <c r="AR644" s="147"/>
      <c r="AS644" s="147"/>
    </row>
    <row r="645" spans="1:45" x14ac:dyDescent="0.25">
      <c r="A645" s="147"/>
      <c r="B645" s="147"/>
      <c r="C645" s="160"/>
      <c r="D645" s="160"/>
      <c r="E645" s="161"/>
      <c r="F645" s="162"/>
      <c r="G645" s="163"/>
      <c r="H645" s="163"/>
      <c r="I645" s="164"/>
      <c r="J645" s="162"/>
      <c r="K645" s="165"/>
      <c r="L645" s="166"/>
      <c r="M645" s="167"/>
      <c r="N645" s="167"/>
      <c r="O645" s="168"/>
      <c r="P645" s="168"/>
      <c r="Q645" s="147"/>
      <c r="R645" s="147"/>
      <c r="S645" s="169"/>
      <c r="T645" s="147"/>
      <c r="U645" s="147"/>
      <c r="V645" s="147"/>
      <c r="W645" s="147"/>
      <c r="X645" s="147"/>
      <c r="Y645" s="147"/>
      <c r="Z645" s="147"/>
      <c r="AA645" s="147"/>
      <c r="AB645" s="147"/>
      <c r="AC645" s="147"/>
      <c r="AD645" s="147"/>
      <c r="AE645" s="147"/>
      <c r="AF645" s="147"/>
      <c r="AG645" s="147"/>
      <c r="AH645" s="147"/>
      <c r="AI645" s="147"/>
      <c r="AJ645" s="147"/>
      <c r="AK645" s="147"/>
      <c r="AL645" s="147"/>
      <c r="AM645" s="147"/>
      <c r="AN645" s="147"/>
      <c r="AO645" s="147"/>
      <c r="AP645" s="147"/>
      <c r="AQ645" s="147"/>
      <c r="AR645" s="147"/>
      <c r="AS645" s="147"/>
    </row>
    <row r="646" spans="1:45" x14ac:dyDescent="0.25">
      <c r="A646" s="147"/>
      <c r="B646" s="147"/>
      <c r="C646" s="160"/>
      <c r="D646" s="160"/>
      <c r="E646" s="161"/>
      <c r="F646" s="162"/>
      <c r="G646" s="163"/>
      <c r="H646" s="163"/>
      <c r="I646" s="164"/>
      <c r="J646" s="162"/>
      <c r="K646" s="165"/>
      <c r="L646" s="166"/>
      <c r="M646" s="167"/>
      <c r="N646" s="167"/>
      <c r="O646" s="168"/>
      <c r="P646" s="168"/>
      <c r="Q646" s="147"/>
      <c r="R646" s="147"/>
      <c r="S646" s="169"/>
      <c r="T646" s="147"/>
      <c r="U646" s="147"/>
      <c r="V646" s="147"/>
      <c r="W646" s="147"/>
      <c r="X646" s="147"/>
      <c r="Y646" s="147"/>
      <c r="Z646" s="147"/>
      <c r="AA646" s="147"/>
      <c r="AB646" s="147"/>
      <c r="AC646" s="147"/>
      <c r="AD646" s="147"/>
      <c r="AE646" s="147"/>
      <c r="AF646" s="147"/>
      <c r="AG646" s="147"/>
      <c r="AH646" s="147"/>
      <c r="AI646" s="147"/>
      <c r="AJ646" s="147"/>
      <c r="AK646" s="147"/>
      <c r="AL646" s="147"/>
      <c r="AM646" s="147"/>
      <c r="AN646" s="147"/>
      <c r="AO646" s="147"/>
      <c r="AP646" s="147"/>
      <c r="AQ646" s="147"/>
      <c r="AR646" s="147"/>
      <c r="AS646" s="147"/>
    </row>
    <row r="647" spans="1:45" x14ac:dyDescent="0.25">
      <c r="A647" s="147"/>
      <c r="B647" s="147"/>
      <c r="C647" s="160"/>
      <c r="D647" s="160"/>
      <c r="E647" s="161"/>
      <c r="F647" s="162"/>
      <c r="G647" s="163"/>
      <c r="H647" s="163"/>
      <c r="I647" s="164"/>
      <c r="J647" s="162"/>
      <c r="K647" s="165"/>
      <c r="L647" s="166"/>
      <c r="M647" s="167"/>
      <c r="N647" s="167"/>
      <c r="O647" s="168"/>
      <c r="P647" s="168"/>
      <c r="Q647" s="147"/>
      <c r="R647" s="147"/>
      <c r="S647" s="169"/>
      <c r="T647" s="147"/>
      <c r="U647" s="147"/>
      <c r="V647" s="147"/>
      <c r="W647" s="147"/>
      <c r="X647" s="147"/>
      <c r="Y647" s="147"/>
      <c r="Z647" s="147"/>
      <c r="AA647" s="147"/>
      <c r="AB647" s="147"/>
      <c r="AC647" s="147"/>
      <c r="AD647" s="147"/>
      <c r="AE647" s="147"/>
      <c r="AF647" s="147"/>
      <c r="AG647" s="147"/>
      <c r="AH647" s="147"/>
      <c r="AI647" s="147"/>
      <c r="AJ647" s="147"/>
      <c r="AK647" s="147"/>
      <c r="AL647" s="147"/>
      <c r="AM647" s="147"/>
      <c r="AN647" s="147"/>
      <c r="AO647" s="147"/>
      <c r="AP647" s="147"/>
      <c r="AQ647" s="147"/>
      <c r="AR647" s="147"/>
      <c r="AS647" s="147"/>
    </row>
    <row r="648" spans="1:45" x14ac:dyDescent="0.25">
      <c r="A648" s="147"/>
      <c r="B648" s="147"/>
      <c r="C648" s="160"/>
      <c r="D648" s="160"/>
      <c r="E648" s="161"/>
      <c r="F648" s="162"/>
      <c r="G648" s="163"/>
      <c r="H648" s="163"/>
      <c r="I648" s="164"/>
      <c r="J648" s="162"/>
      <c r="K648" s="165"/>
      <c r="L648" s="166"/>
      <c r="M648" s="167"/>
      <c r="N648" s="167"/>
      <c r="O648" s="168"/>
      <c r="P648" s="168"/>
      <c r="Q648" s="147"/>
      <c r="R648" s="147"/>
      <c r="S648" s="169"/>
      <c r="T648" s="147"/>
      <c r="U648" s="147"/>
      <c r="V648" s="147"/>
      <c r="W648" s="147"/>
      <c r="X648" s="147"/>
      <c r="Y648" s="147"/>
      <c r="Z648" s="147"/>
      <c r="AA648" s="147"/>
      <c r="AB648" s="147"/>
      <c r="AC648" s="147"/>
      <c r="AD648" s="147"/>
      <c r="AE648" s="147"/>
      <c r="AF648" s="147"/>
      <c r="AG648" s="147"/>
      <c r="AH648" s="147"/>
      <c r="AI648" s="147"/>
      <c r="AJ648" s="147"/>
      <c r="AK648" s="147"/>
      <c r="AL648" s="147"/>
      <c r="AM648" s="147"/>
      <c r="AN648" s="147"/>
      <c r="AO648" s="147"/>
      <c r="AP648" s="147"/>
      <c r="AQ648" s="147"/>
      <c r="AR648" s="147"/>
      <c r="AS648" s="147"/>
    </row>
    <row r="649" spans="1:45" x14ac:dyDescent="0.25">
      <c r="A649" s="147"/>
      <c r="B649" s="147"/>
      <c r="C649" s="160"/>
      <c r="D649" s="160"/>
      <c r="E649" s="161"/>
      <c r="F649" s="162"/>
      <c r="G649" s="163"/>
      <c r="H649" s="163"/>
      <c r="I649" s="164"/>
      <c r="J649" s="162"/>
      <c r="K649" s="165"/>
      <c r="L649" s="166"/>
      <c r="M649" s="167"/>
      <c r="N649" s="167"/>
      <c r="O649" s="168"/>
      <c r="P649" s="168"/>
      <c r="Q649" s="147"/>
      <c r="R649" s="147"/>
      <c r="S649" s="169"/>
      <c r="T649" s="147"/>
      <c r="U649" s="147"/>
      <c r="V649" s="147"/>
      <c r="W649" s="147"/>
      <c r="X649" s="147"/>
      <c r="Y649" s="147"/>
      <c r="Z649" s="147"/>
      <c r="AA649" s="147"/>
      <c r="AB649" s="147"/>
      <c r="AC649" s="147"/>
      <c r="AD649" s="147"/>
      <c r="AE649" s="147"/>
      <c r="AF649" s="147"/>
      <c r="AG649" s="147"/>
      <c r="AH649" s="147"/>
      <c r="AI649" s="147"/>
      <c r="AJ649" s="147"/>
      <c r="AK649" s="147"/>
      <c r="AL649" s="147"/>
      <c r="AM649" s="147"/>
      <c r="AN649" s="147"/>
      <c r="AO649" s="147"/>
      <c r="AP649" s="147"/>
      <c r="AQ649" s="147"/>
      <c r="AR649" s="147"/>
      <c r="AS649" s="147"/>
    </row>
    <row r="650" spans="1:45" x14ac:dyDescent="0.25">
      <c r="A650" s="147"/>
      <c r="B650" s="147"/>
      <c r="C650" s="160"/>
      <c r="D650" s="160"/>
      <c r="E650" s="161"/>
      <c r="F650" s="162"/>
      <c r="G650" s="163"/>
      <c r="H650" s="163"/>
      <c r="I650" s="164"/>
      <c r="J650" s="162"/>
      <c r="K650" s="165"/>
      <c r="L650" s="166"/>
      <c r="M650" s="167"/>
      <c r="N650" s="167"/>
      <c r="O650" s="168"/>
      <c r="P650" s="168"/>
      <c r="Q650" s="147"/>
      <c r="R650" s="147"/>
      <c r="S650" s="169"/>
      <c r="T650" s="147"/>
      <c r="U650" s="147"/>
      <c r="V650" s="147"/>
      <c r="W650" s="147"/>
      <c r="X650" s="147"/>
      <c r="Y650" s="147"/>
      <c r="Z650" s="147"/>
      <c r="AA650" s="147"/>
      <c r="AB650" s="147"/>
      <c r="AC650" s="147"/>
      <c r="AD650" s="147"/>
      <c r="AE650" s="147"/>
      <c r="AF650" s="147"/>
      <c r="AG650" s="147"/>
      <c r="AH650" s="147"/>
      <c r="AI650" s="147"/>
      <c r="AJ650" s="147"/>
      <c r="AK650" s="147"/>
      <c r="AL650" s="147"/>
      <c r="AM650" s="147"/>
      <c r="AN650" s="147"/>
      <c r="AO650" s="147"/>
      <c r="AP650" s="147"/>
      <c r="AQ650" s="147"/>
      <c r="AR650" s="147"/>
      <c r="AS650" s="147"/>
    </row>
    <row r="651" spans="1:45" x14ac:dyDescent="0.25">
      <c r="A651" s="147"/>
      <c r="B651" s="147"/>
      <c r="C651" s="160"/>
      <c r="D651" s="160"/>
      <c r="E651" s="161"/>
      <c r="F651" s="162"/>
      <c r="G651" s="163"/>
      <c r="H651" s="163"/>
      <c r="I651" s="164"/>
      <c r="J651" s="162"/>
      <c r="K651" s="165"/>
      <c r="L651" s="166"/>
      <c r="M651" s="167"/>
      <c r="N651" s="167"/>
      <c r="O651" s="168"/>
      <c r="P651" s="168"/>
      <c r="Q651" s="147"/>
      <c r="R651" s="147"/>
      <c r="S651" s="169"/>
      <c r="T651" s="147"/>
      <c r="U651" s="147"/>
      <c r="V651" s="147"/>
      <c r="W651" s="147"/>
      <c r="X651" s="147"/>
      <c r="Y651" s="147"/>
      <c r="Z651" s="147"/>
      <c r="AA651" s="147"/>
      <c r="AB651" s="147"/>
      <c r="AC651" s="147"/>
      <c r="AD651" s="147"/>
      <c r="AE651" s="147"/>
      <c r="AF651" s="147"/>
      <c r="AG651" s="147"/>
      <c r="AH651" s="147"/>
      <c r="AI651" s="147"/>
      <c r="AJ651" s="147"/>
      <c r="AK651" s="147"/>
      <c r="AL651" s="147"/>
      <c r="AM651" s="147"/>
      <c r="AN651" s="147"/>
      <c r="AO651" s="147"/>
      <c r="AP651" s="147"/>
      <c r="AQ651" s="147"/>
      <c r="AR651" s="147"/>
      <c r="AS651" s="147"/>
    </row>
    <row r="652" spans="1:45" x14ac:dyDescent="0.25">
      <c r="A652" s="147"/>
      <c r="B652" s="147"/>
      <c r="C652" s="160"/>
      <c r="D652" s="160"/>
      <c r="E652" s="161"/>
      <c r="F652" s="162"/>
      <c r="G652" s="163"/>
      <c r="H652" s="163"/>
      <c r="I652" s="164"/>
      <c r="J652" s="162"/>
      <c r="K652" s="165"/>
      <c r="L652" s="166"/>
      <c r="M652" s="167"/>
      <c r="N652" s="167"/>
      <c r="O652" s="168"/>
      <c r="P652" s="168"/>
      <c r="Q652" s="147"/>
      <c r="R652" s="147"/>
      <c r="S652" s="169"/>
      <c r="T652" s="147"/>
      <c r="U652" s="147"/>
      <c r="V652" s="147"/>
      <c r="W652" s="147"/>
      <c r="X652" s="147"/>
      <c r="Y652" s="147"/>
      <c r="Z652" s="147"/>
      <c r="AA652" s="147"/>
      <c r="AB652" s="147"/>
      <c r="AC652" s="147"/>
      <c r="AD652" s="147"/>
      <c r="AE652" s="147"/>
      <c r="AF652" s="147"/>
      <c r="AG652" s="147"/>
      <c r="AH652" s="147"/>
      <c r="AI652" s="147"/>
      <c r="AJ652" s="147"/>
      <c r="AK652" s="147"/>
      <c r="AL652" s="147"/>
      <c r="AM652" s="147"/>
      <c r="AN652" s="147"/>
      <c r="AO652" s="147"/>
      <c r="AP652" s="147"/>
      <c r="AQ652" s="147"/>
      <c r="AR652" s="147"/>
      <c r="AS652" s="147"/>
    </row>
    <row r="653" spans="1:45" x14ac:dyDescent="0.25">
      <c r="A653" s="147"/>
      <c r="B653" s="147"/>
      <c r="C653" s="160"/>
      <c r="D653" s="160"/>
      <c r="E653" s="161"/>
      <c r="F653" s="162"/>
      <c r="G653" s="163"/>
      <c r="H653" s="163"/>
      <c r="I653" s="164"/>
      <c r="J653" s="162"/>
      <c r="K653" s="165"/>
      <c r="L653" s="166"/>
      <c r="M653" s="167"/>
      <c r="N653" s="167"/>
      <c r="O653" s="168"/>
      <c r="P653" s="168"/>
      <c r="Q653" s="147"/>
      <c r="R653" s="147"/>
      <c r="S653" s="169"/>
      <c r="T653" s="147"/>
      <c r="U653" s="147"/>
      <c r="V653" s="147"/>
      <c r="W653" s="147"/>
      <c r="X653" s="147"/>
      <c r="Y653" s="147"/>
      <c r="Z653" s="147"/>
      <c r="AA653" s="147"/>
      <c r="AB653" s="147"/>
      <c r="AC653" s="147"/>
      <c r="AD653" s="147"/>
      <c r="AE653" s="147"/>
      <c r="AF653" s="147"/>
      <c r="AG653" s="147"/>
      <c r="AH653" s="147"/>
      <c r="AI653" s="147"/>
      <c r="AJ653" s="147"/>
      <c r="AK653" s="147"/>
      <c r="AL653" s="147"/>
      <c r="AM653" s="147"/>
      <c r="AN653" s="147"/>
      <c r="AO653" s="147"/>
      <c r="AP653" s="147"/>
      <c r="AQ653" s="147"/>
      <c r="AR653" s="147"/>
      <c r="AS653" s="147"/>
    </row>
    <row r="654" spans="1:45" x14ac:dyDescent="0.25">
      <c r="A654" s="147"/>
      <c r="B654" s="147"/>
      <c r="C654" s="160"/>
      <c r="D654" s="160"/>
      <c r="E654" s="161"/>
      <c r="F654" s="162"/>
      <c r="G654" s="163"/>
      <c r="H654" s="163"/>
      <c r="I654" s="164"/>
      <c r="J654" s="162"/>
      <c r="K654" s="165"/>
      <c r="L654" s="166"/>
      <c r="M654" s="167"/>
      <c r="N654" s="167"/>
      <c r="O654" s="168"/>
      <c r="P654" s="168"/>
      <c r="Q654" s="147"/>
      <c r="R654" s="147"/>
      <c r="S654" s="169"/>
      <c r="T654" s="147"/>
      <c r="U654" s="147"/>
      <c r="V654" s="147"/>
      <c r="W654" s="147"/>
      <c r="X654" s="147"/>
      <c r="Y654" s="147"/>
      <c r="Z654" s="147"/>
      <c r="AA654" s="147"/>
      <c r="AB654" s="147"/>
      <c r="AC654" s="147"/>
      <c r="AD654" s="147"/>
      <c r="AE654" s="147"/>
      <c r="AF654" s="147"/>
      <c r="AG654" s="147"/>
      <c r="AH654" s="147"/>
      <c r="AI654" s="147"/>
      <c r="AJ654" s="147"/>
      <c r="AK654" s="147"/>
      <c r="AL654" s="147"/>
      <c r="AM654" s="147"/>
      <c r="AN654" s="147"/>
      <c r="AO654" s="147"/>
      <c r="AP654" s="147"/>
      <c r="AQ654" s="147"/>
      <c r="AR654" s="147"/>
      <c r="AS654" s="147"/>
    </row>
    <row r="655" spans="1:45" x14ac:dyDescent="0.25">
      <c r="A655" s="147"/>
      <c r="B655" s="147"/>
      <c r="C655" s="160"/>
      <c r="D655" s="160"/>
      <c r="E655" s="161"/>
      <c r="F655" s="162"/>
      <c r="G655" s="163"/>
      <c r="H655" s="163"/>
      <c r="I655" s="164"/>
      <c r="J655" s="162"/>
      <c r="K655" s="165"/>
      <c r="L655" s="166"/>
      <c r="M655" s="167"/>
      <c r="N655" s="167"/>
      <c r="O655" s="168"/>
      <c r="P655" s="168"/>
      <c r="Q655" s="147"/>
      <c r="R655" s="147"/>
      <c r="S655" s="169"/>
      <c r="T655" s="147"/>
      <c r="U655" s="147"/>
      <c r="V655" s="147"/>
      <c r="W655" s="147"/>
      <c r="X655" s="147"/>
      <c r="Y655" s="147"/>
      <c r="Z655" s="147"/>
      <c r="AA655" s="147"/>
      <c r="AB655" s="147"/>
      <c r="AC655" s="147"/>
      <c r="AD655" s="147"/>
      <c r="AE655" s="147"/>
      <c r="AF655" s="147"/>
      <c r="AG655" s="147"/>
      <c r="AH655" s="147"/>
      <c r="AI655" s="147"/>
      <c r="AJ655" s="147"/>
      <c r="AK655" s="147"/>
      <c r="AL655" s="147"/>
      <c r="AM655" s="147"/>
      <c r="AN655" s="147"/>
      <c r="AO655" s="147"/>
      <c r="AP655" s="147"/>
      <c r="AQ655" s="147"/>
      <c r="AR655" s="147"/>
      <c r="AS655" s="147"/>
    </row>
    <row r="656" spans="1:45" x14ac:dyDescent="0.25">
      <c r="A656" s="147"/>
      <c r="B656" s="147"/>
      <c r="C656" s="160"/>
      <c r="D656" s="160"/>
      <c r="E656" s="161"/>
      <c r="F656" s="162"/>
      <c r="G656" s="163"/>
      <c r="H656" s="163"/>
      <c r="I656" s="164"/>
      <c r="J656" s="162"/>
      <c r="K656" s="165"/>
      <c r="L656" s="166"/>
      <c r="M656" s="167"/>
      <c r="N656" s="167"/>
      <c r="O656" s="168"/>
      <c r="P656" s="168"/>
      <c r="Q656" s="147"/>
      <c r="R656" s="147"/>
      <c r="S656" s="169"/>
      <c r="T656" s="147"/>
      <c r="U656" s="147"/>
      <c r="V656" s="147"/>
      <c r="W656" s="147"/>
      <c r="X656" s="147"/>
      <c r="Y656" s="147"/>
      <c r="Z656" s="147"/>
      <c r="AA656" s="147"/>
      <c r="AB656" s="147"/>
      <c r="AC656" s="147"/>
      <c r="AD656" s="147"/>
      <c r="AE656" s="147"/>
      <c r="AF656" s="147"/>
      <c r="AG656" s="147"/>
      <c r="AH656" s="147"/>
      <c r="AI656" s="147"/>
      <c r="AJ656" s="147"/>
      <c r="AK656" s="147"/>
      <c r="AL656" s="147"/>
      <c r="AM656" s="147"/>
      <c r="AN656" s="147"/>
      <c r="AO656" s="147"/>
      <c r="AP656" s="147"/>
      <c r="AQ656" s="147"/>
      <c r="AR656" s="147"/>
      <c r="AS656" s="147"/>
    </row>
    <row r="657" spans="1:45" x14ac:dyDescent="0.25">
      <c r="A657" s="147"/>
      <c r="B657" s="147"/>
      <c r="C657" s="160"/>
      <c r="D657" s="160"/>
      <c r="E657" s="161"/>
      <c r="F657" s="162"/>
      <c r="G657" s="163"/>
      <c r="H657" s="163"/>
      <c r="I657" s="164"/>
      <c r="J657" s="162"/>
      <c r="K657" s="165"/>
      <c r="L657" s="166"/>
      <c r="M657" s="167"/>
      <c r="N657" s="167"/>
      <c r="O657" s="168"/>
      <c r="P657" s="168"/>
      <c r="Q657" s="147"/>
      <c r="R657" s="147"/>
      <c r="S657" s="169"/>
      <c r="T657" s="147"/>
      <c r="U657" s="147"/>
      <c r="V657" s="147"/>
      <c r="W657" s="147"/>
      <c r="X657" s="147"/>
      <c r="Y657" s="147"/>
      <c r="Z657" s="147"/>
      <c r="AA657" s="147"/>
      <c r="AB657" s="147"/>
      <c r="AC657" s="147"/>
      <c r="AD657" s="147"/>
      <c r="AE657" s="147"/>
      <c r="AF657" s="147"/>
      <c r="AG657" s="147"/>
      <c r="AH657" s="147"/>
      <c r="AI657" s="147"/>
      <c r="AJ657" s="147"/>
      <c r="AK657" s="147"/>
      <c r="AL657" s="147"/>
      <c r="AM657" s="147"/>
      <c r="AN657" s="147"/>
      <c r="AO657" s="147"/>
      <c r="AP657" s="147"/>
      <c r="AQ657" s="147"/>
      <c r="AR657" s="147"/>
      <c r="AS657" s="147"/>
    </row>
    <row r="658" spans="1:45" x14ac:dyDescent="0.25">
      <c r="A658" s="147"/>
      <c r="B658" s="147"/>
      <c r="C658" s="160"/>
      <c r="D658" s="160"/>
      <c r="E658" s="161"/>
      <c r="F658" s="162"/>
      <c r="G658" s="163"/>
      <c r="H658" s="163"/>
      <c r="I658" s="164"/>
      <c r="J658" s="162"/>
      <c r="K658" s="165"/>
      <c r="L658" s="166"/>
      <c r="M658" s="167"/>
      <c r="N658" s="167"/>
      <c r="O658" s="168"/>
      <c r="P658" s="168"/>
      <c r="Q658" s="147"/>
      <c r="R658" s="147"/>
      <c r="S658" s="169"/>
      <c r="T658" s="147"/>
      <c r="U658" s="147"/>
      <c r="V658" s="147"/>
      <c r="W658" s="147"/>
      <c r="X658" s="147"/>
      <c r="Y658" s="147"/>
      <c r="Z658" s="147"/>
      <c r="AA658" s="147"/>
      <c r="AB658" s="147"/>
      <c r="AC658" s="147"/>
      <c r="AD658" s="147"/>
      <c r="AE658" s="147"/>
      <c r="AF658" s="147"/>
      <c r="AG658" s="147"/>
      <c r="AH658" s="147"/>
      <c r="AI658" s="147"/>
      <c r="AJ658" s="147"/>
      <c r="AK658" s="147"/>
      <c r="AL658" s="147"/>
      <c r="AM658" s="147"/>
      <c r="AN658" s="147"/>
      <c r="AO658" s="147"/>
      <c r="AP658" s="147"/>
      <c r="AQ658" s="147"/>
      <c r="AR658" s="147"/>
      <c r="AS658" s="147"/>
    </row>
    <row r="659" spans="1:45" x14ac:dyDescent="0.25">
      <c r="A659" s="147"/>
      <c r="B659" s="147"/>
      <c r="C659" s="160"/>
      <c r="D659" s="160"/>
      <c r="E659" s="161"/>
      <c r="F659" s="162"/>
      <c r="G659" s="163"/>
      <c r="H659" s="163"/>
      <c r="I659" s="164"/>
      <c r="J659" s="162"/>
      <c r="K659" s="165"/>
      <c r="L659" s="166"/>
      <c r="M659" s="167"/>
      <c r="N659" s="167"/>
      <c r="O659" s="168"/>
      <c r="P659" s="168"/>
      <c r="Q659" s="147"/>
      <c r="R659" s="147"/>
      <c r="S659" s="169"/>
      <c r="T659" s="147"/>
      <c r="U659" s="147"/>
      <c r="V659" s="147"/>
      <c r="W659" s="147"/>
      <c r="X659" s="147"/>
      <c r="Y659" s="147"/>
      <c r="Z659" s="147"/>
      <c r="AA659" s="147"/>
      <c r="AB659" s="147"/>
      <c r="AC659" s="147"/>
      <c r="AD659" s="147"/>
      <c r="AE659" s="147"/>
      <c r="AF659" s="147"/>
      <c r="AG659" s="147"/>
      <c r="AH659" s="147"/>
      <c r="AI659" s="147"/>
      <c r="AJ659" s="147"/>
      <c r="AK659" s="147"/>
      <c r="AL659" s="147"/>
      <c r="AM659" s="147"/>
      <c r="AN659" s="147"/>
      <c r="AO659" s="147"/>
      <c r="AP659" s="147"/>
      <c r="AQ659" s="147"/>
      <c r="AR659" s="147"/>
      <c r="AS659" s="147"/>
    </row>
    <row r="660" spans="1:45" x14ac:dyDescent="0.25">
      <c r="A660" s="147"/>
      <c r="B660" s="147"/>
      <c r="C660" s="160"/>
      <c r="D660" s="160"/>
      <c r="E660" s="161"/>
      <c r="F660" s="162"/>
      <c r="G660" s="163"/>
      <c r="H660" s="163"/>
      <c r="I660" s="164"/>
      <c r="J660" s="162"/>
      <c r="K660" s="165"/>
      <c r="L660" s="166"/>
      <c r="M660" s="167"/>
      <c r="N660" s="167"/>
      <c r="O660" s="168"/>
      <c r="P660" s="168"/>
      <c r="Q660" s="147"/>
      <c r="R660" s="147"/>
      <c r="S660" s="169"/>
      <c r="T660" s="147"/>
      <c r="U660" s="147"/>
      <c r="V660" s="147"/>
      <c r="W660" s="147"/>
      <c r="X660" s="147"/>
      <c r="Y660" s="147"/>
      <c r="Z660" s="147"/>
      <c r="AA660" s="147"/>
      <c r="AB660" s="147"/>
      <c r="AC660" s="147"/>
      <c r="AD660" s="147"/>
      <c r="AE660" s="147"/>
      <c r="AF660" s="147"/>
      <c r="AG660" s="147"/>
      <c r="AH660" s="147"/>
      <c r="AI660" s="147"/>
      <c r="AJ660" s="147"/>
      <c r="AK660" s="147"/>
      <c r="AL660" s="147"/>
      <c r="AM660" s="147"/>
      <c r="AN660" s="147"/>
      <c r="AO660" s="147"/>
      <c r="AP660" s="147"/>
      <c r="AQ660" s="147"/>
      <c r="AR660" s="147"/>
      <c r="AS660" s="147"/>
    </row>
    <row r="661" spans="1:45" x14ac:dyDescent="0.25">
      <c r="A661" s="147"/>
      <c r="B661" s="147"/>
      <c r="C661" s="160"/>
      <c r="D661" s="160"/>
      <c r="E661" s="161"/>
      <c r="F661" s="162"/>
      <c r="G661" s="163"/>
      <c r="H661" s="163"/>
      <c r="I661" s="164"/>
      <c r="J661" s="162"/>
      <c r="K661" s="165"/>
      <c r="L661" s="166"/>
      <c r="M661" s="167"/>
      <c r="N661" s="167"/>
      <c r="O661" s="168"/>
      <c r="P661" s="168"/>
      <c r="Q661" s="147"/>
      <c r="R661" s="147"/>
      <c r="S661" s="169"/>
      <c r="T661" s="147"/>
      <c r="U661" s="147"/>
      <c r="V661" s="147"/>
      <c r="W661" s="147"/>
      <c r="X661" s="147"/>
      <c r="Y661" s="147"/>
      <c r="Z661" s="147"/>
      <c r="AA661" s="147"/>
      <c r="AB661" s="147"/>
      <c r="AC661" s="147"/>
      <c r="AD661" s="147"/>
      <c r="AE661" s="147"/>
      <c r="AF661" s="147"/>
      <c r="AG661" s="147"/>
      <c r="AH661" s="147"/>
      <c r="AI661" s="147"/>
      <c r="AJ661" s="147"/>
      <c r="AK661" s="147"/>
      <c r="AL661" s="147"/>
      <c r="AM661" s="147"/>
      <c r="AN661" s="147"/>
      <c r="AO661" s="147"/>
      <c r="AP661" s="147"/>
      <c r="AQ661" s="147"/>
      <c r="AR661" s="147"/>
      <c r="AS661" s="147"/>
    </row>
    <row r="662" spans="1:45" x14ac:dyDescent="0.25">
      <c r="A662" s="147"/>
      <c r="B662" s="147"/>
      <c r="C662" s="160"/>
      <c r="D662" s="160"/>
      <c r="E662" s="161"/>
      <c r="F662" s="162"/>
      <c r="G662" s="163"/>
      <c r="H662" s="163"/>
      <c r="I662" s="164"/>
      <c r="J662" s="162"/>
      <c r="K662" s="165"/>
      <c r="L662" s="166"/>
      <c r="M662" s="167"/>
      <c r="N662" s="167"/>
      <c r="O662" s="168"/>
      <c r="P662" s="168"/>
      <c r="Q662" s="147"/>
      <c r="R662" s="147"/>
      <c r="S662" s="169"/>
      <c r="T662" s="147"/>
      <c r="U662" s="147"/>
      <c r="V662" s="147"/>
      <c r="W662" s="147"/>
      <c r="X662" s="147"/>
      <c r="Y662" s="147"/>
      <c r="Z662" s="147"/>
      <c r="AA662" s="147"/>
      <c r="AB662" s="147"/>
      <c r="AC662" s="147"/>
      <c r="AD662" s="147"/>
      <c r="AE662" s="147"/>
      <c r="AF662" s="147"/>
      <c r="AG662" s="147"/>
      <c r="AH662" s="147"/>
      <c r="AI662" s="147"/>
      <c r="AJ662" s="147"/>
      <c r="AK662" s="147"/>
      <c r="AL662" s="147"/>
      <c r="AM662" s="147"/>
      <c r="AN662" s="147"/>
      <c r="AO662" s="147"/>
      <c r="AP662" s="147"/>
      <c r="AQ662" s="147"/>
      <c r="AR662" s="147"/>
      <c r="AS662" s="147"/>
    </row>
    <row r="663" spans="1:45" x14ac:dyDescent="0.25">
      <c r="A663" s="147"/>
      <c r="B663" s="147"/>
      <c r="C663" s="160"/>
      <c r="D663" s="160"/>
      <c r="E663" s="161"/>
      <c r="F663" s="162"/>
      <c r="G663" s="163"/>
      <c r="H663" s="163"/>
      <c r="I663" s="164"/>
      <c r="J663" s="162"/>
      <c r="K663" s="165"/>
      <c r="L663" s="166"/>
      <c r="M663" s="167"/>
      <c r="N663" s="167"/>
      <c r="O663" s="168"/>
      <c r="P663" s="168"/>
      <c r="Q663" s="147"/>
      <c r="R663" s="147"/>
      <c r="S663" s="169"/>
      <c r="T663" s="147"/>
      <c r="U663" s="147"/>
      <c r="V663" s="147"/>
      <c r="W663" s="147"/>
      <c r="X663" s="147"/>
      <c r="Y663" s="147"/>
      <c r="Z663" s="147"/>
      <c r="AA663" s="147"/>
      <c r="AB663" s="147"/>
      <c r="AC663" s="147"/>
      <c r="AD663" s="147"/>
      <c r="AE663" s="147"/>
      <c r="AF663" s="147"/>
      <c r="AG663" s="147"/>
      <c r="AH663" s="147"/>
      <c r="AI663" s="147"/>
      <c r="AJ663" s="147"/>
      <c r="AK663" s="147"/>
      <c r="AL663" s="147"/>
      <c r="AM663" s="147"/>
      <c r="AN663" s="147"/>
      <c r="AO663" s="147"/>
      <c r="AP663" s="147"/>
      <c r="AQ663" s="147"/>
      <c r="AR663" s="147"/>
      <c r="AS663" s="147"/>
    </row>
    <row r="664" spans="1:45" x14ac:dyDescent="0.25">
      <c r="A664" s="147"/>
      <c r="B664" s="147"/>
      <c r="C664" s="160"/>
      <c r="D664" s="160"/>
      <c r="E664" s="161"/>
      <c r="F664" s="162"/>
      <c r="G664" s="163"/>
      <c r="H664" s="163"/>
      <c r="I664" s="164"/>
      <c r="J664" s="162"/>
      <c r="K664" s="165"/>
      <c r="L664" s="166"/>
      <c r="M664" s="167"/>
      <c r="N664" s="167"/>
      <c r="O664" s="168"/>
      <c r="P664" s="168"/>
      <c r="Q664" s="147"/>
      <c r="R664" s="147"/>
      <c r="S664" s="169"/>
      <c r="T664" s="147"/>
      <c r="U664" s="147"/>
      <c r="V664" s="147"/>
      <c r="W664" s="147"/>
      <c r="X664" s="147"/>
      <c r="Y664" s="147"/>
      <c r="Z664" s="147"/>
      <c r="AA664" s="147"/>
      <c r="AB664" s="147"/>
      <c r="AC664" s="147"/>
      <c r="AD664" s="147"/>
      <c r="AE664" s="147"/>
      <c r="AF664" s="147"/>
      <c r="AG664" s="147"/>
      <c r="AH664" s="147"/>
      <c r="AI664" s="147"/>
      <c r="AJ664" s="147"/>
      <c r="AK664" s="147"/>
      <c r="AL664" s="147"/>
      <c r="AM664" s="147"/>
      <c r="AN664" s="147"/>
      <c r="AO664" s="147"/>
      <c r="AP664" s="147"/>
      <c r="AQ664" s="147"/>
      <c r="AR664" s="147"/>
      <c r="AS664" s="147"/>
    </row>
    <row r="665" spans="1:45" x14ac:dyDescent="0.25">
      <c r="A665" s="147"/>
      <c r="B665" s="147"/>
      <c r="C665" s="160"/>
      <c r="D665" s="160"/>
      <c r="E665" s="161"/>
      <c r="F665" s="162"/>
      <c r="G665" s="163"/>
      <c r="H665" s="163"/>
      <c r="I665" s="164"/>
      <c r="J665" s="162"/>
      <c r="K665" s="165"/>
      <c r="L665" s="166"/>
      <c r="M665" s="167"/>
      <c r="N665" s="167"/>
      <c r="O665" s="168"/>
      <c r="P665" s="168"/>
      <c r="Q665" s="147"/>
      <c r="R665" s="147"/>
      <c r="S665" s="169"/>
      <c r="T665" s="147"/>
      <c r="U665" s="147"/>
      <c r="V665" s="147"/>
      <c r="W665" s="147"/>
      <c r="X665" s="147"/>
      <c r="Y665" s="147"/>
      <c r="Z665" s="147"/>
      <c r="AA665" s="147"/>
      <c r="AB665" s="147"/>
      <c r="AC665" s="147"/>
      <c r="AD665" s="147"/>
      <c r="AE665" s="147"/>
      <c r="AF665" s="147"/>
      <c r="AG665" s="147"/>
      <c r="AH665" s="147"/>
      <c r="AI665" s="147"/>
      <c r="AJ665" s="147"/>
      <c r="AK665" s="147"/>
      <c r="AL665" s="147"/>
      <c r="AM665" s="147"/>
      <c r="AN665" s="147"/>
      <c r="AO665" s="147"/>
      <c r="AP665" s="147"/>
      <c r="AQ665" s="147"/>
      <c r="AR665" s="147"/>
      <c r="AS665" s="147"/>
    </row>
    <row r="666" spans="1:45" x14ac:dyDescent="0.25">
      <c r="A666" s="147"/>
      <c r="B666" s="147"/>
      <c r="C666" s="160"/>
      <c r="D666" s="160"/>
      <c r="E666" s="161"/>
      <c r="F666" s="162"/>
      <c r="G666" s="163"/>
      <c r="H666" s="163"/>
      <c r="I666" s="164"/>
      <c r="J666" s="162"/>
      <c r="K666" s="165"/>
      <c r="L666" s="166"/>
      <c r="M666" s="167"/>
      <c r="N666" s="167"/>
      <c r="O666" s="168"/>
      <c r="P666" s="168"/>
      <c r="Q666" s="147"/>
      <c r="R666" s="147"/>
      <c r="S666" s="169"/>
      <c r="T666" s="147"/>
      <c r="U666" s="147"/>
      <c r="V666" s="147"/>
      <c r="W666" s="147"/>
      <c r="X666" s="147"/>
      <c r="Y666" s="147"/>
      <c r="Z666" s="147"/>
      <c r="AA666" s="147"/>
      <c r="AB666" s="147"/>
      <c r="AC666" s="147"/>
      <c r="AD666" s="147"/>
      <c r="AE666" s="147"/>
      <c r="AF666" s="147"/>
      <c r="AG666" s="147"/>
      <c r="AH666" s="147"/>
      <c r="AI666" s="147"/>
      <c r="AJ666" s="147"/>
      <c r="AK666" s="147"/>
      <c r="AL666" s="147"/>
      <c r="AM666" s="147"/>
      <c r="AN666" s="147"/>
      <c r="AO666" s="147"/>
      <c r="AP666" s="147"/>
      <c r="AQ666" s="147"/>
      <c r="AR666" s="147"/>
      <c r="AS666" s="147"/>
    </row>
    <row r="667" spans="1:45" x14ac:dyDescent="0.25">
      <c r="A667" s="147"/>
      <c r="B667" s="147"/>
      <c r="C667" s="160"/>
      <c r="D667" s="160"/>
      <c r="E667" s="161"/>
      <c r="F667" s="162"/>
      <c r="G667" s="163"/>
      <c r="H667" s="163"/>
      <c r="I667" s="164"/>
      <c r="J667" s="162"/>
      <c r="K667" s="165"/>
      <c r="L667" s="166"/>
      <c r="M667" s="167"/>
      <c r="N667" s="167"/>
      <c r="O667" s="168"/>
      <c r="P667" s="168"/>
      <c r="Q667" s="147"/>
      <c r="R667" s="147"/>
      <c r="S667" s="169"/>
      <c r="T667" s="147"/>
      <c r="U667" s="147"/>
      <c r="V667" s="147"/>
      <c r="W667" s="147"/>
      <c r="X667" s="147"/>
      <c r="Y667" s="147"/>
      <c r="Z667" s="147"/>
      <c r="AA667" s="147"/>
      <c r="AB667" s="147"/>
      <c r="AC667" s="147"/>
      <c r="AD667" s="147"/>
      <c r="AE667" s="147"/>
      <c r="AF667" s="147"/>
      <c r="AG667" s="147"/>
      <c r="AH667" s="147"/>
      <c r="AI667" s="147"/>
      <c r="AJ667" s="147"/>
      <c r="AK667" s="147"/>
      <c r="AL667" s="147"/>
      <c r="AM667" s="147"/>
      <c r="AN667" s="147"/>
      <c r="AO667" s="147"/>
      <c r="AP667" s="147"/>
      <c r="AQ667" s="147"/>
      <c r="AR667" s="147"/>
      <c r="AS667" s="147"/>
    </row>
    <row r="668" spans="1:45" x14ac:dyDescent="0.25">
      <c r="A668" s="147"/>
      <c r="B668" s="147"/>
      <c r="C668" s="160"/>
      <c r="D668" s="160"/>
      <c r="E668" s="161"/>
      <c r="F668" s="162"/>
      <c r="G668" s="163"/>
      <c r="H668" s="163"/>
      <c r="I668" s="164"/>
      <c r="J668" s="162"/>
      <c r="K668" s="165"/>
      <c r="L668" s="166"/>
      <c r="M668" s="167"/>
      <c r="N668" s="167"/>
      <c r="O668" s="168"/>
      <c r="P668" s="168"/>
      <c r="Q668" s="147"/>
      <c r="R668" s="147"/>
      <c r="S668" s="169"/>
      <c r="T668" s="147"/>
      <c r="U668" s="147"/>
      <c r="V668" s="147"/>
      <c r="W668" s="147"/>
      <c r="X668" s="147"/>
      <c r="Y668" s="147"/>
      <c r="Z668" s="147"/>
      <c r="AA668" s="147"/>
      <c r="AB668" s="147"/>
      <c r="AC668" s="147"/>
      <c r="AD668" s="147"/>
      <c r="AE668" s="147"/>
      <c r="AF668" s="147"/>
      <c r="AG668" s="147"/>
      <c r="AH668" s="147"/>
      <c r="AI668" s="147"/>
      <c r="AJ668" s="147"/>
      <c r="AK668" s="147"/>
      <c r="AL668" s="147"/>
      <c r="AM668" s="147"/>
      <c r="AN668" s="147"/>
      <c r="AO668" s="147"/>
      <c r="AP668" s="147"/>
      <c r="AQ668" s="147"/>
      <c r="AR668" s="147"/>
      <c r="AS668" s="147"/>
    </row>
    <row r="669" spans="1:45" x14ac:dyDescent="0.25">
      <c r="A669" s="147"/>
      <c r="B669" s="147"/>
      <c r="C669" s="160"/>
      <c r="D669" s="160"/>
      <c r="E669" s="161"/>
      <c r="F669" s="162"/>
      <c r="G669" s="163"/>
      <c r="H669" s="163"/>
      <c r="I669" s="164"/>
      <c r="J669" s="162"/>
      <c r="K669" s="165"/>
      <c r="L669" s="166"/>
      <c r="M669" s="167"/>
      <c r="N669" s="167"/>
      <c r="O669" s="168"/>
      <c r="P669" s="168"/>
      <c r="Q669" s="147"/>
      <c r="R669" s="147"/>
      <c r="S669" s="169"/>
      <c r="T669" s="147"/>
      <c r="U669" s="147"/>
      <c r="V669" s="147"/>
      <c r="W669" s="147"/>
      <c r="X669" s="147"/>
      <c r="Y669" s="147"/>
      <c r="Z669" s="147"/>
      <c r="AA669" s="147"/>
      <c r="AB669" s="147"/>
      <c r="AC669" s="147"/>
      <c r="AD669" s="147"/>
      <c r="AE669" s="147"/>
      <c r="AF669" s="147"/>
      <c r="AG669" s="147"/>
      <c r="AH669" s="147"/>
      <c r="AI669" s="147"/>
      <c r="AJ669" s="147"/>
      <c r="AK669" s="147"/>
      <c r="AL669" s="147"/>
      <c r="AM669" s="147"/>
      <c r="AN669" s="147"/>
      <c r="AO669" s="147"/>
      <c r="AP669" s="147"/>
      <c r="AQ669" s="147"/>
      <c r="AR669" s="147"/>
      <c r="AS669" s="147"/>
    </row>
    <row r="670" spans="1:45" x14ac:dyDescent="0.25">
      <c r="A670" s="147"/>
      <c r="B670" s="147"/>
      <c r="C670" s="160"/>
      <c r="D670" s="160"/>
      <c r="E670" s="161"/>
      <c r="F670" s="162"/>
      <c r="G670" s="163"/>
      <c r="H670" s="163"/>
      <c r="I670" s="164"/>
      <c r="J670" s="162"/>
      <c r="K670" s="165"/>
      <c r="L670" s="166"/>
      <c r="M670" s="167"/>
      <c r="N670" s="167"/>
      <c r="O670" s="168"/>
      <c r="P670" s="168"/>
      <c r="Q670" s="147"/>
      <c r="R670" s="147"/>
      <c r="S670" s="169"/>
      <c r="T670" s="147"/>
      <c r="U670" s="147"/>
      <c r="V670" s="147"/>
      <c r="W670" s="147"/>
      <c r="X670" s="147"/>
      <c r="Y670" s="147"/>
      <c r="Z670" s="147"/>
      <c r="AA670" s="147"/>
      <c r="AB670" s="147"/>
      <c r="AC670" s="147"/>
      <c r="AD670" s="147"/>
      <c r="AE670" s="147"/>
      <c r="AF670" s="147"/>
      <c r="AG670" s="147"/>
      <c r="AH670" s="147"/>
      <c r="AI670" s="147"/>
      <c r="AJ670" s="147"/>
      <c r="AK670" s="147"/>
      <c r="AL670" s="147"/>
      <c r="AM670" s="147"/>
      <c r="AN670" s="147"/>
      <c r="AO670" s="147"/>
      <c r="AP670" s="147"/>
      <c r="AQ670" s="147"/>
      <c r="AR670" s="147"/>
      <c r="AS670" s="147"/>
    </row>
    <row r="671" spans="1:45" x14ac:dyDescent="0.25">
      <c r="A671" s="147"/>
      <c r="B671" s="147"/>
      <c r="C671" s="160"/>
      <c r="D671" s="160"/>
      <c r="E671" s="161"/>
      <c r="F671" s="162"/>
      <c r="G671" s="163"/>
      <c r="H671" s="163"/>
      <c r="I671" s="164"/>
      <c r="J671" s="162"/>
      <c r="K671" s="165"/>
      <c r="L671" s="166"/>
      <c r="M671" s="167"/>
      <c r="N671" s="167"/>
      <c r="O671" s="168"/>
      <c r="P671" s="168"/>
      <c r="Q671" s="147"/>
      <c r="R671" s="147"/>
      <c r="S671" s="169"/>
      <c r="T671" s="147"/>
      <c r="U671" s="147"/>
      <c r="V671" s="147"/>
      <c r="W671" s="147"/>
      <c r="X671" s="147"/>
      <c r="Y671" s="147"/>
      <c r="Z671" s="147"/>
      <c r="AA671" s="147"/>
      <c r="AB671" s="147"/>
      <c r="AC671" s="147"/>
      <c r="AD671" s="147"/>
      <c r="AE671" s="147"/>
      <c r="AF671" s="147"/>
      <c r="AG671" s="147"/>
      <c r="AH671" s="147"/>
      <c r="AI671" s="147"/>
      <c r="AJ671" s="147"/>
      <c r="AK671" s="147"/>
      <c r="AL671" s="147"/>
      <c r="AM671" s="147"/>
      <c r="AN671" s="147"/>
      <c r="AO671" s="147"/>
      <c r="AP671" s="147"/>
      <c r="AQ671" s="147"/>
      <c r="AR671" s="147"/>
      <c r="AS671" s="147"/>
    </row>
    <row r="672" spans="1:45" x14ac:dyDescent="0.25">
      <c r="A672" s="147"/>
      <c r="B672" s="147"/>
      <c r="C672" s="160"/>
      <c r="D672" s="160"/>
      <c r="E672" s="161"/>
      <c r="F672" s="162"/>
      <c r="G672" s="163"/>
      <c r="H672" s="163"/>
      <c r="I672" s="164"/>
      <c r="J672" s="162"/>
      <c r="K672" s="165"/>
      <c r="L672" s="166"/>
      <c r="M672" s="167"/>
      <c r="N672" s="167"/>
      <c r="O672" s="168"/>
      <c r="P672" s="168"/>
      <c r="Q672" s="147"/>
      <c r="R672" s="147"/>
      <c r="S672" s="169"/>
      <c r="T672" s="147"/>
      <c r="U672" s="147"/>
      <c r="V672" s="147"/>
      <c r="W672" s="147"/>
      <c r="X672" s="147"/>
      <c r="Y672" s="147"/>
      <c r="Z672" s="147"/>
      <c r="AA672" s="147"/>
      <c r="AB672" s="147"/>
      <c r="AC672" s="147"/>
      <c r="AD672" s="147"/>
      <c r="AE672" s="147"/>
      <c r="AF672" s="147"/>
      <c r="AG672" s="147"/>
      <c r="AH672" s="147"/>
      <c r="AI672" s="147"/>
      <c r="AJ672" s="147"/>
      <c r="AK672" s="147"/>
      <c r="AL672" s="147"/>
      <c r="AM672" s="147"/>
      <c r="AN672" s="147"/>
      <c r="AO672" s="147"/>
      <c r="AP672" s="147"/>
      <c r="AQ672" s="147"/>
      <c r="AR672" s="147"/>
      <c r="AS672" s="147"/>
    </row>
    <row r="673" spans="1:45" x14ac:dyDescent="0.25">
      <c r="A673" s="147"/>
      <c r="B673" s="147"/>
      <c r="C673" s="160"/>
      <c r="D673" s="160"/>
      <c r="E673" s="161"/>
      <c r="F673" s="162"/>
      <c r="G673" s="163"/>
      <c r="H673" s="163"/>
      <c r="I673" s="164"/>
      <c r="J673" s="162"/>
      <c r="K673" s="165"/>
      <c r="L673" s="166"/>
      <c r="M673" s="167"/>
      <c r="N673" s="167"/>
      <c r="O673" s="168"/>
      <c r="P673" s="168"/>
      <c r="Q673" s="147"/>
      <c r="R673" s="147"/>
      <c r="S673" s="169"/>
      <c r="T673" s="147"/>
      <c r="U673" s="147"/>
      <c r="V673" s="147"/>
      <c r="W673" s="147"/>
      <c r="X673" s="147"/>
      <c r="Y673" s="147"/>
      <c r="Z673" s="147"/>
      <c r="AA673" s="147"/>
      <c r="AB673" s="147"/>
      <c r="AC673" s="147"/>
      <c r="AD673" s="147"/>
      <c r="AE673" s="147"/>
      <c r="AF673" s="147"/>
      <c r="AG673" s="147"/>
      <c r="AH673" s="147"/>
      <c r="AI673" s="147"/>
      <c r="AJ673" s="147"/>
      <c r="AK673" s="147"/>
      <c r="AL673" s="147"/>
      <c r="AM673" s="147"/>
      <c r="AN673" s="147"/>
      <c r="AO673" s="147"/>
      <c r="AP673" s="147"/>
      <c r="AQ673" s="147"/>
      <c r="AR673" s="147"/>
      <c r="AS673" s="147"/>
    </row>
    <row r="674" spans="1:45" x14ac:dyDescent="0.25">
      <c r="A674" s="147"/>
      <c r="B674" s="147"/>
      <c r="C674" s="160"/>
      <c r="D674" s="160"/>
      <c r="E674" s="161"/>
      <c r="F674" s="162"/>
      <c r="G674" s="163"/>
      <c r="H674" s="163"/>
      <c r="I674" s="164"/>
      <c r="J674" s="162"/>
      <c r="K674" s="165"/>
      <c r="L674" s="166"/>
      <c r="M674" s="167"/>
      <c r="N674" s="167"/>
      <c r="O674" s="168"/>
      <c r="P674" s="168"/>
      <c r="Q674" s="147"/>
      <c r="R674" s="147"/>
      <c r="S674" s="169"/>
      <c r="T674" s="147"/>
      <c r="U674" s="147"/>
      <c r="V674" s="147"/>
      <c r="W674" s="147"/>
      <c r="X674" s="147"/>
      <c r="Y674" s="147"/>
      <c r="Z674" s="147"/>
      <c r="AA674" s="147"/>
      <c r="AB674" s="147"/>
      <c r="AC674" s="147"/>
      <c r="AD674" s="147"/>
      <c r="AE674" s="147"/>
      <c r="AF674" s="147"/>
      <c r="AG674" s="147"/>
      <c r="AH674" s="147"/>
      <c r="AI674" s="147"/>
      <c r="AJ674" s="147"/>
      <c r="AK674" s="147"/>
      <c r="AL674" s="147"/>
      <c r="AM674" s="147"/>
      <c r="AN674" s="147"/>
      <c r="AO674" s="147"/>
      <c r="AP674" s="147"/>
      <c r="AQ674" s="147"/>
      <c r="AR674" s="147"/>
      <c r="AS674" s="147"/>
    </row>
    <row r="675" spans="1:45" x14ac:dyDescent="0.25">
      <c r="A675" s="147"/>
      <c r="B675" s="147"/>
      <c r="C675" s="160"/>
      <c r="D675" s="160"/>
      <c r="E675" s="161"/>
      <c r="F675" s="162"/>
      <c r="G675" s="163"/>
      <c r="H675" s="163"/>
      <c r="I675" s="164"/>
      <c r="J675" s="162"/>
      <c r="K675" s="165"/>
      <c r="L675" s="166"/>
      <c r="M675" s="167"/>
      <c r="N675" s="167"/>
      <c r="O675" s="168"/>
      <c r="P675" s="168"/>
      <c r="Q675" s="147"/>
      <c r="R675" s="147"/>
      <c r="S675" s="169"/>
      <c r="T675" s="147"/>
      <c r="U675" s="147"/>
      <c r="V675" s="147"/>
      <c r="W675" s="147"/>
      <c r="X675" s="147"/>
      <c r="Y675" s="147"/>
      <c r="Z675" s="147"/>
      <c r="AA675" s="147"/>
      <c r="AB675" s="147"/>
      <c r="AC675" s="147"/>
      <c r="AD675" s="147"/>
      <c r="AE675" s="147"/>
      <c r="AF675" s="147"/>
      <c r="AG675" s="147"/>
      <c r="AH675" s="147"/>
      <c r="AI675" s="147"/>
      <c r="AJ675" s="147"/>
      <c r="AK675" s="147"/>
      <c r="AL675" s="147"/>
      <c r="AM675" s="147"/>
      <c r="AN675" s="147"/>
      <c r="AO675" s="147"/>
      <c r="AP675" s="147"/>
      <c r="AQ675" s="147"/>
      <c r="AR675" s="147"/>
      <c r="AS675" s="147"/>
    </row>
    <row r="676" spans="1:45" x14ac:dyDescent="0.25">
      <c r="A676" s="147"/>
      <c r="B676" s="147"/>
      <c r="C676" s="160"/>
      <c r="D676" s="160"/>
      <c r="E676" s="161"/>
      <c r="F676" s="162"/>
      <c r="G676" s="163"/>
      <c r="H676" s="163"/>
      <c r="I676" s="164"/>
      <c r="J676" s="162"/>
      <c r="K676" s="165"/>
      <c r="L676" s="166"/>
      <c r="M676" s="167"/>
      <c r="N676" s="167"/>
      <c r="O676" s="168"/>
      <c r="P676" s="168"/>
      <c r="Q676" s="147"/>
      <c r="R676" s="147"/>
      <c r="S676" s="169"/>
      <c r="T676" s="147"/>
      <c r="U676" s="147"/>
      <c r="V676" s="147"/>
      <c r="W676" s="147"/>
      <c r="X676" s="147"/>
      <c r="Y676" s="147"/>
      <c r="Z676" s="147"/>
      <c r="AA676" s="147"/>
      <c r="AB676" s="147"/>
      <c r="AC676" s="147"/>
      <c r="AD676" s="147"/>
      <c r="AE676" s="147"/>
      <c r="AF676" s="147"/>
      <c r="AG676" s="147"/>
      <c r="AH676" s="147"/>
      <c r="AI676" s="147"/>
      <c r="AJ676" s="147"/>
      <c r="AK676" s="147"/>
      <c r="AL676" s="147"/>
      <c r="AM676" s="147"/>
      <c r="AN676" s="147"/>
      <c r="AO676" s="147"/>
      <c r="AP676" s="147"/>
      <c r="AQ676" s="147"/>
      <c r="AR676" s="147"/>
      <c r="AS676" s="147"/>
    </row>
    <row r="677" spans="1:45" x14ac:dyDescent="0.25">
      <c r="A677" s="147"/>
      <c r="B677" s="147"/>
      <c r="C677" s="160"/>
      <c r="D677" s="160"/>
      <c r="E677" s="161"/>
      <c r="F677" s="162"/>
      <c r="G677" s="163"/>
      <c r="H677" s="163"/>
      <c r="I677" s="164"/>
      <c r="J677" s="162"/>
      <c r="K677" s="165"/>
      <c r="L677" s="166"/>
      <c r="M677" s="167"/>
      <c r="N677" s="167"/>
      <c r="O677" s="168"/>
      <c r="P677" s="168"/>
      <c r="Q677" s="147"/>
      <c r="R677" s="147"/>
      <c r="S677" s="169"/>
      <c r="T677" s="147"/>
      <c r="U677" s="147"/>
      <c r="V677" s="147"/>
      <c r="W677" s="147"/>
      <c r="X677" s="147"/>
      <c r="Y677" s="147"/>
      <c r="Z677" s="147"/>
      <c r="AA677" s="147"/>
      <c r="AB677" s="147"/>
      <c r="AC677" s="147"/>
      <c r="AD677" s="147"/>
      <c r="AE677" s="147"/>
      <c r="AF677" s="147"/>
      <c r="AG677" s="147"/>
      <c r="AH677" s="147"/>
      <c r="AI677" s="147"/>
      <c r="AJ677" s="147"/>
      <c r="AK677" s="147"/>
      <c r="AL677" s="147"/>
      <c r="AM677" s="147"/>
      <c r="AN677" s="147"/>
      <c r="AO677" s="147"/>
      <c r="AP677" s="147"/>
      <c r="AQ677" s="147"/>
      <c r="AR677" s="147"/>
      <c r="AS677" s="147"/>
    </row>
    <row r="678" spans="1:45" x14ac:dyDescent="0.25">
      <c r="A678" s="147"/>
      <c r="B678" s="147"/>
      <c r="C678" s="160"/>
      <c r="D678" s="160"/>
      <c r="E678" s="161"/>
      <c r="F678" s="162"/>
      <c r="G678" s="163"/>
      <c r="H678" s="163"/>
      <c r="I678" s="164"/>
      <c r="J678" s="162"/>
      <c r="K678" s="165"/>
      <c r="L678" s="166"/>
      <c r="M678" s="167"/>
      <c r="N678" s="167"/>
      <c r="O678" s="168"/>
      <c r="P678" s="168"/>
      <c r="Q678" s="147"/>
      <c r="R678" s="147"/>
      <c r="S678" s="169"/>
      <c r="T678" s="147"/>
      <c r="U678" s="147"/>
      <c r="V678" s="147"/>
      <c r="W678" s="147"/>
      <c r="X678" s="147"/>
      <c r="Y678" s="147"/>
      <c r="Z678" s="147"/>
      <c r="AA678" s="147"/>
      <c r="AB678" s="147"/>
      <c r="AC678" s="147"/>
      <c r="AD678" s="147"/>
      <c r="AE678" s="147"/>
      <c r="AF678" s="147"/>
      <c r="AG678" s="147"/>
      <c r="AH678" s="147"/>
      <c r="AI678" s="147"/>
      <c r="AJ678" s="147"/>
      <c r="AK678" s="147"/>
      <c r="AL678" s="147"/>
      <c r="AM678" s="147"/>
      <c r="AN678" s="147"/>
      <c r="AO678" s="147"/>
      <c r="AP678" s="147"/>
      <c r="AQ678" s="147"/>
      <c r="AR678" s="147"/>
      <c r="AS678" s="147"/>
    </row>
    <row r="679" spans="1:45" x14ac:dyDescent="0.25">
      <c r="A679" s="147"/>
      <c r="B679" s="147"/>
      <c r="C679" s="160"/>
      <c r="D679" s="160"/>
      <c r="E679" s="161"/>
      <c r="F679" s="162"/>
      <c r="G679" s="163"/>
      <c r="H679" s="163"/>
      <c r="I679" s="164"/>
      <c r="J679" s="162"/>
      <c r="K679" s="165"/>
      <c r="L679" s="166"/>
      <c r="M679" s="167"/>
      <c r="N679" s="167"/>
      <c r="O679" s="168"/>
      <c r="P679" s="168"/>
      <c r="Q679" s="147"/>
      <c r="R679" s="147"/>
      <c r="S679" s="169"/>
      <c r="T679" s="147"/>
      <c r="U679" s="147"/>
      <c r="V679" s="147"/>
      <c r="W679" s="147"/>
      <c r="X679" s="147"/>
      <c r="Y679" s="147"/>
      <c r="Z679" s="147"/>
      <c r="AA679" s="147"/>
      <c r="AB679" s="147"/>
      <c r="AC679" s="147"/>
      <c r="AD679" s="147"/>
      <c r="AE679" s="147"/>
      <c r="AF679" s="147"/>
      <c r="AG679" s="147"/>
      <c r="AH679" s="147"/>
      <c r="AI679" s="147"/>
      <c r="AJ679" s="147"/>
      <c r="AK679" s="147"/>
      <c r="AL679" s="147"/>
      <c r="AM679" s="147"/>
      <c r="AN679" s="147"/>
      <c r="AO679" s="147"/>
      <c r="AP679" s="147"/>
      <c r="AQ679" s="147"/>
      <c r="AR679" s="147"/>
      <c r="AS679" s="147"/>
    </row>
    <row r="680" spans="1:45" x14ac:dyDescent="0.25">
      <c r="A680" s="147"/>
      <c r="B680" s="147"/>
      <c r="C680" s="160"/>
      <c r="D680" s="160"/>
      <c r="E680" s="161"/>
      <c r="F680" s="162"/>
      <c r="G680" s="163"/>
      <c r="H680" s="163"/>
      <c r="I680" s="164"/>
      <c r="J680" s="162"/>
      <c r="K680" s="165"/>
      <c r="L680" s="166"/>
      <c r="M680" s="167"/>
      <c r="N680" s="167"/>
      <c r="O680" s="168"/>
      <c r="P680" s="168"/>
      <c r="Q680" s="147"/>
      <c r="R680" s="147"/>
      <c r="S680" s="169"/>
      <c r="T680" s="147"/>
      <c r="U680" s="147"/>
      <c r="V680" s="147"/>
      <c r="W680" s="147"/>
      <c r="X680" s="147"/>
      <c r="Y680" s="147"/>
      <c r="Z680" s="147"/>
      <c r="AA680" s="147"/>
      <c r="AB680" s="147"/>
      <c r="AC680" s="147"/>
      <c r="AD680" s="147"/>
      <c r="AE680" s="147"/>
      <c r="AF680" s="147"/>
      <c r="AG680" s="147"/>
      <c r="AH680" s="147"/>
      <c r="AI680" s="147"/>
      <c r="AJ680" s="147"/>
      <c r="AK680" s="147"/>
      <c r="AL680" s="147"/>
      <c r="AM680" s="147"/>
      <c r="AN680" s="147"/>
      <c r="AO680" s="147"/>
      <c r="AP680" s="147"/>
      <c r="AQ680" s="147"/>
      <c r="AR680" s="147"/>
      <c r="AS680" s="147"/>
    </row>
    <row r="681" spans="1:45" x14ac:dyDescent="0.25">
      <c r="A681" s="147"/>
      <c r="B681" s="147"/>
      <c r="C681" s="160"/>
      <c r="D681" s="160"/>
      <c r="E681" s="161"/>
      <c r="F681" s="162"/>
      <c r="G681" s="163"/>
      <c r="H681" s="163"/>
      <c r="I681" s="164"/>
      <c r="J681" s="162"/>
      <c r="K681" s="165"/>
      <c r="L681" s="166"/>
      <c r="M681" s="167"/>
      <c r="N681" s="167"/>
      <c r="O681" s="168"/>
      <c r="P681" s="168"/>
      <c r="Q681" s="147"/>
      <c r="R681" s="147"/>
      <c r="S681" s="169"/>
      <c r="T681" s="147"/>
      <c r="U681" s="147"/>
      <c r="V681" s="147"/>
      <c r="W681" s="147"/>
      <c r="X681" s="147"/>
      <c r="Y681" s="147"/>
      <c r="Z681" s="147"/>
      <c r="AA681" s="147"/>
      <c r="AB681" s="147"/>
      <c r="AC681" s="147"/>
      <c r="AD681" s="147"/>
      <c r="AE681" s="147"/>
      <c r="AF681" s="147"/>
      <c r="AG681" s="147"/>
      <c r="AH681" s="147"/>
      <c r="AI681" s="147"/>
      <c r="AJ681" s="147"/>
      <c r="AK681" s="147"/>
      <c r="AL681" s="147"/>
      <c r="AM681" s="147"/>
      <c r="AN681" s="147"/>
      <c r="AO681" s="147"/>
      <c r="AP681" s="147"/>
      <c r="AQ681" s="147"/>
      <c r="AR681" s="147"/>
      <c r="AS681" s="147"/>
    </row>
    <row r="682" spans="1:45" x14ac:dyDescent="0.25">
      <c r="A682" s="147"/>
      <c r="B682" s="147"/>
      <c r="C682" s="160"/>
      <c r="D682" s="160"/>
      <c r="E682" s="161"/>
      <c r="F682" s="162"/>
      <c r="G682" s="163"/>
      <c r="H682" s="163"/>
      <c r="I682" s="164"/>
      <c r="J682" s="162"/>
      <c r="K682" s="165"/>
      <c r="L682" s="166"/>
      <c r="M682" s="167"/>
      <c r="N682" s="167"/>
      <c r="O682" s="168"/>
      <c r="P682" s="168"/>
      <c r="Q682" s="147"/>
      <c r="R682" s="147"/>
      <c r="S682" s="169"/>
      <c r="T682" s="147"/>
      <c r="U682" s="147"/>
      <c r="V682" s="147"/>
      <c r="W682" s="147"/>
      <c r="X682" s="147"/>
      <c r="Y682" s="147"/>
      <c r="Z682" s="147"/>
      <c r="AA682" s="147"/>
      <c r="AB682" s="147"/>
      <c r="AC682" s="147"/>
      <c r="AD682" s="147"/>
      <c r="AE682" s="147"/>
      <c r="AF682" s="147"/>
      <c r="AG682" s="147"/>
      <c r="AH682" s="147"/>
      <c r="AI682" s="147"/>
      <c r="AJ682" s="147"/>
      <c r="AK682" s="147"/>
      <c r="AL682" s="147"/>
      <c r="AM682" s="147"/>
      <c r="AN682" s="147"/>
      <c r="AO682" s="147"/>
      <c r="AP682" s="147"/>
      <c r="AQ682" s="147"/>
      <c r="AR682" s="147"/>
      <c r="AS682" s="147"/>
    </row>
    <row r="683" spans="1:45" x14ac:dyDescent="0.25">
      <c r="A683" s="147"/>
      <c r="B683" s="147"/>
      <c r="C683" s="160"/>
      <c r="D683" s="160"/>
      <c r="E683" s="161"/>
      <c r="F683" s="162"/>
      <c r="G683" s="163"/>
      <c r="H683" s="163"/>
      <c r="I683" s="164"/>
      <c r="J683" s="162"/>
      <c r="K683" s="165"/>
      <c r="L683" s="166"/>
      <c r="M683" s="167"/>
      <c r="N683" s="167"/>
      <c r="O683" s="168"/>
      <c r="P683" s="168"/>
      <c r="Q683" s="147"/>
      <c r="R683" s="147"/>
      <c r="S683" s="169"/>
      <c r="T683" s="147"/>
      <c r="U683" s="147"/>
      <c r="V683" s="147"/>
      <c r="W683" s="147"/>
      <c r="X683" s="147"/>
      <c r="Y683" s="147"/>
      <c r="Z683" s="147"/>
      <c r="AA683" s="147"/>
      <c r="AB683" s="147"/>
      <c r="AC683" s="147"/>
      <c r="AD683" s="147"/>
      <c r="AE683" s="147"/>
      <c r="AF683" s="147"/>
      <c r="AG683" s="147"/>
      <c r="AH683" s="147"/>
      <c r="AI683" s="147"/>
      <c r="AJ683" s="147"/>
      <c r="AK683" s="147"/>
      <c r="AL683" s="147"/>
      <c r="AM683" s="147"/>
      <c r="AN683" s="147"/>
      <c r="AO683" s="147"/>
      <c r="AP683" s="147"/>
      <c r="AQ683" s="147"/>
      <c r="AR683" s="147"/>
      <c r="AS683" s="147"/>
    </row>
    <row r="684" spans="1:45" x14ac:dyDescent="0.25">
      <c r="A684" s="147"/>
      <c r="B684" s="147"/>
      <c r="C684" s="160"/>
      <c r="D684" s="160"/>
      <c r="E684" s="161"/>
      <c r="F684" s="162"/>
      <c r="G684" s="163"/>
      <c r="H684" s="163"/>
      <c r="I684" s="164"/>
      <c r="J684" s="162"/>
      <c r="K684" s="165"/>
      <c r="L684" s="166"/>
      <c r="M684" s="167"/>
      <c r="N684" s="167"/>
      <c r="O684" s="168"/>
      <c r="P684" s="168"/>
      <c r="Q684" s="147"/>
      <c r="R684" s="147"/>
      <c r="S684" s="169"/>
      <c r="T684" s="147"/>
      <c r="U684" s="147"/>
      <c r="V684" s="147"/>
      <c r="W684" s="147"/>
      <c r="X684" s="147"/>
      <c r="Y684" s="147"/>
      <c r="Z684" s="147"/>
      <c r="AA684" s="147"/>
      <c r="AB684" s="147"/>
      <c r="AC684" s="147"/>
      <c r="AD684" s="147"/>
      <c r="AE684" s="147"/>
      <c r="AF684" s="147"/>
      <c r="AG684" s="147"/>
      <c r="AH684" s="147"/>
      <c r="AI684" s="147"/>
      <c r="AJ684" s="147"/>
      <c r="AK684" s="147"/>
      <c r="AL684" s="147"/>
      <c r="AM684" s="147"/>
      <c r="AN684" s="147"/>
      <c r="AO684" s="147"/>
      <c r="AP684" s="147"/>
      <c r="AQ684" s="147"/>
      <c r="AR684" s="147"/>
      <c r="AS684" s="147"/>
    </row>
    <row r="685" spans="1:45" x14ac:dyDescent="0.25">
      <c r="A685" s="147"/>
      <c r="B685" s="147"/>
      <c r="C685" s="160"/>
      <c r="D685" s="160"/>
      <c r="E685" s="161"/>
      <c r="F685" s="162"/>
      <c r="G685" s="163"/>
      <c r="H685" s="163"/>
      <c r="I685" s="164"/>
      <c r="J685" s="162"/>
      <c r="K685" s="165"/>
      <c r="L685" s="166"/>
      <c r="M685" s="167"/>
      <c r="N685" s="167"/>
      <c r="O685" s="168"/>
      <c r="P685" s="168"/>
      <c r="Q685" s="147"/>
      <c r="R685" s="147"/>
      <c r="S685" s="169"/>
      <c r="T685" s="147"/>
      <c r="U685" s="147"/>
      <c r="V685" s="147"/>
      <c r="W685" s="147"/>
      <c r="X685" s="147"/>
      <c r="Y685" s="147"/>
      <c r="Z685" s="147"/>
      <c r="AA685" s="147"/>
      <c r="AB685" s="147"/>
      <c r="AC685" s="147"/>
      <c r="AD685" s="147"/>
      <c r="AE685" s="147"/>
      <c r="AF685" s="147"/>
      <c r="AG685" s="147"/>
      <c r="AH685" s="147"/>
      <c r="AI685" s="147"/>
      <c r="AJ685" s="147"/>
      <c r="AK685" s="147"/>
      <c r="AL685" s="147"/>
      <c r="AM685" s="147"/>
      <c r="AN685" s="147"/>
      <c r="AO685" s="147"/>
      <c r="AP685" s="147"/>
      <c r="AQ685" s="147"/>
      <c r="AR685" s="147"/>
      <c r="AS685" s="147"/>
    </row>
    <row r="686" spans="1:45" x14ac:dyDescent="0.25">
      <c r="A686" s="147"/>
      <c r="B686" s="147"/>
      <c r="C686" s="160"/>
      <c r="D686" s="160"/>
      <c r="E686" s="161"/>
      <c r="F686" s="162"/>
      <c r="G686" s="163"/>
      <c r="H686" s="163"/>
      <c r="I686" s="164"/>
      <c r="J686" s="162"/>
      <c r="K686" s="165"/>
      <c r="L686" s="166"/>
      <c r="M686" s="167"/>
      <c r="N686" s="167"/>
      <c r="O686" s="168"/>
      <c r="P686" s="168"/>
      <c r="Q686" s="147"/>
      <c r="R686" s="147"/>
      <c r="S686" s="169"/>
      <c r="T686" s="147"/>
      <c r="U686" s="147"/>
      <c r="V686" s="147"/>
      <c r="W686" s="147"/>
      <c r="X686" s="147"/>
      <c r="Y686" s="147"/>
      <c r="Z686" s="147"/>
      <c r="AA686" s="147"/>
      <c r="AB686" s="147"/>
      <c r="AC686" s="147"/>
      <c r="AD686" s="147"/>
      <c r="AE686" s="147"/>
      <c r="AF686" s="147"/>
      <c r="AG686" s="147"/>
      <c r="AH686" s="147"/>
      <c r="AI686" s="147"/>
      <c r="AJ686" s="147"/>
      <c r="AK686" s="147"/>
      <c r="AL686" s="147"/>
      <c r="AM686" s="147"/>
      <c r="AN686" s="147"/>
      <c r="AO686" s="147"/>
      <c r="AP686" s="147"/>
      <c r="AQ686" s="147"/>
      <c r="AR686" s="147"/>
      <c r="AS686" s="147"/>
    </row>
    <row r="687" spans="1:45" x14ac:dyDescent="0.25">
      <c r="A687" s="147"/>
      <c r="B687" s="147"/>
      <c r="C687" s="160"/>
      <c r="D687" s="160"/>
      <c r="E687" s="161"/>
      <c r="F687" s="162"/>
      <c r="G687" s="163"/>
      <c r="H687" s="163"/>
      <c r="I687" s="164"/>
      <c r="J687" s="162"/>
      <c r="K687" s="165"/>
      <c r="L687" s="166"/>
      <c r="M687" s="167"/>
      <c r="N687" s="167"/>
      <c r="O687" s="168"/>
      <c r="P687" s="168"/>
      <c r="Q687" s="147"/>
      <c r="R687" s="147"/>
      <c r="S687" s="169"/>
      <c r="T687" s="147"/>
      <c r="U687" s="147"/>
      <c r="V687" s="147"/>
      <c r="W687" s="147"/>
      <c r="X687" s="147"/>
      <c r="Y687" s="147"/>
      <c r="Z687" s="147"/>
      <c r="AA687" s="147"/>
      <c r="AB687" s="147"/>
      <c r="AC687" s="147"/>
      <c r="AD687" s="147"/>
      <c r="AE687" s="147"/>
      <c r="AF687" s="147"/>
      <c r="AG687" s="147"/>
      <c r="AH687" s="147"/>
      <c r="AI687" s="147"/>
      <c r="AJ687" s="147"/>
      <c r="AK687" s="147"/>
      <c r="AL687" s="147"/>
      <c r="AM687" s="147"/>
      <c r="AN687" s="147"/>
      <c r="AO687" s="147"/>
      <c r="AP687" s="147"/>
      <c r="AQ687" s="147"/>
      <c r="AR687" s="147"/>
      <c r="AS687" s="147"/>
    </row>
    <row r="688" spans="1:45" x14ac:dyDescent="0.25">
      <c r="A688" s="147"/>
      <c r="B688" s="147"/>
      <c r="C688" s="160"/>
      <c r="D688" s="160"/>
      <c r="E688" s="161"/>
      <c r="F688" s="162"/>
      <c r="G688" s="163"/>
      <c r="H688" s="163"/>
      <c r="I688" s="164"/>
      <c r="J688" s="162"/>
      <c r="K688" s="165"/>
      <c r="L688" s="166"/>
      <c r="M688" s="167"/>
      <c r="N688" s="167"/>
      <c r="O688" s="168"/>
      <c r="P688" s="168"/>
      <c r="Q688" s="147"/>
      <c r="R688" s="147"/>
      <c r="S688" s="169"/>
      <c r="T688" s="147"/>
      <c r="U688" s="147"/>
      <c r="V688" s="147"/>
      <c r="W688" s="147"/>
      <c r="X688" s="147"/>
      <c r="Y688" s="147"/>
      <c r="Z688" s="147"/>
      <c r="AA688" s="147"/>
      <c r="AB688" s="147"/>
      <c r="AC688" s="147"/>
      <c r="AD688" s="147"/>
      <c r="AE688" s="147"/>
      <c r="AF688" s="147"/>
      <c r="AG688" s="147"/>
      <c r="AH688" s="147"/>
      <c r="AI688" s="147"/>
      <c r="AJ688" s="147"/>
      <c r="AK688" s="147"/>
      <c r="AL688" s="147"/>
      <c r="AM688" s="147"/>
      <c r="AN688" s="147"/>
      <c r="AO688" s="147"/>
      <c r="AP688" s="147"/>
      <c r="AQ688" s="147"/>
      <c r="AR688" s="147"/>
      <c r="AS688" s="147"/>
    </row>
    <row r="689" spans="1:45" x14ac:dyDescent="0.25">
      <c r="A689" s="147"/>
      <c r="B689" s="147"/>
      <c r="C689" s="160"/>
      <c r="D689" s="160"/>
      <c r="E689" s="161"/>
      <c r="F689" s="162"/>
      <c r="G689" s="163"/>
      <c r="H689" s="163"/>
      <c r="I689" s="164"/>
      <c r="J689" s="162"/>
      <c r="K689" s="165"/>
      <c r="L689" s="166"/>
      <c r="M689" s="167"/>
      <c r="N689" s="167"/>
      <c r="O689" s="168"/>
      <c r="P689" s="168"/>
      <c r="Q689" s="147"/>
      <c r="R689" s="147"/>
      <c r="S689" s="169"/>
      <c r="T689" s="147"/>
      <c r="U689" s="147"/>
      <c r="V689" s="147"/>
      <c r="W689" s="147"/>
      <c r="X689" s="147"/>
      <c r="Y689" s="147"/>
      <c r="Z689" s="147"/>
      <c r="AA689" s="147"/>
      <c r="AB689" s="147"/>
      <c r="AC689" s="147"/>
      <c r="AD689" s="147"/>
      <c r="AE689" s="147"/>
      <c r="AF689" s="147"/>
      <c r="AG689" s="147"/>
      <c r="AH689" s="147"/>
      <c r="AI689" s="147"/>
      <c r="AJ689" s="147"/>
      <c r="AK689" s="147"/>
      <c r="AL689" s="147"/>
      <c r="AM689" s="147"/>
      <c r="AN689" s="147"/>
      <c r="AO689" s="147"/>
      <c r="AP689" s="147"/>
      <c r="AQ689" s="147"/>
      <c r="AR689" s="147"/>
      <c r="AS689" s="147"/>
    </row>
    <row r="690" spans="1:45" x14ac:dyDescent="0.25">
      <c r="A690" s="147"/>
      <c r="B690" s="147"/>
      <c r="C690" s="160"/>
      <c r="D690" s="160"/>
      <c r="E690" s="161"/>
      <c r="F690" s="162"/>
      <c r="G690" s="163"/>
      <c r="H690" s="163"/>
      <c r="I690" s="164"/>
      <c r="J690" s="162"/>
      <c r="K690" s="165"/>
      <c r="L690" s="166"/>
      <c r="M690" s="167"/>
      <c r="N690" s="167"/>
      <c r="O690" s="168"/>
      <c r="P690" s="168"/>
      <c r="Q690" s="147"/>
      <c r="R690" s="147"/>
      <c r="S690" s="169"/>
      <c r="T690" s="147"/>
      <c r="U690" s="147"/>
      <c r="V690" s="147"/>
      <c r="W690" s="147"/>
      <c r="X690" s="147"/>
      <c r="Y690" s="147"/>
      <c r="Z690" s="147"/>
      <c r="AA690" s="147"/>
      <c r="AB690" s="147"/>
      <c r="AC690" s="147"/>
      <c r="AD690" s="147"/>
      <c r="AE690" s="147"/>
      <c r="AF690" s="147"/>
      <c r="AG690" s="147"/>
      <c r="AH690" s="147"/>
      <c r="AI690" s="147"/>
      <c r="AJ690" s="147"/>
      <c r="AK690" s="147"/>
      <c r="AL690" s="147"/>
      <c r="AM690" s="147"/>
      <c r="AN690" s="147"/>
      <c r="AO690" s="147"/>
      <c r="AP690" s="147"/>
      <c r="AQ690" s="147"/>
      <c r="AR690" s="147"/>
      <c r="AS690" s="147"/>
    </row>
    <row r="691" spans="1:45" x14ac:dyDescent="0.25">
      <c r="A691" s="147"/>
      <c r="B691" s="147"/>
      <c r="C691" s="160"/>
      <c r="D691" s="160"/>
      <c r="E691" s="161"/>
      <c r="F691" s="162"/>
      <c r="G691" s="163"/>
      <c r="H691" s="163"/>
      <c r="I691" s="164"/>
      <c r="J691" s="162"/>
      <c r="K691" s="165"/>
      <c r="L691" s="166"/>
      <c r="M691" s="167"/>
      <c r="N691" s="167"/>
      <c r="O691" s="168"/>
      <c r="P691" s="168"/>
      <c r="Q691" s="147"/>
      <c r="R691" s="147"/>
      <c r="S691" s="169"/>
      <c r="T691" s="147"/>
      <c r="U691" s="147"/>
      <c r="V691" s="147"/>
      <c r="W691" s="147"/>
      <c r="X691" s="147"/>
      <c r="Y691" s="147"/>
      <c r="Z691" s="147"/>
      <c r="AA691" s="147"/>
      <c r="AB691" s="147"/>
      <c r="AC691" s="147"/>
      <c r="AD691" s="147"/>
      <c r="AE691" s="147"/>
      <c r="AF691" s="147"/>
      <c r="AG691" s="147"/>
      <c r="AH691" s="147"/>
      <c r="AI691" s="147"/>
      <c r="AJ691" s="147"/>
      <c r="AK691" s="147"/>
      <c r="AL691" s="147"/>
      <c r="AM691" s="147"/>
      <c r="AN691" s="147"/>
      <c r="AO691" s="147"/>
      <c r="AP691" s="147"/>
      <c r="AQ691" s="147"/>
      <c r="AR691" s="147"/>
      <c r="AS691" s="147"/>
    </row>
    <row r="692" spans="1:45" x14ac:dyDescent="0.25">
      <c r="A692" s="147"/>
      <c r="B692" s="147"/>
      <c r="C692" s="160"/>
      <c r="D692" s="160"/>
      <c r="E692" s="161"/>
      <c r="F692" s="162"/>
      <c r="G692" s="163"/>
      <c r="H692" s="163"/>
      <c r="I692" s="164"/>
      <c r="J692" s="162"/>
      <c r="K692" s="165"/>
      <c r="L692" s="166"/>
      <c r="M692" s="167"/>
      <c r="N692" s="167"/>
      <c r="O692" s="168"/>
      <c r="P692" s="168"/>
      <c r="Q692" s="147"/>
      <c r="R692" s="147"/>
      <c r="S692" s="169"/>
      <c r="T692" s="147"/>
      <c r="U692" s="147"/>
      <c r="V692" s="147"/>
      <c r="W692" s="147"/>
      <c r="X692" s="147"/>
      <c r="Y692" s="147"/>
      <c r="Z692" s="147"/>
      <c r="AA692" s="147"/>
      <c r="AB692" s="147"/>
      <c r="AC692" s="147"/>
      <c r="AD692" s="147"/>
      <c r="AE692" s="147"/>
      <c r="AF692" s="147"/>
      <c r="AG692" s="147"/>
      <c r="AH692" s="147"/>
      <c r="AI692" s="147"/>
      <c r="AJ692" s="147"/>
      <c r="AK692" s="147"/>
      <c r="AL692" s="147"/>
      <c r="AM692" s="147"/>
      <c r="AN692" s="147"/>
      <c r="AO692" s="147"/>
      <c r="AP692" s="147"/>
      <c r="AQ692" s="147"/>
      <c r="AR692" s="147"/>
      <c r="AS692" s="147"/>
    </row>
    <row r="693" spans="1:45" x14ac:dyDescent="0.25">
      <c r="A693" s="147"/>
      <c r="B693" s="147"/>
      <c r="C693" s="160"/>
      <c r="D693" s="160"/>
      <c r="E693" s="161"/>
      <c r="F693" s="162"/>
      <c r="G693" s="163"/>
      <c r="H693" s="163"/>
      <c r="I693" s="164"/>
      <c r="J693" s="162"/>
      <c r="K693" s="165"/>
      <c r="L693" s="166"/>
      <c r="M693" s="167"/>
      <c r="N693" s="167"/>
      <c r="O693" s="168"/>
      <c r="P693" s="168"/>
      <c r="Q693" s="147"/>
      <c r="R693" s="147"/>
      <c r="S693" s="169"/>
      <c r="T693" s="147"/>
      <c r="U693" s="147"/>
      <c r="V693" s="147"/>
      <c r="W693" s="147"/>
      <c r="X693" s="147"/>
      <c r="Y693" s="147"/>
      <c r="Z693" s="147"/>
      <c r="AA693" s="147"/>
      <c r="AB693" s="147"/>
      <c r="AC693" s="147"/>
      <c r="AD693" s="147"/>
      <c r="AE693" s="147"/>
      <c r="AF693" s="147"/>
      <c r="AG693" s="147"/>
      <c r="AH693" s="147"/>
      <c r="AI693" s="147"/>
      <c r="AJ693" s="147"/>
      <c r="AK693" s="147"/>
      <c r="AL693" s="147"/>
      <c r="AM693" s="147"/>
      <c r="AN693" s="147"/>
      <c r="AO693" s="147"/>
      <c r="AP693" s="147"/>
      <c r="AQ693" s="147"/>
      <c r="AR693" s="147"/>
      <c r="AS693" s="147"/>
    </row>
    <row r="694" spans="1:45" x14ac:dyDescent="0.25">
      <c r="A694" s="147"/>
      <c r="B694" s="147"/>
      <c r="C694" s="160"/>
      <c r="D694" s="160"/>
      <c r="E694" s="161"/>
      <c r="F694" s="162"/>
      <c r="G694" s="163"/>
      <c r="H694" s="163"/>
      <c r="I694" s="164"/>
      <c r="J694" s="162"/>
      <c r="K694" s="165"/>
      <c r="L694" s="166"/>
      <c r="M694" s="167"/>
      <c r="N694" s="167"/>
      <c r="O694" s="168"/>
      <c r="P694" s="168"/>
      <c r="Q694" s="147"/>
      <c r="R694" s="147"/>
      <c r="S694" s="169"/>
      <c r="T694" s="147"/>
      <c r="U694" s="147"/>
      <c r="V694" s="147"/>
      <c r="W694" s="147"/>
      <c r="X694" s="147"/>
      <c r="Y694" s="147"/>
      <c r="Z694" s="147"/>
      <c r="AA694" s="147"/>
      <c r="AB694" s="147"/>
      <c r="AC694" s="147"/>
      <c r="AD694" s="147"/>
      <c r="AE694" s="147"/>
      <c r="AF694" s="147"/>
      <c r="AG694" s="147"/>
      <c r="AH694" s="147"/>
      <c r="AI694" s="147"/>
      <c r="AJ694" s="147"/>
      <c r="AK694" s="147"/>
      <c r="AL694" s="147"/>
      <c r="AM694" s="147"/>
      <c r="AN694" s="147"/>
      <c r="AO694" s="147"/>
      <c r="AP694" s="147"/>
      <c r="AQ694" s="147"/>
      <c r="AR694" s="147"/>
      <c r="AS694" s="147"/>
    </row>
    <row r="695" spans="1:45" x14ac:dyDescent="0.25">
      <c r="A695" s="147"/>
      <c r="B695" s="147"/>
      <c r="C695" s="160"/>
      <c r="D695" s="160"/>
      <c r="E695" s="161"/>
      <c r="F695" s="162"/>
      <c r="G695" s="163"/>
      <c r="H695" s="163"/>
      <c r="I695" s="164"/>
      <c r="J695" s="162"/>
      <c r="K695" s="165"/>
      <c r="L695" s="166"/>
      <c r="M695" s="167"/>
      <c r="N695" s="167"/>
      <c r="O695" s="168"/>
      <c r="P695" s="168"/>
      <c r="Q695" s="147"/>
      <c r="R695" s="147"/>
      <c r="S695" s="169"/>
      <c r="T695" s="147"/>
      <c r="U695" s="147"/>
      <c r="V695" s="147"/>
      <c r="W695" s="147"/>
      <c r="X695" s="147"/>
      <c r="Y695" s="147"/>
      <c r="Z695" s="147"/>
      <c r="AA695" s="147"/>
      <c r="AB695" s="147"/>
      <c r="AC695" s="147"/>
      <c r="AD695" s="147"/>
      <c r="AE695" s="147"/>
      <c r="AF695" s="147"/>
      <c r="AG695" s="147"/>
      <c r="AH695" s="147"/>
      <c r="AI695" s="147"/>
      <c r="AJ695" s="147"/>
      <c r="AK695" s="147"/>
      <c r="AL695" s="147"/>
      <c r="AM695" s="147"/>
      <c r="AN695" s="147"/>
      <c r="AO695" s="147"/>
      <c r="AP695" s="147"/>
      <c r="AQ695" s="147"/>
      <c r="AR695" s="147"/>
      <c r="AS695" s="147"/>
    </row>
    <row r="696" spans="1:45" x14ac:dyDescent="0.25">
      <c r="A696" s="147"/>
      <c r="B696" s="147"/>
      <c r="C696" s="160"/>
      <c r="D696" s="160"/>
      <c r="E696" s="161"/>
      <c r="F696" s="162"/>
      <c r="G696" s="163"/>
      <c r="H696" s="163"/>
      <c r="I696" s="164"/>
      <c r="J696" s="162"/>
      <c r="K696" s="165"/>
      <c r="L696" s="166"/>
      <c r="M696" s="167"/>
      <c r="N696" s="167"/>
      <c r="O696" s="168"/>
      <c r="P696" s="168"/>
      <c r="Q696" s="147"/>
      <c r="R696" s="147"/>
      <c r="S696" s="169"/>
      <c r="T696" s="147"/>
      <c r="U696" s="147"/>
      <c r="V696" s="147"/>
      <c r="W696" s="147"/>
      <c r="X696" s="147"/>
      <c r="Y696" s="147"/>
      <c r="Z696" s="147"/>
      <c r="AA696" s="147"/>
      <c r="AB696" s="147"/>
      <c r="AC696" s="147"/>
      <c r="AD696" s="147"/>
      <c r="AE696" s="147"/>
      <c r="AF696" s="147"/>
      <c r="AG696" s="147"/>
      <c r="AH696" s="147"/>
      <c r="AI696" s="147"/>
      <c r="AJ696" s="147"/>
      <c r="AK696" s="147"/>
      <c r="AL696" s="147"/>
      <c r="AM696" s="147"/>
      <c r="AN696" s="147"/>
      <c r="AO696" s="147"/>
      <c r="AP696" s="147"/>
      <c r="AQ696" s="147"/>
      <c r="AR696" s="147"/>
      <c r="AS696" s="147"/>
    </row>
    <row r="697" spans="1:45" x14ac:dyDescent="0.25">
      <c r="A697" s="147"/>
      <c r="B697" s="147"/>
      <c r="C697" s="160"/>
      <c r="D697" s="160"/>
      <c r="E697" s="161"/>
      <c r="F697" s="162"/>
      <c r="G697" s="163"/>
      <c r="H697" s="163"/>
      <c r="I697" s="164"/>
      <c r="J697" s="162"/>
      <c r="K697" s="165"/>
      <c r="L697" s="166"/>
      <c r="M697" s="167"/>
      <c r="N697" s="167"/>
      <c r="O697" s="168"/>
      <c r="P697" s="168"/>
      <c r="Q697" s="147"/>
      <c r="R697" s="147"/>
      <c r="S697" s="169"/>
      <c r="T697" s="147"/>
      <c r="U697" s="147"/>
      <c r="V697" s="147"/>
      <c r="W697" s="147"/>
      <c r="X697" s="147"/>
      <c r="Y697" s="147"/>
      <c r="Z697" s="147"/>
      <c r="AA697" s="147"/>
      <c r="AB697" s="147"/>
      <c r="AC697" s="147"/>
      <c r="AD697" s="147"/>
      <c r="AE697" s="147"/>
      <c r="AF697" s="147"/>
      <c r="AG697" s="147"/>
      <c r="AH697" s="147"/>
      <c r="AI697" s="147"/>
      <c r="AJ697" s="147"/>
      <c r="AK697" s="147"/>
      <c r="AL697" s="147"/>
      <c r="AM697" s="147"/>
      <c r="AN697" s="147"/>
      <c r="AO697" s="147"/>
      <c r="AP697" s="147"/>
      <c r="AQ697" s="147"/>
      <c r="AR697" s="147"/>
      <c r="AS697" s="147"/>
    </row>
    <row r="698" spans="1:45" x14ac:dyDescent="0.25">
      <c r="A698" s="147"/>
      <c r="B698" s="147"/>
      <c r="C698" s="160"/>
      <c r="D698" s="160"/>
      <c r="E698" s="161"/>
      <c r="F698" s="162"/>
      <c r="G698" s="163"/>
      <c r="H698" s="163"/>
      <c r="I698" s="164"/>
      <c r="J698" s="162"/>
      <c r="K698" s="165"/>
      <c r="L698" s="166"/>
      <c r="M698" s="167"/>
      <c r="N698" s="167"/>
      <c r="O698" s="168"/>
      <c r="P698" s="168"/>
      <c r="Q698" s="147"/>
      <c r="R698" s="147"/>
      <c r="S698" s="169"/>
      <c r="T698" s="147"/>
      <c r="U698" s="147"/>
      <c r="V698" s="147"/>
      <c r="W698" s="147"/>
      <c r="X698" s="147"/>
      <c r="Y698" s="147"/>
      <c r="Z698" s="147"/>
      <c r="AA698" s="147"/>
      <c r="AB698" s="147"/>
      <c r="AC698" s="147"/>
      <c r="AD698" s="147"/>
      <c r="AE698" s="147"/>
      <c r="AF698" s="147"/>
      <c r="AG698" s="147"/>
      <c r="AH698" s="147"/>
      <c r="AI698" s="147"/>
      <c r="AJ698" s="147"/>
      <c r="AK698" s="147"/>
      <c r="AL698" s="147"/>
      <c r="AM698" s="147"/>
      <c r="AN698" s="147"/>
      <c r="AO698" s="147"/>
      <c r="AP698" s="147"/>
      <c r="AQ698" s="147"/>
      <c r="AR698" s="147"/>
      <c r="AS698" s="147"/>
    </row>
    <row r="699" spans="1:45" x14ac:dyDescent="0.25">
      <c r="A699" s="147"/>
      <c r="B699" s="147"/>
      <c r="C699" s="160"/>
      <c r="D699" s="160"/>
      <c r="E699" s="161"/>
      <c r="F699" s="162"/>
      <c r="G699" s="163"/>
      <c r="H699" s="163"/>
      <c r="I699" s="164"/>
      <c r="J699" s="162"/>
      <c r="K699" s="165"/>
      <c r="L699" s="166"/>
      <c r="M699" s="167"/>
      <c r="N699" s="167"/>
      <c r="O699" s="168"/>
      <c r="P699" s="168"/>
      <c r="Q699" s="147"/>
      <c r="R699" s="147"/>
      <c r="S699" s="169"/>
      <c r="T699" s="147"/>
      <c r="U699" s="147"/>
      <c r="V699" s="147"/>
      <c r="W699" s="147"/>
      <c r="X699" s="147"/>
      <c r="Y699" s="147"/>
      <c r="Z699" s="147"/>
      <c r="AA699" s="147"/>
      <c r="AB699" s="147"/>
      <c r="AC699" s="147"/>
      <c r="AD699" s="147"/>
      <c r="AE699" s="147"/>
      <c r="AF699" s="147"/>
      <c r="AG699" s="147"/>
      <c r="AH699" s="147"/>
      <c r="AI699" s="147"/>
      <c r="AJ699" s="147"/>
      <c r="AK699" s="147"/>
      <c r="AL699" s="147"/>
      <c r="AM699" s="147"/>
      <c r="AN699" s="147"/>
      <c r="AO699" s="147"/>
      <c r="AP699" s="147"/>
      <c r="AQ699" s="147"/>
      <c r="AR699" s="147"/>
      <c r="AS699" s="147"/>
    </row>
    <row r="700" spans="1:45" x14ac:dyDescent="0.25">
      <c r="A700" s="147"/>
      <c r="B700" s="147"/>
      <c r="C700" s="160"/>
      <c r="D700" s="160"/>
      <c r="E700" s="161"/>
      <c r="F700" s="162"/>
      <c r="G700" s="163"/>
      <c r="H700" s="163"/>
      <c r="I700" s="164"/>
      <c r="J700" s="162"/>
      <c r="K700" s="165"/>
      <c r="L700" s="166"/>
      <c r="M700" s="167"/>
      <c r="N700" s="167"/>
      <c r="O700" s="168"/>
      <c r="P700" s="168"/>
      <c r="Q700" s="147"/>
      <c r="R700" s="147"/>
      <c r="S700" s="169"/>
      <c r="T700" s="147"/>
      <c r="U700" s="147"/>
      <c r="V700" s="147"/>
      <c r="W700" s="147"/>
      <c r="X700" s="147"/>
      <c r="Y700" s="147"/>
      <c r="Z700" s="147"/>
      <c r="AA700" s="147"/>
      <c r="AB700" s="147"/>
      <c r="AC700" s="147"/>
      <c r="AD700" s="147"/>
      <c r="AE700" s="147"/>
      <c r="AF700" s="147"/>
      <c r="AG700" s="147"/>
      <c r="AH700" s="147"/>
      <c r="AI700" s="147"/>
      <c r="AJ700" s="147"/>
      <c r="AK700" s="147"/>
      <c r="AL700" s="147"/>
      <c r="AM700" s="147"/>
      <c r="AN700" s="147"/>
      <c r="AO700" s="147"/>
      <c r="AP700" s="147"/>
      <c r="AQ700" s="147"/>
      <c r="AR700" s="147"/>
      <c r="AS700" s="147"/>
    </row>
    <row r="701" spans="1:45" x14ac:dyDescent="0.25">
      <c r="A701" s="147"/>
      <c r="B701" s="147"/>
      <c r="C701" s="160"/>
      <c r="D701" s="160"/>
      <c r="E701" s="161"/>
      <c r="F701" s="162"/>
      <c r="G701" s="163"/>
      <c r="H701" s="163"/>
      <c r="I701" s="164"/>
      <c r="J701" s="162"/>
      <c r="K701" s="165"/>
      <c r="L701" s="166"/>
      <c r="M701" s="167"/>
      <c r="N701" s="167"/>
      <c r="O701" s="168"/>
      <c r="P701" s="168"/>
      <c r="Q701" s="147"/>
      <c r="R701" s="147"/>
      <c r="S701" s="169"/>
      <c r="T701" s="147"/>
      <c r="U701" s="147"/>
      <c r="V701" s="147"/>
      <c r="W701" s="147"/>
      <c r="X701" s="147"/>
      <c r="Y701" s="147"/>
      <c r="Z701" s="147"/>
      <c r="AA701" s="147"/>
      <c r="AB701" s="147"/>
      <c r="AC701" s="147"/>
      <c r="AD701" s="147"/>
      <c r="AE701" s="147"/>
      <c r="AF701" s="147"/>
      <c r="AG701" s="147"/>
      <c r="AH701" s="147"/>
      <c r="AI701" s="147"/>
      <c r="AJ701" s="147"/>
      <c r="AK701" s="147"/>
      <c r="AL701" s="147"/>
      <c r="AM701" s="147"/>
      <c r="AN701" s="147"/>
      <c r="AO701" s="147"/>
      <c r="AP701" s="147"/>
      <c r="AQ701" s="147"/>
      <c r="AR701" s="147"/>
      <c r="AS701" s="147"/>
    </row>
    <row r="702" spans="1:45" x14ac:dyDescent="0.25">
      <c r="A702" s="147"/>
      <c r="B702" s="147"/>
      <c r="C702" s="160"/>
      <c r="D702" s="160"/>
      <c r="E702" s="161"/>
      <c r="F702" s="162"/>
      <c r="G702" s="163"/>
      <c r="H702" s="163"/>
      <c r="I702" s="164"/>
      <c r="J702" s="162"/>
      <c r="K702" s="165"/>
      <c r="L702" s="166"/>
      <c r="M702" s="167"/>
      <c r="N702" s="167"/>
      <c r="O702" s="168"/>
      <c r="P702" s="168"/>
      <c r="Q702" s="147"/>
      <c r="R702" s="147"/>
      <c r="S702" s="169"/>
      <c r="T702" s="147"/>
      <c r="U702" s="147"/>
      <c r="V702" s="147"/>
      <c r="W702" s="147"/>
      <c r="X702" s="147"/>
      <c r="Y702" s="147"/>
      <c r="Z702" s="147"/>
      <c r="AA702" s="147"/>
      <c r="AB702" s="147"/>
      <c r="AC702" s="147"/>
      <c r="AD702" s="147"/>
      <c r="AE702" s="147"/>
      <c r="AF702" s="147"/>
      <c r="AG702" s="147"/>
      <c r="AH702" s="147"/>
      <c r="AI702" s="147"/>
      <c r="AJ702" s="147"/>
      <c r="AK702" s="147"/>
      <c r="AL702" s="147"/>
      <c r="AM702" s="147"/>
      <c r="AN702" s="147"/>
      <c r="AO702" s="147"/>
      <c r="AP702" s="147"/>
      <c r="AQ702" s="147"/>
      <c r="AR702" s="147"/>
      <c r="AS702" s="147"/>
    </row>
    <row r="703" spans="1:45" x14ac:dyDescent="0.25">
      <c r="A703" s="147"/>
      <c r="B703" s="147"/>
      <c r="C703" s="160"/>
      <c r="D703" s="160"/>
      <c r="E703" s="161"/>
      <c r="F703" s="162"/>
      <c r="G703" s="163"/>
      <c r="H703" s="163"/>
      <c r="I703" s="164"/>
      <c r="J703" s="162"/>
      <c r="K703" s="165"/>
      <c r="L703" s="166"/>
      <c r="M703" s="167"/>
      <c r="N703" s="167"/>
      <c r="O703" s="168"/>
      <c r="P703" s="168"/>
      <c r="Q703" s="147"/>
      <c r="R703" s="147"/>
      <c r="S703" s="169"/>
      <c r="T703" s="147"/>
      <c r="U703" s="147"/>
      <c r="V703" s="147"/>
      <c r="W703" s="147"/>
      <c r="X703" s="147"/>
      <c r="Y703" s="147"/>
      <c r="Z703" s="147"/>
      <c r="AA703" s="147"/>
      <c r="AB703" s="147"/>
      <c r="AC703" s="147"/>
      <c r="AD703" s="147"/>
      <c r="AE703" s="147"/>
      <c r="AF703" s="147"/>
      <c r="AG703" s="147"/>
      <c r="AH703" s="147"/>
      <c r="AI703" s="147"/>
      <c r="AJ703" s="147"/>
      <c r="AK703" s="147"/>
      <c r="AL703" s="147"/>
      <c r="AM703" s="147"/>
      <c r="AN703" s="147"/>
      <c r="AO703" s="147"/>
      <c r="AP703" s="147"/>
      <c r="AQ703" s="147"/>
      <c r="AR703" s="147"/>
      <c r="AS703" s="147"/>
    </row>
    <row r="704" spans="1:45" x14ac:dyDescent="0.25">
      <c r="A704" s="147"/>
      <c r="B704" s="147"/>
      <c r="C704" s="160"/>
      <c r="D704" s="160"/>
      <c r="E704" s="161"/>
      <c r="F704" s="162"/>
      <c r="G704" s="163"/>
      <c r="H704" s="163"/>
      <c r="I704" s="164"/>
      <c r="J704" s="162"/>
      <c r="K704" s="165"/>
      <c r="L704" s="166"/>
      <c r="M704" s="167"/>
      <c r="N704" s="167"/>
      <c r="O704" s="168"/>
      <c r="P704" s="168"/>
      <c r="Q704" s="147"/>
      <c r="R704" s="147"/>
      <c r="S704" s="169"/>
      <c r="T704" s="147"/>
      <c r="U704" s="147"/>
      <c r="V704" s="147"/>
      <c r="W704" s="147"/>
      <c r="X704" s="147"/>
      <c r="Y704" s="147"/>
      <c r="Z704" s="147"/>
      <c r="AA704" s="147"/>
      <c r="AB704" s="147"/>
      <c r="AC704" s="147"/>
      <c r="AD704" s="147"/>
      <c r="AE704" s="147"/>
      <c r="AF704" s="147"/>
      <c r="AG704" s="147"/>
      <c r="AH704" s="147"/>
      <c r="AI704" s="147"/>
      <c r="AJ704" s="147"/>
      <c r="AK704" s="147"/>
      <c r="AL704" s="147"/>
      <c r="AM704" s="147"/>
      <c r="AN704" s="147"/>
      <c r="AO704" s="147"/>
      <c r="AP704" s="147"/>
      <c r="AQ704" s="147"/>
      <c r="AR704" s="147"/>
      <c r="AS704" s="147"/>
    </row>
    <row r="705" spans="1:45" x14ac:dyDescent="0.25">
      <c r="A705" s="147"/>
      <c r="B705" s="147"/>
      <c r="C705" s="160"/>
      <c r="D705" s="160"/>
      <c r="E705" s="161"/>
      <c r="F705" s="162"/>
      <c r="G705" s="163"/>
      <c r="H705" s="163"/>
      <c r="I705" s="164"/>
      <c r="J705" s="162"/>
      <c r="K705" s="165"/>
      <c r="L705" s="166"/>
      <c r="M705" s="167"/>
      <c r="N705" s="167"/>
      <c r="O705" s="168"/>
      <c r="P705" s="168"/>
      <c r="Q705" s="147"/>
      <c r="R705" s="147"/>
      <c r="S705" s="169"/>
      <c r="T705" s="147"/>
      <c r="U705" s="147"/>
      <c r="V705" s="147"/>
      <c r="W705" s="147"/>
      <c r="X705" s="147"/>
      <c r="Y705" s="147"/>
      <c r="Z705" s="147"/>
      <c r="AA705" s="147"/>
      <c r="AB705" s="147"/>
      <c r="AC705" s="147"/>
      <c r="AD705" s="147"/>
      <c r="AE705" s="147"/>
      <c r="AF705" s="147"/>
      <c r="AG705" s="147"/>
      <c r="AH705" s="147"/>
      <c r="AI705" s="147"/>
      <c r="AJ705" s="147"/>
      <c r="AK705" s="147"/>
      <c r="AL705" s="147"/>
      <c r="AM705" s="147"/>
      <c r="AN705" s="147"/>
      <c r="AO705" s="147"/>
      <c r="AP705" s="147"/>
      <c r="AQ705" s="147"/>
      <c r="AR705" s="147"/>
      <c r="AS705" s="147"/>
    </row>
    <row r="706" spans="1:45" x14ac:dyDescent="0.25">
      <c r="A706" s="147"/>
      <c r="B706" s="147"/>
      <c r="C706" s="160"/>
      <c r="D706" s="160"/>
      <c r="E706" s="161"/>
      <c r="F706" s="162"/>
      <c r="G706" s="163"/>
      <c r="H706" s="163"/>
      <c r="I706" s="164"/>
      <c r="J706" s="162"/>
      <c r="K706" s="165"/>
      <c r="L706" s="166"/>
      <c r="M706" s="167"/>
      <c r="N706" s="167"/>
      <c r="O706" s="168"/>
      <c r="P706" s="168"/>
      <c r="Q706" s="147"/>
      <c r="R706" s="147"/>
      <c r="S706" s="169"/>
      <c r="T706" s="147"/>
      <c r="U706" s="147"/>
      <c r="V706" s="147"/>
      <c r="W706" s="147"/>
      <c r="X706" s="147"/>
      <c r="Y706" s="147"/>
      <c r="Z706" s="147"/>
      <c r="AA706" s="147"/>
      <c r="AB706" s="147"/>
      <c r="AC706" s="147"/>
      <c r="AD706" s="147"/>
      <c r="AE706" s="147"/>
      <c r="AF706" s="147"/>
      <c r="AG706" s="147"/>
      <c r="AH706" s="147"/>
      <c r="AI706" s="147"/>
      <c r="AJ706" s="147"/>
      <c r="AK706" s="147"/>
      <c r="AL706" s="147"/>
      <c r="AM706" s="147"/>
      <c r="AN706" s="147"/>
      <c r="AO706" s="147"/>
      <c r="AP706" s="147"/>
      <c r="AQ706" s="147"/>
      <c r="AR706" s="147"/>
      <c r="AS706" s="147"/>
    </row>
    <row r="707" spans="1:45" x14ac:dyDescent="0.25">
      <c r="A707" s="147"/>
      <c r="B707" s="147"/>
      <c r="C707" s="160"/>
      <c r="D707" s="160"/>
      <c r="E707" s="161"/>
      <c r="F707" s="162"/>
      <c r="G707" s="163"/>
      <c r="H707" s="163"/>
      <c r="I707" s="164"/>
      <c r="J707" s="162"/>
      <c r="K707" s="165"/>
      <c r="L707" s="166"/>
      <c r="M707" s="167"/>
      <c r="N707" s="167"/>
      <c r="O707" s="168"/>
      <c r="P707" s="168"/>
      <c r="Q707" s="147"/>
      <c r="R707" s="147"/>
      <c r="S707" s="169"/>
      <c r="T707" s="147"/>
      <c r="U707" s="147"/>
      <c r="V707" s="147"/>
      <c r="W707" s="147"/>
      <c r="X707" s="147"/>
      <c r="Y707" s="147"/>
      <c r="Z707" s="147"/>
      <c r="AA707" s="147"/>
      <c r="AB707" s="147"/>
      <c r="AC707" s="147"/>
      <c r="AD707" s="147"/>
      <c r="AE707" s="147"/>
      <c r="AF707" s="147"/>
      <c r="AG707" s="147"/>
      <c r="AH707" s="147"/>
      <c r="AI707" s="147"/>
      <c r="AJ707" s="147"/>
      <c r="AK707" s="147"/>
      <c r="AL707" s="147"/>
      <c r="AM707" s="147"/>
      <c r="AN707" s="147"/>
      <c r="AO707" s="147"/>
      <c r="AP707" s="147"/>
      <c r="AQ707" s="147"/>
      <c r="AR707" s="147"/>
      <c r="AS707" s="147"/>
    </row>
    <row r="708" spans="1:45" x14ac:dyDescent="0.25">
      <c r="A708" s="147"/>
      <c r="B708" s="147"/>
      <c r="C708" s="160"/>
      <c r="D708" s="160"/>
      <c r="E708" s="161"/>
      <c r="F708" s="162"/>
      <c r="G708" s="163"/>
      <c r="H708" s="163"/>
      <c r="I708" s="164"/>
      <c r="J708" s="162"/>
      <c r="K708" s="165"/>
      <c r="L708" s="166"/>
      <c r="M708" s="167"/>
      <c r="N708" s="167"/>
      <c r="O708" s="168"/>
      <c r="P708" s="168"/>
      <c r="Q708" s="147"/>
      <c r="R708" s="147"/>
      <c r="S708" s="169"/>
      <c r="T708" s="147"/>
      <c r="U708" s="147"/>
      <c r="V708" s="147"/>
      <c r="W708" s="147"/>
      <c r="X708" s="147"/>
      <c r="Y708" s="147"/>
      <c r="Z708" s="147"/>
      <c r="AA708" s="147"/>
      <c r="AB708" s="147"/>
      <c r="AC708" s="147"/>
      <c r="AD708" s="147"/>
      <c r="AE708" s="147"/>
      <c r="AF708" s="147"/>
      <c r="AG708" s="147"/>
      <c r="AH708" s="147"/>
      <c r="AI708" s="147"/>
      <c r="AJ708" s="147"/>
      <c r="AK708" s="147"/>
      <c r="AL708" s="147"/>
      <c r="AM708" s="147"/>
      <c r="AN708" s="147"/>
      <c r="AO708" s="147"/>
      <c r="AP708" s="147"/>
      <c r="AQ708" s="147"/>
      <c r="AR708" s="147"/>
      <c r="AS708" s="147"/>
    </row>
    <row r="709" spans="1:45" x14ac:dyDescent="0.25">
      <c r="A709" s="147"/>
      <c r="B709" s="147"/>
      <c r="C709" s="160"/>
      <c r="D709" s="160"/>
      <c r="E709" s="161"/>
      <c r="F709" s="162"/>
      <c r="G709" s="163"/>
      <c r="H709" s="163"/>
      <c r="I709" s="164"/>
      <c r="J709" s="162"/>
      <c r="K709" s="165"/>
      <c r="L709" s="166"/>
      <c r="M709" s="167"/>
      <c r="N709" s="167"/>
      <c r="O709" s="168"/>
      <c r="P709" s="168"/>
      <c r="Q709" s="147"/>
      <c r="R709" s="147"/>
      <c r="S709" s="169"/>
      <c r="T709" s="147"/>
      <c r="U709" s="147"/>
      <c r="V709" s="147"/>
      <c r="W709" s="147"/>
      <c r="X709" s="147"/>
      <c r="Y709" s="147"/>
      <c r="Z709" s="147"/>
      <c r="AA709" s="147"/>
      <c r="AB709" s="147"/>
      <c r="AC709" s="147"/>
      <c r="AD709" s="147"/>
      <c r="AE709" s="147"/>
      <c r="AF709" s="147"/>
      <c r="AG709" s="147"/>
      <c r="AH709" s="147"/>
      <c r="AI709" s="147"/>
      <c r="AJ709" s="147"/>
      <c r="AK709" s="147"/>
      <c r="AL709" s="147"/>
      <c r="AM709" s="147"/>
      <c r="AN709" s="147"/>
      <c r="AO709" s="147"/>
      <c r="AP709" s="147"/>
      <c r="AQ709" s="147"/>
      <c r="AR709" s="147"/>
      <c r="AS709" s="147"/>
    </row>
    <row r="710" spans="1:45" x14ac:dyDescent="0.25">
      <c r="A710" s="147"/>
      <c r="B710" s="147"/>
      <c r="C710" s="160"/>
      <c r="D710" s="160"/>
      <c r="E710" s="161"/>
      <c r="F710" s="162"/>
      <c r="G710" s="163"/>
      <c r="H710" s="163"/>
      <c r="I710" s="164"/>
      <c r="J710" s="162"/>
      <c r="K710" s="165"/>
      <c r="L710" s="166"/>
      <c r="M710" s="167"/>
      <c r="N710" s="167"/>
      <c r="O710" s="168"/>
      <c r="P710" s="168"/>
      <c r="Q710" s="147"/>
      <c r="R710" s="147"/>
      <c r="S710" s="169"/>
      <c r="T710" s="147"/>
      <c r="U710" s="147"/>
      <c r="V710" s="147"/>
      <c r="W710" s="147"/>
      <c r="X710" s="147"/>
      <c r="Y710" s="147"/>
      <c r="Z710" s="147"/>
      <c r="AA710" s="147"/>
      <c r="AB710" s="147"/>
      <c r="AC710" s="147"/>
      <c r="AD710" s="147"/>
      <c r="AE710" s="147"/>
      <c r="AF710" s="147"/>
      <c r="AG710" s="147"/>
      <c r="AH710" s="147"/>
      <c r="AI710" s="147"/>
      <c r="AJ710" s="147"/>
      <c r="AK710" s="147"/>
      <c r="AL710" s="147"/>
      <c r="AM710" s="147"/>
      <c r="AN710" s="147"/>
      <c r="AO710" s="147"/>
      <c r="AP710" s="147"/>
      <c r="AQ710" s="147"/>
      <c r="AR710" s="147"/>
      <c r="AS710" s="147"/>
    </row>
    <row r="711" spans="1:45" x14ac:dyDescent="0.25">
      <c r="A711" s="147"/>
      <c r="B711" s="147"/>
      <c r="C711" s="160"/>
      <c r="D711" s="160"/>
      <c r="E711" s="161"/>
      <c r="F711" s="162"/>
      <c r="G711" s="163"/>
      <c r="H711" s="163"/>
      <c r="I711" s="164"/>
      <c r="J711" s="162"/>
      <c r="K711" s="165"/>
      <c r="L711" s="166"/>
      <c r="M711" s="167"/>
      <c r="N711" s="167"/>
      <c r="O711" s="168"/>
      <c r="P711" s="168"/>
      <c r="Q711" s="147"/>
      <c r="R711" s="147"/>
      <c r="S711" s="169"/>
      <c r="T711" s="147"/>
      <c r="U711" s="147"/>
      <c r="V711" s="147"/>
      <c r="W711" s="147"/>
      <c r="X711" s="147"/>
      <c r="Y711" s="147"/>
      <c r="Z711" s="147"/>
      <c r="AA711" s="147"/>
      <c r="AB711" s="147"/>
      <c r="AC711" s="147"/>
      <c r="AD711" s="147"/>
      <c r="AE711" s="147"/>
      <c r="AF711" s="147"/>
      <c r="AG711" s="147"/>
      <c r="AH711" s="147"/>
      <c r="AI711" s="147"/>
      <c r="AJ711" s="147"/>
      <c r="AK711" s="147"/>
      <c r="AL711" s="147"/>
      <c r="AM711" s="147"/>
      <c r="AN711" s="147"/>
      <c r="AO711" s="147"/>
      <c r="AP711" s="147"/>
      <c r="AQ711" s="147"/>
      <c r="AR711" s="147"/>
      <c r="AS711" s="147"/>
    </row>
    <row r="712" spans="1:45" x14ac:dyDescent="0.25">
      <c r="A712" s="147"/>
      <c r="B712" s="147"/>
      <c r="C712" s="160"/>
      <c r="D712" s="160"/>
      <c r="E712" s="161"/>
      <c r="F712" s="162"/>
      <c r="G712" s="163"/>
      <c r="H712" s="163"/>
      <c r="I712" s="164"/>
      <c r="J712" s="162"/>
      <c r="K712" s="165"/>
      <c r="L712" s="166"/>
      <c r="M712" s="167"/>
      <c r="N712" s="167"/>
      <c r="O712" s="168"/>
      <c r="P712" s="168"/>
      <c r="Q712" s="147"/>
      <c r="R712" s="147"/>
      <c r="S712" s="169"/>
      <c r="T712" s="147"/>
      <c r="U712" s="147"/>
      <c r="V712" s="147"/>
      <c r="W712" s="147"/>
      <c r="X712" s="147"/>
      <c r="Y712" s="147"/>
      <c r="Z712" s="147"/>
      <c r="AA712" s="147"/>
      <c r="AB712" s="147"/>
      <c r="AC712" s="147"/>
      <c r="AD712" s="147"/>
      <c r="AE712" s="147"/>
      <c r="AF712" s="147"/>
      <c r="AG712" s="147"/>
      <c r="AH712" s="147"/>
      <c r="AI712" s="147"/>
      <c r="AJ712" s="147"/>
      <c r="AK712" s="147"/>
      <c r="AL712" s="147"/>
      <c r="AM712" s="147"/>
      <c r="AN712" s="147"/>
      <c r="AO712" s="147"/>
      <c r="AP712" s="147"/>
      <c r="AQ712" s="147"/>
      <c r="AR712" s="147"/>
      <c r="AS712" s="147"/>
    </row>
    <row r="713" spans="1:45" x14ac:dyDescent="0.25">
      <c r="A713" s="147"/>
      <c r="B713" s="147"/>
      <c r="C713" s="160"/>
      <c r="D713" s="160"/>
      <c r="E713" s="161"/>
      <c r="F713" s="162"/>
      <c r="G713" s="163"/>
      <c r="H713" s="163"/>
      <c r="I713" s="164"/>
      <c r="J713" s="162"/>
      <c r="K713" s="165"/>
      <c r="L713" s="166"/>
      <c r="M713" s="167"/>
      <c r="N713" s="167"/>
      <c r="O713" s="168"/>
      <c r="P713" s="168"/>
      <c r="Q713" s="147"/>
      <c r="R713" s="147"/>
      <c r="S713" s="169"/>
      <c r="T713" s="147"/>
      <c r="U713" s="147"/>
      <c r="V713" s="147"/>
      <c r="W713" s="147"/>
      <c r="X713" s="147"/>
      <c r="Y713" s="147"/>
      <c r="Z713" s="147"/>
      <c r="AA713" s="147"/>
      <c r="AB713" s="147"/>
      <c r="AC713" s="147"/>
      <c r="AD713" s="147"/>
      <c r="AE713" s="147"/>
      <c r="AF713" s="147"/>
      <c r="AG713" s="147"/>
      <c r="AH713" s="147"/>
      <c r="AI713" s="147"/>
      <c r="AJ713" s="147"/>
      <c r="AK713" s="147"/>
      <c r="AL713" s="147"/>
      <c r="AM713" s="147"/>
      <c r="AN713" s="147"/>
      <c r="AO713" s="147"/>
      <c r="AP713" s="147"/>
      <c r="AQ713" s="147"/>
      <c r="AR713" s="147"/>
      <c r="AS713" s="147"/>
    </row>
    <row r="714" spans="1:45" x14ac:dyDescent="0.25">
      <c r="A714" s="147"/>
      <c r="B714" s="147"/>
      <c r="C714" s="160"/>
      <c r="D714" s="160"/>
      <c r="E714" s="161"/>
      <c r="F714" s="162"/>
      <c r="G714" s="163"/>
      <c r="H714" s="163"/>
      <c r="I714" s="164"/>
      <c r="J714" s="162"/>
      <c r="K714" s="165"/>
      <c r="L714" s="166"/>
      <c r="M714" s="167"/>
      <c r="N714" s="167"/>
      <c r="O714" s="168"/>
      <c r="P714" s="168"/>
      <c r="Q714" s="147"/>
      <c r="R714" s="147"/>
      <c r="S714" s="169"/>
      <c r="T714" s="147"/>
      <c r="U714" s="147"/>
      <c r="V714" s="147"/>
      <c r="W714" s="147"/>
      <c r="X714" s="147"/>
      <c r="Y714" s="147"/>
      <c r="Z714" s="147"/>
      <c r="AA714" s="147"/>
      <c r="AB714" s="147"/>
      <c r="AC714" s="147"/>
      <c r="AD714" s="147"/>
      <c r="AE714" s="147"/>
      <c r="AF714" s="147"/>
      <c r="AG714" s="147"/>
      <c r="AH714" s="147"/>
      <c r="AI714" s="147"/>
      <c r="AJ714" s="147"/>
      <c r="AK714" s="147"/>
      <c r="AL714" s="147"/>
      <c r="AM714" s="147"/>
      <c r="AN714" s="147"/>
      <c r="AO714" s="147"/>
      <c r="AP714" s="147"/>
      <c r="AQ714" s="147"/>
      <c r="AR714" s="147"/>
      <c r="AS714" s="147"/>
    </row>
    <row r="715" spans="1:45" x14ac:dyDescent="0.25">
      <c r="A715" s="147"/>
      <c r="B715" s="147"/>
      <c r="C715" s="160"/>
      <c r="D715" s="160"/>
      <c r="E715" s="161"/>
      <c r="F715" s="162"/>
      <c r="G715" s="163"/>
      <c r="H715" s="163"/>
      <c r="I715" s="164"/>
      <c r="J715" s="162"/>
      <c r="K715" s="165"/>
      <c r="L715" s="166"/>
      <c r="M715" s="167"/>
      <c r="N715" s="167"/>
      <c r="O715" s="168"/>
      <c r="P715" s="168"/>
      <c r="Q715" s="147"/>
      <c r="R715" s="147"/>
      <c r="S715" s="169"/>
      <c r="T715" s="147"/>
      <c r="U715" s="147"/>
      <c r="V715" s="147"/>
      <c r="W715" s="147"/>
      <c r="X715" s="147"/>
      <c r="Y715" s="147"/>
      <c r="Z715" s="147"/>
      <c r="AA715" s="147"/>
      <c r="AB715" s="147"/>
      <c r="AC715" s="147"/>
      <c r="AD715" s="147"/>
      <c r="AE715" s="147"/>
      <c r="AF715" s="147"/>
      <c r="AG715" s="147"/>
      <c r="AH715" s="147"/>
      <c r="AI715" s="147"/>
      <c r="AJ715" s="147"/>
      <c r="AK715" s="147"/>
      <c r="AL715" s="147"/>
      <c r="AM715" s="147"/>
      <c r="AN715" s="147"/>
      <c r="AO715" s="147"/>
      <c r="AP715" s="147"/>
      <c r="AQ715" s="147"/>
      <c r="AR715" s="147"/>
      <c r="AS715" s="147"/>
    </row>
    <row r="716" spans="1:45" x14ac:dyDescent="0.25">
      <c r="A716" s="147"/>
      <c r="B716" s="147"/>
      <c r="C716" s="160"/>
      <c r="D716" s="160"/>
      <c r="E716" s="161"/>
      <c r="F716" s="162"/>
      <c r="G716" s="163"/>
      <c r="H716" s="163"/>
      <c r="I716" s="164"/>
      <c r="J716" s="162"/>
      <c r="K716" s="165"/>
      <c r="L716" s="166"/>
      <c r="M716" s="167"/>
      <c r="N716" s="167"/>
      <c r="O716" s="168"/>
      <c r="P716" s="168"/>
      <c r="Q716" s="147"/>
      <c r="R716" s="147"/>
      <c r="S716" s="169"/>
      <c r="T716" s="147"/>
      <c r="U716" s="147"/>
      <c r="V716" s="147"/>
      <c r="W716" s="147"/>
      <c r="X716" s="147"/>
      <c r="Y716" s="147"/>
      <c r="Z716" s="147"/>
      <c r="AA716" s="147"/>
      <c r="AB716" s="147"/>
      <c r="AC716" s="147"/>
      <c r="AD716" s="147"/>
      <c r="AE716" s="147"/>
      <c r="AF716" s="147"/>
      <c r="AG716" s="147"/>
      <c r="AH716" s="147"/>
      <c r="AI716" s="147"/>
      <c r="AJ716" s="147"/>
      <c r="AK716" s="147"/>
      <c r="AL716" s="147"/>
      <c r="AM716" s="147"/>
      <c r="AN716" s="147"/>
      <c r="AO716" s="147"/>
      <c r="AP716" s="147"/>
      <c r="AQ716" s="147"/>
      <c r="AR716" s="147"/>
      <c r="AS716" s="147"/>
    </row>
    <row r="717" spans="1:45" x14ac:dyDescent="0.25">
      <c r="A717" s="147"/>
      <c r="B717" s="147"/>
      <c r="C717" s="160"/>
      <c r="D717" s="160"/>
      <c r="E717" s="161"/>
      <c r="F717" s="162"/>
      <c r="G717" s="163"/>
      <c r="H717" s="163"/>
      <c r="I717" s="164"/>
      <c r="J717" s="162"/>
      <c r="K717" s="165"/>
      <c r="L717" s="166"/>
      <c r="M717" s="167"/>
      <c r="N717" s="167"/>
      <c r="O717" s="168"/>
      <c r="P717" s="168"/>
      <c r="Q717" s="147"/>
      <c r="R717" s="147"/>
      <c r="S717" s="169"/>
      <c r="T717" s="147"/>
      <c r="U717" s="147"/>
      <c r="V717" s="147"/>
      <c r="W717" s="147"/>
      <c r="X717" s="147"/>
      <c r="Y717" s="147"/>
      <c r="Z717" s="147"/>
      <c r="AA717" s="147"/>
      <c r="AB717" s="147"/>
      <c r="AC717" s="147"/>
      <c r="AD717" s="147"/>
      <c r="AE717" s="147"/>
      <c r="AF717" s="147"/>
      <c r="AG717" s="147"/>
      <c r="AH717" s="147"/>
      <c r="AI717" s="147"/>
      <c r="AJ717" s="147"/>
      <c r="AK717" s="147"/>
      <c r="AL717" s="147"/>
      <c r="AM717" s="147"/>
      <c r="AN717" s="147"/>
      <c r="AO717" s="147"/>
      <c r="AP717" s="147"/>
      <c r="AQ717" s="147"/>
      <c r="AR717" s="147"/>
      <c r="AS717" s="147"/>
    </row>
    <row r="718" spans="1:45" x14ac:dyDescent="0.25">
      <c r="A718" s="147"/>
      <c r="B718" s="147"/>
      <c r="C718" s="160"/>
      <c r="D718" s="160"/>
      <c r="E718" s="161"/>
      <c r="F718" s="162"/>
      <c r="G718" s="163"/>
      <c r="H718" s="163"/>
      <c r="I718" s="164"/>
      <c r="J718" s="162"/>
      <c r="K718" s="165"/>
      <c r="L718" s="166"/>
      <c r="M718" s="167"/>
      <c r="N718" s="167"/>
      <c r="O718" s="168"/>
      <c r="P718" s="168"/>
      <c r="Q718" s="147"/>
      <c r="R718" s="147"/>
      <c r="S718" s="169"/>
      <c r="T718" s="147"/>
      <c r="U718" s="147"/>
      <c r="V718" s="147"/>
      <c r="W718" s="147"/>
      <c r="X718" s="147"/>
      <c r="Y718" s="147"/>
      <c r="Z718" s="147"/>
      <c r="AA718" s="147"/>
      <c r="AB718" s="147"/>
      <c r="AC718" s="147"/>
      <c r="AD718" s="147"/>
      <c r="AE718" s="147"/>
      <c r="AF718" s="147"/>
      <c r="AG718" s="147"/>
      <c r="AH718" s="147"/>
      <c r="AI718" s="147"/>
      <c r="AJ718" s="147"/>
      <c r="AK718" s="147"/>
      <c r="AL718" s="147"/>
      <c r="AM718" s="147"/>
      <c r="AN718" s="147"/>
      <c r="AO718" s="147"/>
      <c r="AP718" s="147"/>
      <c r="AQ718" s="147"/>
      <c r="AR718" s="147"/>
      <c r="AS718" s="147"/>
    </row>
    <row r="719" spans="1:45" x14ac:dyDescent="0.25">
      <c r="A719" s="147"/>
      <c r="B719" s="147"/>
      <c r="C719" s="160"/>
      <c r="D719" s="160"/>
      <c r="E719" s="161"/>
      <c r="F719" s="162"/>
      <c r="G719" s="163"/>
      <c r="H719" s="163"/>
      <c r="I719" s="164"/>
      <c r="J719" s="162"/>
      <c r="K719" s="165"/>
      <c r="L719" s="166"/>
      <c r="M719" s="167"/>
      <c r="N719" s="167"/>
      <c r="O719" s="168"/>
      <c r="P719" s="168"/>
      <c r="Q719" s="147"/>
      <c r="R719" s="147"/>
      <c r="S719" s="169"/>
      <c r="T719" s="147"/>
      <c r="U719" s="147"/>
      <c r="V719" s="147"/>
      <c r="W719" s="147"/>
      <c r="X719" s="147"/>
      <c r="Y719" s="147"/>
      <c r="Z719" s="147"/>
      <c r="AA719" s="147"/>
      <c r="AB719" s="147"/>
      <c r="AC719" s="147"/>
      <c r="AD719" s="147"/>
      <c r="AE719" s="147"/>
      <c r="AF719" s="147"/>
      <c r="AG719" s="147"/>
      <c r="AH719" s="147"/>
      <c r="AI719" s="147"/>
      <c r="AJ719" s="147"/>
      <c r="AK719" s="147"/>
      <c r="AL719" s="147"/>
      <c r="AM719" s="147"/>
      <c r="AN719" s="147"/>
      <c r="AO719" s="147"/>
      <c r="AP719" s="147"/>
      <c r="AQ719" s="147"/>
      <c r="AR719" s="147"/>
      <c r="AS719" s="147"/>
    </row>
    <row r="720" spans="1:45" x14ac:dyDescent="0.25">
      <c r="A720" s="147"/>
      <c r="B720" s="147"/>
      <c r="C720" s="160"/>
      <c r="D720" s="160"/>
      <c r="E720" s="161"/>
      <c r="F720" s="162"/>
      <c r="G720" s="163"/>
      <c r="H720" s="163"/>
      <c r="I720" s="164"/>
      <c r="J720" s="162"/>
      <c r="K720" s="165"/>
      <c r="L720" s="166"/>
      <c r="M720" s="167"/>
      <c r="N720" s="167"/>
      <c r="O720" s="168"/>
      <c r="P720" s="168"/>
      <c r="Q720" s="147"/>
      <c r="R720" s="147"/>
      <c r="S720" s="169"/>
      <c r="T720" s="147"/>
      <c r="U720" s="147"/>
      <c r="V720" s="147"/>
      <c r="W720" s="147"/>
      <c r="X720" s="147"/>
      <c r="Y720" s="147"/>
      <c r="Z720" s="147"/>
      <c r="AA720" s="147"/>
      <c r="AB720" s="147"/>
      <c r="AC720" s="147"/>
      <c r="AD720" s="147"/>
      <c r="AE720" s="147"/>
      <c r="AF720" s="147"/>
      <c r="AG720" s="147"/>
      <c r="AH720" s="147"/>
      <c r="AI720" s="147"/>
      <c r="AJ720" s="147"/>
      <c r="AK720" s="147"/>
      <c r="AL720" s="147"/>
      <c r="AM720" s="147"/>
      <c r="AN720" s="147"/>
      <c r="AO720" s="147"/>
      <c r="AP720" s="147"/>
      <c r="AQ720" s="147"/>
      <c r="AR720" s="147"/>
      <c r="AS720" s="147"/>
    </row>
    <row r="721" spans="1:45" x14ac:dyDescent="0.25">
      <c r="A721" s="147"/>
      <c r="B721" s="147"/>
      <c r="C721" s="160"/>
      <c r="D721" s="160"/>
      <c r="E721" s="161"/>
      <c r="F721" s="162"/>
      <c r="G721" s="163"/>
      <c r="H721" s="163"/>
      <c r="I721" s="164"/>
      <c r="J721" s="162"/>
      <c r="K721" s="165"/>
      <c r="L721" s="166"/>
      <c r="M721" s="167"/>
      <c r="N721" s="167"/>
      <c r="O721" s="168"/>
      <c r="P721" s="168"/>
      <c r="Q721" s="147"/>
      <c r="R721" s="147"/>
      <c r="S721" s="169"/>
      <c r="T721" s="147"/>
      <c r="U721" s="147"/>
      <c r="V721" s="147"/>
      <c r="W721" s="147"/>
      <c r="X721" s="147"/>
      <c r="Y721" s="147"/>
      <c r="Z721" s="147"/>
      <c r="AA721" s="147"/>
      <c r="AB721" s="147"/>
      <c r="AC721" s="147"/>
      <c r="AD721" s="147"/>
      <c r="AE721" s="147"/>
      <c r="AF721" s="147"/>
      <c r="AG721" s="147"/>
      <c r="AH721" s="147"/>
      <c r="AI721" s="147"/>
      <c r="AJ721" s="147"/>
      <c r="AK721" s="147"/>
      <c r="AL721" s="147"/>
      <c r="AM721" s="147"/>
      <c r="AN721" s="147"/>
      <c r="AO721" s="147"/>
      <c r="AP721" s="147"/>
      <c r="AQ721" s="147"/>
      <c r="AR721" s="147"/>
      <c r="AS721" s="147"/>
    </row>
    <row r="722" spans="1:45" x14ac:dyDescent="0.25">
      <c r="A722" s="147"/>
      <c r="B722" s="147"/>
      <c r="C722" s="160"/>
      <c r="D722" s="160"/>
      <c r="E722" s="161"/>
      <c r="F722" s="162"/>
      <c r="G722" s="163"/>
      <c r="H722" s="163"/>
      <c r="I722" s="164"/>
      <c r="J722" s="162"/>
      <c r="K722" s="165"/>
      <c r="L722" s="166"/>
      <c r="M722" s="167"/>
      <c r="N722" s="167"/>
      <c r="O722" s="168"/>
      <c r="P722" s="168"/>
      <c r="Q722" s="147"/>
      <c r="R722" s="147"/>
      <c r="S722" s="169"/>
      <c r="T722" s="147"/>
      <c r="U722" s="147"/>
      <c r="V722" s="147"/>
      <c r="W722" s="147"/>
      <c r="X722" s="147"/>
      <c r="Y722" s="147"/>
      <c r="Z722" s="147"/>
      <c r="AA722" s="147"/>
      <c r="AB722" s="147"/>
      <c r="AC722" s="147"/>
      <c r="AD722" s="147"/>
      <c r="AE722" s="147"/>
      <c r="AF722" s="147"/>
      <c r="AG722" s="147"/>
      <c r="AH722" s="147"/>
      <c r="AI722" s="147"/>
      <c r="AJ722" s="147"/>
      <c r="AK722" s="147"/>
      <c r="AL722" s="147"/>
      <c r="AM722" s="147"/>
      <c r="AN722" s="147"/>
      <c r="AO722" s="147"/>
      <c r="AP722" s="147"/>
      <c r="AQ722" s="147"/>
      <c r="AR722" s="147"/>
      <c r="AS722" s="147"/>
    </row>
    <row r="723" spans="1:45" x14ac:dyDescent="0.25">
      <c r="A723" s="147"/>
      <c r="B723" s="147"/>
      <c r="C723" s="160"/>
      <c r="D723" s="160"/>
      <c r="E723" s="161"/>
      <c r="F723" s="162"/>
      <c r="G723" s="163"/>
      <c r="H723" s="163"/>
      <c r="I723" s="164"/>
      <c r="J723" s="162"/>
      <c r="K723" s="165"/>
      <c r="L723" s="166"/>
      <c r="M723" s="167"/>
      <c r="N723" s="167"/>
      <c r="O723" s="168"/>
      <c r="P723" s="168"/>
      <c r="Q723" s="147"/>
      <c r="R723" s="147"/>
      <c r="S723" s="169"/>
      <c r="T723" s="147"/>
      <c r="U723" s="147"/>
      <c r="V723" s="147"/>
      <c r="W723" s="147"/>
      <c r="X723" s="147"/>
      <c r="Y723" s="147"/>
      <c r="Z723" s="147"/>
      <c r="AA723" s="147"/>
      <c r="AB723" s="147"/>
      <c r="AC723" s="147"/>
      <c r="AD723" s="147"/>
      <c r="AE723" s="147"/>
      <c r="AF723" s="147"/>
      <c r="AG723" s="147"/>
      <c r="AH723" s="147"/>
      <c r="AI723" s="147"/>
      <c r="AJ723" s="147"/>
      <c r="AK723" s="147"/>
      <c r="AL723" s="147"/>
      <c r="AM723" s="147"/>
      <c r="AN723" s="147"/>
      <c r="AO723" s="147"/>
      <c r="AP723" s="147"/>
      <c r="AQ723" s="147"/>
      <c r="AR723" s="147"/>
      <c r="AS723" s="147"/>
    </row>
    <row r="724" spans="1:45" x14ac:dyDescent="0.25">
      <c r="A724" s="147"/>
      <c r="B724" s="147"/>
      <c r="C724" s="160"/>
      <c r="D724" s="160"/>
      <c r="E724" s="161"/>
      <c r="F724" s="162"/>
      <c r="G724" s="163"/>
      <c r="H724" s="163"/>
      <c r="I724" s="164"/>
      <c r="J724" s="162"/>
      <c r="K724" s="165"/>
      <c r="L724" s="166"/>
      <c r="M724" s="167"/>
      <c r="N724" s="167"/>
      <c r="O724" s="168"/>
      <c r="P724" s="168"/>
      <c r="Q724" s="147"/>
      <c r="R724" s="147"/>
      <c r="S724" s="169"/>
      <c r="T724" s="147"/>
      <c r="U724" s="147"/>
      <c r="V724" s="147"/>
      <c r="W724" s="147"/>
      <c r="X724" s="147"/>
      <c r="Y724" s="147"/>
      <c r="Z724" s="147"/>
      <c r="AA724" s="147"/>
      <c r="AB724" s="147"/>
      <c r="AC724" s="147"/>
      <c r="AD724" s="147"/>
      <c r="AE724" s="147"/>
      <c r="AF724" s="147"/>
      <c r="AG724" s="147"/>
      <c r="AH724" s="147"/>
      <c r="AI724" s="147"/>
      <c r="AJ724" s="147"/>
      <c r="AK724" s="147"/>
      <c r="AL724" s="147"/>
      <c r="AM724" s="147"/>
      <c r="AN724" s="147"/>
      <c r="AO724" s="147"/>
      <c r="AP724" s="147"/>
      <c r="AQ724" s="147"/>
      <c r="AR724" s="147"/>
      <c r="AS724" s="147"/>
    </row>
    <row r="725" spans="1:45" x14ac:dyDescent="0.25">
      <c r="A725" s="147"/>
      <c r="B725" s="147"/>
      <c r="C725" s="160"/>
      <c r="D725" s="160"/>
      <c r="E725" s="161"/>
      <c r="F725" s="162"/>
      <c r="G725" s="163"/>
      <c r="H725" s="163"/>
      <c r="I725" s="164"/>
      <c r="J725" s="162"/>
      <c r="K725" s="165"/>
      <c r="L725" s="166"/>
      <c r="M725" s="167"/>
      <c r="N725" s="167"/>
      <c r="O725" s="168"/>
      <c r="P725" s="168"/>
      <c r="Q725" s="147"/>
      <c r="R725" s="147"/>
      <c r="S725" s="169"/>
      <c r="T725" s="147"/>
      <c r="U725" s="147"/>
      <c r="V725" s="147"/>
      <c r="W725" s="147"/>
      <c r="X725" s="147"/>
      <c r="Y725" s="147"/>
      <c r="Z725" s="147"/>
      <c r="AA725" s="147"/>
      <c r="AB725" s="147"/>
      <c r="AC725" s="147"/>
      <c r="AD725" s="147"/>
      <c r="AE725" s="147"/>
      <c r="AF725" s="147"/>
      <c r="AG725" s="147"/>
      <c r="AH725" s="147"/>
      <c r="AI725" s="147"/>
      <c r="AJ725" s="147"/>
      <c r="AK725" s="147"/>
      <c r="AL725" s="147"/>
      <c r="AM725" s="147"/>
      <c r="AN725" s="147"/>
      <c r="AO725" s="147"/>
      <c r="AP725" s="147"/>
      <c r="AQ725" s="147"/>
      <c r="AR725" s="147"/>
      <c r="AS725" s="147"/>
    </row>
    <row r="726" spans="1:45" x14ac:dyDescent="0.25">
      <c r="A726" s="147"/>
      <c r="B726" s="147"/>
      <c r="C726" s="160"/>
      <c r="D726" s="160"/>
      <c r="E726" s="161"/>
      <c r="F726" s="162"/>
      <c r="G726" s="163"/>
      <c r="H726" s="163"/>
      <c r="I726" s="164"/>
      <c r="J726" s="162"/>
      <c r="K726" s="165"/>
      <c r="L726" s="166"/>
      <c r="M726" s="167"/>
      <c r="N726" s="167"/>
      <c r="O726" s="168"/>
      <c r="P726" s="168"/>
      <c r="Q726" s="147"/>
      <c r="R726" s="147"/>
      <c r="S726" s="169"/>
      <c r="T726" s="147"/>
      <c r="U726" s="147"/>
      <c r="V726" s="147"/>
      <c r="W726" s="147"/>
      <c r="X726" s="147"/>
      <c r="Y726" s="147"/>
      <c r="Z726" s="147"/>
      <c r="AA726" s="147"/>
      <c r="AB726" s="147"/>
      <c r="AC726" s="147"/>
      <c r="AD726" s="147"/>
      <c r="AE726" s="147"/>
      <c r="AF726" s="147"/>
      <c r="AG726" s="147"/>
      <c r="AH726" s="147"/>
      <c r="AI726" s="147"/>
      <c r="AJ726" s="147"/>
      <c r="AK726" s="147"/>
      <c r="AL726" s="147"/>
      <c r="AM726" s="147"/>
      <c r="AN726" s="147"/>
      <c r="AO726" s="147"/>
      <c r="AP726" s="147"/>
      <c r="AQ726" s="147"/>
      <c r="AR726" s="147"/>
      <c r="AS726" s="147"/>
    </row>
    <row r="727" spans="1:45" x14ac:dyDescent="0.25">
      <c r="A727" s="147"/>
      <c r="B727" s="147"/>
      <c r="C727" s="160"/>
      <c r="D727" s="160"/>
      <c r="E727" s="161"/>
      <c r="F727" s="162"/>
      <c r="G727" s="163"/>
      <c r="H727" s="163"/>
      <c r="I727" s="164"/>
      <c r="J727" s="162"/>
      <c r="K727" s="165"/>
      <c r="L727" s="166"/>
      <c r="M727" s="167"/>
      <c r="N727" s="167"/>
      <c r="O727" s="168"/>
      <c r="P727" s="168"/>
      <c r="Q727" s="147"/>
      <c r="R727" s="147"/>
      <c r="S727" s="169"/>
      <c r="T727" s="147"/>
      <c r="U727" s="147"/>
      <c r="V727" s="147"/>
      <c r="W727" s="147"/>
      <c r="X727" s="147"/>
      <c r="Y727" s="147"/>
      <c r="Z727" s="147"/>
      <c r="AA727" s="147"/>
      <c r="AB727" s="147"/>
      <c r="AC727" s="147"/>
      <c r="AD727" s="147"/>
      <c r="AE727" s="147"/>
      <c r="AF727" s="147"/>
      <c r="AG727" s="147"/>
      <c r="AH727" s="147"/>
      <c r="AI727" s="147"/>
      <c r="AJ727" s="147"/>
      <c r="AK727" s="147"/>
      <c r="AL727" s="147"/>
      <c r="AM727" s="147"/>
      <c r="AN727" s="147"/>
      <c r="AO727" s="147"/>
      <c r="AP727" s="147"/>
      <c r="AQ727" s="147"/>
      <c r="AR727" s="147"/>
      <c r="AS727" s="147"/>
    </row>
    <row r="728" spans="1:45" x14ac:dyDescent="0.25">
      <c r="A728" s="147"/>
      <c r="B728" s="147"/>
      <c r="C728" s="160"/>
      <c r="D728" s="160"/>
      <c r="E728" s="161"/>
      <c r="F728" s="162"/>
      <c r="G728" s="163"/>
      <c r="H728" s="163"/>
      <c r="I728" s="164"/>
      <c r="J728" s="162"/>
      <c r="K728" s="165"/>
      <c r="L728" s="166"/>
      <c r="M728" s="167"/>
      <c r="N728" s="167"/>
      <c r="O728" s="168"/>
      <c r="P728" s="168"/>
      <c r="Q728" s="147"/>
      <c r="R728" s="147"/>
      <c r="S728" s="169"/>
      <c r="T728" s="147"/>
      <c r="U728" s="147"/>
      <c r="V728" s="147"/>
      <c r="W728" s="147"/>
      <c r="X728" s="147"/>
      <c r="Y728" s="147"/>
      <c r="Z728" s="147"/>
      <c r="AA728" s="147"/>
      <c r="AB728" s="147"/>
      <c r="AC728" s="147"/>
      <c r="AD728" s="147"/>
      <c r="AE728" s="147"/>
      <c r="AF728" s="147"/>
      <c r="AG728" s="147"/>
      <c r="AH728" s="147"/>
      <c r="AI728" s="147"/>
      <c r="AJ728" s="147"/>
      <c r="AK728" s="147"/>
      <c r="AL728" s="147"/>
      <c r="AM728" s="147"/>
      <c r="AN728" s="147"/>
      <c r="AO728" s="147"/>
      <c r="AP728" s="147"/>
      <c r="AQ728" s="147"/>
      <c r="AR728" s="147"/>
      <c r="AS728" s="147"/>
    </row>
    <row r="729" spans="1:45" x14ac:dyDescent="0.25">
      <c r="A729" s="147"/>
      <c r="B729" s="147"/>
      <c r="C729" s="160"/>
      <c r="D729" s="160"/>
      <c r="E729" s="161"/>
      <c r="F729" s="162"/>
      <c r="G729" s="163"/>
      <c r="H729" s="163"/>
      <c r="I729" s="164"/>
      <c r="J729" s="162"/>
      <c r="K729" s="165"/>
      <c r="L729" s="166"/>
      <c r="M729" s="167"/>
      <c r="N729" s="167"/>
      <c r="O729" s="168"/>
      <c r="P729" s="168"/>
      <c r="Q729" s="147"/>
      <c r="R729" s="147"/>
      <c r="S729" s="169"/>
      <c r="T729" s="147"/>
      <c r="U729" s="147"/>
      <c r="V729" s="147"/>
      <c r="W729" s="147"/>
      <c r="X729" s="147"/>
      <c r="Y729" s="147"/>
      <c r="Z729" s="147"/>
      <c r="AA729" s="147"/>
      <c r="AB729" s="147"/>
      <c r="AC729" s="147"/>
      <c r="AD729" s="147"/>
      <c r="AE729" s="147"/>
      <c r="AF729" s="147"/>
      <c r="AG729" s="147"/>
      <c r="AH729" s="147"/>
      <c r="AI729" s="147"/>
      <c r="AJ729" s="147"/>
      <c r="AK729" s="147"/>
      <c r="AL729" s="147"/>
      <c r="AM729" s="147"/>
      <c r="AN729" s="147"/>
      <c r="AO729" s="147"/>
      <c r="AP729" s="147"/>
      <c r="AQ729" s="147"/>
      <c r="AR729" s="147"/>
      <c r="AS729" s="147"/>
    </row>
    <row r="730" spans="1:45" x14ac:dyDescent="0.25">
      <c r="A730" s="147"/>
      <c r="B730" s="147"/>
      <c r="C730" s="160"/>
      <c r="D730" s="160"/>
      <c r="E730" s="161"/>
      <c r="F730" s="162"/>
      <c r="G730" s="163"/>
      <c r="H730" s="163"/>
      <c r="I730" s="164"/>
      <c r="J730" s="162"/>
      <c r="K730" s="165"/>
      <c r="L730" s="166"/>
      <c r="M730" s="167"/>
      <c r="N730" s="167"/>
      <c r="O730" s="168"/>
      <c r="P730" s="168"/>
      <c r="Q730" s="147"/>
      <c r="R730" s="147"/>
      <c r="S730" s="169"/>
      <c r="T730" s="147"/>
      <c r="U730" s="147"/>
      <c r="V730" s="147"/>
      <c r="W730" s="147"/>
      <c r="X730" s="147"/>
      <c r="Y730" s="147"/>
      <c r="Z730" s="147"/>
      <c r="AA730" s="147"/>
      <c r="AB730" s="147"/>
      <c r="AC730" s="147"/>
      <c r="AD730" s="147"/>
      <c r="AE730" s="147"/>
      <c r="AF730" s="147"/>
      <c r="AG730" s="147"/>
      <c r="AH730" s="147"/>
      <c r="AI730" s="147"/>
      <c r="AJ730" s="147"/>
      <c r="AK730" s="147"/>
      <c r="AL730" s="147"/>
      <c r="AM730" s="147"/>
      <c r="AN730" s="147"/>
      <c r="AO730" s="147"/>
      <c r="AP730" s="147"/>
      <c r="AQ730" s="147"/>
      <c r="AR730" s="147"/>
      <c r="AS730" s="147"/>
    </row>
    <row r="731" spans="1:45" x14ac:dyDescent="0.25">
      <c r="A731" s="147"/>
      <c r="B731" s="147"/>
      <c r="C731" s="160"/>
      <c r="D731" s="160"/>
      <c r="E731" s="161"/>
      <c r="F731" s="162"/>
      <c r="G731" s="163"/>
      <c r="H731" s="163"/>
      <c r="I731" s="164"/>
      <c r="J731" s="162"/>
      <c r="K731" s="165"/>
      <c r="L731" s="166"/>
      <c r="M731" s="167"/>
      <c r="N731" s="167"/>
      <c r="O731" s="168"/>
      <c r="P731" s="168"/>
      <c r="Q731" s="147"/>
      <c r="R731" s="147"/>
      <c r="S731" s="169"/>
      <c r="T731" s="147"/>
      <c r="U731" s="147"/>
      <c r="V731" s="147"/>
      <c r="W731" s="147"/>
      <c r="X731" s="147"/>
      <c r="Y731" s="147"/>
      <c r="Z731" s="147"/>
      <c r="AA731" s="147"/>
      <c r="AB731" s="147"/>
      <c r="AC731" s="147"/>
      <c r="AD731" s="147"/>
      <c r="AE731" s="147"/>
      <c r="AF731" s="147"/>
      <c r="AG731" s="147"/>
      <c r="AH731" s="147"/>
      <c r="AI731" s="147"/>
      <c r="AJ731" s="147"/>
      <c r="AK731" s="147"/>
      <c r="AL731" s="147"/>
      <c r="AM731" s="147"/>
      <c r="AN731" s="147"/>
      <c r="AO731" s="147"/>
      <c r="AP731" s="147"/>
      <c r="AQ731" s="147"/>
      <c r="AR731" s="147"/>
      <c r="AS731" s="147"/>
    </row>
    <row r="732" spans="1:45" x14ac:dyDescent="0.25">
      <c r="A732" s="147"/>
      <c r="B732" s="147"/>
      <c r="C732" s="160"/>
      <c r="D732" s="160"/>
      <c r="E732" s="161"/>
      <c r="F732" s="162"/>
      <c r="G732" s="163"/>
      <c r="H732" s="163"/>
      <c r="I732" s="164"/>
      <c r="J732" s="162"/>
      <c r="K732" s="165"/>
      <c r="L732" s="166"/>
      <c r="M732" s="167"/>
      <c r="N732" s="167"/>
      <c r="O732" s="168"/>
      <c r="P732" s="168"/>
      <c r="Q732" s="147"/>
      <c r="R732" s="147"/>
      <c r="S732" s="169"/>
      <c r="T732" s="147"/>
      <c r="U732" s="147"/>
      <c r="V732" s="147"/>
      <c r="W732" s="147"/>
      <c r="X732" s="147"/>
      <c r="Y732" s="147"/>
      <c r="Z732" s="147"/>
      <c r="AA732" s="147"/>
      <c r="AB732" s="147"/>
      <c r="AC732" s="147"/>
      <c r="AD732" s="147"/>
      <c r="AE732" s="147"/>
      <c r="AF732" s="147"/>
      <c r="AG732" s="147"/>
      <c r="AH732" s="147"/>
      <c r="AI732" s="147"/>
      <c r="AJ732" s="147"/>
      <c r="AK732" s="147"/>
      <c r="AL732" s="147"/>
      <c r="AM732" s="147"/>
      <c r="AN732" s="147"/>
      <c r="AO732" s="147"/>
      <c r="AP732" s="147"/>
      <c r="AQ732" s="147"/>
      <c r="AR732" s="147"/>
      <c r="AS732" s="147"/>
    </row>
    <row r="733" spans="1:45" x14ac:dyDescent="0.25">
      <c r="A733" s="147"/>
      <c r="B733" s="147"/>
      <c r="C733" s="160"/>
      <c r="D733" s="160"/>
      <c r="E733" s="161"/>
      <c r="F733" s="162"/>
      <c r="G733" s="163"/>
      <c r="H733" s="163"/>
      <c r="I733" s="164"/>
      <c r="J733" s="162"/>
      <c r="K733" s="165"/>
      <c r="L733" s="166"/>
      <c r="M733" s="167"/>
      <c r="N733" s="167"/>
      <c r="O733" s="168"/>
      <c r="P733" s="168"/>
      <c r="Q733" s="147"/>
      <c r="R733" s="147"/>
      <c r="S733" s="169"/>
      <c r="T733" s="147"/>
      <c r="U733" s="147"/>
      <c r="V733" s="147"/>
      <c r="W733" s="147"/>
      <c r="X733" s="147"/>
      <c r="Y733" s="147"/>
      <c r="Z733" s="147"/>
      <c r="AA733" s="147"/>
      <c r="AB733" s="147"/>
      <c r="AC733" s="147"/>
      <c r="AD733" s="147"/>
      <c r="AE733" s="147"/>
      <c r="AF733" s="147"/>
      <c r="AG733" s="147"/>
      <c r="AH733" s="147"/>
      <c r="AI733" s="147"/>
      <c r="AJ733" s="147"/>
      <c r="AK733" s="147"/>
      <c r="AL733" s="147"/>
      <c r="AM733" s="147"/>
      <c r="AN733" s="147"/>
      <c r="AO733" s="147"/>
      <c r="AP733" s="147"/>
      <c r="AQ733" s="147"/>
      <c r="AR733" s="147"/>
      <c r="AS733" s="147"/>
    </row>
    <row r="734" spans="1:45" x14ac:dyDescent="0.25">
      <c r="A734" s="147"/>
      <c r="B734" s="147"/>
      <c r="C734" s="160"/>
      <c r="D734" s="160"/>
      <c r="E734" s="161"/>
      <c r="F734" s="162"/>
      <c r="G734" s="163"/>
      <c r="H734" s="163"/>
      <c r="I734" s="164"/>
      <c r="J734" s="162"/>
      <c r="K734" s="165"/>
      <c r="L734" s="166"/>
      <c r="M734" s="167"/>
      <c r="N734" s="167"/>
      <c r="O734" s="168"/>
      <c r="P734" s="168"/>
      <c r="Q734" s="147"/>
      <c r="R734" s="147"/>
      <c r="S734" s="169"/>
      <c r="T734" s="147"/>
      <c r="U734" s="147"/>
      <c r="V734" s="147"/>
      <c r="W734" s="147"/>
      <c r="X734" s="147"/>
      <c r="Y734" s="147"/>
      <c r="Z734" s="147"/>
      <c r="AA734" s="147"/>
      <c r="AB734" s="147"/>
      <c r="AC734" s="147"/>
      <c r="AD734" s="147"/>
      <c r="AE734" s="147"/>
      <c r="AF734" s="147"/>
      <c r="AG734" s="147"/>
      <c r="AH734" s="147"/>
      <c r="AI734" s="147"/>
      <c r="AJ734" s="147"/>
      <c r="AK734" s="147"/>
      <c r="AL734" s="147"/>
      <c r="AM734" s="147"/>
      <c r="AN734" s="147"/>
      <c r="AO734" s="147"/>
      <c r="AP734" s="147"/>
      <c r="AQ734" s="147"/>
      <c r="AR734" s="147"/>
      <c r="AS734" s="147"/>
    </row>
    <row r="735" spans="1:45" x14ac:dyDescent="0.25">
      <c r="A735" s="147"/>
      <c r="B735" s="147"/>
      <c r="C735" s="160"/>
      <c r="D735" s="160"/>
      <c r="E735" s="161"/>
      <c r="F735" s="162"/>
      <c r="G735" s="163"/>
      <c r="H735" s="163"/>
      <c r="I735" s="164"/>
      <c r="J735" s="162"/>
      <c r="K735" s="165"/>
      <c r="L735" s="166"/>
      <c r="M735" s="167"/>
      <c r="N735" s="167"/>
      <c r="O735" s="168"/>
      <c r="P735" s="168"/>
      <c r="Q735" s="147"/>
      <c r="R735" s="147"/>
      <c r="S735" s="169"/>
      <c r="T735" s="147"/>
      <c r="U735" s="147"/>
      <c r="V735" s="147"/>
      <c r="W735" s="147"/>
      <c r="X735" s="147"/>
      <c r="Y735" s="147"/>
      <c r="Z735" s="147"/>
      <c r="AA735" s="147"/>
      <c r="AB735" s="147"/>
      <c r="AC735" s="147"/>
      <c r="AD735" s="147"/>
      <c r="AE735" s="147"/>
      <c r="AF735" s="147"/>
      <c r="AG735" s="147"/>
      <c r="AH735" s="147"/>
      <c r="AI735" s="147"/>
      <c r="AJ735" s="147"/>
      <c r="AK735" s="147"/>
      <c r="AL735" s="147"/>
      <c r="AM735" s="147"/>
      <c r="AN735" s="147"/>
      <c r="AO735" s="147"/>
      <c r="AP735" s="147"/>
      <c r="AQ735" s="147"/>
      <c r="AR735" s="147"/>
      <c r="AS735" s="147"/>
    </row>
    <row r="736" spans="1:45" x14ac:dyDescent="0.25">
      <c r="A736" s="147"/>
      <c r="B736" s="147"/>
      <c r="C736" s="160"/>
      <c r="D736" s="160"/>
      <c r="E736" s="161"/>
      <c r="F736" s="162"/>
      <c r="G736" s="163"/>
      <c r="H736" s="163"/>
      <c r="I736" s="164"/>
      <c r="J736" s="162"/>
      <c r="K736" s="165"/>
      <c r="L736" s="166"/>
      <c r="M736" s="167"/>
      <c r="N736" s="167"/>
      <c r="O736" s="168"/>
      <c r="P736" s="168"/>
      <c r="Q736" s="147"/>
      <c r="R736" s="147"/>
      <c r="S736" s="169"/>
      <c r="T736" s="147"/>
      <c r="U736" s="147"/>
      <c r="V736" s="147"/>
      <c r="W736" s="147"/>
      <c r="X736" s="147"/>
      <c r="Y736" s="147"/>
      <c r="Z736" s="147"/>
      <c r="AA736" s="147"/>
      <c r="AB736" s="147"/>
      <c r="AC736" s="147"/>
      <c r="AD736" s="147"/>
      <c r="AE736" s="147"/>
      <c r="AF736" s="147"/>
      <c r="AG736" s="147"/>
      <c r="AH736" s="147"/>
      <c r="AI736" s="147"/>
      <c r="AJ736" s="147"/>
      <c r="AK736" s="147"/>
      <c r="AL736" s="147"/>
      <c r="AM736" s="147"/>
      <c r="AN736" s="147"/>
      <c r="AO736" s="147"/>
      <c r="AP736" s="147"/>
      <c r="AQ736" s="147"/>
      <c r="AR736" s="147"/>
      <c r="AS736" s="147"/>
    </row>
    <row r="737" spans="1:45" x14ac:dyDescent="0.25">
      <c r="A737" s="147"/>
      <c r="B737" s="147"/>
      <c r="C737" s="160"/>
      <c r="D737" s="160"/>
      <c r="E737" s="161"/>
      <c r="F737" s="162"/>
      <c r="G737" s="163"/>
      <c r="H737" s="163"/>
      <c r="I737" s="164"/>
      <c r="J737" s="162"/>
      <c r="K737" s="165"/>
      <c r="L737" s="166"/>
      <c r="M737" s="167"/>
      <c r="N737" s="167"/>
      <c r="O737" s="168"/>
      <c r="P737" s="168"/>
      <c r="Q737" s="147"/>
      <c r="R737" s="147"/>
      <c r="S737" s="169"/>
      <c r="T737" s="147"/>
      <c r="U737" s="147"/>
      <c r="V737" s="147"/>
      <c r="W737" s="147"/>
      <c r="X737" s="147"/>
      <c r="Y737" s="147"/>
      <c r="Z737" s="147"/>
      <c r="AA737" s="147"/>
      <c r="AB737" s="147"/>
      <c r="AC737" s="147"/>
      <c r="AD737" s="147"/>
      <c r="AE737" s="147"/>
      <c r="AF737" s="147"/>
      <c r="AG737" s="147"/>
      <c r="AH737" s="147"/>
      <c r="AI737" s="147"/>
      <c r="AJ737" s="147"/>
      <c r="AK737" s="147"/>
      <c r="AL737" s="147"/>
      <c r="AM737" s="147"/>
      <c r="AN737" s="147"/>
      <c r="AO737" s="147"/>
      <c r="AP737" s="147"/>
      <c r="AQ737" s="147"/>
      <c r="AR737" s="147"/>
      <c r="AS737" s="147"/>
    </row>
    <row r="738" spans="1:45" x14ac:dyDescent="0.25">
      <c r="A738" s="147"/>
      <c r="B738" s="147"/>
      <c r="C738" s="160"/>
      <c r="D738" s="160"/>
      <c r="E738" s="161"/>
      <c r="F738" s="162"/>
      <c r="G738" s="163"/>
      <c r="H738" s="163"/>
      <c r="I738" s="164"/>
      <c r="J738" s="162"/>
      <c r="K738" s="165"/>
      <c r="L738" s="166"/>
      <c r="M738" s="167"/>
      <c r="N738" s="167"/>
      <c r="O738" s="168"/>
      <c r="P738" s="168"/>
      <c r="Q738" s="147"/>
      <c r="R738" s="147"/>
      <c r="S738" s="169"/>
      <c r="T738" s="147"/>
      <c r="U738" s="147"/>
      <c r="V738" s="147"/>
      <c r="W738" s="147"/>
      <c r="X738" s="147"/>
      <c r="Y738" s="147"/>
      <c r="Z738" s="147"/>
      <c r="AA738" s="147"/>
      <c r="AB738" s="147"/>
      <c r="AC738" s="147"/>
      <c r="AD738" s="147"/>
      <c r="AE738" s="147"/>
      <c r="AF738" s="147"/>
      <c r="AG738" s="147"/>
      <c r="AH738" s="147"/>
      <c r="AI738" s="147"/>
      <c r="AJ738" s="147"/>
      <c r="AK738" s="147"/>
      <c r="AL738" s="147"/>
      <c r="AM738" s="147"/>
      <c r="AN738" s="147"/>
      <c r="AO738" s="147"/>
      <c r="AP738" s="147"/>
      <c r="AQ738" s="147"/>
      <c r="AR738" s="147"/>
      <c r="AS738" s="147"/>
    </row>
    <row r="739" spans="1:45" x14ac:dyDescent="0.25">
      <c r="A739" s="147"/>
      <c r="B739" s="147"/>
      <c r="C739" s="160"/>
      <c r="D739" s="160"/>
      <c r="E739" s="161"/>
      <c r="F739" s="162"/>
      <c r="G739" s="163"/>
      <c r="H739" s="163"/>
      <c r="I739" s="164"/>
      <c r="J739" s="162"/>
      <c r="K739" s="165"/>
      <c r="L739" s="166"/>
      <c r="M739" s="167"/>
      <c r="N739" s="167"/>
      <c r="O739" s="168"/>
      <c r="P739" s="168"/>
      <c r="Q739" s="147"/>
      <c r="R739" s="147"/>
      <c r="S739" s="169"/>
      <c r="T739" s="147"/>
      <c r="U739" s="147"/>
      <c r="V739" s="147"/>
      <c r="W739" s="147"/>
      <c r="X739" s="147"/>
      <c r="Y739" s="147"/>
      <c r="Z739" s="147"/>
      <c r="AA739" s="147"/>
      <c r="AB739" s="147"/>
      <c r="AC739" s="147"/>
      <c r="AD739" s="147"/>
      <c r="AE739" s="147"/>
      <c r="AF739" s="147"/>
      <c r="AG739" s="147"/>
      <c r="AH739" s="147"/>
      <c r="AI739" s="147"/>
      <c r="AJ739" s="147"/>
      <c r="AK739" s="147"/>
      <c r="AL739" s="147"/>
      <c r="AM739" s="147"/>
      <c r="AN739" s="147"/>
      <c r="AO739" s="147"/>
      <c r="AP739" s="147"/>
      <c r="AQ739" s="147"/>
      <c r="AR739" s="147"/>
      <c r="AS739" s="147"/>
    </row>
    <row r="740" spans="1:45" x14ac:dyDescent="0.25">
      <c r="A740" s="147"/>
      <c r="B740" s="147"/>
      <c r="C740" s="160"/>
      <c r="D740" s="160"/>
      <c r="E740" s="161"/>
      <c r="F740" s="162"/>
      <c r="G740" s="163"/>
      <c r="H740" s="163"/>
      <c r="I740" s="164"/>
      <c r="J740" s="162"/>
      <c r="K740" s="165"/>
      <c r="L740" s="166"/>
      <c r="M740" s="167"/>
      <c r="N740" s="167"/>
      <c r="O740" s="168"/>
      <c r="P740" s="168"/>
      <c r="Q740" s="147"/>
      <c r="R740" s="147"/>
      <c r="S740" s="169"/>
      <c r="T740" s="147"/>
      <c r="U740" s="147"/>
      <c r="V740" s="147"/>
      <c r="W740" s="147"/>
      <c r="X740" s="147"/>
      <c r="Y740" s="147"/>
      <c r="Z740" s="147"/>
      <c r="AA740" s="147"/>
      <c r="AB740" s="147"/>
      <c r="AC740" s="147"/>
      <c r="AD740" s="147"/>
      <c r="AE740" s="147"/>
      <c r="AF740" s="147"/>
      <c r="AG740" s="147"/>
      <c r="AH740" s="147"/>
      <c r="AI740" s="147"/>
      <c r="AJ740" s="147"/>
      <c r="AK740" s="147"/>
      <c r="AL740" s="147"/>
      <c r="AM740" s="147"/>
      <c r="AN740" s="147"/>
      <c r="AO740" s="147"/>
      <c r="AP740" s="147"/>
      <c r="AQ740" s="147"/>
      <c r="AR740" s="147"/>
      <c r="AS740" s="147"/>
    </row>
    <row r="741" spans="1:45" x14ac:dyDescent="0.25">
      <c r="A741" s="147"/>
      <c r="B741" s="147"/>
      <c r="C741" s="160"/>
      <c r="D741" s="160"/>
      <c r="E741" s="161"/>
      <c r="F741" s="162"/>
      <c r="G741" s="163"/>
      <c r="H741" s="163"/>
      <c r="I741" s="164"/>
      <c r="J741" s="162"/>
      <c r="K741" s="165"/>
      <c r="L741" s="166"/>
      <c r="M741" s="167"/>
      <c r="N741" s="167"/>
      <c r="O741" s="168"/>
      <c r="P741" s="168"/>
      <c r="Q741" s="147"/>
      <c r="R741" s="147"/>
      <c r="S741" s="169"/>
      <c r="T741" s="147"/>
      <c r="U741" s="147"/>
      <c r="V741" s="147"/>
      <c r="W741" s="147"/>
      <c r="X741" s="147"/>
      <c r="Y741" s="147"/>
      <c r="Z741" s="147"/>
      <c r="AA741" s="147"/>
      <c r="AB741" s="147"/>
      <c r="AC741" s="147"/>
      <c r="AD741" s="147"/>
      <c r="AE741" s="147"/>
      <c r="AF741" s="147"/>
      <c r="AG741" s="147"/>
      <c r="AH741" s="147"/>
      <c r="AI741" s="147"/>
      <c r="AJ741" s="147"/>
      <c r="AK741" s="147"/>
      <c r="AL741" s="147"/>
      <c r="AM741" s="147"/>
      <c r="AN741" s="147"/>
      <c r="AO741" s="147"/>
      <c r="AP741" s="147"/>
      <c r="AQ741" s="147"/>
      <c r="AR741" s="147"/>
      <c r="AS741" s="147"/>
    </row>
    <row r="742" spans="1:45" x14ac:dyDescent="0.25">
      <c r="A742" s="147"/>
      <c r="B742" s="147"/>
      <c r="C742" s="160"/>
      <c r="D742" s="160"/>
      <c r="E742" s="161"/>
      <c r="F742" s="162"/>
      <c r="G742" s="163"/>
      <c r="H742" s="163"/>
      <c r="I742" s="164"/>
      <c r="J742" s="162"/>
      <c r="K742" s="165"/>
      <c r="L742" s="166"/>
      <c r="M742" s="167"/>
      <c r="N742" s="167"/>
      <c r="O742" s="168"/>
      <c r="P742" s="168"/>
      <c r="Q742" s="147"/>
      <c r="R742" s="147"/>
      <c r="S742" s="169"/>
      <c r="T742" s="147"/>
      <c r="U742" s="147"/>
      <c r="V742" s="147"/>
      <c r="W742" s="147"/>
      <c r="X742" s="147"/>
      <c r="Y742" s="147"/>
      <c r="Z742" s="147"/>
      <c r="AA742" s="147"/>
      <c r="AB742" s="147"/>
      <c r="AC742" s="147"/>
      <c r="AD742" s="147"/>
      <c r="AE742" s="147"/>
      <c r="AF742" s="147"/>
      <c r="AG742" s="147"/>
      <c r="AH742" s="147"/>
      <c r="AI742" s="147"/>
      <c r="AJ742" s="147"/>
      <c r="AK742" s="147"/>
      <c r="AL742" s="147"/>
      <c r="AM742" s="147"/>
      <c r="AN742" s="147"/>
      <c r="AO742" s="147"/>
      <c r="AP742" s="147"/>
      <c r="AQ742" s="147"/>
      <c r="AR742" s="147"/>
      <c r="AS742" s="147"/>
    </row>
    <row r="743" spans="1:45" x14ac:dyDescent="0.25">
      <c r="A743" s="147"/>
      <c r="B743" s="147"/>
      <c r="C743" s="160"/>
      <c r="D743" s="160"/>
      <c r="E743" s="161"/>
      <c r="F743" s="162"/>
      <c r="G743" s="163"/>
      <c r="H743" s="163"/>
      <c r="I743" s="164"/>
      <c r="J743" s="162"/>
      <c r="K743" s="165"/>
      <c r="L743" s="166"/>
      <c r="M743" s="167"/>
      <c r="N743" s="167"/>
      <c r="O743" s="168"/>
      <c r="P743" s="168"/>
      <c r="Q743" s="147"/>
      <c r="R743" s="147"/>
      <c r="S743" s="169"/>
      <c r="T743" s="147"/>
      <c r="U743" s="147"/>
      <c r="V743" s="147"/>
      <c r="W743" s="147"/>
      <c r="X743" s="147"/>
      <c r="Y743" s="147"/>
      <c r="Z743" s="147"/>
      <c r="AA743" s="147"/>
      <c r="AB743" s="147"/>
      <c r="AC743" s="147"/>
      <c r="AD743" s="147"/>
      <c r="AE743" s="147"/>
      <c r="AF743" s="147"/>
      <c r="AG743" s="147"/>
      <c r="AH743" s="147"/>
      <c r="AI743" s="147"/>
      <c r="AJ743" s="147"/>
      <c r="AK743" s="147"/>
      <c r="AL743" s="147"/>
      <c r="AM743" s="147"/>
      <c r="AN743" s="147"/>
      <c r="AO743" s="147"/>
      <c r="AP743" s="147"/>
      <c r="AQ743" s="147"/>
      <c r="AR743" s="147"/>
      <c r="AS743" s="147"/>
    </row>
    <row r="744" spans="1:45" x14ac:dyDescent="0.25">
      <c r="A744" s="147"/>
      <c r="B744" s="147"/>
      <c r="C744" s="160"/>
      <c r="D744" s="160"/>
      <c r="E744" s="161"/>
      <c r="F744" s="162"/>
      <c r="G744" s="163"/>
      <c r="H744" s="163"/>
      <c r="I744" s="164"/>
      <c r="J744" s="162"/>
      <c r="K744" s="165"/>
      <c r="L744" s="166"/>
      <c r="M744" s="167"/>
      <c r="N744" s="167"/>
      <c r="O744" s="168"/>
      <c r="P744" s="168"/>
      <c r="Q744" s="147"/>
      <c r="R744" s="147"/>
      <c r="S744" s="169"/>
      <c r="T744" s="147"/>
      <c r="U744" s="147"/>
      <c r="V744" s="147"/>
      <c r="W744" s="147"/>
      <c r="X744" s="147"/>
      <c r="Y744" s="147"/>
      <c r="Z744" s="147"/>
      <c r="AA744" s="147"/>
      <c r="AB744" s="147"/>
      <c r="AC744" s="147"/>
      <c r="AD744" s="147"/>
      <c r="AE744" s="147"/>
      <c r="AF744" s="147"/>
      <c r="AG744" s="147"/>
      <c r="AH744" s="147"/>
      <c r="AI744" s="147"/>
      <c r="AJ744" s="147"/>
      <c r="AK744" s="147"/>
      <c r="AL744" s="147"/>
      <c r="AM744" s="147"/>
      <c r="AN744" s="147"/>
      <c r="AO744" s="147"/>
      <c r="AP744" s="147"/>
      <c r="AQ744" s="147"/>
      <c r="AR744" s="147"/>
      <c r="AS744" s="147"/>
    </row>
    <row r="745" spans="1:45" x14ac:dyDescent="0.25">
      <c r="A745" s="147"/>
      <c r="B745" s="147"/>
      <c r="C745" s="160"/>
      <c r="D745" s="160"/>
      <c r="E745" s="161"/>
      <c r="F745" s="162"/>
      <c r="G745" s="163"/>
      <c r="H745" s="163"/>
      <c r="I745" s="164"/>
      <c r="J745" s="162"/>
      <c r="K745" s="165"/>
      <c r="L745" s="166"/>
      <c r="M745" s="167"/>
      <c r="N745" s="167"/>
      <c r="O745" s="168"/>
      <c r="P745" s="168"/>
      <c r="Q745" s="147"/>
      <c r="R745" s="147"/>
      <c r="S745" s="169"/>
      <c r="T745" s="147"/>
      <c r="U745" s="147"/>
      <c r="V745" s="147"/>
      <c r="W745" s="147"/>
      <c r="X745" s="147"/>
      <c r="Y745" s="147"/>
      <c r="Z745" s="147"/>
      <c r="AA745" s="147"/>
      <c r="AB745" s="147"/>
      <c r="AC745" s="147"/>
      <c r="AD745" s="147"/>
      <c r="AE745" s="147"/>
      <c r="AF745" s="147"/>
      <c r="AG745" s="147"/>
      <c r="AH745" s="147"/>
      <c r="AI745" s="147"/>
      <c r="AJ745" s="147"/>
      <c r="AK745" s="147"/>
      <c r="AL745" s="147"/>
      <c r="AM745" s="147"/>
      <c r="AN745" s="147"/>
      <c r="AO745" s="147"/>
      <c r="AP745" s="147"/>
      <c r="AQ745" s="147"/>
      <c r="AR745" s="147"/>
      <c r="AS745" s="147"/>
    </row>
    <row r="746" spans="1:45" x14ac:dyDescent="0.25">
      <c r="A746" s="147"/>
      <c r="B746" s="147"/>
      <c r="C746" s="160"/>
      <c r="D746" s="160"/>
      <c r="E746" s="161"/>
      <c r="F746" s="162"/>
      <c r="G746" s="163"/>
      <c r="H746" s="163"/>
      <c r="I746" s="164"/>
      <c r="J746" s="162"/>
      <c r="K746" s="165"/>
      <c r="L746" s="166"/>
      <c r="M746" s="167"/>
      <c r="N746" s="167"/>
      <c r="O746" s="168"/>
      <c r="P746" s="168"/>
      <c r="Q746" s="147"/>
      <c r="R746" s="147"/>
      <c r="S746" s="169"/>
      <c r="T746" s="147"/>
      <c r="U746" s="147"/>
      <c r="V746" s="147"/>
      <c r="W746" s="147"/>
      <c r="X746" s="147"/>
      <c r="Y746" s="147"/>
      <c r="Z746" s="147"/>
      <c r="AA746" s="147"/>
      <c r="AB746" s="147"/>
      <c r="AC746" s="147"/>
      <c r="AD746" s="147"/>
      <c r="AE746" s="147"/>
      <c r="AF746" s="147"/>
      <c r="AG746" s="147"/>
      <c r="AH746" s="147"/>
      <c r="AI746" s="147"/>
      <c r="AJ746" s="147"/>
      <c r="AK746" s="147"/>
      <c r="AL746" s="147"/>
      <c r="AM746" s="147"/>
      <c r="AN746" s="147"/>
      <c r="AO746" s="147"/>
      <c r="AP746" s="147"/>
      <c r="AQ746" s="147"/>
      <c r="AR746" s="147"/>
      <c r="AS746" s="147"/>
    </row>
    <row r="747" spans="1:45" x14ac:dyDescent="0.25">
      <c r="A747" s="147"/>
      <c r="B747" s="147"/>
      <c r="C747" s="160"/>
      <c r="D747" s="160"/>
      <c r="E747" s="161"/>
      <c r="F747" s="162"/>
      <c r="G747" s="163"/>
      <c r="H747" s="163"/>
      <c r="I747" s="164"/>
      <c r="J747" s="162"/>
      <c r="K747" s="165"/>
      <c r="L747" s="166"/>
      <c r="M747" s="167"/>
      <c r="N747" s="167"/>
      <c r="O747" s="168"/>
      <c r="P747" s="168"/>
      <c r="Q747" s="147"/>
      <c r="R747" s="147"/>
      <c r="S747" s="169"/>
      <c r="T747" s="147"/>
      <c r="U747" s="147"/>
      <c r="V747" s="147"/>
      <c r="W747" s="147"/>
      <c r="X747" s="147"/>
      <c r="Y747" s="147"/>
      <c r="Z747" s="147"/>
      <c r="AA747" s="147"/>
      <c r="AB747" s="147"/>
      <c r="AC747" s="147"/>
      <c r="AD747" s="147"/>
      <c r="AE747" s="147"/>
      <c r="AF747" s="147"/>
      <c r="AG747" s="147"/>
      <c r="AH747" s="147"/>
      <c r="AI747" s="147"/>
      <c r="AJ747" s="147"/>
      <c r="AK747" s="147"/>
      <c r="AL747" s="147"/>
      <c r="AM747" s="147"/>
      <c r="AN747" s="147"/>
      <c r="AO747" s="147"/>
      <c r="AP747" s="147"/>
      <c r="AQ747" s="147"/>
      <c r="AR747" s="147"/>
      <c r="AS747" s="147"/>
    </row>
    <row r="748" spans="1:45" x14ac:dyDescent="0.25">
      <c r="A748" s="147"/>
      <c r="B748" s="147"/>
      <c r="C748" s="160"/>
      <c r="D748" s="160"/>
      <c r="E748" s="161"/>
      <c r="F748" s="162"/>
      <c r="G748" s="163"/>
      <c r="H748" s="163"/>
      <c r="I748" s="164"/>
      <c r="J748" s="162"/>
      <c r="K748" s="165"/>
      <c r="L748" s="166"/>
      <c r="M748" s="167"/>
      <c r="N748" s="167"/>
      <c r="O748" s="168"/>
      <c r="P748" s="168"/>
      <c r="Q748" s="147"/>
      <c r="R748" s="147"/>
      <c r="S748" s="169"/>
      <c r="T748" s="147"/>
      <c r="U748" s="147"/>
      <c r="V748" s="147"/>
      <c r="W748" s="147"/>
      <c r="X748" s="147"/>
      <c r="Y748" s="147"/>
      <c r="Z748" s="147"/>
      <c r="AA748" s="147"/>
      <c r="AB748" s="147"/>
      <c r="AC748" s="147"/>
      <c r="AD748" s="147"/>
      <c r="AE748" s="147"/>
      <c r="AF748" s="147"/>
      <c r="AG748" s="147"/>
      <c r="AH748" s="147"/>
      <c r="AI748" s="147"/>
      <c r="AJ748" s="147"/>
      <c r="AK748" s="147"/>
      <c r="AL748" s="147"/>
      <c r="AM748" s="147"/>
      <c r="AN748" s="147"/>
      <c r="AO748" s="147"/>
      <c r="AP748" s="147"/>
      <c r="AQ748" s="147"/>
      <c r="AR748" s="147"/>
      <c r="AS748" s="147"/>
    </row>
    <row r="749" spans="1:45" x14ac:dyDescent="0.25">
      <c r="A749" s="147"/>
      <c r="B749" s="147"/>
      <c r="C749" s="160"/>
      <c r="D749" s="160"/>
      <c r="E749" s="161"/>
      <c r="F749" s="162"/>
      <c r="G749" s="163"/>
      <c r="H749" s="163"/>
      <c r="I749" s="164"/>
      <c r="J749" s="162"/>
      <c r="K749" s="165"/>
      <c r="L749" s="166"/>
      <c r="M749" s="167"/>
      <c r="N749" s="167"/>
      <c r="O749" s="168"/>
      <c r="P749" s="168"/>
      <c r="Q749" s="147"/>
      <c r="R749" s="147"/>
      <c r="S749" s="169"/>
      <c r="T749" s="147"/>
      <c r="U749" s="147"/>
      <c r="V749" s="147"/>
      <c r="W749" s="147"/>
      <c r="X749" s="147"/>
      <c r="Y749" s="147"/>
      <c r="Z749" s="147"/>
      <c r="AA749" s="147"/>
      <c r="AB749" s="147"/>
      <c r="AC749" s="147"/>
      <c r="AD749" s="147"/>
      <c r="AE749" s="147"/>
      <c r="AF749" s="147"/>
      <c r="AG749" s="147"/>
      <c r="AH749" s="147"/>
      <c r="AI749" s="147"/>
      <c r="AJ749" s="147"/>
      <c r="AK749" s="147"/>
      <c r="AL749" s="147"/>
      <c r="AM749" s="147"/>
      <c r="AN749" s="147"/>
      <c r="AO749" s="147"/>
      <c r="AP749" s="147"/>
      <c r="AQ749" s="147"/>
      <c r="AR749" s="147"/>
      <c r="AS749" s="147"/>
    </row>
    <row r="750" spans="1:45" x14ac:dyDescent="0.25">
      <c r="A750" s="147"/>
      <c r="B750" s="147"/>
      <c r="C750" s="160"/>
      <c r="D750" s="160"/>
      <c r="E750" s="161"/>
      <c r="F750" s="162"/>
      <c r="G750" s="163"/>
      <c r="H750" s="163"/>
      <c r="I750" s="164"/>
      <c r="J750" s="162"/>
      <c r="K750" s="165"/>
      <c r="L750" s="166"/>
      <c r="M750" s="167"/>
      <c r="N750" s="167"/>
      <c r="O750" s="168"/>
      <c r="P750" s="168"/>
      <c r="Q750" s="147"/>
      <c r="R750" s="147"/>
      <c r="S750" s="169"/>
      <c r="T750" s="147"/>
      <c r="U750" s="147"/>
      <c r="V750" s="147"/>
      <c r="W750" s="147"/>
      <c r="X750" s="147"/>
      <c r="Y750" s="147"/>
      <c r="Z750" s="147"/>
      <c r="AA750" s="147"/>
      <c r="AB750" s="147"/>
      <c r="AC750" s="147"/>
      <c r="AD750" s="147"/>
      <c r="AE750" s="147"/>
      <c r="AF750" s="147"/>
      <c r="AG750" s="147"/>
      <c r="AH750" s="147"/>
      <c r="AI750" s="147"/>
      <c r="AJ750" s="147"/>
      <c r="AK750" s="147"/>
      <c r="AL750" s="147"/>
      <c r="AM750" s="147"/>
      <c r="AN750" s="147"/>
      <c r="AO750" s="147"/>
      <c r="AP750" s="147"/>
      <c r="AQ750" s="147"/>
      <c r="AR750" s="147"/>
      <c r="AS750" s="147"/>
    </row>
    <row r="751" spans="1:45" x14ac:dyDescent="0.25">
      <c r="A751" s="147"/>
      <c r="B751" s="147"/>
      <c r="C751" s="160"/>
      <c r="D751" s="160"/>
      <c r="E751" s="161"/>
      <c r="F751" s="162"/>
      <c r="G751" s="163"/>
      <c r="H751" s="163"/>
      <c r="I751" s="164"/>
      <c r="J751" s="162"/>
      <c r="K751" s="165"/>
      <c r="L751" s="166"/>
      <c r="M751" s="167"/>
      <c r="N751" s="167"/>
      <c r="O751" s="168"/>
      <c r="P751" s="168"/>
      <c r="Q751" s="147"/>
      <c r="R751" s="147"/>
      <c r="S751" s="169"/>
      <c r="T751" s="147"/>
      <c r="U751" s="147"/>
      <c r="V751" s="147"/>
      <c r="W751" s="147"/>
      <c r="X751" s="147"/>
      <c r="Y751" s="147"/>
      <c r="Z751" s="147"/>
      <c r="AA751" s="147"/>
      <c r="AB751" s="147"/>
      <c r="AC751" s="147"/>
      <c r="AD751" s="147"/>
      <c r="AE751" s="147"/>
      <c r="AF751" s="147"/>
      <c r="AG751" s="147"/>
      <c r="AH751" s="147"/>
      <c r="AI751" s="147"/>
      <c r="AJ751" s="147"/>
      <c r="AK751" s="147"/>
      <c r="AL751" s="147"/>
      <c r="AM751" s="147"/>
      <c r="AN751" s="147"/>
      <c r="AO751" s="147"/>
      <c r="AP751" s="147"/>
      <c r="AQ751" s="147"/>
      <c r="AR751" s="147"/>
      <c r="AS751" s="147"/>
    </row>
    <row r="752" spans="1:45" x14ac:dyDescent="0.25">
      <c r="A752" s="147"/>
      <c r="B752" s="147"/>
      <c r="C752" s="160"/>
      <c r="D752" s="160"/>
      <c r="E752" s="161"/>
      <c r="F752" s="162"/>
      <c r="G752" s="163"/>
      <c r="H752" s="163"/>
      <c r="I752" s="164"/>
      <c r="J752" s="162"/>
      <c r="K752" s="165"/>
      <c r="L752" s="166"/>
      <c r="M752" s="167"/>
      <c r="N752" s="167"/>
      <c r="O752" s="168"/>
      <c r="P752" s="168"/>
      <c r="Q752" s="147"/>
      <c r="R752" s="147"/>
      <c r="S752" s="169"/>
      <c r="T752" s="147"/>
      <c r="U752" s="147"/>
      <c r="V752" s="147"/>
      <c r="W752" s="147"/>
      <c r="X752" s="147"/>
      <c r="Y752" s="147"/>
      <c r="Z752" s="147"/>
      <c r="AA752" s="147"/>
      <c r="AB752" s="147"/>
      <c r="AC752" s="147"/>
      <c r="AD752" s="147"/>
      <c r="AE752" s="147"/>
      <c r="AF752" s="147"/>
      <c r="AG752" s="147"/>
      <c r="AH752" s="147"/>
      <c r="AI752" s="147"/>
      <c r="AJ752" s="147"/>
      <c r="AK752" s="147"/>
      <c r="AL752" s="147"/>
      <c r="AM752" s="147"/>
      <c r="AN752" s="147"/>
      <c r="AO752" s="147"/>
      <c r="AP752" s="147"/>
      <c r="AQ752" s="147"/>
      <c r="AR752" s="147"/>
      <c r="AS752" s="147"/>
    </row>
    <row r="753" spans="1:45" x14ac:dyDescent="0.25">
      <c r="A753" s="147"/>
      <c r="B753" s="147"/>
      <c r="C753" s="160"/>
      <c r="D753" s="160"/>
      <c r="E753" s="161"/>
      <c r="F753" s="162"/>
      <c r="G753" s="163"/>
      <c r="H753" s="163"/>
      <c r="I753" s="164"/>
      <c r="J753" s="162"/>
      <c r="K753" s="165"/>
      <c r="L753" s="166"/>
      <c r="M753" s="167"/>
      <c r="N753" s="167"/>
      <c r="O753" s="168"/>
      <c r="P753" s="168"/>
      <c r="Q753" s="147"/>
      <c r="R753" s="147"/>
      <c r="S753" s="169"/>
      <c r="T753" s="147"/>
      <c r="U753" s="147"/>
      <c r="V753" s="147"/>
      <c r="W753" s="147"/>
      <c r="X753" s="147"/>
      <c r="Y753" s="147"/>
      <c r="Z753" s="147"/>
      <c r="AA753" s="147"/>
      <c r="AB753" s="147"/>
      <c r="AC753" s="147"/>
      <c r="AD753" s="147"/>
      <c r="AE753" s="147"/>
      <c r="AF753" s="147"/>
      <c r="AG753" s="147"/>
      <c r="AH753" s="147"/>
      <c r="AI753" s="147"/>
      <c r="AJ753" s="147"/>
      <c r="AK753" s="147"/>
      <c r="AL753" s="147"/>
      <c r="AM753" s="147"/>
      <c r="AN753" s="147"/>
      <c r="AO753" s="147"/>
      <c r="AP753" s="147"/>
      <c r="AQ753" s="147"/>
      <c r="AR753" s="147"/>
      <c r="AS753" s="147"/>
    </row>
    <row r="754" spans="1:45" x14ac:dyDescent="0.25">
      <c r="A754" s="147"/>
      <c r="B754" s="147"/>
      <c r="C754" s="160"/>
      <c r="D754" s="160"/>
      <c r="E754" s="161"/>
      <c r="F754" s="162"/>
      <c r="G754" s="163"/>
      <c r="H754" s="163"/>
      <c r="I754" s="164"/>
      <c r="J754" s="162"/>
      <c r="K754" s="165"/>
      <c r="L754" s="166"/>
      <c r="M754" s="167"/>
      <c r="N754" s="167"/>
      <c r="O754" s="168"/>
      <c r="P754" s="168"/>
      <c r="Q754" s="147"/>
      <c r="R754" s="147"/>
      <c r="S754" s="169"/>
      <c r="T754" s="147"/>
      <c r="U754" s="147"/>
      <c r="V754" s="147"/>
      <c r="W754" s="147"/>
      <c r="X754" s="147"/>
      <c r="Y754" s="147"/>
      <c r="Z754" s="147"/>
      <c r="AA754" s="147"/>
      <c r="AB754" s="147"/>
      <c r="AC754" s="147"/>
      <c r="AD754" s="147"/>
      <c r="AE754" s="147"/>
      <c r="AF754" s="147"/>
      <c r="AG754" s="147"/>
      <c r="AH754" s="147"/>
      <c r="AI754" s="147"/>
      <c r="AJ754" s="147"/>
      <c r="AK754" s="147"/>
      <c r="AL754" s="147"/>
      <c r="AM754" s="147"/>
      <c r="AN754" s="147"/>
      <c r="AO754" s="147"/>
      <c r="AP754" s="147"/>
      <c r="AQ754" s="147"/>
      <c r="AR754" s="147"/>
      <c r="AS754" s="147"/>
    </row>
    <row r="755" spans="1:45" x14ac:dyDescent="0.25">
      <c r="A755" s="147"/>
      <c r="B755" s="147"/>
      <c r="C755" s="160"/>
      <c r="D755" s="160"/>
      <c r="E755" s="161"/>
      <c r="F755" s="162"/>
      <c r="G755" s="163"/>
      <c r="H755" s="163"/>
      <c r="I755" s="164"/>
      <c r="J755" s="162"/>
      <c r="K755" s="165"/>
      <c r="L755" s="166"/>
      <c r="M755" s="167"/>
      <c r="N755" s="167"/>
      <c r="O755" s="168"/>
      <c r="P755" s="168"/>
      <c r="Q755" s="147"/>
      <c r="R755" s="147"/>
      <c r="S755" s="169"/>
      <c r="T755" s="147"/>
      <c r="U755" s="147"/>
      <c r="V755" s="147"/>
      <c r="W755" s="147"/>
      <c r="X755" s="147"/>
      <c r="Y755" s="147"/>
      <c r="Z755" s="147"/>
      <c r="AA755" s="147"/>
      <c r="AB755" s="147"/>
      <c r="AC755" s="147"/>
      <c r="AD755" s="147"/>
      <c r="AE755" s="147"/>
      <c r="AF755" s="147"/>
      <c r="AG755" s="147"/>
      <c r="AH755" s="147"/>
      <c r="AI755" s="147"/>
      <c r="AJ755" s="147"/>
      <c r="AK755" s="147"/>
      <c r="AL755" s="147"/>
      <c r="AM755" s="147"/>
      <c r="AN755" s="147"/>
      <c r="AO755" s="147"/>
      <c r="AP755" s="147"/>
      <c r="AQ755" s="147"/>
      <c r="AR755" s="147"/>
      <c r="AS755" s="147"/>
    </row>
    <row r="756" spans="1:45" x14ac:dyDescent="0.25">
      <c r="A756" s="147"/>
      <c r="B756" s="147"/>
      <c r="C756" s="160"/>
      <c r="D756" s="160"/>
      <c r="E756" s="161"/>
      <c r="F756" s="162"/>
      <c r="G756" s="163"/>
      <c r="H756" s="163"/>
      <c r="I756" s="164"/>
      <c r="J756" s="162"/>
      <c r="K756" s="165"/>
      <c r="L756" s="166"/>
      <c r="M756" s="167"/>
      <c r="N756" s="167"/>
      <c r="O756" s="168"/>
      <c r="P756" s="168"/>
      <c r="Q756" s="147"/>
      <c r="R756" s="147"/>
      <c r="S756" s="169"/>
      <c r="T756" s="147"/>
      <c r="U756" s="147"/>
      <c r="V756" s="147"/>
      <c r="W756" s="147"/>
      <c r="X756" s="147"/>
      <c r="Y756" s="147"/>
      <c r="Z756" s="147"/>
      <c r="AA756" s="147"/>
      <c r="AB756" s="147"/>
      <c r="AC756" s="147"/>
      <c r="AD756" s="147"/>
      <c r="AE756" s="147"/>
      <c r="AF756" s="147"/>
      <c r="AG756" s="147"/>
      <c r="AH756" s="147"/>
      <c r="AI756" s="147"/>
      <c r="AJ756" s="147"/>
      <c r="AK756" s="147"/>
      <c r="AL756" s="147"/>
      <c r="AM756" s="147"/>
      <c r="AN756" s="147"/>
      <c r="AO756" s="147"/>
      <c r="AP756" s="147"/>
      <c r="AQ756" s="147"/>
      <c r="AR756" s="147"/>
      <c r="AS756" s="147"/>
    </row>
    <row r="757" spans="1:45" x14ac:dyDescent="0.25">
      <c r="A757" s="147"/>
      <c r="B757" s="147"/>
      <c r="C757" s="160"/>
      <c r="D757" s="160"/>
      <c r="E757" s="161"/>
      <c r="F757" s="162"/>
      <c r="G757" s="163"/>
      <c r="H757" s="163"/>
      <c r="I757" s="164"/>
      <c r="J757" s="162"/>
      <c r="K757" s="165"/>
      <c r="L757" s="166"/>
      <c r="M757" s="167"/>
      <c r="N757" s="167"/>
      <c r="O757" s="168"/>
      <c r="P757" s="168"/>
      <c r="Q757" s="147"/>
      <c r="R757" s="147"/>
      <c r="S757" s="169"/>
      <c r="T757" s="147"/>
      <c r="U757" s="147"/>
      <c r="V757" s="147"/>
      <c r="W757" s="147"/>
      <c r="X757" s="147"/>
      <c r="Y757" s="147"/>
      <c r="Z757" s="147"/>
      <c r="AA757" s="147"/>
      <c r="AB757" s="147"/>
      <c r="AC757" s="147"/>
      <c r="AD757" s="147"/>
      <c r="AE757" s="147"/>
      <c r="AF757" s="147"/>
      <c r="AG757" s="147"/>
      <c r="AH757" s="147"/>
      <c r="AI757" s="147"/>
      <c r="AJ757" s="147"/>
      <c r="AK757" s="147"/>
      <c r="AL757" s="147"/>
      <c r="AM757" s="147"/>
      <c r="AN757" s="147"/>
      <c r="AO757" s="147"/>
      <c r="AP757" s="147"/>
      <c r="AQ757" s="147"/>
      <c r="AR757" s="147"/>
      <c r="AS757" s="147"/>
    </row>
    <row r="758" spans="1:45" x14ac:dyDescent="0.25">
      <c r="A758" s="147"/>
      <c r="B758" s="147"/>
      <c r="C758" s="160"/>
      <c r="D758" s="160"/>
      <c r="E758" s="161"/>
      <c r="F758" s="162"/>
      <c r="G758" s="163"/>
      <c r="H758" s="163"/>
      <c r="I758" s="164"/>
      <c r="J758" s="162"/>
      <c r="K758" s="165"/>
      <c r="L758" s="166"/>
      <c r="M758" s="167"/>
      <c r="N758" s="167"/>
      <c r="O758" s="168"/>
      <c r="P758" s="168"/>
      <c r="Q758" s="147"/>
      <c r="R758" s="147"/>
      <c r="S758" s="169"/>
      <c r="T758" s="147"/>
      <c r="U758" s="147"/>
      <c r="V758" s="147"/>
      <c r="W758" s="147"/>
      <c r="X758" s="147"/>
      <c r="Y758" s="147"/>
      <c r="Z758" s="147"/>
      <c r="AA758" s="147"/>
      <c r="AB758" s="147"/>
      <c r="AC758" s="147"/>
      <c r="AD758" s="147"/>
      <c r="AE758" s="147"/>
      <c r="AF758" s="147"/>
      <c r="AG758" s="147"/>
      <c r="AH758" s="147"/>
      <c r="AI758" s="147"/>
      <c r="AJ758" s="147"/>
      <c r="AK758" s="147"/>
      <c r="AL758" s="147"/>
      <c r="AM758" s="147"/>
      <c r="AN758" s="147"/>
      <c r="AO758" s="147"/>
      <c r="AP758" s="147"/>
      <c r="AQ758" s="147"/>
      <c r="AR758" s="147"/>
      <c r="AS758" s="147"/>
    </row>
    <row r="759" spans="1:45" x14ac:dyDescent="0.25">
      <c r="A759" s="147"/>
      <c r="B759" s="147"/>
      <c r="C759" s="160"/>
      <c r="D759" s="160"/>
      <c r="E759" s="161"/>
      <c r="F759" s="162"/>
      <c r="G759" s="163"/>
      <c r="H759" s="163"/>
      <c r="I759" s="164"/>
      <c r="J759" s="162"/>
      <c r="K759" s="165"/>
      <c r="L759" s="166"/>
      <c r="M759" s="167"/>
      <c r="N759" s="167"/>
      <c r="O759" s="168"/>
      <c r="P759" s="168"/>
      <c r="Q759" s="147"/>
      <c r="R759" s="147"/>
      <c r="S759" s="169"/>
      <c r="T759" s="147"/>
      <c r="U759" s="147"/>
      <c r="V759" s="147"/>
      <c r="W759" s="147"/>
      <c r="X759" s="147"/>
      <c r="Y759" s="147"/>
      <c r="Z759" s="147"/>
      <c r="AA759" s="147"/>
      <c r="AB759" s="147"/>
      <c r="AC759" s="147"/>
      <c r="AD759" s="147"/>
      <c r="AE759" s="147"/>
      <c r="AF759" s="147"/>
      <c r="AG759" s="147"/>
      <c r="AH759" s="147"/>
      <c r="AI759" s="147"/>
      <c r="AJ759" s="147"/>
      <c r="AK759" s="147"/>
      <c r="AL759" s="147"/>
      <c r="AM759" s="147"/>
      <c r="AN759" s="147"/>
      <c r="AO759" s="147"/>
      <c r="AP759" s="147"/>
      <c r="AQ759" s="147"/>
      <c r="AR759" s="147"/>
      <c r="AS759" s="147"/>
    </row>
    <row r="760" spans="1:45" x14ac:dyDescent="0.25">
      <c r="A760" s="147"/>
      <c r="B760" s="147"/>
      <c r="C760" s="160"/>
      <c r="D760" s="160"/>
      <c r="E760" s="161"/>
      <c r="F760" s="162"/>
      <c r="G760" s="163"/>
      <c r="H760" s="163"/>
      <c r="I760" s="164"/>
      <c r="J760" s="162"/>
      <c r="K760" s="165"/>
      <c r="L760" s="166"/>
      <c r="M760" s="167"/>
      <c r="N760" s="167"/>
      <c r="O760" s="168"/>
      <c r="P760" s="168"/>
      <c r="Q760" s="147"/>
      <c r="R760" s="147"/>
      <c r="S760" s="169"/>
      <c r="T760" s="147"/>
      <c r="U760" s="147"/>
      <c r="V760" s="147"/>
      <c r="W760" s="147"/>
      <c r="X760" s="147"/>
      <c r="Y760" s="147"/>
      <c r="Z760" s="147"/>
      <c r="AA760" s="147"/>
      <c r="AB760" s="147"/>
      <c r="AC760" s="147"/>
      <c r="AD760" s="147"/>
      <c r="AE760" s="147"/>
      <c r="AF760" s="147"/>
      <c r="AG760" s="147"/>
      <c r="AH760" s="147"/>
      <c r="AI760" s="147"/>
      <c r="AJ760" s="147"/>
      <c r="AK760" s="147"/>
      <c r="AL760" s="147"/>
      <c r="AM760" s="147"/>
      <c r="AN760" s="147"/>
      <c r="AO760" s="147"/>
      <c r="AP760" s="147"/>
      <c r="AQ760" s="147"/>
      <c r="AR760" s="147"/>
      <c r="AS760" s="147"/>
    </row>
    <row r="761" spans="1:45" x14ac:dyDescent="0.25">
      <c r="A761" s="147"/>
      <c r="B761" s="147"/>
      <c r="C761" s="160"/>
      <c r="D761" s="160"/>
      <c r="E761" s="161"/>
      <c r="F761" s="162"/>
      <c r="G761" s="163"/>
      <c r="H761" s="163"/>
      <c r="I761" s="164"/>
      <c r="J761" s="162"/>
      <c r="K761" s="165"/>
      <c r="L761" s="166"/>
      <c r="M761" s="167"/>
      <c r="N761" s="167"/>
      <c r="O761" s="168"/>
      <c r="P761" s="168"/>
      <c r="Q761" s="147"/>
      <c r="R761" s="147"/>
      <c r="S761" s="169"/>
      <c r="T761" s="147"/>
      <c r="U761" s="147"/>
      <c r="V761" s="147"/>
      <c r="W761" s="147"/>
      <c r="X761" s="147"/>
      <c r="Y761" s="147"/>
      <c r="Z761" s="147"/>
      <c r="AA761" s="147"/>
      <c r="AB761" s="147"/>
      <c r="AC761" s="147"/>
      <c r="AD761" s="147"/>
      <c r="AE761" s="147"/>
      <c r="AF761" s="147"/>
      <c r="AG761" s="147"/>
      <c r="AH761" s="147"/>
      <c r="AI761" s="147"/>
      <c r="AJ761" s="147"/>
      <c r="AK761" s="147"/>
      <c r="AL761" s="147"/>
      <c r="AM761" s="147"/>
      <c r="AN761" s="147"/>
      <c r="AO761" s="147"/>
      <c r="AP761" s="147"/>
      <c r="AQ761" s="147"/>
      <c r="AR761" s="147"/>
      <c r="AS761" s="147"/>
    </row>
    <row r="762" spans="1:45" x14ac:dyDescent="0.25">
      <c r="A762" s="147"/>
      <c r="B762" s="147"/>
      <c r="C762" s="160"/>
      <c r="D762" s="160"/>
      <c r="E762" s="161"/>
      <c r="F762" s="162"/>
      <c r="G762" s="163"/>
      <c r="H762" s="163"/>
      <c r="I762" s="164"/>
      <c r="J762" s="162"/>
      <c r="K762" s="165"/>
      <c r="L762" s="166"/>
      <c r="M762" s="167"/>
      <c r="N762" s="167"/>
      <c r="O762" s="168"/>
      <c r="P762" s="168"/>
      <c r="Q762" s="147"/>
      <c r="R762" s="147"/>
      <c r="S762" s="169"/>
      <c r="T762" s="147"/>
      <c r="U762" s="147"/>
      <c r="V762" s="147"/>
      <c r="W762" s="147"/>
      <c r="X762" s="147"/>
      <c r="Y762" s="147"/>
      <c r="Z762" s="147"/>
      <c r="AA762" s="147"/>
      <c r="AB762" s="147"/>
      <c r="AC762" s="147"/>
      <c r="AD762" s="147"/>
      <c r="AE762" s="147"/>
      <c r="AF762" s="147"/>
      <c r="AG762" s="147"/>
      <c r="AH762" s="147"/>
      <c r="AI762" s="147"/>
      <c r="AJ762" s="147"/>
      <c r="AK762" s="147"/>
      <c r="AL762" s="147"/>
      <c r="AM762" s="147"/>
      <c r="AN762" s="147"/>
      <c r="AO762" s="147"/>
      <c r="AP762" s="147"/>
      <c r="AQ762" s="147"/>
      <c r="AR762" s="147"/>
      <c r="AS762" s="147"/>
    </row>
    <row r="763" spans="1:45" x14ac:dyDescent="0.25">
      <c r="A763" s="147"/>
      <c r="B763" s="147"/>
      <c r="C763" s="160"/>
      <c r="D763" s="160"/>
      <c r="E763" s="161"/>
      <c r="F763" s="162"/>
      <c r="G763" s="163"/>
      <c r="H763" s="163"/>
      <c r="I763" s="164"/>
      <c r="J763" s="162"/>
      <c r="K763" s="165"/>
      <c r="L763" s="166"/>
      <c r="M763" s="167"/>
      <c r="N763" s="167"/>
      <c r="O763" s="168"/>
      <c r="P763" s="168"/>
      <c r="Q763" s="147"/>
      <c r="R763" s="147"/>
      <c r="S763" s="169"/>
      <c r="T763" s="147"/>
      <c r="U763" s="147"/>
      <c r="V763" s="147"/>
      <c r="W763" s="147"/>
      <c r="X763" s="147"/>
      <c r="Y763" s="147"/>
      <c r="Z763" s="147"/>
      <c r="AA763" s="147"/>
      <c r="AB763" s="147"/>
      <c r="AC763" s="147"/>
      <c r="AD763" s="147"/>
      <c r="AE763" s="147"/>
      <c r="AF763" s="147"/>
      <c r="AG763" s="147"/>
      <c r="AH763" s="147"/>
      <c r="AI763" s="147"/>
      <c r="AJ763" s="147"/>
      <c r="AK763" s="147"/>
      <c r="AL763" s="147"/>
      <c r="AM763" s="147"/>
      <c r="AN763" s="147"/>
      <c r="AO763" s="147"/>
      <c r="AP763" s="147"/>
      <c r="AQ763" s="147"/>
      <c r="AR763" s="147"/>
      <c r="AS763" s="147"/>
    </row>
    <row r="764" spans="1:45" x14ac:dyDescent="0.25">
      <c r="A764" s="147"/>
      <c r="B764" s="147"/>
      <c r="C764" s="160"/>
      <c r="D764" s="160"/>
      <c r="E764" s="161"/>
      <c r="F764" s="162"/>
      <c r="G764" s="163"/>
      <c r="H764" s="163"/>
      <c r="I764" s="164"/>
      <c r="J764" s="162"/>
      <c r="K764" s="165"/>
      <c r="L764" s="166"/>
      <c r="M764" s="167"/>
      <c r="N764" s="167"/>
      <c r="O764" s="168"/>
      <c r="P764" s="168"/>
      <c r="Q764" s="147"/>
      <c r="R764" s="147"/>
      <c r="S764" s="169"/>
      <c r="T764" s="147"/>
      <c r="U764" s="147"/>
      <c r="V764" s="147"/>
      <c r="W764" s="147"/>
      <c r="X764" s="147"/>
      <c r="Y764" s="147"/>
      <c r="Z764" s="147"/>
      <c r="AA764" s="147"/>
      <c r="AB764" s="147"/>
      <c r="AC764" s="147"/>
      <c r="AD764" s="147"/>
      <c r="AE764" s="147"/>
      <c r="AF764" s="147"/>
      <c r="AG764" s="147"/>
      <c r="AH764" s="147"/>
      <c r="AI764" s="147"/>
      <c r="AJ764" s="147"/>
      <c r="AK764" s="147"/>
      <c r="AL764" s="147"/>
      <c r="AM764" s="147"/>
      <c r="AN764" s="147"/>
      <c r="AO764" s="147"/>
      <c r="AP764" s="147"/>
      <c r="AQ764" s="147"/>
      <c r="AR764" s="147"/>
      <c r="AS764" s="147"/>
    </row>
    <row r="765" spans="1:45" x14ac:dyDescent="0.25">
      <c r="A765" s="147"/>
      <c r="B765" s="147"/>
      <c r="C765" s="160"/>
      <c r="D765" s="160"/>
      <c r="E765" s="161"/>
      <c r="F765" s="162"/>
      <c r="G765" s="163"/>
      <c r="H765" s="163"/>
      <c r="I765" s="164"/>
      <c r="J765" s="162"/>
      <c r="K765" s="165"/>
      <c r="L765" s="166"/>
      <c r="M765" s="167"/>
      <c r="N765" s="167"/>
      <c r="O765" s="168"/>
      <c r="P765" s="168"/>
      <c r="Q765" s="147"/>
      <c r="R765" s="147"/>
      <c r="S765" s="169"/>
      <c r="T765" s="147"/>
      <c r="U765" s="147"/>
      <c r="V765" s="147"/>
      <c r="W765" s="147"/>
      <c r="X765" s="147"/>
      <c r="Y765" s="147"/>
      <c r="Z765" s="147"/>
      <c r="AA765" s="147"/>
      <c r="AB765" s="147"/>
      <c r="AC765" s="147"/>
      <c r="AD765" s="147"/>
      <c r="AE765" s="147"/>
      <c r="AF765" s="147"/>
      <c r="AG765" s="147"/>
      <c r="AH765" s="147"/>
      <c r="AI765" s="147"/>
      <c r="AJ765" s="147"/>
      <c r="AK765" s="147"/>
      <c r="AL765" s="147"/>
      <c r="AM765" s="147"/>
      <c r="AN765" s="147"/>
      <c r="AO765" s="147"/>
      <c r="AP765" s="147"/>
      <c r="AQ765" s="147"/>
      <c r="AR765" s="147"/>
      <c r="AS765" s="147"/>
    </row>
    <row r="766" spans="1:45" x14ac:dyDescent="0.25">
      <c r="A766" s="147"/>
      <c r="B766" s="147"/>
      <c r="C766" s="160"/>
      <c r="D766" s="160"/>
      <c r="E766" s="161"/>
      <c r="F766" s="162"/>
      <c r="G766" s="163"/>
      <c r="H766" s="163"/>
      <c r="I766" s="164"/>
      <c r="J766" s="162"/>
      <c r="K766" s="165"/>
      <c r="L766" s="166"/>
      <c r="M766" s="167"/>
      <c r="N766" s="167"/>
      <c r="O766" s="168"/>
      <c r="P766" s="168"/>
      <c r="Q766" s="147"/>
      <c r="R766" s="147"/>
      <c r="S766" s="169"/>
      <c r="T766" s="147"/>
      <c r="U766" s="147"/>
      <c r="V766" s="147"/>
      <c r="W766" s="147"/>
      <c r="X766" s="147"/>
      <c r="Y766" s="147"/>
      <c r="Z766" s="147"/>
      <c r="AA766" s="147"/>
      <c r="AB766" s="147"/>
      <c r="AC766" s="147"/>
      <c r="AD766" s="147"/>
      <c r="AE766" s="147"/>
      <c r="AF766" s="147"/>
      <c r="AG766" s="147"/>
      <c r="AH766" s="147"/>
      <c r="AI766" s="147"/>
      <c r="AJ766" s="147"/>
      <c r="AK766" s="147"/>
      <c r="AL766" s="147"/>
      <c r="AM766" s="147"/>
      <c r="AN766" s="147"/>
      <c r="AO766" s="147"/>
      <c r="AP766" s="147"/>
      <c r="AQ766" s="147"/>
      <c r="AR766" s="147"/>
      <c r="AS766" s="147"/>
    </row>
    <row r="767" spans="1:45" x14ac:dyDescent="0.25">
      <c r="A767" s="147"/>
      <c r="B767" s="147"/>
      <c r="C767" s="160"/>
      <c r="D767" s="160"/>
      <c r="E767" s="161"/>
      <c r="F767" s="162"/>
      <c r="G767" s="163"/>
      <c r="H767" s="163"/>
      <c r="I767" s="164"/>
      <c r="J767" s="162"/>
      <c r="K767" s="165"/>
      <c r="L767" s="166"/>
      <c r="M767" s="167"/>
      <c r="N767" s="167"/>
      <c r="O767" s="168"/>
      <c r="P767" s="168"/>
      <c r="Q767" s="147"/>
      <c r="R767" s="147"/>
      <c r="S767" s="169"/>
      <c r="T767" s="147"/>
      <c r="U767" s="147"/>
      <c r="V767" s="147"/>
      <c r="W767" s="147"/>
      <c r="X767" s="147"/>
      <c r="Y767" s="147"/>
      <c r="Z767" s="147"/>
      <c r="AA767" s="147"/>
      <c r="AB767" s="147"/>
      <c r="AC767" s="147"/>
      <c r="AD767" s="147"/>
      <c r="AE767" s="147"/>
      <c r="AF767" s="147"/>
      <c r="AG767" s="147"/>
      <c r="AH767" s="147"/>
      <c r="AI767" s="147"/>
      <c r="AJ767" s="147"/>
      <c r="AK767" s="147"/>
      <c r="AL767" s="147"/>
      <c r="AM767" s="147"/>
      <c r="AN767" s="147"/>
      <c r="AO767" s="147"/>
      <c r="AP767" s="147"/>
      <c r="AQ767" s="147"/>
      <c r="AR767" s="147"/>
      <c r="AS767" s="147"/>
    </row>
    <row r="768" spans="1:45" x14ac:dyDescent="0.25">
      <c r="A768" s="147"/>
      <c r="B768" s="147"/>
      <c r="C768" s="160"/>
      <c r="D768" s="160"/>
      <c r="E768" s="161"/>
      <c r="F768" s="162"/>
      <c r="G768" s="163"/>
      <c r="H768" s="163"/>
      <c r="I768" s="164"/>
      <c r="J768" s="162"/>
      <c r="K768" s="165"/>
      <c r="L768" s="166"/>
      <c r="M768" s="167"/>
      <c r="N768" s="167"/>
      <c r="O768" s="168"/>
      <c r="P768" s="168"/>
      <c r="Q768" s="147"/>
      <c r="R768" s="147"/>
      <c r="S768" s="169"/>
      <c r="T768" s="147"/>
      <c r="U768" s="147"/>
      <c r="V768" s="147"/>
      <c r="W768" s="147"/>
      <c r="X768" s="147"/>
      <c r="Y768" s="147"/>
      <c r="Z768" s="147"/>
      <c r="AA768" s="147"/>
      <c r="AB768" s="147"/>
      <c r="AC768" s="147"/>
      <c r="AD768" s="147"/>
      <c r="AE768" s="147"/>
      <c r="AF768" s="147"/>
      <c r="AG768" s="147"/>
      <c r="AH768" s="147"/>
      <c r="AI768" s="147"/>
      <c r="AJ768" s="147"/>
      <c r="AK768" s="147"/>
      <c r="AL768" s="147"/>
      <c r="AM768" s="147"/>
      <c r="AN768" s="147"/>
      <c r="AO768" s="147"/>
      <c r="AP768" s="147"/>
      <c r="AQ768" s="147"/>
      <c r="AR768" s="147"/>
      <c r="AS768" s="147"/>
    </row>
    <row r="769" spans="1:45" x14ac:dyDescent="0.25">
      <c r="A769" s="147"/>
      <c r="B769" s="147"/>
      <c r="C769" s="160"/>
      <c r="D769" s="160"/>
      <c r="E769" s="161"/>
      <c r="F769" s="162"/>
      <c r="G769" s="163"/>
      <c r="H769" s="163"/>
      <c r="I769" s="164"/>
      <c r="J769" s="162"/>
      <c r="K769" s="165"/>
      <c r="L769" s="166"/>
      <c r="M769" s="167"/>
      <c r="N769" s="167"/>
      <c r="O769" s="168"/>
      <c r="P769" s="168"/>
      <c r="Q769" s="147"/>
      <c r="R769" s="147"/>
      <c r="S769" s="169"/>
      <c r="T769" s="147"/>
      <c r="U769" s="147"/>
      <c r="V769" s="147"/>
      <c r="W769" s="147"/>
      <c r="X769" s="147"/>
      <c r="Y769" s="147"/>
      <c r="Z769" s="147"/>
      <c r="AA769" s="147"/>
      <c r="AB769" s="147"/>
      <c r="AC769" s="147"/>
      <c r="AD769" s="147"/>
      <c r="AE769" s="147"/>
      <c r="AF769" s="147"/>
      <c r="AG769" s="147"/>
      <c r="AH769" s="147"/>
      <c r="AI769" s="147"/>
      <c r="AJ769" s="147"/>
      <c r="AK769" s="147"/>
      <c r="AL769" s="147"/>
      <c r="AM769" s="147"/>
      <c r="AN769" s="147"/>
      <c r="AO769" s="147"/>
      <c r="AP769" s="147"/>
      <c r="AQ769" s="147"/>
      <c r="AR769" s="147"/>
      <c r="AS769" s="147"/>
    </row>
    <row r="770" spans="1:45" x14ac:dyDescent="0.25">
      <c r="A770" s="147"/>
      <c r="B770" s="147"/>
      <c r="C770" s="160"/>
      <c r="D770" s="160"/>
      <c r="E770" s="161"/>
      <c r="F770" s="162"/>
      <c r="G770" s="163"/>
      <c r="H770" s="163"/>
      <c r="I770" s="164"/>
      <c r="J770" s="162"/>
      <c r="K770" s="165"/>
      <c r="L770" s="166"/>
      <c r="M770" s="167"/>
      <c r="N770" s="167"/>
      <c r="O770" s="168"/>
      <c r="P770" s="168"/>
      <c r="Q770" s="147"/>
      <c r="R770" s="147"/>
      <c r="S770" s="169"/>
      <c r="T770" s="147"/>
      <c r="U770" s="147"/>
      <c r="V770" s="147"/>
      <c r="W770" s="147"/>
      <c r="X770" s="147"/>
      <c r="Y770" s="147"/>
      <c r="Z770" s="147"/>
      <c r="AA770" s="147"/>
      <c r="AB770" s="147"/>
      <c r="AC770" s="147"/>
      <c r="AD770" s="147"/>
      <c r="AE770" s="147"/>
      <c r="AF770" s="147"/>
      <c r="AG770" s="147"/>
      <c r="AH770" s="147"/>
      <c r="AI770" s="147"/>
      <c r="AJ770" s="147"/>
      <c r="AK770" s="147"/>
      <c r="AL770" s="147"/>
      <c r="AM770" s="147"/>
      <c r="AN770" s="147"/>
      <c r="AO770" s="147"/>
      <c r="AP770" s="147"/>
      <c r="AQ770" s="147"/>
      <c r="AR770" s="147"/>
      <c r="AS770" s="147"/>
    </row>
    <row r="771" spans="1:45" x14ac:dyDescent="0.25">
      <c r="A771" s="147"/>
      <c r="B771" s="147"/>
      <c r="C771" s="160"/>
      <c r="D771" s="160"/>
      <c r="E771" s="161"/>
      <c r="F771" s="162"/>
      <c r="G771" s="163"/>
      <c r="H771" s="163"/>
      <c r="I771" s="164"/>
      <c r="J771" s="162"/>
      <c r="K771" s="165"/>
      <c r="L771" s="166"/>
      <c r="M771" s="167"/>
      <c r="N771" s="167"/>
      <c r="O771" s="168"/>
      <c r="P771" s="168"/>
      <c r="Q771" s="147"/>
      <c r="R771" s="147"/>
      <c r="S771" s="169"/>
      <c r="T771" s="147"/>
      <c r="U771" s="147"/>
      <c r="V771" s="147"/>
      <c r="W771" s="147"/>
      <c r="X771" s="147"/>
      <c r="Y771" s="147"/>
      <c r="Z771" s="147"/>
      <c r="AA771" s="147"/>
      <c r="AB771" s="147"/>
      <c r="AC771" s="147"/>
      <c r="AD771" s="147"/>
      <c r="AE771" s="147"/>
      <c r="AF771" s="147"/>
      <c r="AG771" s="147"/>
      <c r="AH771" s="147"/>
      <c r="AI771" s="147"/>
      <c r="AJ771" s="147"/>
      <c r="AK771" s="147"/>
      <c r="AL771" s="147"/>
      <c r="AM771" s="147"/>
      <c r="AN771" s="147"/>
      <c r="AO771" s="147"/>
      <c r="AP771" s="147"/>
      <c r="AQ771" s="147"/>
      <c r="AR771" s="147"/>
      <c r="AS771" s="147"/>
    </row>
    <row r="772" spans="1:45" x14ac:dyDescent="0.25">
      <c r="A772" s="147"/>
      <c r="B772" s="147"/>
      <c r="C772" s="160"/>
      <c r="D772" s="160"/>
      <c r="E772" s="161"/>
      <c r="F772" s="162"/>
      <c r="G772" s="163"/>
      <c r="H772" s="163"/>
      <c r="I772" s="164"/>
      <c r="J772" s="162"/>
      <c r="K772" s="165"/>
      <c r="L772" s="166"/>
      <c r="M772" s="167"/>
      <c r="N772" s="167"/>
      <c r="O772" s="168"/>
      <c r="P772" s="168"/>
      <c r="Q772" s="147"/>
      <c r="R772" s="147"/>
      <c r="S772" s="169"/>
      <c r="T772" s="147"/>
      <c r="U772" s="147"/>
      <c r="V772" s="147"/>
      <c r="W772" s="147"/>
      <c r="X772" s="147"/>
      <c r="Y772" s="147"/>
      <c r="Z772" s="147"/>
      <c r="AA772" s="147"/>
      <c r="AB772" s="147"/>
      <c r="AC772" s="147"/>
      <c r="AD772" s="147"/>
      <c r="AE772" s="147"/>
      <c r="AF772" s="147"/>
      <c r="AG772" s="147"/>
      <c r="AH772" s="147"/>
      <c r="AI772" s="147"/>
      <c r="AJ772" s="147"/>
      <c r="AK772" s="147"/>
      <c r="AL772" s="147"/>
      <c r="AM772" s="147"/>
      <c r="AN772" s="147"/>
      <c r="AO772" s="147"/>
      <c r="AP772" s="147"/>
      <c r="AQ772" s="147"/>
      <c r="AR772" s="147"/>
      <c r="AS772" s="147"/>
    </row>
    <row r="773" spans="1:45" x14ac:dyDescent="0.25">
      <c r="A773" s="147"/>
      <c r="B773" s="147"/>
      <c r="C773" s="160"/>
      <c r="D773" s="160"/>
      <c r="E773" s="161"/>
      <c r="F773" s="162"/>
      <c r="G773" s="163"/>
      <c r="H773" s="163"/>
      <c r="I773" s="164"/>
      <c r="J773" s="162"/>
      <c r="K773" s="165"/>
      <c r="L773" s="166"/>
      <c r="M773" s="167"/>
      <c r="N773" s="167"/>
      <c r="O773" s="168"/>
      <c r="P773" s="168"/>
      <c r="Q773" s="147"/>
      <c r="R773" s="147"/>
      <c r="S773" s="169"/>
      <c r="T773" s="147"/>
      <c r="U773" s="147"/>
      <c r="V773" s="147"/>
      <c r="W773" s="147"/>
      <c r="X773" s="147"/>
      <c r="Y773" s="147"/>
      <c r="Z773" s="147"/>
      <c r="AA773" s="147"/>
      <c r="AB773" s="147"/>
      <c r="AC773" s="147"/>
      <c r="AD773" s="147"/>
      <c r="AE773" s="147"/>
      <c r="AF773" s="147"/>
      <c r="AG773" s="147"/>
      <c r="AH773" s="147"/>
      <c r="AI773" s="147"/>
      <c r="AJ773" s="147"/>
      <c r="AK773" s="147"/>
      <c r="AL773" s="147"/>
      <c r="AM773" s="147"/>
      <c r="AN773" s="147"/>
      <c r="AO773" s="147"/>
      <c r="AP773" s="147"/>
      <c r="AQ773" s="147"/>
      <c r="AR773" s="147"/>
      <c r="AS773" s="147"/>
    </row>
    <row r="774" spans="1:45" x14ac:dyDescent="0.25">
      <c r="A774" s="147"/>
      <c r="B774" s="147"/>
      <c r="C774" s="160"/>
      <c r="D774" s="160"/>
      <c r="E774" s="161"/>
      <c r="F774" s="162"/>
      <c r="G774" s="163"/>
      <c r="H774" s="163"/>
      <c r="I774" s="164"/>
      <c r="J774" s="162"/>
      <c r="K774" s="165"/>
      <c r="L774" s="166"/>
      <c r="M774" s="167"/>
      <c r="N774" s="167"/>
      <c r="O774" s="168"/>
      <c r="P774" s="168"/>
      <c r="Q774" s="147"/>
      <c r="R774" s="147"/>
      <c r="S774" s="169"/>
      <c r="T774" s="147"/>
      <c r="U774" s="147"/>
      <c r="V774" s="147"/>
      <c r="W774" s="147"/>
      <c r="X774" s="147"/>
      <c r="Y774" s="147"/>
      <c r="Z774" s="147"/>
      <c r="AA774" s="147"/>
      <c r="AB774" s="147"/>
      <c r="AC774" s="147"/>
      <c r="AD774" s="147"/>
      <c r="AE774" s="147"/>
      <c r="AF774" s="147"/>
      <c r="AG774" s="147"/>
      <c r="AH774" s="147"/>
      <c r="AI774" s="147"/>
      <c r="AJ774" s="147"/>
      <c r="AK774" s="147"/>
      <c r="AL774" s="147"/>
      <c r="AM774" s="147"/>
      <c r="AN774" s="147"/>
      <c r="AO774" s="147"/>
      <c r="AP774" s="147"/>
      <c r="AQ774" s="147"/>
      <c r="AR774" s="147"/>
      <c r="AS774" s="147"/>
    </row>
    <row r="775" spans="1:45" x14ac:dyDescent="0.25">
      <c r="A775" s="147"/>
      <c r="B775" s="147"/>
      <c r="C775" s="160"/>
      <c r="D775" s="160"/>
      <c r="E775" s="161"/>
      <c r="F775" s="162"/>
      <c r="G775" s="163"/>
      <c r="H775" s="163"/>
      <c r="I775" s="164"/>
      <c r="J775" s="162"/>
      <c r="K775" s="165"/>
      <c r="L775" s="166"/>
      <c r="M775" s="167"/>
      <c r="N775" s="167"/>
      <c r="O775" s="168"/>
      <c r="P775" s="168"/>
      <c r="Q775" s="147"/>
      <c r="R775" s="147"/>
      <c r="S775" s="169"/>
      <c r="T775" s="147"/>
      <c r="U775" s="147"/>
      <c r="V775" s="147"/>
      <c r="W775" s="147"/>
      <c r="X775" s="147"/>
      <c r="Y775" s="147"/>
      <c r="Z775" s="147"/>
      <c r="AA775" s="147"/>
      <c r="AB775" s="147"/>
      <c r="AC775" s="147"/>
      <c r="AD775" s="147"/>
      <c r="AE775" s="147"/>
      <c r="AF775" s="147"/>
      <c r="AG775" s="147"/>
      <c r="AH775" s="147"/>
      <c r="AI775" s="147"/>
      <c r="AJ775" s="147"/>
      <c r="AK775" s="147"/>
      <c r="AL775" s="147"/>
      <c r="AM775" s="147"/>
      <c r="AN775" s="147"/>
      <c r="AO775" s="147"/>
      <c r="AP775" s="147"/>
      <c r="AQ775" s="147"/>
      <c r="AR775" s="147"/>
      <c r="AS775" s="147"/>
    </row>
    <row r="776" spans="1:45" x14ac:dyDescent="0.25">
      <c r="A776" s="147"/>
      <c r="B776" s="147"/>
      <c r="C776" s="160"/>
      <c r="D776" s="160"/>
      <c r="E776" s="161"/>
      <c r="F776" s="162"/>
      <c r="G776" s="163"/>
      <c r="H776" s="163"/>
      <c r="I776" s="164"/>
      <c r="J776" s="162"/>
      <c r="K776" s="165"/>
      <c r="L776" s="166"/>
      <c r="M776" s="167"/>
      <c r="N776" s="167"/>
      <c r="O776" s="168"/>
      <c r="P776" s="168"/>
      <c r="Q776" s="147"/>
      <c r="R776" s="147"/>
      <c r="S776" s="169"/>
      <c r="T776" s="147"/>
      <c r="U776" s="147"/>
      <c r="V776" s="147"/>
      <c r="W776" s="147"/>
      <c r="X776" s="147"/>
      <c r="Y776" s="147"/>
      <c r="Z776" s="147"/>
      <c r="AA776" s="147"/>
      <c r="AB776" s="147"/>
      <c r="AC776" s="147"/>
      <c r="AD776" s="147"/>
      <c r="AE776" s="147"/>
      <c r="AF776" s="147"/>
      <c r="AG776" s="147"/>
      <c r="AH776" s="147"/>
      <c r="AI776" s="147"/>
      <c r="AJ776" s="147"/>
      <c r="AK776" s="147"/>
      <c r="AL776" s="147"/>
      <c r="AM776" s="147"/>
      <c r="AN776" s="147"/>
      <c r="AO776" s="147"/>
      <c r="AP776" s="147"/>
      <c r="AQ776" s="147"/>
      <c r="AR776" s="147"/>
      <c r="AS776" s="147"/>
    </row>
    <row r="777" spans="1:45" x14ac:dyDescent="0.25">
      <c r="A777" s="147"/>
      <c r="B777" s="147"/>
      <c r="C777" s="160"/>
      <c r="D777" s="160"/>
      <c r="E777" s="161"/>
      <c r="F777" s="162"/>
      <c r="G777" s="163"/>
      <c r="H777" s="163"/>
      <c r="I777" s="164"/>
      <c r="J777" s="162"/>
      <c r="K777" s="165"/>
      <c r="L777" s="166"/>
      <c r="M777" s="167"/>
      <c r="N777" s="167"/>
      <c r="O777" s="168"/>
      <c r="P777" s="168"/>
      <c r="Q777" s="147"/>
      <c r="R777" s="147"/>
      <c r="S777" s="169"/>
      <c r="T777" s="147"/>
      <c r="U777" s="147"/>
      <c r="V777" s="147"/>
      <c r="W777" s="147"/>
      <c r="X777" s="147"/>
      <c r="Y777" s="147"/>
      <c r="Z777" s="147"/>
      <c r="AA777" s="147"/>
      <c r="AB777" s="147"/>
      <c r="AC777" s="147"/>
      <c r="AD777" s="147"/>
      <c r="AE777" s="147"/>
      <c r="AF777" s="147"/>
      <c r="AG777" s="147"/>
      <c r="AH777" s="147"/>
      <c r="AI777" s="147"/>
      <c r="AJ777" s="147"/>
      <c r="AK777" s="147"/>
      <c r="AL777" s="147"/>
      <c r="AM777" s="147"/>
      <c r="AN777" s="147"/>
      <c r="AO777" s="147"/>
      <c r="AP777" s="147"/>
      <c r="AQ777" s="147"/>
      <c r="AR777" s="147"/>
      <c r="AS777" s="147"/>
    </row>
    <row r="778" spans="1:45" x14ac:dyDescent="0.25">
      <c r="A778" s="147"/>
      <c r="B778" s="147"/>
      <c r="C778" s="160"/>
      <c r="D778" s="160"/>
      <c r="E778" s="161"/>
      <c r="F778" s="162"/>
      <c r="G778" s="163"/>
      <c r="H778" s="163"/>
      <c r="I778" s="164"/>
      <c r="J778" s="162"/>
      <c r="K778" s="165"/>
      <c r="L778" s="166"/>
      <c r="M778" s="167"/>
      <c r="N778" s="167"/>
      <c r="O778" s="168"/>
      <c r="P778" s="168"/>
      <c r="Q778" s="147"/>
      <c r="R778" s="147"/>
      <c r="S778" s="169"/>
      <c r="T778" s="147"/>
      <c r="U778" s="147"/>
      <c r="V778" s="147"/>
      <c r="W778" s="147"/>
      <c r="X778" s="147"/>
      <c r="Y778" s="147"/>
      <c r="Z778" s="147"/>
      <c r="AA778" s="147"/>
      <c r="AB778" s="147"/>
      <c r="AC778" s="147"/>
      <c r="AD778" s="147"/>
      <c r="AE778" s="147"/>
      <c r="AF778" s="147"/>
      <c r="AG778" s="147"/>
      <c r="AH778" s="147"/>
      <c r="AI778" s="147"/>
      <c r="AJ778" s="147"/>
      <c r="AK778" s="147"/>
      <c r="AL778" s="147"/>
      <c r="AM778" s="147"/>
      <c r="AN778" s="147"/>
      <c r="AO778" s="147"/>
      <c r="AP778" s="147"/>
      <c r="AQ778" s="147"/>
      <c r="AR778" s="147"/>
      <c r="AS778" s="147"/>
    </row>
    <row r="779" spans="1:45" x14ac:dyDescent="0.25">
      <c r="A779" s="147"/>
      <c r="B779" s="147"/>
      <c r="C779" s="160"/>
      <c r="D779" s="160"/>
      <c r="E779" s="161"/>
      <c r="F779" s="162"/>
      <c r="G779" s="163"/>
      <c r="H779" s="163"/>
      <c r="I779" s="164"/>
      <c r="J779" s="162"/>
      <c r="K779" s="165"/>
      <c r="L779" s="166"/>
      <c r="M779" s="167"/>
      <c r="N779" s="167"/>
      <c r="O779" s="168"/>
      <c r="P779" s="168"/>
      <c r="Q779" s="147"/>
      <c r="R779" s="147"/>
      <c r="S779" s="169"/>
      <c r="T779" s="147"/>
      <c r="U779" s="147"/>
      <c r="V779" s="147"/>
      <c r="W779" s="147"/>
      <c r="X779" s="147"/>
      <c r="Y779" s="147"/>
      <c r="Z779" s="147"/>
      <c r="AA779" s="147"/>
      <c r="AB779" s="147"/>
      <c r="AC779" s="147"/>
      <c r="AD779" s="147"/>
      <c r="AE779" s="147"/>
      <c r="AF779" s="147"/>
      <c r="AG779" s="147"/>
      <c r="AH779" s="147"/>
      <c r="AI779" s="147"/>
      <c r="AJ779" s="147"/>
      <c r="AK779" s="147"/>
      <c r="AL779" s="147"/>
      <c r="AM779" s="147"/>
      <c r="AN779" s="147"/>
      <c r="AO779" s="147"/>
      <c r="AP779" s="147"/>
      <c r="AQ779" s="147"/>
      <c r="AR779" s="147"/>
      <c r="AS779" s="147"/>
    </row>
    <row r="780" spans="1:45" x14ac:dyDescent="0.25">
      <c r="A780" s="147"/>
      <c r="B780" s="147"/>
      <c r="C780" s="160"/>
      <c r="D780" s="160"/>
      <c r="E780" s="161"/>
      <c r="F780" s="162"/>
      <c r="G780" s="163"/>
      <c r="H780" s="163"/>
      <c r="I780" s="164"/>
      <c r="J780" s="162"/>
      <c r="K780" s="165"/>
      <c r="L780" s="166"/>
      <c r="M780" s="167"/>
      <c r="N780" s="167"/>
      <c r="O780" s="168"/>
      <c r="P780" s="168"/>
      <c r="Q780" s="147"/>
      <c r="R780" s="147"/>
      <c r="S780" s="169"/>
      <c r="T780" s="147"/>
      <c r="U780" s="147"/>
      <c r="V780" s="147"/>
      <c r="W780" s="147"/>
      <c r="X780" s="147"/>
      <c r="Y780" s="147"/>
      <c r="Z780" s="147"/>
      <c r="AA780" s="147"/>
      <c r="AB780" s="147"/>
      <c r="AC780" s="147"/>
      <c r="AD780" s="147"/>
      <c r="AE780" s="147"/>
      <c r="AF780" s="147"/>
      <c r="AG780" s="147"/>
      <c r="AH780" s="147"/>
      <c r="AI780" s="147"/>
      <c r="AJ780" s="147"/>
      <c r="AK780" s="147"/>
      <c r="AL780" s="147"/>
      <c r="AM780" s="147"/>
      <c r="AN780" s="147"/>
      <c r="AO780" s="147"/>
      <c r="AP780" s="147"/>
      <c r="AQ780" s="147"/>
      <c r="AR780" s="147"/>
      <c r="AS780" s="147"/>
    </row>
    <row r="781" spans="1:45" x14ac:dyDescent="0.25">
      <c r="A781" s="147"/>
      <c r="B781" s="147"/>
      <c r="C781" s="160"/>
      <c r="D781" s="160"/>
      <c r="E781" s="161"/>
      <c r="F781" s="162"/>
      <c r="G781" s="163"/>
      <c r="H781" s="163"/>
      <c r="I781" s="164"/>
      <c r="J781" s="162"/>
      <c r="K781" s="165"/>
      <c r="L781" s="166"/>
      <c r="M781" s="167"/>
      <c r="N781" s="167"/>
      <c r="O781" s="168"/>
      <c r="P781" s="168"/>
      <c r="Q781" s="147"/>
      <c r="R781" s="147"/>
      <c r="S781" s="169"/>
      <c r="T781" s="147"/>
      <c r="U781" s="147"/>
      <c r="V781" s="147"/>
      <c r="W781" s="147"/>
      <c r="X781" s="147"/>
      <c r="Y781" s="147"/>
      <c r="Z781" s="147"/>
      <c r="AA781" s="147"/>
      <c r="AB781" s="147"/>
      <c r="AC781" s="147"/>
      <c r="AD781" s="147"/>
      <c r="AE781" s="147"/>
      <c r="AF781" s="147"/>
      <c r="AG781" s="147"/>
      <c r="AH781" s="147"/>
      <c r="AI781" s="147"/>
      <c r="AJ781" s="147"/>
      <c r="AK781" s="147"/>
      <c r="AL781" s="147"/>
      <c r="AM781" s="147"/>
      <c r="AN781" s="147"/>
      <c r="AO781" s="147"/>
      <c r="AP781" s="147"/>
      <c r="AQ781" s="147"/>
      <c r="AR781" s="147"/>
      <c r="AS781" s="147"/>
    </row>
    <row r="782" spans="1:45" x14ac:dyDescent="0.25">
      <c r="A782" s="147"/>
      <c r="B782" s="147"/>
      <c r="C782" s="160"/>
      <c r="D782" s="160"/>
      <c r="E782" s="161"/>
      <c r="F782" s="162"/>
      <c r="G782" s="163"/>
      <c r="H782" s="163"/>
      <c r="I782" s="164"/>
      <c r="J782" s="162"/>
      <c r="K782" s="165"/>
      <c r="L782" s="166"/>
      <c r="M782" s="167"/>
      <c r="N782" s="167"/>
      <c r="O782" s="168"/>
      <c r="P782" s="168"/>
      <c r="Q782" s="147"/>
      <c r="R782" s="147"/>
      <c r="S782" s="169"/>
      <c r="T782" s="147"/>
      <c r="U782" s="147"/>
      <c r="V782" s="147"/>
      <c r="W782" s="147"/>
      <c r="X782" s="147"/>
      <c r="Y782" s="147"/>
      <c r="Z782" s="147"/>
      <c r="AA782" s="147"/>
      <c r="AB782" s="147"/>
      <c r="AC782" s="147"/>
      <c r="AD782" s="147"/>
      <c r="AE782" s="147"/>
      <c r="AF782" s="147"/>
      <c r="AG782" s="147"/>
      <c r="AH782" s="147"/>
      <c r="AI782" s="147"/>
      <c r="AJ782" s="147"/>
      <c r="AK782" s="147"/>
      <c r="AL782" s="147"/>
      <c r="AM782" s="147"/>
      <c r="AN782" s="147"/>
      <c r="AO782" s="147"/>
      <c r="AP782" s="147"/>
      <c r="AQ782" s="147"/>
      <c r="AR782" s="147"/>
      <c r="AS782" s="147"/>
    </row>
    <row r="783" spans="1:45" x14ac:dyDescent="0.25">
      <c r="A783" s="147"/>
      <c r="B783" s="147"/>
      <c r="C783" s="160"/>
      <c r="D783" s="160"/>
      <c r="E783" s="161"/>
      <c r="F783" s="162"/>
      <c r="G783" s="163"/>
      <c r="H783" s="163"/>
      <c r="I783" s="164"/>
      <c r="J783" s="162"/>
      <c r="K783" s="165"/>
      <c r="L783" s="166"/>
      <c r="M783" s="167"/>
      <c r="N783" s="167"/>
      <c r="O783" s="168"/>
      <c r="P783" s="168"/>
      <c r="Q783" s="147"/>
      <c r="R783" s="147"/>
      <c r="S783" s="169"/>
      <c r="T783" s="147"/>
      <c r="U783" s="147"/>
      <c r="V783" s="147"/>
      <c r="W783" s="147"/>
      <c r="X783" s="147"/>
      <c r="Y783" s="147"/>
      <c r="Z783" s="147"/>
      <c r="AA783" s="147"/>
      <c r="AB783" s="147"/>
      <c r="AC783" s="147"/>
      <c r="AD783" s="147"/>
      <c r="AE783" s="147"/>
      <c r="AF783" s="147"/>
      <c r="AG783" s="147"/>
      <c r="AH783" s="147"/>
      <c r="AI783" s="147"/>
      <c r="AJ783" s="147"/>
      <c r="AK783" s="147"/>
      <c r="AL783" s="147"/>
      <c r="AM783" s="147"/>
      <c r="AN783" s="147"/>
      <c r="AO783" s="147"/>
      <c r="AP783" s="147"/>
      <c r="AQ783" s="147"/>
      <c r="AR783" s="147"/>
      <c r="AS783" s="147"/>
    </row>
    <row r="784" spans="1:45" x14ac:dyDescent="0.25">
      <c r="A784" s="147"/>
      <c r="B784" s="147"/>
      <c r="C784" s="160"/>
      <c r="D784" s="160"/>
      <c r="E784" s="161"/>
      <c r="F784" s="162"/>
      <c r="G784" s="163"/>
      <c r="H784" s="163"/>
      <c r="I784" s="164"/>
      <c r="J784" s="162"/>
      <c r="K784" s="165"/>
      <c r="L784" s="166"/>
      <c r="M784" s="167"/>
      <c r="N784" s="167"/>
      <c r="O784" s="168"/>
      <c r="P784" s="168"/>
      <c r="Q784" s="147"/>
      <c r="R784" s="147"/>
      <c r="S784" s="169"/>
      <c r="T784" s="147"/>
      <c r="U784" s="147"/>
      <c r="V784" s="147"/>
      <c r="W784" s="147"/>
      <c r="X784" s="147"/>
      <c r="Y784" s="147"/>
      <c r="Z784" s="147"/>
      <c r="AA784" s="147"/>
      <c r="AB784" s="147"/>
      <c r="AC784" s="147"/>
      <c r="AD784" s="147"/>
      <c r="AE784" s="147"/>
      <c r="AF784" s="147"/>
      <c r="AG784" s="147"/>
      <c r="AH784" s="147"/>
      <c r="AI784" s="147"/>
      <c r="AJ784" s="147"/>
      <c r="AK784" s="147"/>
      <c r="AL784" s="147"/>
      <c r="AM784" s="147"/>
      <c r="AN784" s="147"/>
      <c r="AO784" s="147"/>
      <c r="AP784" s="147"/>
      <c r="AQ784" s="147"/>
      <c r="AR784" s="147"/>
      <c r="AS784" s="147"/>
    </row>
    <row r="785" spans="1:45" x14ac:dyDescent="0.25">
      <c r="A785" s="147"/>
      <c r="B785" s="147"/>
      <c r="C785" s="160"/>
      <c r="D785" s="160"/>
      <c r="E785" s="161"/>
      <c r="F785" s="162"/>
      <c r="G785" s="163"/>
      <c r="H785" s="163"/>
      <c r="I785" s="164"/>
      <c r="J785" s="162"/>
      <c r="K785" s="165"/>
      <c r="L785" s="166"/>
      <c r="M785" s="167"/>
      <c r="N785" s="167"/>
      <c r="O785" s="168"/>
      <c r="P785" s="168"/>
      <c r="Q785" s="147"/>
      <c r="R785" s="147"/>
      <c r="S785" s="169"/>
      <c r="T785" s="147"/>
      <c r="U785" s="147"/>
      <c r="V785" s="147"/>
      <c r="W785" s="147"/>
      <c r="X785" s="147"/>
      <c r="Y785" s="147"/>
      <c r="Z785" s="147"/>
      <c r="AA785" s="147"/>
      <c r="AB785" s="147"/>
      <c r="AC785" s="147"/>
      <c r="AD785" s="147"/>
      <c r="AE785" s="147"/>
      <c r="AF785" s="147"/>
      <c r="AG785" s="147"/>
      <c r="AH785" s="147"/>
      <c r="AI785" s="147"/>
      <c r="AJ785" s="147"/>
      <c r="AK785" s="147"/>
      <c r="AL785" s="147"/>
      <c r="AM785" s="147"/>
      <c r="AN785" s="147"/>
      <c r="AO785" s="147"/>
      <c r="AP785" s="147"/>
      <c r="AQ785" s="147"/>
      <c r="AR785" s="147"/>
      <c r="AS785" s="147"/>
    </row>
    <row r="786" spans="1:45" x14ac:dyDescent="0.25">
      <c r="A786" s="147"/>
      <c r="B786" s="147"/>
      <c r="C786" s="160"/>
      <c r="D786" s="160"/>
      <c r="E786" s="161"/>
      <c r="F786" s="162"/>
      <c r="G786" s="163"/>
      <c r="H786" s="163"/>
      <c r="I786" s="164"/>
      <c r="J786" s="162"/>
      <c r="K786" s="165"/>
      <c r="L786" s="166"/>
      <c r="M786" s="167"/>
      <c r="N786" s="167"/>
      <c r="O786" s="168"/>
      <c r="P786" s="168"/>
      <c r="Q786" s="147"/>
      <c r="R786" s="147"/>
      <c r="S786" s="169"/>
      <c r="T786" s="147"/>
      <c r="U786" s="147"/>
      <c r="V786" s="147"/>
      <c r="W786" s="147"/>
      <c r="X786" s="147"/>
      <c r="Y786" s="147"/>
      <c r="Z786" s="147"/>
      <c r="AA786" s="147"/>
      <c r="AB786" s="147"/>
      <c r="AC786" s="147"/>
      <c r="AD786" s="147"/>
      <c r="AE786" s="147"/>
      <c r="AF786" s="147"/>
      <c r="AG786" s="147"/>
      <c r="AH786" s="147"/>
      <c r="AI786" s="147"/>
      <c r="AJ786" s="147"/>
      <c r="AK786" s="147"/>
      <c r="AL786" s="147"/>
      <c r="AM786" s="147"/>
      <c r="AN786" s="147"/>
      <c r="AO786" s="147"/>
      <c r="AP786" s="147"/>
      <c r="AQ786" s="147"/>
      <c r="AR786" s="147"/>
      <c r="AS786" s="147"/>
    </row>
    <row r="787" spans="1:45" x14ac:dyDescent="0.25">
      <c r="A787" s="147"/>
      <c r="B787" s="147"/>
      <c r="C787" s="160"/>
      <c r="D787" s="160"/>
      <c r="E787" s="161"/>
      <c r="F787" s="162"/>
      <c r="G787" s="163"/>
      <c r="H787" s="163"/>
      <c r="I787" s="164"/>
      <c r="J787" s="162"/>
      <c r="K787" s="165"/>
      <c r="L787" s="166"/>
      <c r="M787" s="167"/>
      <c r="N787" s="167"/>
      <c r="O787" s="168"/>
      <c r="P787" s="168"/>
      <c r="Q787" s="147"/>
      <c r="R787" s="147"/>
      <c r="S787" s="169"/>
      <c r="T787" s="147"/>
      <c r="U787" s="147"/>
      <c r="V787" s="147"/>
      <c r="W787" s="147"/>
      <c r="X787" s="147"/>
      <c r="Y787" s="147"/>
      <c r="Z787" s="147"/>
      <c r="AA787" s="147"/>
      <c r="AB787" s="147"/>
      <c r="AC787" s="147"/>
      <c r="AD787" s="147"/>
      <c r="AE787" s="147"/>
      <c r="AF787" s="147"/>
      <c r="AG787" s="147"/>
      <c r="AH787" s="147"/>
      <c r="AI787" s="147"/>
      <c r="AJ787" s="147"/>
      <c r="AK787" s="147"/>
      <c r="AL787" s="147"/>
      <c r="AM787" s="147"/>
      <c r="AN787" s="147"/>
      <c r="AO787" s="147"/>
      <c r="AP787" s="147"/>
      <c r="AQ787" s="147"/>
      <c r="AR787" s="147"/>
      <c r="AS787" s="147"/>
    </row>
    <row r="788" spans="1:45" x14ac:dyDescent="0.25">
      <c r="A788" s="147"/>
      <c r="B788" s="147"/>
      <c r="C788" s="160"/>
      <c r="D788" s="160"/>
      <c r="E788" s="161"/>
      <c r="F788" s="162"/>
      <c r="G788" s="163"/>
      <c r="H788" s="163"/>
      <c r="I788" s="164"/>
      <c r="J788" s="162"/>
      <c r="K788" s="165"/>
      <c r="L788" s="166"/>
      <c r="M788" s="167"/>
      <c r="N788" s="167"/>
      <c r="O788" s="168"/>
      <c r="P788" s="168"/>
      <c r="Q788" s="147"/>
      <c r="R788" s="147"/>
      <c r="S788" s="169"/>
      <c r="T788" s="147"/>
      <c r="U788" s="147"/>
      <c r="V788" s="147"/>
      <c r="W788" s="147"/>
      <c r="X788" s="147"/>
      <c r="Y788" s="147"/>
      <c r="Z788" s="147"/>
      <c r="AA788" s="147"/>
      <c r="AB788" s="147"/>
      <c r="AC788" s="147"/>
      <c r="AD788" s="147"/>
      <c r="AE788" s="147"/>
      <c r="AF788" s="147"/>
      <c r="AG788" s="147"/>
      <c r="AH788" s="147"/>
      <c r="AI788" s="147"/>
      <c r="AJ788" s="147"/>
      <c r="AK788" s="147"/>
      <c r="AL788" s="147"/>
      <c r="AM788" s="147"/>
      <c r="AN788" s="147"/>
      <c r="AO788" s="147"/>
      <c r="AP788" s="147"/>
      <c r="AQ788" s="147"/>
      <c r="AR788" s="147"/>
      <c r="AS788" s="147"/>
    </row>
    <row r="789" spans="1:45" x14ac:dyDescent="0.25">
      <c r="A789" s="147"/>
      <c r="B789" s="147"/>
      <c r="C789" s="160"/>
      <c r="D789" s="160"/>
      <c r="E789" s="161"/>
      <c r="F789" s="162"/>
      <c r="G789" s="163"/>
      <c r="H789" s="163"/>
      <c r="I789" s="164"/>
      <c r="J789" s="162"/>
      <c r="K789" s="165"/>
      <c r="L789" s="166"/>
      <c r="M789" s="167"/>
      <c r="N789" s="167"/>
      <c r="O789" s="168"/>
      <c r="P789" s="168"/>
      <c r="Q789" s="147"/>
      <c r="R789" s="147"/>
      <c r="S789" s="169"/>
      <c r="T789" s="147"/>
      <c r="U789" s="147"/>
      <c r="V789" s="147"/>
      <c r="W789" s="147"/>
      <c r="X789" s="147"/>
      <c r="Y789" s="147"/>
      <c r="Z789" s="147"/>
      <c r="AA789" s="147"/>
      <c r="AB789" s="147"/>
      <c r="AC789" s="147"/>
      <c r="AD789" s="147"/>
      <c r="AE789" s="147"/>
      <c r="AF789" s="147"/>
      <c r="AG789" s="147"/>
      <c r="AH789" s="147"/>
      <c r="AI789" s="147"/>
      <c r="AJ789" s="147"/>
      <c r="AK789" s="147"/>
      <c r="AL789" s="147"/>
      <c r="AM789" s="147"/>
      <c r="AN789" s="147"/>
      <c r="AO789" s="147"/>
      <c r="AP789" s="147"/>
      <c r="AQ789" s="147"/>
      <c r="AR789" s="147"/>
      <c r="AS789" s="147"/>
    </row>
    <row r="790" spans="1:45" x14ac:dyDescent="0.25">
      <c r="A790" s="147"/>
      <c r="B790" s="147"/>
      <c r="C790" s="160"/>
      <c r="D790" s="160"/>
      <c r="E790" s="161"/>
      <c r="F790" s="162"/>
      <c r="G790" s="163"/>
      <c r="H790" s="163"/>
      <c r="I790" s="164"/>
      <c r="J790" s="162"/>
      <c r="K790" s="165"/>
      <c r="L790" s="166"/>
      <c r="M790" s="167"/>
      <c r="N790" s="167"/>
      <c r="O790" s="168"/>
      <c r="P790" s="168"/>
      <c r="Q790" s="147"/>
      <c r="R790" s="147"/>
      <c r="S790" s="169"/>
      <c r="T790" s="147"/>
      <c r="U790" s="147"/>
      <c r="V790" s="147"/>
      <c r="W790" s="147"/>
      <c r="X790" s="147"/>
      <c r="Y790" s="147"/>
      <c r="Z790" s="147"/>
      <c r="AA790" s="147"/>
      <c r="AB790" s="147"/>
      <c r="AC790" s="147"/>
      <c r="AD790" s="147"/>
      <c r="AE790" s="147"/>
      <c r="AF790" s="147"/>
      <c r="AG790" s="147"/>
      <c r="AH790" s="147"/>
      <c r="AI790" s="147"/>
      <c r="AJ790" s="147"/>
      <c r="AK790" s="147"/>
      <c r="AL790" s="147"/>
      <c r="AM790" s="147"/>
      <c r="AN790" s="147"/>
      <c r="AO790" s="147"/>
      <c r="AP790" s="147"/>
      <c r="AQ790" s="147"/>
      <c r="AR790" s="147"/>
      <c r="AS790" s="147"/>
    </row>
    <row r="791" spans="1:45" x14ac:dyDescent="0.25">
      <c r="A791" s="147"/>
      <c r="B791" s="147"/>
      <c r="C791" s="160"/>
      <c r="D791" s="160"/>
      <c r="E791" s="161"/>
      <c r="F791" s="162"/>
      <c r="G791" s="163"/>
      <c r="H791" s="163"/>
      <c r="I791" s="164"/>
      <c r="J791" s="162"/>
      <c r="K791" s="165"/>
      <c r="L791" s="166"/>
      <c r="M791" s="167"/>
      <c r="N791" s="167"/>
      <c r="O791" s="168"/>
      <c r="P791" s="168"/>
      <c r="Q791" s="147"/>
      <c r="R791" s="147"/>
      <c r="S791" s="169"/>
      <c r="T791" s="147"/>
      <c r="U791" s="147"/>
      <c r="V791" s="147"/>
      <c r="W791" s="147"/>
      <c r="X791" s="147"/>
      <c r="Y791" s="147"/>
      <c r="Z791" s="147"/>
      <c r="AA791" s="147"/>
      <c r="AB791" s="147"/>
      <c r="AC791" s="147"/>
      <c r="AD791" s="147"/>
      <c r="AE791" s="147"/>
      <c r="AF791" s="147"/>
      <c r="AG791" s="147"/>
      <c r="AH791" s="147"/>
      <c r="AI791" s="147"/>
      <c r="AJ791" s="147"/>
      <c r="AK791" s="147"/>
      <c r="AL791" s="147"/>
      <c r="AM791" s="147"/>
      <c r="AN791" s="147"/>
      <c r="AO791" s="147"/>
      <c r="AP791" s="147"/>
      <c r="AQ791" s="147"/>
      <c r="AR791" s="147"/>
      <c r="AS791" s="147"/>
    </row>
    <row r="792" spans="1:45" x14ac:dyDescent="0.25">
      <c r="A792" s="147"/>
      <c r="B792" s="147"/>
      <c r="C792" s="160"/>
      <c r="D792" s="160"/>
      <c r="E792" s="161"/>
      <c r="F792" s="162"/>
      <c r="G792" s="163"/>
      <c r="H792" s="163"/>
      <c r="I792" s="164"/>
      <c r="J792" s="162"/>
      <c r="K792" s="165"/>
      <c r="L792" s="166"/>
      <c r="M792" s="167"/>
      <c r="N792" s="167"/>
      <c r="O792" s="168"/>
      <c r="P792" s="168"/>
      <c r="Q792" s="147"/>
      <c r="R792" s="147"/>
      <c r="S792" s="169"/>
      <c r="T792" s="147"/>
      <c r="U792" s="147"/>
      <c r="V792" s="147"/>
      <c r="W792" s="147"/>
      <c r="X792" s="147"/>
      <c r="Y792" s="147"/>
      <c r="Z792" s="147"/>
      <c r="AA792" s="147"/>
      <c r="AB792" s="147"/>
      <c r="AC792" s="147"/>
      <c r="AD792" s="147"/>
      <c r="AE792" s="147"/>
      <c r="AF792" s="147"/>
      <c r="AG792" s="147"/>
      <c r="AH792" s="147"/>
      <c r="AI792" s="147"/>
      <c r="AJ792" s="147"/>
      <c r="AK792" s="147"/>
      <c r="AL792" s="147"/>
      <c r="AM792" s="147"/>
      <c r="AN792" s="147"/>
      <c r="AO792" s="147"/>
      <c r="AP792" s="147"/>
      <c r="AQ792" s="147"/>
      <c r="AR792" s="147"/>
      <c r="AS792" s="147"/>
    </row>
    <row r="793" spans="1:45" x14ac:dyDescent="0.25">
      <c r="A793" s="147"/>
      <c r="B793" s="147"/>
      <c r="C793" s="160"/>
      <c r="D793" s="160"/>
      <c r="E793" s="161"/>
      <c r="F793" s="162"/>
      <c r="G793" s="163"/>
      <c r="H793" s="163"/>
      <c r="I793" s="164"/>
      <c r="J793" s="162"/>
      <c r="K793" s="165"/>
      <c r="L793" s="166"/>
      <c r="M793" s="167"/>
      <c r="N793" s="167"/>
      <c r="O793" s="168"/>
      <c r="P793" s="168"/>
      <c r="Q793" s="147"/>
      <c r="R793" s="147"/>
      <c r="S793" s="169"/>
      <c r="T793" s="147"/>
      <c r="U793" s="147"/>
      <c r="V793" s="147"/>
      <c r="W793" s="147"/>
      <c r="X793" s="147"/>
      <c r="Y793" s="147"/>
      <c r="Z793" s="147"/>
      <c r="AA793" s="147"/>
      <c r="AB793" s="147"/>
      <c r="AC793" s="147"/>
      <c r="AD793" s="147"/>
      <c r="AE793" s="147"/>
      <c r="AF793" s="147"/>
      <c r="AG793" s="147"/>
      <c r="AH793" s="147"/>
      <c r="AI793" s="147"/>
      <c r="AJ793" s="147"/>
      <c r="AK793" s="147"/>
      <c r="AL793" s="147"/>
      <c r="AM793" s="147"/>
      <c r="AN793" s="147"/>
      <c r="AO793" s="147"/>
      <c r="AP793" s="147"/>
      <c r="AQ793" s="147"/>
      <c r="AR793" s="147"/>
      <c r="AS793" s="147"/>
    </row>
    <row r="794" spans="1:45" x14ac:dyDescent="0.25">
      <c r="A794" s="147"/>
      <c r="B794" s="147"/>
      <c r="C794" s="160"/>
      <c r="D794" s="160"/>
      <c r="E794" s="161"/>
      <c r="F794" s="162"/>
      <c r="G794" s="163"/>
      <c r="H794" s="163"/>
      <c r="I794" s="164"/>
      <c r="J794" s="162"/>
      <c r="K794" s="165"/>
      <c r="L794" s="166"/>
      <c r="M794" s="167"/>
      <c r="N794" s="167"/>
      <c r="O794" s="168"/>
      <c r="P794" s="168"/>
      <c r="Q794" s="147"/>
      <c r="R794" s="147"/>
      <c r="S794" s="169"/>
      <c r="T794" s="147"/>
      <c r="U794" s="147"/>
      <c r="V794" s="147"/>
      <c r="W794" s="147"/>
      <c r="X794" s="147"/>
      <c r="Y794" s="147"/>
      <c r="Z794" s="147"/>
      <c r="AA794" s="147"/>
      <c r="AB794" s="147"/>
      <c r="AC794" s="147"/>
      <c r="AD794" s="147"/>
      <c r="AE794" s="147"/>
      <c r="AF794" s="147"/>
      <c r="AG794" s="147"/>
      <c r="AH794" s="147"/>
      <c r="AI794" s="147"/>
      <c r="AJ794" s="147"/>
      <c r="AK794" s="147"/>
      <c r="AL794" s="147"/>
      <c r="AM794" s="147"/>
      <c r="AN794" s="147"/>
      <c r="AO794" s="147"/>
      <c r="AP794" s="147"/>
      <c r="AQ794" s="147"/>
      <c r="AR794" s="147"/>
      <c r="AS794" s="147"/>
    </row>
    <row r="795" spans="1:45" x14ac:dyDescent="0.25">
      <c r="A795" s="147"/>
      <c r="B795" s="147"/>
      <c r="C795" s="160"/>
      <c r="D795" s="160"/>
      <c r="E795" s="161"/>
      <c r="F795" s="162"/>
      <c r="G795" s="163"/>
      <c r="H795" s="163"/>
      <c r="I795" s="164"/>
      <c r="J795" s="162"/>
      <c r="K795" s="165"/>
      <c r="L795" s="166"/>
      <c r="M795" s="167"/>
      <c r="N795" s="167"/>
      <c r="O795" s="168"/>
      <c r="P795" s="168"/>
      <c r="Q795" s="147"/>
      <c r="R795" s="147"/>
      <c r="S795" s="169"/>
      <c r="T795" s="147"/>
      <c r="U795" s="147"/>
      <c r="V795" s="147"/>
      <c r="W795" s="147"/>
      <c r="X795" s="147"/>
      <c r="Y795" s="147"/>
      <c r="Z795" s="147"/>
      <c r="AA795" s="147"/>
      <c r="AB795" s="147"/>
      <c r="AC795" s="147"/>
      <c r="AD795" s="147"/>
      <c r="AE795" s="147"/>
      <c r="AF795" s="147"/>
      <c r="AG795" s="147"/>
      <c r="AH795" s="147"/>
      <c r="AI795" s="147"/>
      <c r="AJ795" s="147"/>
      <c r="AK795" s="147"/>
      <c r="AL795" s="147"/>
      <c r="AM795" s="147"/>
      <c r="AN795" s="147"/>
      <c r="AO795" s="147"/>
      <c r="AP795" s="147"/>
      <c r="AQ795" s="147"/>
      <c r="AR795" s="147"/>
      <c r="AS795" s="147"/>
    </row>
    <row r="796" spans="1:45" x14ac:dyDescent="0.25">
      <c r="A796" s="147"/>
      <c r="B796" s="147"/>
      <c r="C796" s="160"/>
      <c r="D796" s="160"/>
      <c r="E796" s="161"/>
      <c r="F796" s="162"/>
      <c r="G796" s="163"/>
      <c r="H796" s="163"/>
      <c r="I796" s="164"/>
      <c r="J796" s="162"/>
      <c r="K796" s="165"/>
      <c r="L796" s="166"/>
      <c r="M796" s="167"/>
      <c r="N796" s="167"/>
      <c r="O796" s="168"/>
      <c r="P796" s="168"/>
      <c r="Q796" s="147"/>
      <c r="R796" s="147"/>
      <c r="S796" s="169"/>
      <c r="T796" s="147"/>
      <c r="U796" s="147"/>
      <c r="V796" s="147"/>
      <c r="W796" s="147"/>
      <c r="X796" s="147"/>
      <c r="Y796" s="147"/>
      <c r="Z796" s="147"/>
      <c r="AA796" s="147"/>
      <c r="AB796" s="147"/>
      <c r="AC796" s="147"/>
      <c r="AD796" s="147"/>
      <c r="AE796" s="147"/>
      <c r="AF796" s="147"/>
      <c r="AG796" s="147"/>
      <c r="AH796" s="147"/>
      <c r="AI796" s="147"/>
      <c r="AJ796" s="147"/>
      <c r="AK796" s="147"/>
      <c r="AL796" s="147"/>
      <c r="AM796" s="147"/>
      <c r="AN796" s="147"/>
      <c r="AO796" s="147"/>
      <c r="AP796" s="147"/>
      <c r="AQ796" s="147"/>
      <c r="AR796" s="147"/>
      <c r="AS796" s="147"/>
    </row>
    <row r="797" spans="1:45" x14ac:dyDescent="0.25">
      <c r="A797" s="147"/>
      <c r="B797" s="147"/>
      <c r="C797" s="160"/>
      <c r="D797" s="160"/>
      <c r="E797" s="161"/>
      <c r="F797" s="162"/>
      <c r="G797" s="163"/>
      <c r="H797" s="163"/>
      <c r="I797" s="164"/>
      <c r="J797" s="162"/>
      <c r="K797" s="165"/>
      <c r="L797" s="166"/>
      <c r="M797" s="167"/>
      <c r="N797" s="167"/>
      <c r="O797" s="168"/>
      <c r="P797" s="168"/>
      <c r="Q797" s="147"/>
      <c r="R797" s="147"/>
      <c r="S797" s="169"/>
      <c r="T797" s="147"/>
      <c r="U797" s="147"/>
      <c r="V797" s="147"/>
      <c r="W797" s="147"/>
      <c r="X797" s="147"/>
      <c r="Y797" s="147"/>
      <c r="Z797" s="147"/>
      <c r="AA797" s="147"/>
      <c r="AB797" s="147"/>
      <c r="AC797" s="147"/>
      <c r="AD797" s="147"/>
      <c r="AE797" s="147"/>
      <c r="AF797" s="147"/>
      <c r="AG797" s="147"/>
      <c r="AH797" s="147"/>
      <c r="AI797" s="147"/>
      <c r="AJ797" s="147"/>
      <c r="AK797" s="147"/>
      <c r="AL797" s="147"/>
      <c r="AM797" s="147"/>
      <c r="AN797" s="147"/>
      <c r="AO797" s="147"/>
      <c r="AP797" s="147"/>
      <c r="AQ797" s="147"/>
      <c r="AR797" s="147"/>
      <c r="AS797" s="147"/>
    </row>
    <row r="798" spans="1:45" x14ac:dyDescent="0.25">
      <c r="A798" s="147"/>
      <c r="B798" s="147"/>
      <c r="C798" s="160"/>
      <c r="D798" s="160"/>
      <c r="E798" s="161"/>
      <c r="F798" s="162"/>
      <c r="G798" s="163"/>
      <c r="H798" s="163"/>
      <c r="I798" s="164"/>
      <c r="J798" s="162"/>
      <c r="K798" s="165"/>
      <c r="L798" s="166"/>
      <c r="M798" s="167"/>
      <c r="N798" s="167"/>
      <c r="O798" s="168"/>
      <c r="P798" s="168"/>
      <c r="Q798" s="147"/>
      <c r="R798" s="147"/>
      <c r="S798" s="169"/>
      <c r="T798" s="147"/>
      <c r="U798" s="147"/>
      <c r="V798" s="147"/>
      <c r="W798" s="147"/>
      <c r="X798" s="147"/>
      <c r="Y798" s="147"/>
      <c r="Z798" s="147"/>
      <c r="AA798" s="147"/>
      <c r="AB798" s="147"/>
      <c r="AC798" s="147"/>
      <c r="AD798" s="147"/>
      <c r="AE798" s="147"/>
      <c r="AF798" s="147"/>
      <c r="AG798" s="147"/>
      <c r="AH798" s="147"/>
      <c r="AI798" s="147"/>
      <c r="AJ798" s="147"/>
      <c r="AK798" s="147"/>
      <c r="AL798" s="147"/>
      <c r="AM798" s="147"/>
      <c r="AN798" s="147"/>
      <c r="AO798" s="147"/>
      <c r="AP798" s="147"/>
      <c r="AQ798" s="147"/>
      <c r="AR798" s="147"/>
      <c r="AS798" s="147"/>
    </row>
    <row r="799" spans="1:45" x14ac:dyDescent="0.25">
      <c r="A799" s="147"/>
      <c r="B799" s="147"/>
      <c r="C799" s="160"/>
      <c r="D799" s="160"/>
      <c r="E799" s="161"/>
      <c r="F799" s="162"/>
      <c r="G799" s="163"/>
      <c r="H799" s="163"/>
      <c r="I799" s="164"/>
      <c r="J799" s="162"/>
      <c r="K799" s="165"/>
      <c r="L799" s="166"/>
      <c r="M799" s="167"/>
      <c r="N799" s="167"/>
      <c r="O799" s="168"/>
      <c r="P799" s="168"/>
      <c r="Q799" s="147"/>
      <c r="R799" s="147"/>
      <c r="S799" s="169"/>
      <c r="T799" s="147"/>
      <c r="U799" s="147"/>
      <c r="V799" s="147"/>
      <c r="W799" s="147"/>
      <c r="X799" s="147"/>
      <c r="Y799" s="147"/>
      <c r="Z799" s="147"/>
      <c r="AA799" s="147"/>
      <c r="AB799" s="147"/>
      <c r="AC799" s="147"/>
      <c r="AD799" s="147"/>
      <c r="AE799" s="147"/>
      <c r="AF799" s="147"/>
      <c r="AG799" s="147"/>
      <c r="AH799" s="147"/>
      <c r="AI799" s="147"/>
      <c r="AJ799" s="147"/>
      <c r="AK799" s="147"/>
      <c r="AL799" s="147"/>
      <c r="AM799" s="147"/>
      <c r="AN799" s="147"/>
      <c r="AO799" s="147"/>
      <c r="AP799" s="147"/>
      <c r="AQ799" s="147"/>
      <c r="AR799" s="147"/>
      <c r="AS799" s="147"/>
    </row>
    <row r="800" spans="1:45" x14ac:dyDescent="0.25">
      <c r="A800" s="147"/>
      <c r="B800" s="147"/>
      <c r="C800" s="160"/>
      <c r="D800" s="160"/>
      <c r="E800" s="161"/>
      <c r="F800" s="162"/>
      <c r="G800" s="163"/>
      <c r="H800" s="163"/>
      <c r="I800" s="164"/>
      <c r="J800" s="162"/>
      <c r="K800" s="165"/>
      <c r="L800" s="166"/>
      <c r="M800" s="167"/>
      <c r="N800" s="167"/>
      <c r="O800" s="168"/>
      <c r="P800" s="168"/>
      <c r="Q800" s="147"/>
      <c r="R800" s="147"/>
      <c r="S800" s="169"/>
      <c r="T800" s="147"/>
      <c r="U800" s="147"/>
      <c r="V800" s="147"/>
      <c r="W800" s="147"/>
      <c r="X800" s="147"/>
      <c r="Y800" s="147"/>
      <c r="Z800" s="147"/>
      <c r="AA800" s="147"/>
      <c r="AB800" s="147"/>
      <c r="AC800" s="147"/>
      <c r="AD800" s="147"/>
      <c r="AE800" s="147"/>
      <c r="AF800" s="147"/>
      <c r="AG800" s="147"/>
      <c r="AH800" s="147"/>
      <c r="AI800" s="147"/>
      <c r="AJ800" s="147"/>
      <c r="AK800" s="147"/>
      <c r="AL800" s="147"/>
      <c r="AM800" s="147"/>
      <c r="AN800" s="147"/>
      <c r="AO800" s="147"/>
      <c r="AP800" s="147"/>
      <c r="AQ800" s="147"/>
      <c r="AR800" s="147"/>
      <c r="AS800" s="147"/>
    </row>
    <row r="801" spans="1:45" x14ac:dyDescent="0.25">
      <c r="A801" s="147"/>
      <c r="B801" s="147"/>
      <c r="C801" s="160"/>
      <c r="D801" s="160"/>
      <c r="E801" s="161"/>
      <c r="F801" s="162"/>
      <c r="G801" s="163"/>
      <c r="H801" s="163"/>
      <c r="I801" s="164"/>
      <c r="J801" s="162"/>
      <c r="K801" s="165"/>
      <c r="L801" s="166"/>
      <c r="M801" s="167"/>
      <c r="N801" s="167"/>
      <c r="O801" s="168"/>
      <c r="P801" s="168"/>
      <c r="Q801" s="147"/>
      <c r="R801" s="147"/>
      <c r="S801" s="169"/>
      <c r="T801" s="147"/>
      <c r="U801" s="147"/>
      <c r="V801" s="147"/>
      <c r="W801" s="147"/>
      <c r="X801" s="147"/>
      <c r="Y801" s="147"/>
      <c r="Z801" s="147"/>
      <c r="AA801" s="147"/>
      <c r="AB801" s="147"/>
      <c r="AC801" s="147"/>
      <c r="AD801" s="147"/>
      <c r="AE801" s="147"/>
      <c r="AF801" s="147"/>
      <c r="AG801" s="147"/>
      <c r="AH801" s="147"/>
      <c r="AI801" s="147"/>
      <c r="AJ801" s="147"/>
      <c r="AK801" s="147"/>
      <c r="AL801" s="147"/>
      <c r="AM801" s="147"/>
      <c r="AN801" s="147"/>
      <c r="AO801" s="147"/>
      <c r="AP801" s="147"/>
      <c r="AQ801" s="147"/>
      <c r="AR801" s="147"/>
      <c r="AS801" s="147"/>
    </row>
    <row r="802" spans="1:45" x14ac:dyDescent="0.25">
      <c r="A802" s="147"/>
      <c r="B802" s="147"/>
      <c r="C802" s="160"/>
      <c r="D802" s="160"/>
      <c r="E802" s="161"/>
      <c r="F802" s="162"/>
      <c r="G802" s="163"/>
      <c r="H802" s="163"/>
      <c r="I802" s="164"/>
      <c r="J802" s="162"/>
      <c r="K802" s="165"/>
      <c r="L802" s="166"/>
      <c r="M802" s="167"/>
      <c r="N802" s="167"/>
      <c r="O802" s="168"/>
      <c r="P802" s="168"/>
      <c r="Q802" s="147"/>
      <c r="R802" s="147"/>
      <c r="S802" s="169"/>
      <c r="T802" s="147"/>
      <c r="U802" s="147"/>
      <c r="V802" s="147"/>
      <c r="W802" s="147"/>
      <c r="X802" s="147"/>
      <c r="Y802" s="147"/>
      <c r="Z802" s="147"/>
      <c r="AA802" s="147"/>
      <c r="AB802" s="147"/>
      <c r="AC802" s="147"/>
      <c r="AD802" s="147"/>
      <c r="AE802" s="147"/>
      <c r="AF802" s="147"/>
      <c r="AG802" s="147"/>
      <c r="AH802" s="147"/>
      <c r="AI802" s="147"/>
      <c r="AJ802" s="147"/>
      <c r="AK802" s="147"/>
      <c r="AL802" s="147"/>
      <c r="AM802" s="147"/>
      <c r="AN802" s="147"/>
      <c r="AO802" s="147"/>
      <c r="AP802" s="147"/>
      <c r="AQ802" s="147"/>
      <c r="AR802" s="147"/>
      <c r="AS802" s="147"/>
    </row>
    <row r="803" spans="1:45" x14ac:dyDescent="0.25">
      <c r="A803" s="147"/>
      <c r="B803" s="147"/>
      <c r="C803" s="160"/>
      <c r="D803" s="160"/>
      <c r="E803" s="161"/>
      <c r="F803" s="162"/>
      <c r="G803" s="163"/>
      <c r="H803" s="163"/>
      <c r="I803" s="164"/>
      <c r="J803" s="162"/>
      <c r="K803" s="165"/>
      <c r="L803" s="166"/>
      <c r="M803" s="167"/>
      <c r="N803" s="167"/>
      <c r="O803" s="168"/>
      <c r="P803" s="168"/>
      <c r="Q803" s="147"/>
      <c r="R803" s="147"/>
      <c r="S803" s="169"/>
      <c r="T803" s="147"/>
      <c r="U803" s="147"/>
      <c r="V803" s="147"/>
      <c r="W803" s="147"/>
      <c r="X803" s="147"/>
      <c r="Y803" s="147"/>
      <c r="Z803" s="147"/>
      <c r="AA803" s="147"/>
      <c r="AB803" s="147"/>
      <c r="AC803" s="147"/>
      <c r="AD803" s="147"/>
      <c r="AE803" s="147"/>
      <c r="AF803" s="147"/>
      <c r="AG803" s="147"/>
      <c r="AH803" s="147"/>
      <c r="AI803" s="147"/>
      <c r="AJ803" s="147"/>
      <c r="AK803" s="147"/>
      <c r="AL803" s="147"/>
      <c r="AM803" s="147"/>
      <c r="AN803" s="147"/>
      <c r="AO803" s="147"/>
      <c r="AP803" s="147"/>
      <c r="AQ803" s="147"/>
      <c r="AR803" s="147"/>
      <c r="AS803" s="147"/>
    </row>
    <row r="804" spans="1:45" x14ac:dyDescent="0.25">
      <c r="A804" s="147"/>
      <c r="B804" s="147"/>
      <c r="C804" s="160"/>
      <c r="D804" s="160"/>
      <c r="E804" s="161"/>
      <c r="F804" s="162"/>
      <c r="G804" s="163"/>
      <c r="H804" s="163"/>
      <c r="I804" s="164"/>
      <c r="J804" s="162"/>
      <c r="K804" s="165"/>
      <c r="L804" s="166"/>
      <c r="M804" s="167"/>
      <c r="N804" s="167"/>
      <c r="O804" s="168"/>
      <c r="P804" s="168"/>
      <c r="Q804" s="147"/>
      <c r="R804" s="147"/>
      <c r="S804" s="169"/>
      <c r="T804" s="147"/>
      <c r="U804" s="147"/>
      <c r="V804" s="147"/>
      <c r="W804" s="147"/>
      <c r="X804" s="147"/>
      <c r="Y804" s="147"/>
      <c r="Z804" s="147"/>
      <c r="AA804" s="147"/>
      <c r="AB804" s="147"/>
      <c r="AC804" s="147"/>
      <c r="AD804" s="147"/>
      <c r="AE804" s="147"/>
      <c r="AF804" s="147"/>
      <c r="AG804" s="147"/>
      <c r="AH804" s="147"/>
      <c r="AI804" s="147"/>
      <c r="AJ804" s="147"/>
      <c r="AK804" s="147"/>
      <c r="AL804" s="147"/>
      <c r="AM804" s="147"/>
      <c r="AN804" s="147"/>
      <c r="AO804" s="147"/>
      <c r="AP804" s="147"/>
      <c r="AQ804" s="147"/>
      <c r="AR804" s="147"/>
      <c r="AS804" s="147"/>
    </row>
    <row r="805" spans="1:45" x14ac:dyDescent="0.25">
      <c r="A805" s="147"/>
      <c r="B805" s="147"/>
      <c r="C805" s="160"/>
      <c r="D805" s="160"/>
      <c r="E805" s="161"/>
      <c r="F805" s="162"/>
      <c r="G805" s="163"/>
      <c r="H805" s="163"/>
      <c r="I805" s="164"/>
      <c r="J805" s="162"/>
      <c r="K805" s="165"/>
      <c r="L805" s="166"/>
      <c r="M805" s="167"/>
      <c r="N805" s="167"/>
      <c r="O805" s="168"/>
      <c r="P805" s="168"/>
      <c r="Q805" s="147"/>
      <c r="R805" s="147"/>
      <c r="S805" s="169"/>
      <c r="T805" s="147"/>
      <c r="U805" s="147"/>
      <c r="V805" s="147"/>
      <c r="W805" s="147"/>
      <c r="X805" s="147"/>
      <c r="Y805" s="147"/>
      <c r="Z805" s="147"/>
      <c r="AA805" s="147"/>
      <c r="AB805" s="147"/>
      <c r="AC805" s="147"/>
      <c r="AD805" s="147"/>
      <c r="AE805" s="147"/>
      <c r="AF805" s="147"/>
      <c r="AG805" s="147"/>
      <c r="AH805" s="147"/>
      <c r="AI805" s="147"/>
      <c r="AJ805" s="147"/>
      <c r="AK805" s="147"/>
      <c r="AL805" s="147"/>
      <c r="AM805" s="147"/>
      <c r="AN805" s="147"/>
      <c r="AO805" s="147"/>
      <c r="AP805" s="147"/>
      <c r="AQ805" s="147"/>
      <c r="AR805" s="147"/>
      <c r="AS805" s="147"/>
    </row>
    <row r="806" spans="1:45" x14ac:dyDescent="0.25">
      <c r="A806" s="147"/>
      <c r="B806" s="147"/>
      <c r="C806" s="160"/>
      <c r="D806" s="160"/>
      <c r="E806" s="161"/>
      <c r="F806" s="162"/>
      <c r="G806" s="163"/>
      <c r="H806" s="163"/>
      <c r="I806" s="164"/>
      <c r="J806" s="162"/>
      <c r="K806" s="165"/>
      <c r="L806" s="166"/>
      <c r="M806" s="167"/>
      <c r="N806" s="167"/>
      <c r="O806" s="168"/>
      <c r="P806" s="168"/>
      <c r="Q806" s="147"/>
      <c r="R806" s="147"/>
      <c r="S806" s="169"/>
      <c r="T806" s="147"/>
      <c r="U806" s="147"/>
      <c r="V806" s="147"/>
      <c r="W806" s="147"/>
      <c r="X806" s="147"/>
      <c r="Y806" s="147"/>
      <c r="Z806" s="147"/>
      <c r="AA806" s="147"/>
      <c r="AB806" s="147"/>
      <c r="AC806" s="147"/>
      <c r="AD806" s="147"/>
      <c r="AE806" s="147"/>
      <c r="AF806" s="147"/>
      <c r="AG806" s="147"/>
      <c r="AH806" s="147"/>
      <c r="AI806" s="147"/>
      <c r="AJ806" s="147"/>
      <c r="AK806" s="147"/>
      <c r="AL806" s="147"/>
      <c r="AM806" s="147"/>
      <c r="AN806" s="147"/>
      <c r="AO806" s="147"/>
      <c r="AP806" s="147"/>
      <c r="AQ806" s="147"/>
      <c r="AR806" s="147"/>
      <c r="AS806" s="147"/>
    </row>
    <row r="807" spans="1:45" x14ac:dyDescent="0.25">
      <c r="A807" s="147"/>
      <c r="B807" s="147"/>
      <c r="C807" s="160"/>
      <c r="D807" s="160"/>
      <c r="E807" s="161"/>
      <c r="F807" s="162"/>
      <c r="G807" s="163"/>
      <c r="H807" s="163"/>
      <c r="I807" s="164"/>
      <c r="J807" s="162"/>
      <c r="K807" s="165"/>
      <c r="L807" s="166"/>
      <c r="M807" s="167"/>
      <c r="N807" s="167"/>
      <c r="O807" s="168"/>
      <c r="P807" s="168"/>
      <c r="Q807" s="147"/>
      <c r="R807" s="147"/>
      <c r="S807" s="169"/>
      <c r="T807" s="147"/>
      <c r="U807" s="147"/>
      <c r="V807" s="147"/>
      <c r="W807" s="147"/>
      <c r="X807" s="147"/>
      <c r="Y807" s="147"/>
      <c r="Z807" s="147"/>
      <c r="AA807" s="147"/>
      <c r="AB807" s="147"/>
      <c r="AC807" s="147"/>
      <c r="AD807" s="147"/>
      <c r="AE807" s="147"/>
      <c r="AF807" s="147"/>
      <c r="AG807" s="147"/>
      <c r="AH807" s="147"/>
      <c r="AI807" s="147"/>
      <c r="AJ807" s="147"/>
      <c r="AK807" s="147"/>
      <c r="AL807" s="147"/>
      <c r="AM807" s="147"/>
      <c r="AN807" s="147"/>
      <c r="AO807" s="147"/>
      <c r="AP807" s="147"/>
      <c r="AQ807" s="147"/>
      <c r="AR807" s="147"/>
      <c r="AS807" s="147"/>
    </row>
    <row r="808" spans="1:45" x14ac:dyDescent="0.25">
      <c r="A808" s="147"/>
      <c r="B808" s="147"/>
      <c r="C808" s="160"/>
      <c r="D808" s="160"/>
      <c r="E808" s="161"/>
      <c r="F808" s="162"/>
      <c r="G808" s="163"/>
      <c r="H808" s="163"/>
      <c r="I808" s="164"/>
      <c r="J808" s="162"/>
      <c r="K808" s="165"/>
      <c r="L808" s="166"/>
      <c r="M808" s="167"/>
      <c r="N808" s="167"/>
      <c r="O808" s="168"/>
      <c r="P808" s="168"/>
      <c r="Q808" s="147"/>
      <c r="R808" s="147"/>
      <c r="S808" s="169"/>
      <c r="T808" s="147"/>
      <c r="U808" s="147"/>
      <c r="V808" s="147"/>
      <c r="W808" s="147"/>
      <c r="X808" s="147"/>
      <c r="Y808" s="147"/>
      <c r="Z808" s="147"/>
      <c r="AA808" s="147"/>
      <c r="AB808" s="147"/>
      <c r="AC808" s="147"/>
      <c r="AD808" s="147"/>
      <c r="AE808" s="147"/>
      <c r="AF808" s="147"/>
      <c r="AG808" s="147"/>
      <c r="AH808" s="147"/>
      <c r="AI808" s="147"/>
      <c r="AJ808" s="147"/>
      <c r="AK808" s="147"/>
      <c r="AL808" s="147"/>
      <c r="AM808" s="147"/>
      <c r="AN808" s="147"/>
      <c r="AO808" s="147"/>
      <c r="AP808" s="147"/>
      <c r="AQ808" s="147"/>
      <c r="AR808" s="147"/>
      <c r="AS808" s="147"/>
    </row>
    <row r="809" spans="1:45" x14ac:dyDescent="0.25">
      <c r="A809" s="147"/>
      <c r="B809" s="147"/>
      <c r="C809" s="160"/>
      <c r="D809" s="160"/>
      <c r="E809" s="161"/>
      <c r="F809" s="162"/>
      <c r="G809" s="163"/>
      <c r="H809" s="163"/>
      <c r="I809" s="164"/>
      <c r="J809" s="162"/>
      <c r="K809" s="165"/>
      <c r="L809" s="166"/>
      <c r="M809" s="167"/>
      <c r="N809" s="167"/>
      <c r="O809" s="168"/>
      <c r="P809" s="168"/>
      <c r="Q809" s="147"/>
      <c r="R809" s="147"/>
      <c r="S809" s="169"/>
      <c r="T809" s="147"/>
      <c r="U809" s="147"/>
      <c r="V809" s="147"/>
      <c r="W809" s="147"/>
      <c r="X809" s="147"/>
      <c r="Y809" s="147"/>
      <c r="Z809" s="147"/>
      <c r="AA809" s="147"/>
      <c r="AB809" s="147"/>
      <c r="AC809" s="147"/>
      <c r="AD809" s="147"/>
      <c r="AE809" s="147"/>
      <c r="AF809" s="147"/>
      <c r="AG809" s="147"/>
      <c r="AH809" s="147"/>
      <c r="AI809" s="147"/>
      <c r="AJ809" s="147"/>
      <c r="AK809" s="147"/>
      <c r="AL809" s="147"/>
      <c r="AM809" s="147"/>
      <c r="AN809" s="147"/>
      <c r="AO809" s="147"/>
      <c r="AP809" s="147"/>
      <c r="AQ809" s="147"/>
      <c r="AR809" s="147"/>
      <c r="AS809" s="147"/>
    </row>
    <row r="810" spans="1:45" x14ac:dyDescent="0.25">
      <c r="A810" s="147"/>
      <c r="B810" s="147"/>
      <c r="C810" s="160"/>
      <c r="D810" s="160"/>
      <c r="E810" s="161"/>
      <c r="F810" s="162"/>
      <c r="G810" s="163"/>
      <c r="H810" s="163"/>
      <c r="I810" s="164"/>
      <c r="J810" s="162"/>
      <c r="K810" s="165"/>
      <c r="L810" s="166"/>
      <c r="M810" s="167"/>
      <c r="N810" s="167"/>
      <c r="O810" s="168"/>
      <c r="P810" s="168"/>
      <c r="Q810" s="147"/>
      <c r="R810" s="147"/>
      <c r="S810" s="169"/>
      <c r="T810" s="147"/>
      <c r="U810" s="147"/>
      <c r="V810" s="147"/>
      <c r="W810" s="147"/>
      <c r="X810" s="147"/>
      <c r="Y810" s="147"/>
      <c r="Z810" s="147"/>
      <c r="AA810" s="147"/>
      <c r="AB810" s="147"/>
      <c r="AC810" s="147"/>
      <c r="AD810" s="147"/>
      <c r="AE810" s="147"/>
      <c r="AF810" s="147"/>
      <c r="AG810" s="147"/>
      <c r="AH810" s="147"/>
      <c r="AI810" s="147"/>
      <c r="AJ810" s="147"/>
      <c r="AK810" s="147"/>
      <c r="AL810" s="147"/>
      <c r="AM810" s="147"/>
      <c r="AN810" s="147"/>
      <c r="AO810" s="147"/>
      <c r="AP810" s="147"/>
      <c r="AQ810" s="147"/>
      <c r="AR810" s="147"/>
      <c r="AS810" s="147"/>
    </row>
    <row r="811" spans="1:45" x14ac:dyDescent="0.25">
      <c r="A811" s="147"/>
      <c r="B811" s="147"/>
      <c r="C811" s="160"/>
      <c r="D811" s="160"/>
      <c r="E811" s="161"/>
      <c r="F811" s="162"/>
      <c r="G811" s="163"/>
      <c r="H811" s="163"/>
      <c r="I811" s="164"/>
      <c r="J811" s="162"/>
      <c r="K811" s="165"/>
      <c r="L811" s="166"/>
      <c r="M811" s="167"/>
      <c r="N811" s="167"/>
      <c r="O811" s="168"/>
      <c r="P811" s="168"/>
      <c r="Q811" s="147"/>
      <c r="R811" s="147"/>
      <c r="S811" s="169"/>
      <c r="T811" s="147"/>
      <c r="U811" s="147"/>
      <c r="V811" s="147"/>
      <c r="W811" s="147"/>
      <c r="X811" s="147"/>
      <c r="Y811" s="147"/>
      <c r="Z811" s="147"/>
      <c r="AA811" s="147"/>
      <c r="AB811" s="147"/>
      <c r="AC811" s="147"/>
      <c r="AD811" s="147"/>
      <c r="AE811" s="147"/>
      <c r="AF811" s="147"/>
      <c r="AG811" s="147"/>
      <c r="AH811" s="147"/>
      <c r="AI811" s="147"/>
      <c r="AJ811" s="147"/>
      <c r="AK811" s="147"/>
      <c r="AL811" s="147"/>
      <c r="AM811" s="147"/>
      <c r="AN811" s="147"/>
      <c r="AO811" s="147"/>
      <c r="AP811" s="147"/>
      <c r="AQ811" s="147"/>
      <c r="AR811" s="147"/>
      <c r="AS811" s="147"/>
    </row>
    <row r="812" spans="1:45" x14ac:dyDescent="0.25">
      <c r="A812" s="147"/>
      <c r="B812" s="147"/>
      <c r="C812" s="160"/>
      <c r="D812" s="160"/>
      <c r="E812" s="161"/>
      <c r="F812" s="162"/>
      <c r="G812" s="163"/>
      <c r="H812" s="163"/>
      <c r="I812" s="164"/>
      <c r="J812" s="162"/>
      <c r="K812" s="165"/>
      <c r="L812" s="166"/>
      <c r="M812" s="167"/>
      <c r="N812" s="167"/>
      <c r="O812" s="168"/>
      <c r="P812" s="168"/>
      <c r="Q812" s="147"/>
      <c r="R812" s="147"/>
      <c r="S812" s="169"/>
      <c r="T812" s="147"/>
      <c r="U812" s="147"/>
      <c r="V812" s="147"/>
      <c r="W812" s="147"/>
      <c r="X812" s="147"/>
      <c r="Y812" s="147"/>
      <c r="Z812" s="147"/>
      <c r="AA812" s="147"/>
      <c r="AB812" s="147"/>
      <c r="AC812" s="147"/>
      <c r="AD812" s="147"/>
      <c r="AE812" s="147"/>
      <c r="AF812" s="147"/>
      <c r="AG812" s="147"/>
      <c r="AH812" s="147"/>
      <c r="AI812" s="147"/>
      <c r="AJ812" s="147"/>
      <c r="AK812" s="147"/>
      <c r="AL812" s="147"/>
      <c r="AM812" s="147"/>
      <c r="AN812" s="147"/>
      <c r="AO812" s="147"/>
      <c r="AP812" s="147"/>
      <c r="AQ812" s="147"/>
      <c r="AR812" s="147"/>
      <c r="AS812" s="147"/>
    </row>
    <row r="813" spans="1:45" x14ac:dyDescent="0.25">
      <c r="A813" s="147"/>
      <c r="B813" s="147"/>
      <c r="C813" s="160"/>
      <c r="D813" s="160"/>
      <c r="E813" s="161"/>
      <c r="F813" s="162"/>
      <c r="G813" s="163"/>
      <c r="H813" s="163"/>
      <c r="I813" s="164"/>
      <c r="J813" s="162"/>
      <c r="K813" s="165"/>
      <c r="L813" s="166"/>
      <c r="M813" s="167"/>
      <c r="N813" s="167"/>
      <c r="O813" s="168"/>
      <c r="P813" s="168"/>
      <c r="Q813" s="147"/>
      <c r="R813" s="147"/>
      <c r="S813" s="169"/>
      <c r="T813" s="147"/>
      <c r="U813" s="147"/>
      <c r="V813" s="147"/>
      <c r="W813" s="147"/>
      <c r="X813" s="147"/>
      <c r="Y813" s="147"/>
      <c r="Z813" s="147"/>
      <c r="AA813" s="147"/>
      <c r="AB813" s="147"/>
      <c r="AC813" s="147"/>
      <c r="AD813" s="147"/>
      <c r="AE813" s="147"/>
      <c r="AF813" s="147"/>
      <c r="AG813" s="147"/>
      <c r="AH813" s="147"/>
      <c r="AI813" s="147"/>
      <c r="AJ813" s="147"/>
      <c r="AK813" s="147"/>
      <c r="AL813" s="147"/>
      <c r="AM813" s="147"/>
      <c r="AN813" s="147"/>
      <c r="AO813" s="147"/>
      <c r="AP813" s="147"/>
      <c r="AQ813" s="147"/>
      <c r="AR813" s="147"/>
      <c r="AS813" s="147"/>
    </row>
    <row r="814" spans="1:45" x14ac:dyDescent="0.25">
      <c r="A814" s="147"/>
      <c r="B814" s="147"/>
      <c r="C814" s="160"/>
      <c r="D814" s="160"/>
      <c r="E814" s="161"/>
      <c r="F814" s="162"/>
      <c r="G814" s="163"/>
      <c r="H814" s="163"/>
      <c r="I814" s="164"/>
      <c r="J814" s="162"/>
      <c r="K814" s="165"/>
      <c r="L814" s="166"/>
      <c r="M814" s="167"/>
      <c r="N814" s="167"/>
      <c r="O814" s="168"/>
      <c r="P814" s="168"/>
      <c r="Q814" s="147"/>
      <c r="R814" s="147"/>
      <c r="S814" s="169"/>
      <c r="T814" s="147"/>
      <c r="U814" s="147"/>
      <c r="V814" s="147"/>
      <c r="W814" s="147"/>
      <c r="X814" s="147"/>
      <c r="Y814" s="147"/>
      <c r="Z814" s="147"/>
      <c r="AA814" s="147"/>
      <c r="AB814" s="147"/>
      <c r="AC814" s="147"/>
      <c r="AD814" s="147"/>
      <c r="AE814" s="147"/>
      <c r="AF814" s="147"/>
      <c r="AG814" s="147"/>
      <c r="AH814" s="147"/>
      <c r="AI814" s="147"/>
      <c r="AJ814" s="147"/>
      <c r="AK814" s="147"/>
      <c r="AL814" s="147"/>
      <c r="AM814" s="147"/>
      <c r="AN814" s="147"/>
      <c r="AO814" s="147"/>
      <c r="AP814" s="147"/>
      <c r="AQ814" s="147"/>
      <c r="AR814" s="147"/>
      <c r="AS814" s="147"/>
    </row>
    <row r="815" spans="1:45" x14ac:dyDescent="0.25">
      <c r="A815" s="147"/>
      <c r="B815" s="147"/>
      <c r="C815" s="160"/>
      <c r="D815" s="160"/>
      <c r="E815" s="161"/>
      <c r="F815" s="162"/>
      <c r="G815" s="163"/>
      <c r="H815" s="163"/>
      <c r="I815" s="164"/>
      <c r="J815" s="162"/>
      <c r="K815" s="165"/>
      <c r="L815" s="166"/>
      <c r="M815" s="167"/>
      <c r="N815" s="167"/>
      <c r="O815" s="168"/>
      <c r="P815" s="168"/>
      <c r="Q815" s="147"/>
      <c r="R815" s="147"/>
      <c r="S815" s="169"/>
      <c r="T815" s="147"/>
      <c r="U815" s="147"/>
      <c r="V815" s="147"/>
      <c r="W815" s="147"/>
      <c r="X815" s="147"/>
      <c r="Y815" s="147"/>
      <c r="Z815" s="147"/>
      <c r="AA815" s="147"/>
      <c r="AB815" s="147"/>
      <c r="AC815" s="147"/>
      <c r="AD815" s="147"/>
      <c r="AE815" s="147"/>
      <c r="AF815" s="147"/>
      <c r="AG815" s="147"/>
      <c r="AH815" s="147"/>
      <c r="AI815" s="147"/>
      <c r="AJ815" s="147"/>
      <c r="AK815" s="147"/>
      <c r="AL815" s="147"/>
      <c r="AM815" s="147"/>
      <c r="AN815" s="147"/>
      <c r="AO815" s="147"/>
      <c r="AP815" s="147"/>
      <c r="AQ815" s="147"/>
      <c r="AR815" s="147"/>
      <c r="AS815" s="147"/>
    </row>
    <row r="816" spans="1:45" x14ac:dyDescent="0.25">
      <c r="A816" s="147"/>
      <c r="B816" s="147"/>
      <c r="C816" s="160"/>
      <c r="D816" s="160"/>
      <c r="E816" s="161"/>
      <c r="F816" s="162"/>
      <c r="G816" s="163"/>
      <c r="H816" s="163"/>
      <c r="I816" s="164"/>
      <c r="J816" s="162"/>
      <c r="K816" s="165"/>
      <c r="L816" s="166"/>
      <c r="M816" s="167"/>
      <c r="N816" s="167"/>
      <c r="O816" s="168"/>
      <c r="P816" s="168"/>
      <c r="Q816" s="147"/>
      <c r="R816" s="147"/>
      <c r="S816" s="169"/>
      <c r="T816" s="147"/>
      <c r="U816" s="147"/>
      <c r="V816" s="147"/>
      <c r="W816" s="147"/>
      <c r="X816" s="147"/>
      <c r="Y816" s="147"/>
      <c r="Z816" s="147"/>
      <c r="AA816" s="147"/>
      <c r="AB816" s="147"/>
      <c r="AC816" s="147"/>
      <c r="AD816" s="147"/>
      <c r="AE816" s="147"/>
      <c r="AF816" s="147"/>
      <c r="AG816" s="147"/>
      <c r="AH816" s="147"/>
      <c r="AI816" s="147"/>
      <c r="AJ816" s="147"/>
      <c r="AK816" s="147"/>
      <c r="AL816" s="147"/>
      <c r="AM816" s="147"/>
      <c r="AN816" s="147"/>
      <c r="AO816" s="147"/>
      <c r="AP816" s="147"/>
      <c r="AQ816" s="147"/>
      <c r="AR816" s="147"/>
      <c r="AS816" s="147"/>
    </row>
    <row r="817" spans="1:45" x14ac:dyDescent="0.25">
      <c r="A817" s="147"/>
      <c r="B817" s="147"/>
      <c r="C817" s="160"/>
      <c r="D817" s="160"/>
      <c r="E817" s="161"/>
      <c r="F817" s="162"/>
      <c r="G817" s="163"/>
      <c r="H817" s="163"/>
      <c r="I817" s="164"/>
      <c r="J817" s="162"/>
      <c r="K817" s="165"/>
      <c r="L817" s="166"/>
      <c r="M817" s="167"/>
      <c r="N817" s="167"/>
      <c r="O817" s="168"/>
      <c r="P817" s="168"/>
      <c r="Q817" s="147"/>
      <c r="R817" s="147"/>
      <c r="S817" s="169"/>
      <c r="T817" s="147"/>
      <c r="U817" s="147"/>
      <c r="V817" s="147"/>
      <c r="W817" s="147"/>
      <c r="X817" s="147"/>
      <c r="Y817" s="147"/>
      <c r="Z817" s="147"/>
      <c r="AA817" s="147"/>
      <c r="AB817" s="147"/>
      <c r="AC817" s="147"/>
      <c r="AD817" s="147"/>
      <c r="AE817" s="147"/>
      <c r="AF817" s="147"/>
      <c r="AG817" s="147"/>
      <c r="AH817" s="147"/>
      <c r="AI817" s="147"/>
      <c r="AJ817" s="147"/>
      <c r="AK817" s="147"/>
      <c r="AL817" s="147"/>
      <c r="AM817" s="147"/>
      <c r="AN817" s="147"/>
      <c r="AO817" s="147"/>
      <c r="AP817" s="147"/>
      <c r="AQ817" s="147"/>
      <c r="AR817" s="147"/>
      <c r="AS817" s="147"/>
    </row>
    <row r="818" spans="1:45" x14ac:dyDescent="0.25">
      <c r="A818" s="147"/>
      <c r="B818" s="147"/>
      <c r="C818" s="160"/>
      <c r="D818" s="160"/>
      <c r="E818" s="161"/>
      <c r="F818" s="162"/>
      <c r="G818" s="163"/>
      <c r="H818" s="163"/>
      <c r="I818" s="164"/>
      <c r="J818" s="162"/>
      <c r="K818" s="165"/>
      <c r="L818" s="166"/>
      <c r="M818" s="167"/>
      <c r="N818" s="167"/>
      <c r="O818" s="168"/>
      <c r="P818" s="168"/>
      <c r="Q818" s="147"/>
      <c r="R818" s="147"/>
      <c r="S818" s="169"/>
      <c r="T818" s="147"/>
      <c r="U818" s="147"/>
      <c r="V818" s="147"/>
      <c r="W818" s="147"/>
      <c r="X818" s="147"/>
      <c r="Y818" s="147"/>
      <c r="Z818" s="147"/>
      <c r="AA818" s="147"/>
      <c r="AB818" s="147"/>
      <c r="AC818" s="147"/>
      <c r="AD818" s="147"/>
      <c r="AE818" s="147"/>
      <c r="AF818" s="147"/>
      <c r="AG818" s="147"/>
      <c r="AH818" s="147"/>
      <c r="AI818" s="147"/>
      <c r="AJ818" s="147"/>
      <c r="AK818" s="147"/>
      <c r="AL818" s="147"/>
      <c r="AM818" s="147"/>
      <c r="AN818" s="147"/>
      <c r="AO818" s="147"/>
      <c r="AP818" s="147"/>
      <c r="AQ818" s="147"/>
      <c r="AR818" s="147"/>
      <c r="AS818" s="147"/>
    </row>
    <row r="819" spans="1:45" x14ac:dyDescent="0.25">
      <c r="A819" s="147"/>
      <c r="B819" s="147"/>
      <c r="C819" s="160"/>
      <c r="D819" s="160"/>
      <c r="E819" s="161"/>
      <c r="F819" s="162"/>
      <c r="G819" s="163"/>
      <c r="H819" s="163"/>
      <c r="I819" s="164"/>
      <c r="J819" s="162"/>
      <c r="K819" s="165"/>
      <c r="L819" s="166"/>
      <c r="M819" s="167"/>
      <c r="N819" s="167"/>
      <c r="O819" s="168"/>
      <c r="P819" s="168"/>
      <c r="Q819" s="147"/>
      <c r="R819" s="147"/>
      <c r="S819" s="169"/>
      <c r="T819" s="147"/>
      <c r="U819" s="147"/>
      <c r="V819" s="147"/>
      <c r="W819" s="147"/>
      <c r="X819" s="147"/>
      <c r="Y819" s="147"/>
      <c r="Z819" s="147"/>
      <c r="AA819" s="147"/>
      <c r="AB819" s="147"/>
      <c r="AC819" s="147"/>
      <c r="AD819" s="147"/>
      <c r="AE819" s="147"/>
      <c r="AF819" s="147"/>
      <c r="AG819" s="147"/>
      <c r="AH819" s="147"/>
      <c r="AI819" s="147"/>
      <c r="AJ819" s="147"/>
      <c r="AK819" s="147"/>
      <c r="AL819" s="147"/>
      <c r="AM819" s="147"/>
      <c r="AN819" s="147"/>
      <c r="AO819" s="147"/>
      <c r="AP819" s="147"/>
      <c r="AQ819" s="147"/>
      <c r="AR819" s="147"/>
      <c r="AS819" s="147"/>
    </row>
    <row r="820" spans="1:45" x14ac:dyDescent="0.25">
      <c r="A820" s="147"/>
      <c r="B820" s="147"/>
      <c r="C820" s="160"/>
      <c r="D820" s="160"/>
      <c r="E820" s="161"/>
      <c r="F820" s="162"/>
      <c r="G820" s="163"/>
      <c r="H820" s="163"/>
      <c r="I820" s="164"/>
      <c r="J820" s="162"/>
      <c r="K820" s="165"/>
      <c r="L820" s="166"/>
      <c r="M820" s="167"/>
      <c r="N820" s="167"/>
      <c r="O820" s="168"/>
      <c r="P820" s="168"/>
      <c r="Q820" s="147"/>
      <c r="R820" s="147"/>
      <c r="S820" s="169"/>
      <c r="T820" s="147"/>
      <c r="U820" s="147"/>
      <c r="V820" s="147"/>
      <c r="W820" s="147"/>
      <c r="X820" s="147"/>
      <c r="Y820" s="147"/>
      <c r="Z820" s="147"/>
      <c r="AA820" s="147"/>
      <c r="AB820" s="147"/>
      <c r="AC820" s="147"/>
      <c r="AD820" s="147"/>
      <c r="AE820" s="147"/>
      <c r="AF820" s="147"/>
      <c r="AG820" s="147"/>
      <c r="AH820" s="147"/>
      <c r="AI820" s="147"/>
      <c r="AJ820" s="147"/>
      <c r="AK820" s="147"/>
      <c r="AL820" s="147"/>
      <c r="AM820" s="147"/>
      <c r="AN820" s="147"/>
      <c r="AO820" s="147"/>
      <c r="AP820" s="147"/>
      <c r="AQ820" s="147"/>
      <c r="AR820" s="147"/>
      <c r="AS820" s="147"/>
    </row>
    <row r="821" spans="1:45" x14ac:dyDescent="0.25">
      <c r="A821" s="147"/>
      <c r="B821" s="147"/>
      <c r="C821" s="160"/>
      <c r="D821" s="160"/>
      <c r="E821" s="161"/>
      <c r="F821" s="162"/>
      <c r="G821" s="163"/>
      <c r="H821" s="163"/>
      <c r="I821" s="164"/>
      <c r="J821" s="162"/>
      <c r="K821" s="165"/>
      <c r="L821" s="166"/>
      <c r="M821" s="167"/>
      <c r="N821" s="167"/>
      <c r="O821" s="168"/>
      <c r="P821" s="168"/>
      <c r="Q821" s="147"/>
      <c r="R821" s="147"/>
      <c r="S821" s="169"/>
      <c r="T821" s="147"/>
      <c r="U821" s="147"/>
      <c r="V821" s="147"/>
      <c r="W821" s="147"/>
      <c r="X821" s="147"/>
      <c r="Y821" s="147"/>
      <c r="Z821" s="147"/>
      <c r="AA821" s="147"/>
      <c r="AB821" s="147"/>
      <c r="AC821" s="147"/>
      <c r="AD821" s="147"/>
      <c r="AE821" s="147"/>
      <c r="AF821" s="147"/>
      <c r="AG821" s="147"/>
      <c r="AH821" s="147"/>
      <c r="AI821" s="147"/>
      <c r="AJ821" s="147"/>
      <c r="AK821" s="147"/>
      <c r="AL821" s="147"/>
      <c r="AM821" s="147"/>
      <c r="AN821" s="147"/>
      <c r="AO821" s="147"/>
      <c r="AP821" s="147"/>
      <c r="AQ821" s="147"/>
      <c r="AR821" s="147"/>
      <c r="AS821" s="147"/>
    </row>
    <row r="822" spans="1:45" x14ac:dyDescent="0.25">
      <c r="A822" s="147"/>
      <c r="B822" s="147"/>
      <c r="C822" s="160"/>
      <c r="D822" s="160"/>
      <c r="E822" s="161"/>
      <c r="F822" s="162"/>
      <c r="G822" s="163"/>
      <c r="H822" s="163"/>
      <c r="I822" s="164"/>
      <c r="J822" s="162"/>
      <c r="K822" s="165"/>
      <c r="L822" s="166"/>
      <c r="M822" s="167"/>
      <c r="N822" s="167"/>
      <c r="O822" s="168"/>
      <c r="P822" s="168"/>
      <c r="Q822" s="147"/>
      <c r="R822" s="147"/>
      <c r="S822" s="169"/>
      <c r="T822" s="147"/>
      <c r="U822" s="147"/>
      <c r="V822" s="147"/>
      <c r="W822" s="147"/>
      <c r="X822" s="147"/>
      <c r="Y822" s="147"/>
      <c r="Z822" s="147"/>
      <c r="AA822" s="147"/>
      <c r="AB822" s="147"/>
      <c r="AC822" s="147"/>
      <c r="AD822" s="147"/>
      <c r="AE822" s="147"/>
      <c r="AF822" s="147"/>
      <c r="AG822" s="147"/>
      <c r="AH822" s="147"/>
      <c r="AI822" s="147"/>
      <c r="AJ822" s="147"/>
      <c r="AK822" s="147"/>
      <c r="AL822" s="147"/>
      <c r="AM822" s="147"/>
      <c r="AN822" s="147"/>
      <c r="AO822" s="147"/>
      <c r="AP822" s="147"/>
      <c r="AQ822" s="147"/>
      <c r="AR822" s="147"/>
      <c r="AS822" s="147"/>
    </row>
    <row r="823" spans="1:45" x14ac:dyDescent="0.25">
      <c r="A823" s="147"/>
      <c r="B823" s="147"/>
      <c r="C823" s="160"/>
      <c r="D823" s="160"/>
      <c r="E823" s="161"/>
      <c r="F823" s="162"/>
      <c r="G823" s="163"/>
      <c r="H823" s="163"/>
      <c r="I823" s="164"/>
      <c r="J823" s="162"/>
      <c r="K823" s="165"/>
      <c r="L823" s="166"/>
      <c r="M823" s="167"/>
      <c r="N823" s="167"/>
      <c r="O823" s="168"/>
      <c r="P823" s="168"/>
      <c r="Q823" s="147"/>
      <c r="R823" s="147"/>
      <c r="S823" s="169"/>
      <c r="T823" s="147"/>
      <c r="U823" s="147"/>
      <c r="V823" s="147"/>
      <c r="W823" s="147"/>
      <c r="X823" s="147"/>
      <c r="Y823" s="147"/>
      <c r="Z823" s="147"/>
      <c r="AA823" s="147"/>
      <c r="AB823" s="147"/>
      <c r="AC823" s="147"/>
      <c r="AD823" s="147"/>
      <c r="AE823" s="147"/>
      <c r="AF823" s="147"/>
      <c r="AG823" s="147"/>
      <c r="AH823" s="147"/>
      <c r="AI823" s="147"/>
      <c r="AJ823" s="147"/>
      <c r="AK823" s="147"/>
      <c r="AL823" s="147"/>
      <c r="AM823" s="147"/>
      <c r="AN823" s="147"/>
      <c r="AO823" s="147"/>
      <c r="AP823" s="147"/>
      <c r="AQ823" s="147"/>
      <c r="AR823" s="147"/>
      <c r="AS823" s="147"/>
    </row>
    <row r="824" spans="1:45" x14ac:dyDescent="0.25">
      <c r="A824" s="147"/>
      <c r="B824" s="147"/>
      <c r="C824" s="160"/>
      <c r="D824" s="160"/>
      <c r="E824" s="161"/>
      <c r="F824" s="162"/>
      <c r="G824" s="163"/>
      <c r="H824" s="163"/>
      <c r="I824" s="164"/>
      <c r="J824" s="162"/>
      <c r="K824" s="165"/>
      <c r="L824" s="166"/>
      <c r="M824" s="167"/>
      <c r="N824" s="167"/>
      <c r="O824" s="168"/>
      <c r="P824" s="168"/>
      <c r="Q824" s="147"/>
      <c r="R824" s="147"/>
      <c r="S824" s="169"/>
      <c r="T824" s="147"/>
      <c r="U824" s="147"/>
      <c r="V824" s="147"/>
      <c r="W824" s="147"/>
      <c r="X824" s="147"/>
      <c r="Y824" s="147"/>
      <c r="Z824" s="147"/>
      <c r="AA824" s="147"/>
      <c r="AB824" s="147"/>
      <c r="AC824" s="147"/>
      <c r="AD824" s="147"/>
      <c r="AE824" s="147"/>
      <c r="AF824" s="147"/>
      <c r="AG824" s="147"/>
      <c r="AH824" s="147"/>
      <c r="AI824" s="147"/>
      <c r="AJ824" s="147"/>
      <c r="AK824" s="147"/>
      <c r="AL824" s="147"/>
      <c r="AM824" s="147"/>
      <c r="AN824" s="147"/>
      <c r="AO824" s="147"/>
      <c r="AP824" s="147"/>
      <c r="AQ824" s="147"/>
      <c r="AR824" s="147"/>
      <c r="AS824" s="147"/>
    </row>
    <row r="825" spans="1:45" x14ac:dyDescent="0.25">
      <c r="A825" s="147"/>
      <c r="B825" s="147"/>
      <c r="C825" s="160"/>
      <c r="D825" s="160"/>
      <c r="E825" s="161"/>
      <c r="F825" s="162"/>
      <c r="G825" s="163"/>
      <c r="H825" s="163"/>
      <c r="I825" s="164"/>
      <c r="J825" s="162"/>
      <c r="K825" s="165"/>
      <c r="L825" s="166"/>
      <c r="M825" s="167"/>
      <c r="N825" s="167"/>
      <c r="O825" s="168"/>
      <c r="P825" s="168"/>
      <c r="Q825" s="147"/>
      <c r="R825" s="147"/>
      <c r="S825" s="169"/>
      <c r="T825" s="147"/>
      <c r="U825" s="147"/>
      <c r="V825" s="147"/>
      <c r="W825" s="147"/>
      <c r="X825" s="147"/>
      <c r="Y825" s="147"/>
      <c r="Z825" s="147"/>
      <c r="AA825" s="147"/>
      <c r="AB825" s="147"/>
      <c r="AC825" s="147"/>
      <c r="AD825" s="147"/>
      <c r="AE825" s="147"/>
      <c r="AF825" s="147"/>
      <c r="AG825" s="147"/>
      <c r="AH825" s="147"/>
      <c r="AI825" s="147"/>
      <c r="AJ825" s="147"/>
      <c r="AK825" s="147"/>
      <c r="AL825" s="147"/>
      <c r="AM825" s="147"/>
      <c r="AN825" s="147"/>
      <c r="AO825" s="147"/>
      <c r="AP825" s="147"/>
      <c r="AQ825" s="147"/>
      <c r="AR825" s="147"/>
      <c r="AS825" s="147"/>
    </row>
    <row r="826" spans="1:45" x14ac:dyDescent="0.25">
      <c r="A826" s="147"/>
      <c r="B826" s="147"/>
      <c r="C826" s="160"/>
      <c r="D826" s="160"/>
      <c r="E826" s="161"/>
      <c r="F826" s="162"/>
      <c r="G826" s="163"/>
      <c r="H826" s="163"/>
      <c r="I826" s="164"/>
      <c r="J826" s="162"/>
      <c r="K826" s="165"/>
      <c r="L826" s="166"/>
      <c r="M826" s="167"/>
      <c r="N826" s="167"/>
      <c r="O826" s="168"/>
      <c r="P826" s="168"/>
      <c r="Q826" s="147"/>
      <c r="R826" s="147"/>
      <c r="S826" s="169"/>
      <c r="T826" s="147"/>
      <c r="U826" s="147"/>
      <c r="V826" s="147"/>
      <c r="W826" s="147"/>
      <c r="X826" s="147"/>
      <c r="Y826" s="147"/>
      <c r="Z826" s="147"/>
      <c r="AA826" s="147"/>
      <c r="AB826" s="147"/>
      <c r="AC826" s="147"/>
      <c r="AD826" s="147"/>
      <c r="AE826" s="147"/>
      <c r="AF826" s="147"/>
      <c r="AG826" s="147"/>
      <c r="AH826" s="147"/>
      <c r="AI826" s="147"/>
      <c r="AJ826" s="147"/>
      <c r="AK826" s="147"/>
      <c r="AL826" s="147"/>
      <c r="AM826" s="147"/>
      <c r="AN826" s="147"/>
      <c r="AO826" s="147"/>
      <c r="AP826" s="147"/>
      <c r="AQ826" s="147"/>
      <c r="AR826" s="147"/>
      <c r="AS826" s="147"/>
    </row>
    <row r="827" spans="1:45" x14ac:dyDescent="0.25">
      <c r="A827" s="147"/>
      <c r="B827" s="147"/>
      <c r="C827" s="160"/>
      <c r="D827" s="160"/>
      <c r="E827" s="161"/>
      <c r="F827" s="162"/>
      <c r="G827" s="163"/>
      <c r="H827" s="163"/>
      <c r="I827" s="164"/>
      <c r="J827" s="162"/>
      <c r="K827" s="165"/>
      <c r="L827" s="166"/>
      <c r="M827" s="167"/>
      <c r="N827" s="167"/>
      <c r="O827" s="168"/>
      <c r="P827" s="168"/>
      <c r="Q827" s="147"/>
      <c r="R827" s="147"/>
      <c r="S827" s="169"/>
      <c r="T827" s="147"/>
      <c r="U827" s="147"/>
      <c r="V827" s="147"/>
      <c r="W827" s="147"/>
      <c r="X827" s="147"/>
      <c r="Y827" s="147"/>
      <c r="Z827" s="147"/>
      <c r="AA827" s="147"/>
      <c r="AB827" s="147"/>
      <c r="AC827" s="147"/>
      <c r="AD827" s="147"/>
      <c r="AE827" s="147"/>
      <c r="AF827" s="147"/>
      <c r="AG827" s="147"/>
      <c r="AH827" s="147"/>
      <c r="AI827" s="147"/>
      <c r="AJ827" s="147"/>
      <c r="AK827" s="147"/>
      <c r="AL827" s="147"/>
      <c r="AM827" s="147"/>
      <c r="AN827" s="147"/>
      <c r="AO827" s="147"/>
      <c r="AP827" s="147"/>
      <c r="AQ827" s="147"/>
      <c r="AR827" s="147"/>
      <c r="AS827" s="147"/>
    </row>
    <row r="828" spans="1:45" x14ac:dyDescent="0.25">
      <c r="A828" s="147"/>
      <c r="B828" s="147"/>
      <c r="C828" s="160"/>
      <c r="D828" s="160"/>
      <c r="E828" s="161"/>
      <c r="F828" s="162"/>
      <c r="G828" s="163"/>
      <c r="H828" s="163"/>
      <c r="I828" s="164"/>
      <c r="J828" s="162"/>
      <c r="K828" s="165"/>
      <c r="L828" s="166"/>
      <c r="M828" s="167"/>
      <c r="N828" s="167"/>
      <c r="O828" s="168"/>
      <c r="P828" s="168"/>
      <c r="Q828" s="147"/>
      <c r="R828" s="147"/>
      <c r="S828" s="169"/>
      <c r="T828" s="147"/>
      <c r="U828" s="147"/>
      <c r="V828" s="147"/>
      <c r="W828" s="147"/>
      <c r="X828" s="147"/>
      <c r="Y828" s="147"/>
      <c r="Z828" s="147"/>
      <c r="AA828" s="147"/>
      <c r="AB828" s="147"/>
      <c r="AC828" s="147"/>
      <c r="AD828" s="147"/>
      <c r="AE828" s="147"/>
      <c r="AF828" s="147"/>
      <c r="AG828" s="147"/>
      <c r="AH828" s="147"/>
      <c r="AI828" s="147"/>
      <c r="AJ828" s="147"/>
      <c r="AK828" s="147"/>
      <c r="AL828" s="147"/>
      <c r="AM828" s="147"/>
      <c r="AN828" s="147"/>
      <c r="AO828" s="147"/>
      <c r="AP828" s="147"/>
      <c r="AQ828" s="147"/>
      <c r="AR828" s="147"/>
      <c r="AS828" s="147"/>
    </row>
    <row r="829" spans="1:45" x14ac:dyDescent="0.25">
      <c r="A829" s="147"/>
      <c r="B829" s="147"/>
      <c r="C829" s="160"/>
      <c r="D829" s="160"/>
      <c r="E829" s="161"/>
      <c r="F829" s="162"/>
      <c r="G829" s="163"/>
      <c r="H829" s="163"/>
      <c r="I829" s="164"/>
      <c r="J829" s="162"/>
      <c r="K829" s="165"/>
      <c r="L829" s="166"/>
      <c r="M829" s="167"/>
      <c r="N829" s="167"/>
      <c r="O829" s="168"/>
      <c r="P829" s="168"/>
      <c r="Q829" s="147"/>
      <c r="R829" s="147"/>
      <c r="S829" s="169"/>
      <c r="T829" s="147"/>
      <c r="U829" s="147"/>
      <c r="V829" s="147"/>
      <c r="W829" s="147"/>
      <c r="X829" s="147"/>
      <c r="Y829" s="147"/>
      <c r="Z829" s="147"/>
      <c r="AA829" s="147"/>
      <c r="AB829" s="147"/>
      <c r="AC829" s="147"/>
      <c r="AD829" s="147"/>
      <c r="AE829" s="147"/>
      <c r="AF829" s="147"/>
      <c r="AG829" s="147"/>
      <c r="AH829" s="147"/>
      <c r="AI829" s="147"/>
      <c r="AJ829" s="147"/>
      <c r="AK829" s="147"/>
      <c r="AL829" s="147"/>
      <c r="AM829" s="147"/>
      <c r="AN829" s="147"/>
      <c r="AO829" s="147"/>
      <c r="AP829" s="147"/>
      <c r="AQ829" s="147"/>
      <c r="AR829" s="147"/>
      <c r="AS829" s="147"/>
    </row>
    <row r="830" spans="1:45" x14ac:dyDescent="0.25">
      <c r="A830" s="147"/>
      <c r="B830" s="147"/>
      <c r="C830" s="160"/>
      <c r="D830" s="160"/>
      <c r="E830" s="161"/>
      <c r="F830" s="162"/>
      <c r="G830" s="163"/>
      <c r="H830" s="163"/>
      <c r="I830" s="164"/>
      <c r="J830" s="162"/>
      <c r="K830" s="165"/>
      <c r="L830" s="166"/>
      <c r="M830" s="167"/>
      <c r="N830" s="167"/>
      <c r="O830" s="168"/>
      <c r="P830" s="168"/>
      <c r="Q830" s="147"/>
      <c r="R830" s="147"/>
      <c r="S830" s="169"/>
      <c r="T830" s="147"/>
      <c r="U830" s="147"/>
      <c r="V830" s="147"/>
      <c r="W830" s="147"/>
      <c r="X830" s="147"/>
      <c r="Y830" s="147"/>
      <c r="Z830" s="147"/>
      <c r="AA830" s="147"/>
      <c r="AB830" s="147"/>
      <c r="AC830" s="147"/>
      <c r="AD830" s="147"/>
      <c r="AE830" s="147"/>
      <c r="AF830" s="147"/>
      <c r="AG830" s="147"/>
      <c r="AH830" s="147"/>
      <c r="AI830" s="147"/>
      <c r="AJ830" s="147"/>
      <c r="AK830" s="147"/>
      <c r="AL830" s="147"/>
      <c r="AM830" s="147"/>
      <c r="AN830" s="147"/>
      <c r="AO830" s="147"/>
      <c r="AP830" s="147"/>
      <c r="AQ830" s="147"/>
      <c r="AR830" s="147"/>
      <c r="AS830" s="147"/>
    </row>
    <row r="831" spans="1:45" x14ac:dyDescent="0.25">
      <c r="A831" s="147"/>
      <c r="B831" s="147"/>
      <c r="C831" s="160"/>
      <c r="D831" s="160"/>
      <c r="E831" s="161"/>
      <c r="F831" s="162"/>
      <c r="G831" s="163"/>
      <c r="H831" s="163"/>
      <c r="I831" s="164"/>
      <c r="J831" s="162"/>
      <c r="K831" s="165"/>
      <c r="L831" s="166"/>
      <c r="M831" s="167"/>
      <c r="N831" s="167"/>
      <c r="O831" s="168"/>
      <c r="P831" s="168"/>
      <c r="Q831" s="147"/>
      <c r="R831" s="147"/>
      <c r="S831" s="169"/>
      <c r="T831" s="147"/>
      <c r="U831" s="147"/>
      <c r="V831" s="147"/>
      <c r="W831" s="147"/>
      <c r="X831" s="147"/>
      <c r="Y831" s="147"/>
      <c r="Z831" s="147"/>
      <c r="AA831" s="147"/>
      <c r="AB831" s="147"/>
      <c r="AC831" s="147"/>
      <c r="AD831" s="147"/>
      <c r="AE831" s="147"/>
      <c r="AF831" s="147"/>
      <c r="AG831" s="147"/>
      <c r="AH831" s="147"/>
      <c r="AI831" s="147"/>
      <c r="AJ831" s="147"/>
      <c r="AK831" s="147"/>
      <c r="AL831" s="147"/>
      <c r="AM831" s="147"/>
      <c r="AN831" s="147"/>
      <c r="AO831" s="147"/>
      <c r="AP831" s="147"/>
      <c r="AQ831" s="147"/>
      <c r="AR831" s="147"/>
      <c r="AS831" s="147"/>
    </row>
    <row r="832" spans="1:45" x14ac:dyDescent="0.25">
      <c r="A832" s="147"/>
      <c r="B832" s="147"/>
      <c r="C832" s="160"/>
      <c r="D832" s="160"/>
      <c r="E832" s="161"/>
      <c r="F832" s="162"/>
      <c r="G832" s="163"/>
      <c r="H832" s="163"/>
      <c r="I832" s="164"/>
      <c r="J832" s="162"/>
      <c r="K832" s="165"/>
      <c r="L832" s="166"/>
      <c r="M832" s="167"/>
      <c r="N832" s="167"/>
      <c r="O832" s="168"/>
      <c r="P832" s="168"/>
      <c r="Q832" s="147"/>
      <c r="R832" s="147"/>
      <c r="S832" s="169"/>
      <c r="T832" s="147"/>
      <c r="U832" s="147"/>
      <c r="V832" s="147"/>
      <c r="W832" s="147"/>
      <c r="X832" s="147"/>
      <c r="Y832" s="147"/>
      <c r="Z832" s="147"/>
      <c r="AA832" s="147"/>
      <c r="AB832" s="147"/>
      <c r="AC832" s="147"/>
      <c r="AD832" s="147"/>
      <c r="AE832" s="147"/>
      <c r="AF832" s="147"/>
      <c r="AG832" s="147"/>
      <c r="AH832" s="147"/>
      <c r="AI832" s="147"/>
      <c r="AJ832" s="147"/>
      <c r="AK832" s="147"/>
      <c r="AL832" s="147"/>
      <c r="AM832" s="147"/>
      <c r="AN832" s="147"/>
      <c r="AO832" s="147"/>
      <c r="AP832" s="147"/>
      <c r="AQ832" s="147"/>
      <c r="AR832" s="147"/>
      <c r="AS832" s="147"/>
    </row>
    <row r="833" spans="1:45" x14ac:dyDescent="0.25">
      <c r="A833" s="147"/>
      <c r="B833" s="147"/>
      <c r="C833" s="160"/>
      <c r="D833" s="160"/>
      <c r="E833" s="161"/>
      <c r="F833" s="162"/>
      <c r="G833" s="163"/>
      <c r="H833" s="163"/>
      <c r="I833" s="164"/>
      <c r="J833" s="162"/>
      <c r="K833" s="165"/>
      <c r="L833" s="166"/>
      <c r="M833" s="167"/>
      <c r="N833" s="167"/>
      <c r="O833" s="168"/>
      <c r="P833" s="168"/>
      <c r="Q833" s="147"/>
      <c r="R833" s="147"/>
      <c r="S833" s="169"/>
      <c r="T833" s="147"/>
      <c r="U833" s="147"/>
      <c r="V833" s="147"/>
      <c r="W833" s="147"/>
      <c r="X833" s="147"/>
      <c r="Y833" s="147"/>
      <c r="Z833" s="147"/>
      <c r="AA833" s="147"/>
      <c r="AB833" s="147"/>
      <c r="AC833" s="147"/>
      <c r="AD833" s="147"/>
      <c r="AE833" s="147"/>
      <c r="AF833" s="147"/>
      <c r="AG833" s="147"/>
      <c r="AH833" s="147"/>
      <c r="AI833" s="147"/>
      <c r="AJ833" s="147"/>
      <c r="AK833" s="147"/>
      <c r="AL833" s="147"/>
      <c r="AM833" s="147"/>
      <c r="AN833" s="147"/>
      <c r="AO833" s="147"/>
      <c r="AP833" s="147"/>
      <c r="AQ833" s="147"/>
      <c r="AR833" s="147"/>
      <c r="AS833" s="147"/>
    </row>
    <row r="834" spans="1:45" x14ac:dyDescent="0.25">
      <c r="A834" s="147"/>
      <c r="B834" s="147"/>
      <c r="C834" s="160"/>
      <c r="D834" s="160"/>
      <c r="E834" s="161"/>
      <c r="F834" s="162"/>
      <c r="G834" s="163"/>
      <c r="H834" s="163"/>
      <c r="I834" s="164"/>
      <c r="J834" s="162"/>
      <c r="K834" s="165"/>
      <c r="L834" s="166"/>
      <c r="M834" s="167"/>
      <c r="N834" s="167"/>
      <c r="O834" s="168"/>
      <c r="P834" s="168"/>
      <c r="Q834" s="147"/>
      <c r="R834" s="147"/>
      <c r="S834" s="169"/>
      <c r="T834" s="147"/>
      <c r="U834" s="147"/>
      <c r="V834" s="147"/>
      <c r="W834" s="147"/>
      <c r="X834" s="147"/>
      <c r="Y834" s="147"/>
      <c r="Z834" s="147"/>
      <c r="AA834" s="147"/>
      <c r="AB834" s="147"/>
      <c r="AC834" s="147"/>
      <c r="AD834" s="147"/>
      <c r="AE834" s="147"/>
      <c r="AF834" s="147"/>
      <c r="AG834" s="147"/>
      <c r="AH834" s="147"/>
      <c r="AI834" s="147"/>
      <c r="AJ834" s="147"/>
      <c r="AK834" s="147"/>
      <c r="AL834" s="147"/>
      <c r="AM834" s="147"/>
      <c r="AN834" s="147"/>
      <c r="AO834" s="147"/>
      <c r="AP834" s="147"/>
      <c r="AQ834" s="147"/>
      <c r="AR834" s="147"/>
      <c r="AS834" s="147"/>
    </row>
    <row r="835" spans="1:45" x14ac:dyDescent="0.25">
      <c r="A835" s="147"/>
      <c r="B835" s="147"/>
      <c r="C835" s="160"/>
      <c r="D835" s="160"/>
      <c r="E835" s="161"/>
      <c r="F835" s="162"/>
      <c r="G835" s="163"/>
      <c r="H835" s="163"/>
      <c r="I835" s="164"/>
      <c r="J835" s="162"/>
      <c r="K835" s="165"/>
      <c r="L835" s="166"/>
      <c r="M835" s="167"/>
      <c r="N835" s="167"/>
      <c r="O835" s="168"/>
      <c r="P835" s="168"/>
      <c r="Q835" s="147"/>
      <c r="R835" s="147"/>
      <c r="S835" s="169"/>
      <c r="T835" s="147"/>
      <c r="U835" s="147"/>
      <c r="V835" s="147"/>
      <c r="W835" s="147"/>
      <c r="X835" s="147"/>
      <c r="Y835" s="147"/>
      <c r="Z835" s="147"/>
      <c r="AA835" s="147"/>
      <c r="AB835" s="147"/>
      <c r="AC835" s="147"/>
      <c r="AD835" s="147"/>
      <c r="AE835" s="147"/>
      <c r="AF835" s="147"/>
      <c r="AG835" s="147"/>
      <c r="AH835" s="147"/>
      <c r="AI835" s="147"/>
      <c r="AJ835" s="147"/>
      <c r="AK835" s="147"/>
      <c r="AL835" s="147"/>
      <c r="AM835" s="147"/>
      <c r="AN835" s="147"/>
      <c r="AO835" s="147"/>
      <c r="AP835" s="147"/>
      <c r="AQ835" s="147"/>
      <c r="AR835" s="147"/>
      <c r="AS835" s="147"/>
    </row>
    <row r="836" spans="1:45" x14ac:dyDescent="0.25">
      <c r="A836" s="147"/>
      <c r="B836" s="147"/>
      <c r="C836" s="160"/>
      <c r="D836" s="160"/>
      <c r="E836" s="161"/>
      <c r="F836" s="162"/>
      <c r="G836" s="163"/>
      <c r="H836" s="163"/>
      <c r="I836" s="164"/>
      <c r="J836" s="162"/>
      <c r="K836" s="165"/>
      <c r="L836" s="166"/>
      <c r="M836" s="167"/>
      <c r="N836" s="167"/>
      <c r="O836" s="168"/>
      <c r="P836" s="168"/>
      <c r="Q836" s="147"/>
      <c r="R836" s="147"/>
      <c r="S836" s="169"/>
      <c r="T836" s="147"/>
      <c r="U836" s="147"/>
      <c r="V836" s="147"/>
      <c r="W836" s="147"/>
      <c r="X836" s="147"/>
      <c r="Y836" s="147"/>
      <c r="Z836" s="147"/>
      <c r="AA836" s="147"/>
      <c r="AB836" s="147"/>
      <c r="AC836" s="147"/>
      <c r="AD836" s="147"/>
      <c r="AE836" s="147"/>
      <c r="AF836" s="147"/>
      <c r="AG836" s="147"/>
      <c r="AH836" s="147"/>
      <c r="AI836" s="147"/>
      <c r="AJ836" s="147"/>
      <c r="AK836" s="147"/>
      <c r="AL836" s="147"/>
      <c r="AM836" s="147"/>
      <c r="AN836" s="147"/>
      <c r="AO836" s="147"/>
      <c r="AP836" s="147"/>
      <c r="AQ836" s="147"/>
      <c r="AR836" s="147"/>
      <c r="AS836" s="147"/>
    </row>
    <row r="837" spans="1:45" x14ac:dyDescent="0.25">
      <c r="A837" s="147"/>
      <c r="B837" s="147"/>
      <c r="C837" s="160"/>
      <c r="D837" s="160"/>
      <c r="E837" s="161"/>
      <c r="F837" s="162"/>
      <c r="G837" s="163"/>
      <c r="H837" s="163"/>
      <c r="I837" s="164"/>
      <c r="J837" s="162"/>
      <c r="K837" s="165"/>
      <c r="L837" s="166"/>
      <c r="M837" s="167"/>
      <c r="N837" s="167"/>
      <c r="O837" s="168"/>
      <c r="P837" s="168"/>
      <c r="Q837" s="147"/>
      <c r="R837" s="147"/>
      <c r="S837" s="169"/>
      <c r="T837" s="147"/>
      <c r="U837" s="147"/>
      <c r="V837" s="147"/>
      <c r="W837" s="147"/>
      <c r="X837" s="147"/>
      <c r="Y837" s="147"/>
      <c r="Z837" s="147"/>
      <c r="AA837" s="147"/>
      <c r="AB837" s="147"/>
      <c r="AC837" s="147"/>
      <c r="AD837" s="147"/>
      <c r="AE837" s="147"/>
      <c r="AF837" s="147"/>
      <c r="AG837" s="147"/>
      <c r="AH837" s="147"/>
      <c r="AI837" s="147"/>
      <c r="AJ837" s="147"/>
      <c r="AK837" s="147"/>
      <c r="AL837" s="147"/>
      <c r="AM837" s="147"/>
      <c r="AN837" s="147"/>
      <c r="AO837" s="147"/>
      <c r="AP837" s="147"/>
      <c r="AQ837" s="147"/>
      <c r="AR837" s="147"/>
      <c r="AS837" s="147"/>
    </row>
    <row r="838" spans="1:45" x14ac:dyDescent="0.25">
      <c r="A838" s="147"/>
      <c r="B838" s="147"/>
      <c r="C838" s="160"/>
      <c r="D838" s="160"/>
      <c r="E838" s="161"/>
      <c r="F838" s="162"/>
      <c r="G838" s="163"/>
      <c r="H838" s="163"/>
      <c r="I838" s="164"/>
      <c r="J838" s="162"/>
      <c r="K838" s="165"/>
      <c r="L838" s="166"/>
      <c r="M838" s="167"/>
      <c r="N838" s="167"/>
      <c r="O838" s="168"/>
      <c r="P838" s="168"/>
      <c r="Q838" s="147"/>
      <c r="R838" s="147"/>
      <c r="S838" s="169"/>
      <c r="T838" s="147"/>
      <c r="U838" s="147"/>
      <c r="V838" s="147"/>
      <c r="W838" s="147"/>
      <c r="X838" s="147"/>
      <c r="Y838" s="147"/>
      <c r="Z838" s="147"/>
      <c r="AA838" s="147"/>
      <c r="AB838" s="147"/>
      <c r="AC838" s="147"/>
      <c r="AD838" s="147"/>
      <c r="AE838" s="147"/>
      <c r="AF838" s="147"/>
      <c r="AG838" s="147"/>
      <c r="AH838" s="147"/>
      <c r="AI838" s="147"/>
      <c r="AJ838" s="147"/>
      <c r="AK838" s="147"/>
      <c r="AL838" s="147"/>
      <c r="AM838" s="147"/>
      <c r="AN838" s="147"/>
      <c r="AO838" s="147"/>
      <c r="AP838" s="147"/>
      <c r="AQ838" s="147"/>
      <c r="AR838" s="147"/>
      <c r="AS838" s="147"/>
    </row>
    <row r="839" spans="1:45" x14ac:dyDescent="0.25">
      <c r="A839" s="147"/>
      <c r="B839" s="147"/>
      <c r="C839" s="160"/>
      <c r="D839" s="160"/>
      <c r="E839" s="161"/>
      <c r="F839" s="162"/>
      <c r="G839" s="163"/>
      <c r="H839" s="163"/>
      <c r="I839" s="164"/>
      <c r="J839" s="162"/>
      <c r="K839" s="165"/>
      <c r="L839" s="166"/>
      <c r="M839" s="167"/>
      <c r="N839" s="167"/>
      <c r="O839" s="168"/>
      <c r="P839" s="168"/>
      <c r="Q839" s="147"/>
      <c r="R839" s="147"/>
      <c r="S839" s="169"/>
      <c r="T839" s="147"/>
      <c r="U839" s="147"/>
      <c r="V839" s="147"/>
      <c r="W839" s="147"/>
      <c r="X839" s="147"/>
      <c r="Y839" s="147"/>
      <c r="Z839" s="147"/>
      <c r="AA839" s="147"/>
      <c r="AB839" s="147"/>
      <c r="AC839" s="147"/>
      <c r="AD839" s="147"/>
      <c r="AE839" s="147"/>
      <c r="AF839" s="147"/>
      <c r="AG839" s="147"/>
      <c r="AH839" s="147"/>
      <c r="AI839" s="147"/>
      <c r="AJ839" s="147"/>
      <c r="AK839" s="147"/>
      <c r="AL839" s="147"/>
      <c r="AM839" s="147"/>
      <c r="AN839" s="147"/>
      <c r="AO839" s="147"/>
      <c r="AP839" s="147"/>
      <c r="AQ839" s="147"/>
      <c r="AR839" s="147"/>
      <c r="AS839" s="147"/>
    </row>
    <row r="840" spans="1:45" x14ac:dyDescent="0.25">
      <c r="A840" s="147"/>
      <c r="B840" s="147"/>
      <c r="C840" s="160"/>
      <c r="D840" s="160"/>
      <c r="E840" s="161"/>
      <c r="F840" s="162"/>
      <c r="G840" s="163"/>
      <c r="H840" s="163"/>
      <c r="I840" s="164"/>
      <c r="J840" s="162"/>
      <c r="K840" s="165"/>
      <c r="L840" s="166"/>
      <c r="M840" s="167"/>
      <c r="N840" s="167"/>
      <c r="O840" s="168"/>
      <c r="P840" s="168"/>
      <c r="Q840" s="147"/>
      <c r="R840" s="147"/>
      <c r="S840" s="169"/>
      <c r="T840" s="147"/>
      <c r="U840" s="147"/>
      <c r="V840" s="147"/>
      <c r="W840" s="147"/>
      <c r="X840" s="147"/>
      <c r="Y840" s="147"/>
      <c r="Z840" s="147"/>
      <c r="AA840" s="147"/>
      <c r="AB840" s="147"/>
      <c r="AC840" s="147"/>
      <c r="AD840" s="147"/>
      <c r="AE840" s="147"/>
      <c r="AF840" s="147"/>
      <c r="AG840" s="147"/>
      <c r="AH840" s="147"/>
      <c r="AI840" s="147"/>
      <c r="AJ840" s="147"/>
      <c r="AK840" s="147"/>
      <c r="AL840" s="147"/>
      <c r="AM840" s="147"/>
      <c r="AN840" s="147"/>
      <c r="AO840" s="147"/>
      <c r="AP840" s="147"/>
      <c r="AQ840" s="147"/>
      <c r="AR840" s="147"/>
      <c r="AS840" s="147"/>
    </row>
    <row r="841" spans="1:45" x14ac:dyDescent="0.25">
      <c r="A841" s="147"/>
      <c r="B841" s="147"/>
      <c r="C841" s="160"/>
      <c r="D841" s="160"/>
      <c r="E841" s="161"/>
      <c r="F841" s="162"/>
      <c r="G841" s="163"/>
      <c r="H841" s="163"/>
      <c r="I841" s="164"/>
      <c r="J841" s="162"/>
      <c r="K841" s="165"/>
      <c r="L841" s="166"/>
      <c r="M841" s="167"/>
      <c r="N841" s="167"/>
      <c r="O841" s="168"/>
      <c r="P841" s="168"/>
      <c r="Q841" s="147"/>
      <c r="R841" s="147"/>
      <c r="S841" s="169"/>
      <c r="T841" s="147"/>
      <c r="U841" s="147"/>
      <c r="V841" s="147"/>
      <c r="W841" s="147"/>
      <c r="X841" s="147"/>
      <c r="Y841" s="147"/>
      <c r="Z841" s="147"/>
      <c r="AA841" s="147"/>
      <c r="AB841" s="147"/>
      <c r="AC841" s="147"/>
      <c r="AD841" s="147"/>
      <c r="AE841" s="147"/>
      <c r="AF841" s="147"/>
      <c r="AG841" s="147"/>
      <c r="AH841" s="147"/>
      <c r="AI841" s="147"/>
      <c r="AJ841" s="147"/>
      <c r="AK841" s="147"/>
      <c r="AL841" s="147"/>
      <c r="AM841" s="147"/>
      <c r="AN841" s="147"/>
      <c r="AO841" s="147"/>
      <c r="AP841" s="147"/>
      <c r="AQ841" s="147"/>
      <c r="AR841" s="147"/>
      <c r="AS841" s="147"/>
    </row>
    <row r="842" spans="1:45" x14ac:dyDescent="0.25">
      <c r="A842" s="147"/>
      <c r="B842" s="147"/>
      <c r="C842" s="160"/>
      <c r="D842" s="160"/>
      <c r="E842" s="161"/>
      <c r="F842" s="162"/>
      <c r="G842" s="163"/>
      <c r="H842" s="163"/>
      <c r="I842" s="164"/>
      <c r="J842" s="162"/>
      <c r="K842" s="165"/>
      <c r="L842" s="166"/>
      <c r="M842" s="167"/>
      <c r="N842" s="167"/>
      <c r="O842" s="168"/>
      <c r="P842" s="168"/>
      <c r="Q842" s="147"/>
      <c r="R842" s="147"/>
      <c r="S842" s="169"/>
      <c r="T842" s="147"/>
      <c r="U842" s="147"/>
      <c r="V842" s="147"/>
      <c r="W842" s="147"/>
      <c r="X842" s="147"/>
      <c r="Y842" s="147"/>
      <c r="Z842" s="147"/>
      <c r="AA842" s="147"/>
      <c r="AB842" s="147"/>
      <c r="AC842" s="147"/>
      <c r="AD842" s="147"/>
      <c r="AE842" s="147"/>
      <c r="AF842" s="147"/>
      <c r="AG842" s="147"/>
      <c r="AH842" s="147"/>
      <c r="AI842" s="147"/>
      <c r="AJ842" s="147"/>
      <c r="AK842" s="147"/>
      <c r="AL842" s="147"/>
      <c r="AM842" s="147"/>
      <c r="AN842" s="147"/>
      <c r="AO842" s="147"/>
      <c r="AP842" s="147"/>
      <c r="AQ842" s="147"/>
      <c r="AR842" s="147"/>
      <c r="AS842" s="147"/>
    </row>
    <row r="843" spans="1:45" x14ac:dyDescent="0.25">
      <c r="A843" s="147"/>
      <c r="B843" s="147"/>
      <c r="C843" s="160"/>
      <c r="D843" s="160"/>
      <c r="E843" s="161"/>
      <c r="F843" s="162"/>
      <c r="G843" s="163"/>
      <c r="H843" s="163"/>
      <c r="I843" s="164"/>
      <c r="J843" s="162"/>
      <c r="K843" s="165"/>
      <c r="L843" s="166"/>
      <c r="M843" s="167"/>
      <c r="N843" s="167"/>
      <c r="O843" s="168"/>
      <c r="P843" s="168"/>
      <c r="Q843" s="147"/>
      <c r="R843" s="147"/>
      <c r="S843" s="169"/>
      <c r="T843" s="147"/>
      <c r="U843" s="147"/>
      <c r="V843" s="147"/>
      <c r="W843" s="147"/>
      <c r="X843" s="147"/>
      <c r="Y843" s="147"/>
      <c r="Z843" s="147"/>
      <c r="AA843" s="147"/>
      <c r="AB843" s="147"/>
      <c r="AC843" s="147"/>
      <c r="AD843" s="147"/>
      <c r="AE843" s="147"/>
      <c r="AF843" s="147"/>
      <c r="AG843" s="147"/>
      <c r="AH843" s="147"/>
      <c r="AI843" s="147"/>
      <c r="AJ843" s="147"/>
      <c r="AK843" s="147"/>
      <c r="AL843" s="147"/>
      <c r="AM843" s="147"/>
      <c r="AN843" s="147"/>
      <c r="AO843" s="147"/>
      <c r="AP843" s="147"/>
      <c r="AQ843" s="147"/>
      <c r="AR843" s="147"/>
      <c r="AS843" s="147"/>
    </row>
    <row r="844" spans="1:45" x14ac:dyDescent="0.25">
      <c r="A844" s="147"/>
      <c r="B844" s="147"/>
      <c r="C844" s="160"/>
      <c r="D844" s="160"/>
      <c r="E844" s="161"/>
      <c r="F844" s="162"/>
      <c r="G844" s="163"/>
      <c r="H844" s="163"/>
      <c r="I844" s="164"/>
      <c r="J844" s="162"/>
      <c r="K844" s="165"/>
      <c r="L844" s="166"/>
      <c r="M844" s="167"/>
      <c r="N844" s="167"/>
      <c r="O844" s="168"/>
      <c r="P844" s="168"/>
      <c r="Q844" s="147"/>
      <c r="R844" s="147"/>
      <c r="S844" s="169"/>
      <c r="T844" s="147"/>
      <c r="U844" s="147"/>
      <c r="V844" s="147"/>
      <c r="W844" s="147"/>
      <c r="X844" s="147"/>
      <c r="Y844" s="147"/>
      <c r="Z844" s="147"/>
      <c r="AA844" s="147"/>
      <c r="AB844" s="147"/>
      <c r="AC844" s="147"/>
      <c r="AD844" s="147"/>
      <c r="AE844" s="147"/>
      <c r="AF844" s="147"/>
      <c r="AG844" s="147"/>
      <c r="AH844" s="147"/>
      <c r="AI844" s="147"/>
      <c r="AJ844" s="147"/>
      <c r="AK844" s="147"/>
      <c r="AL844" s="147"/>
      <c r="AM844" s="147"/>
      <c r="AN844" s="147"/>
      <c r="AO844" s="147"/>
      <c r="AP844" s="147"/>
      <c r="AQ844" s="147"/>
      <c r="AR844" s="147"/>
      <c r="AS844" s="147"/>
    </row>
    <row r="845" spans="1:45" x14ac:dyDescent="0.25">
      <c r="A845" s="147"/>
      <c r="B845" s="147"/>
      <c r="C845" s="160"/>
      <c r="D845" s="160"/>
      <c r="E845" s="161"/>
      <c r="F845" s="162"/>
      <c r="G845" s="163"/>
      <c r="H845" s="163"/>
      <c r="I845" s="164"/>
      <c r="J845" s="162"/>
      <c r="K845" s="165"/>
      <c r="L845" s="166"/>
      <c r="M845" s="167"/>
      <c r="N845" s="167"/>
      <c r="O845" s="168"/>
      <c r="P845" s="168"/>
      <c r="Q845" s="147"/>
      <c r="R845" s="147"/>
      <c r="S845" s="169"/>
      <c r="T845" s="147"/>
      <c r="U845" s="147"/>
      <c r="V845" s="147"/>
      <c r="W845" s="147"/>
      <c r="X845" s="147"/>
      <c r="Y845" s="147"/>
      <c r="Z845" s="147"/>
      <c r="AA845" s="147"/>
      <c r="AB845" s="147"/>
      <c r="AC845" s="147"/>
      <c r="AD845" s="147"/>
      <c r="AE845" s="147"/>
      <c r="AF845" s="147"/>
      <c r="AG845" s="147"/>
      <c r="AH845" s="147"/>
      <c r="AI845" s="147"/>
      <c r="AJ845" s="147"/>
      <c r="AK845" s="147"/>
      <c r="AL845" s="147"/>
      <c r="AM845" s="147"/>
      <c r="AN845" s="147"/>
      <c r="AO845" s="147"/>
      <c r="AP845" s="147"/>
      <c r="AQ845" s="147"/>
      <c r="AR845" s="147"/>
      <c r="AS845" s="147"/>
    </row>
    <row r="846" spans="1:45" x14ac:dyDescent="0.25">
      <c r="A846" s="147"/>
      <c r="B846" s="147"/>
      <c r="C846" s="160"/>
      <c r="D846" s="160"/>
      <c r="E846" s="161"/>
      <c r="F846" s="162"/>
      <c r="G846" s="163"/>
      <c r="H846" s="163"/>
      <c r="I846" s="164"/>
      <c r="J846" s="162"/>
      <c r="K846" s="165"/>
      <c r="L846" s="166"/>
      <c r="M846" s="167"/>
      <c r="N846" s="167"/>
      <c r="O846" s="168"/>
      <c r="P846" s="168"/>
      <c r="Q846" s="147"/>
      <c r="R846" s="147"/>
      <c r="S846" s="169"/>
      <c r="T846" s="147"/>
      <c r="U846" s="147"/>
      <c r="V846" s="147"/>
      <c r="W846" s="147"/>
      <c r="X846" s="147"/>
      <c r="Y846" s="147"/>
      <c r="Z846" s="147"/>
      <c r="AA846" s="147"/>
      <c r="AB846" s="147"/>
      <c r="AC846" s="147"/>
      <c r="AD846" s="147"/>
      <c r="AE846" s="147"/>
      <c r="AF846" s="147"/>
      <c r="AG846" s="147"/>
      <c r="AH846" s="147"/>
      <c r="AI846" s="147"/>
      <c r="AJ846" s="147"/>
      <c r="AK846" s="147"/>
      <c r="AL846" s="147"/>
      <c r="AM846" s="147"/>
      <c r="AN846" s="147"/>
      <c r="AO846" s="147"/>
      <c r="AP846" s="147"/>
      <c r="AQ846" s="147"/>
      <c r="AR846" s="147"/>
      <c r="AS846" s="147"/>
    </row>
    <row r="847" spans="1:45" x14ac:dyDescent="0.25">
      <c r="A847" s="147"/>
      <c r="B847" s="147"/>
      <c r="C847" s="160"/>
      <c r="D847" s="160"/>
      <c r="E847" s="161"/>
      <c r="F847" s="162"/>
      <c r="G847" s="163"/>
      <c r="H847" s="163"/>
      <c r="I847" s="164"/>
      <c r="J847" s="162"/>
      <c r="K847" s="165"/>
      <c r="L847" s="166"/>
      <c r="M847" s="167"/>
      <c r="N847" s="167"/>
      <c r="O847" s="168"/>
      <c r="P847" s="168"/>
      <c r="Q847" s="147"/>
      <c r="R847" s="147"/>
      <c r="S847" s="169"/>
      <c r="T847" s="147"/>
      <c r="U847" s="147"/>
      <c r="V847" s="147"/>
      <c r="W847" s="147"/>
      <c r="X847" s="147"/>
      <c r="Y847" s="147"/>
      <c r="Z847" s="147"/>
      <c r="AA847" s="147"/>
      <c r="AB847" s="147"/>
      <c r="AC847" s="147"/>
      <c r="AD847" s="147"/>
      <c r="AE847" s="147"/>
      <c r="AF847" s="147"/>
      <c r="AG847" s="147"/>
      <c r="AH847" s="147"/>
      <c r="AI847" s="147"/>
      <c r="AJ847" s="147"/>
      <c r="AK847" s="147"/>
      <c r="AL847" s="147"/>
      <c r="AM847" s="147"/>
      <c r="AN847" s="147"/>
      <c r="AO847" s="147"/>
      <c r="AP847" s="147"/>
      <c r="AQ847" s="147"/>
      <c r="AR847" s="147"/>
      <c r="AS847" s="147"/>
    </row>
    <row r="848" spans="1:45" x14ac:dyDescent="0.25">
      <c r="A848" s="147"/>
      <c r="B848" s="147"/>
      <c r="C848" s="160"/>
      <c r="D848" s="160"/>
      <c r="E848" s="161"/>
      <c r="F848" s="162"/>
      <c r="G848" s="163"/>
      <c r="H848" s="163"/>
      <c r="I848" s="164"/>
      <c r="J848" s="162"/>
      <c r="K848" s="165"/>
      <c r="L848" s="166"/>
      <c r="M848" s="167"/>
      <c r="N848" s="167"/>
      <c r="O848" s="168"/>
      <c r="P848" s="168"/>
      <c r="Q848" s="147"/>
      <c r="R848" s="147"/>
      <c r="S848" s="169"/>
      <c r="T848" s="147"/>
      <c r="U848" s="147"/>
      <c r="V848" s="147"/>
      <c r="W848" s="147"/>
      <c r="X848" s="147"/>
      <c r="Y848" s="147"/>
      <c r="Z848" s="147"/>
      <c r="AA848" s="147"/>
      <c r="AB848" s="147"/>
      <c r="AC848" s="147"/>
      <c r="AD848" s="147"/>
      <c r="AE848" s="147"/>
      <c r="AF848" s="147"/>
      <c r="AG848" s="147"/>
      <c r="AH848" s="147"/>
      <c r="AI848" s="147"/>
      <c r="AJ848" s="147"/>
      <c r="AK848" s="147"/>
      <c r="AL848" s="147"/>
      <c r="AM848" s="147"/>
      <c r="AN848" s="147"/>
      <c r="AO848" s="147"/>
      <c r="AP848" s="147"/>
      <c r="AQ848" s="147"/>
      <c r="AR848" s="147"/>
      <c r="AS848" s="147"/>
    </row>
    <row r="849" spans="1:45" x14ac:dyDescent="0.25">
      <c r="A849" s="147"/>
      <c r="B849" s="147"/>
      <c r="C849" s="160"/>
      <c r="D849" s="160"/>
      <c r="E849" s="161"/>
      <c r="F849" s="162"/>
      <c r="G849" s="163"/>
      <c r="H849" s="163"/>
      <c r="I849" s="164"/>
      <c r="J849" s="162"/>
      <c r="K849" s="165"/>
      <c r="L849" s="166"/>
      <c r="M849" s="167"/>
      <c r="N849" s="167"/>
      <c r="O849" s="168"/>
      <c r="P849" s="168"/>
      <c r="Q849" s="147"/>
      <c r="R849" s="147"/>
      <c r="S849" s="169"/>
      <c r="T849" s="147"/>
      <c r="U849" s="147"/>
      <c r="V849" s="147"/>
      <c r="W849" s="147"/>
      <c r="X849" s="147"/>
      <c r="Y849" s="147"/>
      <c r="Z849" s="147"/>
      <c r="AA849" s="147"/>
      <c r="AB849" s="147"/>
      <c r="AC849" s="147"/>
      <c r="AD849" s="147"/>
      <c r="AE849" s="147"/>
      <c r="AF849" s="147"/>
      <c r="AG849" s="147"/>
      <c r="AH849" s="147"/>
      <c r="AI849" s="147"/>
      <c r="AJ849" s="147"/>
      <c r="AK849" s="147"/>
      <c r="AL849" s="147"/>
      <c r="AM849" s="147"/>
      <c r="AN849" s="147"/>
      <c r="AO849" s="147"/>
      <c r="AP849" s="147"/>
      <c r="AQ849" s="147"/>
      <c r="AR849" s="147"/>
      <c r="AS849" s="147"/>
    </row>
    <row r="850" spans="1:45" x14ac:dyDescent="0.25">
      <c r="A850" s="147"/>
      <c r="B850" s="147"/>
      <c r="C850" s="160"/>
      <c r="D850" s="160"/>
      <c r="E850" s="161"/>
      <c r="F850" s="162"/>
      <c r="G850" s="163"/>
      <c r="H850" s="163"/>
      <c r="I850" s="164"/>
      <c r="J850" s="162"/>
      <c r="K850" s="165"/>
      <c r="L850" s="166"/>
      <c r="M850" s="167"/>
      <c r="N850" s="167"/>
      <c r="O850" s="168"/>
      <c r="P850" s="168"/>
      <c r="Q850" s="147"/>
      <c r="R850" s="147"/>
      <c r="S850" s="169"/>
      <c r="T850" s="147"/>
      <c r="U850" s="147"/>
      <c r="V850" s="147"/>
      <c r="W850" s="147"/>
      <c r="X850" s="147"/>
      <c r="Y850" s="147"/>
      <c r="Z850" s="147"/>
      <c r="AA850" s="147"/>
      <c r="AB850" s="147"/>
      <c r="AC850" s="147"/>
      <c r="AD850" s="147"/>
      <c r="AE850" s="147"/>
      <c r="AF850" s="147"/>
      <c r="AG850" s="147"/>
      <c r="AH850" s="147"/>
      <c r="AI850" s="147"/>
      <c r="AJ850" s="147"/>
      <c r="AK850" s="147"/>
      <c r="AL850" s="147"/>
      <c r="AM850" s="147"/>
      <c r="AN850" s="147"/>
      <c r="AO850" s="147"/>
      <c r="AP850" s="147"/>
      <c r="AQ850" s="147"/>
      <c r="AR850" s="147"/>
      <c r="AS850" s="147"/>
    </row>
    <row r="851" spans="1:45" x14ac:dyDescent="0.25">
      <c r="A851" s="147"/>
      <c r="B851" s="147"/>
      <c r="C851" s="160"/>
      <c r="D851" s="160"/>
      <c r="E851" s="161"/>
      <c r="F851" s="162"/>
      <c r="G851" s="163"/>
      <c r="H851" s="163"/>
      <c r="I851" s="164"/>
      <c r="J851" s="162"/>
      <c r="K851" s="165"/>
      <c r="L851" s="166"/>
      <c r="M851" s="167"/>
      <c r="N851" s="167"/>
      <c r="O851" s="168"/>
      <c r="P851" s="168"/>
      <c r="Q851" s="147"/>
      <c r="R851" s="147"/>
      <c r="S851" s="169"/>
      <c r="T851" s="147"/>
      <c r="U851" s="147"/>
      <c r="V851" s="147"/>
      <c r="W851" s="147"/>
      <c r="X851" s="147"/>
      <c r="Y851" s="147"/>
      <c r="Z851" s="147"/>
      <c r="AA851" s="147"/>
      <c r="AB851" s="147"/>
      <c r="AC851" s="147"/>
      <c r="AD851" s="147"/>
      <c r="AE851" s="147"/>
      <c r="AF851" s="147"/>
      <c r="AG851" s="147"/>
      <c r="AH851" s="147"/>
      <c r="AI851" s="147"/>
      <c r="AJ851" s="147"/>
      <c r="AK851" s="147"/>
      <c r="AL851" s="147"/>
      <c r="AM851" s="147"/>
      <c r="AN851" s="147"/>
      <c r="AO851" s="147"/>
      <c r="AP851" s="147"/>
      <c r="AQ851" s="147"/>
      <c r="AR851" s="147"/>
      <c r="AS851" s="147"/>
    </row>
    <row r="852" spans="1:45" x14ac:dyDescent="0.25">
      <c r="A852" s="147"/>
      <c r="B852" s="147"/>
      <c r="C852" s="160"/>
      <c r="D852" s="160"/>
      <c r="E852" s="161"/>
      <c r="F852" s="162"/>
      <c r="G852" s="163"/>
      <c r="H852" s="163"/>
      <c r="I852" s="164"/>
      <c r="J852" s="162"/>
      <c r="K852" s="165"/>
      <c r="L852" s="166"/>
      <c r="M852" s="167"/>
      <c r="N852" s="167"/>
      <c r="O852" s="168"/>
      <c r="P852" s="168"/>
      <c r="Q852" s="147"/>
      <c r="R852" s="147"/>
      <c r="S852" s="169"/>
      <c r="T852" s="147"/>
      <c r="U852" s="147"/>
      <c r="V852" s="147"/>
      <c r="W852" s="147"/>
      <c r="X852" s="147"/>
      <c r="Y852" s="147"/>
      <c r="Z852" s="147"/>
      <c r="AA852" s="147"/>
      <c r="AB852" s="147"/>
      <c r="AC852" s="147"/>
      <c r="AD852" s="147"/>
      <c r="AE852" s="147"/>
      <c r="AF852" s="147"/>
      <c r="AG852" s="147"/>
      <c r="AH852" s="147"/>
      <c r="AI852" s="147"/>
      <c r="AJ852" s="147"/>
      <c r="AK852" s="147"/>
      <c r="AL852" s="147"/>
      <c r="AM852" s="147"/>
      <c r="AN852" s="147"/>
      <c r="AO852" s="147"/>
      <c r="AP852" s="147"/>
      <c r="AQ852" s="147"/>
      <c r="AR852" s="147"/>
      <c r="AS852" s="147"/>
    </row>
    <row r="853" spans="1:45" x14ac:dyDescent="0.25">
      <c r="A853" s="147"/>
      <c r="B853" s="147"/>
      <c r="C853" s="160"/>
      <c r="D853" s="160"/>
      <c r="E853" s="161"/>
      <c r="F853" s="162"/>
      <c r="G853" s="163"/>
      <c r="H853" s="163"/>
      <c r="I853" s="164"/>
      <c r="J853" s="162"/>
      <c r="K853" s="165"/>
      <c r="L853" s="166"/>
      <c r="M853" s="167"/>
      <c r="N853" s="167"/>
      <c r="O853" s="168"/>
      <c r="P853" s="168"/>
      <c r="Q853" s="147"/>
      <c r="R853" s="147"/>
      <c r="S853" s="169"/>
      <c r="T853" s="147"/>
      <c r="U853" s="147"/>
      <c r="V853" s="147"/>
      <c r="W853" s="147"/>
      <c r="X853" s="147"/>
      <c r="Y853" s="147"/>
      <c r="Z853" s="147"/>
      <c r="AA853" s="147"/>
      <c r="AB853" s="147"/>
      <c r="AC853" s="147"/>
      <c r="AD853" s="147"/>
      <c r="AE853" s="147"/>
      <c r="AF853" s="147"/>
      <c r="AG853" s="147"/>
      <c r="AH853" s="147"/>
      <c r="AI853" s="147"/>
      <c r="AJ853" s="147"/>
      <c r="AK853" s="147"/>
      <c r="AL853" s="147"/>
      <c r="AM853" s="147"/>
      <c r="AN853" s="147"/>
      <c r="AO853" s="147"/>
      <c r="AP853" s="147"/>
      <c r="AQ853" s="147"/>
      <c r="AR853" s="147"/>
      <c r="AS853" s="147"/>
    </row>
    <row r="854" spans="1:45" x14ac:dyDescent="0.25">
      <c r="A854" s="147"/>
      <c r="B854" s="147"/>
      <c r="C854" s="160"/>
      <c r="D854" s="160"/>
      <c r="E854" s="161"/>
      <c r="F854" s="162"/>
      <c r="G854" s="163"/>
      <c r="H854" s="163"/>
      <c r="I854" s="164"/>
      <c r="J854" s="162"/>
      <c r="K854" s="165"/>
      <c r="L854" s="166"/>
      <c r="M854" s="167"/>
      <c r="N854" s="167"/>
      <c r="O854" s="168"/>
      <c r="P854" s="168"/>
      <c r="Q854" s="147"/>
      <c r="R854" s="147"/>
      <c r="S854" s="169"/>
      <c r="T854" s="147"/>
      <c r="U854" s="147"/>
      <c r="V854" s="147"/>
      <c r="W854" s="147"/>
      <c r="X854" s="147"/>
      <c r="Y854" s="147"/>
      <c r="Z854" s="147"/>
      <c r="AA854" s="147"/>
      <c r="AB854" s="147"/>
      <c r="AC854" s="147"/>
      <c r="AD854" s="147"/>
      <c r="AE854" s="147"/>
      <c r="AF854" s="147"/>
      <c r="AG854" s="147"/>
      <c r="AH854" s="147"/>
      <c r="AI854" s="147"/>
      <c r="AJ854" s="147"/>
      <c r="AK854" s="147"/>
      <c r="AL854" s="147"/>
      <c r="AM854" s="147"/>
      <c r="AN854" s="147"/>
      <c r="AO854" s="147"/>
      <c r="AP854" s="147"/>
      <c r="AQ854" s="147"/>
      <c r="AR854" s="147"/>
      <c r="AS854" s="147"/>
    </row>
    <row r="855" spans="1:45" x14ac:dyDescent="0.25">
      <c r="A855" s="147"/>
      <c r="B855" s="147"/>
      <c r="C855" s="160"/>
      <c r="D855" s="160"/>
      <c r="E855" s="161"/>
      <c r="F855" s="162"/>
      <c r="G855" s="163"/>
      <c r="H855" s="163"/>
      <c r="I855" s="164"/>
      <c r="J855" s="162"/>
      <c r="K855" s="165"/>
      <c r="L855" s="166"/>
      <c r="M855" s="167"/>
      <c r="N855" s="167"/>
      <c r="O855" s="168"/>
      <c r="P855" s="168"/>
      <c r="Q855" s="147"/>
      <c r="R855" s="147"/>
      <c r="S855" s="169"/>
      <c r="T855" s="147"/>
      <c r="U855" s="147"/>
      <c r="V855" s="147"/>
      <c r="W855" s="147"/>
      <c r="X855" s="147"/>
      <c r="Y855" s="147"/>
      <c r="Z855" s="147"/>
      <c r="AA855" s="147"/>
      <c r="AB855" s="147"/>
      <c r="AC855" s="147"/>
      <c r="AD855" s="147"/>
      <c r="AE855" s="147"/>
      <c r="AF855" s="147"/>
      <c r="AG855" s="147"/>
      <c r="AH855" s="147"/>
      <c r="AI855" s="147"/>
      <c r="AJ855" s="147"/>
      <c r="AK855" s="147"/>
      <c r="AL855" s="147"/>
      <c r="AM855" s="147"/>
      <c r="AN855" s="147"/>
      <c r="AO855" s="147"/>
      <c r="AP855" s="147"/>
      <c r="AQ855" s="147"/>
      <c r="AR855" s="147"/>
      <c r="AS855" s="147"/>
    </row>
    <row r="856" spans="1:45" x14ac:dyDescent="0.25">
      <c r="A856" s="147"/>
      <c r="B856" s="147"/>
      <c r="C856" s="160"/>
      <c r="D856" s="160"/>
      <c r="E856" s="161"/>
      <c r="F856" s="162"/>
      <c r="G856" s="163"/>
      <c r="H856" s="163"/>
      <c r="I856" s="164"/>
      <c r="J856" s="162"/>
      <c r="K856" s="165"/>
      <c r="L856" s="166"/>
      <c r="M856" s="167"/>
      <c r="N856" s="167"/>
      <c r="O856" s="168"/>
      <c r="P856" s="168"/>
      <c r="Q856" s="147"/>
      <c r="R856" s="147"/>
      <c r="S856" s="169"/>
      <c r="T856" s="147"/>
      <c r="U856" s="147"/>
      <c r="V856" s="147"/>
      <c r="W856" s="147"/>
      <c r="X856" s="147"/>
      <c r="Y856" s="147"/>
      <c r="Z856" s="147"/>
      <c r="AA856" s="147"/>
      <c r="AB856" s="147"/>
      <c r="AC856" s="147"/>
      <c r="AD856" s="147"/>
      <c r="AE856" s="147"/>
      <c r="AF856" s="147"/>
      <c r="AG856" s="147"/>
      <c r="AH856" s="147"/>
      <c r="AI856" s="147"/>
      <c r="AJ856" s="147"/>
      <c r="AK856" s="147"/>
      <c r="AL856" s="147"/>
      <c r="AM856" s="147"/>
      <c r="AN856" s="147"/>
      <c r="AO856" s="147"/>
      <c r="AP856" s="147"/>
      <c r="AQ856" s="147"/>
      <c r="AR856" s="147"/>
      <c r="AS856" s="147"/>
    </row>
    <row r="857" spans="1:45" x14ac:dyDescent="0.25">
      <c r="A857" s="147"/>
      <c r="B857" s="147"/>
      <c r="C857" s="160"/>
      <c r="D857" s="160"/>
      <c r="E857" s="161"/>
      <c r="F857" s="162"/>
      <c r="G857" s="163"/>
      <c r="H857" s="163"/>
      <c r="I857" s="164"/>
      <c r="J857" s="162"/>
      <c r="K857" s="165"/>
      <c r="L857" s="166"/>
      <c r="M857" s="167"/>
      <c r="N857" s="167"/>
      <c r="O857" s="168"/>
      <c r="P857" s="168"/>
      <c r="Q857" s="147"/>
      <c r="R857" s="147"/>
      <c r="S857" s="169"/>
      <c r="T857" s="147"/>
      <c r="U857" s="147"/>
      <c r="V857" s="147"/>
      <c r="W857" s="147"/>
      <c r="X857" s="147"/>
      <c r="Y857" s="147"/>
      <c r="Z857" s="147"/>
      <c r="AA857" s="147"/>
      <c r="AB857" s="147"/>
      <c r="AC857" s="147"/>
      <c r="AD857" s="147"/>
      <c r="AE857" s="147"/>
      <c r="AF857" s="147"/>
      <c r="AG857" s="147"/>
      <c r="AH857" s="147"/>
      <c r="AI857" s="147"/>
      <c r="AJ857" s="147"/>
      <c r="AK857" s="147"/>
      <c r="AL857" s="147"/>
      <c r="AM857" s="147"/>
      <c r="AN857" s="147"/>
      <c r="AO857" s="147"/>
      <c r="AP857" s="147"/>
      <c r="AQ857" s="147"/>
      <c r="AR857" s="147"/>
      <c r="AS857" s="147"/>
    </row>
    <row r="858" spans="1:45" x14ac:dyDescent="0.25">
      <c r="A858" s="147"/>
      <c r="B858" s="147"/>
      <c r="C858" s="160"/>
      <c r="D858" s="160"/>
      <c r="E858" s="161"/>
      <c r="F858" s="162"/>
      <c r="G858" s="163"/>
      <c r="H858" s="163"/>
      <c r="I858" s="164"/>
      <c r="J858" s="162"/>
      <c r="K858" s="165"/>
      <c r="L858" s="166"/>
      <c r="M858" s="167"/>
      <c r="N858" s="167"/>
      <c r="O858" s="168"/>
      <c r="P858" s="168"/>
      <c r="Q858" s="147"/>
      <c r="R858" s="147"/>
      <c r="S858" s="169"/>
      <c r="T858" s="147"/>
      <c r="U858" s="147"/>
      <c r="V858" s="147"/>
      <c r="W858" s="147"/>
      <c r="X858" s="147"/>
      <c r="Y858" s="147"/>
      <c r="Z858" s="147"/>
      <c r="AA858" s="147"/>
      <c r="AB858" s="147"/>
      <c r="AC858" s="147"/>
      <c r="AD858" s="147"/>
      <c r="AE858" s="147"/>
      <c r="AF858" s="147"/>
      <c r="AG858" s="147"/>
      <c r="AH858" s="147"/>
      <c r="AI858" s="147"/>
      <c r="AJ858" s="147"/>
      <c r="AK858" s="147"/>
      <c r="AL858" s="147"/>
      <c r="AM858" s="147"/>
      <c r="AN858" s="147"/>
      <c r="AO858" s="147"/>
      <c r="AP858" s="147"/>
      <c r="AQ858" s="147"/>
      <c r="AR858" s="147"/>
      <c r="AS858" s="147"/>
    </row>
    <row r="859" spans="1:45" x14ac:dyDescent="0.25">
      <c r="A859" s="147"/>
      <c r="B859" s="147"/>
      <c r="C859" s="160"/>
      <c r="D859" s="160"/>
      <c r="E859" s="161"/>
      <c r="F859" s="162"/>
      <c r="G859" s="163"/>
      <c r="H859" s="163"/>
      <c r="I859" s="164"/>
      <c r="J859" s="162"/>
      <c r="K859" s="165"/>
      <c r="L859" s="166"/>
      <c r="M859" s="167"/>
      <c r="N859" s="167"/>
      <c r="O859" s="168"/>
      <c r="P859" s="168"/>
      <c r="Q859" s="147"/>
      <c r="R859" s="147"/>
      <c r="S859" s="169"/>
      <c r="T859" s="147"/>
      <c r="U859" s="147"/>
      <c r="V859" s="147"/>
      <c r="W859" s="147"/>
      <c r="X859" s="147"/>
      <c r="Y859" s="147"/>
      <c r="Z859" s="147"/>
      <c r="AA859" s="147"/>
      <c r="AB859" s="147"/>
      <c r="AC859" s="147"/>
      <c r="AD859" s="147"/>
      <c r="AE859" s="147"/>
      <c r="AF859" s="147"/>
      <c r="AG859" s="147"/>
      <c r="AH859" s="147"/>
      <c r="AI859" s="147"/>
      <c r="AJ859" s="147"/>
      <c r="AK859" s="147"/>
      <c r="AL859" s="147"/>
      <c r="AM859" s="147"/>
      <c r="AN859" s="147"/>
      <c r="AO859" s="147"/>
      <c r="AP859" s="147"/>
      <c r="AQ859" s="147"/>
      <c r="AR859" s="147"/>
      <c r="AS859" s="147"/>
    </row>
    <row r="860" spans="1:45" x14ac:dyDescent="0.25">
      <c r="A860" s="147"/>
      <c r="B860" s="147"/>
      <c r="C860" s="160"/>
      <c r="D860" s="160"/>
      <c r="E860" s="161"/>
      <c r="F860" s="162"/>
      <c r="G860" s="163"/>
      <c r="H860" s="163"/>
      <c r="I860" s="164"/>
      <c r="J860" s="162"/>
      <c r="K860" s="165"/>
      <c r="L860" s="166"/>
      <c r="M860" s="167"/>
      <c r="N860" s="167"/>
      <c r="O860" s="168"/>
      <c r="P860" s="168"/>
      <c r="Q860" s="147"/>
      <c r="R860" s="147"/>
      <c r="S860" s="169"/>
      <c r="T860" s="147"/>
      <c r="U860" s="147"/>
      <c r="V860" s="147"/>
      <c r="W860" s="147"/>
      <c r="X860" s="147"/>
      <c r="Y860" s="147"/>
      <c r="Z860" s="147"/>
      <c r="AA860" s="147"/>
      <c r="AB860" s="147"/>
      <c r="AC860" s="147"/>
      <c r="AD860" s="147"/>
      <c r="AE860" s="147"/>
      <c r="AF860" s="147"/>
      <c r="AG860" s="147"/>
      <c r="AH860" s="147"/>
      <c r="AI860" s="147"/>
      <c r="AJ860" s="147"/>
      <c r="AK860" s="147"/>
      <c r="AL860" s="147"/>
      <c r="AM860" s="147"/>
      <c r="AN860" s="147"/>
      <c r="AO860" s="147"/>
      <c r="AP860" s="147"/>
      <c r="AQ860" s="147"/>
      <c r="AR860" s="147"/>
      <c r="AS860" s="147"/>
    </row>
    <row r="861" spans="1:45" x14ac:dyDescent="0.25">
      <c r="A861" s="147"/>
      <c r="B861" s="147"/>
      <c r="C861" s="160"/>
      <c r="D861" s="160"/>
      <c r="E861" s="161"/>
      <c r="F861" s="162"/>
      <c r="G861" s="163"/>
      <c r="H861" s="163"/>
      <c r="I861" s="164"/>
      <c r="J861" s="162"/>
      <c r="K861" s="165"/>
      <c r="L861" s="166"/>
      <c r="M861" s="167"/>
      <c r="N861" s="167"/>
      <c r="O861" s="168"/>
      <c r="P861" s="168"/>
      <c r="Q861" s="147"/>
      <c r="R861" s="147"/>
      <c r="S861" s="169"/>
      <c r="T861" s="147"/>
      <c r="U861" s="147"/>
      <c r="V861" s="147"/>
      <c r="W861" s="147"/>
      <c r="X861" s="147"/>
      <c r="Y861" s="147"/>
      <c r="Z861" s="147"/>
      <c r="AA861" s="147"/>
      <c r="AB861" s="147"/>
      <c r="AC861" s="147"/>
      <c r="AD861" s="147"/>
      <c r="AE861" s="147"/>
      <c r="AF861" s="147"/>
      <c r="AG861" s="147"/>
      <c r="AH861" s="147"/>
      <c r="AI861" s="147"/>
      <c r="AJ861" s="147"/>
      <c r="AK861" s="147"/>
      <c r="AL861" s="147"/>
      <c r="AM861" s="147"/>
      <c r="AN861" s="147"/>
      <c r="AO861" s="147"/>
      <c r="AP861" s="147"/>
      <c r="AQ861" s="147"/>
      <c r="AR861" s="147"/>
      <c r="AS861" s="147"/>
    </row>
    <row r="862" spans="1:45" x14ac:dyDescent="0.25">
      <c r="A862" s="147"/>
      <c r="B862" s="147"/>
      <c r="C862" s="160"/>
      <c r="D862" s="160"/>
      <c r="E862" s="161"/>
      <c r="F862" s="162"/>
      <c r="G862" s="163"/>
      <c r="H862" s="163"/>
      <c r="I862" s="164"/>
      <c r="J862" s="162"/>
      <c r="K862" s="165"/>
      <c r="L862" s="166"/>
      <c r="M862" s="167"/>
      <c r="N862" s="167"/>
      <c r="O862" s="168"/>
      <c r="P862" s="168"/>
      <c r="Q862" s="147"/>
      <c r="R862" s="147"/>
      <c r="S862" s="169"/>
      <c r="T862" s="147"/>
      <c r="U862" s="147"/>
      <c r="V862" s="147"/>
      <c r="W862" s="147"/>
      <c r="X862" s="147"/>
      <c r="Y862" s="147"/>
      <c r="Z862" s="147"/>
      <c r="AA862" s="147"/>
      <c r="AB862" s="147"/>
      <c r="AC862" s="147"/>
      <c r="AD862" s="147"/>
      <c r="AE862" s="147"/>
      <c r="AF862" s="147"/>
      <c r="AG862" s="147"/>
      <c r="AH862" s="147"/>
      <c r="AI862" s="147"/>
      <c r="AJ862" s="147"/>
      <c r="AK862" s="147"/>
      <c r="AL862" s="147"/>
      <c r="AM862" s="147"/>
      <c r="AN862" s="147"/>
      <c r="AO862" s="147"/>
      <c r="AP862" s="147"/>
      <c r="AQ862" s="147"/>
      <c r="AR862" s="147"/>
      <c r="AS862" s="147"/>
    </row>
    <row r="863" spans="1:45" x14ac:dyDescent="0.25">
      <c r="A863" s="147"/>
      <c r="B863" s="147"/>
      <c r="C863" s="160"/>
      <c r="D863" s="160"/>
      <c r="E863" s="161"/>
      <c r="F863" s="162"/>
      <c r="G863" s="163"/>
      <c r="H863" s="163"/>
      <c r="I863" s="164"/>
      <c r="J863" s="162"/>
      <c r="K863" s="165"/>
      <c r="L863" s="166"/>
      <c r="M863" s="167"/>
      <c r="N863" s="167"/>
      <c r="O863" s="168"/>
      <c r="P863" s="168"/>
      <c r="Q863" s="147"/>
      <c r="R863" s="147"/>
      <c r="S863" s="169"/>
      <c r="T863" s="147"/>
      <c r="U863" s="147"/>
      <c r="V863" s="147"/>
      <c r="W863" s="147"/>
      <c r="X863" s="147"/>
      <c r="Y863" s="147"/>
      <c r="Z863" s="147"/>
      <c r="AA863" s="147"/>
      <c r="AB863" s="147"/>
      <c r="AC863" s="147"/>
      <c r="AD863" s="147"/>
      <c r="AE863" s="147"/>
      <c r="AF863" s="147"/>
      <c r="AG863" s="147"/>
      <c r="AH863" s="147"/>
      <c r="AI863" s="147"/>
      <c r="AJ863" s="147"/>
      <c r="AK863" s="147"/>
      <c r="AL863" s="147"/>
      <c r="AM863" s="147"/>
      <c r="AN863" s="147"/>
      <c r="AO863" s="147"/>
      <c r="AP863" s="147"/>
      <c r="AQ863" s="147"/>
      <c r="AR863" s="147"/>
      <c r="AS863" s="147"/>
    </row>
    <row r="864" spans="1:45" x14ac:dyDescent="0.25">
      <c r="A864" s="147"/>
      <c r="B864" s="147"/>
      <c r="C864" s="160"/>
      <c r="D864" s="160"/>
      <c r="E864" s="161"/>
      <c r="F864" s="162"/>
      <c r="G864" s="163"/>
      <c r="H864" s="163"/>
      <c r="I864" s="164"/>
      <c r="J864" s="162"/>
      <c r="K864" s="165"/>
      <c r="L864" s="166"/>
      <c r="M864" s="167"/>
      <c r="N864" s="167"/>
      <c r="O864" s="168"/>
      <c r="P864" s="168"/>
      <c r="Q864" s="147"/>
      <c r="R864" s="147"/>
      <c r="S864" s="169"/>
      <c r="T864" s="147"/>
      <c r="U864" s="147"/>
      <c r="V864" s="147"/>
      <c r="W864" s="147"/>
      <c r="X864" s="147"/>
      <c r="Y864" s="147"/>
      <c r="Z864" s="147"/>
      <c r="AA864" s="147"/>
      <c r="AB864" s="147"/>
      <c r="AC864" s="147"/>
      <c r="AD864" s="147"/>
      <c r="AE864" s="147"/>
      <c r="AF864" s="147"/>
      <c r="AG864" s="147"/>
      <c r="AH864" s="147"/>
      <c r="AI864" s="147"/>
      <c r="AJ864" s="147"/>
      <c r="AK864" s="147"/>
      <c r="AL864" s="147"/>
      <c r="AM864" s="147"/>
      <c r="AN864" s="147"/>
      <c r="AO864" s="147"/>
      <c r="AP864" s="147"/>
      <c r="AQ864" s="147"/>
      <c r="AR864" s="147"/>
      <c r="AS864" s="147"/>
    </row>
    <row r="865" spans="1:45" x14ac:dyDescent="0.25">
      <c r="A865" s="147"/>
      <c r="B865" s="147"/>
      <c r="C865" s="160"/>
      <c r="D865" s="160"/>
      <c r="E865" s="161"/>
      <c r="F865" s="162"/>
      <c r="G865" s="163"/>
      <c r="H865" s="163"/>
      <c r="I865" s="164"/>
      <c r="J865" s="162"/>
      <c r="K865" s="165"/>
      <c r="L865" s="166"/>
      <c r="M865" s="167"/>
      <c r="N865" s="167"/>
      <c r="O865" s="168"/>
      <c r="P865" s="168"/>
      <c r="Q865" s="147"/>
      <c r="R865" s="147"/>
      <c r="S865" s="169"/>
      <c r="T865" s="147"/>
      <c r="U865" s="147"/>
      <c r="V865" s="147"/>
      <c r="W865" s="147"/>
      <c r="X865" s="147"/>
      <c r="Y865" s="147"/>
      <c r="Z865" s="147"/>
      <c r="AA865" s="147"/>
      <c r="AB865" s="147"/>
      <c r="AC865" s="147"/>
      <c r="AD865" s="147"/>
      <c r="AE865" s="147"/>
      <c r="AF865" s="147"/>
      <c r="AG865" s="147"/>
      <c r="AH865" s="147"/>
      <c r="AI865" s="147"/>
      <c r="AJ865" s="147"/>
      <c r="AK865" s="147"/>
      <c r="AL865" s="147"/>
      <c r="AM865" s="147"/>
      <c r="AN865" s="147"/>
      <c r="AO865" s="147"/>
      <c r="AP865" s="147"/>
      <c r="AQ865" s="147"/>
      <c r="AR865" s="147"/>
      <c r="AS865" s="147"/>
    </row>
    <row r="866" spans="1:45" x14ac:dyDescent="0.25">
      <c r="A866" s="147"/>
      <c r="B866" s="147"/>
      <c r="C866" s="160"/>
      <c r="D866" s="160"/>
      <c r="E866" s="161"/>
      <c r="F866" s="162"/>
      <c r="G866" s="163"/>
      <c r="H866" s="163"/>
      <c r="I866" s="164"/>
      <c r="J866" s="162"/>
      <c r="K866" s="165"/>
      <c r="L866" s="166"/>
      <c r="M866" s="167"/>
      <c r="N866" s="167"/>
      <c r="O866" s="168"/>
      <c r="P866" s="168"/>
      <c r="Q866" s="147"/>
      <c r="R866" s="147"/>
      <c r="S866" s="169"/>
      <c r="T866" s="147"/>
      <c r="U866" s="147"/>
      <c r="V866" s="147"/>
      <c r="W866" s="147"/>
      <c r="X866" s="147"/>
      <c r="Y866" s="147"/>
      <c r="Z866" s="147"/>
      <c r="AA866" s="147"/>
      <c r="AB866" s="147"/>
      <c r="AC866" s="147"/>
      <c r="AD866" s="147"/>
      <c r="AE866" s="147"/>
      <c r="AF866" s="147"/>
      <c r="AG866" s="147"/>
      <c r="AH866" s="147"/>
      <c r="AI866" s="147"/>
      <c r="AJ866" s="147"/>
      <c r="AK866" s="147"/>
      <c r="AL866" s="147"/>
      <c r="AM866" s="147"/>
      <c r="AN866" s="147"/>
      <c r="AO866" s="147"/>
      <c r="AP866" s="147"/>
      <c r="AQ866" s="147"/>
      <c r="AR866" s="147"/>
      <c r="AS866" s="147"/>
    </row>
    <row r="867" spans="1:45" x14ac:dyDescent="0.25">
      <c r="A867" s="147"/>
      <c r="B867" s="147"/>
      <c r="C867" s="160"/>
      <c r="D867" s="160"/>
      <c r="E867" s="161"/>
      <c r="F867" s="162"/>
      <c r="G867" s="163"/>
      <c r="H867" s="163"/>
      <c r="I867" s="164"/>
      <c r="J867" s="162"/>
      <c r="K867" s="165"/>
      <c r="L867" s="166"/>
      <c r="M867" s="167"/>
      <c r="N867" s="167"/>
      <c r="O867" s="168"/>
      <c r="P867" s="168"/>
      <c r="Q867" s="147"/>
      <c r="R867" s="147"/>
      <c r="S867" s="169"/>
      <c r="T867" s="147"/>
      <c r="U867" s="147"/>
      <c r="V867" s="147"/>
      <c r="W867" s="147"/>
      <c r="X867" s="147"/>
      <c r="Y867" s="147"/>
      <c r="Z867" s="147"/>
      <c r="AA867" s="147"/>
      <c r="AB867" s="147"/>
      <c r="AC867" s="147"/>
      <c r="AD867" s="147"/>
      <c r="AE867" s="147"/>
      <c r="AF867" s="147"/>
      <c r="AG867" s="147"/>
      <c r="AH867" s="147"/>
      <c r="AI867" s="147"/>
      <c r="AJ867" s="147"/>
      <c r="AK867" s="147"/>
      <c r="AL867" s="147"/>
      <c r="AM867" s="147"/>
      <c r="AN867" s="147"/>
      <c r="AO867" s="147"/>
      <c r="AP867" s="147"/>
      <c r="AQ867" s="147"/>
      <c r="AR867" s="147"/>
      <c r="AS867" s="147"/>
    </row>
    <row r="868" spans="1:45" x14ac:dyDescent="0.25">
      <c r="A868" s="147"/>
      <c r="B868" s="147"/>
      <c r="C868" s="160"/>
      <c r="D868" s="160"/>
      <c r="E868" s="161"/>
      <c r="F868" s="162"/>
      <c r="G868" s="163"/>
      <c r="H868" s="163"/>
      <c r="I868" s="164"/>
      <c r="J868" s="162"/>
      <c r="K868" s="165"/>
      <c r="L868" s="166"/>
      <c r="M868" s="167"/>
      <c r="N868" s="167"/>
      <c r="O868" s="168"/>
      <c r="P868" s="168"/>
      <c r="Q868" s="147"/>
      <c r="R868" s="147"/>
      <c r="S868" s="169"/>
      <c r="T868" s="147"/>
      <c r="U868" s="147"/>
      <c r="V868" s="147"/>
      <c r="W868" s="147"/>
      <c r="X868" s="147"/>
      <c r="Y868" s="147"/>
      <c r="Z868" s="147"/>
      <c r="AA868" s="147"/>
      <c r="AB868" s="147"/>
      <c r="AC868" s="147"/>
      <c r="AD868" s="147"/>
      <c r="AE868" s="147"/>
      <c r="AF868" s="147"/>
      <c r="AG868" s="147"/>
      <c r="AH868" s="147"/>
      <c r="AI868" s="147"/>
      <c r="AJ868" s="147"/>
      <c r="AK868" s="147"/>
      <c r="AL868" s="147"/>
      <c r="AM868" s="147"/>
      <c r="AN868" s="147"/>
      <c r="AO868" s="147"/>
      <c r="AP868" s="147"/>
      <c r="AQ868" s="147"/>
      <c r="AR868" s="147"/>
      <c r="AS868" s="147"/>
    </row>
    <row r="869" spans="1:45" x14ac:dyDescent="0.25">
      <c r="A869" s="147"/>
      <c r="B869" s="147"/>
      <c r="C869" s="160"/>
      <c r="D869" s="160"/>
      <c r="E869" s="161"/>
      <c r="F869" s="162"/>
      <c r="G869" s="163"/>
      <c r="H869" s="163"/>
      <c r="I869" s="164"/>
      <c r="J869" s="162"/>
      <c r="K869" s="165"/>
      <c r="L869" s="166"/>
      <c r="M869" s="167"/>
      <c r="N869" s="167"/>
      <c r="O869" s="168"/>
      <c r="P869" s="168"/>
      <c r="Q869" s="147"/>
      <c r="R869" s="147"/>
      <c r="S869" s="169"/>
      <c r="T869" s="147"/>
      <c r="U869" s="147"/>
      <c r="V869" s="147"/>
      <c r="W869" s="147"/>
      <c r="X869" s="147"/>
      <c r="Y869" s="147"/>
      <c r="Z869" s="147"/>
      <c r="AA869" s="147"/>
      <c r="AB869" s="147"/>
      <c r="AC869" s="147"/>
      <c r="AD869" s="147"/>
      <c r="AE869" s="147"/>
      <c r="AF869" s="147"/>
      <c r="AG869" s="147"/>
      <c r="AH869" s="147"/>
      <c r="AI869" s="147"/>
      <c r="AJ869" s="147"/>
      <c r="AK869" s="147"/>
      <c r="AL869" s="147"/>
      <c r="AM869" s="147"/>
      <c r="AN869" s="147"/>
      <c r="AO869" s="147"/>
      <c r="AP869" s="147"/>
      <c r="AQ869" s="147"/>
      <c r="AR869" s="147"/>
      <c r="AS869" s="147"/>
    </row>
    <row r="870" spans="1:45" x14ac:dyDescent="0.25">
      <c r="A870" s="147"/>
      <c r="B870" s="147"/>
      <c r="C870" s="160"/>
      <c r="D870" s="160"/>
      <c r="E870" s="161"/>
      <c r="F870" s="162"/>
      <c r="G870" s="163"/>
      <c r="H870" s="163"/>
      <c r="I870" s="164"/>
      <c r="J870" s="162"/>
      <c r="K870" s="165"/>
      <c r="L870" s="166"/>
      <c r="M870" s="167"/>
      <c r="N870" s="167"/>
      <c r="O870" s="168"/>
      <c r="P870" s="168"/>
      <c r="Q870" s="147"/>
      <c r="R870" s="147"/>
      <c r="S870" s="169"/>
      <c r="T870" s="147"/>
      <c r="U870" s="147"/>
      <c r="V870" s="147"/>
      <c r="W870" s="147"/>
      <c r="X870" s="147"/>
      <c r="Y870" s="147"/>
      <c r="Z870" s="147"/>
      <c r="AA870" s="147"/>
      <c r="AB870" s="147"/>
      <c r="AC870" s="147"/>
      <c r="AD870" s="147"/>
      <c r="AE870" s="147"/>
      <c r="AF870" s="147"/>
      <c r="AG870" s="147"/>
      <c r="AH870" s="147"/>
      <c r="AI870" s="147"/>
      <c r="AJ870" s="147"/>
      <c r="AK870" s="147"/>
      <c r="AL870" s="147"/>
      <c r="AM870" s="147"/>
      <c r="AN870" s="147"/>
      <c r="AO870" s="147"/>
      <c r="AP870" s="147"/>
      <c r="AQ870" s="147"/>
      <c r="AR870" s="147"/>
      <c r="AS870" s="147"/>
    </row>
    <row r="871" spans="1:45" x14ac:dyDescent="0.25">
      <c r="A871" s="147"/>
      <c r="B871" s="147"/>
      <c r="C871" s="160"/>
      <c r="D871" s="160"/>
      <c r="E871" s="161"/>
      <c r="F871" s="162"/>
      <c r="G871" s="163"/>
      <c r="H871" s="163"/>
      <c r="I871" s="164"/>
      <c r="J871" s="162"/>
      <c r="K871" s="165"/>
      <c r="L871" s="166"/>
      <c r="M871" s="167"/>
      <c r="N871" s="167"/>
      <c r="O871" s="168"/>
      <c r="P871" s="168"/>
      <c r="Q871" s="147"/>
      <c r="R871" s="147"/>
      <c r="S871" s="169"/>
      <c r="T871" s="147"/>
      <c r="U871" s="147"/>
      <c r="V871" s="147"/>
      <c r="W871" s="147"/>
      <c r="X871" s="147"/>
      <c r="Y871" s="147"/>
      <c r="Z871" s="147"/>
      <c r="AA871" s="147"/>
      <c r="AB871" s="147"/>
      <c r="AC871" s="147"/>
      <c r="AD871" s="147"/>
      <c r="AE871" s="147"/>
      <c r="AF871" s="147"/>
      <c r="AG871" s="147"/>
      <c r="AH871" s="147"/>
      <c r="AI871" s="147"/>
      <c r="AJ871" s="147"/>
      <c r="AK871" s="147"/>
      <c r="AL871" s="147"/>
      <c r="AM871" s="147"/>
      <c r="AN871" s="147"/>
      <c r="AO871" s="147"/>
      <c r="AP871" s="147"/>
      <c r="AQ871" s="147"/>
      <c r="AR871" s="147"/>
      <c r="AS871" s="147"/>
    </row>
    <row r="872" spans="1:45" x14ac:dyDescent="0.25">
      <c r="A872" s="147"/>
      <c r="B872" s="147"/>
      <c r="C872" s="160"/>
      <c r="D872" s="160"/>
      <c r="E872" s="161"/>
      <c r="F872" s="162"/>
      <c r="G872" s="163"/>
      <c r="H872" s="163"/>
      <c r="I872" s="164"/>
      <c r="J872" s="162"/>
      <c r="K872" s="165"/>
      <c r="L872" s="166"/>
      <c r="M872" s="167"/>
      <c r="N872" s="167"/>
      <c r="O872" s="168"/>
      <c r="P872" s="168"/>
      <c r="Q872" s="147"/>
      <c r="R872" s="147"/>
      <c r="S872" s="169"/>
      <c r="T872" s="147"/>
      <c r="U872" s="147"/>
      <c r="V872" s="147"/>
      <c r="W872" s="147"/>
      <c r="X872" s="147"/>
      <c r="Y872" s="147"/>
      <c r="Z872" s="147"/>
      <c r="AA872" s="147"/>
      <c r="AB872" s="147"/>
      <c r="AC872" s="147"/>
      <c r="AD872" s="147"/>
      <c r="AE872" s="147"/>
      <c r="AF872" s="147"/>
      <c r="AG872" s="147"/>
      <c r="AH872" s="147"/>
      <c r="AI872" s="147"/>
      <c r="AJ872" s="147"/>
      <c r="AK872" s="147"/>
      <c r="AL872" s="147"/>
      <c r="AM872" s="147"/>
      <c r="AN872" s="147"/>
      <c r="AO872" s="147"/>
      <c r="AP872" s="147"/>
      <c r="AQ872" s="147"/>
      <c r="AR872" s="147"/>
      <c r="AS872" s="147"/>
    </row>
    <row r="873" spans="1:45" x14ac:dyDescent="0.25">
      <c r="A873" s="147"/>
      <c r="B873" s="147"/>
      <c r="C873" s="160"/>
      <c r="D873" s="160"/>
      <c r="E873" s="161"/>
      <c r="F873" s="162"/>
      <c r="G873" s="163"/>
      <c r="H873" s="163"/>
      <c r="I873" s="164"/>
      <c r="J873" s="162"/>
      <c r="K873" s="165"/>
      <c r="L873" s="166"/>
      <c r="M873" s="167"/>
      <c r="N873" s="167"/>
      <c r="O873" s="168"/>
      <c r="P873" s="168"/>
      <c r="Q873" s="147"/>
      <c r="R873" s="147"/>
      <c r="S873" s="169"/>
      <c r="T873" s="147"/>
      <c r="U873" s="147"/>
      <c r="V873" s="147"/>
      <c r="W873" s="147"/>
      <c r="X873" s="147"/>
      <c r="Y873" s="147"/>
      <c r="Z873" s="147"/>
      <c r="AA873" s="147"/>
      <c r="AB873" s="147"/>
      <c r="AC873" s="147"/>
      <c r="AD873" s="147"/>
      <c r="AE873" s="147"/>
      <c r="AF873" s="147"/>
      <c r="AG873" s="147"/>
      <c r="AH873" s="147"/>
      <c r="AI873" s="147"/>
      <c r="AJ873" s="147"/>
      <c r="AK873" s="147"/>
      <c r="AL873" s="147"/>
      <c r="AM873" s="147"/>
      <c r="AN873" s="147"/>
      <c r="AO873" s="147"/>
      <c r="AP873" s="147"/>
      <c r="AQ873" s="147"/>
      <c r="AR873" s="147"/>
      <c r="AS873" s="147"/>
    </row>
    <row r="874" spans="1:45" x14ac:dyDescent="0.25">
      <c r="A874" s="147"/>
      <c r="B874" s="147"/>
      <c r="C874" s="160"/>
      <c r="D874" s="160"/>
      <c r="E874" s="161"/>
      <c r="F874" s="162"/>
      <c r="G874" s="163"/>
      <c r="H874" s="163"/>
      <c r="I874" s="164"/>
      <c r="J874" s="162"/>
      <c r="K874" s="165"/>
      <c r="L874" s="166"/>
      <c r="M874" s="167"/>
      <c r="N874" s="167"/>
      <c r="O874" s="168"/>
      <c r="P874" s="168"/>
      <c r="Q874" s="147"/>
      <c r="R874" s="147"/>
      <c r="S874" s="169"/>
      <c r="T874" s="147"/>
      <c r="U874" s="147"/>
      <c r="V874" s="147"/>
      <c r="W874" s="147"/>
      <c r="X874" s="147"/>
      <c r="Y874" s="147"/>
      <c r="Z874" s="147"/>
      <c r="AA874" s="147"/>
      <c r="AB874" s="147"/>
      <c r="AC874" s="147"/>
      <c r="AD874" s="147"/>
      <c r="AE874" s="147"/>
      <c r="AF874" s="147"/>
      <c r="AG874" s="147"/>
      <c r="AH874" s="147"/>
      <c r="AI874" s="147"/>
      <c r="AJ874" s="147"/>
      <c r="AK874" s="147"/>
      <c r="AL874" s="147"/>
      <c r="AM874" s="147"/>
      <c r="AN874" s="147"/>
      <c r="AO874" s="147"/>
      <c r="AP874" s="147"/>
      <c r="AQ874" s="147"/>
      <c r="AR874" s="147"/>
      <c r="AS874" s="147"/>
    </row>
    <row r="875" spans="1:45" x14ac:dyDescent="0.25">
      <c r="A875" s="147"/>
      <c r="B875" s="147"/>
      <c r="C875" s="160"/>
      <c r="D875" s="160"/>
      <c r="E875" s="161"/>
      <c r="F875" s="162"/>
      <c r="G875" s="163"/>
      <c r="H875" s="163"/>
      <c r="I875" s="164"/>
      <c r="J875" s="162"/>
      <c r="K875" s="165"/>
      <c r="L875" s="166"/>
      <c r="M875" s="167"/>
      <c r="N875" s="167"/>
      <c r="O875" s="168"/>
      <c r="P875" s="168"/>
      <c r="Q875" s="147"/>
      <c r="R875" s="147"/>
      <c r="S875" s="169"/>
      <c r="T875" s="147"/>
      <c r="U875" s="147"/>
      <c r="V875" s="147"/>
      <c r="W875" s="147"/>
      <c r="X875" s="147"/>
      <c r="Y875" s="147"/>
      <c r="Z875" s="147"/>
      <c r="AA875" s="147"/>
      <c r="AB875" s="147"/>
      <c r="AC875" s="147"/>
      <c r="AD875" s="147"/>
      <c r="AE875" s="147"/>
      <c r="AF875" s="147"/>
      <c r="AG875" s="147"/>
      <c r="AH875" s="147"/>
      <c r="AI875" s="147"/>
      <c r="AJ875" s="147"/>
      <c r="AK875" s="147"/>
      <c r="AL875" s="147"/>
      <c r="AM875" s="147"/>
      <c r="AN875" s="147"/>
      <c r="AO875" s="147"/>
      <c r="AP875" s="147"/>
      <c r="AQ875" s="147"/>
      <c r="AR875" s="147"/>
      <c r="AS875" s="147"/>
    </row>
    <row r="876" spans="1:45" x14ac:dyDescent="0.25">
      <c r="A876" s="147"/>
      <c r="B876" s="147"/>
      <c r="C876" s="160"/>
      <c r="D876" s="160"/>
      <c r="E876" s="161"/>
      <c r="F876" s="162"/>
      <c r="G876" s="163"/>
      <c r="H876" s="163"/>
      <c r="I876" s="164"/>
      <c r="J876" s="162"/>
      <c r="K876" s="165"/>
      <c r="L876" s="166"/>
      <c r="M876" s="167"/>
      <c r="N876" s="167"/>
      <c r="O876" s="168"/>
      <c r="P876" s="168"/>
      <c r="Q876" s="147"/>
      <c r="R876" s="147"/>
      <c r="S876" s="169"/>
      <c r="T876" s="147"/>
      <c r="U876" s="147"/>
      <c r="V876" s="147"/>
      <c r="W876" s="147"/>
      <c r="X876" s="147"/>
      <c r="Y876" s="147"/>
      <c r="Z876" s="147"/>
      <c r="AA876" s="147"/>
      <c r="AB876" s="147"/>
      <c r="AC876" s="147"/>
      <c r="AD876" s="147"/>
      <c r="AE876" s="147"/>
      <c r="AF876" s="147"/>
      <c r="AG876" s="147"/>
      <c r="AH876" s="147"/>
      <c r="AI876" s="147"/>
      <c r="AJ876" s="147"/>
      <c r="AK876" s="147"/>
      <c r="AL876" s="147"/>
      <c r="AM876" s="147"/>
      <c r="AN876" s="147"/>
      <c r="AO876" s="147"/>
      <c r="AP876" s="147"/>
      <c r="AQ876" s="147"/>
      <c r="AR876" s="147"/>
      <c r="AS876" s="147"/>
    </row>
    <row r="877" spans="1:45" x14ac:dyDescent="0.25">
      <c r="A877" s="147"/>
      <c r="B877" s="147"/>
      <c r="C877" s="160"/>
      <c r="D877" s="160"/>
      <c r="E877" s="161"/>
      <c r="F877" s="162"/>
      <c r="G877" s="163"/>
      <c r="H877" s="163"/>
      <c r="I877" s="164"/>
      <c r="J877" s="162"/>
      <c r="K877" s="165"/>
      <c r="L877" s="166"/>
      <c r="M877" s="167"/>
      <c r="N877" s="167"/>
      <c r="O877" s="168"/>
      <c r="P877" s="168"/>
      <c r="Q877" s="147"/>
      <c r="R877" s="147"/>
      <c r="S877" s="169"/>
      <c r="T877" s="147"/>
      <c r="U877" s="147"/>
      <c r="V877" s="147"/>
      <c r="W877" s="147"/>
      <c r="X877" s="147"/>
      <c r="Y877" s="147"/>
      <c r="Z877" s="147"/>
      <c r="AA877" s="147"/>
      <c r="AB877" s="147"/>
      <c r="AC877" s="147"/>
      <c r="AD877" s="147"/>
      <c r="AE877" s="147"/>
      <c r="AF877" s="147"/>
      <c r="AG877" s="147"/>
      <c r="AH877" s="147"/>
      <c r="AI877" s="147"/>
      <c r="AJ877" s="147"/>
      <c r="AK877" s="147"/>
      <c r="AL877" s="147"/>
      <c r="AM877" s="147"/>
      <c r="AN877" s="147"/>
      <c r="AO877" s="147"/>
      <c r="AP877" s="147"/>
      <c r="AQ877" s="147"/>
      <c r="AR877" s="147"/>
      <c r="AS877" s="147"/>
    </row>
    <row r="878" spans="1:45" x14ac:dyDescent="0.25">
      <c r="A878" s="147"/>
      <c r="B878" s="147"/>
      <c r="C878" s="160"/>
      <c r="D878" s="160"/>
      <c r="E878" s="161"/>
      <c r="F878" s="162"/>
      <c r="G878" s="163"/>
      <c r="H878" s="163"/>
      <c r="I878" s="164"/>
      <c r="J878" s="162"/>
      <c r="K878" s="165"/>
      <c r="L878" s="166"/>
      <c r="M878" s="167"/>
      <c r="N878" s="167"/>
      <c r="O878" s="168"/>
      <c r="P878" s="168"/>
      <c r="Q878" s="147"/>
      <c r="R878" s="147"/>
      <c r="S878" s="169"/>
      <c r="T878" s="147"/>
      <c r="U878" s="147"/>
      <c r="V878" s="147"/>
      <c r="W878" s="147"/>
      <c r="X878" s="147"/>
      <c r="Y878" s="147"/>
      <c r="Z878" s="147"/>
      <c r="AA878" s="147"/>
      <c r="AB878" s="147"/>
      <c r="AC878" s="147"/>
      <c r="AD878" s="147"/>
      <c r="AE878" s="147"/>
      <c r="AF878" s="147"/>
      <c r="AG878" s="147"/>
      <c r="AH878" s="147"/>
      <c r="AI878" s="147"/>
      <c r="AJ878" s="147"/>
      <c r="AK878" s="147"/>
      <c r="AL878" s="147"/>
      <c r="AM878" s="147"/>
      <c r="AN878" s="147"/>
      <c r="AO878" s="147"/>
      <c r="AP878" s="147"/>
      <c r="AQ878" s="147"/>
      <c r="AR878" s="147"/>
      <c r="AS878" s="147"/>
    </row>
    <row r="879" spans="1:45" x14ac:dyDescent="0.25">
      <c r="A879" s="147"/>
      <c r="B879" s="147"/>
      <c r="C879" s="160"/>
      <c r="D879" s="160"/>
      <c r="E879" s="161"/>
      <c r="F879" s="162"/>
      <c r="G879" s="163"/>
      <c r="H879" s="163"/>
      <c r="I879" s="164"/>
      <c r="J879" s="162"/>
      <c r="K879" s="165"/>
      <c r="L879" s="166"/>
      <c r="M879" s="167"/>
      <c r="N879" s="167"/>
      <c r="O879" s="168"/>
      <c r="P879" s="168"/>
      <c r="Q879" s="147"/>
      <c r="R879" s="147"/>
      <c r="S879" s="169"/>
      <c r="T879" s="147"/>
      <c r="U879" s="147"/>
      <c r="V879" s="147"/>
      <c r="W879" s="147"/>
      <c r="X879" s="147"/>
      <c r="Y879" s="147"/>
      <c r="Z879" s="147"/>
      <c r="AA879" s="147"/>
      <c r="AB879" s="147"/>
      <c r="AC879" s="147"/>
      <c r="AD879" s="147"/>
      <c r="AE879" s="147"/>
      <c r="AF879" s="147"/>
      <c r="AG879" s="147"/>
      <c r="AH879" s="147"/>
      <c r="AI879" s="147"/>
      <c r="AJ879" s="147"/>
      <c r="AK879" s="147"/>
      <c r="AL879" s="147"/>
      <c r="AM879" s="147"/>
      <c r="AN879" s="147"/>
      <c r="AO879" s="147"/>
      <c r="AP879" s="147"/>
      <c r="AQ879" s="147"/>
      <c r="AR879" s="147"/>
      <c r="AS879" s="147"/>
    </row>
    <row r="880" spans="1:45" x14ac:dyDescent="0.25">
      <c r="A880" s="147"/>
      <c r="B880" s="147"/>
      <c r="C880" s="160"/>
      <c r="D880" s="160"/>
      <c r="E880" s="161"/>
      <c r="F880" s="162"/>
      <c r="G880" s="163"/>
      <c r="H880" s="163"/>
      <c r="I880" s="164"/>
      <c r="J880" s="162"/>
      <c r="K880" s="165"/>
      <c r="L880" s="166"/>
      <c r="M880" s="167"/>
      <c r="N880" s="167"/>
      <c r="O880" s="168"/>
      <c r="P880" s="168"/>
      <c r="Q880" s="147"/>
      <c r="R880" s="147"/>
      <c r="S880" s="169"/>
      <c r="T880" s="147"/>
      <c r="U880" s="147"/>
      <c r="V880" s="147"/>
      <c r="W880" s="147"/>
      <c r="X880" s="147"/>
      <c r="Y880" s="147"/>
      <c r="Z880" s="147"/>
      <c r="AA880" s="147"/>
      <c r="AB880" s="147"/>
      <c r="AC880" s="147"/>
      <c r="AD880" s="147"/>
      <c r="AE880" s="147"/>
      <c r="AF880" s="147"/>
      <c r="AG880" s="147"/>
      <c r="AH880" s="147"/>
      <c r="AI880" s="147"/>
      <c r="AJ880" s="147"/>
      <c r="AK880" s="147"/>
      <c r="AL880" s="147"/>
      <c r="AM880" s="147"/>
      <c r="AN880" s="147"/>
      <c r="AO880" s="147"/>
      <c r="AP880" s="147"/>
      <c r="AQ880" s="147"/>
      <c r="AR880" s="147"/>
      <c r="AS880" s="147"/>
    </row>
    <row r="881" spans="1:45" x14ac:dyDescent="0.25">
      <c r="A881" s="147"/>
      <c r="B881" s="147"/>
      <c r="C881" s="160"/>
      <c r="D881" s="160"/>
      <c r="E881" s="161"/>
      <c r="F881" s="162"/>
      <c r="G881" s="163"/>
      <c r="H881" s="163"/>
      <c r="I881" s="164"/>
      <c r="J881" s="162"/>
      <c r="K881" s="165"/>
      <c r="L881" s="166"/>
      <c r="M881" s="167"/>
      <c r="N881" s="167"/>
      <c r="O881" s="168"/>
      <c r="P881" s="168"/>
      <c r="Q881" s="147"/>
      <c r="R881" s="147"/>
      <c r="S881" s="169"/>
      <c r="T881" s="147"/>
      <c r="U881" s="147"/>
      <c r="V881" s="147"/>
      <c r="W881" s="147"/>
      <c r="X881" s="147"/>
      <c r="Y881" s="147"/>
      <c r="Z881" s="147"/>
      <c r="AA881" s="147"/>
      <c r="AB881" s="147"/>
      <c r="AC881" s="147"/>
      <c r="AD881" s="147"/>
      <c r="AE881" s="147"/>
      <c r="AF881" s="147"/>
      <c r="AG881" s="147"/>
      <c r="AH881" s="147"/>
      <c r="AI881" s="147"/>
      <c r="AJ881" s="147"/>
      <c r="AK881" s="147"/>
      <c r="AL881" s="147"/>
      <c r="AM881" s="147"/>
      <c r="AN881" s="147"/>
      <c r="AO881" s="147"/>
      <c r="AP881" s="147"/>
      <c r="AQ881" s="147"/>
      <c r="AR881" s="147"/>
      <c r="AS881" s="147"/>
    </row>
    <row r="882" spans="1:45" x14ac:dyDescent="0.25">
      <c r="A882" s="147"/>
      <c r="B882" s="147"/>
      <c r="C882" s="160"/>
      <c r="D882" s="160"/>
      <c r="E882" s="161"/>
      <c r="F882" s="162"/>
      <c r="G882" s="163"/>
      <c r="H882" s="163"/>
      <c r="I882" s="164"/>
      <c r="J882" s="162"/>
      <c r="K882" s="165"/>
      <c r="L882" s="166"/>
      <c r="M882" s="167"/>
      <c r="N882" s="167"/>
      <c r="O882" s="168"/>
      <c r="P882" s="168"/>
      <c r="Q882" s="147"/>
      <c r="R882" s="147"/>
      <c r="S882" s="169"/>
      <c r="T882" s="147"/>
      <c r="U882" s="147"/>
      <c r="V882" s="147"/>
      <c r="W882" s="147"/>
      <c r="X882" s="147"/>
      <c r="Y882" s="147"/>
      <c r="Z882" s="147"/>
      <c r="AA882" s="147"/>
      <c r="AB882" s="147"/>
      <c r="AC882" s="147"/>
      <c r="AD882" s="147"/>
      <c r="AE882" s="147"/>
      <c r="AF882" s="147"/>
      <c r="AG882" s="147"/>
      <c r="AH882" s="147"/>
      <c r="AI882" s="147"/>
      <c r="AJ882" s="147"/>
      <c r="AK882" s="147"/>
      <c r="AL882" s="147"/>
      <c r="AM882" s="147"/>
      <c r="AN882" s="147"/>
      <c r="AO882" s="147"/>
      <c r="AP882" s="147"/>
      <c r="AQ882" s="147"/>
      <c r="AR882" s="147"/>
      <c r="AS882" s="147"/>
    </row>
    <row r="883" spans="1:45" x14ac:dyDescent="0.25">
      <c r="A883" s="147"/>
      <c r="B883" s="147"/>
      <c r="C883" s="160"/>
      <c r="D883" s="160"/>
      <c r="E883" s="161"/>
      <c r="F883" s="162"/>
      <c r="G883" s="163"/>
      <c r="H883" s="163"/>
      <c r="I883" s="164"/>
      <c r="J883" s="162"/>
      <c r="K883" s="165"/>
      <c r="L883" s="166"/>
      <c r="M883" s="167"/>
      <c r="N883" s="167"/>
      <c r="O883" s="168"/>
      <c r="P883" s="168"/>
      <c r="Q883" s="147"/>
      <c r="R883" s="147"/>
      <c r="S883" s="169"/>
      <c r="T883" s="147"/>
      <c r="U883" s="147"/>
      <c r="V883" s="147"/>
      <c r="W883" s="147"/>
      <c r="X883" s="147"/>
      <c r="Y883" s="147"/>
      <c r="Z883" s="147"/>
      <c r="AA883" s="147"/>
      <c r="AB883" s="147"/>
      <c r="AC883" s="147"/>
      <c r="AD883" s="147"/>
      <c r="AE883" s="147"/>
      <c r="AF883" s="147"/>
      <c r="AG883" s="147"/>
      <c r="AH883" s="147"/>
      <c r="AI883" s="147"/>
      <c r="AJ883" s="147"/>
      <c r="AK883" s="147"/>
      <c r="AL883" s="147"/>
      <c r="AM883" s="147"/>
      <c r="AN883" s="147"/>
      <c r="AO883" s="147"/>
      <c r="AP883" s="147"/>
      <c r="AQ883" s="147"/>
      <c r="AR883" s="147"/>
      <c r="AS883" s="147"/>
    </row>
    <row r="884" spans="1:45" x14ac:dyDescent="0.25">
      <c r="A884" s="147"/>
      <c r="B884" s="147"/>
      <c r="C884" s="160"/>
      <c r="D884" s="160"/>
      <c r="E884" s="161"/>
      <c r="F884" s="162"/>
      <c r="G884" s="163"/>
      <c r="H884" s="163"/>
      <c r="I884" s="164"/>
      <c r="J884" s="162"/>
      <c r="K884" s="165"/>
      <c r="L884" s="166"/>
      <c r="M884" s="167"/>
      <c r="N884" s="167"/>
      <c r="O884" s="168"/>
      <c r="P884" s="168"/>
      <c r="Q884" s="147"/>
      <c r="R884" s="147"/>
      <c r="S884" s="169"/>
      <c r="T884" s="147"/>
      <c r="U884" s="147"/>
      <c r="V884" s="147"/>
      <c r="W884" s="147"/>
      <c r="X884" s="147"/>
      <c r="Y884" s="147"/>
      <c r="Z884" s="147"/>
      <c r="AA884" s="147"/>
      <c r="AB884" s="147"/>
      <c r="AC884" s="147"/>
      <c r="AD884" s="147"/>
      <c r="AE884" s="147"/>
      <c r="AF884" s="147"/>
      <c r="AG884" s="147"/>
      <c r="AH884" s="147"/>
      <c r="AI884" s="147"/>
      <c r="AJ884" s="147"/>
      <c r="AK884" s="147"/>
      <c r="AL884" s="147"/>
      <c r="AM884" s="147"/>
      <c r="AN884" s="147"/>
      <c r="AO884" s="147"/>
      <c r="AP884" s="147"/>
      <c r="AQ884" s="147"/>
      <c r="AR884" s="147"/>
      <c r="AS884" s="147"/>
    </row>
    <row r="885" spans="1:45" x14ac:dyDescent="0.25">
      <c r="A885" s="147"/>
      <c r="B885" s="147"/>
      <c r="C885" s="160"/>
      <c r="D885" s="160"/>
      <c r="E885" s="161"/>
      <c r="F885" s="162"/>
      <c r="G885" s="163"/>
      <c r="H885" s="163"/>
      <c r="I885" s="164"/>
      <c r="J885" s="162"/>
      <c r="K885" s="165"/>
      <c r="L885" s="166"/>
      <c r="M885" s="167"/>
      <c r="N885" s="167"/>
      <c r="O885" s="168"/>
      <c r="P885" s="168"/>
      <c r="Q885" s="147"/>
      <c r="R885" s="147"/>
      <c r="S885" s="169"/>
      <c r="T885" s="147"/>
      <c r="U885" s="147"/>
      <c r="V885" s="147"/>
      <c r="W885" s="147"/>
      <c r="X885" s="147"/>
      <c r="Y885" s="147"/>
      <c r="Z885" s="147"/>
      <c r="AA885" s="147"/>
      <c r="AB885" s="147"/>
      <c r="AC885" s="147"/>
      <c r="AD885" s="147"/>
      <c r="AE885" s="147"/>
      <c r="AF885" s="147"/>
      <c r="AG885" s="147"/>
      <c r="AH885" s="147"/>
      <c r="AI885" s="147"/>
      <c r="AJ885" s="147"/>
      <c r="AK885" s="147"/>
      <c r="AL885" s="147"/>
      <c r="AM885" s="147"/>
      <c r="AN885" s="147"/>
      <c r="AO885" s="147"/>
      <c r="AP885" s="147"/>
      <c r="AQ885" s="147"/>
      <c r="AR885" s="147"/>
      <c r="AS885" s="147"/>
    </row>
    <row r="886" spans="1:45" x14ac:dyDescent="0.25">
      <c r="A886" s="147"/>
      <c r="B886" s="147"/>
      <c r="C886" s="160"/>
      <c r="D886" s="160"/>
      <c r="E886" s="161"/>
      <c r="F886" s="162"/>
      <c r="G886" s="163"/>
      <c r="H886" s="163"/>
      <c r="I886" s="164"/>
      <c r="J886" s="162"/>
      <c r="K886" s="165"/>
      <c r="L886" s="166"/>
      <c r="M886" s="167"/>
      <c r="N886" s="167"/>
      <c r="O886" s="168"/>
      <c r="P886" s="168"/>
      <c r="Q886" s="147"/>
      <c r="R886" s="147"/>
      <c r="S886" s="169"/>
      <c r="T886" s="147"/>
      <c r="U886" s="147"/>
      <c r="V886" s="147"/>
      <c r="W886" s="147"/>
      <c r="X886" s="147"/>
      <c r="Y886" s="147"/>
      <c r="Z886" s="147"/>
      <c r="AA886" s="147"/>
      <c r="AB886" s="147"/>
      <c r="AC886" s="147"/>
      <c r="AD886" s="147"/>
      <c r="AE886" s="147"/>
      <c r="AF886" s="147"/>
      <c r="AG886" s="147"/>
      <c r="AH886" s="147"/>
      <c r="AI886" s="147"/>
      <c r="AJ886" s="147"/>
      <c r="AK886" s="147"/>
      <c r="AL886" s="147"/>
      <c r="AM886" s="147"/>
      <c r="AN886" s="147"/>
      <c r="AO886" s="147"/>
      <c r="AP886" s="147"/>
      <c r="AQ886" s="147"/>
      <c r="AR886" s="147"/>
      <c r="AS886" s="147"/>
    </row>
    <row r="887" spans="1:45" x14ac:dyDescent="0.25">
      <c r="A887" s="147"/>
      <c r="B887" s="147"/>
      <c r="C887" s="160"/>
      <c r="D887" s="160"/>
      <c r="E887" s="161"/>
      <c r="F887" s="162"/>
      <c r="G887" s="163"/>
      <c r="H887" s="163"/>
      <c r="I887" s="164"/>
      <c r="J887" s="162"/>
      <c r="K887" s="165"/>
      <c r="L887" s="166"/>
      <c r="M887" s="167"/>
      <c r="N887" s="167"/>
      <c r="O887" s="168"/>
      <c r="P887" s="168"/>
      <c r="Q887" s="147"/>
      <c r="R887" s="147"/>
      <c r="S887" s="169"/>
      <c r="T887" s="147"/>
      <c r="U887" s="147"/>
      <c r="V887" s="147"/>
      <c r="W887" s="147"/>
      <c r="X887" s="147"/>
      <c r="Y887" s="147"/>
      <c r="Z887" s="147"/>
      <c r="AA887" s="147"/>
      <c r="AB887" s="147"/>
      <c r="AC887" s="147"/>
      <c r="AD887" s="147"/>
      <c r="AE887" s="147"/>
      <c r="AF887" s="147"/>
      <c r="AG887" s="147"/>
      <c r="AH887" s="147"/>
      <c r="AI887" s="147"/>
      <c r="AJ887" s="147"/>
      <c r="AK887" s="147"/>
      <c r="AL887" s="147"/>
      <c r="AM887" s="147"/>
      <c r="AN887" s="147"/>
      <c r="AO887" s="147"/>
      <c r="AP887" s="147"/>
      <c r="AQ887" s="147"/>
      <c r="AR887" s="147"/>
      <c r="AS887" s="147"/>
    </row>
    <row r="888" spans="1:45" x14ac:dyDescent="0.25">
      <c r="A888" s="147"/>
      <c r="B888" s="147"/>
      <c r="C888" s="160"/>
      <c r="D888" s="160"/>
      <c r="E888" s="161"/>
      <c r="F888" s="162"/>
      <c r="G888" s="163"/>
      <c r="H888" s="163"/>
      <c r="I888" s="164"/>
      <c r="J888" s="162"/>
      <c r="K888" s="165"/>
      <c r="L888" s="166"/>
      <c r="M888" s="167"/>
      <c r="N888" s="167"/>
      <c r="O888" s="168"/>
      <c r="P888" s="168"/>
      <c r="Q888" s="147"/>
      <c r="R888" s="147"/>
      <c r="S888" s="169"/>
      <c r="T888" s="147"/>
      <c r="U888" s="147"/>
      <c r="V888" s="147"/>
      <c r="W888" s="147"/>
      <c r="X888" s="147"/>
      <c r="Y888" s="147"/>
      <c r="Z888" s="147"/>
      <c r="AA888" s="147"/>
      <c r="AB888" s="147"/>
      <c r="AC888" s="147"/>
      <c r="AD888" s="147"/>
      <c r="AE888" s="147"/>
      <c r="AF888" s="147"/>
      <c r="AG888" s="147"/>
      <c r="AH888" s="147"/>
      <c r="AI888" s="147"/>
      <c r="AJ888" s="147"/>
      <c r="AK888" s="147"/>
      <c r="AL888" s="147"/>
      <c r="AM888" s="147"/>
      <c r="AN888" s="147"/>
      <c r="AO888" s="147"/>
      <c r="AP888" s="147"/>
      <c r="AQ888" s="147"/>
      <c r="AR888" s="147"/>
      <c r="AS888" s="147"/>
    </row>
    <row r="889" spans="1:45" x14ac:dyDescent="0.25">
      <c r="A889" s="147"/>
      <c r="B889" s="147"/>
      <c r="C889" s="160"/>
      <c r="D889" s="160"/>
      <c r="E889" s="161"/>
      <c r="F889" s="162"/>
      <c r="G889" s="163"/>
      <c r="H889" s="163"/>
      <c r="I889" s="164"/>
      <c r="J889" s="162"/>
      <c r="K889" s="165"/>
      <c r="L889" s="166"/>
      <c r="M889" s="167"/>
      <c r="N889" s="167"/>
      <c r="O889" s="168"/>
      <c r="P889" s="168"/>
      <c r="Q889" s="147"/>
      <c r="R889" s="147"/>
      <c r="S889" s="169"/>
      <c r="T889" s="147"/>
      <c r="U889" s="147"/>
      <c r="V889" s="147"/>
      <c r="W889" s="147"/>
      <c r="X889" s="147"/>
      <c r="Y889" s="147"/>
      <c r="Z889" s="147"/>
      <c r="AA889" s="147"/>
      <c r="AB889" s="147"/>
      <c r="AC889" s="147"/>
      <c r="AD889" s="147"/>
      <c r="AE889" s="147"/>
      <c r="AF889" s="147"/>
      <c r="AG889" s="147"/>
      <c r="AH889" s="147"/>
      <c r="AI889" s="147"/>
      <c r="AJ889" s="147"/>
      <c r="AK889" s="147"/>
      <c r="AL889" s="147"/>
      <c r="AM889" s="147"/>
      <c r="AN889" s="147"/>
      <c r="AO889" s="147"/>
      <c r="AP889" s="147"/>
      <c r="AQ889" s="147"/>
      <c r="AR889" s="147"/>
      <c r="AS889" s="147"/>
    </row>
    <row r="890" spans="1:45" x14ac:dyDescent="0.25">
      <c r="A890" s="147"/>
      <c r="B890" s="147"/>
      <c r="C890" s="160"/>
      <c r="D890" s="160"/>
      <c r="E890" s="161"/>
      <c r="F890" s="162"/>
      <c r="G890" s="163"/>
      <c r="H890" s="163"/>
      <c r="I890" s="164"/>
      <c r="J890" s="162"/>
      <c r="K890" s="165"/>
      <c r="L890" s="166"/>
      <c r="M890" s="167"/>
      <c r="N890" s="167"/>
      <c r="O890" s="168"/>
      <c r="P890" s="168"/>
      <c r="Q890" s="147"/>
      <c r="R890" s="147"/>
      <c r="S890" s="169"/>
      <c r="T890" s="147"/>
      <c r="U890" s="147"/>
      <c r="V890" s="147"/>
      <c r="W890" s="147"/>
      <c r="X890" s="147"/>
      <c r="Y890" s="147"/>
      <c r="Z890" s="147"/>
      <c r="AA890" s="147"/>
      <c r="AB890" s="147"/>
      <c r="AC890" s="147"/>
      <c r="AD890" s="147"/>
      <c r="AE890" s="147"/>
      <c r="AF890" s="147"/>
      <c r="AG890" s="147"/>
      <c r="AH890" s="147"/>
      <c r="AI890" s="147"/>
      <c r="AJ890" s="147"/>
      <c r="AK890" s="147"/>
      <c r="AL890" s="147"/>
      <c r="AM890" s="147"/>
      <c r="AN890" s="147"/>
      <c r="AO890" s="147"/>
      <c r="AP890" s="147"/>
      <c r="AQ890" s="147"/>
      <c r="AR890" s="147"/>
      <c r="AS890" s="147"/>
    </row>
    <row r="891" spans="1:45" x14ac:dyDescent="0.25">
      <c r="A891" s="147"/>
      <c r="B891" s="147"/>
      <c r="C891" s="160"/>
      <c r="D891" s="160"/>
      <c r="E891" s="161"/>
      <c r="F891" s="162"/>
      <c r="G891" s="163"/>
      <c r="H891" s="163"/>
      <c r="I891" s="164"/>
      <c r="J891" s="162"/>
      <c r="K891" s="165"/>
      <c r="L891" s="166"/>
      <c r="M891" s="167"/>
      <c r="N891" s="167"/>
      <c r="O891" s="168"/>
      <c r="P891" s="168"/>
      <c r="Q891" s="147"/>
      <c r="R891" s="147"/>
      <c r="S891" s="169"/>
      <c r="T891" s="147"/>
      <c r="U891" s="147"/>
      <c r="V891" s="147"/>
      <c r="W891" s="147"/>
      <c r="X891" s="147"/>
      <c r="Y891" s="147"/>
      <c r="Z891" s="147"/>
      <c r="AA891" s="147"/>
      <c r="AB891" s="147"/>
      <c r="AC891" s="147"/>
      <c r="AD891" s="147"/>
      <c r="AE891" s="147"/>
      <c r="AF891" s="147"/>
      <c r="AG891" s="147"/>
      <c r="AH891" s="147"/>
      <c r="AI891" s="147"/>
      <c r="AJ891" s="147"/>
      <c r="AK891" s="147"/>
      <c r="AL891" s="147"/>
      <c r="AM891" s="147"/>
      <c r="AN891" s="147"/>
      <c r="AO891" s="147"/>
      <c r="AP891" s="147"/>
      <c r="AQ891" s="147"/>
      <c r="AR891" s="147"/>
      <c r="AS891" s="147"/>
    </row>
    <row r="892" spans="1:45" x14ac:dyDescent="0.25">
      <c r="A892" s="147"/>
      <c r="B892" s="147"/>
      <c r="C892" s="160"/>
      <c r="D892" s="160"/>
      <c r="E892" s="161"/>
      <c r="F892" s="162"/>
      <c r="G892" s="163"/>
      <c r="H892" s="163"/>
      <c r="I892" s="164"/>
      <c r="J892" s="162"/>
      <c r="K892" s="165"/>
      <c r="L892" s="166"/>
      <c r="M892" s="167"/>
      <c r="N892" s="167"/>
      <c r="O892" s="168"/>
      <c r="P892" s="168"/>
      <c r="Q892" s="147"/>
      <c r="R892" s="147"/>
      <c r="S892" s="169"/>
      <c r="T892" s="147"/>
      <c r="U892" s="147"/>
      <c r="V892" s="147"/>
      <c r="W892" s="147"/>
      <c r="X892" s="147"/>
      <c r="Y892" s="147"/>
      <c r="Z892" s="147"/>
      <c r="AA892" s="147"/>
      <c r="AB892" s="147"/>
      <c r="AC892" s="147"/>
      <c r="AD892" s="147"/>
      <c r="AE892" s="147"/>
      <c r="AF892" s="147"/>
      <c r="AG892" s="147"/>
      <c r="AH892" s="147"/>
      <c r="AI892" s="147"/>
      <c r="AJ892" s="147"/>
      <c r="AK892" s="147"/>
      <c r="AL892" s="147"/>
      <c r="AM892" s="147"/>
      <c r="AN892" s="147"/>
      <c r="AO892" s="147"/>
      <c r="AP892" s="147"/>
      <c r="AQ892" s="147"/>
      <c r="AR892" s="147"/>
      <c r="AS892" s="147"/>
    </row>
    <row r="893" spans="1:45" x14ac:dyDescent="0.25">
      <c r="A893" s="147"/>
      <c r="B893" s="147"/>
      <c r="C893" s="160"/>
      <c r="D893" s="160"/>
      <c r="E893" s="161"/>
      <c r="F893" s="162"/>
      <c r="G893" s="163"/>
      <c r="H893" s="163"/>
      <c r="I893" s="164"/>
      <c r="J893" s="162"/>
      <c r="K893" s="165"/>
      <c r="L893" s="166"/>
      <c r="M893" s="167"/>
      <c r="N893" s="167"/>
      <c r="O893" s="168"/>
      <c r="P893" s="168"/>
      <c r="Q893" s="147"/>
      <c r="R893" s="147"/>
      <c r="S893" s="169"/>
      <c r="T893" s="147"/>
      <c r="U893" s="147"/>
      <c r="V893" s="147"/>
      <c r="W893" s="147"/>
      <c r="X893" s="147"/>
      <c r="Y893" s="147"/>
      <c r="Z893" s="147"/>
      <c r="AA893" s="147"/>
      <c r="AB893" s="147"/>
      <c r="AC893" s="147"/>
      <c r="AD893" s="147"/>
      <c r="AE893" s="147"/>
      <c r="AF893" s="147"/>
      <c r="AG893" s="147"/>
      <c r="AH893" s="147"/>
      <c r="AI893" s="147"/>
      <c r="AJ893" s="147"/>
      <c r="AK893" s="147"/>
      <c r="AL893" s="147"/>
      <c r="AM893" s="147"/>
      <c r="AN893" s="147"/>
      <c r="AO893" s="147"/>
      <c r="AP893" s="147"/>
      <c r="AQ893" s="147"/>
      <c r="AR893" s="147"/>
      <c r="AS893" s="147"/>
    </row>
    <row r="894" spans="1:45" x14ac:dyDescent="0.25">
      <c r="A894" s="147"/>
      <c r="B894" s="147"/>
      <c r="C894" s="160"/>
      <c r="D894" s="160"/>
      <c r="E894" s="161"/>
      <c r="F894" s="162"/>
      <c r="G894" s="163"/>
      <c r="H894" s="163"/>
      <c r="I894" s="164"/>
      <c r="J894" s="162"/>
      <c r="K894" s="165"/>
      <c r="L894" s="166"/>
      <c r="M894" s="167"/>
      <c r="N894" s="167"/>
      <c r="O894" s="168"/>
      <c r="P894" s="168"/>
      <c r="Q894" s="147"/>
      <c r="R894" s="147"/>
      <c r="S894" s="169"/>
      <c r="T894" s="147"/>
      <c r="U894" s="147"/>
      <c r="V894" s="147"/>
      <c r="W894" s="147"/>
      <c r="X894" s="147"/>
      <c r="Y894" s="147"/>
      <c r="Z894" s="147"/>
      <c r="AA894" s="147"/>
      <c r="AB894" s="147"/>
      <c r="AC894" s="147"/>
      <c r="AD894" s="147"/>
      <c r="AE894" s="147"/>
      <c r="AF894" s="147"/>
      <c r="AG894" s="147"/>
      <c r="AH894" s="147"/>
      <c r="AI894" s="147"/>
      <c r="AJ894" s="147"/>
      <c r="AK894" s="147"/>
      <c r="AL894" s="147"/>
      <c r="AM894" s="147"/>
      <c r="AN894" s="147"/>
      <c r="AO894" s="147"/>
      <c r="AP894" s="147"/>
      <c r="AQ894" s="147"/>
      <c r="AR894" s="147"/>
      <c r="AS894" s="147"/>
    </row>
    <row r="895" spans="1:45" x14ac:dyDescent="0.25">
      <c r="A895" s="147"/>
      <c r="B895" s="147"/>
      <c r="C895" s="160"/>
      <c r="D895" s="160"/>
      <c r="E895" s="161"/>
      <c r="F895" s="162"/>
      <c r="G895" s="163"/>
      <c r="H895" s="163"/>
      <c r="I895" s="164"/>
      <c r="J895" s="162"/>
      <c r="K895" s="165"/>
      <c r="L895" s="166"/>
      <c r="M895" s="167"/>
      <c r="N895" s="167"/>
      <c r="O895" s="168"/>
      <c r="P895" s="168"/>
      <c r="Q895" s="147"/>
      <c r="R895" s="147"/>
      <c r="S895" s="169"/>
      <c r="T895" s="147"/>
      <c r="U895" s="147"/>
      <c r="V895" s="147"/>
      <c r="W895" s="147"/>
      <c r="X895" s="147"/>
      <c r="Y895" s="147"/>
      <c r="Z895" s="147"/>
      <c r="AA895" s="147"/>
      <c r="AB895" s="147"/>
      <c r="AC895" s="147"/>
      <c r="AD895" s="147"/>
      <c r="AE895" s="147"/>
      <c r="AF895" s="147"/>
      <c r="AG895" s="147"/>
      <c r="AH895" s="147"/>
      <c r="AI895" s="147"/>
      <c r="AJ895" s="147"/>
      <c r="AK895" s="147"/>
      <c r="AL895" s="147"/>
      <c r="AM895" s="147"/>
      <c r="AN895" s="147"/>
      <c r="AO895" s="147"/>
      <c r="AP895" s="147"/>
      <c r="AQ895" s="147"/>
      <c r="AR895" s="147"/>
      <c r="AS895" s="147"/>
    </row>
    <row r="896" spans="1:45" x14ac:dyDescent="0.25">
      <c r="A896" s="147"/>
      <c r="B896" s="147"/>
      <c r="C896" s="160"/>
      <c r="D896" s="160"/>
      <c r="E896" s="161"/>
      <c r="F896" s="162"/>
      <c r="G896" s="163"/>
      <c r="H896" s="163"/>
      <c r="I896" s="164"/>
      <c r="J896" s="162"/>
      <c r="K896" s="165"/>
      <c r="L896" s="166"/>
      <c r="M896" s="167"/>
      <c r="N896" s="167"/>
      <c r="O896" s="168"/>
      <c r="P896" s="168"/>
      <c r="Q896" s="147"/>
      <c r="R896" s="147"/>
      <c r="S896" s="169"/>
      <c r="T896" s="147"/>
      <c r="U896" s="147"/>
      <c r="V896" s="147"/>
      <c r="W896" s="147"/>
      <c r="X896" s="147"/>
      <c r="Y896" s="147"/>
      <c r="Z896" s="147"/>
      <c r="AA896" s="147"/>
      <c r="AB896" s="147"/>
      <c r="AC896" s="147"/>
      <c r="AD896" s="147"/>
      <c r="AE896" s="147"/>
      <c r="AF896" s="147"/>
      <c r="AG896" s="147"/>
      <c r="AH896" s="147"/>
      <c r="AI896" s="147"/>
      <c r="AJ896" s="147"/>
      <c r="AK896" s="147"/>
      <c r="AL896" s="147"/>
      <c r="AM896" s="147"/>
      <c r="AN896" s="147"/>
      <c r="AO896" s="147"/>
      <c r="AP896" s="147"/>
      <c r="AQ896" s="147"/>
      <c r="AR896" s="147"/>
      <c r="AS896" s="147"/>
    </row>
    <row r="897" spans="1:45" x14ac:dyDescent="0.25">
      <c r="A897" s="147"/>
      <c r="B897" s="147"/>
      <c r="C897" s="160"/>
      <c r="D897" s="160"/>
      <c r="E897" s="161"/>
      <c r="F897" s="162"/>
      <c r="G897" s="163"/>
      <c r="H897" s="163"/>
      <c r="I897" s="164"/>
      <c r="J897" s="162"/>
      <c r="K897" s="165"/>
      <c r="L897" s="166"/>
      <c r="M897" s="167"/>
      <c r="N897" s="167"/>
      <c r="O897" s="168"/>
      <c r="P897" s="168"/>
      <c r="Q897" s="147"/>
      <c r="R897" s="147"/>
      <c r="S897" s="169"/>
      <c r="T897" s="147"/>
      <c r="U897" s="147"/>
      <c r="V897" s="147"/>
      <c r="W897" s="147"/>
      <c r="X897" s="147"/>
      <c r="Y897" s="147"/>
      <c r="Z897" s="147"/>
      <c r="AA897" s="147"/>
      <c r="AB897" s="147"/>
      <c r="AC897" s="147"/>
      <c r="AD897" s="147"/>
      <c r="AE897" s="147"/>
      <c r="AF897" s="147"/>
      <c r="AG897" s="147"/>
      <c r="AH897" s="147"/>
      <c r="AI897" s="147"/>
      <c r="AJ897" s="147"/>
      <c r="AK897" s="147"/>
      <c r="AL897" s="147"/>
      <c r="AM897" s="147"/>
      <c r="AN897" s="147"/>
      <c r="AO897" s="147"/>
      <c r="AP897" s="147"/>
      <c r="AQ897" s="147"/>
      <c r="AR897" s="147"/>
      <c r="AS897" s="147"/>
    </row>
    <row r="898" spans="1:45" x14ac:dyDescent="0.25">
      <c r="A898" s="147"/>
      <c r="B898" s="147"/>
      <c r="C898" s="160"/>
      <c r="D898" s="160"/>
      <c r="E898" s="161"/>
      <c r="F898" s="162"/>
      <c r="G898" s="163"/>
      <c r="H898" s="163"/>
      <c r="I898" s="164"/>
      <c r="J898" s="162"/>
      <c r="K898" s="165"/>
      <c r="L898" s="166"/>
      <c r="M898" s="167"/>
      <c r="N898" s="167"/>
      <c r="O898" s="168"/>
      <c r="P898" s="168"/>
      <c r="Q898" s="147"/>
      <c r="R898" s="147"/>
      <c r="S898" s="169"/>
      <c r="T898" s="147"/>
      <c r="U898" s="147"/>
      <c r="V898" s="147"/>
      <c r="W898" s="147"/>
      <c r="X898" s="147"/>
      <c r="Y898" s="147"/>
      <c r="Z898" s="147"/>
      <c r="AA898" s="147"/>
      <c r="AB898" s="147"/>
      <c r="AC898" s="147"/>
      <c r="AD898" s="147"/>
      <c r="AE898" s="147"/>
      <c r="AF898" s="147"/>
      <c r="AG898" s="147"/>
      <c r="AH898" s="147"/>
      <c r="AI898" s="147"/>
      <c r="AJ898" s="147"/>
      <c r="AK898" s="147"/>
      <c r="AL898" s="147"/>
      <c r="AM898" s="147"/>
      <c r="AN898" s="147"/>
      <c r="AO898" s="147"/>
      <c r="AP898" s="147"/>
      <c r="AQ898" s="147"/>
      <c r="AR898" s="147"/>
      <c r="AS898" s="147"/>
    </row>
    <row r="899" spans="1:45" x14ac:dyDescent="0.25">
      <c r="A899" s="147"/>
      <c r="B899" s="147"/>
      <c r="C899" s="160"/>
      <c r="D899" s="160"/>
      <c r="E899" s="161"/>
      <c r="F899" s="162"/>
      <c r="G899" s="163"/>
      <c r="H899" s="163"/>
      <c r="I899" s="164"/>
      <c r="J899" s="162"/>
      <c r="K899" s="165"/>
      <c r="L899" s="166"/>
      <c r="M899" s="167"/>
      <c r="N899" s="167"/>
      <c r="O899" s="168"/>
      <c r="P899" s="168"/>
      <c r="Q899" s="147"/>
      <c r="R899" s="147"/>
      <c r="S899" s="169"/>
      <c r="T899" s="147"/>
      <c r="U899" s="147"/>
      <c r="V899" s="147"/>
      <c r="W899" s="147"/>
      <c r="X899" s="147"/>
      <c r="Y899" s="147"/>
      <c r="Z899" s="147"/>
      <c r="AA899" s="147"/>
      <c r="AB899" s="147"/>
      <c r="AC899" s="147"/>
      <c r="AD899" s="147"/>
      <c r="AE899" s="147"/>
      <c r="AF899" s="147"/>
      <c r="AG899" s="147"/>
      <c r="AH899" s="147"/>
      <c r="AI899" s="147"/>
      <c r="AJ899" s="147"/>
      <c r="AK899" s="147"/>
      <c r="AL899" s="147"/>
      <c r="AM899" s="147"/>
      <c r="AN899" s="147"/>
      <c r="AO899" s="147"/>
      <c r="AP899" s="147"/>
      <c r="AQ899" s="147"/>
      <c r="AR899" s="147"/>
      <c r="AS899" s="147"/>
    </row>
    <row r="900" spans="1:45" x14ac:dyDescent="0.25">
      <c r="A900" s="147"/>
      <c r="B900" s="147"/>
      <c r="C900" s="160"/>
      <c r="D900" s="160"/>
      <c r="E900" s="161"/>
      <c r="F900" s="162"/>
      <c r="G900" s="163"/>
      <c r="H900" s="163"/>
      <c r="I900" s="164"/>
      <c r="J900" s="162"/>
      <c r="K900" s="165"/>
      <c r="L900" s="166"/>
      <c r="M900" s="167"/>
      <c r="N900" s="167"/>
      <c r="O900" s="168"/>
      <c r="P900" s="168"/>
      <c r="Q900" s="147"/>
      <c r="R900" s="147"/>
      <c r="S900" s="169"/>
      <c r="T900" s="147"/>
      <c r="U900" s="147"/>
      <c r="V900" s="147"/>
      <c r="W900" s="147"/>
      <c r="X900" s="147"/>
      <c r="Y900" s="147"/>
      <c r="Z900" s="147"/>
      <c r="AA900" s="147"/>
      <c r="AB900" s="147"/>
      <c r="AC900" s="147"/>
      <c r="AD900" s="147"/>
      <c r="AE900" s="147"/>
      <c r="AF900" s="147"/>
      <c r="AG900" s="147"/>
      <c r="AH900" s="147"/>
      <c r="AI900" s="147"/>
      <c r="AJ900" s="147"/>
      <c r="AK900" s="147"/>
      <c r="AL900" s="147"/>
      <c r="AM900" s="147"/>
      <c r="AN900" s="147"/>
      <c r="AO900" s="147"/>
      <c r="AP900" s="147"/>
      <c r="AQ900" s="147"/>
      <c r="AR900" s="147"/>
      <c r="AS900" s="147"/>
    </row>
    <row r="901" spans="1:45" x14ac:dyDescent="0.25">
      <c r="A901" s="147"/>
      <c r="B901" s="147"/>
      <c r="C901" s="160"/>
      <c r="D901" s="160"/>
      <c r="E901" s="161"/>
      <c r="F901" s="162"/>
      <c r="G901" s="163"/>
      <c r="H901" s="163"/>
      <c r="I901" s="164"/>
      <c r="J901" s="162"/>
      <c r="K901" s="165"/>
      <c r="L901" s="166"/>
      <c r="M901" s="167"/>
      <c r="N901" s="167"/>
      <c r="O901" s="168"/>
      <c r="P901" s="168"/>
      <c r="Q901" s="147"/>
      <c r="R901" s="147"/>
      <c r="S901" s="169"/>
      <c r="T901" s="147"/>
      <c r="U901" s="147"/>
      <c r="V901" s="147"/>
      <c r="W901" s="147"/>
      <c r="X901" s="147"/>
      <c r="Y901" s="147"/>
      <c r="Z901" s="147"/>
      <c r="AA901" s="147"/>
      <c r="AB901" s="147"/>
      <c r="AC901" s="147"/>
      <c r="AD901" s="147"/>
      <c r="AE901" s="147"/>
      <c r="AF901" s="147"/>
      <c r="AG901" s="147"/>
      <c r="AH901" s="147"/>
      <c r="AI901" s="147"/>
      <c r="AJ901" s="147"/>
      <c r="AK901" s="147"/>
      <c r="AL901" s="147"/>
      <c r="AM901" s="147"/>
      <c r="AN901" s="147"/>
      <c r="AO901" s="147"/>
      <c r="AP901" s="147"/>
      <c r="AQ901" s="147"/>
      <c r="AR901" s="147"/>
      <c r="AS901" s="147"/>
    </row>
    <row r="902" spans="1:45" x14ac:dyDescent="0.25">
      <c r="A902" s="147"/>
      <c r="B902" s="147"/>
      <c r="C902" s="160"/>
      <c r="D902" s="160"/>
      <c r="E902" s="161"/>
      <c r="F902" s="162"/>
      <c r="G902" s="163"/>
      <c r="H902" s="163"/>
      <c r="I902" s="164"/>
      <c r="J902" s="162"/>
      <c r="K902" s="165"/>
      <c r="L902" s="166"/>
      <c r="M902" s="167"/>
      <c r="N902" s="167"/>
      <c r="O902" s="168"/>
      <c r="P902" s="168"/>
      <c r="Q902" s="147"/>
      <c r="R902" s="147"/>
      <c r="S902" s="169"/>
      <c r="T902" s="147"/>
      <c r="U902" s="147"/>
      <c r="V902" s="147"/>
      <c r="W902" s="147"/>
      <c r="X902" s="147"/>
      <c r="Y902" s="147"/>
      <c r="Z902" s="147"/>
      <c r="AA902" s="147"/>
      <c r="AB902" s="147"/>
      <c r="AC902" s="147"/>
      <c r="AD902" s="147"/>
      <c r="AE902" s="147"/>
      <c r="AF902" s="147"/>
      <c r="AG902" s="147"/>
      <c r="AH902" s="147"/>
      <c r="AI902" s="147"/>
      <c r="AJ902" s="147"/>
      <c r="AK902" s="147"/>
      <c r="AL902" s="147"/>
      <c r="AM902" s="147"/>
      <c r="AN902" s="147"/>
      <c r="AO902" s="147"/>
      <c r="AP902" s="147"/>
      <c r="AQ902" s="147"/>
      <c r="AR902" s="147"/>
      <c r="AS902" s="147"/>
    </row>
    <row r="903" spans="1:45" x14ac:dyDescent="0.25">
      <c r="A903" s="147"/>
      <c r="B903" s="147"/>
      <c r="C903" s="160"/>
      <c r="D903" s="160"/>
      <c r="E903" s="161"/>
      <c r="F903" s="162"/>
      <c r="G903" s="163"/>
      <c r="H903" s="163"/>
      <c r="I903" s="164"/>
      <c r="J903" s="162"/>
      <c r="K903" s="165"/>
      <c r="L903" s="166"/>
      <c r="M903" s="167"/>
      <c r="N903" s="167"/>
      <c r="O903" s="168"/>
      <c r="P903" s="168"/>
      <c r="Q903" s="147"/>
      <c r="R903" s="147"/>
      <c r="S903" s="169"/>
      <c r="T903" s="147"/>
      <c r="U903" s="147"/>
      <c r="V903" s="147"/>
      <c r="W903" s="147"/>
      <c r="X903" s="147"/>
      <c r="Y903" s="147"/>
      <c r="Z903" s="147"/>
      <c r="AA903" s="147"/>
      <c r="AB903" s="147"/>
      <c r="AC903" s="147"/>
      <c r="AD903" s="147"/>
      <c r="AE903" s="147"/>
      <c r="AF903" s="147"/>
      <c r="AG903" s="147"/>
      <c r="AH903" s="147"/>
      <c r="AI903" s="147"/>
      <c r="AJ903" s="147"/>
      <c r="AK903" s="147"/>
      <c r="AL903" s="147"/>
      <c r="AM903" s="147"/>
      <c r="AN903" s="147"/>
      <c r="AO903" s="147"/>
      <c r="AP903" s="147"/>
      <c r="AQ903" s="147"/>
      <c r="AR903" s="147"/>
      <c r="AS903" s="147"/>
    </row>
    <row r="904" spans="1:45" x14ac:dyDescent="0.25">
      <c r="A904" s="147"/>
      <c r="B904" s="147"/>
      <c r="C904" s="160"/>
      <c r="D904" s="160"/>
      <c r="E904" s="161"/>
      <c r="F904" s="162"/>
      <c r="G904" s="163"/>
      <c r="H904" s="163"/>
      <c r="I904" s="164"/>
      <c r="J904" s="162"/>
      <c r="K904" s="165"/>
      <c r="L904" s="166"/>
      <c r="M904" s="167"/>
      <c r="N904" s="167"/>
      <c r="O904" s="168"/>
      <c r="P904" s="168"/>
      <c r="Q904" s="147"/>
      <c r="R904" s="147"/>
      <c r="S904" s="169"/>
      <c r="T904" s="147"/>
      <c r="U904" s="147"/>
      <c r="V904" s="147"/>
      <c r="W904" s="147"/>
      <c r="X904" s="147"/>
      <c r="Y904" s="147"/>
      <c r="Z904" s="147"/>
      <c r="AA904" s="147"/>
      <c r="AB904" s="147"/>
      <c r="AC904" s="147"/>
      <c r="AD904" s="147"/>
      <c r="AE904" s="147"/>
      <c r="AF904" s="147"/>
      <c r="AG904" s="147"/>
      <c r="AH904" s="147"/>
      <c r="AI904" s="147"/>
      <c r="AJ904" s="147"/>
      <c r="AK904" s="147"/>
      <c r="AL904" s="147"/>
      <c r="AM904" s="147"/>
      <c r="AN904" s="147"/>
      <c r="AO904" s="147"/>
      <c r="AP904" s="147"/>
      <c r="AQ904" s="147"/>
      <c r="AR904" s="147"/>
      <c r="AS904" s="147"/>
    </row>
    <row r="905" spans="1:45" x14ac:dyDescent="0.25">
      <c r="A905" s="147"/>
      <c r="B905" s="147"/>
      <c r="C905" s="160"/>
      <c r="D905" s="160"/>
      <c r="E905" s="161"/>
      <c r="F905" s="162"/>
      <c r="G905" s="163"/>
      <c r="H905" s="163"/>
      <c r="I905" s="164"/>
      <c r="J905" s="162"/>
      <c r="K905" s="165"/>
      <c r="L905" s="166"/>
      <c r="M905" s="167"/>
      <c r="N905" s="167"/>
      <c r="O905" s="168"/>
      <c r="P905" s="168"/>
      <c r="Q905" s="147"/>
      <c r="R905" s="147"/>
      <c r="S905" s="169"/>
      <c r="T905" s="147"/>
      <c r="U905" s="147"/>
      <c r="V905" s="147"/>
      <c r="W905" s="147"/>
      <c r="X905" s="147"/>
      <c r="Y905" s="147"/>
      <c r="Z905" s="147"/>
      <c r="AA905" s="147"/>
      <c r="AB905" s="147"/>
      <c r="AC905" s="147"/>
      <c r="AD905" s="147"/>
      <c r="AE905" s="147"/>
      <c r="AF905" s="147"/>
      <c r="AG905" s="147"/>
      <c r="AH905" s="147"/>
      <c r="AI905" s="147"/>
      <c r="AJ905" s="147"/>
      <c r="AK905" s="147"/>
      <c r="AL905" s="147"/>
      <c r="AM905" s="147"/>
      <c r="AN905" s="147"/>
      <c r="AO905" s="147"/>
      <c r="AP905" s="147"/>
      <c r="AQ905" s="147"/>
      <c r="AR905" s="147"/>
      <c r="AS905" s="147"/>
    </row>
    <row r="906" spans="1:45" x14ac:dyDescent="0.25">
      <c r="A906" s="147"/>
      <c r="B906" s="147"/>
      <c r="C906" s="160"/>
      <c r="D906" s="160"/>
      <c r="E906" s="161"/>
      <c r="F906" s="162"/>
      <c r="G906" s="163"/>
      <c r="H906" s="163"/>
      <c r="I906" s="164"/>
      <c r="J906" s="162"/>
      <c r="K906" s="165"/>
      <c r="L906" s="166"/>
      <c r="M906" s="167"/>
      <c r="N906" s="167"/>
      <c r="O906" s="168"/>
      <c r="P906" s="168"/>
      <c r="Q906" s="147"/>
      <c r="R906" s="147"/>
      <c r="S906" s="169"/>
      <c r="T906" s="147"/>
      <c r="U906" s="147"/>
      <c r="V906" s="147"/>
      <c r="W906" s="147"/>
      <c r="X906" s="147"/>
      <c r="Y906" s="147"/>
      <c r="Z906" s="147"/>
      <c r="AA906" s="147"/>
      <c r="AB906" s="147"/>
      <c r="AC906" s="147"/>
      <c r="AD906" s="147"/>
      <c r="AE906" s="147"/>
      <c r="AF906" s="147"/>
      <c r="AG906" s="147"/>
      <c r="AH906" s="147"/>
      <c r="AI906" s="147"/>
      <c r="AJ906" s="147"/>
      <c r="AK906" s="147"/>
      <c r="AL906" s="147"/>
      <c r="AM906" s="147"/>
      <c r="AN906" s="147"/>
      <c r="AO906" s="147"/>
      <c r="AP906" s="147"/>
      <c r="AQ906" s="147"/>
      <c r="AR906" s="147"/>
      <c r="AS906" s="147"/>
    </row>
    <row r="907" spans="1:45" x14ac:dyDescent="0.25">
      <c r="A907" s="147"/>
      <c r="B907" s="147"/>
      <c r="C907" s="160"/>
      <c r="D907" s="160"/>
      <c r="E907" s="161"/>
      <c r="F907" s="162"/>
      <c r="G907" s="163"/>
      <c r="H907" s="163"/>
      <c r="I907" s="164"/>
      <c r="J907" s="162"/>
      <c r="K907" s="165"/>
      <c r="L907" s="166"/>
      <c r="M907" s="167"/>
      <c r="N907" s="167"/>
      <c r="O907" s="168"/>
      <c r="P907" s="168"/>
      <c r="Q907" s="147"/>
      <c r="R907" s="147"/>
      <c r="S907" s="169"/>
      <c r="T907" s="147"/>
      <c r="U907" s="147"/>
      <c r="V907" s="147"/>
      <c r="W907" s="147"/>
      <c r="X907" s="147"/>
      <c r="Y907" s="147"/>
      <c r="Z907" s="147"/>
      <c r="AA907" s="147"/>
      <c r="AB907" s="147"/>
      <c r="AC907" s="147"/>
      <c r="AD907" s="147"/>
      <c r="AE907" s="147"/>
      <c r="AF907" s="147"/>
      <c r="AG907" s="147"/>
      <c r="AH907" s="147"/>
      <c r="AI907" s="147"/>
      <c r="AJ907" s="147"/>
      <c r="AK907" s="147"/>
      <c r="AL907" s="147"/>
      <c r="AM907" s="147"/>
      <c r="AN907" s="147"/>
      <c r="AO907" s="147"/>
      <c r="AP907" s="147"/>
      <c r="AQ907" s="147"/>
      <c r="AR907" s="147"/>
      <c r="AS907" s="147"/>
    </row>
    <row r="908" spans="1:45" x14ac:dyDescent="0.25">
      <c r="A908" s="147"/>
      <c r="B908" s="147"/>
      <c r="C908" s="160"/>
      <c r="D908" s="160"/>
      <c r="E908" s="161"/>
      <c r="F908" s="162"/>
      <c r="G908" s="163"/>
      <c r="H908" s="163"/>
      <c r="I908" s="164"/>
      <c r="J908" s="162"/>
      <c r="K908" s="165"/>
      <c r="L908" s="166"/>
      <c r="M908" s="167"/>
      <c r="N908" s="167"/>
      <c r="O908" s="168"/>
      <c r="P908" s="168"/>
      <c r="Q908" s="147"/>
      <c r="R908" s="147"/>
      <c r="S908" s="169"/>
      <c r="T908" s="147"/>
      <c r="U908" s="147"/>
      <c r="V908" s="147"/>
      <c r="W908" s="147"/>
      <c r="X908" s="147"/>
      <c r="Y908" s="147"/>
      <c r="Z908" s="147"/>
      <c r="AA908" s="147"/>
      <c r="AB908" s="147"/>
      <c r="AC908" s="147"/>
      <c r="AD908" s="147"/>
      <c r="AE908" s="147"/>
      <c r="AF908" s="147"/>
      <c r="AG908" s="147"/>
      <c r="AH908" s="147"/>
      <c r="AI908" s="147"/>
      <c r="AJ908" s="147"/>
      <c r="AK908" s="147"/>
      <c r="AL908" s="147"/>
      <c r="AM908" s="147"/>
      <c r="AN908" s="147"/>
      <c r="AO908" s="147"/>
      <c r="AP908" s="147"/>
      <c r="AQ908" s="147"/>
      <c r="AR908" s="147"/>
      <c r="AS908" s="147"/>
    </row>
    <row r="909" spans="1:45" x14ac:dyDescent="0.25">
      <c r="A909" s="147"/>
      <c r="B909" s="147"/>
      <c r="C909" s="160"/>
      <c r="D909" s="160"/>
      <c r="E909" s="161"/>
      <c r="F909" s="162"/>
      <c r="G909" s="163"/>
      <c r="H909" s="163"/>
      <c r="I909" s="164"/>
      <c r="J909" s="162"/>
      <c r="K909" s="165"/>
      <c r="L909" s="166"/>
      <c r="M909" s="167"/>
      <c r="N909" s="167"/>
      <c r="O909" s="168"/>
      <c r="P909" s="168"/>
      <c r="Q909" s="147"/>
      <c r="R909" s="147"/>
      <c r="S909" s="169"/>
      <c r="T909" s="147"/>
      <c r="U909" s="147"/>
      <c r="V909" s="147"/>
      <c r="W909" s="147"/>
      <c r="X909" s="147"/>
      <c r="Y909" s="147"/>
      <c r="Z909" s="147"/>
      <c r="AA909" s="147"/>
      <c r="AB909" s="147"/>
      <c r="AC909" s="147"/>
      <c r="AD909" s="147"/>
      <c r="AE909" s="147"/>
      <c r="AF909" s="147"/>
      <c r="AG909" s="147"/>
      <c r="AH909" s="147"/>
      <c r="AI909" s="147"/>
      <c r="AJ909" s="147"/>
      <c r="AK909" s="147"/>
      <c r="AL909" s="147"/>
      <c r="AM909" s="147"/>
      <c r="AN909" s="147"/>
      <c r="AO909" s="147"/>
      <c r="AP909" s="147"/>
      <c r="AQ909" s="147"/>
      <c r="AR909" s="147"/>
      <c r="AS909" s="147"/>
    </row>
    <row r="910" spans="1:45" x14ac:dyDescent="0.25">
      <c r="A910" s="147"/>
      <c r="B910" s="147"/>
      <c r="C910" s="160"/>
      <c r="D910" s="160"/>
      <c r="E910" s="161"/>
      <c r="F910" s="162"/>
      <c r="G910" s="163"/>
      <c r="H910" s="163"/>
      <c r="I910" s="164"/>
      <c r="J910" s="162"/>
      <c r="K910" s="165"/>
      <c r="L910" s="166"/>
      <c r="M910" s="167"/>
      <c r="N910" s="167"/>
      <c r="O910" s="168"/>
      <c r="P910" s="168"/>
      <c r="Q910" s="147"/>
      <c r="R910" s="147"/>
      <c r="S910" s="169"/>
      <c r="T910" s="147"/>
      <c r="U910" s="147"/>
      <c r="V910" s="147"/>
      <c r="W910" s="147"/>
      <c r="X910" s="147"/>
      <c r="Y910" s="147"/>
      <c r="Z910" s="147"/>
      <c r="AA910" s="147"/>
      <c r="AB910" s="147"/>
      <c r="AC910" s="147"/>
      <c r="AD910" s="147"/>
      <c r="AE910" s="147"/>
      <c r="AF910" s="147"/>
      <c r="AG910" s="147"/>
      <c r="AH910" s="147"/>
      <c r="AI910" s="147"/>
      <c r="AJ910" s="147"/>
      <c r="AK910" s="147"/>
      <c r="AL910" s="147"/>
      <c r="AM910" s="147"/>
      <c r="AN910" s="147"/>
      <c r="AO910" s="147"/>
      <c r="AP910" s="147"/>
      <c r="AQ910" s="147"/>
      <c r="AR910" s="147"/>
      <c r="AS910" s="147"/>
    </row>
    <row r="911" spans="1:45" x14ac:dyDescent="0.25">
      <c r="A911" s="147"/>
      <c r="B911" s="147"/>
      <c r="C911" s="160"/>
      <c r="D911" s="160"/>
      <c r="E911" s="161"/>
      <c r="F911" s="162"/>
      <c r="G911" s="163"/>
      <c r="H911" s="163"/>
      <c r="I911" s="164"/>
      <c r="J911" s="162"/>
      <c r="K911" s="165"/>
      <c r="L911" s="166"/>
      <c r="M911" s="167"/>
      <c r="N911" s="167"/>
      <c r="O911" s="168"/>
      <c r="P911" s="168"/>
      <c r="Q911" s="147"/>
      <c r="R911" s="147"/>
      <c r="S911" s="169"/>
      <c r="T911" s="147"/>
      <c r="U911" s="147"/>
      <c r="V911" s="147"/>
      <c r="W911" s="147"/>
      <c r="X911" s="147"/>
      <c r="Y911" s="147"/>
      <c r="Z911" s="147"/>
      <c r="AA911" s="147"/>
      <c r="AB911" s="147"/>
      <c r="AC911" s="147"/>
      <c r="AD911" s="147"/>
      <c r="AE911" s="147"/>
      <c r="AF911" s="147"/>
      <c r="AG911" s="147"/>
      <c r="AH911" s="147"/>
      <c r="AI911" s="147"/>
      <c r="AJ911" s="147"/>
      <c r="AK911" s="147"/>
      <c r="AL911" s="147"/>
      <c r="AM911" s="147"/>
      <c r="AN911" s="147"/>
      <c r="AO911" s="147"/>
      <c r="AP911" s="147"/>
      <c r="AQ911" s="147"/>
      <c r="AR911" s="147"/>
      <c r="AS911" s="147"/>
    </row>
    <row r="912" spans="1:45" x14ac:dyDescent="0.25">
      <c r="A912" s="147"/>
      <c r="B912" s="147"/>
      <c r="C912" s="160"/>
      <c r="D912" s="160"/>
      <c r="E912" s="161"/>
      <c r="F912" s="162"/>
      <c r="G912" s="163"/>
      <c r="H912" s="163"/>
      <c r="I912" s="164"/>
      <c r="J912" s="162"/>
      <c r="K912" s="165"/>
      <c r="L912" s="166"/>
      <c r="M912" s="167"/>
      <c r="N912" s="167"/>
      <c r="O912" s="168"/>
      <c r="P912" s="168"/>
      <c r="Q912" s="147"/>
      <c r="R912" s="147"/>
      <c r="S912" s="169"/>
      <c r="T912" s="147"/>
      <c r="U912" s="147"/>
      <c r="V912" s="147"/>
      <c r="W912" s="147"/>
      <c r="X912" s="147"/>
      <c r="Y912" s="147"/>
      <c r="Z912" s="147"/>
      <c r="AA912" s="147"/>
      <c r="AB912" s="147"/>
      <c r="AC912" s="147"/>
      <c r="AD912" s="147"/>
      <c r="AE912" s="147"/>
      <c r="AF912" s="147"/>
      <c r="AG912" s="147"/>
      <c r="AH912" s="147"/>
      <c r="AI912" s="147"/>
      <c r="AJ912" s="147"/>
      <c r="AK912" s="147"/>
      <c r="AL912" s="147"/>
      <c r="AM912" s="147"/>
      <c r="AN912" s="147"/>
      <c r="AO912" s="147"/>
      <c r="AP912" s="147"/>
      <c r="AQ912" s="147"/>
      <c r="AR912" s="147"/>
      <c r="AS912" s="147"/>
    </row>
    <row r="913" spans="1:45" x14ac:dyDescent="0.25">
      <c r="A913" s="147"/>
      <c r="B913" s="147"/>
      <c r="C913" s="160"/>
      <c r="D913" s="160"/>
      <c r="E913" s="161"/>
      <c r="F913" s="162"/>
      <c r="G913" s="163"/>
      <c r="H913" s="163"/>
      <c r="I913" s="164"/>
      <c r="J913" s="162"/>
      <c r="K913" s="165"/>
      <c r="L913" s="166"/>
      <c r="M913" s="167"/>
      <c r="N913" s="167"/>
      <c r="O913" s="168"/>
      <c r="P913" s="168"/>
      <c r="Q913" s="147"/>
      <c r="R913" s="147"/>
      <c r="S913" s="169"/>
      <c r="T913" s="147"/>
      <c r="U913" s="147"/>
      <c r="V913" s="147"/>
      <c r="W913" s="147"/>
      <c r="X913" s="147"/>
      <c r="Y913" s="147"/>
      <c r="Z913" s="147"/>
      <c r="AA913" s="147"/>
      <c r="AB913" s="147"/>
      <c r="AC913" s="147"/>
      <c r="AD913" s="147"/>
      <c r="AE913" s="147"/>
      <c r="AF913" s="147"/>
      <c r="AG913" s="147"/>
      <c r="AH913" s="147"/>
      <c r="AI913" s="147"/>
      <c r="AJ913" s="147"/>
      <c r="AK913" s="147"/>
      <c r="AL913" s="147"/>
      <c r="AM913" s="147"/>
      <c r="AN913" s="147"/>
      <c r="AO913" s="147"/>
      <c r="AP913" s="147"/>
      <c r="AQ913" s="147"/>
      <c r="AR913" s="147"/>
      <c r="AS913" s="147"/>
    </row>
    <row r="914" spans="1:45" x14ac:dyDescent="0.25">
      <c r="A914" s="147"/>
      <c r="B914" s="147"/>
      <c r="C914" s="160"/>
      <c r="D914" s="160"/>
      <c r="E914" s="161"/>
      <c r="F914" s="162"/>
      <c r="G914" s="163"/>
      <c r="H914" s="163"/>
      <c r="I914" s="164"/>
      <c r="J914" s="162"/>
      <c r="K914" s="165"/>
      <c r="L914" s="166"/>
      <c r="M914" s="167"/>
      <c r="N914" s="167"/>
      <c r="O914" s="168"/>
      <c r="P914" s="168"/>
      <c r="Q914" s="147"/>
      <c r="R914" s="147"/>
      <c r="S914" s="169"/>
      <c r="T914" s="147"/>
      <c r="U914" s="147"/>
      <c r="V914" s="147"/>
      <c r="W914" s="147"/>
      <c r="X914" s="147"/>
      <c r="Y914" s="147"/>
      <c r="Z914" s="147"/>
      <c r="AA914" s="147"/>
      <c r="AB914" s="147"/>
      <c r="AC914" s="147"/>
      <c r="AD914" s="147"/>
      <c r="AE914" s="147"/>
      <c r="AF914" s="147"/>
      <c r="AG914" s="147"/>
      <c r="AH914" s="147"/>
      <c r="AI914" s="147"/>
      <c r="AJ914" s="147"/>
      <c r="AK914" s="147"/>
      <c r="AL914" s="147"/>
      <c r="AM914" s="147"/>
      <c r="AN914" s="147"/>
      <c r="AO914" s="147"/>
      <c r="AP914" s="147"/>
      <c r="AQ914" s="147"/>
      <c r="AR914" s="147"/>
      <c r="AS914" s="147"/>
    </row>
    <row r="915" spans="1:45" x14ac:dyDescent="0.25">
      <c r="A915" s="147"/>
      <c r="B915" s="147"/>
      <c r="C915" s="160"/>
      <c r="D915" s="160"/>
      <c r="E915" s="161"/>
      <c r="F915" s="162"/>
      <c r="G915" s="163"/>
      <c r="H915" s="163"/>
      <c r="I915" s="164"/>
      <c r="J915" s="162"/>
      <c r="K915" s="165"/>
      <c r="L915" s="166"/>
      <c r="M915" s="167"/>
      <c r="N915" s="167"/>
      <c r="O915" s="168"/>
      <c r="P915" s="168"/>
      <c r="Q915" s="147"/>
      <c r="R915" s="147"/>
      <c r="S915" s="169"/>
      <c r="T915" s="147"/>
      <c r="U915" s="147"/>
      <c r="V915" s="147"/>
      <c r="W915" s="147"/>
      <c r="X915" s="147"/>
      <c r="Y915" s="147"/>
      <c r="Z915" s="147"/>
      <c r="AA915" s="147"/>
      <c r="AB915" s="147"/>
      <c r="AC915" s="147"/>
      <c r="AD915" s="147"/>
      <c r="AE915" s="147"/>
      <c r="AF915" s="147"/>
      <c r="AG915" s="147"/>
      <c r="AH915" s="147"/>
      <c r="AI915" s="147"/>
      <c r="AJ915" s="147"/>
      <c r="AK915" s="147"/>
      <c r="AL915" s="147"/>
      <c r="AM915" s="147"/>
      <c r="AN915" s="147"/>
      <c r="AO915" s="147"/>
      <c r="AP915" s="147"/>
      <c r="AQ915" s="147"/>
      <c r="AR915" s="147"/>
      <c r="AS915" s="147"/>
    </row>
    <row r="916" spans="1:45" x14ac:dyDescent="0.25">
      <c r="A916" s="147"/>
      <c r="B916" s="147"/>
      <c r="C916" s="160"/>
      <c r="D916" s="160"/>
      <c r="E916" s="161"/>
      <c r="F916" s="162"/>
      <c r="G916" s="163"/>
      <c r="H916" s="163"/>
      <c r="I916" s="164"/>
      <c r="J916" s="162"/>
      <c r="K916" s="165"/>
      <c r="L916" s="166"/>
      <c r="M916" s="167"/>
      <c r="N916" s="167"/>
      <c r="O916" s="168"/>
      <c r="P916" s="168"/>
      <c r="Q916" s="147"/>
      <c r="R916" s="147"/>
      <c r="S916" s="169"/>
      <c r="T916" s="147"/>
      <c r="U916" s="147"/>
      <c r="V916" s="147"/>
      <c r="W916" s="147"/>
      <c r="X916" s="147"/>
      <c r="Y916" s="147"/>
      <c r="Z916" s="147"/>
      <c r="AA916" s="147"/>
      <c r="AB916" s="147"/>
      <c r="AC916" s="147"/>
      <c r="AD916" s="147"/>
      <c r="AE916" s="147"/>
      <c r="AF916" s="147"/>
      <c r="AG916" s="147"/>
      <c r="AH916" s="147"/>
      <c r="AI916" s="147"/>
      <c r="AJ916" s="147"/>
      <c r="AK916" s="147"/>
      <c r="AL916" s="147"/>
      <c r="AM916" s="147"/>
      <c r="AN916" s="147"/>
      <c r="AO916" s="147"/>
      <c r="AP916" s="147"/>
      <c r="AQ916" s="147"/>
      <c r="AR916" s="147"/>
      <c r="AS916" s="147"/>
    </row>
    <row r="917" spans="1:45" x14ac:dyDescent="0.25">
      <c r="A917" s="147"/>
      <c r="B917" s="147"/>
      <c r="C917" s="160"/>
      <c r="D917" s="160"/>
      <c r="E917" s="161"/>
      <c r="F917" s="162"/>
      <c r="G917" s="163"/>
      <c r="H917" s="163"/>
      <c r="I917" s="164"/>
      <c r="J917" s="162"/>
      <c r="K917" s="165"/>
      <c r="L917" s="166"/>
      <c r="M917" s="167"/>
      <c r="N917" s="167"/>
      <c r="O917" s="168"/>
      <c r="P917" s="168"/>
      <c r="Q917" s="147"/>
      <c r="R917" s="147"/>
      <c r="S917" s="169"/>
      <c r="T917" s="147"/>
      <c r="U917" s="147"/>
      <c r="V917" s="147"/>
      <c r="W917" s="147"/>
      <c r="X917" s="147"/>
      <c r="Y917" s="147"/>
      <c r="Z917" s="147"/>
      <c r="AA917" s="147"/>
      <c r="AB917" s="147"/>
      <c r="AC917" s="147"/>
      <c r="AD917" s="147"/>
      <c r="AE917" s="147"/>
      <c r="AF917" s="147"/>
      <c r="AG917" s="147"/>
      <c r="AH917" s="147"/>
      <c r="AI917" s="147"/>
      <c r="AJ917" s="147"/>
      <c r="AK917" s="147"/>
      <c r="AL917" s="147"/>
      <c r="AM917" s="147"/>
      <c r="AN917" s="147"/>
      <c r="AO917" s="147"/>
      <c r="AP917" s="147"/>
      <c r="AQ917" s="147"/>
      <c r="AR917" s="147"/>
      <c r="AS917" s="147"/>
    </row>
    <row r="918" spans="1:45" x14ac:dyDescent="0.25">
      <c r="A918" s="147"/>
      <c r="B918" s="147"/>
      <c r="C918" s="160"/>
      <c r="D918" s="160"/>
      <c r="E918" s="161"/>
      <c r="F918" s="162"/>
      <c r="G918" s="163"/>
      <c r="H918" s="163"/>
      <c r="I918" s="164"/>
      <c r="J918" s="162"/>
      <c r="K918" s="165"/>
      <c r="L918" s="166"/>
      <c r="M918" s="167"/>
      <c r="N918" s="167"/>
      <c r="O918" s="168"/>
      <c r="P918" s="168"/>
      <c r="Q918" s="147"/>
      <c r="R918" s="147"/>
      <c r="S918" s="169"/>
      <c r="T918" s="147"/>
      <c r="U918" s="147"/>
      <c r="V918" s="147"/>
      <c r="W918" s="147"/>
      <c r="X918" s="147"/>
      <c r="Y918" s="147"/>
      <c r="Z918" s="147"/>
      <c r="AA918" s="147"/>
      <c r="AB918" s="147"/>
      <c r="AC918" s="147"/>
      <c r="AD918" s="147"/>
      <c r="AE918" s="147"/>
      <c r="AF918" s="147"/>
      <c r="AG918" s="147"/>
      <c r="AH918" s="147"/>
      <c r="AI918" s="147"/>
      <c r="AJ918" s="147"/>
      <c r="AK918" s="147"/>
      <c r="AL918" s="147"/>
      <c r="AM918" s="147"/>
      <c r="AN918" s="147"/>
      <c r="AO918" s="147"/>
      <c r="AP918" s="147"/>
      <c r="AQ918" s="147"/>
      <c r="AR918" s="147"/>
      <c r="AS918" s="147"/>
    </row>
    <row r="919" spans="1:45" x14ac:dyDescent="0.25">
      <c r="A919" s="147"/>
      <c r="B919" s="147"/>
      <c r="C919" s="160"/>
      <c r="D919" s="160"/>
      <c r="E919" s="161"/>
      <c r="F919" s="162"/>
      <c r="G919" s="163"/>
      <c r="H919" s="163"/>
      <c r="I919" s="164"/>
      <c r="J919" s="162"/>
      <c r="K919" s="165"/>
      <c r="L919" s="166"/>
      <c r="M919" s="167"/>
      <c r="N919" s="167"/>
      <c r="O919" s="168"/>
      <c r="P919" s="168"/>
      <c r="Q919" s="147"/>
      <c r="R919" s="147"/>
      <c r="S919" s="169"/>
      <c r="T919" s="147"/>
      <c r="U919" s="147"/>
      <c r="V919" s="147"/>
      <c r="W919" s="147"/>
      <c r="X919" s="147"/>
      <c r="Y919" s="147"/>
      <c r="Z919" s="147"/>
      <c r="AA919" s="147"/>
      <c r="AB919" s="147"/>
      <c r="AC919" s="147"/>
      <c r="AD919" s="147"/>
      <c r="AE919" s="147"/>
      <c r="AF919" s="147"/>
      <c r="AG919" s="147"/>
      <c r="AH919" s="147"/>
      <c r="AI919" s="147"/>
      <c r="AJ919" s="147"/>
      <c r="AK919" s="147"/>
      <c r="AL919" s="147"/>
      <c r="AM919" s="147"/>
      <c r="AN919" s="147"/>
      <c r="AO919" s="147"/>
      <c r="AP919" s="147"/>
      <c r="AQ919" s="147"/>
      <c r="AR919" s="147"/>
      <c r="AS919" s="147"/>
    </row>
    <row r="920" spans="1:45" x14ac:dyDescent="0.25">
      <c r="A920" s="147"/>
      <c r="B920" s="147"/>
      <c r="C920" s="160"/>
      <c r="D920" s="160"/>
      <c r="E920" s="161"/>
      <c r="F920" s="162"/>
      <c r="G920" s="163"/>
      <c r="H920" s="163"/>
      <c r="I920" s="164"/>
      <c r="J920" s="162"/>
      <c r="K920" s="165"/>
      <c r="L920" s="166"/>
      <c r="M920" s="167"/>
      <c r="N920" s="167"/>
      <c r="O920" s="168"/>
      <c r="P920" s="168"/>
      <c r="Q920" s="147"/>
      <c r="R920" s="147"/>
      <c r="S920" s="169"/>
      <c r="T920" s="147"/>
      <c r="U920" s="147"/>
      <c r="V920" s="147"/>
      <c r="W920" s="147"/>
      <c r="X920" s="147"/>
      <c r="Y920" s="147"/>
      <c r="Z920" s="147"/>
      <c r="AA920" s="147"/>
      <c r="AB920" s="147"/>
      <c r="AC920" s="147"/>
      <c r="AD920" s="147"/>
      <c r="AE920" s="147"/>
      <c r="AF920" s="147"/>
      <c r="AG920" s="147"/>
      <c r="AH920" s="147"/>
      <c r="AI920" s="147"/>
      <c r="AJ920" s="147"/>
      <c r="AK920" s="147"/>
      <c r="AL920" s="147"/>
      <c r="AM920" s="147"/>
      <c r="AN920" s="147"/>
      <c r="AO920" s="147"/>
      <c r="AP920" s="147"/>
      <c r="AQ920" s="147"/>
      <c r="AR920" s="147"/>
      <c r="AS920" s="147"/>
    </row>
    <row r="921" spans="1:45" x14ac:dyDescent="0.25">
      <c r="A921" s="147"/>
      <c r="B921" s="147"/>
      <c r="C921" s="160"/>
      <c r="D921" s="160"/>
      <c r="E921" s="161"/>
      <c r="F921" s="162"/>
      <c r="G921" s="163"/>
      <c r="H921" s="163"/>
      <c r="I921" s="164"/>
      <c r="J921" s="162"/>
      <c r="K921" s="165"/>
      <c r="L921" s="166"/>
      <c r="M921" s="167"/>
      <c r="N921" s="167"/>
      <c r="O921" s="168"/>
      <c r="P921" s="168"/>
      <c r="Q921" s="147"/>
      <c r="R921" s="147"/>
      <c r="S921" s="169"/>
      <c r="T921" s="147"/>
      <c r="U921" s="147"/>
      <c r="V921" s="147"/>
      <c r="W921" s="147"/>
      <c r="X921" s="147"/>
      <c r="Y921" s="147"/>
      <c r="Z921" s="147"/>
      <c r="AA921" s="147"/>
      <c r="AB921" s="147"/>
      <c r="AC921" s="147"/>
      <c r="AD921" s="147"/>
      <c r="AE921" s="147"/>
      <c r="AF921" s="147"/>
      <c r="AG921" s="147"/>
      <c r="AH921" s="147"/>
      <c r="AI921" s="147"/>
      <c r="AJ921" s="147"/>
      <c r="AK921" s="147"/>
      <c r="AL921" s="147"/>
      <c r="AM921" s="147"/>
      <c r="AN921" s="147"/>
      <c r="AO921" s="147"/>
      <c r="AP921" s="147"/>
      <c r="AQ921" s="147"/>
      <c r="AR921" s="147"/>
      <c r="AS921" s="147"/>
    </row>
    <row r="922" spans="1:45" x14ac:dyDescent="0.25">
      <c r="A922" s="147"/>
      <c r="B922" s="147"/>
      <c r="C922" s="160"/>
      <c r="D922" s="160"/>
      <c r="E922" s="161"/>
      <c r="F922" s="162"/>
      <c r="G922" s="163"/>
      <c r="H922" s="163"/>
      <c r="I922" s="164"/>
      <c r="J922" s="162"/>
      <c r="K922" s="165"/>
      <c r="L922" s="166"/>
      <c r="M922" s="167"/>
      <c r="N922" s="167"/>
      <c r="O922" s="168"/>
      <c r="P922" s="168"/>
      <c r="Q922" s="147"/>
      <c r="R922" s="147"/>
      <c r="S922" s="169"/>
      <c r="T922" s="147"/>
      <c r="U922" s="147"/>
      <c r="V922" s="147"/>
      <c r="W922" s="147"/>
      <c r="X922" s="147"/>
      <c r="Y922" s="147"/>
      <c r="Z922" s="147"/>
      <c r="AA922" s="147"/>
      <c r="AB922" s="147"/>
      <c r="AC922" s="147"/>
      <c r="AD922" s="147"/>
      <c r="AE922" s="147"/>
      <c r="AF922" s="147"/>
      <c r="AG922" s="147"/>
      <c r="AH922" s="147"/>
      <c r="AI922" s="147"/>
      <c r="AJ922" s="147"/>
      <c r="AK922" s="147"/>
      <c r="AL922" s="147"/>
      <c r="AM922" s="147"/>
      <c r="AN922" s="147"/>
      <c r="AO922" s="147"/>
      <c r="AP922" s="147"/>
      <c r="AQ922" s="147"/>
      <c r="AR922" s="147"/>
      <c r="AS922" s="147"/>
    </row>
    <row r="923" spans="1:45" x14ac:dyDescent="0.25">
      <c r="A923" s="147"/>
      <c r="B923" s="147"/>
      <c r="C923" s="160"/>
      <c r="D923" s="160"/>
      <c r="E923" s="161"/>
      <c r="F923" s="162"/>
      <c r="G923" s="163"/>
      <c r="H923" s="163"/>
      <c r="I923" s="164"/>
      <c r="J923" s="162"/>
      <c r="K923" s="165"/>
      <c r="L923" s="166"/>
      <c r="M923" s="167"/>
      <c r="N923" s="167"/>
      <c r="O923" s="168"/>
      <c r="P923" s="168"/>
      <c r="Q923" s="147"/>
      <c r="R923" s="147"/>
      <c r="S923" s="169"/>
      <c r="T923" s="147"/>
      <c r="U923" s="147"/>
      <c r="V923" s="147"/>
      <c r="W923" s="147"/>
      <c r="X923" s="147"/>
      <c r="Y923" s="147"/>
      <c r="Z923" s="147"/>
      <c r="AA923" s="147"/>
      <c r="AB923" s="147"/>
      <c r="AC923" s="147"/>
      <c r="AD923" s="147"/>
      <c r="AE923" s="147"/>
      <c r="AF923" s="147"/>
      <c r="AG923" s="147"/>
      <c r="AH923" s="147"/>
      <c r="AI923" s="147"/>
      <c r="AJ923" s="147"/>
      <c r="AK923" s="147"/>
      <c r="AL923" s="147"/>
      <c r="AM923" s="147"/>
      <c r="AN923" s="147"/>
      <c r="AO923" s="147"/>
      <c r="AP923" s="147"/>
      <c r="AQ923" s="147"/>
      <c r="AR923" s="147"/>
      <c r="AS923" s="147"/>
    </row>
    <row r="924" spans="1:45" x14ac:dyDescent="0.25">
      <c r="A924" s="147"/>
      <c r="B924" s="147"/>
      <c r="C924" s="160"/>
      <c r="D924" s="160"/>
      <c r="E924" s="161"/>
      <c r="F924" s="162"/>
      <c r="G924" s="163"/>
      <c r="H924" s="163"/>
      <c r="I924" s="164"/>
      <c r="J924" s="162"/>
      <c r="K924" s="165"/>
      <c r="L924" s="166"/>
      <c r="M924" s="167"/>
      <c r="N924" s="167"/>
      <c r="O924" s="168"/>
      <c r="P924" s="168"/>
      <c r="Q924" s="147"/>
      <c r="R924" s="147"/>
      <c r="S924" s="169"/>
      <c r="T924" s="147"/>
      <c r="U924" s="147"/>
      <c r="V924" s="147"/>
      <c r="W924" s="147"/>
      <c r="X924" s="147"/>
      <c r="Y924" s="147"/>
      <c r="Z924" s="147"/>
      <c r="AA924" s="147"/>
      <c r="AB924" s="147"/>
      <c r="AC924" s="147"/>
      <c r="AD924" s="147"/>
      <c r="AE924" s="147"/>
      <c r="AF924" s="147"/>
      <c r="AG924" s="147"/>
      <c r="AH924" s="147"/>
      <c r="AI924" s="147"/>
      <c r="AJ924" s="147"/>
      <c r="AK924" s="147"/>
      <c r="AL924" s="147"/>
      <c r="AM924" s="147"/>
      <c r="AN924" s="147"/>
      <c r="AO924" s="147"/>
      <c r="AP924" s="147"/>
      <c r="AQ924" s="147"/>
      <c r="AR924" s="147"/>
      <c r="AS924" s="147"/>
    </row>
    <row r="925" spans="1:45" x14ac:dyDescent="0.25">
      <c r="A925" s="147"/>
      <c r="B925" s="147"/>
      <c r="C925" s="160"/>
      <c r="D925" s="160"/>
      <c r="E925" s="161"/>
      <c r="F925" s="162"/>
      <c r="G925" s="163"/>
      <c r="H925" s="163"/>
      <c r="I925" s="164"/>
      <c r="J925" s="162"/>
      <c r="K925" s="165"/>
      <c r="L925" s="166"/>
      <c r="M925" s="167"/>
      <c r="N925" s="167"/>
      <c r="O925" s="168"/>
      <c r="P925" s="168"/>
      <c r="Q925" s="147"/>
      <c r="R925" s="147"/>
      <c r="S925" s="169"/>
      <c r="T925" s="147"/>
      <c r="U925" s="147"/>
      <c r="V925" s="147"/>
      <c r="W925" s="147"/>
      <c r="X925" s="147"/>
      <c r="Y925" s="147"/>
      <c r="Z925" s="147"/>
      <c r="AA925" s="147"/>
      <c r="AB925" s="147"/>
      <c r="AC925" s="147"/>
      <c r="AD925" s="147"/>
      <c r="AE925" s="147"/>
      <c r="AF925" s="147"/>
      <c r="AG925" s="147"/>
      <c r="AH925" s="147"/>
      <c r="AI925" s="147"/>
      <c r="AJ925" s="147"/>
      <c r="AK925" s="147"/>
      <c r="AL925" s="147"/>
      <c r="AM925" s="147"/>
      <c r="AN925" s="147"/>
      <c r="AO925" s="147"/>
      <c r="AP925" s="147"/>
      <c r="AQ925" s="147"/>
      <c r="AR925" s="147"/>
      <c r="AS925" s="147"/>
    </row>
    <row r="926" spans="1:45" x14ac:dyDescent="0.25">
      <c r="A926" s="147"/>
      <c r="B926" s="147"/>
      <c r="C926" s="160"/>
      <c r="D926" s="160"/>
      <c r="E926" s="161"/>
      <c r="F926" s="162"/>
      <c r="G926" s="163"/>
      <c r="H926" s="163"/>
      <c r="I926" s="164"/>
      <c r="J926" s="162"/>
      <c r="K926" s="165"/>
      <c r="L926" s="166"/>
      <c r="M926" s="167"/>
      <c r="N926" s="167"/>
      <c r="O926" s="168"/>
      <c r="P926" s="168"/>
      <c r="Q926" s="147"/>
      <c r="R926" s="147"/>
      <c r="S926" s="169"/>
      <c r="T926" s="147"/>
      <c r="U926" s="147"/>
      <c r="V926" s="147"/>
      <c r="W926" s="147"/>
      <c r="X926" s="147"/>
      <c r="Y926" s="147"/>
      <c r="Z926" s="147"/>
      <c r="AA926" s="147"/>
      <c r="AB926" s="147"/>
      <c r="AC926" s="147"/>
      <c r="AD926" s="147"/>
      <c r="AE926" s="147"/>
      <c r="AF926" s="147"/>
      <c r="AG926" s="147"/>
      <c r="AH926" s="147"/>
      <c r="AI926" s="147"/>
      <c r="AJ926" s="147"/>
      <c r="AK926" s="147"/>
      <c r="AL926" s="147"/>
      <c r="AM926" s="147"/>
      <c r="AN926" s="147"/>
      <c r="AO926" s="147"/>
      <c r="AP926" s="147"/>
      <c r="AQ926" s="147"/>
      <c r="AR926" s="147"/>
      <c r="AS926" s="147"/>
    </row>
    <row r="927" spans="1:45" x14ac:dyDescent="0.25">
      <c r="A927" s="147"/>
      <c r="B927" s="147"/>
      <c r="C927" s="160"/>
      <c r="D927" s="160"/>
      <c r="E927" s="161"/>
      <c r="F927" s="162"/>
      <c r="G927" s="163"/>
      <c r="H927" s="163"/>
      <c r="I927" s="164"/>
      <c r="J927" s="162"/>
      <c r="K927" s="165"/>
      <c r="L927" s="166"/>
      <c r="M927" s="167"/>
      <c r="N927" s="167"/>
      <c r="O927" s="168"/>
      <c r="P927" s="168"/>
      <c r="Q927" s="147"/>
      <c r="R927" s="147"/>
      <c r="S927" s="169"/>
      <c r="T927" s="147"/>
      <c r="U927" s="147"/>
      <c r="V927" s="147"/>
      <c r="W927" s="147"/>
      <c r="X927" s="147"/>
      <c r="Y927" s="147"/>
      <c r="Z927" s="147"/>
      <c r="AA927" s="147"/>
      <c r="AB927" s="147"/>
      <c r="AC927" s="147"/>
      <c r="AD927" s="147"/>
      <c r="AE927" s="147"/>
      <c r="AF927" s="147"/>
      <c r="AG927" s="147"/>
      <c r="AH927" s="147"/>
      <c r="AI927" s="147"/>
      <c r="AJ927" s="147"/>
      <c r="AK927" s="147"/>
      <c r="AL927" s="147"/>
      <c r="AM927" s="147"/>
      <c r="AN927" s="147"/>
      <c r="AO927" s="147"/>
      <c r="AP927" s="147"/>
      <c r="AQ927" s="147"/>
      <c r="AR927" s="147"/>
      <c r="AS927" s="147"/>
    </row>
    <row r="928" spans="1:45" x14ac:dyDescent="0.25">
      <c r="A928" s="147"/>
      <c r="B928" s="147"/>
      <c r="C928" s="160"/>
      <c r="D928" s="160"/>
      <c r="E928" s="161"/>
      <c r="F928" s="162"/>
      <c r="G928" s="163"/>
      <c r="H928" s="163"/>
      <c r="I928" s="164"/>
      <c r="J928" s="162"/>
      <c r="K928" s="165"/>
      <c r="L928" s="166"/>
      <c r="M928" s="167"/>
      <c r="N928" s="167"/>
      <c r="O928" s="168"/>
      <c r="P928" s="168"/>
      <c r="Q928" s="147"/>
      <c r="R928" s="147"/>
      <c r="S928" s="169"/>
      <c r="T928" s="147"/>
      <c r="U928" s="147"/>
      <c r="V928" s="147"/>
      <c r="W928" s="147"/>
      <c r="X928" s="147"/>
      <c r="Y928" s="147"/>
      <c r="Z928" s="147"/>
      <c r="AA928" s="147"/>
      <c r="AB928" s="147"/>
      <c r="AC928" s="147"/>
      <c r="AD928" s="147"/>
      <c r="AE928" s="147"/>
      <c r="AF928" s="147"/>
      <c r="AG928" s="147"/>
      <c r="AH928" s="147"/>
      <c r="AI928" s="147"/>
      <c r="AJ928" s="147"/>
      <c r="AK928" s="147"/>
      <c r="AL928" s="147"/>
      <c r="AM928" s="147"/>
      <c r="AN928" s="147"/>
      <c r="AO928" s="147"/>
      <c r="AP928" s="147"/>
      <c r="AQ928" s="147"/>
      <c r="AR928" s="147"/>
      <c r="AS928" s="147"/>
    </row>
    <row r="929" spans="1:45" x14ac:dyDescent="0.25">
      <c r="A929" s="147"/>
      <c r="B929" s="147"/>
      <c r="C929" s="160"/>
      <c r="D929" s="160"/>
      <c r="E929" s="161"/>
      <c r="F929" s="162"/>
      <c r="G929" s="163"/>
      <c r="H929" s="163"/>
      <c r="I929" s="164"/>
      <c r="J929" s="162"/>
      <c r="K929" s="165"/>
      <c r="L929" s="166"/>
      <c r="M929" s="167"/>
      <c r="N929" s="167"/>
      <c r="O929" s="168"/>
      <c r="P929" s="168"/>
      <c r="Q929" s="147"/>
      <c r="R929" s="147"/>
      <c r="S929" s="169"/>
      <c r="T929" s="147"/>
      <c r="U929" s="147"/>
      <c r="V929" s="147"/>
      <c r="W929" s="147"/>
      <c r="X929" s="147"/>
      <c r="Y929" s="147"/>
      <c r="Z929" s="147"/>
      <c r="AA929" s="147"/>
      <c r="AB929" s="147"/>
      <c r="AC929" s="147"/>
      <c r="AD929" s="147"/>
      <c r="AE929" s="147"/>
      <c r="AF929" s="147"/>
      <c r="AG929" s="147"/>
      <c r="AH929" s="147"/>
      <c r="AI929" s="147"/>
      <c r="AJ929" s="147"/>
      <c r="AK929" s="147"/>
      <c r="AL929" s="147"/>
      <c r="AM929" s="147"/>
      <c r="AN929" s="147"/>
      <c r="AO929" s="147"/>
      <c r="AP929" s="147"/>
      <c r="AQ929" s="147"/>
      <c r="AR929" s="147"/>
      <c r="AS929" s="147"/>
    </row>
    <row r="930" spans="1:45" x14ac:dyDescent="0.25">
      <c r="A930" s="147"/>
      <c r="B930" s="147"/>
      <c r="C930" s="160"/>
      <c r="D930" s="160"/>
      <c r="E930" s="161"/>
      <c r="F930" s="162"/>
      <c r="G930" s="163"/>
      <c r="H930" s="163"/>
      <c r="I930" s="164"/>
      <c r="J930" s="162"/>
      <c r="K930" s="165"/>
      <c r="L930" s="166"/>
      <c r="M930" s="167"/>
      <c r="N930" s="167"/>
      <c r="O930" s="168"/>
      <c r="P930" s="168"/>
      <c r="Q930" s="147"/>
      <c r="R930" s="147"/>
      <c r="S930" s="169"/>
      <c r="T930" s="147"/>
      <c r="U930" s="147"/>
      <c r="V930" s="147"/>
      <c r="W930" s="147"/>
      <c r="X930" s="147"/>
      <c r="Y930" s="147"/>
      <c r="Z930" s="147"/>
      <c r="AA930" s="147"/>
      <c r="AB930" s="147"/>
      <c r="AC930" s="147"/>
      <c r="AD930" s="147"/>
      <c r="AE930" s="147"/>
      <c r="AF930" s="147"/>
      <c r="AG930" s="147"/>
      <c r="AH930" s="147"/>
      <c r="AI930" s="147"/>
      <c r="AJ930" s="147"/>
      <c r="AK930" s="147"/>
      <c r="AL930" s="147"/>
      <c r="AM930" s="147"/>
      <c r="AN930" s="147"/>
      <c r="AO930" s="147"/>
      <c r="AP930" s="147"/>
      <c r="AQ930" s="147"/>
      <c r="AR930" s="147"/>
      <c r="AS930" s="147"/>
    </row>
    <row r="931" spans="1:45" x14ac:dyDescent="0.25">
      <c r="A931" s="147"/>
      <c r="B931" s="147"/>
      <c r="C931" s="160"/>
      <c r="D931" s="160"/>
      <c r="E931" s="161"/>
      <c r="F931" s="162"/>
      <c r="G931" s="163"/>
      <c r="H931" s="163"/>
      <c r="I931" s="164"/>
      <c r="J931" s="162"/>
      <c r="K931" s="165"/>
      <c r="L931" s="166"/>
      <c r="M931" s="167"/>
      <c r="N931" s="167"/>
      <c r="O931" s="168"/>
      <c r="P931" s="168"/>
      <c r="Q931" s="147"/>
      <c r="R931" s="147"/>
      <c r="S931" s="169"/>
      <c r="T931" s="147"/>
      <c r="U931" s="147"/>
      <c r="V931" s="147"/>
      <c r="W931" s="147"/>
      <c r="X931" s="147"/>
      <c r="Y931" s="147"/>
      <c r="Z931" s="147"/>
      <c r="AA931" s="147"/>
      <c r="AB931" s="147"/>
      <c r="AC931" s="147"/>
      <c r="AD931" s="147"/>
      <c r="AE931" s="147"/>
      <c r="AF931" s="147"/>
      <c r="AG931" s="147"/>
      <c r="AH931" s="147"/>
      <c r="AI931" s="147"/>
      <c r="AJ931" s="147"/>
      <c r="AK931" s="147"/>
      <c r="AL931" s="147"/>
      <c r="AM931" s="147"/>
      <c r="AN931" s="147"/>
      <c r="AO931" s="147"/>
      <c r="AP931" s="147"/>
      <c r="AQ931" s="147"/>
      <c r="AR931" s="147"/>
      <c r="AS931" s="147"/>
    </row>
    <row r="932" spans="1:45" x14ac:dyDescent="0.25">
      <c r="A932" s="147"/>
      <c r="B932" s="147"/>
      <c r="C932" s="160"/>
      <c r="D932" s="160"/>
      <c r="E932" s="161"/>
      <c r="F932" s="162"/>
      <c r="G932" s="163"/>
      <c r="H932" s="163"/>
      <c r="I932" s="164"/>
      <c r="J932" s="162"/>
      <c r="K932" s="165"/>
      <c r="L932" s="166"/>
      <c r="M932" s="167"/>
      <c r="N932" s="167"/>
      <c r="O932" s="168"/>
      <c r="P932" s="168"/>
      <c r="Q932" s="147"/>
      <c r="R932" s="147"/>
      <c r="S932" s="169"/>
      <c r="T932" s="147"/>
      <c r="U932" s="147"/>
      <c r="V932" s="147"/>
      <c r="W932" s="147"/>
      <c r="X932" s="147"/>
      <c r="Y932" s="147"/>
      <c r="Z932" s="147"/>
      <c r="AA932" s="147"/>
      <c r="AB932" s="147"/>
      <c r="AC932" s="147"/>
      <c r="AD932" s="147"/>
      <c r="AE932" s="147"/>
      <c r="AF932" s="147"/>
      <c r="AG932" s="147"/>
      <c r="AH932" s="147"/>
      <c r="AI932" s="147"/>
      <c r="AJ932" s="147"/>
      <c r="AK932" s="147"/>
      <c r="AL932" s="147"/>
      <c r="AM932" s="147"/>
      <c r="AN932" s="147"/>
      <c r="AO932" s="147"/>
      <c r="AP932" s="147"/>
      <c r="AQ932" s="147"/>
      <c r="AR932" s="147"/>
      <c r="AS932" s="147"/>
    </row>
    <row r="933" spans="1:45" x14ac:dyDescent="0.25">
      <c r="A933" s="147"/>
      <c r="B933" s="147"/>
      <c r="C933" s="160"/>
      <c r="D933" s="160"/>
      <c r="E933" s="161"/>
      <c r="F933" s="162"/>
      <c r="G933" s="163"/>
      <c r="H933" s="163"/>
      <c r="I933" s="164"/>
      <c r="J933" s="162"/>
      <c r="K933" s="165"/>
      <c r="L933" s="166"/>
      <c r="M933" s="167"/>
      <c r="N933" s="167"/>
      <c r="O933" s="168"/>
      <c r="P933" s="168"/>
      <c r="Q933" s="147"/>
      <c r="R933" s="147"/>
      <c r="S933" s="169"/>
      <c r="T933" s="147"/>
      <c r="U933" s="147"/>
      <c r="V933" s="147"/>
      <c r="W933" s="147"/>
      <c r="X933" s="147"/>
      <c r="Y933" s="147"/>
      <c r="Z933" s="147"/>
      <c r="AA933" s="147"/>
      <c r="AB933" s="147"/>
      <c r="AC933" s="147"/>
      <c r="AD933" s="147"/>
      <c r="AE933" s="147"/>
      <c r="AF933" s="147"/>
      <c r="AG933" s="147"/>
      <c r="AH933" s="147"/>
      <c r="AI933" s="147"/>
      <c r="AJ933" s="147"/>
      <c r="AK933" s="147"/>
      <c r="AL933" s="147"/>
      <c r="AM933" s="147"/>
      <c r="AN933" s="147"/>
      <c r="AO933" s="147"/>
      <c r="AP933" s="147"/>
      <c r="AQ933" s="147"/>
      <c r="AR933" s="147"/>
      <c r="AS933" s="147"/>
    </row>
    <row r="934" spans="1:45" x14ac:dyDescent="0.25">
      <c r="A934" s="147"/>
      <c r="B934" s="147"/>
      <c r="C934" s="160"/>
      <c r="D934" s="160"/>
      <c r="E934" s="161"/>
      <c r="F934" s="162"/>
      <c r="G934" s="163"/>
      <c r="H934" s="163"/>
      <c r="I934" s="164"/>
      <c r="J934" s="162"/>
      <c r="K934" s="165"/>
      <c r="L934" s="166"/>
      <c r="M934" s="167"/>
      <c r="N934" s="167"/>
      <c r="O934" s="168"/>
      <c r="P934" s="168"/>
      <c r="Q934" s="147"/>
      <c r="R934" s="147"/>
      <c r="S934" s="169"/>
      <c r="T934" s="147"/>
      <c r="U934" s="147"/>
      <c r="V934" s="147"/>
      <c r="W934" s="147"/>
      <c r="X934" s="147"/>
      <c r="Y934" s="147"/>
      <c r="Z934" s="147"/>
      <c r="AA934" s="147"/>
      <c r="AB934" s="147"/>
      <c r="AC934" s="147"/>
      <c r="AD934" s="147"/>
      <c r="AE934" s="147"/>
      <c r="AF934" s="147"/>
      <c r="AG934" s="147"/>
      <c r="AH934" s="147"/>
      <c r="AI934" s="147"/>
      <c r="AJ934" s="147"/>
      <c r="AK934" s="147"/>
      <c r="AL934" s="147"/>
      <c r="AM934" s="147"/>
      <c r="AN934" s="147"/>
      <c r="AO934" s="147"/>
      <c r="AP934" s="147"/>
      <c r="AQ934" s="147"/>
      <c r="AR934" s="147"/>
      <c r="AS934" s="147"/>
    </row>
    <row r="935" spans="1:45" x14ac:dyDescent="0.25">
      <c r="A935" s="147"/>
      <c r="B935" s="147"/>
      <c r="C935" s="160"/>
      <c r="D935" s="160"/>
      <c r="E935" s="161"/>
      <c r="F935" s="162"/>
      <c r="G935" s="163"/>
      <c r="H935" s="163"/>
      <c r="I935" s="164"/>
      <c r="J935" s="162"/>
      <c r="K935" s="165"/>
      <c r="L935" s="166"/>
      <c r="M935" s="167"/>
      <c r="N935" s="167"/>
      <c r="O935" s="168"/>
      <c r="P935" s="168"/>
      <c r="Q935" s="147"/>
      <c r="R935" s="147"/>
      <c r="S935" s="169"/>
      <c r="T935" s="147"/>
      <c r="U935" s="147"/>
      <c r="V935" s="147"/>
      <c r="W935" s="147"/>
      <c r="X935" s="147"/>
      <c r="Y935" s="147"/>
      <c r="Z935" s="147"/>
      <c r="AA935" s="147"/>
      <c r="AB935" s="147"/>
      <c r="AC935" s="147"/>
      <c r="AD935" s="147"/>
      <c r="AE935" s="147"/>
      <c r="AF935" s="147"/>
      <c r="AG935" s="147"/>
      <c r="AH935" s="147"/>
      <c r="AI935" s="147"/>
      <c r="AJ935" s="147"/>
      <c r="AK935" s="147"/>
      <c r="AL935" s="147"/>
      <c r="AM935" s="147"/>
      <c r="AN935" s="147"/>
      <c r="AO935" s="147"/>
      <c r="AP935" s="147"/>
      <c r="AQ935" s="147"/>
      <c r="AR935" s="147"/>
      <c r="AS935" s="147"/>
    </row>
    <row r="936" spans="1:45" x14ac:dyDescent="0.25">
      <c r="A936" s="147"/>
      <c r="B936" s="147"/>
      <c r="C936" s="160"/>
      <c r="D936" s="160"/>
      <c r="E936" s="161"/>
      <c r="F936" s="162"/>
      <c r="G936" s="163"/>
      <c r="H936" s="163"/>
      <c r="I936" s="164"/>
      <c r="J936" s="162"/>
      <c r="K936" s="165"/>
      <c r="L936" s="166"/>
      <c r="M936" s="167"/>
      <c r="N936" s="167"/>
      <c r="O936" s="168"/>
      <c r="P936" s="168"/>
      <c r="Q936" s="147"/>
      <c r="R936" s="147"/>
      <c r="S936" s="169"/>
      <c r="T936" s="147"/>
      <c r="U936" s="147"/>
      <c r="V936" s="147"/>
      <c r="W936" s="147"/>
      <c r="X936" s="147"/>
      <c r="Y936" s="147"/>
      <c r="Z936" s="147"/>
      <c r="AA936" s="147"/>
      <c r="AB936" s="147"/>
      <c r="AC936" s="147"/>
      <c r="AD936" s="147"/>
      <c r="AE936" s="147"/>
      <c r="AF936" s="147"/>
      <c r="AG936" s="147"/>
      <c r="AH936" s="147"/>
      <c r="AI936" s="147"/>
      <c r="AJ936" s="147"/>
      <c r="AK936" s="147"/>
      <c r="AL936" s="147"/>
      <c r="AM936" s="147"/>
      <c r="AN936" s="147"/>
      <c r="AO936" s="147"/>
      <c r="AP936" s="147"/>
      <c r="AQ936" s="147"/>
      <c r="AR936" s="147"/>
      <c r="AS936" s="147"/>
    </row>
    <row r="937" spans="1:45" x14ac:dyDescent="0.25">
      <c r="A937" s="147"/>
      <c r="B937" s="147"/>
      <c r="C937" s="160"/>
      <c r="D937" s="160"/>
      <c r="E937" s="161"/>
      <c r="F937" s="162"/>
      <c r="G937" s="163"/>
      <c r="H937" s="163"/>
      <c r="I937" s="164"/>
      <c r="J937" s="162"/>
      <c r="K937" s="165"/>
      <c r="L937" s="166"/>
      <c r="M937" s="167"/>
      <c r="N937" s="167"/>
      <c r="O937" s="168"/>
      <c r="P937" s="168"/>
      <c r="Q937" s="147"/>
      <c r="R937" s="147"/>
      <c r="S937" s="169"/>
      <c r="T937" s="147"/>
      <c r="U937" s="147"/>
      <c r="V937" s="147"/>
      <c r="W937" s="147"/>
      <c r="X937" s="147"/>
      <c r="Y937" s="147"/>
      <c r="Z937" s="147"/>
      <c r="AA937" s="147"/>
      <c r="AB937" s="147"/>
      <c r="AC937" s="147"/>
      <c r="AD937" s="147"/>
      <c r="AE937" s="147"/>
      <c r="AF937" s="147"/>
      <c r="AG937" s="147"/>
      <c r="AH937" s="147"/>
      <c r="AI937" s="147"/>
      <c r="AJ937" s="147"/>
      <c r="AK937" s="147"/>
      <c r="AL937" s="147"/>
      <c r="AM937" s="147"/>
      <c r="AN937" s="147"/>
      <c r="AO937" s="147"/>
      <c r="AP937" s="147"/>
      <c r="AQ937" s="147"/>
      <c r="AR937" s="147"/>
      <c r="AS937" s="147"/>
    </row>
    <row r="938" spans="1:45" x14ac:dyDescent="0.25">
      <c r="A938" s="147"/>
      <c r="B938" s="147"/>
      <c r="C938" s="160"/>
      <c r="D938" s="160"/>
      <c r="E938" s="161"/>
      <c r="F938" s="162"/>
      <c r="G938" s="163"/>
      <c r="H938" s="163"/>
      <c r="I938" s="164"/>
      <c r="J938" s="162"/>
      <c r="K938" s="165"/>
      <c r="L938" s="166"/>
      <c r="M938" s="167"/>
      <c r="N938" s="167"/>
      <c r="O938" s="168"/>
      <c r="P938" s="168"/>
      <c r="Q938" s="147"/>
      <c r="R938" s="147"/>
      <c r="S938" s="169"/>
      <c r="T938" s="147"/>
      <c r="U938" s="147"/>
      <c r="V938" s="147"/>
      <c r="W938" s="147"/>
      <c r="X938" s="147"/>
      <c r="Y938" s="147"/>
      <c r="Z938" s="147"/>
      <c r="AA938" s="147"/>
      <c r="AB938" s="147"/>
      <c r="AC938" s="147"/>
      <c r="AD938" s="147"/>
      <c r="AE938" s="147"/>
      <c r="AF938" s="147"/>
      <c r="AG938" s="147"/>
      <c r="AH938" s="147"/>
      <c r="AI938" s="147"/>
      <c r="AJ938" s="147"/>
      <c r="AK938" s="147"/>
      <c r="AL938" s="147"/>
      <c r="AM938" s="147"/>
      <c r="AN938" s="147"/>
      <c r="AO938" s="147"/>
      <c r="AP938" s="147"/>
      <c r="AQ938" s="147"/>
      <c r="AR938" s="147"/>
      <c r="AS938" s="147"/>
    </row>
    <row r="939" spans="1:45" x14ac:dyDescent="0.25">
      <c r="A939" s="147"/>
      <c r="B939" s="147"/>
      <c r="C939" s="160"/>
      <c r="D939" s="160"/>
      <c r="E939" s="161"/>
      <c r="F939" s="162"/>
      <c r="G939" s="163"/>
      <c r="H939" s="163"/>
      <c r="I939" s="164"/>
      <c r="J939" s="162"/>
      <c r="K939" s="165"/>
      <c r="L939" s="166"/>
      <c r="M939" s="167"/>
      <c r="N939" s="167"/>
      <c r="O939" s="168"/>
      <c r="P939" s="168"/>
      <c r="Q939" s="147"/>
      <c r="R939" s="147"/>
      <c r="S939" s="169"/>
      <c r="T939" s="147"/>
      <c r="U939" s="147"/>
      <c r="V939" s="147"/>
      <c r="W939" s="147"/>
      <c r="X939" s="147"/>
      <c r="Y939" s="147"/>
      <c r="Z939" s="147"/>
      <c r="AA939" s="147"/>
      <c r="AB939" s="147"/>
      <c r="AC939" s="147"/>
      <c r="AD939" s="147"/>
      <c r="AE939" s="147"/>
      <c r="AF939" s="147"/>
      <c r="AG939" s="147"/>
      <c r="AH939" s="147"/>
      <c r="AI939" s="147"/>
      <c r="AJ939" s="147"/>
      <c r="AK939" s="147"/>
      <c r="AL939" s="147"/>
      <c r="AM939" s="147"/>
      <c r="AN939" s="147"/>
      <c r="AO939" s="147"/>
      <c r="AP939" s="147"/>
      <c r="AQ939" s="147"/>
      <c r="AR939" s="147"/>
      <c r="AS939" s="147"/>
    </row>
    <row r="940" spans="1:45" x14ac:dyDescent="0.25">
      <c r="A940" s="147"/>
      <c r="B940" s="147"/>
      <c r="C940" s="160"/>
      <c r="D940" s="160"/>
      <c r="E940" s="161"/>
      <c r="F940" s="162"/>
      <c r="G940" s="163"/>
      <c r="H940" s="163"/>
      <c r="I940" s="164"/>
      <c r="J940" s="162"/>
      <c r="K940" s="165"/>
      <c r="L940" s="166"/>
      <c r="M940" s="167"/>
      <c r="N940" s="167"/>
      <c r="O940" s="168"/>
      <c r="P940" s="168"/>
      <c r="Q940" s="147"/>
      <c r="R940" s="147"/>
      <c r="S940" s="169"/>
      <c r="T940" s="147"/>
      <c r="U940" s="147"/>
      <c r="V940" s="147"/>
      <c r="W940" s="147"/>
      <c r="X940" s="147"/>
      <c r="Y940" s="147"/>
      <c r="Z940" s="147"/>
      <c r="AA940" s="147"/>
      <c r="AB940" s="147"/>
      <c r="AC940" s="147"/>
      <c r="AD940" s="147"/>
      <c r="AE940" s="147"/>
      <c r="AF940" s="147"/>
      <c r="AG940" s="147"/>
      <c r="AH940" s="147"/>
      <c r="AI940" s="147"/>
      <c r="AJ940" s="147"/>
      <c r="AK940" s="147"/>
      <c r="AL940" s="147"/>
      <c r="AM940" s="147"/>
      <c r="AN940" s="147"/>
      <c r="AO940" s="147"/>
      <c r="AP940" s="147"/>
      <c r="AQ940" s="147"/>
      <c r="AR940" s="147"/>
      <c r="AS940" s="147"/>
    </row>
    <row r="941" spans="1:45" x14ac:dyDescent="0.25">
      <c r="A941" s="147"/>
      <c r="B941" s="147"/>
      <c r="C941" s="160"/>
      <c r="D941" s="160"/>
      <c r="E941" s="161"/>
      <c r="F941" s="162"/>
      <c r="G941" s="163"/>
      <c r="H941" s="163"/>
      <c r="I941" s="164"/>
      <c r="J941" s="162"/>
      <c r="K941" s="165"/>
      <c r="L941" s="166"/>
      <c r="M941" s="167"/>
      <c r="N941" s="167"/>
      <c r="O941" s="168"/>
      <c r="P941" s="168"/>
      <c r="Q941" s="147"/>
      <c r="R941" s="147"/>
      <c r="S941" s="169"/>
      <c r="T941" s="147"/>
      <c r="U941" s="147"/>
      <c r="V941" s="147"/>
      <c r="W941" s="147"/>
      <c r="X941" s="147"/>
      <c r="Y941" s="147"/>
      <c r="Z941" s="147"/>
      <c r="AA941" s="147"/>
      <c r="AB941" s="147"/>
      <c r="AC941" s="147"/>
      <c r="AD941" s="147"/>
      <c r="AE941" s="147"/>
      <c r="AF941" s="147"/>
      <c r="AG941" s="147"/>
      <c r="AH941" s="147"/>
      <c r="AI941" s="147"/>
      <c r="AJ941" s="147"/>
      <c r="AK941" s="147"/>
      <c r="AL941" s="147"/>
      <c r="AM941" s="147"/>
      <c r="AN941" s="147"/>
      <c r="AO941" s="147"/>
      <c r="AP941" s="147"/>
      <c r="AQ941" s="147"/>
      <c r="AR941" s="147"/>
      <c r="AS941" s="147"/>
    </row>
    <row r="942" spans="1:45" x14ac:dyDescent="0.25">
      <c r="A942" s="147"/>
      <c r="B942" s="147"/>
      <c r="C942" s="160"/>
      <c r="D942" s="160"/>
      <c r="E942" s="161"/>
      <c r="F942" s="162"/>
      <c r="G942" s="163"/>
      <c r="H942" s="163"/>
      <c r="I942" s="164"/>
      <c r="J942" s="162"/>
      <c r="K942" s="165"/>
      <c r="L942" s="166"/>
      <c r="M942" s="167"/>
      <c r="N942" s="167"/>
      <c r="O942" s="168"/>
      <c r="P942" s="168"/>
      <c r="Q942" s="147"/>
      <c r="R942" s="147"/>
      <c r="S942" s="169"/>
      <c r="T942" s="147"/>
      <c r="U942" s="147"/>
      <c r="V942" s="147"/>
      <c r="W942" s="147"/>
      <c r="X942" s="147"/>
      <c r="Y942" s="147"/>
      <c r="Z942" s="147"/>
      <c r="AA942" s="147"/>
      <c r="AB942" s="147"/>
      <c r="AC942" s="147"/>
      <c r="AD942" s="147"/>
      <c r="AE942" s="147"/>
      <c r="AF942" s="147"/>
      <c r="AG942" s="147"/>
      <c r="AH942" s="147"/>
      <c r="AI942" s="147"/>
      <c r="AJ942" s="147"/>
      <c r="AK942" s="147"/>
      <c r="AL942" s="147"/>
      <c r="AM942" s="147"/>
      <c r="AN942" s="147"/>
      <c r="AO942" s="147"/>
      <c r="AP942" s="147"/>
      <c r="AQ942" s="147"/>
      <c r="AR942" s="147"/>
      <c r="AS942" s="147"/>
    </row>
    <row r="943" spans="1:45" x14ac:dyDescent="0.25">
      <c r="A943" s="147"/>
      <c r="B943" s="147"/>
      <c r="C943" s="160"/>
      <c r="D943" s="160"/>
      <c r="E943" s="161"/>
      <c r="F943" s="162"/>
      <c r="G943" s="163"/>
      <c r="H943" s="163"/>
      <c r="I943" s="164"/>
      <c r="J943" s="162"/>
      <c r="K943" s="165"/>
      <c r="L943" s="166"/>
      <c r="M943" s="167"/>
      <c r="N943" s="167"/>
      <c r="O943" s="168"/>
      <c r="P943" s="168"/>
      <c r="Q943" s="147"/>
      <c r="R943" s="147"/>
      <c r="S943" s="169"/>
      <c r="T943" s="147"/>
      <c r="U943" s="147"/>
      <c r="V943" s="147"/>
      <c r="W943" s="147"/>
      <c r="X943" s="147"/>
      <c r="Y943" s="147"/>
      <c r="Z943" s="147"/>
      <c r="AA943" s="147"/>
      <c r="AB943" s="147"/>
      <c r="AC943" s="147"/>
      <c r="AD943" s="147"/>
      <c r="AE943" s="147"/>
      <c r="AF943" s="147"/>
      <c r="AG943" s="147"/>
      <c r="AH943" s="147"/>
      <c r="AI943" s="147"/>
      <c r="AJ943" s="147"/>
      <c r="AK943" s="147"/>
      <c r="AL943" s="147"/>
      <c r="AM943" s="147"/>
      <c r="AN943" s="147"/>
      <c r="AO943" s="147"/>
      <c r="AP943" s="147"/>
      <c r="AQ943" s="147"/>
      <c r="AR943" s="147"/>
      <c r="AS943" s="147"/>
    </row>
    <row r="944" spans="1:45" x14ac:dyDescent="0.25">
      <c r="A944" s="147"/>
      <c r="B944" s="147"/>
      <c r="C944" s="160"/>
      <c r="D944" s="160"/>
      <c r="E944" s="161"/>
      <c r="F944" s="162"/>
      <c r="G944" s="163"/>
      <c r="H944" s="163"/>
      <c r="I944" s="164"/>
      <c r="J944" s="162"/>
      <c r="K944" s="165"/>
      <c r="L944" s="166"/>
      <c r="M944" s="167"/>
      <c r="N944" s="167"/>
      <c r="O944" s="168"/>
      <c r="P944" s="168"/>
      <c r="Q944" s="147"/>
      <c r="R944" s="147"/>
      <c r="S944" s="169"/>
      <c r="T944" s="147"/>
      <c r="U944" s="147"/>
      <c r="V944" s="147"/>
      <c r="W944" s="147"/>
      <c r="X944" s="147"/>
      <c r="Y944" s="147"/>
      <c r="Z944" s="147"/>
      <c r="AA944" s="147"/>
      <c r="AB944" s="147"/>
      <c r="AC944" s="147"/>
      <c r="AD944" s="147"/>
      <c r="AE944" s="147"/>
      <c r="AF944" s="147"/>
      <c r="AG944" s="147"/>
      <c r="AH944" s="147"/>
      <c r="AI944" s="147"/>
      <c r="AJ944" s="147"/>
      <c r="AK944" s="147"/>
      <c r="AL944" s="147"/>
      <c r="AM944" s="147"/>
      <c r="AN944" s="147"/>
      <c r="AO944" s="147"/>
      <c r="AP944" s="147"/>
      <c r="AQ944" s="147"/>
      <c r="AR944" s="147"/>
      <c r="AS944" s="147"/>
    </row>
    <row r="945" spans="1:45" x14ac:dyDescent="0.25">
      <c r="A945" s="147"/>
      <c r="B945" s="147"/>
      <c r="C945" s="160"/>
      <c r="D945" s="160"/>
      <c r="E945" s="161"/>
      <c r="F945" s="162"/>
      <c r="G945" s="163"/>
      <c r="H945" s="163"/>
      <c r="I945" s="164"/>
      <c r="J945" s="162"/>
      <c r="K945" s="165"/>
      <c r="L945" s="166"/>
      <c r="M945" s="167"/>
      <c r="N945" s="167"/>
      <c r="O945" s="168"/>
      <c r="P945" s="168"/>
      <c r="Q945" s="147"/>
      <c r="R945" s="147"/>
      <c r="S945" s="169"/>
      <c r="T945" s="147"/>
      <c r="U945" s="147"/>
      <c r="V945" s="147"/>
      <c r="W945" s="147"/>
      <c r="X945" s="147"/>
      <c r="Y945" s="147"/>
      <c r="Z945" s="147"/>
      <c r="AA945" s="147"/>
      <c r="AB945" s="147"/>
      <c r="AC945" s="147"/>
      <c r="AD945" s="147"/>
      <c r="AE945" s="147"/>
      <c r="AF945" s="147"/>
      <c r="AG945" s="147"/>
      <c r="AH945" s="147"/>
      <c r="AI945" s="147"/>
      <c r="AJ945" s="147"/>
      <c r="AK945" s="147"/>
      <c r="AL945" s="147"/>
      <c r="AM945" s="147"/>
      <c r="AN945" s="147"/>
      <c r="AO945" s="147"/>
      <c r="AP945" s="147"/>
      <c r="AQ945" s="147"/>
      <c r="AR945" s="147"/>
      <c r="AS945" s="147"/>
    </row>
    <row r="946" spans="1:45" x14ac:dyDescent="0.25">
      <c r="A946" s="147"/>
      <c r="B946" s="147"/>
      <c r="C946" s="160"/>
      <c r="D946" s="160"/>
      <c r="E946" s="161"/>
      <c r="F946" s="162"/>
      <c r="G946" s="163"/>
      <c r="H946" s="163"/>
      <c r="I946" s="164"/>
      <c r="J946" s="162"/>
      <c r="K946" s="165"/>
      <c r="L946" s="166"/>
      <c r="M946" s="167"/>
      <c r="N946" s="167"/>
      <c r="O946" s="168"/>
      <c r="P946" s="168"/>
      <c r="Q946" s="147"/>
      <c r="R946" s="147"/>
      <c r="S946" s="169"/>
      <c r="T946" s="147"/>
      <c r="U946" s="147"/>
      <c r="V946" s="147"/>
      <c r="W946" s="147"/>
      <c r="X946" s="147"/>
      <c r="Y946" s="147"/>
      <c r="Z946" s="147"/>
      <c r="AA946" s="147"/>
      <c r="AB946" s="147"/>
      <c r="AC946" s="147"/>
      <c r="AD946" s="147"/>
      <c r="AE946" s="147"/>
      <c r="AF946" s="147"/>
      <c r="AG946" s="147"/>
      <c r="AH946" s="147"/>
      <c r="AI946" s="147"/>
      <c r="AJ946" s="147"/>
      <c r="AK946" s="147"/>
      <c r="AL946" s="147"/>
      <c r="AM946" s="147"/>
      <c r="AN946" s="147"/>
      <c r="AO946" s="147"/>
      <c r="AP946" s="147"/>
      <c r="AQ946" s="147"/>
      <c r="AR946" s="147"/>
      <c r="AS946" s="147"/>
    </row>
    <row r="947" spans="1:45" x14ac:dyDescent="0.25">
      <c r="A947" s="147"/>
      <c r="B947" s="147"/>
      <c r="C947" s="160"/>
      <c r="D947" s="160"/>
      <c r="E947" s="161"/>
      <c r="F947" s="162"/>
      <c r="G947" s="163"/>
      <c r="H947" s="163"/>
      <c r="I947" s="164"/>
      <c r="J947" s="162"/>
      <c r="K947" s="165"/>
      <c r="L947" s="166"/>
      <c r="M947" s="167"/>
      <c r="N947" s="167"/>
      <c r="O947" s="168"/>
      <c r="P947" s="168"/>
      <c r="Q947" s="147"/>
      <c r="R947" s="147"/>
      <c r="S947" s="169"/>
      <c r="T947" s="147"/>
      <c r="U947" s="147"/>
      <c r="V947" s="147"/>
      <c r="W947" s="147"/>
      <c r="X947" s="147"/>
      <c r="Y947" s="147"/>
      <c r="Z947" s="147"/>
      <c r="AA947" s="147"/>
      <c r="AB947" s="147"/>
      <c r="AC947" s="147"/>
      <c r="AD947" s="147"/>
      <c r="AE947" s="147"/>
      <c r="AF947" s="147"/>
      <c r="AG947" s="147"/>
      <c r="AH947" s="147"/>
      <c r="AI947" s="147"/>
      <c r="AJ947" s="147"/>
      <c r="AK947" s="147"/>
      <c r="AL947" s="147"/>
      <c r="AM947" s="147"/>
      <c r="AN947" s="147"/>
      <c r="AO947" s="147"/>
      <c r="AP947" s="147"/>
      <c r="AQ947" s="147"/>
      <c r="AR947" s="147"/>
      <c r="AS947" s="147"/>
    </row>
    <row r="948" spans="1:45" x14ac:dyDescent="0.25">
      <c r="A948" s="147"/>
      <c r="B948" s="147"/>
      <c r="C948" s="160"/>
      <c r="D948" s="160"/>
      <c r="E948" s="161"/>
      <c r="F948" s="162"/>
      <c r="G948" s="163"/>
      <c r="H948" s="163"/>
      <c r="I948" s="164"/>
      <c r="J948" s="162"/>
      <c r="K948" s="165"/>
      <c r="L948" s="166"/>
      <c r="M948" s="167"/>
      <c r="N948" s="167"/>
      <c r="O948" s="168"/>
      <c r="P948" s="168"/>
      <c r="Q948" s="147"/>
      <c r="R948" s="147"/>
      <c r="S948" s="169"/>
      <c r="T948" s="147"/>
      <c r="U948" s="147"/>
      <c r="V948" s="147"/>
      <c r="W948" s="147"/>
      <c r="X948" s="147"/>
      <c r="Y948" s="147"/>
      <c r="Z948" s="147"/>
      <c r="AA948" s="147"/>
      <c r="AB948" s="147"/>
      <c r="AC948" s="147"/>
      <c r="AD948" s="147"/>
      <c r="AE948" s="147"/>
      <c r="AF948" s="147"/>
      <c r="AG948" s="147"/>
      <c r="AH948" s="147"/>
      <c r="AI948" s="147"/>
      <c r="AJ948" s="147"/>
      <c r="AK948" s="147"/>
      <c r="AL948" s="147"/>
      <c r="AM948" s="147"/>
      <c r="AN948" s="147"/>
      <c r="AO948" s="147"/>
      <c r="AP948" s="147"/>
      <c r="AQ948" s="147"/>
      <c r="AR948" s="147"/>
      <c r="AS948" s="147"/>
    </row>
    <row r="949" spans="1:45" x14ac:dyDescent="0.25">
      <c r="A949" s="147"/>
      <c r="B949" s="147"/>
      <c r="C949" s="160"/>
      <c r="D949" s="160"/>
      <c r="E949" s="161"/>
      <c r="F949" s="162"/>
      <c r="G949" s="163"/>
      <c r="H949" s="163"/>
      <c r="I949" s="164"/>
      <c r="J949" s="162"/>
      <c r="K949" s="165"/>
      <c r="L949" s="166"/>
      <c r="M949" s="167"/>
      <c r="N949" s="167"/>
      <c r="O949" s="168"/>
      <c r="P949" s="168"/>
      <c r="Q949" s="147"/>
      <c r="R949" s="147"/>
      <c r="S949" s="169"/>
      <c r="T949" s="147"/>
      <c r="U949" s="147"/>
      <c r="V949" s="147"/>
      <c r="W949" s="147"/>
      <c r="X949" s="147"/>
      <c r="Y949" s="147"/>
      <c r="Z949" s="147"/>
      <c r="AA949" s="147"/>
      <c r="AB949" s="147"/>
      <c r="AC949" s="147"/>
      <c r="AD949" s="147"/>
      <c r="AE949" s="147"/>
      <c r="AF949" s="147"/>
      <c r="AG949" s="147"/>
      <c r="AH949" s="147"/>
      <c r="AI949" s="147"/>
      <c r="AJ949" s="147"/>
      <c r="AK949" s="147"/>
      <c r="AL949" s="147"/>
      <c r="AM949" s="147"/>
      <c r="AN949" s="147"/>
      <c r="AO949" s="147"/>
      <c r="AP949" s="147"/>
      <c r="AQ949" s="147"/>
      <c r="AR949" s="147"/>
      <c r="AS949" s="147"/>
    </row>
    <row r="950" spans="1:45" x14ac:dyDescent="0.25">
      <c r="A950" s="147"/>
      <c r="B950" s="147"/>
      <c r="C950" s="160"/>
      <c r="D950" s="160"/>
      <c r="E950" s="161"/>
      <c r="F950" s="162"/>
      <c r="G950" s="163"/>
      <c r="H950" s="163"/>
      <c r="I950" s="164"/>
      <c r="J950" s="162"/>
      <c r="K950" s="165"/>
      <c r="L950" s="166"/>
      <c r="M950" s="167"/>
      <c r="N950" s="167"/>
      <c r="O950" s="168"/>
      <c r="P950" s="168"/>
      <c r="Q950" s="147"/>
      <c r="R950" s="147"/>
      <c r="S950" s="169"/>
      <c r="T950" s="147"/>
      <c r="U950" s="147"/>
      <c r="V950" s="147"/>
      <c r="W950" s="147"/>
      <c r="X950" s="147"/>
      <c r="Y950" s="147"/>
      <c r="Z950" s="147"/>
      <c r="AA950" s="147"/>
      <c r="AB950" s="147"/>
      <c r="AC950" s="147"/>
      <c r="AD950" s="147"/>
      <c r="AE950" s="147"/>
      <c r="AF950" s="147"/>
      <c r="AG950" s="147"/>
      <c r="AH950" s="147"/>
      <c r="AI950" s="147"/>
      <c r="AJ950" s="147"/>
      <c r="AK950" s="147"/>
      <c r="AL950" s="147"/>
      <c r="AM950" s="147"/>
      <c r="AN950" s="147"/>
      <c r="AO950" s="147"/>
      <c r="AP950" s="147"/>
      <c r="AQ950" s="147"/>
      <c r="AR950" s="147"/>
      <c r="AS950" s="147"/>
    </row>
    <row r="951" spans="1:45" x14ac:dyDescent="0.25">
      <c r="A951" s="147"/>
      <c r="B951" s="147"/>
      <c r="C951" s="160"/>
      <c r="D951" s="160"/>
      <c r="E951" s="161"/>
      <c r="F951" s="162"/>
      <c r="G951" s="163"/>
      <c r="H951" s="163"/>
      <c r="I951" s="164"/>
      <c r="J951" s="162"/>
      <c r="K951" s="165"/>
      <c r="L951" s="166"/>
      <c r="M951" s="167"/>
      <c r="N951" s="167"/>
      <c r="O951" s="168"/>
      <c r="P951" s="168"/>
      <c r="Q951" s="147"/>
      <c r="R951" s="147"/>
      <c r="S951" s="169"/>
      <c r="T951" s="147"/>
      <c r="U951" s="147"/>
      <c r="V951" s="147"/>
      <c r="W951" s="147"/>
      <c r="X951" s="147"/>
      <c r="Y951" s="147"/>
      <c r="Z951" s="147"/>
      <c r="AA951" s="147"/>
      <c r="AB951" s="147"/>
      <c r="AC951" s="147"/>
      <c r="AD951" s="147"/>
      <c r="AE951" s="147"/>
      <c r="AF951" s="147"/>
      <c r="AG951" s="147"/>
      <c r="AH951" s="147"/>
      <c r="AI951" s="147"/>
      <c r="AJ951" s="147"/>
      <c r="AK951" s="147"/>
      <c r="AL951" s="147"/>
      <c r="AM951" s="147"/>
      <c r="AN951" s="147"/>
      <c r="AO951" s="147"/>
      <c r="AP951" s="147"/>
      <c r="AQ951" s="147"/>
      <c r="AR951" s="147"/>
      <c r="AS951" s="147"/>
    </row>
    <row r="952" spans="1:45" x14ac:dyDescent="0.25">
      <c r="A952" s="147"/>
      <c r="B952" s="147"/>
      <c r="C952" s="160"/>
      <c r="D952" s="160"/>
      <c r="E952" s="161"/>
      <c r="F952" s="162"/>
      <c r="G952" s="163"/>
      <c r="H952" s="163"/>
      <c r="I952" s="164"/>
      <c r="J952" s="162"/>
      <c r="K952" s="165"/>
      <c r="L952" s="166"/>
      <c r="M952" s="167"/>
      <c r="N952" s="167"/>
      <c r="O952" s="168"/>
      <c r="P952" s="168"/>
      <c r="Q952" s="147"/>
      <c r="R952" s="147"/>
      <c r="S952" s="169"/>
      <c r="T952" s="147"/>
      <c r="U952" s="147"/>
      <c r="V952" s="147"/>
      <c r="W952" s="147"/>
      <c r="X952" s="147"/>
      <c r="Y952" s="147"/>
      <c r="Z952" s="147"/>
      <c r="AA952" s="147"/>
      <c r="AB952" s="147"/>
      <c r="AC952" s="147"/>
      <c r="AD952" s="147"/>
      <c r="AE952" s="147"/>
      <c r="AF952" s="147"/>
      <c r="AG952" s="147"/>
      <c r="AH952" s="147"/>
      <c r="AI952" s="147"/>
      <c r="AJ952" s="147"/>
      <c r="AK952" s="147"/>
      <c r="AL952" s="147"/>
      <c r="AM952" s="147"/>
      <c r="AN952" s="147"/>
      <c r="AO952" s="147"/>
      <c r="AP952" s="147"/>
      <c r="AQ952" s="147"/>
      <c r="AR952" s="147"/>
      <c r="AS952" s="147"/>
    </row>
    <row r="953" spans="1:45" x14ac:dyDescent="0.25">
      <c r="A953" s="147"/>
      <c r="B953" s="147"/>
      <c r="C953" s="160"/>
      <c r="D953" s="160"/>
      <c r="E953" s="161"/>
      <c r="F953" s="162"/>
      <c r="G953" s="163"/>
      <c r="H953" s="163"/>
      <c r="I953" s="164"/>
      <c r="J953" s="162"/>
      <c r="K953" s="165"/>
      <c r="L953" s="166"/>
      <c r="M953" s="167"/>
      <c r="N953" s="167"/>
      <c r="O953" s="168"/>
      <c r="P953" s="168"/>
      <c r="Q953" s="147"/>
      <c r="R953" s="147"/>
      <c r="S953" s="169"/>
      <c r="T953" s="147"/>
      <c r="U953" s="147"/>
      <c r="V953" s="147"/>
      <c r="W953" s="147"/>
      <c r="X953" s="147"/>
      <c r="Y953" s="147"/>
      <c r="Z953" s="147"/>
      <c r="AA953" s="147"/>
      <c r="AB953" s="147"/>
      <c r="AC953" s="147"/>
      <c r="AD953" s="147"/>
      <c r="AE953" s="147"/>
      <c r="AF953" s="147"/>
      <c r="AG953" s="147"/>
      <c r="AH953" s="147"/>
      <c r="AI953" s="147"/>
      <c r="AJ953" s="147"/>
      <c r="AK953" s="147"/>
      <c r="AL953" s="147"/>
      <c r="AM953" s="147"/>
      <c r="AN953" s="147"/>
      <c r="AO953" s="147"/>
      <c r="AP953" s="147"/>
      <c r="AQ953" s="147"/>
      <c r="AR953" s="147"/>
      <c r="AS953" s="147"/>
    </row>
    <row r="954" spans="1:45" x14ac:dyDescent="0.25">
      <c r="A954" s="147"/>
      <c r="B954" s="147"/>
      <c r="C954" s="160"/>
      <c r="D954" s="160"/>
      <c r="E954" s="161"/>
      <c r="F954" s="162"/>
      <c r="G954" s="163"/>
      <c r="H954" s="163"/>
      <c r="I954" s="164"/>
      <c r="J954" s="162"/>
      <c r="K954" s="165"/>
      <c r="L954" s="166"/>
      <c r="M954" s="167"/>
      <c r="N954" s="167"/>
      <c r="O954" s="168"/>
      <c r="P954" s="168"/>
      <c r="Q954" s="147"/>
      <c r="R954" s="147"/>
      <c r="S954" s="169"/>
      <c r="T954" s="147"/>
      <c r="U954" s="147"/>
      <c r="V954" s="147"/>
      <c r="W954" s="147"/>
      <c r="X954" s="147"/>
      <c r="Y954" s="147"/>
      <c r="Z954" s="147"/>
      <c r="AA954" s="147"/>
      <c r="AB954" s="147"/>
      <c r="AC954" s="147"/>
      <c r="AD954" s="147"/>
      <c r="AE954" s="147"/>
      <c r="AF954" s="147"/>
      <c r="AG954" s="147"/>
      <c r="AH954" s="147"/>
      <c r="AI954" s="147"/>
      <c r="AJ954" s="147"/>
      <c r="AK954" s="147"/>
      <c r="AL954" s="147"/>
      <c r="AM954" s="147"/>
      <c r="AN954" s="147"/>
      <c r="AO954" s="147"/>
      <c r="AP954" s="147"/>
      <c r="AQ954" s="147"/>
      <c r="AR954" s="147"/>
      <c r="AS954" s="147"/>
    </row>
    <row r="955" spans="1:45" x14ac:dyDescent="0.25">
      <c r="A955" s="147"/>
      <c r="B955" s="147"/>
      <c r="C955" s="160"/>
      <c r="D955" s="160"/>
      <c r="E955" s="161"/>
      <c r="F955" s="162"/>
      <c r="G955" s="163"/>
      <c r="H955" s="163"/>
      <c r="I955" s="164"/>
      <c r="J955" s="162"/>
      <c r="K955" s="165"/>
      <c r="L955" s="166"/>
      <c r="M955" s="167"/>
      <c r="N955" s="167"/>
      <c r="O955" s="168"/>
      <c r="P955" s="168"/>
      <c r="Q955" s="147"/>
      <c r="R955" s="147"/>
      <c r="S955" s="169"/>
      <c r="T955" s="147"/>
      <c r="U955" s="147"/>
      <c r="V955" s="147"/>
      <c r="W955" s="147"/>
      <c r="X955" s="147"/>
      <c r="Y955" s="147"/>
      <c r="Z955" s="147"/>
      <c r="AA955" s="147"/>
      <c r="AB955" s="147"/>
      <c r="AC955" s="147"/>
      <c r="AD955" s="147"/>
      <c r="AE955" s="147"/>
      <c r="AF955" s="147"/>
      <c r="AG955" s="147"/>
      <c r="AH955" s="147"/>
      <c r="AI955" s="147"/>
      <c r="AJ955" s="147"/>
      <c r="AK955" s="147"/>
      <c r="AL955" s="147"/>
      <c r="AM955" s="147"/>
      <c r="AN955" s="147"/>
      <c r="AO955" s="147"/>
      <c r="AP955" s="147"/>
      <c r="AQ955" s="147"/>
      <c r="AR955" s="147"/>
      <c r="AS955" s="147"/>
    </row>
    <row r="956" spans="1:45" x14ac:dyDescent="0.25">
      <c r="A956" s="147"/>
      <c r="B956" s="147"/>
      <c r="C956" s="160"/>
      <c r="D956" s="160"/>
      <c r="E956" s="161"/>
      <c r="F956" s="162"/>
      <c r="G956" s="163"/>
      <c r="H956" s="163"/>
      <c r="I956" s="164"/>
      <c r="J956" s="162"/>
      <c r="K956" s="165"/>
      <c r="L956" s="166"/>
      <c r="M956" s="167"/>
      <c r="N956" s="167"/>
      <c r="O956" s="168"/>
      <c r="P956" s="168"/>
      <c r="Q956" s="147"/>
      <c r="R956" s="147"/>
      <c r="S956" s="169"/>
      <c r="T956" s="147"/>
      <c r="U956" s="147"/>
      <c r="V956" s="147"/>
      <c r="W956" s="147"/>
      <c r="X956" s="147"/>
      <c r="Y956" s="147"/>
      <c r="Z956" s="147"/>
      <c r="AA956" s="147"/>
      <c r="AB956" s="147"/>
      <c r="AC956" s="147"/>
      <c r="AD956" s="147"/>
      <c r="AE956" s="147"/>
      <c r="AF956" s="147"/>
      <c r="AG956" s="147"/>
      <c r="AH956" s="147"/>
      <c r="AI956" s="147"/>
      <c r="AJ956" s="147"/>
      <c r="AK956" s="147"/>
      <c r="AL956" s="147"/>
      <c r="AM956" s="147"/>
      <c r="AN956" s="147"/>
      <c r="AO956" s="147"/>
      <c r="AP956" s="147"/>
      <c r="AQ956" s="147"/>
      <c r="AR956" s="147"/>
      <c r="AS956" s="147"/>
    </row>
    <row r="957" spans="1:45" x14ac:dyDescent="0.25">
      <c r="A957" s="147"/>
      <c r="B957" s="147"/>
      <c r="C957" s="160"/>
      <c r="D957" s="160"/>
      <c r="E957" s="161"/>
      <c r="F957" s="162"/>
      <c r="G957" s="163"/>
      <c r="H957" s="163"/>
      <c r="I957" s="164"/>
      <c r="J957" s="162"/>
      <c r="K957" s="165"/>
      <c r="L957" s="166"/>
      <c r="M957" s="167"/>
      <c r="N957" s="167"/>
      <c r="O957" s="168"/>
      <c r="P957" s="168"/>
      <c r="Q957" s="147"/>
      <c r="R957" s="147"/>
      <c r="S957" s="169"/>
      <c r="T957" s="147"/>
      <c r="U957" s="147"/>
      <c r="V957" s="147"/>
      <c r="W957" s="147"/>
      <c r="X957" s="147"/>
      <c r="Y957" s="147"/>
      <c r="Z957" s="147"/>
      <c r="AA957" s="147"/>
      <c r="AB957" s="147"/>
      <c r="AC957" s="147"/>
      <c r="AD957" s="147"/>
      <c r="AE957" s="147"/>
      <c r="AF957" s="147"/>
      <c r="AG957" s="147"/>
      <c r="AH957" s="147"/>
      <c r="AI957" s="147"/>
      <c r="AJ957" s="147"/>
      <c r="AK957" s="147"/>
      <c r="AL957" s="147"/>
      <c r="AM957" s="147"/>
      <c r="AN957" s="147"/>
      <c r="AO957" s="147"/>
      <c r="AP957" s="147"/>
      <c r="AQ957" s="147"/>
      <c r="AR957" s="147"/>
      <c r="AS957" s="147"/>
    </row>
    <row r="958" spans="1:45" x14ac:dyDescent="0.25">
      <c r="A958" s="147"/>
      <c r="B958" s="147"/>
      <c r="C958" s="160"/>
      <c r="D958" s="160"/>
      <c r="E958" s="161"/>
      <c r="F958" s="162"/>
      <c r="G958" s="163"/>
      <c r="H958" s="163"/>
      <c r="I958" s="164"/>
      <c r="J958" s="162"/>
      <c r="K958" s="165"/>
      <c r="L958" s="166"/>
      <c r="M958" s="167"/>
      <c r="N958" s="167"/>
      <c r="O958" s="168"/>
      <c r="P958" s="168"/>
      <c r="Q958" s="147"/>
      <c r="R958" s="147"/>
      <c r="S958" s="169"/>
      <c r="T958" s="147"/>
      <c r="U958" s="147"/>
      <c r="V958" s="147"/>
      <c r="W958" s="147"/>
      <c r="X958" s="147"/>
      <c r="Y958" s="147"/>
      <c r="Z958" s="147"/>
      <c r="AA958" s="147"/>
      <c r="AB958" s="147"/>
      <c r="AC958" s="147"/>
      <c r="AD958" s="147"/>
      <c r="AE958" s="147"/>
      <c r="AF958" s="147"/>
      <c r="AG958" s="147"/>
      <c r="AH958" s="147"/>
      <c r="AI958" s="147"/>
      <c r="AJ958" s="147"/>
      <c r="AK958" s="147"/>
      <c r="AL958" s="147"/>
      <c r="AM958" s="147"/>
      <c r="AN958" s="147"/>
      <c r="AO958" s="147"/>
      <c r="AP958" s="147"/>
      <c r="AQ958" s="147"/>
      <c r="AR958" s="147"/>
      <c r="AS958" s="147"/>
    </row>
    <row r="959" spans="1:45" x14ac:dyDescent="0.25">
      <c r="A959" s="147"/>
      <c r="B959" s="147"/>
      <c r="C959" s="160"/>
      <c r="D959" s="160"/>
      <c r="E959" s="161"/>
      <c r="F959" s="162"/>
      <c r="G959" s="163"/>
      <c r="H959" s="163"/>
      <c r="I959" s="164"/>
      <c r="J959" s="162"/>
      <c r="K959" s="165"/>
      <c r="L959" s="166"/>
      <c r="M959" s="167"/>
      <c r="N959" s="167"/>
      <c r="O959" s="168"/>
      <c r="P959" s="168"/>
      <c r="Q959" s="147"/>
      <c r="R959" s="147"/>
      <c r="S959" s="169"/>
      <c r="T959" s="147"/>
      <c r="U959" s="147"/>
      <c r="V959" s="147"/>
      <c r="W959" s="147"/>
      <c r="X959" s="147"/>
      <c r="Y959" s="147"/>
      <c r="Z959" s="147"/>
      <c r="AA959" s="147"/>
      <c r="AB959" s="147"/>
      <c r="AC959" s="147"/>
      <c r="AD959" s="147"/>
      <c r="AE959" s="147"/>
      <c r="AF959" s="147"/>
      <c r="AG959" s="147"/>
      <c r="AH959" s="147"/>
      <c r="AI959" s="147"/>
      <c r="AJ959" s="147"/>
      <c r="AK959" s="147"/>
      <c r="AL959" s="147"/>
      <c r="AM959" s="147"/>
      <c r="AN959" s="147"/>
      <c r="AO959" s="147"/>
      <c r="AP959" s="147"/>
      <c r="AQ959" s="147"/>
      <c r="AR959" s="147"/>
      <c r="AS959" s="147"/>
    </row>
    <row r="960" spans="1:45" x14ac:dyDescent="0.25">
      <c r="A960" s="147"/>
      <c r="B960" s="147"/>
      <c r="C960" s="160"/>
      <c r="D960" s="160"/>
      <c r="E960" s="161"/>
      <c r="F960" s="162"/>
      <c r="G960" s="163"/>
      <c r="H960" s="163"/>
      <c r="I960" s="164"/>
      <c r="J960" s="162"/>
      <c r="K960" s="165"/>
      <c r="L960" s="166"/>
      <c r="M960" s="167"/>
      <c r="N960" s="167"/>
      <c r="O960" s="168"/>
      <c r="P960" s="168"/>
      <c r="Q960" s="147"/>
      <c r="R960" s="147"/>
      <c r="S960" s="169"/>
      <c r="T960" s="147"/>
      <c r="U960" s="147"/>
      <c r="V960" s="147"/>
      <c r="W960" s="147"/>
      <c r="X960" s="147"/>
      <c r="Y960" s="147"/>
      <c r="Z960" s="147"/>
      <c r="AA960" s="147"/>
      <c r="AB960" s="147"/>
      <c r="AC960" s="147"/>
      <c r="AD960" s="147"/>
      <c r="AE960" s="147"/>
      <c r="AF960" s="147"/>
      <c r="AG960" s="147"/>
      <c r="AH960" s="147"/>
      <c r="AI960" s="147"/>
      <c r="AJ960" s="147"/>
      <c r="AK960" s="147"/>
      <c r="AL960" s="147"/>
      <c r="AM960" s="147"/>
      <c r="AN960" s="147"/>
      <c r="AO960" s="147"/>
      <c r="AP960" s="147"/>
      <c r="AQ960" s="147"/>
      <c r="AR960" s="147"/>
      <c r="AS960" s="147"/>
    </row>
    <row r="961" spans="1:45" x14ac:dyDescent="0.25">
      <c r="A961" s="147"/>
      <c r="B961" s="147"/>
      <c r="C961" s="160"/>
      <c r="D961" s="160"/>
      <c r="E961" s="161"/>
      <c r="F961" s="162"/>
      <c r="G961" s="163"/>
      <c r="H961" s="163"/>
      <c r="I961" s="164"/>
      <c r="J961" s="162"/>
      <c r="K961" s="165"/>
      <c r="L961" s="166"/>
      <c r="M961" s="167"/>
      <c r="N961" s="167"/>
      <c r="O961" s="168"/>
      <c r="P961" s="168"/>
      <c r="Q961" s="147"/>
      <c r="R961" s="147"/>
      <c r="S961" s="169"/>
      <c r="T961" s="147"/>
      <c r="U961" s="147"/>
      <c r="V961" s="147"/>
      <c r="W961" s="147"/>
      <c r="X961" s="147"/>
      <c r="Y961" s="147"/>
      <c r="Z961" s="147"/>
      <c r="AA961" s="147"/>
      <c r="AB961" s="147"/>
      <c r="AC961" s="147"/>
      <c r="AD961" s="147"/>
      <c r="AE961" s="147"/>
      <c r="AF961" s="147"/>
      <c r="AG961" s="147"/>
      <c r="AH961" s="147"/>
      <c r="AI961" s="147"/>
      <c r="AJ961" s="147"/>
      <c r="AK961" s="147"/>
      <c r="AL961" s="147"/>
      <c r="AM961" s="147"/>
      <c r="AN961" s="147"/>
      <c r="AO961" s="147"/>
      <c r="AP961" s="147"/>
      <c r="AQ961" s="147"/>
      <c r="AR961" s="147"/>
      <c r="AS961" s="147"/>
    </row>
    <row r="962" spans="1:45" x14ac:dyDescent="0.25">
      <c r="A962" s="147"/>
      <c r="B962" s="147"/>
      <c r="C962" s="160"/>
      <c r="D962" s="160"/>
      <c r="E962" s="161"/>
      <c r="F962" s="162"/>
      <c r="G962" s="163"/>
      <c r="H962" s="163"/>
      <c r="I962" s="164"/>
      <c r="J962" s="162"/>
      <c r="K962" s="165"/>
      <c r="L962" s="166"/>
      <c r="M962" s="167"/>
      <c r="N962" s="167"/>
      <c r="O962" s="168"/>
      <c r="P962" s="168"/>
      <c r="Q962" s="147"/>
      <c r="R962" s="147"/>
      <c r="S962" s="169"/>
      <c r="T962" s="147"/>
      <c r="U962" s="147"/>
      <c r="V962" s="147"/>
      <c r="W962" s="147"/>
      <c r="X962" s="147"/>
      <c r="Y962" s="147"/>
      <c r="Z962" s="147"/>
      <c r="AA962" s="147"/>
      <c r="AB962" s="147"/>
      <c r="AC962" s="147"/>
      <c r="AD962" s="147"/>
      <c r="AE962" s="147"/>
      <c r="AF962" s="147"/>
      <c r="AG962" s="147"/>
      <c r="AH962" s="147"/>
      <c r="AI962" s="147"/>
      <c r="AJ962" s="147"/>
      <c r="AK962" s="147"/>
      <c r="AL962" s="147"/>
      <c r="AM962" s="147"/>
      <c r="AN962" s="147"/>
      <c r="AO962" s="147"/>
      <c r="AP962" s="147"/>
      <c r="AQ962" s="147"/>
      <c r="AR962" s="147"/>
      <c r="AS962" s="147"/>
    </row>
    <row r="963" spans="1:45" x14ac:dyDescent="0.25">
      <c r="A963" s="147"/>
      <c r="B963" s="147"/>
      <c r="C963" s="160"/>
      <c r="D963" s="160"/>
      <c r="E963" s="161"/>
      <c r="F963" s="162"/>
      <c r="G963" s="163"/>
      <c r="H963" s="163"/>
      <c r="I963" s="164"/>
      <c r="J963" s="162"/>
      <c r="K963" s="165"/>
      <c r="L963" s="166"/>
      <c r="M963" s="167"/>
      <c r="N963" s="167"/>
      <c r="O963" s="168"/>
      <c r="P963" s="168"/>
      <c r="Q963" s="147"/>
      <c r="R963" s="147"/>
      <c r="S963" s="169"/>
      <c r="T963" s="147"/>
      <c r="U963" s="147"/>
      <c r="V963" s="147"/>
      <c r="W963" s="147"/>
      <c r="X963" s="147"/>
      <c r="Y963" s="147"/>
      <c r="Z963" s="147"/>
      <c r="AA963" s="147"/>
      <c r="AB963" s="147"/>
      <c r="AC963" s="147"/>
      <c r="AD963" s="147"/>
      <c r="AE963" s="147"/>
      <c r="AF963" s="147"/>
      <c r="AG963" s="147"/>
      <c r="AH963" s="147"/>
      <c r="AI963" s="147"/>
      <c r="AJ963" s="147"/>
      <c r="AK963" s="147"/>
      <c r="AL963" s="147"/>
      <c r="AM963" s="147"/>
      <c r="AN963" s="147"/>
      <c r="AO963" s="147"/>
      <c r="AP963" s="147"/>
      <c r="AQ963" s="147"/>
      <c r="AR963" s="147"/>
      <c r="AS963" s="147"/>
    </row>
    <row r="964" spans="1:45" x14ac:dyDescent="0.25">
      <c r="A964" s="147"/>
      <c r="B964" s="147"/>
      <c r="C964" s="160"/>
      <c r="D964" s="160"/>
      <c r="E964" s="161"/>
      <c r="F964" s="162"/>
      <c r="G964" s="163"/>
      <c r="H964" s="163"/>
      <c r="I964" s="164"/>
      <c r="J964" s="162"/>
      <c r="K964" s="165"/>
      <c r="L964" s="166"/>
      <c r="M964" s="167"/>
      <c r="N964" s="167"/>
      <c r="O964" s="168"/>
      <c r="P964" s="168"/>
      <c r="Q964" s="147"/>
      <c r="R964" s="147"/>
      <c r="S964" s="169"/>
      <c r="T964" s="147"/>
      <c r="U964" s="147"/>
      <c r="V964" s="147"/>
      <c r="W964" s="147"/>
      <c r="X964" s="147"/>
      <c r="Y964" s="147"/>
      <c r="Z964" s="147"/>
      <c r="AA964" s="147"/>
      <c r="AB964" s="147"/>
      <c r="AC964" s="147"/>
      <c r="AD964" s="147"/>
      <c r="AE964" s="147"/>
      <c r="AF964" s="147"/>
      <c r="AG964" s="147"/>
      <c r="AH964" s="147"/>
      <c r="AI964" s="147"/>
      <c r="AJ964" s="147"/>
      <c r="AK964" s="147"/>
      <c r="AL964" s="147"/>
      <c r="AM964" s="147"/>
      <c r="AN964" s="147"/>
      <c r="AO964" s="147"/>
      <c r="AP964" s="147"/>
      <c r="AQ964" s="147"/>
      <c r="AR964" s="147"/>
      <c r="AS964" s="147"/>
    </row>
    <row r="965" spans="1:45" x14ac:dyDescent="0.25">
      <c r="A965" s="147"/>
      <c r="B965" s="147"/>
      <c r="C965" s="160"/>
      <c r="D965" s="160"/>
      <c r="E965" s="161"/>
      <c r="F965" s="162"/>
      <c r="G965" s="163"/>
      <c r="H965" s="163"/>
      <c r="I965" s="164"/>
      <c r="J965" s="162"/>
      <c r="K965" s="165"/>
      <c r="L965" s="166"/>
      <c r="M965" s="167"/>
      <c r="N965" s="167"/>
      <c r="O965" s="168"/>
      <c r="P965" s="168"/>
      <c r="Q965" s="147"/>
      <c r="R965" s="147"/>
      <c r="S965" s="169"/>
      <c r="T965" s="147"/>
      <c r="U965" s="147"/>
      <c r="V965" s="147"/>
      <c r="W965" s="147"/>
      <c r="X965" s="147"/>
      <c r="Y965" s="147"/>
      <c r="Z965" s="147"/>
      <c r="AA965" s="147"/>
      <c r="AB965" s="147"/>
      <c r="AC965" s="147"/>
      <c r="AD965" s="147"/>
      <c r="AE965" s="147"/>
      <c r="AF965" s="147"/>
      <c r="AG965" s="147"/>
      <c r="AH965" s="147"/>
      <c r="AI965" s="147"/>
      <c r="AJ965" s="147"/>
      <c r="AK965" s="147"/>
      <c r="AL965" s="147"/>
      <c r="AM965" s="147"/>
      <c r="AN965" s="147"/>
      <c r="AO965" s="147"/>
      <c r="AP965" s="147"/>
      <c r="AQ965" s="147"/>
      <c r="AR965" s="147"/>
      <c r="AS965" s="147"/>
    </row>
    <row r="966" spans="1:45" x14ac:dyDescent="0.25">
      <c r="A966" s="147"/>
      <c r="B966" s="147"/>
      <c r="C966" s="160"/>
      <c r="D966" s="160"/>
      <c r="E966" s="161"/>
      <c r="F966" s="162"/>
      <c r="G966" s="163"/>
      <c r="H966" s="163"/>
      <c r="I966" s="164"/>
      <c r="J966" s="162"/>
      <c r="K966" s="165"/>
      <c r="L966" s="166"/>
      <c r="M966" s="167"/>
      <c r="N966" s="167"/>
      <c r="O966" s="168"/>
      <c r="P966" s="168"/>
      <c r="Q966" s="147"/>
      <c r="R966" s="147"/>
      <c r="S966" s="169"/>
      <c r="T966" s="147"/>
      <c r="U966" s="147"/>
      <c r="V966" s="147"/>
      <c r="W966" s="147"/>
      <c r="X966" s="147"/>
      <c r="Y966" s="147"/>
      <c r="Z966" s="147"/>
      <c r="AA966" s="147"/>
      <c r="AB966" s="147"/>
      <c r="AC966" s="147"/>
      <c r="AD966" s="147"/>
      <c r="AE966" s="147"/>
      <c r="AF966" s="147"/>
      <c r="AG966" s="147"/>
      <c r="AH966" s="147"/>
      <c r="AI966" s="147"/>
      <c r="AJ966" s="147"/>
      <c r="AK966" s="147"/>
      <c r="AL966" s="147"/>
      <c r="AM966" s="147"/>
      <c r="AN966" s="147"/>
      <c r="AO966" s="147"/>
      <c r="AP966" s="147"/>
      <c r="AQ966" s="147"/>
      <c r="AR966" s="147"/>
      <c r="AS966" s="147"/>
    </row>
    <row r="967" spans="1:45" x14ac:dyDescent="0.25">
      <c r="A967" s="147"/>
      <c r="B967" s="147"/>
      <c r="C967" s="160"/>
      <c r="D967" s="160"/>
      <c r="E967" s="161"/>
      <c r="F967" s="162"/>
      <c r="G967" s="163"/>
      <c r="H967" s="163"/>
      <c r="I967" s="164"/>
      <c r="J967" s="162"/>
      <c r="K967" s="165"/>
      <c r="L967" s="166"/>
      <c r="M967" s="167"/>
      <c r="N967" s="167"/>
      <c r="O967" s="168"/>
      <c r="P967" s="168"/>
      <c r="Q967" s="147"/>
      <c r="R967" s="147"/>
      <c r="S967" s="169"/>
      <c r="T967" s="147"/>
      <c r="U967" s="147"/>
      <c r="V967" s="147"/>
      <c r="W967" s="147"/>
      <c r="X967" s="147"/>
      <c r="Y967" s="147"/>
      <c r="Z967" s="147"/>
      <c r="AA967" s="147"/>
      <c r="AB967" s="147"/>
      <c r="AC967" s="147"/>
      <c r="AD967" s="147"/>
      <c r="AE967" s="147"/>
      <c r="AF967" s="147"/>
      <c r="AG967" s="147"/>
      <c r="AH967" s="147"/>
      <c r="AI967" s="147"/>
      <c r="AJ967" s="147"/>
      <c r="AK967" s="147"/>
      <c r="AL967" s="147"/>
      <c r="AM967" s="147"/>
      <c r="AN967" s="147"/>
      <c r="AO967" s="147"/>
      <c r="AP967" s="147"/>
      <c r="AQ967" s="147"/>
      <c r="AR967" s="147"/>
      <c r="AS967" s="147"/>
    </row>
    <row r="968" spans="1:45" x14ac:dyDescent="0.25">
      <c r="A968" s="147"/>
      <c r="B968" s="147"/>
      <c r="C968" s="160"/>
      <c r="D968" s="160"/>
      <c r="E968" s="161"/>
      <c r="F968" s="162"/>
      <c r="G968" s="163"/>
      <c r="H968" s="163"/>
      <c r="I968" s="164"/>
      <c r="J968" s="162"/>
      <c r="K968" s="165"/>
      <c r="L968" s="166"/>
      <c r="M968" s="167"/>
      <c r="N968" s="167"/>
      <c r="O968" s="168"/>
      <c r="P968" s="168"/>
      <c r="Q968" s="147"/>
      <c r="R968" s="147"/>
      <c r="S968" s="169"/>
      <c r="T968" s="147"/>
      <c r="U968" s="147"/>
      <c r="V968" s="147"/>
      <c r="W968" s="147"/>
      <c r="X968" s="147"/>
      <c r="Y968" s="147"/>
      <c r="Z968" s="147"/>
      <c r="AA968" s="147"/>
      <c r="AB968" s="147"/>
      <c r="AC968" s="147"/>
      <c r="AD968" s="147"/>
      <c r="AE968" s="147"/>
      <c r="AF968" s="147"/>
      <c r="AG968" s="147"/>
      <c r="AH968" s="147"/>
      <c r="AI968" s="147"/>
      <c r="AJ968" s="147"/>
      <c r="AK968" s="147"/>
      <c r="AL968" s="147"/>
      <c r="AM968" s="147"/>
      <c r="AN968" s="147"/>
      <c r="AO968" s="147"/>
      <c r="AP968" s="147"/>
      <c r="AQ968" s="147"/>
      <c r="AR968" s="147"/>
      <c r="AS968" s="147"/>
    </row>
    <row r="969" spans="1:45" x14ac:dyDescent="0.25">
      <c r="A969" s="147"/>
      <c r="B969" s="147"/>
      <c r="C969" s="160"/>
      <c r="D969" s="160"/>
      <c r="E969" s="161"/>
      <c r="F969" s="162"/>
      <c r="G969" s="163"/>
      <c r="H969" s="163"/>
      <c r="I969" s="164"/>
      <c r="J969" s="162"/>
      <c r="K969" s="165"/>
      <c r="L969" s="166"/>
      <c r="M969" s="167"/>
      <c r="N969" s="167"/>
      <c r="O969" s="168"/>
      <c r="P969" s="168"/>
      <c r="Q969" s="147"/>
      <c r="R969" s="147"/>
      <c r="S969" s="169"/>
      <c r="T969" s="147"/>
      <c r="U969" s="147"/>
      <c r="V969" s="147"/>
      <c r="W969" s="147"/>
      <c r="X969" s="147"/>
      <c r="Y969" s="147"/>
      <c r="Z969" s="147"/>
      <c r="AA969" s="147"/>
      <c r="AB969" s="147"/>
      <c r="AC969" s="147"/>
      <c r="AD969" s="147"/>
      <c r="AE969" s="147"/>
      <c r="AF969" s="147"/>
      <c r="AG969" s="147"/>
      <c r="AH969" s="147"/>
      <c r="AI969" s="147"/>
      <c r="AJ969" s="147"/>
      <c r="AK969" s="147"/>
      <c r="AL969" s="147"/>
      <c r="AM969" s="147"/>
      <c r="AN969" s="147"/>
      <c r="AO969" s="147"/>
      <c r="AP969" s="147"/>
      <c r="AQ969" s="147"/>
      <c r="AR969" s="147"/>
      <c r="AS969" s="147"/>
    </row>
    <row r="970" spans="1:45" x14ac:dyDescent="0.25">
      <c r="A970" s="147"/>
      <c r="B970" s="147"/>
      <c r="C970" s="160"/>
      <c r="D970" s="160"/>
      <c r="E970" s="161"/>
      <c r="F970" s="162"/>
      <c r="G970" s="163"/>
      <c r="H970" s="163"/>
      <c r="I970" s="164"/>
      <c r="J970" s="162"/>
      <c r="K970" s="165"/>
      <c r="L970" s="166"/>
      <c r="M970" s="167"/>
      <c r="N970" s="167"/>
      <c r="O970" s="168"/>
      <c r="P970" s="168"/>
      <c r="Q970" s="147"/>
      <c r="R970" s="147"/>
      <c r="S970" s="169"/>
      <c r="T970" s="147"/>
      <c r="U970" s="147"/>
      <c r="V970" s="147"/>
      <c r="W970" s="147"/>
      <c r="X970" s="147"/>
      <c r="Y970" s="147"/>
      <c r="Z970" s="147"/>
      <c r="AA970" s="147"/>
      <c r="AB970" s="147"/>
      <c r="AC970" s="147"/>
      <c r="AD970" s="147"/>
      <c r="AE970" s="147"/>
      <c r="AF970" s="147"/>
      <c r="AG970" s="147"/>
      <c r="AH970" s="147"/>
      <c r="AI970" s="147"/>
      <c r="AJ970" s="147"/>
      <c r="AK970" s="147"/>
      <c r="AL970" s="147"/>
      <c r="AM970" s="147"/>
      <c r="AN970" s="147"/>
      <c r="AO970" s="147"/>
      <c r="AP970" s="147"/>
      <c r="AQ970" s="147"/>
      <c r="AR970" s="147"/>
      <c r="AS970" s="147"/>
    </row>
    <row r="971" spans="1:45" x14ac:dyDescent="0.25">
      <c r="A971" s="147"/>
      <c r="B971" s="147"/>
      <c r="C971" s="160"/>
      <c r="D971" s="160"/>
      <c r="E971" s="161"/>
      <c r="F971" s="162"/>
      <c r="G971" s="163"/>
      <c r="H971" s="163"/>
      <c r="I971" s="164"/>
      <c r="J971" s="162"/>
      <c r="K971" s="165"/>
      <c r="L971" s="166"/>
      <c r="M971" s="167"/>
      <c r="N971" s="167"/>
      <c r="O971" s="168"/>
      <c r="P971" s="168"/>
      <c r="Q971" s="147"/>
      <c r="R971" s="147"/>
      <c r="S971" s="169"/>
      <c r="T971" s="147"/>
      <c r="U971" s="147"/>
      <c r="V971" s="147"/>
      <c r="W971" s="147"/>
      <c r="X971" s="147"/>
      <c r="Y971" s="147"/>
      <c r="Z971" s="147"/>
      <c r="AA971" s="147"/>
      <c r="AB971" s="147"/>
      <c r="AC971" s="147"/>
      <c r="AD971" s="147"/>
      <c r="AE971" s="147"/>
      <c r="AF971" s="147"/>
      <c r="AG971" s="147"/>
      <c r="AH971" s="147"/>
      <c r="AI971" s="147"/>
      <c r="AJ971" s="147"/>
      <c r="AK971" s="147"/>
      <c r="AL971" s="147"/>
      <c r="AM971" s="147"/>
      <c r="AN971" s="147"/>
      <c r="AO971" s="147"/>
      <c r="AP971" s="147"/>
      <c r="AQ971" s="147"/>
      <c r="AR971" s="147"/>
      <c r="AS971" s="147"/>
    </row>
    <row r="972" spans="1:45" x14ac:dyDescent="0.25">
      <c r="A972" s="147"/>
      <c r="B972" s="147"/>
      <c r="C972" s="160"/>
      <c r="D972" s="160"/>
      <c r="E972" s="161"/>
      <c r="F972" s="162"/>
      <c r="G972" s="163"/>
      <c r="H972" s="163"/>
      <c r="I972" s="164"/>
      <c r="J972" s="162"/>
      <c r="K972" s="165"/>
      <c r="L972" s="166"/>
      <c r="M972" s="167"/>
      <c r="N972" s="167"/>
      <c r="O972" s="168"/>
      <c r="P972" s="168"/>
      <c r="Q972" s="147"/>
      <c r="R972" s="147"/>
      <c r="S972" s="169"/>
      <c r="T972" s="147"/>
      <c r="U972" s="147"/>
      <c r="V972" s="147"/>
      <c r="W972" s="147"/>
      <c r="X972" s="147"/>
      <c r="Y972" s="147"/>
      <c r="Z972" s="147"/>
      <c r="AA972" s="147"/>
      <c r="AB972" s="147"/>
      <c r="AC972" s="147"/>
      <c r="AD972" s="147"/>
      <c r="AE972" s="147"/>
      <c r="AF972" s="147"/>
      <c r="AG972" s="147"/>
      <c r="AH972" s="147"/>
      <c r="AI972" s="147"/>
      <c r="AJ972" s="147"/>
      <c r="AK972" s="147"/>
      <c r="AL972" s="147"/>
      <c r="AM972" s="147"/>
      <c r="AN972" s="147"/>
      <c r="AO972" s="147"/>
      <c r="AP972" s="147"/>
      <c r="AQ972" s="147"/>
      <c r="AR972" s="147"/>
      <c r="AS972" s="147"/>
    </row>
    <row r="973" spans="1:45" x14ac:dyDescent="0.25">
      <c r="A973" s="147"/>
      <c r="B973" s="147"/>
      <c r="C973" s="160"/>
      <c r="D973" s="160"/>
      <c r="E973" s="161"/>
      <c r="F973" s="162"/>
      <c r="G973" s="163"/>
      <c r="H973" s="163"/>
      <c r="I973" s="164"/>
      <c r="J973" s="162"/>
      <c r="K973" s="165"/>
      <c r="L973" s="166"/>
      <c r="M973" s="167"/>
      <c r="N973" s="167"/>
      <c r="O973" s="168"/>
      <c r="P973" s="168"/>
      <c r="Q973" s="147"/>
      <c r="R973" s="147"/>
      <c r="S973" s="169"/>
      <c r="T973" s="147"/>
      <c r="U973" s="147"/>
      <c r="V973" s="147"/>
      <c r="W973" s="147"/>
      <c r="X973" s="147"/>
      <c r="Y973" s="147"/>
      <c r="Z973" s="147"/>
      <c r="AA973" s="147"/>
      <c r="AB973" s="147"/>
      <c r="AC973" s="147"/>
      <c r="AD973" s="147"/>
      <c r="AE973" s="147"/>
      <c r="AF973" s="147"/>
      <c r="AG973" s="147"/>
      <c r="AH973" s="147"/>
      <c r="AI973" s="147"/>
      <c r="AJ973" s="147"/>
      <c r="AK973" s="147"/>
      <c r="AL973" s="147"/>
      <c r="AM973" s="147"/>
      <c r="AN973" s="147"/>
      <c r="AO973" s="147"/>
      <c r="AP973" s="147"/>
      <c r="AQ973" s="147"/>
      <c r="AR973" s="147"/>
      <c r="AS973" s="147"/>
    </row>
    <row r="974" spans="1:45" x14ac:dyDescent="0.25">
      <c r="A974" s="147"/>
      <c r="B974" s="147"/>
      <c r="C974" s="160"/>
      <c r="D974" s="160"/>
      <c r="E974" s="161"/>
      <c r="F974" s="162"/>
      <c r="G974" s="163"/>
      <c r="H974" s="163"/>
      <c r="I974" s="164"/>
      <c r="J974" s="162"/>
      <c r="K974" s="165"/>
      <c r="L974" s="166"/>
      <c r="M974" s="167"/>
      <c r="N974" s="167"/>
      <c r="O974" s="168"/>
      <c r="P974" s="168"/>
      <c r="Q974" s="147"/>
      <c r="R974" s="147"/>
      <c r="S974" s="169"/>
      <c r="T974" s="147"/>
      <c r="U974" s="147"/>
      <c r="V974" s="147"/>
      <c r="W974" s="147"/>
      <c r="X974" s="147"/>
      <c r="Y974" s="147"/>
      <c r="Z974" s="147"/>
      <c r="AA974" s="147"/>
      <c r="AB974" s="147"/>
      <c r="AC974" s="147"/>
      <c r="AD974" s="147"/>
      <c r="AE974" s="147"/>
      <c r="AF974" s="147"/>
      <c r="AG974" s="147"/>
      <c r="AH974" s="147"/>
      <c r="AI974" s="147"/>
      <c r="AJ974" s="147"/>
      <c r="AK974" s="147"/>
      <c r="AL974" s="147"/>
      <c r="AM974" s="147"/>
      <c r="AN974" s="147"/>
      <c r="AO974" s="147"/>
      <c r="AP974" s="147"/>
      <c r="AQ974" s="147"/>
      <c r="AR974" s="147"/>
      <c r="AS974" s="147"/>
    </row>
    <row r="975" spans="1:45" x14ac:dyDescent="0.25">
      <c r="A975" s="147"/>
      <c r="B975" s="147"/>
      <c r="C975" s="160"/>
      <c r="D975" s="160"/>
      <c r="E975" s="161"/>
      <c r="F975" s="162"/>
      <c r="G975" s="163"/>
      <c r="H975" s="163"/>
      <c r="I975" s="164"/>
      <c r="J975" s="162"/>
      <c r="K975" s="165"/>
      <c r="L975" s="166"/>
      <c r="M975" s="167"/>
      <c r="N975" s="167"/>
      <c r="O975" s="168"/>
      <c r="P975" s="168"/>
      <c r="Q975" s="147"/>
      <c r="R975" s="147"/>
      <c r="S975" s="169"/>
      <c r="T975" s="147"/>
      <c r="U975" s="147"/>
      <c r="V975" s="147"/>
      <c r="W975" s="147"/>
      <c r="X975" s="147"/>
      <c r="Y975" s="147"/>
      <c r="Z975" s="147"/>
      <c r="AA975" s="147"/>
      <c r="AB975" s="147"/>
      <c r="AC975" s="147"/>
      <c r="AD975" s="147"/>
      <c r="AE975" s="147"/>
      <c r="AF975" s="147"/>
      <c r="AG975" s="147"/>
      <c r="AH975" s="147"/>
      <c r="AI975" s="147"/>
      <c r="AJ975" s="147"/>
      <c r="AK975" s="147"/>
      <c r="AL975" s="147"/>
      <c r="AM975" s="147"/>
      <c r="AN975" s="147"/>
      <c r="AO975" s="147"/>
      <c r="AP975" s="147"/>
      <c r="AQ975" s="147"/>
      <c r="AR975" s="147"/>
      <c r="AS975" s="147"/>
    </row>
    <row r="976" spans="1:45" x14ac:dyDescent="0.25">
      <c r="A976" s="147"/>
      <c r="B976" s="147"/>
      <c r="C976" s="160"/>
      <c r="D976" s="160"/>
      <c r="E976" s="161"/>
      <c r="F976" s="162"/>
      <c r="G976" s="163"/>
      <c r="H976" s="163"/>
      <c r="I976" s="164"/>
      <c r="J976" s="162"/>
      <c r="K976" s="165"/>
      <c r="L976" s="166"/>
      <c r="M976" s="167"/>
      <c r="N976" s="167"/>
      <c r="O976" s="168"/>
      <c r="P976" s="168"/>
      <c r="Q976" s="147"/>
      <c r="R976" s="147"/>
      <c r="S976" s="169"/>
      <c r="T976" s="147"/>
      <c r="U976" s="147"/>
      <c r="V976" s="147"/>
      <c r="W976" s="147"/>
      <c r="X976" s="147"/>
      <c r="Y976" s="147"/>
      <c r="Z976" s="147"/>
      <c r="AA976" s="147"/>
      <c r="AB976" s="147"/>
      <c r="AC976" s="147"/>
      <c r="AD976" s="147"/>
      <c r="AE976" s="147"/>
      <c r="AF976" s="147"/>
      <c r="AG976" s="147"/>
      <c r="AH976" s="147"/>
      <c r="AI976" s="147"/>
      <c r="AJ976" s="147"/>
      <c r="AK976" s="147"/>
      <c r="AL976" s="147"/>
      <c r="AM976" s="147"/>
      <c r="AN976" s="147"/>
      <c r="AO976" s="147"/>
      <c r="AP976" s="147"/>
      <c r="AQ976" s="147"/>
      <c r="AR976" s="147"/>
      <c r="AS976" s="147"/>
    </row>
    <row r="977" spans="1:45" x14ac:dyDescent="0.25">
      <c r="A977" s="147"/>
      <c r="B977" s="147"/>
      <c r="C977" s="160"/>
      <c r="D977" s="160"/>
      <c r="E977" s="161"/>
      <c r="F977" s="162"/>
      <c r="G977" s="163"/>
      <c r="H977" s="163"/>
      <c r="I977" s="164"/>
      <c r="J977" s="162"/>
      <c r="K977" s="165"/>
      <c r="L977" s="166"/>
      <c r="M977" s="167"/>
      <c r="N977" s="167"/>
      <c r="O977" s="168"/>
      <c r="P977" s="168"/>
      <c r="Q977" s="147"/>
      <c r="R977" s="147"/>
      <c r="S977" s="169"/>
      <c r="T977" s="147"/>
      <c r="U977" s="147"/>
      <c r="V977" s="147"/>
      <c r="W977" s="147"/>
      <c r="X977" s="147"/>
      <c r="Y977" s="147"/>
      <c r="Z977" s="147"/>
      <c r="AA977" s="147"/>
      <c r="AB977" s="147"/>
      <c r="AC977" s="147"/>
      <c r="AD977" s="147"/>
      <c r="AE977" s="147"/>
      <c r="AF977" s="147"/>
      <c r="AG977" s="147"/>
      <c r="AH977" s="147"/>
      <c r="AI977" s="147"/>
      <c r="AJ977" s="147"/>
      <c r="AK977" s="147"/>
      <c r="AL977" s="147"/>
      <c r="AM977" s="147"/>
      <c r="AN977" s="147"/>
      <c r="AO977" s="147"/>
      <c r="AP977" s="147"/>
      <c r="AQ977" s="147"/>
      <c r="AR977" s="147"/>
      <c r="AS977" s="147"/>
    </row>
    <row r="978" spans="1:45" x14ac:dyDescent="0.25">
      <c r="A978" s="147"/>
      <c r="B978" s="147"/>
      <c r="C978" s="160"/>
      <c r="D978" s="160"/>
      <c r="E978" s="161"/>
      <c r="F978" s="162"/>
      <c r="G978" s="163"/>
      <c r="H978" s="163"/>
      <c r="I978" s="164"/>
      <c r="J978" s="162"/>
      <c r="K978" s="165"/>
      <c r="L978" s="166"/>
      <c r="M978" s="167"/>
      <c r="N978" s="167"/>
      <c r="O978" s="168"/>
      <c r="P978" s="168"/>
      <c r="Q978" s="147"/>
      <c r="R978" s="147"/>
      <c r="S978" s="169"/>
      <c r="T978" s="147"/>
      <c r="U978" s="147"/>
      <c r="V978" s="147"/>
      <c r="W978" s="147"/>
      <c r="X978" s="147"/>
      <c r="Y978" s="147"/>
      <c r="Z978" s="147"/>
      <c r="AA978" s="147"/>
      <c r="AB978" s="147"/>
      <c r="AC978" s="147"/>
      <c r="AD978" s="147"/>
      <c r="AE978" s="147"/>
      <c r="AF978" s="147"/>
      <c r="AG978" s="147"/>
      <c r="AH978" s="147"/>
      <c r="AI978" s="147"/>
      <c r="AJ978" s="147"/>
      <c r="AK978" s="147"/>
      <c r="AL978" s="147"/>
      <c r="AM978" s="147"/>
      <c r="AN978" s="147"/>
      <c r="AO978" s="147"/>
      <c r="AP978" s="147"/>
      <c r="AQ978" s="147"/>
      <c r="AR978" s="147"/>
      <c r="AS978" s="147"/>
    </row>
    <row r="979" spans="1:45" x14ac:dyDescent="0.25">
      <c r="A979" s="147"/>
      <c r="B979" s="147"/>
      <c r="C979" s="160"/>
      <c r="D979" s="160"/>
      <c r="E979" s="161"/>
      <c r="F979" s="162"/>
      <c r="G979" s="163"/>
      <c r="H979" s="163"/>
      <c r="I979" s="164"/>
      <c r="J979" s="162"/>
      <c r="K979" s="165"/>
      <c r="L979" s="166"/>
      <c r="M979" s="167"/>
      <c r="N979" s="167"/>
      <c r="O979" s="168"/>
      <c r="P979" s="168"/>
      <c r="Q979" s="147"/>
      <c r="R979" s="147"/>
      <c r="S979" s="169"/>
      <c r="T979" s="147"/>
      <c r="U979" s="147"/>
      <c r="V979" s="147"/>
      <c r="W979" s="147"/>
      <c r="X979" s="147"/>
      <c r="Y979" s="147"/>
      <c r="Z979" s="147"/>
      <c r="AA979" s="147"/>
      <c r="AB979" s="147"/>
      <c r="AC979" s="147"/>
      <c r="AD979" s="147"/>
      <c r="AE979" s="147"/>
      <c r="AF979" s="147"/>
      <c r="AG979" s="147"/>
      <c r="AH979" s="147"/>
      <c r="AI979" s="147"/>
      <c r="AJ979" s="147"/>
      <c r="AK979" s="147"/>
      <c r="AL979" s="147"/>
      <c r="AM979" s="147"/>
      <c r="AN979" s="147"/>
      <c r="AO979" s="147"/>
      <c r="AP979" s="147"/>
      <c r="AQ979" s="147"/>
      <c r="AR979" s="147"/>
      <c r="AS979" s="147"/>
    </row>
    <row r="980" spans="1:45" x14ac:dyDescent="0.25">
      <c r="A980" s="147"/>
      <c r="B980" s="147"/>
      <c r="C980" s="160"/>
      <c r="D980" s="160"/>
      <c r="E980" s="161"/>
      <c r="F980" s="162"/>
      <c r="G980" s="163"/>
      <c r="H980" s="163"/>
      <c r="I980" s="164"/>
      <c r="J980" s="162"/>
      <c r="K980" s="165"/>
      <c r="L980" s="166"/>
      <c r="M980" s="167"/>
      <c r="N980" s="167"/>
      <c r="O980" s="168"/>
      <c r="P980" s="168"/>
      <c r="Q980" s="147"/>
      <c r="R980" s="147"/>
      <c r="S980" s="169"/>
      <c r="T980" s="147"/>
      <c r="U980" s="147"/>
      <c r="V980" s="147"/>
      <c r="W980" s="147"/>
      <c r="X980" s="147"/>
      <c r="Y980" s="147"/>
      <c r="Z980" s="147"/>
      <c r="AA980" s="147"/>
      <c r="AB980" s="147"/>
      <c r="AC980" s="147"/>
      <c r="AD980" s="147"/>
      <c r="AE980" s="147"/>
      <c r="AF980" s="147"/>
      <c r="AG980" s="147"/>
      <c r="AH980" s="147"/>
      <c r="AI980" s="147"/>
      <c r="AJ980" s="147"/>
      <c r="AK980" s="147"/>
      <c r="AL980" s="147"/>
      <c r="AM980" s="147"/>
      <c r="AN980" s="147"/>
      <c r="AO980" s="147"/>
      <c r="AP980" s="147"/>
      <c r="AQ980" s="147"/>
      <c r="AR980" s="147"/>
      <c r="AS980" s="147"/>
    </row>
    <row r="981" spans="1:45" x14ac:dyDescent="0.25">
      <c r="A981" s="147"/>
      <c r="B981" s="147"/>
      <c r="C981" s="160"/>
      <c r="D981" s="160"/>
      <c r="E981" s="161"/>
      <c r="F981" s="162"/>
      <c r="G981" s="163"/>
      <c r="H981" s="163"/>
      <c r="I981" s="164"/>
      <c r="J981" s="162"/>
      <c r="K981" s="165"/>
      <c r="L981" s="166"/>
      <c r="M981" s="167"/>
      <c r="N981" s="167"/>
      <c r="O981" s="168"/>
      <c r="P981" s="168"/>
      <c r="Q981" s="147"/>
      <c r="R981" s="147"/>
      <c r="S981" s="169"/>
      <c r="T981" s="147"/>
      <c r="U981" s="147"/>
      <c r="V981" s="147"/>
      <c r="W981" s="147"/>
      <c r="X981" s="147"/>
      <c r="Y981" s="147"/>
      <c r="Z981" s="147"/>
      <c r="AA981" s="147"/>
      <c r="AB981" s="147"/>
      <c r="AC981" s="147"/>
      <c r="AD981" s="147"/>
      <c r="AE981" s="147"/>
      <c r="AF981" s="147"/>
      <c r="AG981" s="147"/>
      <c r="AH981" s="147"/>
      <c r="AI981" s="147"/>
      <c r="AJ981" s="147"/>
      <c r="AK981" s="147"/>
      <c r="AL981" s="147"/>
      <c r="AM981" s="147"/>
      <c r="AN981" s="147"/>
      <c r="AO981" s="147"/>
      <c r="AP981" s="147"/>
      <c r="AQ981" s="147"/>
      <c r="AR981" s="147"/>
      <c r="AS981" s="147"/>
    </row>
    <row r="982" spans="1:45" x14ac:dyDescent="0.25">
      <c r="A982" s="147"/>
      <c r="B982" s="147"/>
      <c r="C982" s="160"/>
      <c r="D982" s="160"/>
      <c r="E982" s="161"/>
      <c r="F982" s="162"/>
      <c r="G982" s="163"/>
      <c r="H982" s="163"/>
      <c r="I982" s="164"/>
      <c r="J982" s="162"/>
      <c r="K982" s="165"/>
      <c r="L982" s="166"/>
      <c r="M982" s="167"/>
      <c r="N982" s="167"/>
      <c r="O982" s="168"/>
      <c r="P982" s="168"/>
      <c r="Q982" s="147"/>
      <c r="R982" s="147"/>
      <c r="S982" s="169"/>
      <c r="T982" s="147"/>
      <c r="U982" s="147"/>
      <c r="V982" s="147"/>
      <c r="W982" s="147"/>
      <c r="X982" s="147"/>
      <c r="Y982" s="147"/>
      <c r="Z982" s="147"/>
      <c r="AA982" s="147"/>
      <c r="AB982" s="147"/>
      <c r="AC982" s="147"/>
      <c r="AD982" s="147"/>
      <c r="AE982" s="147"/>
      <c r="AF982" s="147"/>
      <c r="AG982" s="147"/>
      <c r="AH982" s="147"/>
      <c r="AI982" s="147"/>
      <c r="AJ982" s="147"/>
      <c r="AK982" s="147"/>
      <c r="AL982" s="147"/>
      <c r="AM982" s="147"/>
      <c r="AN982" s="147"/>
      <c r="AO982" s="147"/>
      <c r="AP982" s="147"/>
      <c r="AQ982" s="147"/>
      <c r="AR982" s="147"/>
      <c r="AS982" s="147"/>
    </row>
    <row r="983" spans="1:45" x14ac:dyDescent="0.25">
      <c r="A983" s="147"/>
      <c r="B983" s="147"/>
      <c r="C983" s="160"/>
      <c r="D983" s="160"/>
      <c r="E983" s="161"/>
      <c r="F983" s="162"/>
      <c r="G983" s="163"/>
      <c r="H983" s="163"/>
      <c r="I983" s="164"/>
      <c r="J983" s="162"/>
      <c r="K983" s="165"/>
      <c r="L983" s="166"/>
      <c r="M983" s="167"/>
      <c r="N983" s="167"/>
      <c r="O983" s="168"/>
      <c r="P983" s="168"/>
      <c r="Q983" s="147"/>
      <c r="R983" s="147"/>
      <c r="S983" s="169"/>
      <c r="T983" s="147"/>
      <c r="U983" s="147"/>
      <c r="V983" s="147"/>
      <c r="W983" s="147"/>
      <c r="X983" s="147"/>
      <c r="Y983" s="147"/>
      <c r="Z983" s="147"/>
      <c r="AA983" s="147"/>
      <c r="AB983" s="147"/>
      <c r="AC983" s="147"/>
      <c r="AD983" s="147"/>
      <c r="AE983" s="147"/>
      <c r="AF983" s="147"/>
      <c r="AG983" s="147"/>
      <c r="AH983" s="147"/>
      <c r="AI983" s="147"/>
      <c r="AJ983" s="147"/>
      <c r="AK983" s="147"/>
      <c r="AL983" s="147"/>
      <c r="AM983" s="147"/>
      <c r="AN983" s="147"/>
      <c r="AO983" s="147"/>
      <c r="AP983" s="147"/>
      <c r="AQ983" s="147"/>
      <c r="AR983" s="147"/>
      <c r="AS983" s="147"/>
    </row>
    <row r="984" spans="1:45" x14ac:dyDescent="0.25">
      <c r="A984" s="147"/>
      <c r="B984" s="147"/>
      <c r="C984" s="160"/>
      <c r="D984" s="160"/>
      <c r="E984" s="161"/>
      <c r="F984" s="162"/>
      <c r="G984" s="163"/>
      <c r="H984" s="163"/>
      <c r="I984" s="164"/>
      <c r="J984" s="162"/>
      <c r="K984" s="165"/>
      <c r="L984" s="166"/>
      <c r="M984" s="167"/>
      <c r="N984" s="167"/>
      <c r="O984" s="168"/>
      <c r="P984" s="168"/>
      <c r="Q984" s="147"/>
      <c r="R984" s="147"/>
      <c r="S984" s="169"/>
      <c r="T984" s="147"/>
      <c r="U984" s="147"/>
      <c r="V984" s="147"/>
      <c r="W984" s="147"/>
      <c r="X984" s="147"/>
      <c r="Y984" s="147"/>
      <c r="Z984" s="147"/>
      <c r="AA984" s="147"/>
      <c r="AB984" s="147"/>
      <c r="AC984" s="147"/>
      <c r="AD984" s="147"/>
      <c r="AE984" s="147"/>
      <c r="AF984" s="147"/>
      <c r="AG984" s="147"/>
      <c r="AH984" s="147"/>
      <c r="AI984" s="147"/>
      <c r="AJ984" s="147"/>
      <c r="AK984" s="147"/>
      <c r="AL984" s="147"/>
      <c r="AM984" s="147"/>
      <c r="AN984" s="147"/>
      <c r="AO984" s="147"/>
      <c r="AP984" s="147"/>
      <c r="AQ984" s="147"/>
      <c r="AR984" s="147"/>
      <c r="AS984" s="147"/>
    </row>
    <row r="985" spans="1:45" x14ac:dyDescent="0.25">
      <c r="A985" s="147"/>
      <c r="B985" s="147"/>
      <c r="C985" s="160"/>
      <c r="D985" s="160"/>
      <c r="E985" s="161"/>
      <c r="F985" s="162"/>
      <c r="G985" s="163"/>
      <c r="H985" s="163"/>
      <c r="I985" s="164"/>
      <c r="J985" s="162"/>
      <c r="K985" s="165"/>
      <c r="L985" s="166"/>
      <c r="M985" s="167"/>
      <c r="N985" s="167"/>
      <c r="O985" s="168"/>
      <c r="P985" s="168"/>
      <c r="Q985" s="147"/>
      <c r="R985" s="147"/>
      <c r="S985" s="169"/>
      <c r="T985" s="147"/>
      <c r="U985" s="147"/>
      <c r="V985" s="147"/>
      <c r="W985" s="147"/>
      <c r="X985" s="147"/>
      <c r="Y985" s="147"/>
      <c r="Z985" s="147"/>
      <c r="AA985" s="147"/>
      <c r="AB985" s="147"/>
      <c r="AC985" s="147"/>
      <c r="AD985" s="147"/>
      <c r="AE985" s="147"/>
      <c r="AF985" s="147"/>
      <c r="AG985" s="147"/>
      <c r="AH985" s="147"/>
      <c r="AI985" s="147"/>
      <c r="AJ985" s="147"/>
      <c r="AK985" s="147"/>
      <c r="AL985" s="147"/>
      <c r="AM985" s="147"/>
      <c r="AN985" s="147"/>
      <c r="AO985" s="147"/>
      <c r="AP985" s="147"/>
      <c r="AQ985" s="147"/>
      <c r="AR985" s="147"/>
      <c r="AS985" s="147"/>
    </row>
    <row r="986" spans="1:45" x14ac:dyDescent="0.25">
      <c r="A986" s="147"/>
      <c r="B986" s="147"/>
      <c r="C986" s="160"/>
      <c r="D986" s="160"/>
      <c r="E986" s="161"/>
      <c r="F986" s="162"/>
      <c r="G986" s="163"/>
      <c r="H986" s="163"/>
      <c r="I986" s="164"/>
      <c r="J986" s="162"/>
      <c r="K986" s="165"/>
      <c r="L986" s="166"/>
      <c r="M986" s="167"/>
      <c r="N986" s="167"/>
      <c r="O986" s="168"/>
      <c r="P986" s="168"/>
      <c r="Q986" s="147"/>
      <c r="R986" s="147"/>
      <c r="S986" s="169"/>
      <c r="T986" s="147"/>
      <c r="U986" s="147"/>
      <c r="V986" s="147"/>
      <c r="W986" s="147"/>
      <c r="X986" s="147"/>
      <c r="Y986" s="147"/>
      <c r="Z986" s="147"/>
      <c r="AA986" s="147"/>
      <c r="AB986" s="147"/>
      <c r="AC986" s="147"/>
      <c r="AD986" s="147"/>
      <c r="AE986" s="147"/>
      <c r="AF986" s="147"/>
      <c r="AG986" s="147"/>
      <c r="AH986" s="147"/>
      <c r="AI986" s="147"/>
      <c r="AJ986" s="147"/>
      <c r="AK986" s="147"/>
      <c r="AL986" s="147"/>
      <c r="AM986" s="147"/>
      <c r="AN986" s="147"/>
      <c r="AO986" s="147"/>
      <c r="AP986" s="147"/>
      <c r="AQ986" s="147"/>
      <c r="AR986" s="147"/>
      <c r="AS986" s="147"/>
    </row>
    <row r="987" spans="1:45" x14ac:dyDescent="0.25">
      <c r="A987" s="147"/>
      <c r="B987" s="147"/>
      <c r="C987" s="160"/>
      <c r="D987" s="160"/>
      <c r="E987" s="161"/>
      <c r="F987" s="162"/>
      <c r="G987" s="163"/>
      <c r="H987" s="163"/>
      <c r="I987" s="164"/>
      <c r="J987" s="162"/>
      <c r="K987" s="165"/>
      <c r="L987" s="166"/>
      <c r="M987" s="167"/>
      <c r="N987" s="167"/>
      <c r="O987" s="168"/>
      <c r="P987" s="168"/>
      <c r="Q987" s="147"/>
      <c r="R987" s="147"/>
      <c r="S987" s="169"/>
      <c r="T987" s="147"/>
      <c r="U987" s="147"/>
      <c r="V987" s="147"/>
      <c r="W987" s="147"/>
      <c r="X987" s="147"/>
      <c r="Y987" s="147"/>
      <c r="Z987" s="147"/>
      <c r="AA987" s="147"/>
      <c r="AB987" s="147"/>
      <c r="AC987" s="147"/>
      <c r="AD987" s="147"/>
      <c r="AE987" s="147"/>
      <c r="AF987" s="147"/>
      <c r="AG987" s="147"/>
      <c r="AH987" s="147"/>
      <c r="AI987" s="147"/>
      <c r="AJ987" s="147"/>
      <c r="AK987" s="147"/>
      <c r="AL987" s="147"/>
      <c r="AM987" s="147"/>
      <c r="AN987" s="147"/>
      <c r="AO987" s="147"/>
      <c r="AP987" s="147"/>
      <c r="AQ987" s="147"/>
      <c r="AR987" s="147"/>
      <c r="AS987" s="147"/>
    </row>
    <row r="988" spans="1:45" x14ac:dyDescent="0.25">
      <c r="A988" s="147"/>
      <c r="B988" s="147"/>
      <c r="C988" s="160"/>
      <c r="D988" s="160"/>
      <c r="E988" s="161"/>
      <c r="F988" s="162"/>
      <c r="G988" s="163"/>
      <c r="H988" s="163"/>
      <c r="I988" s="164"/>
      <c r="J988" s="162"/>
      <c r="K988" s="165"/>
      <c r="L988" s="166"/>
      <c r="M988" s="167"/>
      <c r="N988" s="167"/>
      <c r="O988" s="168"/>
      <c r="P988" s="168"/>
      <c r="Q988" s="147"/>
      <c r="R988" s="147"/>
      <c r="S988" s="169"/>
      <c r="T988" s="147"/>
      <c r="U988" s="147"/>
      <c r="V988" s="147"/>
      <c r="W988" s="147"/>
      <c r="X988" s="147"/>
      <c r="Y988" s="147"/>
      <c r="Z988" s="147"/>
      <c r="AA988" s="147"/>
      <c r="AB988" s="147"/>
      <c r="AC988" s="147"/>
      <c r="AD988" s="147"/>
      <c r="AE988" s="147"/>
      <c r="AF988" s="147"/>
      <c r="AG988" s="147"/>
      <c r="AH988" s="147"/>
      <c r="AI988" s="147"/>
      <c r="AJ988" s="147"/>
      <c r="AK988" s="147"/>
      <c r="AL988" s="147"/>
      <c r="AM988" s="147"/>
      <c r="AN988" s="147"/>
      <c r="AO988" s="147"/>
      <c r="AP988" s="147"/>
      <c r="AQ988" s="147"/>
      <c r="AR988" s="147"/>
      <c r="AS988" s="147"/>
    </row>
    <row r="989" spans="1:45" x14ac:dyDescent="0.25">
      <c r="A989" s="147"/>
      <c r="B989" s="147"/>
      <c r="C989" s="160"/>
      <c r="D989" s="160"/>
      <c r="E989" s="161"/>
      <c r="F989" s="162"/>
      <c r="G989" s="163"/>
      <c r="H989" s="163"/>
      <c r="I989" s="164"/>
      <c r="J989" s="162"/>
      <c r="K989" s="165"/>
      <c r="L989" s="166"/>
      <c r="M989" s="167"/>
      <c r="N989" s="167"/>
      <c r="O989" s="168"/>
      <c r="P989" s="168"/>
      <c r="Q989" s="147"/>
      <c r="R989" s="147"/>
      <c r="S989" s="169"/>
      <c r="T989" s="147"/>
      <c r="U989" s="147"/>
      <c r="V989" s="147"/>
      <c r="W989" s="147"/>
      <c r="X989" s="147"/>
      <c r="Y989" s="147"/>
      <c r="Z989" s="147"/>
      <c r="AA989" s="147"/>
      <c r="AB989" s="147"/>
      <c r="AC989" s="147"/>
      <c r="AD989" s="147"/>
      <c r="AE989" s="147"/>
      <c r="AF989" s="147"/>
      <c r="AG989" s="147"/>
      <c r="AH989" s="147"/>
      <c r="AI989" s="147"/>
      <c r="AJ989" s="147"/>
      <c r="AK989" s="147"/>
      <c r="AL989" s="147"/>
      <c r="AM989" s="147"/>
      <c r="AN989" s="147"/>
      <c r="AO989" s="147"/>
      <c r="AP989" s="147"/>
      <c r="AQ989" s="147"/>
      <c r="AR989" s="147"/>
      <c r="AS989" s="147"/>
    </row>
    <row r="990" spans="1:45" x14ac:dyDescent="0.25">
      <c r="A990" s="147"/>
      <c r="B990" s="147"/>
      <c r="C990" s="160"/>
      <c r="D990" s="160"/>
      <c r="E990" s="161"/>
      <c r="F990" s="162"/>
      <c r="G990" s="163"/>
      <c r="H990" s="163"/>
      <c r="I990" s="164"/>
      <c r="J990" s="162"/>
      <c r="K990" s="165"/>
      <c r="L990" s="166"/>
      <c r="M990" s="167"/>
      <c r="N990" s="167"/>
      <c r="O990" s="168"/>
      <c r="P990" s="168"/>
      <c r="Q990" s="147"/>
      <c r="R990" s="147"/>
      <c r="S990" s="169"/>
      <c r="T990" s="147"/>
      <c r="U990" s="147"/>
      <c r="V990" s="147"/>
      <c r="W990" s="147"/>
      <c r="X990" s="147"/>
      <c r="Y990" s="147"/>
      <c r="Z990" s="147"/>
      <c r="AA990" s="147"/>
      <c r="AB990" s="147"/>
      <c r="AC990" s="147"/>
      <c r="AD990" s="147"/>
      <c r="AE990" s="147"/>
      <c r="AF990" s="147"/>
      <c r="AG990" s="147"/>
      <c r="AH990" s="147"/>
      <c r="AI990" s="147"/>
      <c r="AJ990" s="147"/>
      <c r="AK990" s="147"/>
      <c r="AL990" s="147"/>
      <c r="AM990" s="147"/>
      <c r="AN990" s="147"/>
      <c r="AO990" s="147"/>
      <c r="AP990" s="147"/>
      <c r="AQ990" s="147"/>
      <c r="AR990" s="147"/>
      <c r="AS990" s="147"/>
    </row>
    <row r="991" spans="1:45" x14ac:dyDescent="0.25">
      <c r="A991" s="147"/>
      <c r="B991" s="147"/>
      <c r="C991" s="160"/>
      <c r="D991" s="160"/>
      <c r="E991" s="161"/>
      <c r="F991" s="162"/>
      <c r="G991" s="163"/>
      <c r="H991" s="163"/>
      <c r="I991" s="164"/>
      <c r="J991" s="162"/>
      <c r="K991" s="165"/>
      <c r="L991" s="166"/>
      <c r="M991" s="167"/>
      <c r="N991" s="167"/>
      <c r="O991" s="168"/>
      <c r="P991" s="168"/>
      <c r="Q991" s="147"/>
      <c r="R991" s="147"/>
      <c r="S991" s="169"/>
      <c r="T991" s="147"/>
      <c r="U991" s="147"/>
      <c r="V991" s="147"/>
      <c r="W991" s="147"/>
      <c r="X991" s="147"/>
      <c r="Y991" s="147"/>
      <c r="Z991" s="147"/>
      <c r="AA991" s="147"/>
      <c r="AB991" s="147"/>
      <c r="AC991" s="147"/>
      <c r="AD991" s="147"/>
      <c r="AE991" s="147"/>
      <c r="AF991" s="147"/>
      <c r="AG991" s="147"/>
      <c r="AH991" s="147"/>
      <c r="AI991" s="147"/>
      <c r="AJ991" s="147"/>
      <c r="AK991" s="147"/>
      <c r="AL991" s="147"/>
      <c r="AM991" s="147"/>
      <c r="AN991" s="147"/>
      <c r="AO991" s="147"/>
      <c r="AP991" s="147"/>
      <c r="AQ991" s="147"/>
      <c r="AR991" s="147"/>
      <c r="AS991" s="147"/>
    </row>
    <row r="992" spans="1:45" x14ac:dyDescent="0.25">
      <c r="A992" s="147"/>
      <c r="B992" s="147"/>
      <c r="C992" s="160"/>
      <c r="D992" s="160"/>
      <c r="E992" s="161"/>
      <c r="F992" s="162"/>
      <c r="G992" s="163"/>
      <c r="H992" s="163"/>
      <c r="I992" s="164"/>
      <c r="J992" s="162"/>
      <c r="K992" s="165"/>
      <c r="L992" s="166"/>
      <c r="M992" s="167"/>
      <c r="N992" s="167"/>
      <c r="O992" s="168"/>
      <c r="P992" s="168"/>
      <c r="Q992" s="147"/>
      <c r="R992" s="147"/>
      <c r="S992" s="169"/>
      <c r="T992" s="147"/>
      <c r="U992" s="147"/>
      <c r="V992" s="147"/>
      <c r="W992" s="147"/>
      <c r="X992" s="147"/>
      <c r="Y992" s="147"/>
      <c r="Z992" s="147"/>
      <c r="AA992" s="147"/>
      <c r="AB992" s="147"/>
      <c r="AC992" s="147"/>
      <c r="AD992" s="147"/>
      <c r="AE992" s="147"/>
      <c r="AF992" s="147"/>
      <c r="AG992" s="147"/>
      <c r="AH992" s="147"/>
      <c r="AI992" s="147"/>
      <c r="AJ992" s="147"/>
      <c r="AK992" s="147"/>
      <c r="AL992" s="147"/>
      <c r="AM992" s="147"/>
      <c r="AN992" s="147"/>
      <c r="AO992" s="147"/>
      <c r="AP992" s="147"/>
      <c r="AQ992" s="147"/>
      <c r="AR992" s="147"/>
      <c r="AS992" s="147"/>
    </row>
    <row r="993" spans="1:45" x14ac:dyDescent="0.25">
      <c r="A993" s="147"/>
      <c r="B993" s="147"/>
      <c r="C993" s="160"/>
      <c r="D993" s="160"/>
      <c r="E993" s="161"/>
      <c r="F993" s="162"/>
      <c r="G993" s="163"/>
      <c r="H993" s="163"/>
      <c r="I993" s="164"/>
      <c r="J993" s="162"/>
      <c r="K993" s="165"/>
      <c r="L993" s="166"/>
      <c r="M993" s="167"/>
      <c r="N993" s="167"/>
      <c r="O993" s="168"/>
      <c r="P993" s="168"/>
      <c r="Q993" s="147"/>
      <c r="R993" s="147"/>
      <c r="S993" s="169"/>
      <c r="T993" s="147"/>
      <c r="U993" s="147"/>
      <c r="V993" s="147"/>
      <c r="W993" s="147"/>
      <c r="X993" s="147"/>
      <c r="Y993" s="147"/>
      <c r="Z993" s="147"/>
      <c r="AA993" s="147"/>
      <c r="AB993" s="147"/>
      <c r="AC993" s="147"/>
      <c r="AD993" s="147"/>
      <c r="AE993" s="147"/>
      <c r="AF993" s="147"/>
      <c r="AG993" s="147"/>
      <c r="AH993" s="147"/>
      <c r="AI993" s="147"/>
      <c r="AJ993" s="147"/>
      <c r="AK993" s="147"/>
      <c r="AL993" s="147"/>
      <c r="AM993" s="147"/>
      <c r="AN993" s="147"/>
      <c r="AO993" s="147"/>
      <c r="AP993" s="147"/>
      <c r="AQ993" s="147"/>
      <c r="AR993" s="147"/>
      <c r="AS993" s="147"/>
    </row>
    <row r="994" spans="1:45" x14ac:dyDescent="0.25">
      <c r="A994" s="147"/>
      <c r="B994" s="147"/>
      <c r="C994" s="160"/>
      <c r="D994" s="160"/>
      <c r="E994" s="161"/>
      <c r="F994" s="162"/>
      <c r="G994" s="163"/>
      <c r="H994" s="163"/>
      <c r="I994" s="164"/>
      <c r="J994" s="162"/>
      <c r="K994" s="165"/>
      <c r="L994" s="166"/>
      <c r="M994" s="167"/>
      <c r="N994" s="167"/>
      <c r="O994" s="168"/>
      <c r="P994" s="168"/>
      <c r="Q994" s="147"/>
      <c r="R994" s="147"/>
      <c r="S994" s="169"/>
      <c r="T994" s="147"/>
      <c r="U994" s="147"/>
      <c r="V994" s="147"/>
      <c r="W994" s="147"/>
      <c r="X994" s="147"/>
      <c r="Y994" s="147"/>
      <c r="Z994" s="147"/>
      <c r="AA994" s="147"/>
      <c r="AB994" s="147"/>
      <c r="AC994" s="147"/>
      <c r="AD994" s="147"/>
      <c r="AE994" s="147"/>
      <c r="AF994" s="147"/>
      <c r="AG994" s="147"/>
      <c r="AH994" s="147"/>
      <c r="AI994" s="147"/>
      <c r="AJ994" s="147"/>
      <c r="AK994" s="147"/>
      <c r="AL994" s="147"/>
      <c r="AM994" s="147"/>
      <c r="AN994" s="147"/>
      <c r="AO994" s="147"/>
      <c r="AP994" s="147"/>
      <c r="AQ994" s="147"/>
      <c r="AR994" s="147"/>
      <c r="AS994" s="147"/>
    </row>
    <row r="995" spans="1:45" x14ac:dyDescent="0.25">
      <c r="A995" s="147"/>
      <c r="B995" s="147"/>
      <c r="C995" s="160"/>
      <c r="D995" s="160"/>
      <c r="E995" s="161"/>
      <c r="F995" s="162"/>
      <c r="G995" s="163"/>
      <c r="H995" s="163"/>
      <c r="I995" s="164"/>
      <c r="J995" s="162"/>
      <c r="K995" s="165"/>
      <c r="L995" s="166"/>
      <c r="M995" s="167"/>
      <c r="N995" s="167"/>
      <c r="O995" s="168"/>
      <c r="P995" s="168"/>
      <c r="Q995" s="147"/>
      <c r="R995" s="147"/>
      <c r="S995" s="169"/>
      <c r="T995" s="147"/>
      <c r="U995" s="147"/>
      <c r="V995" s="147"/>
      <c r="W995" s="147"/>
      <c r="X995" s="147"/>
      <c r="Y995" s="147"/>
      <c r="Z995" s="147"/>
      <c r="AA995" s="147"/>
      <c r="AB995" s="147"/>
      <c r="AC995" s="147"/>
      <c r="AD995" s="147"/>
      <c r="AE995" s="147"/>
      <c r="AF995" s="147"/>
      <c r="AG995" s="147"/>
      <c r="AH995" s="147"/>
      <c r="AI995" s="147"/>
      <c r="AJ995" s="147"/>
      <c r="AK995" s="147"/>
      <c r="AL995" s="147"/>
      <c r="AM995" s="147"/>
      <c r="AN995" s="147"/>
      <c r="AO995" s="147"/>
      <c r="AP995" s="147"/>
      <c r="AQ995" s="147"/>
      <c r="AR995" s="147"/>
      <c r="AS995" s="147"/>
    </row>
    <row r="996" spans="1:45" x14ac:dyDescent="0.25">
      <c r="A996" s="147"/>
      <c r="B996" s="147"/>
      <c r="C996" s="160"/>
      <c r="D996" s="160"/>
      <c r="E996" s="161"/>
      <c r="F996" s="162"/>
      <c r="G996" s="163"/>
      <c r="H996" s="163"/>
      <c r="I996" s="164"/>
      <c r="J996" s="162"/>
      <c r="K996" s="165"/>
      <c r="L996" s="166"/>
      <c r="M996" s="167"/>
      <c r="N996" s="167"/>
      <c r="O996" s="168"/>
      <c r="P996" s="168"/>
      <c r="Q996" s="147"/>
      <c r="R996" s="147"/>
      <c r="S996" s="169"/>
      <c r="T996" s="147"/>
      <c r="U996" s="147"/>
      <c r="V996" s="147"/>
      <c r="W996" s="147"/>
      <c r="X996" s="147"/>
      <c r="Y996" s="147"/>
      <c r="Z996" s="147"/>
      <c r="AA996" s="147"/>
      <c r="AB996" s="147"/>
      <c r="AC996" s="147"/>
      <c r="AD996" s="147"/>
      <c r="AE996" s="147"/>
      <c r="AF996" s="147"/>
      <c r="AG996" s="147"/>
      <c r="AH996" s="147"/>
      <c r="AI996" s="147"/>
      <c r="AJ996" s="147"/>
      <c r="AK996" s="147"/>
      <c r="AL996" s="147"/>
      <c r="AM996" s="147"/>
      <c r="AN996" s="147"/>
      <c r="AO996" s="147"/>
      <c r="AP996" s="147"/>
      <c r="AQ996" s="147"/>
      <c r="AR996" s="147"/>
      <c r="AS996" s="147"/>
    </row>
    <row r="997" spans="1:45" x14ac:dyDescent="0.25">
      <c r="A997" s="147"/>
      <c r="B997" s="147"/>
      <c r="C997" s="160"/>
      <c r="D997" s="160"/>
      <c r="E997" s="161"/>
      <c r="F997" s="162"/>
      <c r="G997" s="163"/>
      <c r="H997" s="163"/>
      <c r="I997" s="164"/>
      <c r="J997" s="162"/>
      <c r="K997" s="165"/>
      <c r="L997" s="166"/>
      <c r="M997" s="167"/>
      <c r="N997" s="167"/>
      <c r="O997" s="168"/>
      <c r="P997" s="168"/>
      <c r="Q997" s="147"/>
      <c r="R997" s="147"/>
      <c r="S997" s="169"/>
      <c r="T997" s="147"/>
      <c r="U997" s="147"/>
      <c r="V997" s="147"/>
      <c r="W997" s="147"/>
      <c r="X997" s="147"/>
      <c r="Y997" s="147"/>
      <c r="Z997" s="147"/>
      <c r="AA997" s="147"/>
      <c r="AB997" s="147"/>
      <c r="AC997" s="147"/>
      <c r="AD997" s="147"/>
      <c r="AE997" s="147"/>
      <c r="AF997" s="147"/>
      <c r="AG997" s="147"/>
      <c r="AH997" s="147"/>
      <c r="AI997" s="147"/>
      <c r="AJ997" s="147"/>
      <c r="AK997" s="147"/>
      <c r="AL997" s="147"/>
      <c r="AM997" s="147"/>
      <c r="AN997" s="147"/>
      <c r="AO997" s="147"/>
      <c r="AP997" s="147"/>
      <c r="AQ997" s="147"/>
      <c r="AR997" s="147"/>
      <c r="AS997" s="147"/>
    </row>
    <row r="998" spans="1:45" x14ac:dyDescent="0.25">
      <c r="A998" s="147"/>
      <c r="B998" s="147"/>
      <c r="C998" s="160"/>
      <c r="D998" s="160"/>
      <c r="E998" s="161"/>
      <c r="F998" s="162"/>
      <c r="G998" s="163"/>
      <c r="H998" s="163"/>
      <c r="I998" s="164"/>
      <c r="J998" s="162"/>
      <c r="K998" s="165"/>
      <c r="L998" s="166"/>
      <c r="M998" s="167"/>
      <c r="N998" s="167"/>
      <c r="O998" s="168"/>
      <c r="P998" s="168"/>
      <c r="Q998" s="147"/>
      <c r="R998" s="147"/>
      <c r="S998" s="169"/>
      <c r="T998" s="147"/>
      <c r="U998" s="147"/>
      <c r="V998" s="147"/>
      <c r="W998" s="147"/>
      <c r="X998" s="147"/>
      <c r="Y998" s="147"/>
      <c r="Z998" s="147"/>
      <c r="AA998" s="147"/>
      <c r="AB998" s="147"/>
      <c r="AC998" s="147"/>
      <c r="AD998" s="147"/>
      <c r="AE998" s="147"/>
      <c r="AF998" s="147"/>
      <c r="AG998" s="147"/>
      <c r="AH998" s="147"/>
      <c r="AI998" s="147"/>
      <c r="AJ998" s="147"/>
      <c r="AK998" s="147"/>
      <c r="AL998" s="147"/>
      <c r="AM998" s="147"/>
      <c r="AN998" s="147"/>
      <c r="AO998" s="147"/>
      <c r="AP998" s="147"/>
      <c r="AQ998" s="147"/>
      <c r="AR998" s="147"/>
      <c r="AS998" s="147"/>
    </row>
    <row r="999" spans="1:45" x14ac:dyDescent="0.25">
      <c r="A999" s="147"/>
      <c r="B999" s="147"/>
      <c r="C999" s="160"/>
      <c r="D999" s="160"/>
      <c r="E999" s="161"/>
      <c r="F999" s="162"/>
      <c r="G999" s="163"/>
      <c r="H999" s="163"/>
      <c r="I999" s="164"/>
      <c r="J999" s="162"/>
      <c r="K999" s="165"/>
      <c r="L999" s="166"/>
      <c r="M999" s="167"/>
      <c r="N999" s="167"/>
      <c r="O999" s="168"/>
      <c r="P999" s="168"/>
      <c r="Q999" s="147"/>
      <c r="R999" s="147"/>
      <c r="S999" s="169"/>
      <c r="T999" s="147"/>
      <c r="U999" s="147"/>
      <c r="V999" s="147"/>
      <c r="W999" s="147"/>
      <c r="X999" s="147"/>
      <c r="Y999" s="147"/>
      <c r="Z999" s="147"/>
      <c r="AA999" s="147"/>
      <c r="AB999" s="147"/>
      <c r="AC999" s="147"/>
      <c r="AD999" s="147"/>
      <c r="AE999" s="147"/>
      <c r="AF999" s="147"/>
      <c r="AG999" s="147"/>
      <c r="AH999" s="147"/>
      <c r="AI999" s="147"/>
      <c r="AJ999" s="147"/>
      <c r="AK999" s="147"/>
      <c r="AL999" s="147"/>
      <c r="AM999" s="147"/>
      <c r="AN999" s="147"/>
      <c r="AO999" s="147"/>
      <c r="AP999" s="147"/>
      <c r="AQ999" s="147"/>
      <c r="AR999" s="147"/>
      <c r="AS999" s="147"/>
    </row>
    <row r="1000" spans="1:45" x14ac:dyDescent="0.25">
      <c r="A1000" s="147"/>
      <c r="B1000" s="147"/>
      <c r="C1000" s="160"/>
      <c r="D1000" s="160"/>
      <c r="E1000" s="161"/>
      <c r="F1000" s="162"/>
      <c r="G1000" s="163"/>
      <c r="H1000" s="163"/>
      <c r="I1000" s="164"/>
      <c r="J1000" s="162"/>
      <c r="K1000" s="165"/>
      <c r="L1000" s="166"/>
      <c r="M1000" s="167"/>
      <c r="N1000" s="167"/>
      <c r="O1000" s="168"/>
      <c r="P1000" s="168"/>
      <c r="Q1000" s="147"/>
      <c r="R1000" s="147"/>
      <c r="S1000" s="169"/>
      <c r="T1000" s="147"/>
      <c r="U1000" s="147"/>
      <c r="V1000" s="147"/>
      <c r="W1000" s="147"/>
      <c r="X1000" s="147"/>
      <c r="Y1000" s="147"/>
      <c r="Z1000" s="147"/>
      <c r="AA1000" s="147"/>
      <c r="AB1000" s="147"/>
      <c r="AC1000" s="147"/>
      <c r="AD1000" s="147"/>
      <c r="AE1000" s="147"/>
      <c r="AF1000" s="147"/>
      <c r="AG1000" s="147"/>
      <c r="AH1000" s="147"/>
      <c r="AI1000" s="147"/>
      <c r="AJ1000" s="147"/>
      <c r="AK1000" s="147"/>
      <c r="AL1000" s="147"/>
      <c r="AM1000" s="147"/>
      <c r="AN1000" s="147"/>
      <c r="AO1000" s="147"/>
      <c r="AP1000" s="147"/>
      <c r="AQ1000" s="147"/>
      <c r="AR1000" s="147"/>
      <c r="AS1000" s="147"/>
    </row>
    <row r="1001" spans="1:45" x14ac:dyDescent="0.25">
      <c r="A1001" s="147"/>
      <c r="B1001" s="147"/>
      <c r="C1001" s="160"/>
      <c r="D1001" s="160"/>
      <c r="E1001" s="161"/>
      <c r="F1001" s="162"/>
      <c r="G1001" s="163"/>
      <c r="H1001" s="163"/>
      <c r="I1001" s="164"/>
      <c r="J1001" s="162"/>
      <c r="K1001" s="165"/>
      <c r="L1001" s="166"/>
      <c r="M1001" s="167"/>
      <c r="N1001" s="167"/>
      <c r="O1001" s="168"/>
      <c r="P1001" s="168"/>
      <c r="Q1001" s="147"/>
      <c r="R1001" s="147"/>
      <c r="S1001" s="169"/>
      <c r="T1001" s="147"/>
      <c r="U1001" s="147"/>
      <c r="V1001" s="147"/>
      <c r="W1001" s="147"/>
      <c r="X1001" s="147"/>
      <c r="Y1001" s="147"/>
      <c r="Z1001" s="147"/>
      <c r="AA1001" s="147"/>
      <c r="AB1001" s="147"/>
      <c r="AC1001" s="147"/>
      <c r="AD1001" s="147"/>
      <c r="AE1001" s="147"/>
      <c r="AF1001" s="147"/>
      <c r="AG1001" s="147"/>
      <c r="AH1001" s="147"/>
      <c r="AI1001" s="147"/>
      <c r="AJ1001" s="147"/>
      <c r="AK1001" s="147"/>
      <c r="AL1001" s="147"/>
      <c r="AM1001" s="147"/>
      <c r="AN1001" s="147"/>
      <c r="AO1001" s="147"/>
      <c r="AP1001" s="147"/>
      <c r="AQ1001" s="147"/>
      <c r="AR1001" s="147"/>
      <c r="AS1001" s="147"/>
    </row>
  </sheetData>
  <mergeCells count="211">
    <mergeCell ref="U278:AD278"/>
    <mergeCell ref="U279:AD279"/>
    <mergeCell ref="U280:AD280"/>
    <mergeCell ref="U281:AD281"/>
    <mergeCell ref="U282:AD282"/>
    <mergeCell ref="U283:AD283"/>
    <mergeCell ref="U284:AD284"/>
    <mergeCell ref="U269:AD269"/>
    <mergeCell ref="U270:AD270"/>
    <mergeCell ref="U271:AD271"/>
    <mergeCell ref="U272:AD272"/>
    <mergeCell ref="U273:AD273"/>
    <mergeCell ref="U274:AD274"/>
    <mergeCell ref="U275:AD275"/>
    <mergeCell ref="U276:AD276"/>
    <mergeCell ref="U277:AD277"/>
    <mergeCell ref="U260:AD260"/>
    <mergeCell ref="U261:AD261"/>
    <mergeCell ref="U262:AD262"/>
    <mergeCell ref="U263:AD263"/>
    <mergeCell ref="U264:AD264"/>
    <mergeCell ref="U265:AD265"/>
    <mergeCell ref="U266:AD266"/>
    <mergeCell ref="U267:AD267"/>
    <mergeCell ref="U268:AD268"/>
    <mergeCell ref="U251:AD251"/>
    <mergeCell ref="U252:AD252"/>
    <mergeCell ref="U253:AD253"/>
    <mergeCell ref="U254:AD254"/>
    <mergeCell ref="U255:AD255"/>
    <mergeCell ref="U256:AD256"/>
    <mergeCell ref="U257:AD257"/>
    <mergeCell ref="U258:AD258"/>
    <mergeCell ref="U259:AD259"/>
    <mergeCell ref="U302:AD302"/>
    <mergeCell ref="U303:AD303"/>
    <mergeCell ref="U304:AD304"/>
    <mergeCell ref="U292:AD292"/>
    <mergeCell ref="U293:AD293"/>
    <mergeCell ref="U294:AD294"/>
    <mergeCell ref="U295:AD295"/>
    <mergeCell ref="U296:AD296"/>
    <mergeCell ref="U297:AD297"/>
    <mergeCell ref="U298:AD298"/>
    <mergeCell ref="U286:AD286"/>
    <mergeCell ref="U287:AD287"/>
    <mergeCell ref="U288:AD288"/>
    <mergeCell ref="U289:AD289"/>
    <mergeCell ref="U290:AD290"/>
    <mergeCell ref="U291:AD291"/>
    <mergeCell ref="U299:AD299"/>
    <mergeCell ref="U300:AD300"/>
    <mergeCell ref="U301:AD301"/>
    <mergeCell ref="U228:AD228"/>
    <mergeCell ref="U229:AD229"/>
    <mergeCell ref="U230:AD230"/>
    <mergeCell ref="U231:AD231"/>
    <mergeCell ref="U232:AD232"/>
    <mergeCell ref="U233:AD233"/>
    <mergeCell ref="U234:AD234"/>
    <mergeCell ref="U235:AD235"/>
    <mergeCell ref="U285:AD285"/>
    <mergeCell ref="U236:AD236"/>
    <mergeCell ref="U237:AD237"/>
    <mergeCell ref="U238:AD238"/>
    <mergeCell ref="U239:AD239"/>
    <mergeCell ref="U240:AD240"/>
    <mergeCell ref="U241:AD241"/>
    <mergeCell ref="U242:AD242"/>
    <mergeCell ref="U243:AD243"/>
    <mergeCell ref="U244:AD244"/>
    <mergeCell ref="U245:AD245"/>
    <mergeCell ref="U246:AD246"/>
    <mergeCell ref="U247:AD247"/>
    <mergeCell ref="U248:AD248"/>
    <mergeCell ref="U249:AD249"/>
    <mergeCell ref="U250:AD250"/>
    <mergeCell ref="U219:AD219"/>
    <mergeCell ref="U220:AD220"/>
    <mergeCell ref="U221:AD221"/>
    <mergeCell ref="U222:AD222"/>
    <mergeCell ref="U223:AD223"/>
    <mergeCell ref="U224:AD224"/>
    <mergeCell ref="U225:AD225"/>
    <mergeCell ref="U226:AD226"/>
    <mergeCell ref="U227:AD227"/>
    <mergeCell ref="U210:AD210"/>
    <mergeCell ref="U211:AD211"/>
    <mergeCell ref="U212:AD212"/>
    <mergeCell ref="U213:AD213"/>
    <mergeCell ref="U214:AD214"/>
    <mergeCell ref="U215:AD215"/>
    <mergeCell ref="U216:AD216"/>
    <mergeCell ref="U217:AD217"/>
    <mergeCell ref="U218:AD218"/>
    <mergeCell ref="U201:AA201"/>
    <mergeCell ref="U202:AA202"/>
    <mergeCell ref="U203:AD203"/>
    <mergeCell ref="U204:AD204"/>
    <mergeCell ref="U205:AD205"/>
    <mergeCell ref="U206:AD206"/>
    <mergeCell ref="U207:AD207"/>
    <mergeCell ref="U208:AD208"/>
    <mergeCell ref="U209:AD209"/>
    <mergeCell ref="U192:AA192"/>
    <mergeCell ref="U193:AA193"/>
    <mergeCell ref="U194:AA194"/>
    <mergeCell ref="U195:AA195"/>
    <mergeCell ref="U196:AA196"/>
    <mergeCell ref="U197:AA197"/>
    <mergeCell ref="U198:AA198"/>
    <mergeCell ref="U199:AA199"/>
    <mergeCell ref="U200:AA200"/>
    <mergeCell ref="U183:AA183"/>
    <mergeCell ref="U184:AA184"/>
    <mergeCell ref="U185:AA185"/>
    <mergeCell ref="U186:AA186"/>
    <mergeCell ref="U187:AA187"/>
    <mergeCell ref="U188:AA188"/>
    <mergeCell ref="U189:AA189"/>
    <mergeCell ref="U190:AA190"/>
    <mergeCell ref="U191:AA191"/>
    <mergeCell ref="U174:AD174"/>
    <mergeCell ref="U175:AD175"/>
    <mergeCell ref="U176:AA176"/>
    <mergeCell ref="U177:AA177"/>
    <mergeCell ref="U178:AA178"/>
    <mergeCell ref="U179:AA179"/>
    <mergeCell ref="U180:AA180"/>
    <mergeCell ref="U181:AA181"/>
    <mergeCell ref="U182:AA182"/>
    <mergeCell ref="U168:X168"/>
    <mergeCell ref="Y168:AB168"/>
    <mergeCell ref="U169:X169"/>
    <mergeCell ref="Y169:AB169"/>
    <mergeCell ref="U170:X170"/>
    <mergeCell ref="Y170:AB170"/>
    <mergeCell ref="U171:X171"/>
    <mergeCell ref="Y171:AB171"/>
    <mergeCell ref="U172:X172"/>
    <mergeCell ref="Y172:AB172"/>
    <mergeCell ref="U160:AD160"/>
    <mergeCell ref="U163:AA163"/>
    <mergeCell ref="U164:X164"/>
    <mergeCell ref="Y164:AB164"/>
    <mergeCell ref="Y165:AB165"/>
    <mergeCell ref="U165:X165"/>
    <mergeCell ref="U166:X166"/>
    <mergeCell ref="Y166:AB166"/>
    <mergeCell ref="U167:X167"/>
    <mergeCell ref="Y167:AB167"/>
    <mergeCell ref="U151:AD151"/>
    <mergeCell ref="U152:AD152"/>
    <mergeCell ref="U153:AD153"/>
    <mergeCell ref="U154:AD154"/>
    <mergeCell ref="U155:AD155"/>
    <mergeCell ref="U156:AD156"/>
    <mergeCell ref="U157:AD157"/>
    <mergeCell ref="U158:AD158"/>
    <mergeCell ref="U159:AD159"/>
    <mergeCell ref="U142:AB142"/>
    <mergeCell ref="AC142:AD142"/>
    <mergeCell ref="U144:AD144"/>
    <mergeCell ref="U145:AD145"/>
    <mergeCell ref="U146:AD146"/>
    <mergeCell ref="U147:AD147"/>
    <mergeCell ref="U148:AD148"/>
    <mergeCell ref="U149:AD149"/>
    <mergeCell ref="U150:AD150"/>
    <mergeCell ref="U133:AD133"/>
    <mergeCell ref="U134:AD134"/>
    <mergeCell ref="U135:AD135"/>
    <mergeCell ref="U136:AD136"/>
    <mergeCell ref="U137:AD137"/>
    <mergeCell ref="U138:AD138"/>
    <mergeCell ref="U139:AD139"/>
    <mergeCell ref="U140:AD140"/>
    <mergeCell ref="U141:AD141"/>
    <mergeCell ref="U86:AB86"/>
    <mergeCell ref="U87:AB87"/>
    <mergeCell ref="V116:AB116"/>
    <mergeCell ref="AG116:AM116"/>
    <mergeCell ref="V117:AB117"/>
    <mergeCell ref="AG117:AM117"/>
    <mergeCell ref="AG128:AP128"/>
    <mergeCell ref="U131:AD131"/>
    <mergeCell ref="U132:AD132"/>
    <mergeCell ref="X5:Z5"/>
    <mergeCell ref="AA5:AD5"/>
    <mergeCell ref="U30:AB30"/>
    <mergeCell ref="U31:AB31"/>
    <mergeCell ref="X57:Y57"/>
    <mergeCell ref="X58:Y58"/>
    <mergeCell ref="U5:W5"/>
    <mergeCell ref="U56:V56"/>
    <mergeCell ref="X56:Y56"/>
    <mergeCell ref="Z56:AB56"/>
    <mergeCell ref="U57:V57"/>
    <mergeCell ref="Z57:AB57"/>
    <mergeCell ref="U58:V58"/>
    <mergeCell ref="Z58:AB58"/>
    <mergeCell ref="D1:K1"/>
    <mergeCell ref="O1:S1"/>
    <mergeCell ref="U1:X1"/>
    <mergeCell ref="Y1:AA1"/>
    <mergeCell ref="U2:W2"/>
    <mergeCell ref="Y2:Z2"/>
    <mergeCell ref="U3:AD3"/>
    <mergeCell ref="U4:W4"/>
    <mergeCell ref="X4:Z4"/>
    <mergeCell ref="AA4:AD4"/>
  </mergeCells>
  <conditionalFormatting sqref="R16:R298">
    <cfRule type="cellIs" dxfId="24" priority="1" operator="between">
      <formula>1</formula>
      <formula>1.25</formula>
    </cfRule>
  </conditionalFormatting>
  <conditionalFormatting sqref="R16:R298">
    <cfRule type="cellIs" dxfId="23" priority="2" operator="between">
      <formula>1</formula>
      <formula>0.75</formula>
    </cfRule>
  </conditionalFormatting>
  <conditionalFormatting sqref="R16:R298">
    <cfRule type="cellIs" dxfId="22" priority="3" operator="lessThanOrEqual">
      <formula>0.75</formula>
    </cfRule>
  </conditionalFormatting>
  <conditionalFormatting sqref="Q16:Q298">
    <cfRule type="cellIs" dxfId="21" priority="4" operator="between">
      <formula>1</formula>
      <formula>1.25</formula>
    </cfRule>
  </conditionalFormatting>
  <conditionalFormatting sqref="Q16:Q298">
    <cfRule type="cellIs" dxfId="20" priority="5" operator="between">
      <formula>1</formula>
      <formula>0.75</formula>
    </cfRule>
  </conditionalFormatting>
  <conditionalFormatting sqref="Q16:Q298">
    <cfRule type="cellIs" dxfId="19" priority="6" operator="lessThan">
      <formula>0.75</formula>
    </cfRule>
  </conditionalFormatting>
  <conditionalFormatting sqref="A16:A298">
    <cfRule type="timePeriod" dxfId="18" priority="7" timePeriod="today">
      <formula>FLOOR(A16,1)=TODAY()</formula>
    </cfRule>
  </conditionalFormatting>
  <conditionalFormatting sqref="S16:S298 T16:T58 T61:T109">
    <cfRule type="cellIs" dxfId="17" priority="8" operator="greaterThanOrEqual">
      <formula>0</formula>
    </cfRule>
  </conditionalFormatting>
  <conditionalFormatting sqref="S16:S298 T16:T58 T61:T109">
    <cfRule type="cellIs" dxfId="16" priority="9" operator="lessThan">
      <formula>0</formula>
    </cfRule>
  </conditionalFormatting>
  <conditionalFormatting sqref="Q2:Q1001">
    <cfRule type="cellIs" dxfId="15" priority="10" operator="greaterThanOrEqual">
      <formula>1.25</formula>
    </cfRule>
  </conditionalFormatting>
  <conditionalFormatting sqref="R2:R1001">
    <cfRule type="cellIs" dxfId="14" priority="11" operator="greaterThanOrEqual">
      <formula>1.25</formula>
    </cfRule>
  </conditionalFormatting>
  <conditionalFormatting sqref="A3:S298">
    <cfRule type="expression" dxfId="13" priority="12">
      <formula>OR(MOD(ROW(),7)=0,MOD(ROW(),7)=1)</formula>
    </cfRule>
  </conditionalFormatting>
  <dataValidations count="2">
    <dataValidation type="list" allowBlank="1" sqref="AB2:AC2" xr:uid="{00000000-0002-0000-0000-000000000000}">
      <formula1>"1,3,5,7,10,14,21"</formula1>
    </dataValidation>
    <dataValidation type="list" allowBlank="1" sqref="AA2" xr:uid="{00000000-0002-0000-0000-000001000000}">
      <formula1>"1,3,4,5,6,7,8,9,12,14,18,21"</formula1>
    </dataValidation>
  </dataValidations>
  <hyperlinks>
    <hyperlink ref="U1" r:id="rId1" xr:uid="{00000000-0004-0000-0000-000000000000}"/>
    <hyperlink ref="U4" r:id="rId2" xr:uid="{00000000-0004-0000-0000-000001000000}"/>
    <hyperlink ref="X4" r:id="rId3" xr:uid="{00000000-0004-0000-0000-000002000000}"/>
    <hyperlink ref="AA4" r:id="rId4" xr:uid="{00000000-0004-0000-0000-000003000000}"/>
    <hyperlink ref="U142" r:id="rId5" xr:uid="{00000000-0004-0000-0000-000004000000}"/>
    <hyperlink ref="AC142" r:id="rId6" xr:uid="{00000000-0004-0000-0000-000005000000}"/>
    <hyperlink ref="U144" r:id="rId7" xr:uid="{00000000-0004-0000-0000-000006000000}"/>
    <hyperlink ref="U154" r:id="rId8" xr:uid="{00000000-0004-0000-0000-000007000000}"/>
    <hyperlink ref="U155" r:id="rId9" xr:uid="{00000000-0004-0000-0000-000008000000}"/>
    <hyperlink ref="U156" r:id="rId10" xr:uid="{00000000-0004-0000-0000-000009000000}"/>
    <hyperlink ref="U157" r:id="rId11" xr:uid="{00000000-0004-0000-0000-00000A000000}"/>
    <hyperlink ref="U158" r:id="rId12" xr:uid="{00000000-0004-0000-0000-00000B000000}"/>
    <hyperlink ref="U159" r:id="rId13" xr:uid="{00000000-0004-0000-0000-00000C000000}"/>
    <hyperlink ref="U164" r:id="rId14" xr:uid="{00000000-0004-0000-0000-00000D000000}"/>
    <hyperlink ref="Y164" r:id="rId15" xr:uid="{00000000-0004-0000-0000-00000E000000}"/>
    <hyperlink ref="U165" r:id="rId16" xr:uid="{00000000-0004-0000-0000-00000F000000}"/>
    <hyperlink ref="Y165" r:id="rId17" xr:uid="{00000000-0004-0000-0000-000010000000}"/>
    <hyperlink ref="U166" r:id="rId18" xr:uid="{00000000-0004-0000-0000-000011000000}"/>
    <hyperlink ref="Y166" r:id="rId19" xr:uid="{00000000-0004-0000-0000-000012000000}"/>
    <hyperlink ref="U167" r:id="rId20" xr:uid="{00000000-0004-0000-0000-000013000000}"/>
    <hyperlink ref="Y167" r:id="rId21" xr:uid="{00000000-0004-0000-0000-000014000000}"/>
    <hyperlink ref="U168" r:id="rId22" xr:uid="{00000000-0004-0000-0000-000015000000}"/>
    <hyperlink ref="Y168" r:id="rId23" xr:uid="{00000000-0004-0000-0000-000016000000}"/>
    <hyperlink ref="U169" r:id="rId24" xr:uid="{00000000-0004-0000-0000-000017000000}"/>
    <hyperlink ref="Y169" r:id="rId25" xr:uid="{00000000-0004-0000-0000-000018000000}"/>
    <hyperlink ref="U170" r:id="rId26" xr:uid="{00000000-0004-0000-0000-000019000000}"/>
    <hyperlink ref="Y170" r:id="rId27" xr:uid="{00000000-0004-0000-0000-00001A000000}"/>
    <hyperlink ref="Y171" r:id="rId28" xr:uid="{00000000-0004-0000-0000-00001B000000}"/>
    <hyperlink ref="Y172" r:id="rId29" xr:uid="{00000000-0004-0000-0000-00001C000000}"/>
  </hyperlinks>
  <pageMargins left="0.7" right="0.7" top="0.75" bottom="0.75" header="0.3" footer="0.3"/>
  <drawing r:id="rId3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H1001"/>
  <sheetViews>
    <sheetView showGridLines="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4.44140625" defaultRowHeight="15.75" customHeight="1" outlineLevelCol="1" x14ac:dyDescent="0.25"/>
  <cols>
    <col min="1" max="1" width="11.109375" customWidth="1"/>
    <col min="2" max="2" width="10.88671875" hidden="1" customWidth="1"/>
    <col min="3" max="3" width="5.6640625" customWidth="1"/>
    <col min="4" max="5" width="7.109375" customWidth="1"/>
    <col min="6" max="6" width="7.109375" hidden="1" customWidth="1"/>
    <col min="7" max="7" width="7.6640625" hidden="1" customWidth="1"/>
    <col min="8" max="8" width="7.109375" hidden="1" customWidth="1"/>
    <col min="9" max="12" width="7.109375" customWidth="1"/>
    <col min="13" max="15" width="7.109375" hidden="1" customWidth="1"/>
    <col min="16" max="19" width="7.109375" customWidth="1"/>
    <col min="20" max="22" width="7.109375" hidden="1" customWidth="1"/>
    <col min="23" max="26" width="7.109375" customWidth="1"/>
    <col min="27" max="29" width="7.109375" hidden="1" customWidth="1"/>
    <col min="30" max="33" width="7.109375" customWidth="1"/>
    <col min="34" max="36" width="7.109375" hidden="1" customWidth="1"/>
    <col min="37" max="40" width="7.109375" customWidth="1"/>
    <col min="41" max="43" width="7.109375" hidden="1" customWidth="1"/>
    <col min="44" max="47" width="7.109375" customWidth="1"/>
    <col min="48" max="50" width="7.109375" hidden="1" customWidth="1" outlineLevel="1"/>
    <col min="51" max="54" width="7.109375" customWidth="1"/>
    <col min="55" max="57" width="7.109375" hidden="1" customWidth="1"/>
    <col min="58" max="61" width="7.109375" customWidth="1"/>
    <col min="62" max="64" width="7.109375" hidden="1" customWidth="1"/>
    <col min="65" max="68" width="7.109375" customWidth="1"/>
    <col min="69" max="71" width="7.109375" hidden="1" customWidth="1"/>
    <col min="72" max="75" width="7.109375" customWidth="1"/>
    <col min="76" max="78" width="7.109375" hidden="1" customWidth="1"/>
    <col min="79" max="82" width="7.109375" customWidth="1"/>
    <col min="83" max="85" width="7.109375" hidden="1" customWidth="1"/>
    <col min="86" max="89" width="7.109375" customWidth="1"/>
    <col min="90" max="92" width="7.109375" hidden="1" customWidth="1"/>
    <col min="93" max="96" width="7.109375" customWidth="1"/>
    <col min="97" max="99" width="7.109375" hidden="1" customWidth="1"/>
    <col min="100" max="103" width="7.109375" customWidth="1"/>
    <col min="104" max="106" width="7.109375" hidden="1" customWidth="1"/>
    <col min="107" max="110" width="7.109375" customWidth="1"/>
    <col min="111" max="113" width="7.109375" hidden="1" customWidth="1"/>
    <col min="114" max="115" width="7.109375" customWidth="1"/>
    <col min="116" max="116" width="5.109375" customWidth="1"/>
    <col min="117" max="138" width="11.5546875" customWidth="1"/>
  </cols>
  <sheetData>
    <row r="1" spans="1:138" x14ac:dyDescent="0.25">
      <c r="A1" s="170" t="str">
        <f>'R(t) Polska'!A1</f>
        <v>ver. 0.89</v>
      </c>
      <c r="B1" s="2"/>
      <c r="C1" s="3"/>
      <c r="D1" s="361" t="s">
        <v>90</v>
      </c>
      <c r="E1" s="362"/>
      <c r="F1" s="362"/>
      <c r="G1" s="362"/>
      <c r="H1" s="362"/>
      <c r="I1" s="362"/>
      <c r="J1" s="363"/>
      <c r="K1" s="361" t="s">
        <v>91</v>
      </c>
      <c r="L1" s="362"/>
      <c r="M1" s="362"/>
      <c r="N1" s="362"/>
      <c r="O1" s="362"/>
      <c r="P1" s="362"/>
      <c r="Q1" s="363"/>
      <c r="R1" s="361" t="s">
        <v>92</v>
      </c>
      <c r="S1" s="362"/>
      <c r="T1" s="362"/>
      <c r="U1" s="362"/>
      <c r="V1" s="362"/>
      <c r="W1" s="362"/>
      <c r="X1" s="363"/>
      <c r="Y1" s="361" t="s">
        <v>93</v>
      </c>
      <c r="Z1" s="362"/>
      <c r="AA1" s="362"/>
      <c r="AB1" s="362"/>
      <c r="AC1" s="362"/>
      <c r="AD1" s="362"/>
      <c r="AE1" s="363"/>
      <c r="AF1" s="361" t="s">
        <v>94</v>
      </c>
      <c r="AG1" s="362"/>
      <c r="AH1" s="362"/>
      <c r="AI1" s="362"/>
      <c r="AJ1" s="362"/>
      <c r="AK1" s="362"/>
      <c r="AL1" s="363"/>
      <c r="AM1" s="361" t="s">
        <v>95</v>
      </c>
      <c r="AN1" s="362"/>
      <c r="AO1" s="362"/>
      <c r="AP1" s="362"/>
      <c r="AQ1" s="362"/>
      <c r="AR1" s="362"/>
      <c r="AS1" s="363"/>
      <c r="AT1" s="361" t="s">
        <v>96</v>
      </c>
      <c r="AU1" s="362"/>
      <c r="AV1" s="362"/>
      <c r="AW1" s="362"/>
      <c r="AX1" s="362"/>
      <c r="AY1" s="362"/>
      <c r="AZ1" s="363"/>
      <c r="BA1" s="361" t="s">
        <v>97</v>
      </c>
      <c r="BB1" s="362"/>
      <c r="BC1" s="362"/>
      <c r="BD1" s="362"/>
      <c r="BE1" s="362"/>
      <c r="BF1" s="362"/>
      <c r="BG1" s="363"/>
      <c r="BH1" s="361" t="s">
        <v>98</v>
      </c>
      <c r="BI1" s="362"/>
      <c r="BJ1" s="362"/>
      <c r="BK1" s="362"/>
      <c r="BL1" s="362"/>
      <c r="BM1" s="362"/>
      <c r="BN1" s="363"/>
      <c r="BO1" s="361" t="s">
        <v>99</v>
      </c>
      <c r="BP1" s="362"/>
      <c r="BQ1" s="362"/>
      <c r="BR1" s="362"/>
      <c r="BS1" s="362"/>
      <c r="BT1" s="362"/>
      <c r="BU1" s="363"/>
      <c r="BV1" s="361" t="s">
        <v>100</v>
      </c>
      <c r="BW1" s="362"/>
      <c r="BX1" s="362"/>
      <c r="BY1" s="362"/>
      <c r="BZ1" s="362"/>
      <c r="CA1" s="362"/>
      <c r="CB1" s="363"/>
      <c r="CC1" s="361" t="s">
        <v>101</v>
      </c>
      <c r="CD1" s="362"/>
      <c r="CE1" s="362"/>
      <c r="CF1" s="362"/>
      <c r="CG1" s="362"/>
      <c r="CH1" s="362"/>
      <c r="CI1" s="363"/>
      <c r="CJ1" s="361" t="s">
        <v>102</v>
      </c>
      <c r="CK1" s="362"/>
      <c r="CL1" s="362"/>
      <c r="CM1" s="362"/>
      <c r="CN1" s="362"/>
      <c r="CO1" s="362"/>
      <c r="CP1" s="363"/>
      <c r="CQ1" s="361" t="s">
        <v>103</v>
      </c>
      <c r="CR1" s="362"/>
      <c r="CS1" s="362"/>
      <c r="CT1" s="362"/>
      <c r="CU1" s="362"/>
      <c r="CV1" s="362"/>
      <c r="CW1" s="363"/>
      <c r="CX1" s="361" t="s">
        <v>104</v>
      </c>
      <c r="CY1" s="362"/>
      <c r="CZ1" s="362"/>
      <c r="DA1" s="362"/>
      <c r="DB1" s="362"/>
      <c r="DC1" s="362"/>
      <c r="DD1" s="363"/>
      <c r="DE1" s="361" t="s">
        <v>105</v>
      </c>
      <c r="DF1" s="362"/>
      <c r="DG1" s="362"/>
      <c r="DH1" s="362"/>
      <c r="DI1" s="362"/>
      <c r="DJ1" s="362"/>
      <c r="DK1" s="363"/>
      <c r="DL1" s="7"/>
      <c r="DM1" s="365" t="s">
        <v>3</v>
      </c>
      <c r="DN1" s="366"/>
      <c r="DO1" s="366"/>
      <c r="DP1" s="366"/>
      <c r="DQ1" s="367" t="s">
        <v>4</v>
      </c>
      <c r="DR1" s="362"/>
      <c r="DS1" s="363"/>
      <c r="DT1" s="8" t="s">
        <v>5</v>
      </c>
      <c r="DU1" s="7" t="s">
        <v>6</v>
      </c>
      <c r="DV1" s="7"/>
      <c r="DW1" s="7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</row>
    <row r="2" spans="1:138" x14ac:dyDescent="0.25">
      <c r="A2" s="10" t="s">
        <v>7</v>
      </c>
      <c r="B2" s="11" t="s">
        <v>8</v>
      </c>
      <c r="C2" s="12" t="s">
        <v>9</v>
      </c>
      <c r="D2" s="13" t="s">
        <v>10</v>
      </c>
      <c r="E2" s="171" t="s">
        <v>11</v>
      </c>
      <c r="F2" s="171" t="str">
        <f>"Nowe przypadki (średnia "&amp;$DT$2&amp;" dni)"</f>
        <v>Nowe przypadki (średnia 7 dni)</v>
      </c>
      <c r="G2" s="19" t="s">
        <v>106</v>
      </c>
      <c r="H2" s="19" t="s">
        <v>107</v>
      </c>
      <c r="I2" s="15" t="s">
        <v>108</v>
      </c>
      <c r="J2" s="172" t="s">
        <v>90</v>
      </c>
      <c r="K2" s="173" t="s">
        <v>10</v>
      </c>
      <c r="L2" s="171" t="s">
        <v>11</v>
      </c>
      <c r="M2" s="171" t="str">
        <f>"Nowe przypadki (średnia "&amp;$DT$2&amp;" dni)"</f>
        <v>Nowe przypadki (średnia 7 dni)</v>
      </c>
      <c r="N2" s="19" t="s">
        <v>106</v>
      </c>
      <c r="O2" s="19" t="s">
        <v>107</v>
      </c>
      <c r="P2" s="15" t="s">
        <v>108</v>
      </c>
      <c r="Q2" s="174" t="s">
        <v>91</v>
      </c>
      <c r="R2" s="13" t="s">
        <v>10</v>
      </c>
      <c r="S2" s="171" t="s">
        <v>11</v>
      </c>
      <c r="T2" s="171" t="str">
        <f>"Nowe przypadki (średnia "&amp;$DT$2&amp;" dni)"</f>
        <v>Nowe przypadki (średnia 7 dni)</v>
      </c>
      <c r="U2" s="19" t="s">
        <v>106</v>
      </c>
      <c r="V2" s="19" t="s">
        <v>107</v>
      </c>
      <c r="W2" s="15" t="s">
        <v>108</v>
      </c>
      <c r="X2" s="172" t="s">
        <v>92</v>
      </c>
      <c r="Y2" s="173" t="s">
        <v>10</v>
      </c>
      <c r="Z2" s="171" t="s">
        <v>11</v>
      </c>
      <c r="AA2" s="171" t="str">
        <f>"Nowe przypadki (średnia "&amp;$DT$2&amp;" dni)"</f>
        <v>Nowe przypadki (średnia 7 dni)</v>
      </c>
      <c r="AB2" s="19" t="s">
        <v>106</v>
      </c>
      <c r="AC2" s="19" t="s">
        <v>107</v>
      </c>
      <c r="AD2" s="15" t="s">
        <v>108</v>
      </c>
      <c r="AE2" s="174" t="s">
        <v>93</v>
      </c>
      <c r="AF2" s="13" t="s">
        <v>10</v>
      </c>
      <c r="AG2" s="171" t="s">
        <v>11</v>
      </c>
      <c r="AH2" s="171" t="str">
        <f>"Nowe przypadki (średnia "&amp;$DT$2&amp;" dni)"</f>
        <v>Nowe przypadki (średnia 7 dni)</v>
      </c>
      <c r="AI2" s="19" t="s">
        <v>106</v>
      </c>
      <c r="AJ2" s="19" t="s">
        <v>107</v>
      </c>
      <c r="AK2" s="15" t="s">
        <v>108</v>
      </c>
      <c r="AL2" s="172" t="s">
        <v>94</v>
      </c>
      <c r="AM2" s="173" t="s">
        <v>10</v>
      </c>
      <c r="AN2" s="171" t="s">
        <v>11</v>
      </c>
      <c r="AO2" s="171" t="str">
        <f>"Nowe przypadki (średnia "&amp;$DT$2&amp;" dni)"</f>
        <v>Nowe przypadki (średnia 7 dni)</v>
      </c>
      <c r="AP2" s="19" t="s">
        <v>106</v>
      </c>
      <c r="AQ2" s="19" t="s">
        <v>107</v>
      </c>
      <c r="AR2" s="15" t="s">
        <v>108</v>
      </c>
      <c r="AS2" s="174" t="s">
        <v>95</v>
      </c>
      <c r="AT2" s="13" t="s">
        <v>10</v>
      </c>
      <c r="AU2" s="171" t="s">
        <v>11</v>
      </c>
      <c r="AV2" s="171" t="str">
        <f>"Nowe przypadki (średnia "&amp;$DT$2&amp;" dni)"</f>
        <v>Nowe przypadki (średnia 7 dni)</v>
      </c>
      <c r="AW2" s="19" t="s">
        <v>106</v>
      </c>
      <c r="AX2" s="19" t="s">
        <v>107</v>
      </c>
      <c r="AY2" s="15" t="s">
        <v>108</v>
      </c>
      <c r="AZ2" s="172" t="s">
        <v>96</v>
      </c>
      <c r="BA2" s="173" t="s">
        <v>10</v>
      </c>
      <c r="BB2" s="171" t="s">
        <v>11</v>
      </c>
      <c r="BC2" s="171" t="str">
        <f>"Nowe przypadki (średnia "&amp;$DT$2&amp;" dni)"</f>
        <v>Nowe przypadki (średnia 7 dni)</v>
      </c>
      <c r="BD2" s="19" t="s">
        <v>106</v>
      </c>
      <c r="BE2" s="19" t="s">
        <v>107</v>
      </c>
      <c r="BF2" s="15" t="s">
        <v>108</v>
      </c>
      <c r="BG2" s="174" t="s">
        <v>97</v>
      </c>
      <c r="BH2" s="13" t="s">
        <v>10</v>
      </c>
      <c r="BI2" s="171" t="s">
        <v>11</v>
      </c>
      <c r="BJ2" s="171" t="str">
        <f>"Nowe przypadki (średnia "&amp;$DT$2&amp;" dni)"</f>
        <v>Nowe przypadki (średnia 7 dni)</v>
      </c>
      <c r="BK2" s="19" t="s">
        <v>106</v>
      </c>
      <c r="BL2" s="19" t="s">
        <v>107</v>
      </c>
      <c r="BM2" s="15" t="s">
        <v>108</v>
      </c>
      <c r="BN2" s="172" t="s">
        <v>98</v>
      </c>
      <c r="BO2" s="173" t="s">
        <v>10</v>
      </c>
      <c r="BP2" s="171" t="s">
        <v>11</v>
      </c>
      <c r="BQ2" s="171" t="str">
        <f>"Nowe przypadki (średnia "&amp;$DT$2&amp;" dni)"</f>
        <v>Nowe przypadki (średnia 7 dni)</v>
      </c>
      <c r="BR2" s="19" t="s">
        <v>106</v>
      </c>
      <c r="BS2" s="19" t="s">
        <v>107</v>
      </c>
      <c r="BT2" s="15" t="s">
        <v>108</v>
      </c>
      <c r="BU2" s="15" t="s">
        <v>99</v>
      </c>
      <c r="BV2" s="171" t="s">
        <v>10</v>
      </c>
      <c r="BW2" s="171" t="s">
        <v>11</v>
      </c>
      <c r="BX2" s="171" t="str">
        <f>"Nowe przypadki (średnia "&amp;$DT$2&amp;" dni)"</f>
        <v>Nowe przypadki (średnia 7 dni)</v>
      </c>
      <c r="BY2" s="19" t="s">
        <v>106</v>
      </c>
      <c r="BZ2" s="19" t="s">
        <v>107</v>
      </c>
      <c r="CA2" s="15" t="s">
        <v>108</v>
      </c>
      <c r="CB2" s="15" t="s">
        <v>100</v>
      </c>
      <c r="CC2" s="171" t="s">
        <v>10</v>
      </c>
      <c r="CD2" s="171" t="s">
        <v>11</v>
      </c>
      <c r="CE2" s="171" t="str">
        <f>"Nowe przypadki (średnia "&amp;$DT$2&amp;" dni)"</f>
        <v>Nowe przypadki (średnia 7 dni)</v>
      </c>
      <c r="CF2" s="19" t="s">
        <v>106</v>
      </c>
      <c r="CG2" s="19" t="s">
        <v>107</v>
      </c>
      <c r="CH2" s="15" t="s">
        <v>108</v>
      </c>
      <c r="CI2" s="174" t="s">
        <v>101</v>
      </c>
      <c r="CJ2" s="13" t="s">
        <v>10</v>
      </c>
      <c r="CK2" s="171" t="s">
        <v>11</v>
      </c>
      <c r="CL2" s="171" t="str">
        <f>"Nowe przypadki (średnia "&amp;$DT$2&amp;" dni)"</f>
        <v>Nowe przypadki (średnia 7 dni)</v>
      </c>
      <c r="CM2" s="19" t="s">
        <v>106</v>
      </c>
      <c r="CN2" s="19" t="s">
        <v>107</v>
      </c>
      <c r="CO2" s="15" t="s">
        <v>108</v>
      </c>
      <c r="CP2" s="172" t="s">
        <v>102</v>
      </c>
      <c r="CQ2" s="173" t="s">
        <v>10</v>
      </c>
      <c r="CR2" s="171" t="s">
        <v>11</v>
      </c>
      <c r="CS2" s="171" t="str">
        <f>"Nowe przypadki (średnia "&amp;$DT$2&amp;" dni)"</f>
        <v>Nowe przypadki (średnia 7 dni)</v>
      </c>
      <c r="CT2" s="19" t="s">
        <v>106</v>
      </c>
      <c r="CU2" s="19" t="s">
        <v>107</v>
      </c>
      <c r="CV2" s="15" t="s">
        <v>108</v>
      </c>
      <c r="CW2" s="15" t="s">
        <v>103</v>
      </c>
      <c r="CX2" s="171" t="s">
        <v>10</v>
      </c>
      <c r="CY2" s="171" t="s">
        <v>11</v>
      </c>
      <c r="CZ2" s="171" t="str">
        <f>"Nowe przypadki (średnia "&amp;$DT$2&amp;" dni)"</f>
        <v>Nowe przypadki (średnia 7 dni)</v>
      </c>
      <c r="DA2" s="19" t="s">
        <v>106</v>
      </c>
      <c r="DB2" s="19" t="s">
        <v>107</v>
      </c>
      <c r="DC2" s="15" t="s">
        <v>108</v>
      </c>
      <c r="DD2" s="15" t="s">
        <v>104</v>
      </c>
      <c r="DE2" s="171" t="s">
        <v>10</v>
      </c>
      <c r="DF2" s="171" t="s">
        <v>11</v>
      </c>
      <c r="DG2" s="171" t="str">
        <f>"Nowe przypadki (średnia "&amp;$DT$2&amp;" dni)"</f>
        <v>Nowe przypadki (średnia 7 dni)</v>
      </c>
      <c r="DH2" s="19" t="s">
        <v>106</v>
      </c>
      <c r="DI2" s="19" t="s">
        <v>107</v>
      </c>
      <c r="DJ2" s="171" t="s">
        <v>108</v>
      </c>
      <c r="DK2" s="175" t="s">
        <v>105</v>
      </c>
      <c r="DL2" s="28"/>
      <c r="DM2" s="368" t="s">
        <v>26</v>
      </c>
      <c r="DN2" s="362"/>
      <c r="DO2" s="363"/>
      <c r="DP2" s="28">
        <v>100</v>
      </c>
      <c r="DQ2" s="369">
        <f>1/DS2</f>
        <v>0.14285714285714285</v>
      </c>
      <c r="DR2" s="370"/>
      <c r="DS2" s="29">
        <v>7</v>
      </c>
      <c r="DT2" s="30">
        <v>7</v>
      </c>
      <c r="DU2" s="28">
        <v>7</v>
      </c>
      <c r="DV2" s="28"/>
      <c r="DW2" s="28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</row>
    <row r="3" spans="1:138" x14ac:dyDescent="0.25">
      <c r="A3" s="32">
        <v>43893</v>
      </c>
      <c r="B3" s="33" t="str">
        <f t="shared" ref="B3:B212" ca="1" si="0">IF(DATEDIF(A3,TODAY(),"D")&lt;$DP$2,A3,"")</f>
        <v/>
      </c>
      <c r="C3" s="34">
        <v>0</v>
      </c>
      <c r="D3" s="176" t="str">
        <f>'R(t) Polska'!A1</f>
        <v>ver. 0.89</v>
      </c>
      <c r="E3" s="177">
        <v>0</v>
      </c>
      <c r="F3" s="178"/>
      <c r="G3" s="179"/>
      <c r="H3" s="179"/>
      <c r="I3" s="180"/>
      <c r="J3" s="181"/>
      <c r="K3" s="176">
        <f>DANE!O3</f>
        <v>0</v>
      </c>
      <c r="L3" s="177">
        <v>0</v>
      </c>
      <c r="M3" s="177"/>
      <c r="N3" s="182"/>
      <c r="O3" s="182"/>
      <c r="P3" s="183"/>
      <c r="Q3" s="184"/>
      <c r="R3" s="176">
        <f>DANE!S3</f>
        <v>0</v>
      </c>
      <c r="S3" s="177">
        <v>0</v>
      </c>
      <c r="T3" s="177"/>
      <c r="U3" s="182"/>
      <c r="V3" s="182"/>
      <c r="W3" s="183"/>
      <c r="X3" s="185"/>
      <c r="Y3" s="176">
        <f>DANE!W3</f>
        <v>1</v>
      </c>
      <c r="Z3" s="177">
        <v>1</v>
      </c>
      <c r="AA3" s="177"/>
      <c r="AB3" s="182"/>
      <c r="AC3" s="182"/>
      <c r="AD3" s="183"/>
      <c r="AE3" s="184"/>
      <c r="AF3" s="176">
        <f>DANE!AA3</f>
        <v>0</v>
      </c>
      <c r="AG3" s="177">
        <v>0</v>
      </c>
      <c r="AH3" s="177"/>
      <c r="AI3" s="182"/>
      <c r="AJ3" s="182"/>
      <c r="AK3" s="183"/>
      <c r="AL3" s="185"/>
      <c r="AM3" s="176">
        <f>DANE!AE3</f>
        <v>0</v>
      </c>
      <c r="AN3" s="177">
        <v>0</v>
      </c>
      <c r="AO3" s="177"/>
      <c r="AP3" s="182"/>
      <c r="AQ3" s="182"/>
      <c r="AR3" s="183"/>
      <c r="AS3" s="184"/>
      <c r="AT3" s="176">
        <f>DANE!AI3</f>
        <v>0</v>
      </c>
      <c r="AU3" s="177">
        <v>0</v>
      </c>
      <c r="AV3" s="177"/>
      <c r="AW3" s="182"/>
      <c r="AX3" s="182"/>
      <c r="AY3" s="183"/>
      <c r="AZ3" s="185"/>
      <c r="BA3" s="176">
        <f>DANE!AM3</f>
        <v>0</v>
      </c>
      <c r="BB3" s="177">
        <v>0</v>
      </c>
      <c r="BC3" s="177"/>
      <c r="BD3" s="182"/>
      <c r="BE3" s="182"/>
      <c r="BF3" s="183"/>
      <c r="BG3" s="184"/>
      <c r="BH3" s="176">
        <f>DANE!AQ3</f>
        <v>0</v>
      </c>
      <c r="BI3" s="177">
        <v>0</v>
      </c>
      <c r="BJ3" s="177"/>
      <c r="BK3" s="182"/>
      <c r="BL3" s="182"/>
      <c r="BM3" s="183"/>
      <c r="BN3" s="185"/>
      <c r="BO3" s="176">
        <f>DANE!AU3</f>
        <v>0</v>
      </c>
      <c r="BP3" s="177">
        <v>0</v>
      </c>
      <c r="BQ3" s="177"/>
      <c r="BR3" s="182"/>
      <c r="BS3" s="182"/>
      <c r="BT3" s="183"/>
      <c r="BU3" s="184"/>
      <c r="BV3" s="176">
        <f>DANE!AY3</f>
        <v>0</v>
      </c>
      <c r="BW3" s="177">
        <v>0</v>
      </c>
      <c r="BX3" s="177"/>
      <c r="BY3" s="182"/>
      <c r="BZ3" s="182"/>
      <c r="CA3" s="183"/>
      <c r="CB3" s="185"/>
      <c r="CC3" s="176">
        <f>DANE!BC3</f>
        <v>0</v>
      </c>
      <c r="CD3" s="177">
        <v>0</v>
      </c>
      <c r="CE3" s="177"/>
      <c r="CF3" s="182"/>
      <c r="CG3" s="182"/>
      <c r="CH3" s="183"/>
      <c r="CI3" s="184"/>
      <c r="CJ3" s="176">
        <f>DANE!BG3</f>
        <v>0</v>
      </c>
      <c r="CK3" s="177">
        <v>0</v>
      </c>
      <c r="CL3" s="177"/>
      <c r="CM3" s="182"/>
      <c r="CN3" s="182"/>
      <c r="CO3" s="183"/>
      <c r="CP3" s="185"/>
      <c r="CQ3" s="176">
        <f>DANE!BK3</f>
        <v>0</v>
      </c>
      <c r="CR3" s="177">
        <v>0</v>
      </c>
      <c r="CS3" s="177"/>
      <c r="CT3" s="182"/>
      <c r="CU3" s="182"/>
      <c r="CV3" s="183"/>
      <c r="CW3" s="184"/>
      <c r="CX3" s="176">
        <f>DANE!BO3</f>
        <v>0</v>
      </c>
      <c r="CY3" s="177">
        <v>0</v>
      </c>
      <c r="CZ3" s="177"/>
      <c r="DA3" s="182"/>
      <c r="DB3" s="182"/>
      <c r="DC3" s="183"/>
      <c r="DD3" s="185"/>
      <c r="DE3" s="176">
        <f>DANE!BS3</f>
        <v>0</v>
      </c>
      <c r="DF3" s="177">
        <v>0</v>
      </c>
      <c r="DG3" s="177"/>
      <c r="DH3" s="182"/>
      <c r="DI3" s="182"/>
      <c r="DJ3" s="186"/>
      <c r="DK3" s="187"/>
      <c r="DL3" s="50"/>
      <c r="DM3" s="371" t="s">
        <v>27</v>
      </c>
      <c r="DN3" s="372"/>
      <c r="DO3" s="372"/>
      <c r="DP3" s="372"/>
      <c r="DQ3" s="372"/>
      <c r="DR3" s="372"/>
      <c r="DS3" s="372"/>
      <c r="DT3" s="372"/>
      <c r="DU3" s="372"/>
      <c r="DV3" s="372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</row>
    <row r="4" spans="1:138" x14ac:dyDescent="0.25">
      <c r="A4" s="32">
        <v>43894</v>
      </c>
      <c r="B4" s="33" t="str">
        <f t="shared" ca="1" si="0"/>
        <v/>
      </c>
      <c r="C4" s="51">
        <v>1</v>
      </c>
      <c r="D4" s="176">
        <f>DANE!K4</f>
        <v>0</v>
      </c>
      <c r="E4" s="188">
        <f t="shared" ref="E4:E287" si="1">IF(ISBLANK(D4),"",E3+D4)</f>
        <v>0</v>
      </c>
      <c r="F4" s="178"/>
      <c r="G4" s="189"/>
      <c r="H4" s="189"/>
      <c r="I4" s="190"/>
      <c r="J4" s="191"/>
      <c r="K4" s="176">
        <f>DANE!O4</f>
        <v>0</v>
      </c>
      <c r="L4" s="188">
        <f t="shared" ref="L4:L296" si="2">IF(ISBLANK(K4),"",L3+K4)</f>
        <v>0</v>
      </c>
      <c r="M4" s="177"/>
      <c r="N4" s="192"/>
      <c r="O4" s="192"/>
      <c r="P4" s="193"/>
      <c r="Q4" s="194"/>
      <c r="R4" s="176">
        <f>DANE!S4</f>
        <v>0</v>
      </c>
      <c r="S4" s="188">
        <f t="shared" ref="S4:S296" si="3">IF(ISBLANK(R4),"",S3+R4)</f>
        <v>0</v>
      </c>
      <c r="T4" s="177"/>
      <c r="U4" s="192"/>
      <c r="V4" s="192"/>
      <c r="W4" s="193"/>
      <c r="X4" s="195"/>
      <c r="Y4" s="176">
        <f>DANE!W4</f>
        <v>0</v>
      </c>
      <c r="Z4" s="188">
        <f t="shared" ref="Z4:Z296" si="4">IF(ISBLANK(Y4),"",Z3+Y4)</f>
        <v>1</v>
      </c>
      <c r="AA4" s="177"/>
      <c r="AB4" s="192"/>
      <c r="AC4" s="192"/>
      <c r="AD4" s="193"/>
      <c r="AE4" s="194"/>
      <c r="AF4" s="176">
        <f>DANE!AA4</f>
        <v>0</v>
      </c>
      <c r="AG4" s="188">
        <f t="shared" ref="AG4:AG296" si="5">IF(ISBLANK(AF4),"",AG3+AF4)</f>
        <v>0</v>
      </c>
      <c r="AH4" s="177"/>
      <c r="AI4" s="192"/>
      <c r="AJ4" s="192"/>
      <c r="AK4" s="193"/>
      <c r="AL4" s="195"/>
      <c r="AM4" s="176">
        <f>DANE!AE4</f>
        <v>0</v>
      </c>
      <c r="AN4" s="188">
        <f t="shared" ref="AN4:AN296" si="6">IF(ISBLANK(AM4),"",AN3+AM4)</f>
        <v>0</v>
      </c>
      <c r="AO4" s="177"/>
      <c r="AP4" s="192"/>
      <c r="AQ4" s="192"/>
      <c r="AR4" s="193"/>
      <c r="AS4" s="194"/>
      <c r="AT4" s="176">
        <f>DANE!AI4</f>
        <v>0</v>
      </c>
      <c r="AU4" s="188">
        <f t="shared" ref="AU4:AU296" si="7">IF(ISBLANK(AT4),"",AU3+AT4)</f>
        <v>0</v>
      </c>
      <c r="AV4" s="177"/>
      <c r="AW4" s="192"/>
      <c r="AX4" s="192"/>
      <c r="AY4" s="193"/>
      <c r="AZ4" s="195"/>
      <c r="BA4" s="176">
        <f>DANE!AM4</f>
        <v>0</v>
      </c>
      <c r="BB4" s="188">
        <f t="shared" ref="BB4:BB296" si="8">IF(ISBLANK(BA4),"",BB3+BA4)</f>
        <v>0</v>
      </c>
      <c r="BC4" s="177"/>
      <c r="BD4" s="192"/>
      <c r="BE4" s="192"/>
      <c r="BF4" s="193"/>
      <c r="BG4" s="194"/>
      <c r="BH4" s="176">
        <f>DANE!AQ4</f>
        <v>0</v>
      </c>
      <c r="BI4" s="188">
        <f t="shared" ref="BI4:BI296" si="9">IF(ISBLANK(BH4),"",BI3+BH4)</f>
        <v>0</v>
      </c>
      <c r="BJ4" s="177"/>
      <c r="BK4" s="192"/>
      <c r="BL4" s="192"/>
      <c r="BM4" s="193"/>
      <c r="BN4" s="195"/>
      <c r="BO4" s="176">
        <f>DANE!AU4</f>
        <v>0</v>
      </c>
      <c r="BP4" s="188">
        <f t="shared" ref="BP4:BP296" si="10">IF(ISBLANK(BO4),"",BP3+BO4)</f>
        <v>0</v>
      </c>
      <c r="BQ4" s="177"/>
      <c r="BR4" s="192"/>
      <c r="BS4" s="192"/>
      <c r="BT4" s="193"/>
      <c r="BU4" s="194"/>
      <c r="BV4" s="176">
        <f>DANE!AY4</f>
        <v>0</v>
      </c>
      <c r="BW4" s="188">
        <f t="shared" ref="BW4:BW296" si="11">IF(ISBLANK(BV4),"",BW3+BV4)</f>
        <v>0</v>
      </c>
      <c r="BX4" s="177"/>
      <c r="BY4" s="192"/>
      <c r="BZ4" s="192"/>
      <c r="CA4" s="193"/>
      <c r="CB4" s="195"/>
      <c r="CC4" s="176">
        <f>DANE!BC4</f>
        <v>0</v>
      </c>
      <c r="CD4" s="188">
        <f t="shared" ref="CD4:CD296" si="12">IF(ISBLANK(CC4),"",CD3+CC4)</f>
        <v>0</v>
      </c>
      <c r="CE4" s="177"/>
      <c r="CF4" s="192"/>
      <c r="CG4" s="192"/>
      <c r="CH4" s="193"/>
      <c r="CI4" s="194"/>
      <c r="CJ4" s="176">
        <f>DANE!BG4</f>
        <v>0</v>
      </c>
      <c r="CK4" s="188">
        <f t="shared" ref="CK4:CK296" si="13">IF(ISBLANK(CJ4),"",CK3+CJ4)</f>
        <v>0</v>
      </c>
      <c r="CL4" s="177"/>
      <c r="CM4" s="192"/>
      <c r="CN4" s="192"/>
      <c r="CO4" s="193"/>
      <c r="CP4" s="195"/>
      <c r="CQ4" s="176">
        <f>DANE!BK4</f>
        <v>0</v>
      </c>
      <c r="CR4" s="188">
        <f t="shared" ref="CR4:CR296" si="14">IF(ISBLANK(CQ4),"",CR3+CQ4)</f>
        <v>0</v>
      </c>
      <c r="CS4" s="177"/>
      <c r="CT4" s="192"/>
      <c r="CU4" s="192"/>
      <c r="CV4" s="193"/>
      <c r="CW4" s="194"/>
      <c r="CX4" s="176">
        <f>DANE!BO4</f>
        <v>0</v>
      </c>
      <c r="CY4" s="188">
        <f t="shared" ref="CY4:CY296" si="15">IF(ISBLANK(CX4),"",CY3+CX4)</f>
        <v>0</v>
      </c>
      <c r="CZ4" s="177"/>
      <c r="DA4" s="192"/>
      <c r="DB4" s="192"/>
      <c r="DC4" s="193"/>
      <c r="DD4" s="195"/>
      <c r="DE4" s="176">
        <f>DANE!BS4</f>
        <v>0</v>
      </c>
      <c r="DF4" s="188">
        <f t="shared" ref="DF4:DF296" si="16">IF(ISBLANK(DE4),"",DF3+DE4)</f>
        <v>0</v>
      </c>
      <c r="DG4" s="177"/>
      <c r="DH4" s="192"/>
      <c r="DI4" s="192"/>
      <c r="DJ4" s="196"/>
      <c r="DK4" s="197"/>
      <c r="DL4" s="50"/>
      <c r="DM4" s="373" t="s">
        <v>109</v>
      </c>
      <c r="DN4" s="372"/>
      <c r="DO4" s="372"/>
      <c r="DP4" s="374" t="s">
        <v>110</v>
      </c>
      <c r="DQ4" s="372"/>
      <c r="DR4" s="372"/>
      <c r="DS4" s="374" t="s">
        <v>111</v>
      </c>
      <c r="DT4" s="372"/>
      <c r="DU4" s="372"/>
      <c r="DV4" s="372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</row>
    <row r="5" spans="1:138" x14ac:dyDescent="0.25">
      <c r="A5" s="32">
        <v>43895</v>
      </c>
      <c r="B5" s="33" t="str">
        <f t="shared" ca="1" si="0"/>
        <v/>
      </c>
      <c r="C5" s="51">
        <v>2</v>
      </c>
      <c r="D5" s="176">
        <f>DANE!K5</f>
        <v>0</v>
      </c>
      <c r="E5" s="188">
        <f t="shared" si="1"/>
        <v>0</v>
      </c>
      <c r="F5" s="178"/>
      <c r="G5" s="189"/>
      <c r="H5" s="179"/>
      <c r="I5" s="180"/>
      <c r="J5" s="181"/>
      <c r="K5" s="176">
        <f>DANE!O5</f>
        <v>0</v>
      </c>
      <c r="L5" s="188">
        <f t="shared" si="2"/>
        <v>0</v>
      </c>
      <c r="M5" s="177"/>
      <c r="N5" s="182"/>
      <c r="O5" s="182"/>
      <c r="P5" s="183"/>
      <c r="Q5" s="184"/>
      <c r="R5" s="176">
        <f>DANE!S5</f>
        <v>0</v>
      </c>
      <c r="S5" s="188">
        <f t="shared" si="3"/>
        <v>0</v>
      </c>
      <c r="T5" s="177"/>
      <c r="U5" s="182"/>
      <c r="V5" s="182"/>
      <c r="W5" s="183"/>
      <c r="X5" s="185"/>
      <c r="Y5" s="176">
        <f>DANE!W5</f>
        <v>0</v>
      </c>
      <c r="Z5" s="188">
        <f t="shared" si="4"/>
        <v>1</v>
      </c>
      <c r="AA5" s="177"/>
      <c r="AB5" s="182"/>
      <c r="AC5" s="182"/>
      <c r="AD5" s="183"/>
      <c r="AE5" s="184"/>
      <c r="AF5" s="176">
        <f>DANE!AA5</f>
        <v>0</v>
      </c>
      <c r="AG5" s="188">
        <f t="shared" si="5"/>
        <v>0</v>
      </c>
      <c r="AH5" s="177"/>
      <c r="AI5" s="182"/>
      <c r="AJ5" s="182"/>
      <c r="AK5" s="183"/>
      <c r="AL5" s="185"/>
      <c r="AM5" s="176">
        <f>DANE!AE5</f>
        <v>0</v>
      </c>
      <c r="AN5" s="188">
        <f t="shared" si="6"/>
        <v>0</v>
      </c>
      <c r="AO5" s="177"/>
      <c r="AP5" s="182"/>
      <c r="AQ5" s="182"/>
      <c r="AR5" s="183"/>
      <c r="AS5" s="184"/>
      <c r="AT5" s="176">
        <f>DANE!AI5</f>
        <v>0</v>
      </c>
      <c r="AU5" s="188">
        <f t="shared" si="7"/>
        <v>0</v>
      </c>
      <c r="AV5" s="177"/>
      <c r="AW5" s="182"/>
      <c r="AX5" s="182"/>
      <c r="AY5" s="183"/>
      <c r="AZ5" s="185"/>
      <c r="BA5" s="176">
        <f>DANE!AM5</f>
        <v>0</v>
      </c>
      <c r="BB5" s="188">
        <f t="shared" si="8"/>
        <v>0</v>
      </c>
      <c r="BC5" s="177"/>
      <c r="BD5" s="182"/>
      <c r="BE5" s="182"/>
      <c r="BF5" s="183"/>
      <c r="BG5" s="184"/>
      <c r="BH5" s="176">
        <f>DANE!AQ5</f>
        <v>0</v>
      </c>
      <c r="BI5" s="188">
        <f t="shared" si="9"/>
        <v>0</v>
      </c>
      <c r="BJ5" s="177"/>
      <c r="BK5" s="182"/>
      <c r="BL5" s="182"/>
      <c r="BM5" s="183"/>
      <c r="BN5" s="185"/>
      <c r="BO5" s="176">
        <f>DANE!AU5</f>
        <v>0</v>
      </c>
      <c r="BP5" s="188">
        <f t="shared" si="10"/>
        <v>0</v>
      </c>
      <c r="BQ5" s="177"/>
      <c r="BR5" s="182"/>
      <c r="BS5" s="182"/>
      <c r="BT5" s="183"/>
      <c r="BU5" s="184"/>
      <c r="BV5" s="176">
        <f>DANE!AY5</f>
        <v>0</v>
      </c>
      <c r="BW5" s="188">
        <f t="shared" si="11"/>
        <v>0</v>
      </c>
      <c r="BX5" s="177"/>
      <c r="BY5" s="182"/>
      <c r="BZ5" s="182"/>
      <c r="CA5" s="183"/>
      <c r="CB5" s="185"/>
      <c r="CC5" s="176">
        <f>DANE!BC5</f>
        <v>0</v>
      </c>
      <c r="CD5" s="188">
        <f t="shared" si="12"/>
        <v>0</v>
      </c>
      <c r="CE5" s="177"/>
      <c r="CF5" s="182"/>
      <c r="CG5" s="182"/>
      <c r="CH5" s="183"/>
      <c r="CI5" s="184"/>
      <c r="CJ5" s="176">
        <f>DANE!BG5</f>
        <v>0</v>
      </c>
      <c r="CK5" s="188">
        <f t="shared" si="13"/>
        <v>0</v>
      </c>
      <c r="CL5" s="177"/>
      <c r="CM5" s="182"/>
      <c r="CN5" s="182"/>
      <c r="CO5" s="183"/>
      <c r="CP5" s="185"/>
      <c r="CQ5" s="176">
        <f>DANE!BK5</f>
        <v>0</v>
      </c>
      <c r="CR5" s="188">
        <f t="shared" si="14"/>
        <v>0</v>
      </c>
      <c r="CS5" s="177"/>
      <c r="CT5" s="182"/>
      <c r="CU5" s="182"/>
      <c r="CV5" s="183"/>
      <c r="CW5" s="184"/>
      <c r="CX5" s="176">
        <f>DANE!BO5</f>
        <v>0</v>
      </c>
      <c r="CY5" s="188">
        <f t="shared" si="15"/>
        <v>0</v>
      </c>
      <c r="CZ5" s="177"/>
      <c r="DA5" s="182"/>
      <c r="DB5" s="182"/>
      <c r="DC5" s="183"/>
      <c r="DD5" s="185"/>
      <c r="DE5" s="176">
        <f>DANE!BS5</f>
        <v>0</v>
      </c>
      <c r="DF5" s="188">
        <f t="shared" si="16"/>
        <v>0</v>
      </c>
      <c r="DG5" s="177"/>
      <c r="DH5" s="182"/>
      <c r="DI5" s="182"/>
      <c r="DJ5" s="186"/>
      <c r="DK5" s="187"/>
      <c r="DL5" s="50"/>
      <c r="DM5" s="378"/>
      <c r="DN5" s="372"/>
      <c r="DO5" s="372"/>
      <c r="DP5" s="375"/>
      <c r="DQ5" s="372"/>
      <c r="DR5" s="372"/>
      <c r="DS5" s="375"/>
      <c r="DT5" s="372"/>
      <c r="DU5" s="372"/>
      <c r="DV5" s="372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</row>
    <row r="6" spans="1:138" x14ac:dyDescent="0.25">
      <c r="A6" s="32">
        <v>43896</v>
      </c>
      <c r="B6" s="33" t="str">
        <f t="shared" ca="1" si="0"/>
        <v/>
      </c>
      <c r="C6" s="51">
        <v>3</v>
      </c>
      <c r="D6" s="176">
        <f>DANE!K6</f>
        <v>1</v>
      </c>
      <c r="E6" s="188">
        <f t="shared" si="1"/>
        <v>1</v>
      </c>
      <c r="F6" s="178"/>
      <c r="G6" s="189"/>
      <c r="H6" s="179"/>
      <c r="I6" s="180"/>
      <c r="J6" s="181"/>
      <c r="K6" s="176">
        <f>DANE!O6</f>
        <v>0</v>
      </c>
      <c r="L6" s="188">
        <f t="shared" si="2"/>
        <v>0</v>
      </c>
      <c r="M6" s="177"/>
      <c r="N6" s="182"/>
      <c r="O6" s="182"/>
      <c r="P6" s="183"/>
      <c r="Q6" s="184"/>
      <c r="R6" s="176">
        <f>DANE!S6</f>
        <v>0</v>
      </c>
      <c r="S6" s="188">
        <f t="shared" si="3"/>
        <v>0</v>
      </c>
      <c r="T6" s="177"/>
      <c r="U6" s="182"/>
      <c r="V6" s="182"/>
      <c r="W6" s="183"/>
      <c r="X6" s="185"/>
      <c r="Y6" s="176">
        <f>DANE!W6</f>
        <v>0</v>
      </c>
      <c r="Z6" s="188">
        <f t="shared" si="4"/>
        <v>1</v>
      </c>
      <c r="AA6" s="177"/>
      <c r="AB6" s="182"/>
      <c r="AC6" s="182"/>
      <c r="AD6" s="183"/>
      <c r="AE6" s="184"/>
      <c r="AF6" s="176">
        <f>DANE!AA6</f>
        <v>0</v>
      </c>
      <c r="AG6" s="188">
        <f t="shared" si="5"/>
        <v>0</v>
      </c>
      <c r="AH6" s="177"/>
      <c r="AI6" s="182"/>
      <c r="AJ6" s="182"/>
      <c r="AK6" s="183"/>
      <c r="AL6" s="185"/>
      <c r="AM6" s="176">
        <f>DANE!AE6</f>
        <v>0</v>
      </c>
      <c r="AN6" s="188">
        <f t="shared" si="6"/>
        <v>0</v>
      </c>
      <c r="AO6" s="177"/>
      <c r="AP6" s="182"/>
      <c r="AQ6" s="182"/>
      <c r="AR6" s="183"/>
      <c r="AS6" s="184"/>
      <c r="AT6" s="176">
        <f>DANE!AI6</f>
        <v>0</v>
      </c>
      <c r="AU6" s="188">
        <f t="shared" si="7"/>
        <v>0</v>
      </c>
      <c r="AV6" s="177"/>
      <c r="AW6" s="182"/>
      <c r="AX6" s="182"/>
      <c r="AY6" s="183"/>
      <c r="AZ6" s="185"/>
      <c r="BA6" s="176">
        <f>DANE!AM6</f>
        <v>0</v>
      </c>
      <c r="BB6" s="188">
        <f t="shared" si="8"/>
        <v>0</v>
      </c>
      <c r="BC6" s="177"/>
      <c r="BD6" s="182"/>
      <c r="BE6" s="182"/>
      <c r="BF6" s="183"/>
      <c r="BG6" s="184"/>
      <c r="BH6" s="176">
        <f>DANE!AQ6</f>
        <v>0</v>
      </c>
      <c r="BI6" s="188">
        <f t="shared" si="9"/>
        <v>0</v>
      </c>
      <c r="BJ6" s="177"/>
      <c r="BK6" s="182"/>
      <c r="BL6" s="182"/>
      <c r="BM6" s="183"/>
      <c r="BN6" s="185"/>
      <c r="BO6" s="176">
        <f>DANE!AU6</f>
        <v>0</v>
      </c>
      <c r="BP6" s="188">
        <f t="shared" si="10"/>
        <v>0</v>
      </c>
      <c r="BQ6" s="177"/>
      <c r="BR6" s="182"/>
      <c r="BS6" s="182"/>
      <c r="BT6" s="183"/>
      <c r="BU6" s="184"/>
      <c r="BV6" s="176">
        <f>DANE!AY6</f>
        <v>0</v>
      </c>
      <c r="BW6" s="188">
        <f t="shared" si="11"/>
        <v>0</v>
      </c>
      <c r="BX6" s="177"/>
      <c r="BY6" s="182"/>
      <c r="BZ6" s="182"/>
      <c r="CA6" s="183"/>
      <c r="CB6" s="185"/>
      <c r="CC6" s="176">
        <f>DANE!BC6</f>
        <v>0</v>
      </c>
      <c r="CD6" s="188">
        <f t="shared" si="12"/>
        <v>0</v>
      </c>
      <c r="CE6" s="177"/>
      <c r="CF6" s="182"/>
      <c r="CG6" s="182"/>
      <c r="CH6" s="183"/>
      <c r="CI6" s="184"/>
      <c r="CJ6" s="176">
        <f>DANE!BG6</f>
        <v>0</v>
      </c>
      <c r="CK6" s="188">
        <f t="shared" si="13"/>
        <v>0</v>
      </c>
      <c r="CL6" s="177"/>
      <c r="CM6" s="182"/>
      <c r="CN6" s="182"/>
      <c r="CO6" s="183"/>
      <c r="CP6" s="185"/>
      <c r="CQ6" s="176">
        <f>DANE!BK6</f>
        <v>1</v>
      </c>
      <c r="CR6" s="188">
        <f t="shared" si="14"/>
        <v>1</v>
      </c>
      <c r="CS6" s="177"/>
      <c r="CT6" s="182"/>
      <c r="CU6" s="182"/>
      <c r="CV6" s="183"/>
      <c r="CW6" s="184"/>
      <c r="CX6" s="176">
        <f>DANE!BO6</f>
        <v>0</v>
      </c>
      <c r="CY6" s="188">
        <f t="shared" si="15"/>
        <v>0</v>
      </c>
      <c r="CZ6" s="177"/>
      <c r="DA6" s="182"/>
      <c r="DB6" s="182"/>
      <c r="DC6" s="183"/>
      <c r="DD6" s="185"/>
      <c r="DE6" s="176">
        <f>DANE!BS6</f>
        <v>2</v>
      </c>
      <c r="DF6" s="188">
        <f t="shared" si="16"/>
        <v>2</v>
      </c>
      <c r="DG6" s="177"/>
      <c r="DH6" s="182"/>
      <c r="DI6" s="182"/>
      <c r="DJ6" s="186"/>
      <c r="DK6" s="187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</row>
    <row r="7" spans="1:138" x14ac:dyDescent="0.25">
      <c r="A7" s="61">
        <v>43897</v>
      </c>
      <c r="B7" s="62" t="str">
        <f t="shared" ca="1" si="0"/>
        <v/>
      </c>
      <c r="C7" s="12">
        <v>4</v>
      </c>
      <c r="D7" s="176">
        <f>DANE!K7</f>
        <v>0</v>
      </c>
      <c r="E7" s="198">
        <f t="shared" si="1"/>
        <v>1</v>
      </c>
      <c r="F7" s="178">
        <f t="shared" ref="F7:F296" ca="1" si="17">IF(ISBLANK(D7),,AVERAGE((OFFSET(D7,(-1)*($DT$2-1),0)):D7))</f>
        <v>0.25</v>
      </c>
      <c r="G7" s="199"/>
      <c r="H7" s="200"/>
      <c r="I7" s="201"/>
      <c r="J7" s="202"/>
      <c r="K7" s="176">
        <f>DANE!O7</f>
        <v>0</v>
      </c>
      <c r="L7" s="198">
        <f t="shared" si="2"/>
        <v>0</v>
      </c>
      <c r="M7" s="177">
        <f t="shared" ref="M7:M296" ca="1" si="18">IF(ISBLANK(K7),,AVERAGE((OFFSET(K7,(-1)*($DT$2-1),0)):K7))</f>
        <v>0</v>
      </c>
      <c r="N7" s="203"/>
      <c r="O7" s="203"/>
      <c r="P7" s="204"/>
      <c r="Q7" s="205"/>
      <c r="R7" s="176">
        <f>DANE!S7</f>
        <v>0</v>
      </c>
      <c r="S7" s="198">
        <f t="shared" si="3"/>
        <v>0</v>
      </c>
      <c r="T7" s="177">
        <f t="shared" ref="T7:T296" ca="1" si="19">IF(ISBLANK(R7),,AVERAGE((OFFSET(R7,(-1)*($DT$2-1),0)):R7))</f>
        <v>0</v>
      </c>
      <c r="U7" s="203"/>
      <c r="V7" s="203"/>
      <c r="W7" s="204"/>
      <c r="X7" s="206"/>
      <c r="Y7" s="176">
        <f>DANE!W7</f>
        <v>0</v>
      </c>
      <c r="Z7" s="198">
        <f t="shared" si="4"/>
        <v>1</v>
      </c>
      <c r="AA7" s="177">
        <f t="shared" ref="AA7:AA296" ca="1" si="20">IF(ISBLANK(Y7),,AVERAGE((OFFSET(Y7,(-1)*($DT$2-1),0)):Y7))</f>
        <v>0.2</v>
      </c>
      <c r="AB7" s="203"/>
      <c r="AC7" s="203"/>
      <c r="AD7" s="204"/>
      <c r="AE7" s="205"/>
      <c r="AF7" s="176">
        <f>DANE!AA7</f>
        <v>0</v>
      </c>
      <c r="AG7" s="198">
        <f t="shared" si="5"/>
        <v>0</v>
      </c>
      <c r="AH7" s="177">
        <f t="shared" ref="AH7:AH296" ca="1" si="21">IF(ISBLANK(AF7),,AVERAGE((OFFSET(AF7,(-1)*($DT$2-1),0)):AF7))</f>
        <v>0</v>
      </c>
      <c r="AI7" s="203"/>
      <c r="AJ7" s="203"/>
      <c r="AK7" s="204"/>
      <c r="AL7" s="206"/>
      <c r="AM7" s="176">
        <f>DANE!AE7</f>
        <v>0</v>
      </c>
      <c r="AN7" s="198">
        <f t="shared" si="6"/>
        <v>0</v>
      </c>
      <c r="AO7" s="177">
        <f t="shared" ref="AO7:AO296" ca="1" si="22">IF(ISBLANK(AM7),,AVERAGE((OFFSET(AM7,(-1)*($DT$2-1),0)):AM7))</f>
        <v>0</v>
      </c>
      <c r="AP7" s="203"/>
      <c r="AQ7" s="203"/>
      <c r="AR7" s="204"/>
      <c r="AS7" s="205"/>
      <c r="AT7" s="176">
        <f>DANE!AI7</f>
        <v>0</v>
      </c>
      <c r="AU7" s="198">
        <f t="shared" si="7"/>
        <v>0</v>
      </c>
      <c r="AV7" s="177">
        <f t="shared" ref="AV7:AV296" ca="1" si="23">IF(ISBLANK(AT7),,AVERAGE((OFFSET(AT7,(-1)*($DT$2-1),0)):AT7))</f>
        <v>0</v>
      </c>
      <c r="AW7" s="203"/>
      <c r="AX7" s="203"/>
      <c r="AY7" s="204"/>
      <c r="AZ7" s="206"/>
      <c r="BA7" s="176">
        <f>DANE!AM7</f>
        <v>0</v>
      </c>
      <c r="BB7" s="198">
        <f t="shared" si="8"/>
        <v>0</v>
      </c>
      <c r="BC7" s="177">
        <f t="shared" ref="BC7:BC296" ca="1" si="24">IF(ISBLANK(BA7),,AVERAGE((OFFSET(BA7,(-1)*($DT$2-1),0)):BA7))</f>
        <v>0</v>
      </c>
      <c r="BD7" s="203"/>
      <c r="BE7" s="203"/>
      <c r="BF7" s="204"/>
      <c r="BG7" s="205"/>
      <c r="BH7" s="176">
        <f>DANE!AQ7</f>
        <v>0</v>
      </c>
      <c r="BI7" s="198">
        <f t="shared" si="9"/>
        <v>0</v>
      </c>
      <c r="BJ7" s="177">
        <f t="shared" ref="BJ7:BJ296" ca="1" si="25">IF(ISBLANK(BH7),,AVERAGE((OFFSET(BH7,(-1)*($DT$2-1),0)):BH7))</f>
        <v>0</v>
      </c>
      <c r="BK7" s="203"/>
      <c r="BL7" s="203"/>
      <c r="BM7" s="204"/>
      <c r="BN7" s="206"/>
      <c r="BO7" s="176">
        <f>DANE!AU7</f>
        <v>0</v>
      </c>
      <c r="BP7" s="198">
        <f t="shared" si="10"/>
        <v>0</v>
      </c>
      <c r="BQ7" s="177">
        <f t="shared" ref="BQ7:BQ296" ca="1" si="26">IF(ISBLANK(BO7),,AVERAGE((OFFSET(BO7,(-1)*($DT$2-1),0)):BO7))</f>
        <v>0</v>
      </c>
      <c r="BR7" s="203"/>
      <c r="BS7" s="203"/>
      <c r="BT7" s="204"/>
      <c r="BU7" s="205"/>
      <c r="BV7" s="176">
        <f>DANE!AY7</f>
        <v>0</v>
      </c>
      <c r="BW7" s="198">
        <f t="shared" si="11"/>
        <v>0</v>
      </c>
      <c r="BX7" s="177">
        <f t="shared" ref="BX7:BX296" ca="1" si="27">IF(ISBLANK(BV7),,AVERAGE((OFFSET(BV7,(-1)*($DT$2-1),0)):BV7))</f>
        <v>0</v>
      </c>
      <c r="BY7" s="203"/>
      <c r="BZ7" s="203"/>
      <c r="CA7" s="204"/>
      <c r="CB7" s="206"/>
      <c r="CC7" s="176">
        <f>DANE!BC7</f>
        <v>0</v>
      </c>
      <c r="CD7" s="198">
        <f t="shared" si="12"/>
        <v>0</v>
      </c>
      <c r="CE7" s="177">
        <f t="shared" ref="CE7:CE296" ca="1" si="28">IF(ISBLANK(CC7),,AVERAGE((OFFSET(CC7,(-1)*($DT$2-1),0)):CC7))</f>
        <v>0</v>
      </c>
      <c r="CF7" s="203"/>
      <c r="CG7" s="203"/>
      <c r="CH7" s="204"/>
      <c r="CI7" s="205"/>
      <c r="CJ7" s="176">
        <f>DANE!BG7</f>
        <v>0</v>
      </c>
      <c r="CK7" s="198">
        <f t="shared" si="13"/>
        <v>0</v>
      </c>
      <c r="CL7" s="177">
        <f t="shared" ref="CL7:CL296" ca="1" si="29">IF(ISBLANK(CJ7),,AVERAGE((OFFSET(CJ7,(-1)*($DT$2-1),0)):CJ7))</f>
        <v>0</v>
      </c>
      <c r="CM7" s="203"/>
      <c r="CN7" s="203"/>
      <c r="CO7" s="204"/>
      <c r="CP7" s="206"/>
      <c r="CQ7" s="176">
        <f>DANE!BK7</f>
        <v>1</v>
      </c>
      <c r="CR7" s="198">
        <f t="shared" si="14"/>
        <v>2</v>
      </c>
      <c r="CS7" s="177">
        <f t="shared" ref="CS7:CS296" ca="1" si="30">IF(ISBLANK(CQ7),,AVERAGE((OFFSET(CQ7,(-1)*($DT$2-1),0)):CQ7))</f>
        <v>0.4</v>
      </c>
      <c r="CT7" s="203"/>
      <c r="CU7" s="203"/>
      <c r="CV7" s="204"/>
      <c r="CW7" s="205"/>
      <c r="CX7" s="176">
        <f>DANE!BO7</f>
        <v>0</v>
      </c>
      <c r="CY7" s="198">
        <f t="shared" si="15"/>
        <v>0</v>
      </c>
      <c r="CZ7" s="177">
        <f t="shared" ref="CZ7:CZ296" ca="1" si="31">IF(ISBLANK(CX7),,AVERAGE((OFFSET(CX7,(-1)*($DT$2-1),0)):CX7))</f>
        <v>0</v>
      </c>
      <c r="DA7" s="203"/>
      <c r="DB7" s="203"/>
      <c r="DC7" s="204"/>
      <c r="DD7" s="206"/>
      <c r="DE7" s="176">
        <f>DANE!BS7</f>
        <v>0</v>
      </c>
      <c r="DF7" s="198">
        <f t="shared" si="16"/>
        <v>2</v>
      </c>
      <c r="DG7" s="177">
        <f t="shared" ref="DG7:DG296" ca="1" si="32">IF(ISBLANK(DE7),,AVERAGE((OFFSET(DE7,(-1)*($DT$2-1),0)):DE7))</f>
        <v>0.4</v>
      </c>
      <c r="DH7" s="203"/>
      <c r="DI7" s="203"/>
      <c r="DJ7" s="207"/>
      <c r="DK7" s="208"/>
      <c r="DL7" s="75"/>
      <c r="DM7" s="75"/>
      <c r="DN7" s="75"/>
      <c r="DO7" s="75"/>
      <c r="DP7" s="75"/>
      <c r="DQ7" s="75"/>
      <c r="DR7" s="75"/>
      <c r="DS7" s="75"/>
      <c r="DT7" s="75"/>
      <c r="DU7" s="75"/>
      <c r="DV7" s="75"/>
      <c r="DW7" s="75"/>
      <c r="DX7" s="75"/>
      <c r="DY7" s="75"/>
      <c r="DZ7" s="75"/>
      <c r="EA7" s="75"/>
      <c r="EB7" s="75"/>
      <c r="EC7" s="75"/>
      <c r="ED7" s="75"/>
      <c r="EE7" s="75"/>
      <c r="EF7" s="75"/>
      <c r="EG7" s="75"/>
      <c r="EH7" s="75"/>
    </row>
    <row r="8" spans="1:138" x14ac:dyDescent="0.25">
      <c r="A8" s="61">
        <v>43898</v>
      </c>
      <c r="B8" s="62" t="str">
        <f t="shared" ca="1" si="0"/>
        <v/>
      </c>
      <c r="C8" s="12">
        <v>5</v>
      </c>
      <c r="D8" s="176">
        <f>DANE!K8</f>
        <v>1</v>
      </c>
      <c r="E8" s="198">
        <f t="shared" si="1"/>
        <v>2</v>
      </c>
      <c r="F8" s="178">
        <f t="shared" ca="1" si="17"/>
        <v>0.4</v>
      </c>
      <c r="G8" s="199"/>
      <c r="H8" s="200"/>
      <c r="I8" s="201"/>
      <c r="J8" s="202"/>
      <c r="K8" s="176">
        <f>DANE!O8</f>
        <v>0</v>
      </c>
      <c r="L8" s="198">
        <f t="shared" si="2"/>
        <v>0</v>
      </c>
      <c r="M8" s="177">
        <f t="shared" ca="1" si="18"/>
        <v>0</v>
      </c>
      <c r="N8" s="203"/>
      <c r="O8" s="203"/>
      <c r="P8" s="204"/>
      <c r="Q8" s="205"/>
      <c r="R8" s="176">
        <f>DANE!S8</f>
        <v>0</v>
      </c>
      <c r="S8" s="198">
        <f t="shared" si="3"/>
        <v>0</v>
      </c>
      <c r="T8" s="177">
        <f t="shared" ca="1" si="19"/>
        <v>0</v>
      </c>
      <c r="U8" s="203"/>
      <c r="V8" s="203"/>
      <c r="W8" s="204"/>
      <c r="X8" s="206"/>
      <c r="Y8" s="176">
        <f>DANE!W8</f>
        <v>0</v>
      </c>
      <c r="Z8" s="198">
        <f t="shared" si="4"/>
        <v>1</v>
      </c>
      <c r="AA8" s="177">
        <f t="shared" ca="1" si="20"/>
        <v>0.16666666666666666</v>
      </c>
      <c r="AB8" s="203"/>
      <c r="AC8" s="203"/>
      <c r="AD8" s="204"/>
      <c r="AE8" s="205"/>
      <c r="AF8" s="176">
        <f>DANE!AA8</f>
        <v>0</v>
      </c>
      <c r="AG8" s="198">
        <f t="shared" si="5"/>
        <v>0</v>
      </c>
      <c r="AH8" s="177">
        <f t="shared" ca="1" si="21"/>
        <v>0</v>
      </c>
      <c r="AI8" s="203"/>
      <c r="AJ8" s="203"/>
      <c r="AK8" s="204"/>
      <c r="AL8" s="206"/>
      <c r="AM8" s="176">
        <f>DANE!AE8</f>
        <v>0</v>
      </c>
      <c r="AN8" s="198">
        <f t="shared" si="6"/>
        <v>0</v>
      </c>
      <c r="AO8" s="177">
        <f t="shared" ca="1" si="22"/>
        <v>0</v>
      </c>
      <c r="AP8" s="203"/>
      <c r="AQ8" s="203"/>
      <c r="AR8" s="204"/>
      <c r="AS8" s="205"/>
      <c r="AT8" s="176">
        <f>DANE!AI8</f>
        <v>2</v>
      </c>
      <c r="AU8" s="198">
        <f t="shared" si="7"/>
        <v>2</v>
      </c>
      <c r="AV8" s="177">
        <f t="shared" ca="1" si="23"/>
        <v>0.33333333333333331</v>
      </c>
      <c r="AW8" s="203"/>
      <c r="AX8" s="203"/>
      <c r="AY8" s="204"/>
      <c r="AZ8" s="206"/>
      <c r="BA8" s="176">
        <f>DANE!AM8</f>
        <v>0</v>
      </c>
      <c r="BB8" s="198">
        <f t="shared" si="8"/>
        <v>0</v>
      </c>
      <c r="BC8" s="177">
        <f t="shared" ca="1" si="24"/>
        <v>0</v>
      </c>
      <c r="BD8" s="203"/>
      <c r="BE8" s="203"/>
      <c r="BF8" s="204"/>
      <c r="BG8" s="205"/>
      <c r="BH8" s="176">
        <f>DANE!AQ8</f>
        <v>0</v>
      </c>
      <c r="BI8" s="198">
        <f t="shared" si="9"/>
        <v>0</v>
      </c>
      <c r="BJ8" s="177">
        <f t="shared" ca="1" si="25"/>
        <v>0</v>
      </c>
      <c r="BK8" s="203"/>
      <c r="BL8" s="203"/>
      <c r="BM8" s="204"/>
      <c r="BN8" s="206"/>
      <c r="BO8" s="176">
        <f>DANE!AU8</f>
        <v>0</v>
      </c>
      <c r="BP8" s="198">
        <f t="shared" si="10"/>
        <v>0</v>
      </c>
      <c r="BQ8" s="177">
        <f t="shared" ca="1" si="26"/>
        <v>0</v>
      </c>
      <c r="BR8" s="203"/>
      <c r="BS8" s="203"/>
      <c r="BT8" s="204"/>
      <c r="BU8" s="205"/>
      <c r="BV8" s="176">
        <f>DANE!AY8</f>
        <v>0</v>
      </c>
      <c r="BW8" s="198">
        <f t="shared" si="11"/>
        <v>0</v>
      </c>
      <c r="BX8" s="177">
        <f t="shared" ca="1" si="27"/>
        <v>0</v>
      </c>
      <c r="BY8" s="203"/>
      <c r="BZ8" s="203"/>
      <c r="CA8" s="204"/>
      <c r="CB8" s="206"/>
      <c r="CC8" s="176">
        <f>DANE!BC8</f>
        <v>2</v>
      </c>
      <c r="CD8" s="198">
        <f t="shared" si="12"/>
        <v>2</v>
      </c>
      <c r="CE8" s="177">
        <f t="shared" ca="1" si="28"/>
        <v>0.33333333333333331</v>
      </c>
      <c r="CF8" s="203"/>
      <c r="CG8" s="203"/>
      <c r="CH8" s="204"/>
      <c r="CI8" s="205"/>
      <c r="CJ8" s="176">
        <f>DANE!BG8</f>
        <v>0</v>
      </c>
      <c r="CK8" s="198">
        <f t="shared" si="13"/>
        <v>0</v>
      </c>
      <c r="CL8" s="177">
        <f t="shared" ca="1" si="29"/>
        <v>0</v>
      </c>
      <c r="CM8" s="203"/>
      <c r="CN8" s="203"/>
      <c r="CO8" s="204"/>
      <c r="CP8" s="206"/>
      <c r="CQ8" s="176">
        <f>DANE!BK8</f>
        <v>0</v>
      </c>
      <c r="CR8" s="198">
        <f t="shared" si="14"/>
        <v>2</v>
      </c>
      <c r="CS8" s="177">
        <f t="shared" ca="1" si="30"/>
        <v>0.33333333333333331</v>
      </c>
      <c r="CT8" s="203"/>
      <c r="CU8" s="203"/>
      <c r="CV8" s="204"/>
      <c r="CW8" s="205"/>
      <c r="CX8" s="176">
        <f>DANE!BO8</f>
        <v>0</v>
      </c>
      <c r="CY8" s="198">
        <f t="shared" si="15"/>
        <v>0</v>
      </c>
      <c r="CZ8" s="177">
        <f t="shared" ca="1" si="31"/>
        <v>0</v>
      </c>
      <c r="DA8" s="203"/>
      <c r="DB8" s="203"/>
      <c r="DC8" s="204"/>
      <c r="DD8" s="206"/>
      <c r="DE8" s="176">
        <f>DANE!BS8</f>
        <v>0</v>
      </c>
      <c r="DF8" s="198">
        <f t="shared" si="16"/>
        <v>2</v>
      </c>
      <c r="DG8" s="177">
        <f t="shared" ca="1" si="32"/>
        <v>0.33333333333333331</v>
      </c>
      <c r="DH8" s="203"/>
      <c r="DI8" s="203"/>
      <c r="DJ8" s="207"/>
      <c r="DK8" s="208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</row>
    <row r="9" spans="1:138" x14ac:dyDescent="0.25">
      <c r="A9" s="32">
        <v>43899</v>
      </c>
      <c r="B9" s="33" t="str">
        <f t="shared" ca="1" si="0"/>
        <v/>
      </c>
      <c r="C9" s="51">
        <v>6</v>
      </c>
      <c r="D9" s="176">
        <f>DANE!K9</f>
        <v>1</v>
      </c>
      <c r="E9" s="188">
        <f t="shared" si="1"/>
        <v>3</v>
      </c>
      <c r="F9" s="178">
        <f t="shared" ca="1" si="17"/>
        <v>0.5</v>
      </c>
      <c r="G9" s="189"/>
      <c r="H9" s="179"/>
      <c r="I9" s="180"/>
      <c r="J9" s="181"/>
      <c r="K9" s="176">
        <f>DANE!O9</f>
        <v>0</v>
      </c>
      <c r="L9" s="188">
        <f t="shared" si="2"/>
        <v>0</v>
      </c>
      <c r="M9" s="177">
        <f t="shared" ca="1" si="18"/>
        <v>0</v>
      </c>
      <c r="N9" s="182"/>
      <c r="O9" s="182"/>
      <c r="P9" s="183"/>
      <c r="Q9" s="184"/>
      <c r="R9" s="176">
        <f>DANE!S9</f>
        <v>0</v>
      </c>
      <c r="S9" s="188">
        <f t="shared" si="3"/>
        <v>0</v>
      </c>
      <c r="T9" s="177">
        <f t="shared" ca="1" si="19"/>
        <v>0</v>
      </c>
      <c r="U9" s="182"/>
      <c r="V9" s="182"/>
      <c r="W9" s="183"/>
      <c r="X9" s="185"/>
      <c r="Y9" s="176">
        <f>DANE!W9</f>
        <v>0</v>
      </c>
      <c r="Z9" s="188">
        <f t="shared" si="4"/>
        <v>1</v>
      </c>
      <c r="AA9" s="177">
        <f t="shared" ca="1" si="20"/>
        <v>0.14285714285714285</v>
      </c>
      <c r="AB9" s="182"/>
      <c r="AC9" s="182"/>
      <c r="AD9" s="183"/>
      <c r="AE9" s="184"/>
      <c r="AF9" s="176">
        <f>DANE!AA9</f>
        <v>0</v>
      </c>
      <c r="AG9" s="188">
        <f t="shared" si="5"/>
        <v>0</v>
      </c>
      <c r="AH9" s="177">
        <f t="shared" ca="1" si="21"/>
        <v>0</v>
      </c>
      <c r="AI9" s="182"/>
      <c r="AJ9" s="182"/>
      <c r="AK9" s="183"/>
      <c r="AL9" s="185"/>
      <c r="AM9" s="176">
        <f>DANE!AE9</f>
        <v>1</v>
      </c>
      <c r="AN9" s="188">
        <f t="shared" si="6"/>
        <v>1</v>
      </c>
      <c r="AO9" s="177">
        <f t="shared" ca="1" si="22"/>
        <v>0.14285714285714285</v>
      </c>
      <c r="AP9" s="182"/>
      <c r="AQ9" s="182"/>
      <c r="AR9" s="183"/>
      <c r="AS9" s="184"/>
      <c r="AT9" s="176">
        <f>DANE!AI9</f>
        <v>0</v>
      </c>
      <c r="AU9" s="188">
        <f t="shared" si="7"/>
        <v>2</v>
      </c>
      <c r="AV9" s="177">
        <f t="shared" ca="1" si="23"/>
        <v>0.2857142857142857</v>
      </c>
      <c r="AW9" s="182"/>
      <c r="AX9" s="182"/>
      <c r="AY9" s="183"/>
      <c r="AZ9" s="185"/>
      <c r="BA9" s="176">
        <f>DANE!AM9</f>
        <v>0</v>
      </c>
      <c r="BB9" s="188">
        <f t="shared" si="8"/>
        <v>0</v>
      </c>
      <c r="BC9" s="177">
        <f t="shared" ca="1" si="24"/>
        <v>0</v>
      </c>
      <c r="BD9" s="182"/>
      <c r="BE9" s="182"/>
      <c r="BF9" s="183"/>
      <c r="BG9" s="184"/>
      <c r="BH9" s="176">
        <f>DANE!AQ9</f>
        <v>0</v>
      </c>
      <c r="BI9" s="188">
        <f t="shared" si="9"/>
        <v>0</v>
      </c>
      <c r="BJ9" s="177">
        <f t="shared" ca="1" si="25"/>
        <v>0</v>
      </c>
      <c r="BK9" s="182"/>
      <c r="BL9" s="182"/>
      <c r="BM9" s="183"/>
      <c r="BN9" s="185"/>
      <c r="BO9" s="176">
        <f>DANE!AU9</f>
        <v>0</v>
      </c>
      <c r="BP9" s="188">
        <f t="shared" si="10"/>
        <v>0</v>
      </c>
      <c r="BQ9" s="177">
        <f t="shared" ca="1" si="26"/>
        <v>0</v>
      </c>
      <c r="BR9" s="182"/>
      <c r="BS9" s="182"/>
      <c r="BT9" s="183"/>
      <c r="BU9" s="184"/>
      <c r="BV9" s="176">
        <f>DANE!AY9</f>
        <v>0</v>
      </c>
      <c r="BW9" s="188">
        <f t="shared" si="11"/>
        <v>0</v>
      </c>
      <c r="BX9" s="177">
        <f t="shared" ca="1" si="27"/>
        <v>0</v>
      </c>
      <c r="BY9" s="182"/>
      <c r="BZ9" s="182"/>
      <c r="CA9" s="183"/>
      <c r="CB9" s="185"/>
      <c r="CC9" s="176">
        <f>DANE!BC9</f>
        <v>3</v>
      </c>
      <c r="CD9" s="188">
        <f t="shared" si="12"/>
        <v>5</v>
      </c>
      <c r="CE9" s="177">
        <f t="shared" ca="1" si="28"/>
        <v>0.7142857142857143</v>
      </c>
      <c r="CF9" s="182"/>
      <c r="CG9" s="182"/>
      <c r="CH9" s="183"/>
      <c r="CI9" s="184"/>
      <c r="CJ9" s="176">
        <f>DANE!BG9</f>
        <v>0</v>
      </c>
      <c r="CK9" s="188">
        <f t="shared" si="13"/>
        <v>0</v>
      </c>
      <c r="CL9" s="177">
        <f t="shared" ca="1" si="29"/>
        <v>0</v>
      </c>
      <c r="CM9" s="182"/>
      <c r="CN9" s="182"/>
      <c r="CO9" s="183"/>
      <c r="CP9" s="185"/>
      <c r="CQ9" s="176">
        <f>DANE!BK9</f>
        <v>0</v>
      </c>
      <c r="CR9" s="188">
        <f t="shared" si="14"/>
        <v>2</v>
      </c>
      <c r="CS9" s="177">
        <f t="shared" ca="1" si="30"/>
        <v>0.2857142857142857</v>
      </c>
      <c r="CT9" s="182"/>
      <c r="CU9" s="182"/>
      <c r="CV9" s="183"/>
      <c r="CW9" s="184"/>
      <c r="CX9" s="176">
        <f>DANE!BO9</f>
        <v>1</v>
      </c>
      <c r="CY9" s="188">
        <f t="shared" si="15"/>
        <v>1</v>
      </c>
      <c r="CZ9" s="177">
        <f t="shared" ca="1" si="31"/>
        <v>0.14285714285714285</v>
      </c>
      <c r="DA9" s="182"/>
      <c r="DB9" s="182"/>
      <c r="DC9" s="183"/>
      <c r="DD9" s="185"/>
      <c r="DE9" s="176">
        <f>DANE!BS9</f>
        <v>0</v>
      </c>
      <c r="DF9" s="188">
        <f t="shared" si="16"/>
        <v>2</v>
      </c>
      <c r="DG9" s="177">
        <f t="shared" ca="1" si="32"/>
        <v>0.2857142857142857</v>
      </c>
      <c r="DH9" s="182"/>
      <c r="DI9" s="182"/>
      <c r="DJ9" s="186"/>
      <c r="DK9" s="187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</row>
    <row r="10" spans="1:138" x14ac:dyDescent="0.25">
      <c r="A10" s="32">
        <v>43900</v>
      </c>
      <c r="B10" s="33" t="str">
        <f t="shared" ca="1" si="0"/>
        <v/>
      </c>
      <c r="C10" s="51">
        <v>7</v>
      </c>
      <c r="D10" s="176">
        <f>DANE!K10</f>
        <v>1</v>
      </c>
      <c r="E10" s="188">
        <f t="shared" si="1"/>
        <v>4</v>
      </c>
      <c r="F10" s="178">
        <f t="shared" ca="1" si="17"/>
        <v>0.5714285714285714</v>
      </c>
      <c r="G10" s="189"/>
      <c r="H10" s="179"/>
      <c r="I10" s="180"/>
      <c r="J10" s="181"/>
      <c r="K10" s="176">
        <f>DANE!O10</f>
        <v>0</v>
      </c>
      <c r="L10" s="188">
        <f t="shared" si="2"/>
        <v>0</v>
      </c>
      <c r="M10" s="177">
        <f t="shared" ca="1" si="18"/>
        <v>0</v>
      </c>
      <c r="N10" s="182"/>
      <c r="O10" s="182"/>
      <c r="P10" s="183"/>
      <c r="Q10" s="184"/>
      <c r="R10" s="176">
        <f>DANE!S10</f>
        <v>1</v>
      </c>
      <c r="S10" s="188">
        <f t="shared" si="3"/>
        <v>1</v>
      </c>
      <c r="T10" s="177">
        <f t="shared" ca="1" si="19"/>
        <v>0.14285714285714285</v>
      </c>
      <c r="U10" s="182"/>
      <c r="V10" s="182"/>
      <c r="W10" s="183"/>
      <c r="X10" s="185"/>
      <c r="Y10" s="176">
        <f>DANE!W10</f>
        <v>0</v>
      </c>
      <c r="Z10" s="188">
        <f t="shared" si="4"/>
        <v>1</v>
      </c>
      <c r="AA10" s="177">
        <f t="shared" ca="1" si="20"/>
        <v>0</v>
      </c>
      <c r="AB10" s="182"/>
      <c r="AC10" s="182"/>
      <c r="AD10" s="183"/>
      <c r="AE10" s="184"/>
      <c r="AF10" s="176">
        <f>DANE!AA10</f>
        <v>0</v>
      </c>
      <c r="AG10" s="188">
        <f t="shared" si="5"/>
        <v>0</v>
      </c>
      <c r="AH10" s="177">
        <f t="shared" ca="1" si="21"/>
        <v>0</v>
      </c>
      <c r="AI10" s="182"/>
      <c r="AJ10" s="182"/>
      <c r="AK10" s="183"/>
      <c r="AL10" s="185"/>
      <c r="AM10" s="176">
        <f>DANE!AE10</f>
        <v>0</v>
      </c>
      <c r="AN10" s="188">
        <f t="shared" si="6"/>
        <v>1</v>
      </c>
      <c r="AO10" s="177">
        <f t="shared" ca="1" si="22"/>
        <v>0.14285714285714285</v>
      </c>
      <c r="AP10" s="182"/>
      <c r="AQ10" s="182"/>
      <c r="AR10" s="183"/>
      <c r="AS10" s="184"/>
      <c r="AT10" s="176">
        <f>DANE!AI10</f>
        <v>1</v>
      </c>
      <c r="AU10" s="188">
        <f t="shared" si="7"/>
        <v>3</v>
      </c>
      <c r="AV10" s="177">
        <f t="shared" ca="1" si="23"/>
        <v>0.42857142857142855</v>
      </c>
      <c r="AW10" s="182"/>
      <c r="AX10" s="182"/>
      <c r="AY10" s="183"/>
      <c r="AZ10" s="185"/>
      <c r="BA10" s="176">
        <f>DANE!AM10</f>
        <v>0</v>
      </c>
      <c r="BB10" s="188">
        <f t="shared" si="8"/>
        <v>0</v>
      </c>
      <c r="BC10" s="177">
        <f t="shared" ca="1" si="24"/>
        <v>0</v>
      </c>
      <c r="BD10" s="182"/>
      <c r="BE10" s="182"/>
      <c r="BF10" s="183"/>
      <c r="BG10" s="184"/>
      <c r="BH10" s="176">
        <f>DANE!AQ10</f>
        <v>0</v>
      </c>
      <c r="BI10" s="188">
        <f t="shared" si="9"/>
        <v>0</v>
      </c>
      <c r="BJ10" s="177">
        <f t="shared" ca="1" si="25"/>
        <v>0</v>
      </c>
      <c r="BK10" s="182"/>
      <c r="BL10" s="182"/>
      <c r="BM10" s="183"/>
      <c r="BN10" s="185"/>
      <c r="BO10" s="176">
        <f>DANE!AU10</f>
        <v>0</v>
      </c>
      <c r="BP10" s="188">
        <f t="shared" si="10"/>
        <v>0</v>
      </c>
      <c r="BQ10" s="177">
        <f t="shared" ca="1" si="26"/>
        <v>0</v>
      </c>
      <c r="BR10" s="182"/>
      <c r="BS10" s="182"/>
      <c r="BT10" s="183"/>
      <c r="BU10" s="184"/>
      <c r="BV10" s="176">
        <f>DANE!AY10</f>
        <v>0</v>
      </c>
      <c r="BW10" s="188">
        <f t="shared" si="11"/>
        <v>0</v>
      </c>
      <c r="BX10" s="177">
        <f t="shared" ca="1" si="27"/>
        <v>0</v>
      </c>
      <c r="BY10" s="182"/>
      <c r="BZ10" s="182"/>
      <c r="CA10" s="183"/>
      <c r="CB10" s="185"/>
      <c r="CC10" s="176">
        <f>DANE!BC10</f>
        <v>2</v>
      </c>
      <c r="CD10" s="188">
        <f t="shared" si="12"/>
        <v>7</v>
      </c>
      <c r="CE10" s="177">
        <f t="shared" ca="1" si="28"/>
        <v>1</v>
      </c>
      <c r="CF10" s="182"/>
      <c r="CG10" s="182"/>
      <c r="CH10" s="183"/>
      <c r="CI10" s="184"/>
      <c r="CJ10" s="176">
        <f>DANE!BG10</f>
        <v>0</v>
      </c>
      <c r="CK10" s="188">
        <f t="shared" si="13"/>
        <v>0</v>
      </c>
      <c r="CL10" s="177">
        <f t="shared" ca="1" si="29"/>
        <v>0</v>
      </c>
      <c r="CM10" s="182"/>
      <c r="CN10" s="182"/>
      <c r="CO10" s="183"/>
      <c r="CP10" s="185"/>
      <c r="CQ10" s="176">
        <f>DANE!BK10</f>
        <v>0</v>
      </c>
      <c r="CR10" s="188">
        <f t="shared" si="14"/>
        <v>2</v>
      </c>
      <c r="CS10" s="177">
        <f t="shared" ca="1" si="30"/>
        <v>0.2857142857142857</v>
      </c>
      <c r="CT10" s="182"/>
      <c r="CU10" s="182"/>
      <c r="CV10" s="183"/>
      <c r="CW10" s="184"/>
      <c r="CX10" s="176">
        <f>DANE!BO10</f>
        <v>0</v>
      </c>
      <c r="CY10" s="188">
        <f t="shared" si="15"/>
        <v>1</v>
      </c>
      <c r="CZ10" s="177">
        <f t="shared" ca="1" si="31"/>
        <v>0.14285714285714285</v>
      </c>
      <c r="DA10" s="182"/>
      <c r="DB10" s="182"/>
      <c r="DC10" s="183"/>
      <c r="DD10" s="185"/>
      <c r="DE10" s="176">
        <f>DANE!BS10</f>
        <v>0</v>
      </c>
      <c r="DF10" s="188">
        <f t="shared" si="16"/>
        <v>2</v>
      </c>
      <c r="DG10" s="177">
        <f t="shared" ca="1" si="32"/>
        <v>0.2857142857142857</v>
      </c>
      <c r="DH10" s="182"/>
      <c r="DI10" s="182"/>
      <c r="DJ10" s="186"/>
      <c r="DK10" s="187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</row>
    <row r="11" spans="1:138" x14ac:dyDescent="0.25">
      <c r="A11" s="32">
        <v>43901</v>
      </c>
      <c r="B11" s="33" t="str">
        <f t="shared" ca="1" si="0"/>
        <v/>
      </c>
      <c r="C11" s="51">
        <v>8</v>
      </c>
      <c r="D11" s="176">
        <f>DANE!K11</f>
        <v>0</v>
      </c>
      <c r="E11" s="188">
        <f t="shared" si="1"/>
        <v>4</v>
      </c>
      <c r="F11" s="178">
        <f t="shared" ca="1" si="17"/>
        <v>0.5714285714285714</v>
      </c>
      <c r="G11" s="189"/>
      <c r="H11" s="179"/>
      <c r="I11" s="180"/>
      <c r="J11" s="181"/>
      <c r="K11" s="176">
        <f>DANE!O11</f>
        <v>0</v>
      </c>
      <c r="L11" s="188">
        <f t="shared" si="2"/>
        <v>0</v>
      </c>
      <c r="M11" s="177">
        <f t="shared" ca="1" si="18"/>
        <v>0</v>
      </c>
      <c r="N11" s="182"/>
      <c r="O11" s="182"/>
      <c r="P11" s="183"/>
      <c r="Q11" s="184"/>
      <c r="R11" s="176">
        <f>DANE!S11</f>
        <v>1</v>
      </c>
      <c r="S11" s="188">
        <f t="shared" si="3"/>
        <v>2</v>
      </c>
      <c r="T11" s="177">
        <f t="shared" ca="1" si="19"/>
        <v>0.2857142857142857</v>
      </c>
      <c r="U11" s="182"/>
      <c r="V11" s="182"/>
      <c r="W11" s="183"/>
      <c r="X11" s="185"/>
      <c r="Y11" s="176">
        <f>DANE!W11</f>
        <v>0</v>
      </c>
      <c r="Z11" s="188">
        <f t="shared" si="4"/>
        <v>1</v>
      </c>
      <c r="AA11" s="177">
        <f t="shared" ca="1" si="20"/>
        <v>0</v>
      </c>
      <c r="AB11" s="182"/>
      <c r="AC11" s="182"/>
      <c r="AD11" s="183"/>
      <c r="AE11" s="184"/>
      <c r="AF11" s="176">
        <f>DANE!AA11</f>
        <v>1</v>
      </c>
      <c r="AG11" s="188">
        <f t="shared" si="5"/>
        <v>1</v>
      </c>
      <c r="AH11" s="177">
        <f t="shared" ca="1" si="21"/>
        <v>0.14285714285714285</v>
      </c>
      <c r="AI11" s="182"/>
      <c r="AJ11" s="182"/>
      <c r="AK11" s="183"/>
      <c r="AL11" s="185"/>
      <c r="AM11" s="176">
        <f>DANE!AE11</f>
        <v>0</v>
      </c>
      <c r="AN11" s="188">
        <f t="shared" si="6"/>
        <v>1</v>
      </c>
      <c r="AO11" s="177">
        <f t="shared" ca="1" si="22"/>
        <v>0.14285714285714285</v>
      </c>
      <c r="AP11" s="182"/>
      <c r="AQ11" s="182"/>
      <c r="AR11" s="183"/>
      <c r="AS11" s="184"/>
      <c r="AT11" s="176">
        <f>DANE!AI11</f>
        <v>1</v>
      </c>
      <c r="AU11" s="188">
        <f t="shared" si="7"/>
        <v>4</v>
      </c>
      <c r="AV11" s="177">
        <f t="shared" ca="1" si="23"/>
        <v>0.5714285714285714</v>
      </c>
      <c r="AW11" s="182"/>
      <c r="AX11" s="182"/>
      <c r="AY11" s="183"/>
      <c r="AZ11" s="185"/>
      <c r="BA11" s="176">
        <f>DANE!AM11</f>
        <v>1</v>
      </c>
      <c r="BB11" s="188">
        <f t="shared" si="8"/>
        <v>1</v>
      </c>
      <c r="BC11" s="177">
        <f t="shared" ca="1" si="24"/>
        <v>0.14285714285714285</v>
      </c>
      <c r="BD11" s="182"/>
      <c r="BE11" s="182"/>
      <c r="BF11" s="183"/>
      <c r="BG11" s="184"/>
      <c r="BH11" s="176">
        <f>DANE!AQ11</f>
        <v>1</v>
      </c>
      <c r="BI11" s="188">
        <f t="shared" si="9"/>
        <v>1</v>
      </c>
      <c r="BJ11" s="177">
        <f t="shared" ca="1" si="25"/>
        <v>0.14285714285714285</v>
      </c>
      <c r="BK11" s="182"/>
      <c r="BL11" s="182"/>
      <c r="BM11" s="183"/>
      <c r="BN11" s="185"/>
      <c r="BO11" s="176">
        <f>DANE!AU11</f>
        <v>0</v>
      </c>
      <c r="BP11" s="188">
        <f t="shared" si="10"/>
        <v>0</v>
      </c>
      <c r="BQ11" s="177">
        <f t="shared" ca="1" si="26"/>
        <v>0</v>
      </c>
      <c r="BR11" s="182"/>
      <c r="BS11" s="182"/>
      <c r="BT11" s="183"/>
      <c r="BU11" s="184"/>
      <c r="BV11" s="176">
        <f>DANE!AY11</f>
        <v>0</v>
      </c>
      <c r="BW11" s="188">
        <f t="shared" si="11"/>
        <v>0</v>
      </c>
      <c r="BX11" s="177">
        <f t="shared" ca="1" si="27"/>
        <v>0</v>
      </c>
      <c r="BY11" s="182"/>
      <c r="BZ11" s="182"/>
      <c r="CA11" s="183"/>
      <c r="CB11" s="185"/>
      <c r="CC11" s="176">
        <f>DANE!BC11</f>
        <v>1</v>
      </c>
      <c r="CD11" s="188">
        <f t="shared" si="12"/>
        <v>8</v>
      </c>
      <c r="CE11" s="177">
        <f t="shared" ca="1" si="28"/>
        <v>1.1428571428571428</v>
      </c>
      <c r="CF11" s="182"/>
      <c r="CG11" s="182"/>
      <c r="CH11" s="183"/>
      <c r="CI11" s="184"/>
      <c r="CJ11" s="176">
        <f>DANE!BG11</f>
        <v>0</v>
      </c>
      <c r="CK11" s="188">
        <f t="shared" si="13"/>
        <v>0</v>
      </c>
      <c r="CL11" s="177">
        <f t="shared" ca="1" si="29"/>
        <v>0</v>
      </c>
      <c r="CM11" s="182"/>
      <c r="CN11" s="182"/>
      <c r="CO11" s="183"/>
      <c r="CP11" s="185"/>
      <c r="CQ11" s="176">
        <f>DANE!BK11</f>
        <v>2</v>
      </c>
      <c r="CR11" s="188">
        <f t="shared" si="14"/>
        <v>4</v>
      </c>
      <c r="CS11" s="177">
        <f t="shared" ca="1" si="30"/>
        <v>0.5714285714285714</v>
      </c>
      <c r="CT11" s="182"/>
      <c r="CU11" s="182"/>
      <c r="CV11" s="183"/>
      <c r="CW11" s="184"/>
      <c r="CX11" s="176">
        <f>DANE!BO11</f>
        <v>1</v>
      </c>
      <c r="CY11" s="188">
        <f t="shared" si="15"/>
        <v>2</v>
      </c>
      <c r="CZ11" s="177">
        <f t="shared" ca="1" si="31"/>
        <v>0.2857142857142857</v>
      </c>
      <c r="DA11" s="182"/>
      <c r="DB11" s="182"/>
      <c r="DC11" s="183"/>
      <c r="DD11" s="185"/>
      <c r="DE11" s="176">
        <f>DANE!BS11</f>
        <v>0</v>
      </c>
      <c r="DF11" s="188">
        <f t="shared" si="16"/>
        <v>2</v>
      </c>
      <c r="DG11" s="177">
        <f t="shared" ca="1" si="32"/>
        <v>0.2857142857142857</v>
      </c>
      <c r="DH11" s="182"/>
      <c r="DI11" s="182"/>
      <c r="DJ11" s="186"/>
      <c r="DK11" s="187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</row>
    <row r="12" spans="1:138" x14ac:dyDescent="0.25">
      <c r="A12" s="32">
        <v>43902</v>
      </c>
      <c r="B12" s="33" t="str">
        <f t="shared" ca="1" si="0"/>
        <v/>
      </c>
      <c r="C12" s="51">
        <v>9</v>
      </c>
      <c r="D12" s="176">
        <f>DANE!K12</f>
        <v>3</v>
      </c>
      <c r="E12" s="188">
        <f t="shared" si="1"/>
        <v>7</v>
      </c>
      <c r="F12" s="178">
        <f t="shared" ca="1" si="17"/>
        <v>1</v>
      </c>
      <c r="G12" s="189"/>
      <c r="H12" s="179"/>
      <c r="I12" s="180"/>
      <c r="J12" s="181"/>
      <c r="K12" s="176">
        <f>DANE!O12</f>
        <v>0</v>
      </c>
      <c r="L12" s="188">
        <f t="shared" si="2"/>
        <v>0</v>
      </c>
      <c r="M12" s="177">
        <f t="shared" ca="1" si="18"/>
        <v>0</v>
      </c>
      <c r="N12" s="182"/>
      <c r="O12" s="182"/>
      <c r="P12" s="183"/>
      <c r="Q12" s="184"/>
      <c r="R12" s="176">
        <f>DANE!S12</f>
        <v>4</v>
      </c>
      <c r="S12" s="188">
        <f t="shared" si="3"/>
        <v>6</v>
      </c>
      <c r="T12" s="177">
        <f t="shared" ca="1" si="19"/>
        <v>0.8571428571428571</v>
      </c>
      <c r="U12" s="182"/>
      <c r="V12" s="182"/>
      <c r="W12" s="183"/>
      <c r="X12" s="185"/>
      <c r="Y12" s="176">
        <f>DANE!W12</f>
        <v>0</v>
      </c>
      <c r="Z12" s="188">
        <f t="shared" si="4"/>
        <v>1</v>
      </c>
      <c r="AA12" s="177">
        <f t="shared" ca="1" si="20"/>
        <v>0</v>
      </c>
      <c r="AB12" s="182"/>
      <c r="AC12" s="182"/>
      <c r="AD12" s="183"/>
      <c r="AE12" s="184"/>
      <c r="AF12" s="176">
        <f>DANE!AA12</f>
        <v>1</v>
      </c>
      <c r="AG12" s="188">
        <f t="shared" si="5"/>
        <v>2</v>
      </c>
      <c r="AH12" s="177">
        <f t="shared" ca="1" si="21"/>
        <v>0.2857142857142857</v>
      </c>
      <c r="AI12" s="182"/>
      <c r="AJ12" s="182"/>
      <c r="AK12" s="183"/>
      <c r="AL12" s="185"/>
      <c r="AM12" s="176">
        <f>DANE!AE12</f>
        <v>0</v>
      </c>
      <c r="AN12" s="188">
        <f t="shared" si="6"/>
        <v>1</v>
      </c>
      <c r="AO12" s="177">
        <f t="shared" ca="1" si="22"/>
        <v>0.14285714285714285</v>
      </c>
      <c r="AP12" s="182"/>
      <c r="AQ12" s="182"/>
      <c r="AR12" s="183"/>
      <c r="AS12" s="184"/>
      <c r="AT12" s="176">
        <f>DANE!AI12</f>
        <v>2</v>
      </c>
      <c r="AU12" s="188">
        <f t="shared" si="7"/>
        <v>6</v>
      </c>
      <c r="AV12" s="177">
        <f t="shared" ca="1" si="23"/>
        <v>0.8571428571428571</v>
      </c>
      <c r="AW12" s="182"/>
      <c r="AX12" s="182"/>
      <c r="AY12" s="183"/>
      <c r="AZ12" s="185"/>
      <c r="BA12" s="176">
        <f>DANE!AM12</f>
        <v>1</v>
      </c>
      <c r="BB12" s="188">
        <f t="shared" si="8"/>
        <v>2</v>
      </c>
      <c r="BC12" s="177">
        <f t="shared" ca="1" si="24"/>
        <v>0.2857142857142857</v>
      </c>
      <c r="BD12" s="182"/>
      <c r="BE12" s="182"/>
      <c r="BF12" s="183"/>
      <c r="BG12" s="184"/>
      <c r="BH12" s="176">
        <f>DANE!AQ12</f>
        <v>2</v>
      </c>
      <c r="BI12" s="188">
        <f t="shared" si="9"/>
        <v>3</v>
      </c>
      <c r="BJ12" s="177">
        <f t="shared" ca="1" si="25"/>
        <v>0.42857142857142855</v>
      </c>
      <c r="BK12" s="182"/>
      <c r="BL12" s="182"/>
      <c r="BM12" s="183"/>
      <c r="BN12" s="185"/>
      <c r="BO12" s="176">
        <f>DANE!AU12</f>
        <v>0</v>
      </c>
      <c r="BP12" s="188">
        <f t="shared" si="10"/>
        <v>0</v>
      </c>
      <c r="BQ12" s="177">
        <f t="shared" ca="1" si="26"/>
        <v>0</v>
      </c>
      <c r="BR12" s="182"/>
      <c r="BS12" s="182"/>
      <c r="BT12" s="183"/>
      <c r="BU12" s="184"/>
      <c r="BV12" s="176">
        <f>DANE!AY12</f>
        <v>0</v>
      </c>
      <c r="BW12" s="188">
        <f t="shared" si="11"/>
        <v>0</v>
      </c>
      <c r="BX12" s="177">
        <f t="shared" ca="1" si="27"/>
        <v>0</v>
      </c>
      <c r="BY12" s="182"/>
      <c r="BZ12" s="182"/>
      <c r="CA12" s="183"/>
      <c r="CB12" s="185"/>
      <c r="CC12" s="176">
        <f>DANE!BC12</f>
        <v>3</v>
      </c>
      <c r="CD12" s="188">
        <f t="shared" si="12"/>
        <v>11</v>
      </c>
      <c r="CE12" s="177">
        <f t="shared" ca="1" si="28"/>
        <v>1.5714285714285714</v>
      </c>
      <c r="CF12" s="182"/>
      <c r="CG12" s="182"/>
      <c r="CH12" s="183"/>
      <c r="CI12" s="184"/>
      <c r="CJ12" s="176">
        <f>DANE!BG12</f>
        <v>0</v>
      </c>
      <c r="CK12" s="188">
        <f t="shared" si="13"/>
        <v>0</v>
      </c>
      <c r="CL12" s="177">
        <f t="shared" ca="1" si="29"/>
        <v>0</v>
      </c>
      <c r="CM12" s="182"/>
      <c r="CN12" s="182"/>
      <c r="CO12" s="183"/>
      <c r="CP12" s="185"/>
      <c r="CQ12" s="176">
        <f>DANE!BK12</f>
        <v>0</v>
      </c>
      <c r="CR12" s="188">
        <f t="shared" si="14"/>
        <v>4</v>
      </c>
      <c r="CS12" s="177">
        <f t="shared" ca="1" si="30"/>
        <v>0.5714285714285714</v>
      </c>
      <c r="CT12" s="182"/>
      <c r="CU12" s="182"/>
      <c r="CV12" s="183"/>
      <c r="CW12" s="184"/>
      <c r="CX12" s="176">
        <f>DANE!BO12</f>
        <v>3</v>
      </c>
      <c r="CY12" s="188">
        <f t="shared" si="15"/>
        <v>5</v>
      </c>
      <c r="CZ12" s="177">
        <f t="shared" ca="1" si="31"/>
        <v>0.7142857142857143</v>
      </c>
      <c r="DA12" s="182"/>
      <c r="DB12" s="182"/>
      <c r="DC12" s="183"/>
      <c r="DD12" s="185"/>
      <c r="DE12" s="176">
        <f>DANE!BS12</f>
        <v>1</v>
      </c>
      <c r="DF12" s="188">
        <f t="shared" si="16"/>
        <v>3</v>
      </c>
      <c r="DG12" s="177">
        <f t="shared" ca="1" si="32"/>
        <v>0.42857142857142855</v>
      </c>
      <c r="DH12" s="182"/>
      <c r="DI12" s="182"/>
      <c r="DJ12" s="186"/>
      <c r="DK12" s="187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</row>
    <row r="13" spans="1:138" x14ac:dyDescent="0.25">
      <c r="A13" s="32">
        <v>43903</v>
      </c>
      <c r="B13" s="33" t="str">
        <f t="shared" ca="1" si="0"/>
        <v/>
      </c>
      <c r="C13" s="51">
        <v>10</v>
      </c>
      <c r="D13" s="176">
        <f>DANE!K13</f>
        <v>1</v>
      </c>
      <c r="E13" s="188">
        <f t="shared" si="1"/>
        <v>8</v>
      </c>
      <c r="F13" s="178">
        <f t="shared" ca="1" si="17"/>
        <v>1</v>
      </c>
      <c r="G13" s="189"/>
      <c r="H13" s="179"/>
      <c r="I13" s="180"/>
      <c r="J13" s="181"/>
      <c r="K13" s="176">
        <f>DANE!O13</f>
        <v>0</v>
      </c>
      <c r="L13" s="188">
        <f t="shared" si="2"/>
        <v>0</v>
      </c>
      <c r="M13" s="177">
        <f t="shared" ca="1" si="18"/>
        <v>0</v>
      </c>
      <c r="N13" s="182"/>
      <c r="O13" s="182"/>
      <c r="P13" s="183"/>
      <c r="Q13" s="184"/>
      <c r="R13" s="176">
        <f>DANE!S13</f>
        <v>1</v>
      </c>
      <c r="S13" s="188">
        <f t="shared" si="3"/>
        <v>7</v>
      </c>
      <c r="T13" s="177">
        <f t="shared" ca="1" si="19"/>
        <v>1</v>
      </c>
      <c r="U13" s="182"/>
      <c r="V13" s="182"/>
      <c r="W13" s="183"/>
      <c r="X13" s="185"/>
      <c r="Y13" s="176">
        <f>DANE!W13</f>
        <v>0</v>
      </c>
      <c r="Z13" s="188">
        <f t="shared" si="4"/>
        <v>1</v>
      </c>
      <c r="AA13" s="177">
        <f t="shared" ca="1" si="20"/>
        <v>0</v>
      </c>
      <c r="AB13" s="182"/>
      <c r="AC13" s="182"/>
      <c r="AD13" s="183"/>
      <c r="AE13" s="184"/>
      <c r="AF13" s="176">
        <f>DANE!AA13</f>
        <v>3</v>
      </c>
      <c r="AG13" s="188">
        <f t="shared" si="5"/>
        <v>5</v>
      </c>
      <c r="AH13" s="177">
        <f t="shared" ca="1" si="21"/>
        <v>0.7142857142857143</v>
      </c>
      <c r="AI13" s="182"/>
      <c r="AJ13" s="182"/>
      <c r="AK13" s="183"/>
      <c r="AL13" s="185"/>
      <c r="AM13" s="176">
        <f>DANE!AE13</f>
        <v>0</v>
      </c>
      <c r="AN13" s="188">
        <f t="shared" si="6"/>
        <v>1</v>
      </c>
      <c r="AO13" s="177">
        <f t="shared" ca="1" si="22"/>
        <v>0.14285714285714285</v>
      </c>
      <c r="AP13" s="182"/>
      <c r="AQ13" s="182"/>
      <c r="AR13" s="183"/>
      <c r="AS13" s="184"/>
      <c r="AT13" s="176">
        <f>DANE!AI13</f>
        <v>5</v>
      </c>
      <c r="AU13" s="188">
        <f t="shared" si="7"/>
        <v>11</v>
      </c>
      <c r="AV13" s="177">
        <f t="shared" ca="1" si="23"/>
        <v>1.5714285714285714</v>
      </c>
      <c r="AW13" s="182"/>
      <c r="AX13" s="182"/>
      <c r="AY13" s="183"/>
      <c r="AZ13" s="185"/>
      <c r="BA13" s="176">
        <f>DANE!AM13</f>
        <v>0</v>
      </c>
      <c r="BB13" s="188">
        <f t="shared" si="8"/>
        <v>2</v>
      </c>
      <c r="BC13" s="177">
        <f t="shared" ca="1" si="24"/>
        <v>0.2857142857142857</v>
      </c>
      <c r="BD13" s="182"/>
      <c r="BE13" s="182"/>
      <c r="BF13" s="183"/>
      <c r="BG13" s="184"/>
      <c r="BH13" s="176">
        <f>DANE!AQ13</f>
        <v>3</v>
      </c>
      <c r="BI13" s="188">
        <f t="shared" si="9"/>
        <v>6</v>
      </c>
      <c r="BJ13" s="177">
        <f t="shared" ca="1" si="25"/>
        <v>0.8571428571428571</v>
      </c>
      <c r="BK13" s="182"/>
      <c r="BL13" s="182"/>
      <c r="BM13" s="183"/>
      <c r="BN13" s="185"/>
      <c r="BO13" s="176">
        <f>DANE!AU13</f>
        <v>0</v>
      </c>
      <c r="BP13" s="188">
        <f t="shared" si="10"/>
        <v>0</v>
      </c>
      <c r="BQ13" s="177">
        <f t="shared" ca="1" si="26"/>
        <v>0</v>
      </c>
      <c r="BR13" s="182"/>
      <c r="BS13" s="182"/>
      <c r="BT13" s="183"/>
      <c r="BU13" s="184"/>
      <c r="BV13" s="176">
        <f>DANE!AY13</f>
        <v>0</v>
      </c>
      <c r="BW13" s="188">
        <f t="shared" si="11"/>
        <v>0</v>
      </c>
      <c r="BX13" s="177">
        <f t="shared" ca="1" si="27"/>
        <v>0</v>
      </c>
      <c r="BY13" s="182"/>
      <c r="BZ13" s="182"/>
      <c r="CA13" s="183"/>
      <c r="CB13" s="185"/>
      <c r="CC13" s="176">
        <f>DANE!BC13</f>
        <v>1</v>
      </c>
      <c r="CD13" s="188">
        <f t="shared" si="12"/>
        <v>12</v>
      </c>
      <c r="CE13" s="177">
        <f t="shared" ca="1" si="28"/>
        <v>1.7142857142857142</v>
      </c>
      <c r="CF13" s="182"/>
      <c r="CG13" s="182"/>
      <c r="CH13" s="183"/>
      <c r="CI13" s="184"/>
      <c r="CJ13" s="176">
        <f>DANE!BG13</f>
        <v>0</v>
      </c>
      <c r="CK13" s="188">
        <f t="shared" si="13"/>
        <v>0</v>
      </c>
      <c r="CL13" s="177">
        <f t="shared" ca="1" si="29"/>
        <v>0</v>
      </c>
      <c r="CM13" s="182"/>
      <c r="CN13" s="182"/>
      <c r="CO13" s="183"/>
      <c r="CP13" s="185"/>
      <c r="CQ13" s="176">
        <f>DANE!BK13</f>
        <v>0</v>
      </c>
      <c r="CR13" s="188">
        <f t="shared" si="14"/>
        <v>4</v>
      </c>
      <c r="CS13" s="177">
        <f t="shared" ca="1" si="30"/>
        <v>0.42857142857142855</v>
      </c>
      <c r="CT13" s="182"/>
      <c r="CU13" s="182"/>
      <c r="CV13" s="183"/>
      <c r="CW13" s="184"/>
      <c r="CX13" s="176">
        <f>DANE!BO13</f>
        <v>1</v>
      </c>
      <c r="CY13" s="188">
        <f t="shared" si="15"/>
        <v>6</v>
      </c>
      <c r="CZ13" s="177">
        <f t="shared" ca="1" si="31"/>
        <v>0.8571428571428571</v>
      </c>
      <c r="DA13" s="182"/>
      <c r="DB13" s="182"/>
      <c r="DC13" s="183"/>
      <c r="DD13" s="185"/>
      <c r="DE13" s="176">
        <f>DANE!BS13</f>
        <v>2</v>
      </c>
      <c r="DF13" s="188">
        <f t="shared" si="16"/>
        <v>5</v>
      </c>
      <c r="DG13" s="177">
        <f t="shared" ca="1" si="32"/>
        <v>0.42857142857142855</v>
      </c>
      <c r="DH13" s="182"/>
      <c r="DI13" s="182"/>
      <c r="DJ13" s="186"/>
      <c r="DK13" s="187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</row>
    <row r="14" spans="1:138" x14ac:dyDescent="0.25">
      <c r="A14" s="61">
        <v>43904</v>
      </c>
      <c r="B14" s="62" t="str">
        <f t="shared" ca="1" si="0"/>
        <v/>
      </c>
      <c r="C14" s="12">
        <v>11</v>
      </c>
      <c r="D14" s="176">
        <f>DANE!K14</f>
        <v>5</v>
      </c>
      <c r="E14" s="198">
        <f t="shared" si="1"/>
        <v>13</v>
      </c>
      <c r="F14" s="178">
        <f t="shared" ca="1" si="17"/>
        <v>1.7142857142857142</v>
      </c>
      <c r="G14" s="199"/>
      <c r="H14" s="200"/>
      <c r="I14" s="201"/>
      <c r="J14" s="202"/>
      <c r="K14" s="176">
        <f>DANE!O14</f>
        <v>0</v>
      </c>
      <c r="L14" s="198">
        <f t="shared" si="2"/>
        <v>0</v>
      </c>
      <c r="M14" s="177">
        <f t="shared" ca="1" si="18"/>
        <v>0</v>
      </c>
      <c r="N14" s="203"/>
      <c r="O14" s="203"/>
      <c r="P14" s="204"/>
      <c r="Q14" s="205"/>
      <c r="R14" s="176">
        <f>DANE!S14</f>
        <v>8</v>
      </c>
      <c r="S14" s="198">
        <f t="shared" si="3"/>
        <v>15</v>
      </c>
      <c r="T14" s="177">
        <f t="shared" ca="1" si="19"/>
        <v>2.1428571428571428</v>
      </c>
      <c r="U14" s="203"/>
      <c r="V14" s="203"/>
      <c r="W14" s="204"/>
      <c r="X14" s="206"/>
      <c r="Y14" s="176">
        <f>DANE!W14</f>
        <v>0</v>
      </c>
      <c r="Z14" s="198">
        <f t="shared" si="4"/>
        <v>1</v>
      </c>
      <c r="AA14" s="177">
        <f t="shared" ca="1" si="20"/>
        <v>0</v>
      </c>
      <c r="AB14" s="203"/>
      <c r="AC14" s="203"/>
      <c r="AD14" s="204"/>
      <c r="AE14" s="205"/>
      <c r="AF14" s="176">
        <f>DANE!AA14</f>
        <v>10</v>
      </c>
      <c r="AG14" s="198">
        <f t="shared" si="5"/>
        <v>15</v>
      </c>
      <c r="AH14" s="177">
        <f t="shared" ca="1" si="21"/>
        <v>2.1428571428571428</v>
      </c>
      <c r="AI14" s="203"/>
      <c r="AJ14" s="203"/>
      <c r="AK14" s="204"/>
      <c r="AL14" s="206"/>
      <c r="AM14" s="176">
        <f>DANE!AE14</f>
        <v>0</v>
      </c>
      <c r="AN14" s="198">
        <f t="shared" si="6"/>
        <v>1</v>
      </c>
      <c r="AO14" s="177">
        <f t="shared" ca="1" si="22"/>
        <v>0.14285714285714285</v>
      </c>
      <c r="AP14" s="203"/>
      <c r="AQ14" s="203"/>
      <c r="AR14" s="204"/>
      <c r="AS14" s="205"/>
      <c r="AT14" s="176">
        <f>DANE!AI14</f>
        <v>5</v>
      </c>
      <c r="AU14" s="198">
        <f t="shared" si="7"/>
        <v>16</v>
      </c>
      <c r="AV14" s="177">
        <f t="shared" ca="1" si="23"/>
        <v>2.2857142857142856</v>
      </c>
      <c r="AW14" s="203"/>
      <c r="AX14" s="203"/>
      <c r="AY14" s="204"/>
      <c r="AZ14" s="206"/>
      <c r="BA14" s="176">
        <f>DANE!AM14</f>
        <v>2</v>
      </c>
      <c r="BB14" s="198">
        <f t="shared" si="8"/>
        <v>4</v>
      </c>
      <c r="BC14" s="177">
        <f t="shared" ca="1" si="24"/>
        <v>0.5714285714285714</v>
      </c>
      <c r="BD14" s="203"/>
      <c r="BE14" s="203"/>
      <c r="BF14" s="204"/>
      <c r="BG14" s="205"/>
      <c r="BH14" s="176">
        <f>DANE!AQ14</f>
        <v>1</v>
      </c>
      <c r="BI14" s="198">
        <f t="shared" si="9"/>
        <v>7</v>
      </c>
      <c r="BJ14" s="177">
        <f t="shared" ca="1" si="25"/>
        <v>1</v>
      </c>
      <c r="BK14" s="203"/>
      <c r="BL14" s="203"/>
      <c r="BM14" s="204"/>
      <c r="BN14" s="206"/>
      <c r="BO14" s="176">
        <f>DANE!AU14</f>
        <v>0</v>
      </c>
      <c r="BP14" s="198">
        <f t="shared" si="10"/>
        <v>0</v>
      </c>
      <c r="BQ14" s="177">
        <f t="shared" ca="1" si="26"/>
        <v>0</v>
      </c>
      <c r="BR14" s="203"/>
      <c r="BS14" s="203"/>
      <c r="BT14" s="204"/>
      <c r="BU14" s="205"/>
      <c r="BV14" s="176">
        <f>DANE!AY14</f>
        <v>2</v>
      </c>
      <c r="BW14" s="198">
        <f t="shared" si="11"/>
        <v>2</v>
      </c>
      <c r="BX14" s="177">
        <f t="shared" ca="1" si="27"/>
        <v>0.2857142857142857</v>
      </c>
      <c r="BY14" s="203"/>
      <c r="BZ14" s="203"/>
      <c r="CA14" s="204"/>
      <c r="CB14" s="206"/>
      <c r="CC14" s="176">
        <f>DANE!BC14</f>
        <v>0</v>
      </c>
      <c r="CD14" s="198">
        <f t="shared" si="12"/>
        <v>12</v>
      </c>
      <c r="CE14" s="177">
        <f t="shared" ca="1" si="28"/>
        <v>1.7142857142857142</v>
      </c>
      <c r="CF14" s="203"/>
      <c r="CG14" s="203"/>
      <c r="CH14" s="204"/>
      <c r="CI14" s="205"/>
      <c r="CJ14" s="176">
        <f>DANE!BG14</f>
        <v>2</v>
      </c>
      <c r="CK14" s="198">
        <f t="shared" si="13"/>
        <v>2</v>
      </c>
      <c r="CL14" s="177">
        <f t="shared" ca="1" si="29"/>
        <v>0.2857142857142857</v>
      </c>
      <c r="CM14" s="203"/>
      <c r="CN14" s="203"/>
      <c r="CO14" s="204"/>
      <c r="CP14" s="206"/>
      <c r="CQ14" s="176">
        <f>DANE!BK14</f>
        <v>0</v>
      </c>
      <c r="CR14" s="198">
        <f t="shared" si="14"/>
        <v>4</v>
      </c>
      <c r="CS14" s="177">
        <f t="shared" ca="1" si="30"/>
        <v>0.2857142857142857</v>
      </c>
      <c r="CT14" s="203"/>
      <c r="CU14" s="203"/>
      <c r="CV14" s="204"/>
      <c r="CW14" s="205"/>
      <c r="CX14" s="176">
        <f>DANE!BO14</f>
        <v>1</v>
      </c>
      <c r="CY14" s="198">
        <f t="shared" si="15"/>
        <v>7</v>
      </c>
      <c r="CZ14" s="177">
        <f t="shared" ca="1" si="31"/>
        <v>1</v>
      </c>
      <c r="DA14" s="203"/>
      <c r="DB14" s="203"/>
      <c r="DC14" s="204"/>
      <c r="DD14" s="206"/>
      <c r="DE14" s="176">
        <f>DANE!BS14</f>
        <v>0</v>
      </c>
      <c r="DF14" s="198">
        <f t="shared" si="16"/>
        <v>5</v>
      </c>
      <c r="DG14" s="177">
        <f t="shared" ca="1" si="32"/>
        <v>0.42857142857142855</v>
      </c>
      <c r="DH14" s="203"/>
      <c r="DI14" s="203"/>
      <c r="DJ14" s="207"/>
      <c r="DK14" s="208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</row>
    <row r="15" spans="1:138" x14ac:dyDescent="0.25">
      <c r="A15" s="61">
        <v>43905</v>
      </c>
      <c r="B15" s="62" t="str">
        <f t="shared" ca="1" si="0"/>
        <v/>
      </c>
      <c r="C15" s="12">
        <v>12</v>
      </c>
      <c r="D15" s="176">
        <f>DANE!K15</f>
        <v>2</v>
      </c>
      <c r="E15" s="198">
        <f t="shared" si="1"/>
        <v>15</v>
      </c>
      <c r="F15" s="178">
        <f t="shared" ca="1" si="17"/>
        <v>1.8571428571428572</v>
      </c>
      <c r="G15" s="199"/>
      <c r="H15" s="200"/>
      <c r="I15" s="201"/>
      <c r="J15" s="202"/>
      <c r="K15" s="176">
        <f>DANE!O15</f>
        <v>0</v>
      </c>
      <c r="L15" s="198">
        <f t="shared" si="2"/>
        <v>0</v>
      </c>
      <c r="M15" s="177">
        <f t="shared" ca="1" si="18"/>
        <v>0</v>
      </c>
      <c r="N15" s="203"/>
      <c r="O15" s="203"/>
      <c r="P15" s="204"/>
      <c r="Q15" s="205"/>
      <c r="R15" s="176">
        <f>DANE!S15</f>
        <v>2</v>
      </c>
      <c r="S15" s="198">
        <f t="shared" si="3"/>
        <v>17</v>
      </c>
      <c r="T15" s="177">
        <f t="shared" ca="1" si="19"/>
        <v>2.4285714285714284</v>
      </c>
      <c r="U15" s="203"/>
      <c r="V15" s="203"/>
      <c r="W15" s="204"/>
      <c r="X15" s="206"/>
      <c r="Y15" s="176">
        <f>DANE!W15</f>
        <v>1</v>
      </c>
      <c r="Z15" s="198">
        <f t="shared" si="4"/>
        <v>2</v>
      </c>
      <c r="AA15" s="177">
        <f t="shared" ca="1" si="20"/>
        <v>0.14285714285714285</v>
      </c>
      <c r="AB15" s="203"/>
      <c r="AC15" s="203"/>
      <c r="AD15" s="204"/>
      <c r="AE15" s="205"/>
      <c r="AF15" s="176">
        <f>DANE!AA15</f>
        <v>4</v>
      </c>
      <c r="AG15" s="198">
        <f t="shared" si="5"/>
        <v>19</v>
      </c>
      <c r="AH15" s="177">
        <f t="shared" ca="1" si="21"/>
        <v>2.7142857142857144</v>
      </c>
      <c r="AI15" s="203"/>
      <c r="AJ15" s="203"/>
      <c r="AK15" s="204"/>
      <c r="AL15" s="206"/>
      <c r="AM15" s="176">
        <f>DANE!AE15</f>
        <v>0</v>
      </c>
      <c r="AN15" s="198">
        <f t="shared" si="6"/>
        <v>1</v>
      </c>
      <c r="AO15" s="177">
        <f t="shared" ca="1" si="22"/>
        <v>0.14285714285714285</v>
      </c>
      <c r="AP15" s="203"/>
      <c r="AQ15" s="203"/>
      <c r="AR15" s="204"/>
      <c r="AS15" s="205"/>
      <c r="AT15" s="176">
        <f>DANE!AI15</f>
        <v>6</v>
      </c>
      <c r="AU15" s="198">
        <f t="shared" si="7"/>
        <v>22</v>
      </c>
      <c r="AV15" s="177">
        <f t="shared" ca="1" si="23"/>
        <v>2.8571428571428572</v>
      </c>
      <c r="AW15" s="203"/>
      <c r="AX15" s="203"/>
      <c r="AY15" s="204"/>
      <c r="AZ15" s="206"/>
      <c r="BA15" s="176">
        <f>DANE!AM15</f>
        <v>0</v>
      </c>
      <c r="BB15" s="198">
        <f t="shared" si="8"/>
        <v>4</v>
      </c>
      <c r="BC15" s="177">
        <f t="shared" ca="1" si="24"/>
        <v>0.5714285714285714</v>
      </c>
      <c r="BD15" s="203"/>
      <c r="BE15" s="203"/>
      <c r="BF15" s="204"/>
      <c r="BG15" s="205"/>
      <c r="BH15" s="176">
        <f>DANE!AQ15</f>
        <v>1</v>
      </c>
      <c r="BI15" s="198">
        <f t="shared" si="9"/>
        <v>8</v>
      </c>
      <c r="BJ15" s="177">
        <f t="shared" ca="1" si="25"/>
        <v>1.1428571428571428</v>
      </c>
      <c r="BK15" s="203"/>
      <c r="BL15" s="203"/>
      <c r="BM15" s="204"/>
      <c r="BN15" s="206"/>
      <c r="BO15" s="176">
        <f>DANE!AU15</f>
        <v>0</v>
      </c>
      <c r="BP15" s="198">
        <f t="shared" si="10"/>
        <v>0</v>
      </c>
      <c r="BQ15" s="177">
        <f t="shared" ca="1" si="26"/>
        <v>0</v>
      </c>
      <c r="BR15" s="203"/>
      <c r="BS15" s="203"/>
      <c r="BT15" s="204"/>
      <c r="BU15" s="205"/>
      <c r="BV15" s="176">
        <f>DANE!AY15</f>
        <v>0</v>
      </c>
      <c r="BW15" s="198">
        <f t="shared" si="11"/>
        <v>2</v>
      </c>
      <c r="BX15" s="177">
        <f t="shared" ca="1" si="27"/>
        <v>0.2857142857142857</v>
      </c>
      <c r="BY15" s="203"/>
      <c r="BZ15" s="203"/>
      <c r="CA15" s="204"/>
      <c r="CB15" s="206"/>
      <c r="CC15" s="176">
        <f>DANE!BC15</f>
        <v>2</v>
      </c>
      <c r="CD15" s="198">
        <f t="shared" si="12"/>
        <v>14</v>
      </c>
      <c r="CE15" s="177">
        <f t="shared" ca="1" si="28"/>
        <v>1.7142857142857142</v>
      </c>
      <c r="CF15" s="203"/>
      <c r="CG15" s="203"/>
      <c r="CH15" s="204"/>
      <c r="CI15" s="205"/>
      <c r="CJ15" s="176">
        <f>DANE!BG15</f>
        <v>1</v>
      </c>
      <c r="CK15" s="198">
        <f t="shared" si="13"/>
        <v>3</v>
      </c>
      <c r="CL15" s="177">
        <f t="shared" ca="1" si="29"/>
        <v>0.42857142857142855</v>
      </c>
      <c r="CM15" s="203"/>
      <c r="CN15" s="203"/>
      <c r="CO15" s="204"/>
      <c r="CP15" s="206"/>
      <c r="CQ15" s="176">
        <f>DANE!BK15</f>
        <v>1</v>
      </c>
      <c r="CR15" s="198">
        <f t="shared" si="14"/>
        <v>5</v>
      </c>
      <c r="CS15" s="177">
        <f t="shared" ca="1" si="30"/>
        <v>0.42857142857142855</v>
      </c>
      <c r="CT15" s="203"/>
      <c r="CU15" s="203"/>
      <c r="CV15" s="204"/>
      <c r="CW15" s="205"/>
      <c r="CX15" s="176">
        <f>DANE!BO15</f>
        <v>0</v>
      </c>
      <c r="CY15" s="198">
        <f t="shared" si="15"/>
        <v>7</v>
      </c>
      <c r="CZ15" s="177">
        <f t="shared" ca="1" si="31"/>
        <v>1</v>
      </c>
      <c r="DA15" s="203"/>
      <c r="DB15" s="203"/>
      <c r="DC15" s="204"/>
      <c r="DD15" s="206"/>
      <c r="DE15" s="176">
        <f>DANE!BS15</f>
        <v>1</v>
      </c>
      <c r="DF15" s="198">
        <f t="shared" si="16"/>
        <v>6</v>
      </c>
      <c r="DG15" s="177">
        <f t="shared" ca="1" si="32"/>
        <v>0.5714285714285714</v>
      </c>
      <c r="DH15" s="203"/>
      <c r="DI15" s="203"/>
      <c r="DJ15" s="207"/>
      <c r="DK15" s="208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</row>
    <row r="16" spans="1:138" x14ac:dyDescent="0.25">
      <c r="A16" s="32">
        <v>43906</v>
      </c>
      <c r="B16" s="33" t="str">
        <f t="shared" ca="1" si="0"/>
        <v/>
      </c>
      <c r="C16" s="51">
        <v>13</v>
      </c>
      <c r="D16" s="176">
        <f>DANE!K16</f>
        <v>12</v>
      </c>
      <c r="E16" s="188">
        <f t="shared" si="1"/>
        <v>27</v>
      </c>
      <c r="F16" s="178">
        <f t="shared" ca="1" si="17"/>
        <v>3.4285714285714284</v>
      </c>
      <c r="G16" s="189"/>
      <c r="H16" s="179"/>
      <c r="I16" s="180"/>
      <c r="J16" s="181"/>
      <c r="K16" s="176">
        <f>DANE!O16</f>
        <v>0</v>
      </c>
      <c r="L16" s="188">
        <f t="shared" si="2"/>
        <v>0</v>
      </c>
      <c r="M16" s="177">
        <f t="shared" ca="1" si="18"/>
        <v>0</v>
      </c>
      <c r="N16" s="182"/>
      <c r="O16" s="182"/>
      <c r="P16" s="183"/>
      <c r="Q16" s="184"/>
      <c r="R16" s="176">
        <f>DANE!S16</f>
        <v>1</v>
      </c>
      <c r="S16" s="188">
        <f t="shared" si="3"/>
        <v>18</v>
      </c>
      <c r="T16" s="177">
        <f t="shared" ca="1" si="19"/>
        <v>2.5714285714285716</v>
      </c>
      <c r="U16" s="182"/>
      <c r="V16" s="182"/>
      <c r="W16" s="183"/>
      <c r="X16" s="185"/>
      <c r="Y16" s="176">
        <f>DANE!W16</f>
        <v>0</v>
      </c>
      <c r="Z16" s="188">
        <f t="shared" si="4"/>
        <v>2</v>
      </c>
      <c r="AA16" s="177">
        <f t="shared" ca="1" si="20"/>
        <v>0.14285714285714285</v>
      </c>
      <c r="AB16" s="182"/>
      <c r="AC16" s="182"/>
      <c r="AD16" s="183"/>
      <c r="AE16" s="184"/>
      <c r="AF16" s="176">
        <f>DANE!AA16</f>
        <v>12</v>
      </c>
      <c r="AG16" s="188">
        <f t="shared" si="5"/>
        <v>31</v>
      </c>
      <c r="AH16" s="177">
        <f t="shared" ca="1" si="21"/>
        <v>4.4285714285714288</v>
      </c>
      <c r="AI16" s="182"/>
      <c r="AJ16" s="182"/>
      <c r="AK16" s="183"/>
      <c r="AL16" s="185"/>
      <c r="AM16" s="176">
        <f>DANE!AE16</f>
        <v>1</v>
      </c>
      <c r="AN16" s="188">
        <f t="shared" si="6"/>
        <v>2</v>
      </c>
      <c r="AO16" s="177">
        <f t="shared" ca="1" si="22"/>
        <v>0.14285714285714285</v>
      </c>
      <c r="AP16" s="182"/>
      <c r="AQ16" s="182"/>
      <c r="AR16" s="183"/>
      <c r="AS16" s="184"/>
      <c r="AT16" s="176">
        <f>DANE!AI16</f>
        <v>13</v>
      </c>
      <c r="AU16" s="188">
        <f t="shared" si="7"/>
        <v>35</v>
      </c>
      <c r="AV16" s="177">
        <f t="shared" ca="1" si="23"/>
        <v>4.7142857142857144</v>
      </c>
      <c r="AW16" s="182"/>
      <c r="AX16" s="182"/>
      <c r="AY16" s="183"/>
      <c r="AZ16" s="185"/>
      <c r="BA16" s="176">
        <f>DANE!AM16</f>
        <v>2</v>
      </c>
      <c r="BB16" s="188">
        <f t="shared" si="8"/>
        <v>6</v>
      </c>
      <c r="BC16" s="177">
        <f t="shared" ca="1" si="24"/>
        <v>0.8571428571428571</v>
      </c>
      <c r="BD16" s="182"/>
      <c r="BE16" s="182"/>
      <c r="BF16" s="183"/>
      <c r="BG16" s="184"/>
      <c r="BH16" s="176">
        <f>DANE!AQ16</f>
        <v>3</v>
      </c>
      <c r="BI16" s="188">
        <f t="shared" si="9"/>
        <v>11</v>
      </c>
      <c r="BJ16" s="177">
        <f t="shared" ca="1" si="25"/>
        <v>1.5714285714285714</v>
      </c>
      <c r="BK16" s="182"/>
      <c r="BL16" s="182"/>
      <c r="BM16" s="183"/>
      <c r="BN16" s="185"/>
      <c r="BO16" s="176">
        <f>DANE!AU16</f>
        <v>0</v>
      </c>
      <c r="BP16" s="188">
        <f t="shared" si="10"/>
        <v>0</v>
      </c>
      <c r="BQ16" s="177">
        <f t="shared" ca="1" si="26"/>
        <v>0</v>
      </c>
      <c r="BR16" s="182"/>
      <c r="BS16" s="182"/>
      <c r="BT16" s="183"/>
      <c r="BU16" s="184"/>
      <c r="BV16" s="176">
        <f>DANE!AY16</f>
        <v>0</v>
      </c>
      <c r="BW16" s="188">
        <f t="shared" si="11"/>
        <v>2</v>
      </c>
      <c r="BX16" s="177">
        <f t="shared" ca="1" si="27"/>
        <v>0.2857142857142857</v>
      </c>
      <c r="BY16" s="182"/>
      <c r="BZ16" s="182"/>
      <c r="CA16" s="183"/>
      <c r="CB16" s="185"/>
      <c r="CC16" s="176">
        <f>DANE!BC16</f>
        <v>4</v>
      </c>
      <c r="CD16" s="188">
        <f t="shared" si="12"/>
        <v>18</v>
      </c>
      <c r="CE16" s="177">
        <f t="shared" ca="1" si="28"/>
        <v>1.8571428571428572</v>
      </c>
      <c r="CF16" s="182"/>
      <c r="CG16" s="182"/>
      <c r="CH16" s="183"/>
      <c r="CI16" s="184"/>
      <c r="CJ16" s="176">
        <f>DANE!BG16</f>
        <v>0</v>
      </c>
      <c r="CK16" s="188">
        <f t="shared" si="13"/>
        <v>3</v>
      </c>
      <c r="CL16" s="177">
        <f t="shared" ca="1" si="29"/>
        <v>0.42857142857142855</v>
      </c>
      <c r="CM16" s="182"/>
      <c r="CN16" s="182"/>
      <c r="CO16" s="183"/>
      <c r="CP16" s="185"/>
      <c r="CQ16" s="176">
        <f>DANE!BK16</f>
        <v>0</v>
      </c>
      <c r="CR16" s="188">
        <f t="shared" si="14"/>
        <v>5</v>
      </c>
      <c r="CS16" s="177">
        <f t="shared" ca="1" si="30"/>
        <v>0.42857142857142855</v>
      </c>
      <c r="CT16" s="182"/>
      <c r="CU16" s="182"/>
      <c r="CV16" s="183"/>
      <c r="CW16" s="184"/>
      <c r="CX16" s="176">
        <f>DANE!BO16</f>
        <v>4</v>
      </c>
      <c r="CY16" s="188">
        <f t="shared" si="15"/>
        <v>11</v>
      </c>
      <c r="CZ16" s="177">
        <f t="shared" ca="1" si="31"/>
        <v>1.4285714285714286</v>
      </c>
      <c r="DA16" s="182"/>
      <c r="DB16" s="182"/>
      <c r="DC16" s="183"/>
      <c r="DD16" s="185"/>
      <c r="DE16" s="176">
        <f>DANE!BS16</f>
        <v>0</v>
      </c>
      <c r="DF16" s="188">
        <f t="shared" si="16"/>
        <v>6</v>
      </c>
      <c r="DG16" s="177">
        <f t="shared" ca="1" si="32"/>
        <v>0.5714285714285714</v>
      </c>
      <c r="DH16" s="182"/>
      <c r="DI16" s="182"/>
      <c r="DJ16" s="186"/>
      <c r="DK16" s="187"/>
      <c r="DL16" s="82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</row>
    <row r="17" spans="1:138" x14ac:dyDescent="0.25">
      <c r="A17" s="32">
        <v>43907</v>
      </c>
      <c r="B17" s="33" t="str">
        <f t="shared" ca="1" si="0"/>
        <v/>
      </c>
      <c r="C17" s="51">
        <v>14</v>
      </c>
      <c r="D17" s="176">
        <f>DANE!K17</f>
        <v>11</v>
      </c>
      <c r="E17" s="188">
        <f t="shared" si="1"/>
        <v>38</v>
      </c>
      <c r="F17" s="178">
        <f t="shared" ca="1" si="17"/>
        <v>4.8571428571428568</v>
      </c>
      <c r="G17" s="189"/>
      <c r="H17" s="179"/>
      <c r="I17" s="180"/>
      <c r="J17" s="181"/>
      <c r="K17" s="176">
        <f>DANE!O17</f>
        <v>8</v>
      </c>
      <c r="L17" s="188">
        <f t="shared" si="2"/>
        <v>8</v>
      </c>
      <c r="M17" s="177">
        <f t="shared" ca="1" si="18"/>
        <v>1.1428571428571428</v>
      </c>
      <c r="N17" s="182"/>
      <c r="O17" s="182"/>
      <c r="P17" s="183"/>
      <c r="Q17" s="184"/>
      <c r="R17" s="176">
        <f>DANE!S17</f>
        <v>4</v>
      </c>
      <c r="S17" s="188">
        <f t="shared" si="3"/>
        <v>22</v>
      </c>
      <c r="T17" s="177">
        <f t="shared" ca="1" si="19"/>
        <v>3</v>
      </c>
      <c r="U17" s="182"/>
      <c r="V17" s="182"/>
      <c r="W17" s="183"/>
      <c r="X17" s="185"/>
      <c r="Y17" s="176">
        <f>DANE!W17</f>
        <v>0</v>
      </c>
      <c r="Z17" s="188">
        <f t="shared" si="4"/>
        <v>2</v>
      </c>
      <c r="AA17" s="177">
        <f t="shared" ca="1" si="20"/>
        <v>0.14285714285714285</v>
      </c>
      <c r="AB17" s="182"/>
      <c r="AC17" s="182"/>
      <c r="AD17" s="183"/>
      <c r="AE17" s="184"/>
      <c r="AF17" s="176">
        <f>DANE!AA17</f>
        <v>11</v>
      </c>
      <c r="AG17" s="188">
        <f t="shared" si="5"/>
        <v>42</v>
      </c>
      <c r="AH17" s="177">
        <f t="shared" ca="1" si="21"/>
        <v>6</v>
      </c>
      <c r="AI17" s="182"/>
      <c r="AJ17" s="182"/>
      <c r="AK17" s="183"/>
      <c r="AL17" s="185"/>
      <c r="AM17" s="176">
        <f>DANE!AE17</f>
        <v>3</v>
      </c>
      <c r="AN17" s="188">
        <f t="shared" si="6"/>
        <v>5</v>
      </c>
      <c r="AO17" s="177">
        <f t="shared" ca="1" si="22"/>
        <v>0.5714285714285714</v>
      </c>
      <c r="AP17" s="182"/>
      <c r="AQ17" s="182"/>
      <c r="AR17" s="183"/>
      <c r="AS17" s="184"/>
      <c r="AT17" s="176">
        <f>DANE!AI17</f>
        <v>3</v>
      </c>
      <c r="AU17" s="188">
        <f t="shared" si="7"/>
        <v>38</v>
      </c>
      <c r="AV17" s="177">
        <f t="shared" ca="1" si="23"/>
        <v>5</v>
      </c>
      <c r="AW17" s="182"/>
      <c r="AX17" s="182"/>
      <c r="AY17" s="183"/>
      <c r="AZ17" s="185"/>
      <c r="BA17" s="176">
        <f>DANE!AM17</f>
        <v>2</v>
      </c>
      <c r="BB17" s="188">
        <f t="shared" si="8"/>
        <v>8</v>
      </c>
      <c r="BC17" s="177">
        <f t="shared" ca="1" si="24"/>
        <v>1.1428571428571428</v>
      </c>
      <c r="BD17" s="182"/>
      <c r="BE17" s="182"/>
      <c r="BF17" s="183"/>
      <c r="BG17" s="184"/>
      <c r="BH17" s="176">
        <f>DANE!AQ17</f>
        <v>0</v>
      </c>
      <c r="BI17" s="188">
        <f t="shared" si="9"/>
        <v>11</v>
      </c>
      <c r="BJ17" s="177">
        <f t="shared" ca="1" si="25"/>
        <v>1.5714285714285714</v>
      </c>
      <c r="BK17" s="182"/>
      <c r="BL17" s="182"/>
      <c r="BM17" s="183"/>
      <c r="BN17" s="185"/>
      <c r="BO17" s="176">
        <f>DANE!AU17</f>
        <v>1</v>
      </c>
      <c r="BP17" s="188">
        <f t="shared" si="10"/>
        <v>1</v>
      </c>
      <c r="BQ17" s="177">
        <f t="shared" ca="1" si="26"/>
        <v>0.14285714285714285</v>
      </c>
      <c r="BR17" s="182"/>
      <c r="BS17" s="182"/>
      <c r="BT17" s="183"/>
      <c r="BU17" s="184"/>
      <c r="BV17" s="176">
        <f>DANE!AY17</f>
        <v>6</v>
      </c>
      <c r="BW17" s="188">
        <f t="shared" si="11"/>
        <v>8</v>
      </c>
      <c r="BX17" s="177">
        <f t="shared" ca="1" si="27"/>
        <v>1.1428571428571428</v>
      </c>
      <c r="BY17" s="182"/>
      <c r="BZ17" s="182"/>
      <c r="CA17" s="183"/>
      <c r="CB17" s="185"/>
      <c r="CC17" s="176">
        <f>DANE!BC17</f>
        <v>6</v>
      </c>
      <c r="CD17" s="188">
        <f t="shared" si="12"/>
        <v>24</v>
      </c>
      <c r="CE17" s="177">
        <f t="shared" ca="1" si="28"/>
        <v>2.4285714285714284</v>
      </c>
      <c r="CF17" s="182"/>
      <c r="CG17" s="182"/>
      <c r="CH17" s="183"/>
      <c r="CI17" s="184"/>
      <c r="CJ17" s="176">
        <f>DANE!BG17</f>
        <v>0</v>
      </c>
      <c r="CK17" s="188">
        <f t="shared" si="13"/>
        <v>3</v>
      </c>
      <c r="CL17" s="177">
        <f t="shared" ca="1" si="29"/>
        <v>0.42857142857142855</v>
      </c>
      <c r="CM17" s="182"/>
      <c r="CN17" s="182"/>
      <c r="CO17" s="183"/>
      <c r="CP17" s="185"/>
      <c r="CQ17" s="176">
        <f>DANE!BK17</f>
        <v>2</v>
      </c>
      <c r="CR17" s="188">
        <f t="shared" si="14"/>
        <v>7</v>
      </c>
      <c r="CS17" s="177">
        <f t="shared" ca="1" si="30"/>
        <v>0.7142857142857143</v>
      </c>
      <c r="CT17" s="182"/>
      <c r="CU17" s="182"/>
      <c r="CV17" s="183"/>
      <c r="CW17" s="184"/>
      <c r="CX17" s="176">
        <f>DANE!BO17</f>
        <v>2</v>
      </c>
      <c r="CY17" s="188">
        <f t="shared" si="15"/>
        <v>13</v>
      </c>
      <c r="CZ17" s="177">
        <f t="shared" ca="1" si="31"/>
        <v>1.7142857142857142</v>
      </c>
      <c r="DA17" s="182"/>
      <c r="DB17" s="182"/>
      <c r="DC17" s="183"/>
      <c r="DD17" s="185"/>
      <c r="DE17" s="176">
        <f>DANE!BS17</f>
        <v>2</v>
      </c>
      <c r="DF17" s="188">
        <f t="shared" si="16"/>
        <v>8</v>
      </c>
      <c r="DG17" s="177">
        <f t="shared" ca="1" si="32"/>
        <v>0.8571428571428571</v>
      </c>
      <c r="DH17" s="182"/>
      <c r="DI17" s="182"/>
      <c r="DJ17" s="186"/>
      <c r="DK17" s="187"/>
      <c r="DL17" s="83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</row>
    <row r="18" spans="1:138" x14ac:dyDescent="0.25">
      <c r="A18" s="32">
        <v>43908</v>
      </c>
      <c r="B18" s="33" t="str">
        <f t="shared" ca="1" si="0"/>
        <v/>
      </c>
      <c r="C18" s="51">
        <v>15</v>
      </c>
      <c r="D18" s="176">
        <f>DANE!K18</f>
        <v>2</v>
      </c>
      <c r="E18" s="188">
        <f t="shared" si="1"/>
        <v>40</v>
      </c>
      <c r="F18" s="178">
        <f t="shared" ca="1" si="17"/>
        <v>5.1428571428571432</v>
      </c>
      <c r="G18" s="189"/>
      <c r="H18" s="179"/>
      <c r="I18" s="180"/>
      <c r="J18" s="181"/>
      <c r="K18" s="176">
        <f>DANE!O18</f>
        <v>0</v>
      </c>
      <c r="L18" s="188">
        <f t="shared" si="2"/>
        <v>8</v>
      </c>
      <c r="M18" s="177">
        <f t="shared" ca="1" si="18"/>
        <v>1.1428571428571428</v>
      </c>
      <c r="N18" s="182"/>
      <c r="O18" s="182"/>
      <c r="P18" s="183"/>
      <c r="Q18" s="184"/>
      <c r="R18" s="176">
        <f>DANE!S18</f>
        <v>0</v>
      </c>
      <c r="S18" s="188">
        <f t="shared" si="3"/>
        <v>22</v>
      </c>
      <c r="T18" s="177">
        <f t="shared" ca="1" si="19"/>
        <v>2.8571428571428572</v>
      </c>
      <c r="U18" s="182"/>
      <c r="V18" s="182"/>
      <c r="W18" s="183"/>
      <c r="X18" s="185"/>
      <c r="Y18" s="176">
        <f>DANE!W18</f>
        <v>1</v>
      </c>
      <c r="Z18" s="188">
        <f t="shared" si="4"/>
        <v>3</v>
      </c>
      <c r="AA18" s="177">
        <f t="shared" ca="1" si="20"/>
        <v>0.2857142857142857</v>
      </c>
      <c r="AB18" s="182"/>
      <c r="AC18" s="182"/>
      <c r="AD18" s="183"/>
      <c r="AE18" s="184"/>
      <c r="AF18" s="176">
        <f>DANE!AA18</f>
        <v>0</v>
      </c>
      <c r="AG18" s="188">
        <f t="shared" si="5"/>
        <v>42</v>
      </c>
      <c r="AH18" s="177">
        <f t="shared" ca="1" si="21"/>
        <v>5.8571428571428568</v>
      </c>
      <c r="AI18" s="182"/>
      <c r="AJ18" s="182"/>
      <c r="AK18" s="183"/>
      <c r="AL18" s="185"/>
      <c r="AM18" s="176">
        <f>DANE!AE18</f>
        <v>1</v>
      </c>
      <c r="AN18" s="188">
        <f t="shared" si="6"/>
        <v>6</v>
      </c>
      <c r="AO18" s="177">
        <f t="shared" ca="1" si="22"/>
        <v>0.7142857142857143</v>
      </c>
      <c r="AP18" s="182"/>
      <c r="AQ18" s="182"/>
      <c r="AR18" s="183"/>
      <c r="AS18" s="184"/>
      <c r="AT18" s="176">
        <f>DANE!AI18</f>
        <v>28</v>
      </c>
      <c r="AU18" s="188">
        <f t="shared" si="7"/>
        <v>66</v>
      </c>
      <c r="AV18" s="177">
        <f t="shared" ca="1" si="23"/>
        <v>8.8571428571428577</v>
      </c>
      <c r="AW18" s="182"/>
      <c r="AX18" s="182"/>
      <c r="AY18" s="183"/>
      <c r="AZ18" s="185"/>
      <c r="BA18" s="176">
        <f>DANE!AM18</f>
        <v>1</v>
      </c>
      <c r="BB18" s="188">
        <f t="shared" si="8"/>
        <v>9</v>
      </c>
      <c r="BC18" s="177">
        <f t="shared" ca="1" si="24"/>
        <v>1.1428571428571428</v>
      </c>
      <c r="BD18" s="182"/>
      <c r="BE18" s="182"/>
      <c r="BF18" s="183"/>
      <c r="BG18" s="184"/>
      <c r="BH18" s="176">
        <f>DANE!AQ18</f>
        <v>3</v>
      </c>
      <c r="BI18" s="188">
        <f t="shared" si="9"/>
        <v>14</v>
      </c>
      <c r="BJ18" s="177">
        <f t="shared" ca="1" si="25"/>
        <v>1.8571428571428572</v>
      </c>
      <c r="BK18" s="182"/>
      <c r="BL18" s="182"/>
      <c r="BM18" s="183"/>
      <c r="BN18" s="185"/>
      <c r="BO18" s="176">
        <f>DANE!AU18</f>
        <v>0</v>
      </c>
      <c r="BP18" s="188">
        <f t="shared" si="10"/>
        <v>1</v>
      </c>
      <c r="BQ18" s="177">
        <f t="shared" ca="1" si="26"/>
        <v>0.14285714285714285</v>
      </c>
      <c r="BR18" s="182"/>
      <c r="BS18" s="182"/>
      <c r="BT18" s="183"/>
      <c r="BU18" s="184"/>
      <c r="BV18" s="176">
        <f>DANE!AY18</f>
        <v>1</v>
      </c>
      <c r="BW18" s="188">
        <f t="shared" si="11"/>
        <v>9</v>
      </c>
      <c r="BX18" s="177">
        <f t="shared" ca="1" si="27"/>
        <v>1.2857142857142858</v>
      </c>
      <c r="BY18" s="182"/>
      <c r="BZ18" s="182"/>
      <c r="CA18" s="183"/>
      <c r="CB18" s="185"/>
      <c r="CC18" s="176">
        <f>DANE!BC18</f>
        <v>6</v>
      </c>
      <c r="CD18" s="188">
        <f t="shared" si="12"/>
        <v>30</v>
      </c>
      <c r="CE18" s="177">
        <f t="shared" ca="1" si="28"/>
        <v>3.1428571428571428</v>
      </c>
      <c r="CF18" s="182"/>
      <c r="CG18" s="182"/>
      <c r="CH18" s="183"/>
      <c r="CI18" s="184"/>
      <c r="CJ18" s="176">
        <f>DANE!BG18</f>
        <v>1</v>
      </c>
      <c r="CK18" s="188">
        <f t="shared" si="13"/>
        <v>4</v>
      </c>
      <c r="CL18" s="177">
        <f t="shared" ca="1" si="29"/>
        <v>0.5714285714285714</v>
      </c>
      <c r="CM18" s="182"/>
      <c r="CN18" s="182"/>
      <c r="CO18" s="183"/>
      <c r="CP18" s="185"/>
      <c r="CQ18" s="176">
        <f>DANE!BK18</f>
        <v>4</v>
      </c>
      <c r="CR18" s="188">
        <f t="shared" si="14"/>
        <v>11</v>
      </c>
      <c r="CS18" s="177">
        <f t="shared" ca="1" si="30"/>
        <v>1</v>
      </c>
      <c r="CT18" s="182"/>
      <c r="CU18" s="182"/>
      <c r="CV18" s="183"/>
      <c r="CW18" s="184"/>
      <c r="CX18" s="176">
        <f>DANE!BO18</f>
        <v>0</v>
      </c>
      <c r="CY18" s="188">
        <f t="shared" si="15"/>
        <v>13</v>
      </c>
      <c r="CZ18" s="177">
        <f t="shared" ca="1" si="31"/>
        <v>1.5714285714285714</v>
      </c>
      <c r="DA18" s="182"/>
      <c r="DB18" s="182"/>
      <c r="DC18" s="183"/>
      <c r="DD18" s="185"/>
      <c r="DE18" s="176">
        <f>DANE!BS18</f>
        <v>0</v>
      </c>
      <c r="DF18" s="188">
        <f t="shared" si="16"/>
        <v>8</v>
      </c>
      <c r="DG18" s="177">
        <f t="shared" ca="1" si="32"/>
        <v>0.8571428571428571</v>
      </c>
      <c r="DH18" s="182"/>
      <c r="DI18" s="182"/>
      <c r="DJ18" s="186"/>
      <c r="DK18" s="187"/>
      <c r="DL18" s="83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</row>
    <row r="19" spans="1:138" x14ac:dyDescent="0.25">
      <c r="A19" s="32">
        <v>43909</v>
      </c>
      <c r="B19" s="33" t="str">
        <f t="shared" ca="1" si="0"/>
        <v/>
      </c>
      <c r="C19" s="51">
        <v>16</v>
      </c>
      <c r="D19" s="176">
        <f>DANE!K19</f>
        <v>13</v>
      </c>
      <c r="E19" s="188">
        <f t="shared" si="1"/>
        <v>53</v>
      </c>
      <c r="F19" s="178">
        <f t="shared" ca="1" si="17"/>
        <v>6.5714285714285712</v>
      </c>
      <c r="G19" s="189"/>
      <c r="H19" s="179"/>
      <c r="I19" s="180"/>
      <c r="J19" s="181"/>
      <c r="K19" s="176">
        <f>DANE!O19</f>
        <v>3</v>
      </c>
      <c r="L19" s="188">
        <f t="shared" si="2"/>
        <v>11</v>
      </c>
      <c r="M19" s="177">
        <f t="shared" ca="1" si="18"/>
        <v>1.5714285714285714</v>
      </c>
      <c r="N19" s="182"/>
      <c r="O19" s="182"/>
      <c r="P19" s="183"/>
      <c r="Q19" s="184"/>
      <c r="R19" s="176">
        <f>DANE!S19</f>
        <v>3</v>
      </c>
      <c r="S19" s="188">
        <f t="shared" si="3"/>
        <v>25</v>
      </c>
      <c r="T19" s="177">
        <f t="shared" ca="1" si="19"/>
        <v>2.7142857142857144</v>
      </c>
      <c r="U19" s="182"/>
      <c r="V19" s="182"/>
      <c r="W19" s="183"/>
      <c r="X19" s="185"/>
      <c r="Y19" s="176">
        <f>DANE!W19</f>
        <v>6</v>
      </c>
      <c r="Z19" s="188">
        <f t="shared" si="4"/>
        <v>9</v>
      </c>
      <c r="AA19" s="177">
        <f t="shared" ca="1" si="20"/>
        <v>1.1428571428571428</v>
      </c>
      <c r="AB19" s="182"/>
      <c r="AC19" s="182"/>
      <c r="AD19" s="183"/>
      <c r="AE19" s="184"/>
      <c r="AF19" s="176">
        <f>DANE!AA19</f>
        <v>6</v>
      </c>
      <c r="AG19" s="188">
        <f t="shared" si="5"/>
        <v>48</v>
      </c>
      <c r="AH19" s="177">
        <f t="shared" ca="1" si="21"/>
        <v>6.5714285714285712</v>
      </c>
      <c r="AI19" s="182"/>
      <c r="AJ19" s="182"/>
      <c r="AK19" s="183"/>
      <c r="AL19" s="185"/>
      <c r="AM19" s="176">
        <f>DANE!AE19</f>
        <v>1</v>
      </c>
      <c r="AN19" s="188">
        <f t="shared" si="6"/>
        <v>7</v>
      </c>
      <c r="AO19" s="177">
        <f t="shared" ca="1" si="22"/>
        <v>0.8571428571428571</v>
      </c>
      <c r="AP19" s="182"/>
      <c r="AQ19" s="182"/>
      <c r="AR19" s="183"/>
      <c r="AS19" s="184"/>
      <c r="AT19" s="176">
        <f>DANE!AI19</f>
        <v>16</v>
      </c>
      <c r="AU19" s="188">
        <f t="shared" si="7"/>
        <v>82</v>
      </c>
      <c r="AV19" s="177">
        <f t="shared" ca="1" si="23"/>
        <v>10.857142857142858</v>
      </c>
      <c r="AW19" s="182"/>
      <c r="AX19" s="182"/>
      <c r="AY19" s="183"/>
      <c r="AZ19" s="185"/>
      <c r="BA19" s="176">
        <f>DANE!AM19</f>
        <v>1</v>
      </c>
      <c r="BB19" s="188">
        <f t="shared" si="8"/>
        <v>10</v>
      </c>
      <c r="BC19" s="177">
        <f t="shared" ca="1" si="24"/>
        <v>1.1428571428571428</v>
      </c>
      <c r="BD19" s="182"/>
      <c r="BE19" s="182"/>
      <c r="BF19" s="183"/>
      <c r="BG19" s="184"/>
      <c r="BH19" s="176">
        <f>DANE!AQ19</f>
        <v>3</v>
      </c>
      <c r="BI19" s="188">
        <f t="shared" si="9"/>
        <v>17</v>
      </c>
      <c r="BJ19" s="177">
        <f t="shared" ca="1" si="25"/>
        <v>2</v>
      </c>
      <c r="BK19" s="182"/>
      <c r="BL19" s="182"/>
      <c r="BM19" s="183"/>
      <c r="BN19" s="185"/>
      <c r="BO19" s="176">
        <f>DANE!AU19</f>
        <v>0</v>
      </c>
      <c r="BP19" s="188">
        <f t="shared" si="10"/>
        <v>1</v>
      </c>
      <c r="BQ19" s="177">
        <f t="shared" ca="1" si="26"/>
        <v>0.14285714285714285</v>
      </c>
      <c r="BR19" s="182"/>
      <c r="BS19" s="182"/>
      <c r="BT19" s="183"/>
      <c r="BU19" s="184"/>
      <c r="BV19" s="176">
        <f>DANE!AY19</f>
        <v>0</v>
      </c>
      <c r="BW19" s="188">
        <f t="shared" si="11"/>
        <v>9</v>
      </c>
      <c r="BX19" s="177">
        <f t="shared" ca="1" si="27"/>
        <v>1.2857142857142858</v>
      </c>
      <c r="BY19" s="182"/>
      <c r="BZ19" s="182"/>
      <c r="CA19" s="183"/>
      <c r="CB19" s="185"/>
      <c r="CC19" s="176">
        <f>DANE!BC19</f>
        <v>12</v>
      </c>
      <c r="CD19" s="188">
        <f t="shared" si="12"/>
        <v>42</v>
      </c>
      <c r="CE19" s="177">
        <f t="shared" ca="1" si="28"/>
        <v>4.4285714285714288</v>
      </c>
      <c r="CF19" s="182"/>
      <c r="CG19" s="182"/>
      <c r="CH19" s="183"/>
      <c r="CI19" s="184"/>
      <c r="CJ19" s="176">
        <f>DANE!BG19</f>
        <v>1</v>
      </c>
      <c r="CK19" s="188">
        <f t="shared" si="13"/>
        <v>5</v>
      </c>
      <c r="CL19" s="177">
        <f t="shared" ca="1" si="29"/>
        <v>0.7142857142857143</v>
      </c>
      <c r="CM19" s="182"/>
      <c r="CN19" s="182"/>
      <c r="CO19" s="183"/>
      <c r="CP19" s="185"/>
      <c r="CQ19" s="176">
        <f>DANE!BK19</f>
        <v>1</v>
      </c>
      <c r="CR19" s="188">
        <f t="shared" si="14"/>
        <v>12</v>
      </c>
      <c r="CS19" s="177">
        <f t="shared" ca="1" si="30"/>
        <v>1.1428571428571428</v>
      </c>
      <c r="CT19" s="182"/>
      <c r="CU19" s="182"/>
      <c r="CV19" s="183"/>
      <c r="CW19" s="184"/>
      <c r="CX19" s="176">
        <f>DANE!BO19</f>
        <v>2</v>
      </c>
      <c r="CY19" s="188">
        <f t="shared" si="15"/>
        <v>15</v>
      </c>
      <c r="CZ19" s="177">
        <f t="shared" ca="1" si="31"/>
        <v>1.4285714285714286</v>
      </c>
      <c r="DA19" s="182"/>
      <c r="DB19" s="182"/>
      <c r="DC19" s="183"/>
      <c r="DD19" s="185"/>
      <c r="DE19" s="176">
        <f>DANE!BS19</f>
        <v>1</v>
      </c>
      <c r="DF19" s="188">
        <f t="shared" si="16"/>
        <v>9</v>
      </c>
      <c r="DG19" s="177">
        <f t="shared" ca="1" si="32"/>
        <v>0.8571428571428571</v>
      </c>
      <c r="DH19" s="182"/>
      <c r="DI19" s="182"/>
      <c r="DJ19" s="186"/>
      <c r="DK19" s="187"/>
      <c r="DL19" s="83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</row>
    <row r="20" spans="1:138" x14ac:dyDescent="0.25">
      <c r="A20" s="32">
        <v>43910</v>
      </c>
      <c r="B20" s="33" t="str">
        <f t="shared" ca="1" si="0"/>
        <v/>
      </c>
      <c r="C20" s="51">
        <v>17</v>
      </c>
      <c r="D20" s="176">
        <f>DANE!K20</f>
        <v>5</v>
      </c>
      <c r="E20" s="188">
        <f t="shared" si="1"/>
        <v>58</v>
      </c>
      <c r="F20" s="178">
        <f t="shared" ca="1" si="17"/>
        <v>7.1428571428571432</v>
      </c>
      <c r="G20" s="189"/>
      <c r="H20" s="179"/>
      <c r="I20" s="180"/>
      <c r="J20" s="181"/>
      <c r="K20" s="176">
        <f>DANE!O20</f>
        <v>3</v>
      </c>
      <c r="L20" s="188">
        <f t="shared" si="2"/>
        <v>14</v>
      </c>
      <c r="M20" s="177">
        <f t="shared" ca="1" si="18"/>
        <v>2</v>
      </c>
      <c r="N20" s="209"/>
      <c r="O20" s="182"/>
      <c r="P20" s="183"/>
      <c r="Q20" s="184"/>
      <c r="R20" s="176">
        <f>DANE!S20</f>
        <v>3</v>
      </c>
      <c r="S20" s="188">
        <f t="shared" si="3"/>
        <v>28</v>
      </c>
      <c r="T20" s="177">
        <f t="shared" ca="1" si="19"/>
        <v>3</v>
      </c>
      <c r="U20" s="209"/>
      <c r="V20" s="182"/>
      <c r="W20" s="183"/>
      <c r="X20" s="185"/>
      <c r="Y20" s="176">
        <f>DANE!W20</f>
        <v>0</v>
      </c>
      <c r="Z20" s="188">
        <f t="shared" si="4"/>
        <v>9</v>
      </c>
      <c r="AA20" s="177">
        <f t="shared" ca="1" si="20"/>
        <v>1.1428571428571428</v>
      </c>
      <c r="AB20" s="209"/>
      <c r="AC20" s="182"/>
      <c r="AD20" s="183"/>
      <c r="AE20" s="184"/>
      <c r="AF20" s="176">
        <f>DANE!AA20</f>
        <v>9</v>
      </c>
      <c r="AG20" s="188">
        <f t="shared" si="5"/>
        <v>57</v>
      </c>
      <c r="AH20" s="177">
        <f t="shared" ca="1" si="21"/>
        <v>7.4285714285714288</v>
      </c>
      <c r="AI20" s="209"/>
      <c r="AJ20" s="182"/>
      <c r="AK20" s="183"/>
      <c r="AL20" s="185"/>
      <c r="AM20" s="176">
        <f>DANE!AE20</f>
        <v>7</v>
      </c>
      <c r="AN20" s="188">
        <f t="shared" si="6"/>
        <v>14</v>
      </c>
      <c r="AO20" s="177">
        <f t="shared" ca="1" si="22"/>
        <v>1.8571428571428572</v>
      </c>
      <c r="AP20" s="209"/>
      <c r="AQ20" s="182"/>
      <c r="AR20" s="183"/>
      <c r="AS20" s="184"/>
      <c r="AT20" s="176">
        <f>DANE!AI20</f>
        <v>25</v>
      </c>
      <c r="AU20" s="188">
        <f t="shared" si="7"/>
        <v>107</v>
      </c>
      <c r="AV20" s="177">
        <f t="shared" ca="1" si="23"/>
        <v>13.714285714285714</v>
      </c>
      <c r="AW20" s="210">
        <f>(1-$DQ$2)*AU19+AT20</f>
        <v>95.285714285714292</v>
      </c>
      <c r="AX20" s="182"/>
      <c r="AY20" s="183"/>
      <c r="AZ20" s="185"/>
      <c r="BA20" s="176">
        <f>DANE!AM20</f>
        <v>0</v>
      </c>
      <c r="BB20" s="188">
        <f t="shared" si="8"/>
        <v>10</v>
      </c>
      <c r="BC20" s="177">
        <f t="shared" ca="1" si="24"/>
        <v>1.1428571428571428</v>
      </c>
      <c r="BD20" s="209"/>
      <c r="BE20" s="182"/>
      <c r="BF20" s="183"/>
      <c r="BG20" s="184"/>
      <c r="BH20" s="176">
        <f>DANE!AQ20</f>
        <v>2</v>
      </c>
      <c r="BI20" s="188">
        <f t="shared" si="9"/>
        <v>19</v>
      </c>
      <c r="BJ20" s="177">
        <f t="shared" ca="1" si="25"/>
        <v>1.8571428571428572</v>
      </c>
      <c r="BK20" s="209"/>
      <c r="BL20" s="182"/>
      <c r="BM20" s="183"/>
      <c r="BN20" s="185"/>
      <c r="BO20" s="176">
        <f>DANE!AU20</f>
        <v>2</v>
      </c>
      <c r="BP20" s="188">
        <f t="shared" si="10"/>
        <v>3</v>
      </c>
      <c r="BQ20" s="177">
        <f t="shared" ca="1" si="26"/>
        <v>0.42857142857142855</v>
      </c>
      <c r="BR20" s="209"/>
      <c r="BS20" s="182"/>
      <c r="BT20" s="183"/>
      <c r="BU20" s="184"/>
      <c r="BV20" s="176">
        <f>DANE!AY20</f>
        <v>1</v>
      </c>
      <c r="BW20" s="188">
        <f t="shared" si="11"/>
        <v>10</v>
      </c>
      <c r="BX20" s="177">
        <f t="shared" ca="1" si="27"/>
        <v>1.4285714285714286</v>
      </c>
      <c r="BY20" s="209"/>
      <c r="BZ20" s="182"/>
      <c r="CA20" s="183"/>
      <c r="CB20" s="185"/>
      <c r="CC20" s="176">
        <f>DANE!BC20</f>
        <v>4</v>
      </c>
      <c r="CD20" s="188">
        <f t="shared" si="12"/>
        <v>46</v>
      </c>
      <c r="CE20" s="177">
        <f t="shared" ca="1" si="28"/>
        <v>4.8571428571428568</v>
      </c>
      <c r="CF20" s="209"/>
      <c r="CG20" s="182"/>
      <c r="CH20" s="183"/>
      <c r="CI20" s="184"/>
      <c r="CJ20" s="176">
        <f>DANE!BG20</f>
        <v>1</v>
      </c>
      <c r="CK20" s="188">
        <f t="shared" si="13"/>
        <v>6</v>
      </c>
      <c r="CL20" s="177">
        <f t="shared" ca="1" si="29"/>
        <v>0.8571428571428571</v>
      </c>
      <c r="CM20" s="209"/>
      <c r="CN20" s="182"/>
      <c r="CO20" s="183"/>
      <c r="CP20" s="185"/>
      <c r="CQ20" s="176">
        <f>DANE!BK20</f>
        <v>5</v>
      </c>
      <c r="CR20" s="188">
        <f t="shared" si="14"/>
        <v>17</v>
      </c>
      <c r="CS20" s="177">
        <f t="shared" ca="1" si="30"/>
        <v>1.8571428571428572</v>
      </c>
      <c r="CT20" s="209"/>
      <c r="CU20" s="182"/>
      <c r="CV20" s="183"/>
      <c r="CW20" s="184"/>
      <c r="CX20" s="176">
        <f>DANE!BO20</f>
        <v>3</v>
      </c>
      <c r="CY20" s="188">
        <f t="shared" si="15"/>
        <v>18</v>
      </c>
      <c r="CZ20" s="177">
        <f t="shared" ca="1" si="31"/>
        <v>1.7142857142857142</v>
      </c>
      <c r="DA20" s="209"/>
      <c r="DB20" s="182"/>
      <c r="DC20" s="183"/>
      <c r="DD20" s="185"/>
      <c r="DE20" s="176">
        <f>DANE!BS20</f>
        <v>0</v>
      </c>
      <c r="DF20" s="188">
        <f t="shared" si="16"/>
        <v>9</v>
      </c>
      <c r="DG20" s="177">
        <f t="shared" ca="1" si="32"/>
        <v>0.5714285714285714</v>
      </c>
      <c r="DH20" s="209"/>
      <c r="DI20" s="182"/>
      <c r="DJ20" s="186"/>
      <c r="DK20" s="187"/>
      <c r="DL20" s="83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</row>
    <row r="21" spans="1:138" x14ac:dyDescent="0.25">
      <c r="A21" s="61">
        <v>43911</v>
      </c>
      <c r="B21" s="62" t="str">
        <f t="shared" ca="1" si="0"/>
        <v/>
      </c>
      <c r="C21" s="12">
        <v>18</v>
      </c>
      <c r="D21" s="176">
        <f>DANE!K21</f>
        <v>8</v>
      </c>
      <c r="E21" s="198">
        <f t="shared" si="1"/>
        <v>66</v>
      </c>
      <c r="F21" s="178">
        <f t="shared" ca="1" si="17"/>
        <v>7.5714285714285712</v>
      </c>
      <c r="G21" s="199"/>
      <c r="H21" s="200"/>
      <c r="I21" s="201"/>
      <c r="J21" s="202"/>
      <c r="K21" s="176">
        <f>DANE!O21</f>
        <v>4</v>
      </c>
      <c r="L21" s="198">
        <f t="shared" si="2"/>
        <v>18</v>
      </c>
      <c r="M21" s="177">
        <f t="shared" ca="1" si="18"/>
        <v>2.5714285714285716</v>
      </c>
      <c r="N21" s="211"/>
      <c r="O21" s="200"/>
      <c r="P21" s="201"/>
      <c r="Q21" s="212"/>
      <c r="R21" s="176">
        <f>DANE!S21</f>
        <v>3</v>
      </c>
      <c r="S21" s="198">
        <f t="shared" si="3"/>
        <v>31</v>
      </c>
      <c r="T21" s="177">
        <f t="shared" ca="1" si="19"/>
        <v>2.2857142857142856</v>
      </c>
      <c r="U21" s="211"/>
      <c r="V21" s="200"/>
      <c r="W21" s="201"/>
      <c r="X21" s="202"/>
      <c r="Y21" s="176">
        <f>DANE!W21</f>
        <v>0</v>
      </c>
      <c r="Z21" s="198">
        <f t="shared" si="4"/>
        <v>9</v>
      </c>
      <c r="AA21" s="177">
        <f t="shared" ca="1" si="20"/>
        <v>1.1428571428571428</v>
      </c>
      <c r="AB21" s="211"/>
      <c r="AC21" s="200"/>
      <c r="AD21" s="201"/>
      <c r="AE21" s="212"/>
      <c r="AF21" s="176">
        <f>DANE!AA21</f>
        <v>34</v>
      </c>
      <c r="AG21" s="198">
        <f t="shared" si="5"/>
        <v>91</v>
      </c>
      <c r="AH21" s="177">
        <f t="shared" ca="1" si="21"/>
        <v>10.857142857142858</v>
      </c>
      <c r="AI21" s="211"/>
      <c r="AJ21" s="200"/>
      <c r="AK21" s="201"/>
      <c r="AL21" s="202"/>
      <c r="AM21" s="176">
        <f>DANE!AE21</f>
        <v>2</v>
      </c>
      <c r="AN21" s="198">
        <f t="shared" si="6"/>
        <v>16</v>
      </c>
      <c r="AO21" s="177">
        <f t="shared" ca="1" si="22"/>
        <v>2.1428571428571428</v>
      </c>
      <c r="AP21" s="211"/>
      <c r="AQ21" s="200"/>
      <c r="AR21" s="201"/>
      <c r="AS21" s="212"/>
      <c r="AT21" s="176">
        <f>DANE!AI21</f>
        <v>20</v>
      </c>
      <c r="AU21" s="198">
        <f t="shared" si="7"/>
        <v>127</v>
      </c>
      <c r="AV21" s="177">
        <f t="shared" ca="1" si="23"/>
        <v>15.857142857142858</v>
      </c>
      <c r="AW21" s="211">
        <f t="shared" ref="AW21:AW296" si="33">IF(ISBLANK(AT21),"",(1-$DQ$2)*AW20+AT21)</f>
        <v>101.67346938775512</v>
      </c>
      <c r="AX21" s="200"/>
      <c r="AY21" s="213"/>
      <c r="AZ21" s="214"/>
      <c r="BA21" s="176">
        <f>DANE!AM21</f>
        <v>0</v>
      </c>
      <c r="BB21" s="198">
        <f t="shared" si="8"/>
        <v>10</v>
      </c>
      <c r="BC21" s="177">
        <f t="shared" ca="1" si="24"/>
        <v>0.8571428571428571</v>
      </c>
      <c r="BD21" s="211"/>
      <c r="BE21" s="200"/>
      <c r="BF21" s="201"/>
      <c r="BG21" s="212"/>
      <c r="BH21" s="176">
        <f>DANE!AQ21</f>
        <v>6</v>
      </c>
      <c r="BI21" s="198">
        <f t="shared" si="9"/>
        <v>25</v>
      </c>
      <c r="BJ21" s="177">
        <f t="shared" ca="1" si="25"/>
        <v>2.5714285714285716</v>
      </c>
      <c r="BK21" s="211"/>
      <c r="BL21" s="200"/>
      <c r="BM21" s="201"/>
      <c r="BN21" s="202"/>
      <c r="BO21" s="176">
        <f>DANE!AU21</f>
        <v>2</v>
      </c>
      <c r="BP21" s="198">
        <f t="shared" si="10"/>
        <v>5</v>
      </c>
      <c r="BQ21" s="177">
        <f t="shared" ca="1" si="26"/>
        <v>0.7142857142857143</v>
      </c>
      <c r="BR21" s="211"/>
      <c r="BS21" s="200"/>
      <c r="BT21" s="201"/>
      <c r="BU21" s="212"/>
      <c r="BV21" s="176">
        <f>DANE!AY21</f>
        <v>4</v>
      </c>
      <c r="BW21" s="198">
        <f t="shared" si="11"/>
        <v>14</v>
      </c>
      <c r="BX21" s="177">
        <f t="shared" ca="1" si="27"/>
        <v>1.7142857142857142</v>
      </c>
      <c r="BY21" s="211"/>
      <c r="BZ21" s="200"/>
      <c r="CA21" s="201"/>
      <c r="CB21" s="202"/>
      <c r="CC21" s="176">
        <f>DANE!BC21</f>
        <v>10</v>
      </c>
      <c r="CD21" s="198">
        <f t="shared" si="12"/>
        <v>56</v>
      </c>
      <c r="CE21" s="177">
        <f t="shared" ca="1" si="28"/>
        <v>6.2857142857142856</v>
      </c>
      <c r="CF21" s="211"/>
      <c r="CG21" s="200"/>
      <c r="CH21" s="201"/>
      <c r="CI21" s="212"/>
      <c r="CJ21" s="176">
        <f>DANE!BG21</f>
        <v>1</v>
      </c>
      <c r="CK21" s="198">
        <f t="shared" si="13"/>
        <v>7</v>
      </c>
      <c r="CL21" s="177">
        <f t="shared" ca="1" si="29"/>
        <v>0.7142857142857143</v>
      </c>
      <c r="CM21" s="211"/>
      <c r="CN21" s="200"/>
      <c r="CO21" s="201"/>
      <c r="CP21" s="202"/>
      <c r="CQ21" s="176">
        <f>DANE!BK21</f>
        <v>3</v>
      </c>
      <c r="CR21" s="198">
        <f t="shared" si="14"/>
        <v>20</v>
      </c>
      <c r="CS21" s="177">
        <f t="shared" ca="1" si="30"/>
        <v>2.2857142857142856</v>
      </c>
      <c r="CT21" s="211"/>
      <c r="CU21" s="200"/>
      <c r="CV21" s="201"/>
      <c r="CW21" s="212"/>
      <c r="CX21" s="176">
        <f>DANE!BO21</f>
        <v>13</v>
      </c>
      <c r="CY21" s="198">
        <f t="shared" si="15"/>
        <v>31</v>
      </c>
      <c r="CZ21" s="177">
        <f t="shared" ca="1" si="31"/>
        <v>3.4285714285714284</v>
      </c>
      <c r="DA21" s="211"/>
      <c r="DB21" s="200"/>
      <c r="DC21" s="201"/>
      <c r="DD21" s="202"/>
      <c r="DE21" s="176">
        <f>DANE!BS21</f>
        <v>1</v>
      </c>
      <c r="DF21" s="198">
        <f t="shared" si="16"/>
        <v>10</v>
      </c>
      <c r="DG21" s="177">
        <f t="shared" ca="1" si="32"/>
        <v>0.7142857142857143</v>
      </c>
      <c r="DH21" s="211"/>
      <c r="DI21" s="200"/>
      <c r="DJ21" s="215"/>
      <c r="DK21" s="216"/>
      <c r="DL21" s="87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</row>
    <row r="22" spans="1:138" x14ac:dyDescent="0.25">
      <c r="A22" s="61">
        <v>43912</v>
      </c>
      <c r="B22" s="62" t="str">
        <f t="shared" ca="1" si="0"/>
        <v/>
      </c>
      <c r="C22" s="12">
        <v>19</v>
      </c>
      <c r="D22" s="176">
        <f>DANE!K22</f>
        <v>13</v>
      </c>
      <c r="E22" s="198">
        <f t="shared" si="1"/>
        <v>79</v>
      </c>
      <c r="F22" s="178">
        <f t="shared" ca="1" si="17"/>
        <v>9.1428571428571423</v>
      </c>
      <c r="G22" s="199"/>
      <c r="H22" s="200"/>
      <c r="I22" s="201"/>
      <c r="J22" s="202"/>
      <c r="K22" s="176">
        <f>DANE!O22</f>
        <v>0</v>
      </c>
      <c r="L22" s="198">
        <f t="shared" si="2"/>
        <v>18</v>
      </c>
      <c r="M22" s="177">
        <f t="shared" ca="1" si="18"/>
        <v>2.5714285714285716</v>
      </c>
      <c r="N22" s="211"/>
      <c r="O22" s="200"/>
      <c r="P22" s="213"/>
      <c r="Q22" s="217"/>
      <c r="R22" s="176">
        <f>DANE!S22</f>
        <v>8</v>
      </c>
      <c r="S22" s="198">
        <f t="shared" si="3"/>
        <v>39</v>
      </c>
      <c r="T22" s="177">
        <f t="shared" ca="1" si="19"/>
        <v>3.1428571428571428</v>
      </c>
      <c r="U22" s="211"/>
      <c r="V22" s="200"/>
      <c r="W22" s="201"/>
      <c r="X22" s="202"/>
      <c r="Y22" s="176">
        <f>DANE!W22</f>
        <v>2</v>
      </c>
      <c r="Z22" s="198">
        <f t="shared" si="4"/>
        <v>11</v>
      </c>
      <c r="AA22" s="177">
        <f t="shared" ca="1" si="20"/>
        <v>1.2857142857142858</v>
      </c>
      <c r="AB22" s="211"/>
      <c r="AC22" s="200"/>
      <c r="AD22" s="201"/>
      <c r="AE22" s="212"/>
      <c r="AF22" s="176">
        <f>DANE!AA22</f>
        <v>15</v>
      </c>
      <c r="AG22" s="198">
        <f t="shared" si="5"/>
        <v>106</v>
      </c>
      <c r="AH22" s="177">
        <f t="shared" ca="1" si="21"/>
        <v>12.428571428571429</v>
      </c>
      <c r="AI22" s="210">
        <f>(1-$DQ$2)*AG21+AF22</f>
        <v>93</v>
      </c>
      <c r="AJ22" s="200"/>
      <c r="AK22" s="201"/>
      <c r="AL22" s="202"/>
      <c r="AM22" s="176">
        <f>DANE!AE22</f>
        <v>8</v>
      </c>
      <c r="AN22" s="198">
        <f t="shared" si="6"/>
        <v>24</v>
      </c>
      <c r="AO22" s="177">
        <f t="shared" ca="1" si="22"/>
        <v>3.2857142857142856</v>
      </c>
      <c r="AP22" s="211"/>
      <c r="AQ22" s="200"/>
      <c r="AR22" s="201"/>
      <c r="AS22" s="212"/>
      <c r="AT22" s="176">
        <f>DANE!AI22</f>
        <v>20</v>
      </c>
      <c r="AU22" s="198">
        <f t="shared" si="7"/>
        <v>147</v>
      </c>
      <c r="AV22" s="177">
        <f t="shared" ca="1" si="23"/>
        <v>17.857142857142858</v>
      </c>
      <c r="AW22" s="211">
        <f t="shared" si="33"/>
        <v>107.14868804664725</v>
      </c>
      <c r="AX22" s="200">
        <f t="shared" ref="AX22:AX296" si="34">IF(ISBLANK(AT22),"",(AW22-AW21)/AW21)</f>
        <v>5.3851006480472585E-2</v>
      </c>
      <c r="AY22" s="213">
        <f t="shared" ref="AY22:AY296" si="35">IF(ISBLANK(AT22),"",1+AX22/$DQ$2)</f>
        <v>1.3769570453633082</v>
      </c>
      <c r="AZ22" s="214">
        <f t="shared" ref="AZ22:AZ296" ca="1" si="36">IF(ISBLANK(AT22),"",AVERAGE((OFFSET(AY22,(-1)*($DU$2-1),0)):AY22))</f>
        <v>1.3769570453633082</v>
      </c>
      <c r="BA22" s="176">
        <f>DANE!AM22</f>
        <v>4</v>
      </c>
      <c r="BB22" s="198">
        <f t="shared" si="8"/>
        <v>14</v>
      </c>
      <c r="BC22" s="177">
        <f t="shared" ca="1" si="24"/>
        <v>1.4285714285714286</v>
      </c>
      <c r="BD22" s="211"/>
      <c r="BE22" s="200"/>
      <c r="BF22" s="201"/>
      <c r="BG22" s="212"/>
      <c r="BH22" s="176">
        <f>DANE!AQ22</f>
        <v>4</v>
      </c>
      <c r="BI22" s="198">
        <f t="shared" si="9"/>
        <v>29</v>
      </c>
      <c r="BJ22" s="177">
        <f t="shared" ca="1" si="25"/>
        <v>3</v>
      </c>
      <c r="BK22" s="211"/>
      <c r="BL22" s="200"/>
      <c r="BM22" s="201"/>
      <c r="BN22" s="202"/>
      <c r="BO22" s="176">
        <f>DANE!AU22</f>
        <v>1</v>
      </c>
      <c r="BP22" s="198">
        <f t="shared" si="10"/>
        <v>6</v>
      </c>
      <c r="BQ22" s="177">
        <f t="shared" ca="1" si="26"/>
        <v>0.8571428571428571</v>
      </c>
      <c r="BR22" s="211"/>
      <c r="BS22" s="200"/>
      <c r="BT22" s="201"/>
      <c r="BU22" s="212"/>
      <c r="BV22" s="176">
        <f>DANE!AY22</f>
        <v>3</v>
      </c>
      <c r="BW22" s="198">
        <f t="shared" si="11"/>
        <v>17</v>
      </c>
      <c r="BX22" s="177">
        <f t="shared" ca="1" si="27"/>
        <v>2.1428571428571428</v>
      </c>
      <c r="BY22" s="211"/>
      <c r="BZ22" s="200"/>
      <c r="CA22" s="201"/>
      <c r="CB22" s="202"/>
      <c r="CC22" s="176">
        <f>DANE!BC22</f>
        <v>10</v>
      </c>
      <c r="CD22" s="198">
        <f t="shared" si="12"/>
        <v>66</v>
      </c>
      <c r="CE22" s="177">
        <f t="shared" ca="1" si="28"/>
        <v>7.4285714285714288</v>
      </c>
      <c r="CF22" s="211"/>
      <c r="CG22" s="200"/>
      <c r="CH22" s="201"/>
      <c r="CI22" s="212"/>
      <c r="CJ22" s="176">
        <f>DANE!BG22</f>
        <v>0</v>
      </c>
      <c r="CK22" s="198">
        <f t="shared" si="13"/>
        <v>7</v>
      </c>
      <c r="CL22" s="177">
        <f t="shared" ca="1" si="29"/>
        <v>0.5714285714285714</v>
      </c>
      <c r="CM22" s="211"/>
      <c r="CN22" s="200"/>
      <c r="CO22" s="201"/>
      <c r="CP22" s="202"/>
      <c r="CQ22" s="176">
        <f>DANE!BK22</f>
        <v>2</v>
      </c>
      <c r="CR22" s="198">
        <f t="shared" si="14"/>
        <v>22</v>
      </c>
      <c r="CS22" s="177">
        <f t="shared" ca="1" si="30"/>
        <v>2.4285714285714284</v>
      </c>
      <c r="CT22" s="211"/>
      <c r="CU22" s="200"/>
      <c r="CV22" s="201"/>
      <c r="CW22" s="212"/>
      <c r="CX22" s="176">
        <f>DANE!BO22</f>
        <v>6</v>
      </c>
      <c r="CY22" s="198">
        <f t="shared" si="15"/>
        <v>37</v>
      </c>
      <c r="CZ22" s="177">
        <f t="shared" ca="1" si="31"/>
        <v>4.2857142857142856</v>
      </c>
      <c r="DA22" s="211"/>
      <c r="DB22" s="200"/>
      <c r="DC22" s="201"/>
      <c r="DD22" s="202"/>
      <c r="DE22" s="176">
        <f>DANE!BS22</f>
        <v>2</v>
      </c>
      <c r="DF22" s="198">
        <f t="shared" si="16"/>
        <v>12</v>
      </c>
      <c r="DG22" s="177">
        <f t="shared" ca="1" si="32"/>
        <v>0.8571428571428571</v>
      </c>
      <c r="DH22" s="211"/>
      <c r="DI22" s="200"/>
      <c r="DJ22" s="215"/>
      <c r="DK22" s="216"/>
      <c r="DL22" s="87"/>
      <c r="DM22" s="88"/>
      <c r="DN22" s="88"/>
      <c r="DO22" s="88"/>
      <c r="DP22" s="88"/>
      <c r="DQ22" s="88"/>
      <c r="DR22" s="88"/>
      <c r="DS22" s="88"/>
      <c r="DT22" s="88"/>
      <c r="DU22" s="88"/>
      <c r="DV22" s="88"/>
      <c r="DW22" s="88"/>
      <c r="DX22" s="88"/>
      <c r="DY22" s="88"/>
      <c r="DZ22" s="88"/>
      <c r="EA22" s="88"/>
      <c r="EB22" s="88"/>
      <c r="EC22" s="88"/>
      <c r="ED22" s="88"/>
      <c r="EE22" s="88"/>
      <c r="EF22" s="88"/>
      <c r="EG22" s="88"/>
      <c r="EH22" s="88"/>
    </row>
    <row r="23" spans="1:138" x14ac:dyDescent="0.25">
      <c r="A23" s="32">
        <v>43913</v>
      </c>
      <c r="B23" s="33" t="str">
        <f t="shared" ca="1" si="0"/>
        <v/>
      </c>
      <c r="C23" s="51">
        <v>20</v>
      </c>
      <c r="D23" s="176">
        <f>DANE!K23</f>
        <v>22</v>
      </c>
      <c r="E23" s="188">
        <f t="shared" si="1"/>
        <v>101</v>
      </c>
      <c r="F23" s="178">
        <f t="shared" ca="1" si="17"/>
        <v>10.571428571428571</v>
      </c>
      <c r="G23" s="210">
        <f>(1-$DQ$2)*E22+D23</f>
        <v>89.714285714285722</v>
      </c>
      <c r="H23" s="179"/>
      <c r="I23" s="180"/>
      <c r="J23" s="181"/>
      <c r="K23" s="176">
        <f>DANE!O23</f>
        <v>3</v>
      </c>
      <c r="L23" s="188">
        <f t="shared" si="2"/>
        <v>21</v>
      </c>
      <c r="M23" s="177">
        <f t="shared" ca="1" si="18"/>
        <v>3</v>
      </c>
      <c r="N23" s="209"/>
      <c r="O23" s="179"/>
      <c r="P23" s="213"/>
      <c r="Q23" s="217"/>
      <c r="R23" s="176">
        <f>DANE!S23</f>
        <v>9</v>
      </c>
      <c r="S23" s="188">
        <f t="shared" si="3"/>
        <v>48</v>
      </c>
      <c r="T23" s="177">
        <f t="shared" ca="1" si="19"/>
        <v>4.2857142857142856</v>
      </c>
      <c r="U23" s="209"/>
      <c r="V23" s="179"/>
      <c r="W23" s="180"/>
      <c r="X23" s="181"/>
      <c r="Y23" s="176">
        <f>DANE!W23</f>
        <v>5</v>
      </c>
      <c r="Z23" s="188">
        <f t="shared" si="4"/>
        <v>16</v>
      </c>
      <c r="AA23" s="177">
        <f t="shared" ca="1" si="20"/>
        <v>2</v>
      </c>
      <c r="AB23" s="209"/>
      <c r="AC23" s="179"/>
      <c r="AD23" s="180"/>
      <c r="AE23" s="218"/>
      <c r="AF23" s="176">
        <f>DANE!AA23</f>
        <v>5</v>
      </c>
      <c r="AG23" s="188">
        <f t="shared" si="5"/>
        <v>111</v>
      </c>
      <c r="AH23" s="177">
        <f t="shared" ca="1" si="21"/>
        <v>11.428571428571429</v>
      </c>
      <c r="AI23" s="219">
        <f t="shared" ref="AI23:AI296" si="37">IF(ISBLANK(AF23),"",(1-$DQ$2)*AI22+AF23)</f>
        <v>84.714285714285722</v>
      </c>
      <c r="AJ23" s="220"/>
      <c r="AK23" s="213"/>
      <c r="AL23" s="214"/>
      <c r="AM23" s="176">
        <f>DANE!AE23</f>
        <v>9</v>
      </c>
      <c r="AN23" s="188">
        <f t="shared" si="6"/>
        <v>33</v>
      </c>
      <c r="AO23" s="177">
        <f t="shared" ca="1" si="22"/>
        <v>4.4285714285714288</v>
      </c>
      <c r="AP23" s="209"/>
      <c r="AQ23" s="179"/>
      <c r="AR23" s="180"/>
      <c r="AS23" s="218"/>
      <c r="AT23" s="176">
        <f>DANE!AI23</f>
        <v>28</v>
      </c>
      <c r="AU23" s="188">
        <f t="shared" si="7"/>
        <v>175</v>
      </c>
      <c r="AV23" s="177">
        <f t="shared" ca="1" si="23"/>
        <v>20</v>
      </c>
      <c r="AW23" s="211">
        <f t="shared" si="33"/>
        <v>119.84173261141194</v>
      </c>
      <c r="AX23" s="200">
        <f t="shared" si="34"/>
        <v>0.11846196902792469</v>
      </c>
      <c r="AY23" s="213">
        <f t="shared" si="35"/>
        <v>1.8292337831954728</v>
      </c>
      <c r="AZ23" s="214">
        <f t="shared" ca="1" si="36"/>
        <v>1.6030954142793905</v>
      </c>
      <c r="BA23" s="176">
        <f>DANE!AM23</f>
        <v>5</v>
      </c>
      <c r="BB23" s="188">
        <f t="shared" si="8"/>
        <v>19</v>
      </c>
      <c r="BC23" s="177">
        <f t="shared" ca="1" si="24"/>
        <v>1.8571428571428572</v>
      </c>
      <c r="BD23" s="209"/>
      <c r="BE23" s="179"/>
      <c r="BF23" s="180"/>
      <c r="BG23" s="218"/>
      <c r="BH23" s="176">
        <f>DANE!AQ23</f>
        <v>1</v>
      </c>
      <c r="BI23" s="188">
        <f t="shared" si="9"/>
        <v>30</v>
      </c>
      <c r="BJ23" s="177">
        <f t="shared" ca="1" si="25"/>
        <v>2.7142857142857144</v>
      </c>
      <c r="BK23" s="209"/>
      <c r="BL23" s="179"/>
      <c r="BM23" s="180"/>
      <c r="BN23" s="181"/>
      <c r="BO23" s="176">
        <f>DANE!AU23</f>
        <v>1</v>
      </c>
      <c r="BP23" s="188">
        <f t="shared" si="10"/>
        <v>7</v>
      </c>
      <c r="BQ23" s="177">
        <f t="shared" ca="1" si="26"/>
        <v>1</v>
      </c>
      <c r="BR23" s="209"/>
      <c r="BS23" s="179"/>
      <c r="BT23" s="180"/>
      <c r="BU23" s="218"/>
      <c r="BV23" s="176">
        <f>DANE!AY23</f>
        <v>4</v>
      </c>
      <c r="BW23" s="188">
        <f t="shared" si="11"/>
        <v>21</v>
      </c>
      <c r="BX23" s="177">
        <f t="shared" ca="1" si="27"/>
        <v>2.7142857142857144</v>
      </c>
      <c r="BY23" s="209"/>
      <c r="BZ23" s="179"/>
      <c r="CA23" s="180"/>
      <c r="CB23" s="181"/>
      <c r="CC23" s="176">
        <f>DANE!BC23</f>
        <v>11</v>
      </c>
      <c r="CD23" s="188">
        <f t="shared" si="12"/>
        <v>77</v>
      </c>
      <c r="CE23" s="177">
        <f t="shared" ca="1" si="28"/>
        <v>8.4285714285714288</v>
      </c>
      <c r="CF23" s="209"/>
      <c r="CG23" s="179"/>
      <c r="CH23" s="180"/>
      <c r="CI23" s="218"/>
      <c r="CJ23" s="176">
        <f>DANE!BG23</f>
        <v>1</v>
      </c>
      <c r="CK23" s="188">
        <f t="shared" si="13"/>
        <v>8</v>
      </c>
      <c r="CL23" s="177">
        <f t="shared" ca="1" si="29"/>
        <v>0.7142857142857143</v>
      </c>
      <c r="CM23" s="209"/>
      <c r="CN23" s="179"/>
      <c r="CO23" s="180"/>
      <c r="CP23" s="181"/>
      <c r="CQ23" s="176">
        <f>DANE!BK23</f>
        <v>3</v>
      </c>
      <c r="CR23" s="188">
        <f t="shared" si="14"/>
        <v>25</v>
      </c>
      <c r="CS23" s="177">
        <f t="shared" ca="1" si="30"/>
        <v>2.8571428571428572</v>
      </c>
      <c r="CT23" s="209"/>
      <c r="CU23" s="179"/>
      <c r="CV23" s="180"/>
      <c r="CW23" s="218"/>
      <c r="CX23" s="176">
        <f>DANE!BO23</f>
        <v>4</v>
      </c>
      <c r="CY23" s="188">
        <f t="shared" si="15"/>
        <v>41</v>
      </c>
      <c r="CZ23" s="177">
        <f t="shared" ca="1" si="31"/>
        <v>4.2857142857142856</v>
      </c>
      <c r="DA23" s="209"/>
      <c r="DB23" s="179"/>
      <c r="DC23" s="180"/>
      <c r="DD23" s="181"/>
      <c r="DE23" s="176">
        <f>DANE!BS23</f>
        <v>4</v>
      </c>
      <c r="DF23" s="188">
        <f t="shared" si="16"/>
        <v>16</v>
      </c>
      <c r="DG23" s="177">
        <f t="shared" ca="1" si="32"/>
        <v>1.4285714285714286</v>
      </c>
      <c r="DH23" s="209"/>
      <c r="DI23" s="179"/>
      <c r="DJ23" s="177"/>
      <c r="DK23" s="221"/>
      <c r="DL23" s="83"/>
      <c r="DM23" s="89"/>
      <c r="DN23" s="89"/>
      <c r="DO23" s="89"/>
      <c r="DP23" s="89"/>
      <c r="DQ23" s="89"/>
      <c r="DR23" s="89"/>
      <c r="DS23" s="89"/>
      <c r="DT23" s="89"/>
      <c r="DU23" s="89"/>
      <c r="DV23" s="89"/>
      <c r="DW23" s="89"/>
      <c r="DX23" s="89"/>
      <c r="DY23" s="89"/>
      <c r="DZ23" s="89"/>
      <c r="EA23" s="89"/>
      <c r="EB23" s="89"/>
      <c r="EC23" s="89"/>
      <c r="ED23" s="89"/>
      <c r="EE23" s="89"/>
      <c r="EF23" s="89"/>
      <c r="EG23" s="89"/>
      <c r="EH23" s="89"/>
    </row>
    <row r="24" spans="1:138" x14ac:dyDescent="0.25">
      <c r="A24" s="32">
        <v>43914</v>
      </c>
      <c r="B24" s="33" t="str">
        <f t="shared" ca="1" si="0"/>
        <v/>
      </c>
      <c r="C24" s="51">
        <v>21</v>
      </c>
      <c r="D24" s="176">
        <f>DANE!K24</f>
        <v>33</v>
      </c>
      <c r="E24" s="188">
        <f t="shared" si="1"/>
        <v>134</v>
      </c>
      <c r="F24" s="178">
        <f t="shared" ca="1" si="17"/>
        <v>13.714285714285714</v>
      </c>
      <c r="G24" s="209">
        <f t="shared" ref="G24:G296" si="38">IF(ISBLANK(D24),"",(1-$DQ$2)*G23+D24)</f>
        <v>109.89795918367348</v>
      </c>
      <c r="H24" s="179"/>
      <c r="I24" s="213"/>
      <c r="J24" s="214"/>
      <c r="K24" s="176">
        <f>DANE!O24</f>
        <v>1</v>
      </c>
      <c r="L24" s="188">
        <f t="shared" si="2"/>
        <v>22</v>
      </c>
      <c r="M24" s="177">
        <f t="shared" ca="1" si="18"/>
        <v>2</v>
      </c>
      <c r="N24" s="209"/>
      <c r="O24" s="179"/>
      <c r="P24" s="213"/>
      <c r="Q24" s="217"/>
      <c r="R24" s="176">
        <f>DANE!S24</f>
        <v>6</v>
      </c>
      <c r="S24" s="188">
        <f t="shared" si="3"/>
        <v>54</v>
      </c>
      <c r="T24" s="177">
        <f t="shared" ca="1" si="19"/>
        <v>4.5714285714285712</v>
      </c>
      <c r="U24" s="209"/>
      <c r="V24" s="179"/>
      <c r="W24" s="180"/>
      <c r="X24" s="181"/>
      <c r="Y24" s="176">
        <f>DANE!W24</f>
        <v>5</v>
      </c>
      <c r="Z24" s="188">
        <f t="shared" si="4"/>
        <v>21</v>
      </c>
      <c r="AA24" s="177">
        <f t="shared" ca="1" si="20"/>
        <v>2.7142857142857144</v>
      </c>
      <c r="AB24" s="209"/>
      <c r="AC24" s="179"/>
      <c r="AD24" s="180"/>
      <c r="AE24" s="218"/>
      <c r="AF24" s="176">
        <f>DANE!AA24</f>
        <v>18</v>
      </c>
      <c r="AG24" s="188">
        <f t="shared" si="5"/>
        <v>129</v>
      </c>
      <c r="AH24" s="177">
        <f t="shared" ca="1" si="21"/>
        <v>12.428571428571429</v>
      </c>
      <c r="AI24" s="219">
        <f t="shared" si="37"/>
        <v>90.612244897959201</v>
      </c>
      <c r="AJ24" s="220">
        <f t="shared" ref="AJ24:AJ296" si="39">IF(ISBLANK(AF24),"",(AI24-AI23)/AI23)</f>
        <v>6.9621777884847122E-2</v>
      </c>
      <c r="AK24" s="213">
        <f t="shared" ref="AK24:AK296" si="40">IF(ISBLANK(AF24),"",1+AJ24/$DQ$2)</f>
        <v>1.48735244519393</v>
      </c>
      <c r="AL24" s="214">
        <f t="shared" ref="AL24:AL296" ca="1" si="41">IF(ISBLANK(AF24),"",AVERAGE((OFFSET(AK24,(-1)*($DU$2-1),0)):AK24))</f>
        <v>1.48735244519393</v>
      </c>
      <c r="AM24" s="176">
        <f>DANE!AE24</f>
        <v>16</v>
      </c>
      <c r="AN24" s="188">
        <f t="shared" si="6"/>
        <v>49</v>
      </c>
      <c r="AO24" s="177">
        <f t="shared" ca="1" si="22"/>
        <v>6.2857142857142856</v>
      </c>
      <c r="AP24" s="209"/>
      <c r="AQ24" s="179"/>
      <c r="AR24" s="213"/>
      <c r="AS24" s="217"/>
      <c r="AT24" s="176">
        <f>DANE!AI24</f>
        <v>37</v>
      </c>
      <c r="AU24" s="188">
        <f t="shared" si="7"/>
        <v>212</v>
      </c>
      <c r="AV24" s="177">
        <f t="shared" ca="1" si="23"/>
        <v>24.857142857142858</v>
      </c>
      <c r="AW24" s="211">
        <f t="shared" si="33"/>
        <v>139.72148509549595</v>
      </c>
      <c r="AX24" s="200">
        <f t="shared" si="34"/>
        <v>0.16588338678767531</v>
      </c>
      <c r="AY24" s="213">
        <f t="shared" si="35"/>
        <v>2.161183707513727</v>
      </c>
      <c r="AZ24" s="214">
        <f t="shared" ca="1" si="36"/>
        <v>1.7891248453575026</v>
      </c>
      <c r="BA24" s="176">
        <f>DANE!AM24</f>
        <v>2</v>
      </c>
      <c r="BB24" s="188">
        <f t="shared" si="8"/>
        <v>21</v>
      </c>
      <c r="BC24" s="177">
        <f t="shared" ca="1" si="24"/>
        <v>1.8571428571428572</v>
      </c>
      <c r="BD24" s="209"/>
      <c r="BE24" s="179"/>
      <c r="BF24" s="180"/>
      <c r="BG24" s="218"/>
      <c r="BH24" s="176">
        <f>DANE!AQ24</f>
        <v>7</v>
      </c>
      <c r="BI24" s="188">
        <f t="shared" si="9"/>
        <v>37</v>
      </c>
      <c r="BJ24" s="177">
        <f t="shared" ca="1" si="25"/>
        <v>3.7142857142857144</v>
      </c>
      <c r="BK24" s="209"/>
      <c r="BL24" s="179"/>
      <c r="BM24" s="180"/>
      <c r="BN24" s="181"/>
      <c r="BO24" s="176">
        <f>DANE!AU24</f>
        <v>0</v>
      </c>
      <c r="BP24" s="188">
        <f t="shared" si="10"/>
        <v>7</v>
      </c>
      <c r="BQ24" s="177">
        <f t="shared" ca="1" si="26"/>
        <v>0.8571428571428571</v>
      </c>
      <c r="BR24" s="209"/>
      <c r="BS24" s="179"/>
      <c r="BT24" s="180"/>
      <c r="BU24" s="218"/>
      <c r="BV24" s="176">
        <f>DANE!AY24</f>
        <v>1</v>
      </c>
      <c r="BW24" s="188">
        <f t="shared" si="11"/>
        <v>22</v>
      </c>
      <c r="BX24" s="177">
        <f t="shared" ca="1" si="27"/>
        <v>2</v>
      </c>
      <c r="BY24" s="209"/>
      <c r="BZ24" s="179"/>
      <c r="CA24" s="180"/>
      <c r="CB24" s="181"/>
      <c r="CC24" s="176">
        <f>DANE!BC24</f>
        <v>10</v>
      </c>
      <c r="CD24" s="188">
        <f t="shared" si="12"/>
        <v>87</v>
      </c>
      <c r="CE24" s="177">
        <f t="shared" ca="1" si="28"/>
        <v>9</v>
      </c>
      <c r="CF24" s="209"/>
      <c r="CG24" s="179"/>
      <c r="CH24" s="180"/>
      <c r="CI24" s="218"/>
      <c r="CJ24" s="176">
        <f>DANE!BG24</f>
        <v>0</v>
      </c>
      <c r="CK24" s="188">
        <f t="shared" si="13"/>
        <v>8</v>
      </c>
      <c r="CL24" s="177">
        <f t="shared" ca="1" si="29"/>
        <v>0.7142857142857143</v>
      </c>
      <c r="CM24" s="209"/>
      <c r="CN24" s="179"/>
      <c r="CO24" s="180"/>
      <c r="CP24" s="181"/>
      <c r="CQ24" s="176">
        <f>DANE!BK24</f>
        <v>4</v>
      </c>
      <c r="CR24" s="188">
        <f t="shared" si="14"/>
        <v>29</v>
      </c>
      <c r="CS24" s="177">
        <f t="shared" ca="1" si="30"/>
        <v>3.1428571428571428</v>
      </c>
      <c r="CT24" s="209"/>
      <c r="CU24" s="179"/>
      <c r="CV24" s="180"/>
      <c r="CW24" s="218"/>
      <c r="CX24" s="176">
        <f>DANE!BO24</f>
        <v>1</v>
      </c>
      <c r="CY24" s="188">
        <f t="shared" si="15"/>
        <v>42</v>
      </c>
      <c r="CZ24" s="177">
        <f t="shared" ca="1" si="31"/>
        <v>4.1428571428571432</v>
      </c>
      <c r="DA24" s="209"/>
      <c r="DB24" s="179"/>
      <c r="DC24" s="180"/>
      <c r="DD24" s="181"/>
      <c r="DE24" s="176">
        <f>DANE!BS24</f>
        <v>11</v>
      </c>
      <c r="DF24" s="188">
        <f t="shared" si="16"/>
        <v>27</v>
      </c>
      <c r="DG24" s="177">
        <f t="shared" ca="1" si="32"/>
        <v>2.7142857142857144</v>
      </c>
      <c r="DH24" s="209"/>
      <c r="DI24" s="179"/>
      <c r="DJ24" s="177"/>
      <c r="DK24" s="221"/>
      <c r="DL24" s="83"/>
      <c r="DM24" s="89"/>
      <c r="DN24" s="89"/>
      <c r="DO24" s="89"/>
      <c r="DP24" s="89"/>
      <c r="DQ24" s="89"/>
      <c r="DR24" s="89"/>
      <c r="DS24" s="89"/>
      <c r="DT24" s="89"/>
      <c r="DU24" s="89"/>
      <c r="DV24" s="89"/>
      <c r="DW24" s="89"/>
      <c r="DX24" s="89"/>
      <c r="DY24" s="89"/>
      <c r="DZ24" s="89"/>
      <c r="EA24" s="89"/>
      <c r="EB24" s="89"/>
      <c r="EC24" s="89"/>
      <c r="ED24" s="89"/>
      <c r="EE24" s="89"/>
      <c r="EF24" s="89"/>
      <c r="EG24" s="89"/>
      <c r="EH24" s="89"/>
    </row>
    <row r="25" spans="1:138" x14ac:dyDescent="0.25">
      <c r="A25" s="32">
        <v>43915</v>
      </c>
      <c r="B25" s="33" t="str">
        <f t="shared" ca="1" si="0"/>
        <v/>
      </c>
      <c r="C25" s="51">
        <v>22</v>
      </c>
      <c r="D25" s="176">
        <f>DANE!K25</f>
        <v>16</v>
      </c>
      <c r="E25" s="188">
        <f t="shared" si="1"/>
        <v>150</v>
      </c>
      <c r="F25" s="178">
        <f t="shared" ca="1" si="17"/>
        <v>15.714285714285714</v>
      </c>
      <c r="G25" s="209">
        <f t="shared" si="38"/>
        <v>110.19825072886299</v>
      </c>
      <c r="H25" s="179">
        <f t="shared" ref="H25:H296" si="42">IF(ISBLANK(D25),"",(G25-G24)/G24)</f>
        <v>2.732457885661272E-3</v>
      </c>
      <c r="I25" s="213">
        <f t="shared" ref="I25:I296" si="43">IF(ISBLANK(D25),"",1+H25/$DQ$2)</f>
        <v>1.019127205199629</v>
      </c>
      <c r="J25" s="214">
        <f t="shared" ref="J25:J296" ca="1" si="44">IF(ISBLANK(D25),"",AVERAGE((OFFSET(I25,(-1)*($DU$2-1),0)):I25))</f>
        <v>1.019127205199629</v>
      </c>
      <c r="K25" s="176">
        <f>DANE!O25</f>
        <v>5</v>
      </c>
      <c r="L25" s="188">
        <f t="shared" si="2"/>
        <v>27</v>
      </c>
      <c r="M25" s="177">
        <f t="shared" ca="1" si="18"/>
        <v>2.7142857142857144</v>
      </c>
      <c r="N25" s="209"/>
      <c r="O25" s="179"/>
      <c r="P25" s="213"/>
      <c r="Q25" s="217"/>
      <c r="R25" s="176">
        <f>DANE!S25</f>
        <v>6</v>
      </c>
      <c r="S25" s="188">
        <f t="shared" si="3"/>
        <v>60</v>
      </c>
      <c r="T25" s="177">
        <f t="shared" ca="1" si="19"/>
        <v>5.4285714285714288</v>
      </c>
      <c r="U25" s="209"/>
      <c r="V25" s="179"/>
      <c r="W25" s="180"/>
      <c r="X25" s="181"/>
      <c r="Y25" s="176">
        <f>DANE!W25</f>
        <v>2</v>
      </c>
      <c r="Z25" s="188">
        <f t="shared" si="4"/>
        <v>23</v>
      </c>
      <c r="AA25" s="177">
        <f t="shared" ca="1" si="20"/>
        <v>2.8571428571428572</v>
      </c>
      <c r="AB25" s="209"/>
      <c r="AC25" s="179"/>
      <c r="AD25" s="180"/>
      <c r="AE25" s="218"/>
      <c r="AF25" s="176">
        <f>DANE!AA25</f>
        <v>15</v>
      </c>
      <c r="AG25" s="188">
        <f t="shared" si="5"/>
        <v>144</v>
      </c>
      <c r="AH25" s="177">
        <f t="shared" ca="1" si="21"/>
        <v>14.571428571428571</v>
      </c>
      <c r="AI25" s="219">
        <f t="shared" si="37"/>
        <v>92.667638483965035</v>
      </c>
      <c r="AJ25" s="220">
        <f t="shared" si="39"/>
        <v>2.2683397683397718E-2</v>
      </c>
      <c r="AK25" s="213">
        <f t="shared" si="40"/>
        <v>1.158783783783784</v>
      </c>
      <c r="AL25" s="214">
        <f t="shared" ca="1" si="41"/>
        <v>1.323068114488857</v>
      </c>
      <c r="AM25" s="176">
        <f>DANE!AE25</f>
        <v>7</v>
      </c>
      <c r="AN25" s="188">
        <f t="shared" si="6"/>
        <v>56</v>
      </c>
      <c r="AO25" s="177">
        <f t="shared" ca="1" si="22"/>
        <v>7.1428571428571432</v>
      </c>
      <c r="AP25" s="219"/>
      <c r="AQ25" s="220"/>
      <c r="AR25" s="213"/>
      <c r="AS25" s="217"/>
      <c r="AT25" s="176">
        <f>DANE!AI25</f>
        <v>39</v>
      </c>
      <c r="AU25" s="188">
        <f t="shared" si="7"/>
        <v>251</v>
      </c>
      <c r="AV25" s="177">
        <f t="shared" ca="1" si="23"/>
        <v>26.428571428571427</v>
      </c>
      <c r="AW25" s="211">
        <f t="shared" si="33"/>
        <v>158.76127293899654</v>
      </c>
      <c r="AX25" s="200">
        <f t="shared" si="34"/>
        <v>0.13626957822905617</v>
      </c>
      <c r="AY25" s="213">
        <f t="shared" si="35"/>
        <v>1.9538870476033932</v>
      </c>
      <c r="AZ25" s="214">
        <f t="shared" ca="1" si="36"/>
        <v>1.8303153959189753</v>
      </c>
      <c r="BA25" s="176">
        <f>DANE!AM25</f>
        <v>2</v>
      </c>
      <c r="BB25" s="188">
        <f t="shared" si="8"/>
        <v>23</v>
      </c>
      <c r="BC25" s="177">
        <f t="shared" ca="1" si="24"/>
        <v>2</v>
      </c>
      <c r="BD25" s="209"/>
      <c r="BE25" s="179"/>
      <c r="BF25" s="180"/>
      <c r="BG25" s="218"/>
      <c r="BH25" s="176">
        <f>DANE!AQ25</f>
        <v>6</v>
      </c>
      <c r="BI25" s="188">
        <f t="shared" si="9"/>
        <v>43</v>
      </c>
      <c r="BJ25" s="177">
        <f t="shared" ca="1" si="25"/>
        <v>4.1428571428571432</v>
      </c>
      <c r="BK25" s="209"/>
      <c r="BL25" s="179"/>
      <c r="BM25" s="180"/>
      <c r="BN25" s="181"/>
      <c r="BO25" s="176">
        <f>DANE!AU25</f>
        <v>3</v>
      </c>
      <c r="BP25" s="188">
        <f t="shared" si="10"/>
        <v>10</v>
      </c>
      <c r="BQ25" s="177">
        <f t="shared" ca="1" si="26"/>
        <v>1.2857142857142858</v>
      </c>
      <c r="BR25" s="209"/>
      <c r="BS25" s="179"/>
      <c r="BT25" s="180"/>
      <c r="BU25" s="218"/>
      <c r="BV25" s="176">
        <f>DANE!AY25</f>
        <v>0</v>
      </c>
      <c r="BW25" s="188">
        <f t="shared" si="11"/>
        <v>22</v>
      </c>
      <c r="BX25" s="177">
        <f t="shared" ca="1" si="27"/>
        <v>1.8571428571428572</v>
      </c>
      <c r="BY25" s="209"/>
      <c r="BZ25" s="179"/>
      <c r="CA25" s="180"/>
      <c r="CB25" s="181"/>
      <c r="CC25" s="176">
        <f>DANE!BC25</f>
        <v>20</v>
      </c>
      <c r="CD25" s="188">
        <f t="shared" si="12"/>
        <v>107</v>
      </c>
      <c r="CE25" s="177">
        <f t="shared" ca="1" si="28"/>
        <v>11</v>
      </c>
      <c r="CF25" s="210">
        <f>(1-$DQ$2)*CD24+CC25</f>
        <v>94.571428571428584</v>
      </c>
      <c r="CG25" s="179"/>
      <c r="CH25" s="180"/>
      <c r="CI25" s="218"/>
      <c r="CJ25" s="176">
        <f>DANE!BG25</f>
        <v>6</v>
      </c>
      <c r="CK25" s="188">
        <f t="shared" si="13"/>
        <v>14</v>
      </c>
      <c r="CL25" s="177">
        <f t="shared" ca="1" si="29"/>
        <v>1.4285714285714286</v>
      </c>
      <c r="CM25" s="209"/>
      <c r="CN25" s="179"/>
      <c r="CO25" s="180"/>
      <c r="CP25" s="181"/>
      <c r="CQ25" s="176">
        <f>DANE!BK25</f>
        <v>4</v>
      </c>
      <c r="CR25" s="188">
        <f t="shared" si="14"/>
        <v>33</v>
      </c>
      <c r="CS25" s="177">
        <f t="shared" ca="1" si="30"/>
        <v>3.1428571428571428</v>
      </c>
      <c r="CT25" s="209"/>
      <c r="CU25" s="179"/>
      <c r="CV25" s="180"/>
      <c r="CW25" s="218"/>
      <c r="CX25" s="176">
        <f>DANE!BO25</f>
        <v>15</v>
      </c>
      <c r="CY25" s="188">
        <f t="shared" si="15"/>
        <v>57</v>
      </c>
      <c r="CZ25" s="177">
        <f t="shared" ca="1" si="31"/>
        <v>6.2857142857142856</v>
      </c>
      <c r="DA25" s="209"/>
      <c r="DB25" s="179"/>
      <c r="DC25" s="180"/>
      <c r="DD25" s="181"/>
      <c r="DE25" s="176">
        <f>DANE!BS25</f>
        <v>4</v>
      </c>
      <c r="DF25" s="188">
        <f t="shared" si="16"/>
        <v>31</v>
      </c>
      <c r="DG25" s="177">
        <f t="shared" ca="1" si="32"/>
        <v>3.2857142857142856</v>
      </c>
      <c r="DH25" s="209"/>
      <c r="DI25" s="179"/>
      <c r="DJ25" s="177"/>
      <c r="DK25" s="221"/>
      <c r="DL25" s="83"/>
      <c r="DM25" s="89"/>
      <c r="DN25" s="89"/>
      <c r="DO25" s="89"/>
      <c r="DP25" s="89"/>
      <c r="DQ25" s="89"/>
      <c r="DR25" s="89"/>
      <c r="DS25" s="89"/>
      <c r="DT25" s="89"/>
      <c r="DU25" s="89"/>
      <c r="DV25" s="89"/>
      <c r="DW25" s="89"/>
      <c r="DX25" s="89"/>
      <c r="DY25" s="89"/>
      <c r="DZ25" s="89"/>
      <c r="EA25" s="89"/>
      <c r="EB25" s="89"/>
      <c r="EC25" s="89"/>
      <c r="ED25" s="89"/>
      <c r="EE25" s="89"/>
      <c r="EF25" s="89"/>
      <c r="EG25" s="89"/>
      <c r="EH25" s="89"/>
    </row>
    <row r="26" spans="1:138" x14ac:dyDescent="0.25">
      <c r="A26" s="32">
        <v>43916</v>
      </c>
      <c r="B26" s="33" t="str">
        <f t="shared" ca="1" si="0"/>
        <v/>
      </c>
      <c r="C26" s="51">
        <v>23</v>
      </c>
      <c r="D26" s="176">
        <f>DANE!K26</f>
        <v>15</v>
      </c>
      <c r="E26" s="188">
        <f t="shared" si="1"/>
        <v>165</v>
      </c>
      <c r="F26" s="178">
        <f t="shared" ca="1" si="17"/>
        <v>16</v>
      </c>
      <c r="G26" s="209">
        <f t="shared" si="38"/>
        <v>109.45564348188256</v>
      </c>
      <c r="H26" s="179">
        <f t="shared" si="42"/>
        <v>-6.7388297188815905E-3</v>
      </c>
      <c r="I26" s="213">
        <f t="shared" si="43"/>
        <v>0.95282819196782886</v>
      </c>
      <c r="J26" s="214">
        <f t="shared" ca="1" si="44"/>
        <v>0.98597769858372897</v>
      </c>
      <c r="K26" s="176">
        <f>DANE!O26</f>
        <v>4</v>
      </c>
      <c r="L26" s="188">
        <f t="shared" si="2"/>
        <v>31</v>
      </c>
      <c r="M26" s="177">
        <f t="shared" ca="1" si="18"/>
        <v>2.8571428571428572</v>
      </c>
      <c r="N26" s="209"/>
      <c r="O26" s="179"/>
      <c r="P26" s="213"/>
      <c r="Q26" s="217"/>
      <c r="R26" s="176">
        <f>DANE!S26</f>
        <v>14</v>
      </c>
      <c r="S26" s="188">
        <f t="shared" si="3"/>
        <v>74</v>
      </c>
      <c r="T26" s="177">
        <f t="shared" ca="1" si="19"/>
        <v>7</v>
      </c>
      <c r="U26" s="209"/>
      <c r="V26" s="179"/>
      <c r="W26" s="180"/>
      <c r="X26" s="181"/>
      <c r="Y26" s="176">
        <f>DANE!W26</f>
        <v>7</v>
      </c>
      <c r="Z26" s="188">
        <f t="shared" si="4"/>
        <v>30</v>
      </c>
      <c r="AA26" s="177">
        <f t="shared" ca="1" si="20"/>
        <v>3</v>
      </c>
      <c r="AB26" s="209"/>
      <c r="AC26" s="179"/>
      <c r="AD26" s="180"/>
      <c r="AE26" s="218"/>
      <c r="AF26" s="176">
        <f>DANE!AA26</f>
        <v>14</v>
      </c>
      <c r="AG26" s="188">
        <f t="shared" si="5"/>
        <v>158</v>
      </c>
      <c r="AH26" s="177">
        <f t="shared" ca="1" si="21"/>
        <v>15.714285714285714</v>
      </c>
      <c r="AI26" s="219">
        <f t="shared" si="37"/>
        <v>93.429404414827175</v>
      </c>
      <c r="AJ26" s="220">
        <f t="shared" si="39"/>
        <v>8.2204094474032999E-3</v>
      </c>
      <c r="AK26" s="213">
        <f t="shared" si="40"/>
        <v>1.0575428661318231</v>
      </c>
      <c r="AL26" s="214">
        <f t="shared" ca="1" si="41"/>
        <v>1.2345596983698457</v>
      </c>
      <c r="AM26" s="176">
        <f>DANE!AE26</f>
        <v>13</v>
      </c>
      <c r="AN26" s="188">
        <f t="shared" si="6"/>
        <v>69</v>
      </c>
      <c r="AO26" s="177">
        <f t="shared" ca="1" si="22"/>
        <v>8.8571428571428577</v>
      </c>
      <c r="AP26" s="219"/>
      <c r="AQ26" s="220"/>
      <c r="AR26" s="213"/>
      <c r="AS26" s="217"/>
      <c r="AT26" s="176">
        <f>DANE!AI26</f>
        <v>40</v>
      </c>
      <c r="AU26" s="188">
        <f t="shared" si="7"/>
        <v>291</v>
      </c>
      <c r="AV26" s="177">
        <f t="shared" ca="1" si="23"/>
        <v>29.857142857142858</v>
      </c>
      <c r="AW26" s="211">
        <f t="shared" si="33"/>
        <v>176.08109109056846</v>
      </c>
      <c r="AX26" s="200">
        <f t="shared" si="34"/>
        <v>0.10909346990576853</v>
      </c>
      <c r="AY26" s="213">
        <f t="shared" si="35"/>
        <v>1.7636542893403797</v>
      </c>
      <c r="AZ26" s="214">
        <f t="shared" ca="1" si="36"/>
        <v>1.8169831746032561</v>
      </c>
      <c r="BA26" s="176">
        <f>DANE!AM26</f>
        <v>3</v>
      </c>
      <c r="BB26" s="188">
        <f t="shared" si="8"/>
        <v>26</v>
      </c>
      <c r="BC26" s="177">
        <f t="shared" ca="1" si="24"/>
        <v>2.2857142857142856</v>
      </c>
      <c r="BD26" s="209"/>
      <c r="BE26" s="179"/>
      <c r="BF26" s="180"/>
      <c r="BG26" s="218"/>
      <c r="BH26" s="176">
        <f>DANE!AQ26</f>
        <v>10</v>
      </c>
      <c r="BI26" s="188">
        <f t="shared" si="9"/>
        <v>53</v>
      </c>
      <c r="BJ26" s="177">
        <f t="shared" ca="1" si="25"/>
        <v>5.1428571428571432</v>
      </c>
      <c r="BK26" s="209"/>
      <c r="BL26" s="179"/>
      <c r="BM26" s="180"/>
      <c r="BN26" s="181"/>
      <c r="BO26" s="176">
        <f>DANE!AU26</f>
        <v>3</v>
      </c>
      <c r="BP26" s="188">
        <f t="shared" si="10"/>
        <v>13</v>
      </c>
      <c r="BQ26" s="177">
        <f t="shared" ca="1" si="26"/>
        <v>1.7142857142857142</v>
      </c>
      <c r="BR26" s="209"/>
      <c r="BS26" s="179"/>
      <c r="BT26" s="180"/>
      <c r="BU26" s="218"/>
      <c r="BV26" s="176">
        <f>DANE!AY26</f>
        <v>6</v>
      </c>
      <c r="BW26" s="188">
        <f t="shared" si="11"/>
        <v>28</v>
      </c>
      <c r="BX26" s="177">
        <f t="shared" ca="1" si="27"/>
        <v>2.7142857142857144</v>
      </c>
      <c r="BY26" s="209"/>
      <c r="BZ26" s="179"/>
      <c r="CA26" s="180"/>
      <c r="CB26" s="181"/>
      <c r="CC26" s="176">
        <f>DANE!BC26</f>
        <v>20</v>
      </c>
      <c r="CD26" s="188">
        <f t="shared" si="12"/>
        <v>127</v>
      </c>
      <c r="CE26" s="177">
        <f t="shared" ca="1" si="28"/>
        <v>12.142857142857142</v>
      </c>
      <c r="CF26" s="209">
        <f t="shared" ref="CF26:CF296" si="45">IF(ISBLANK(CC26),"",(1-$DQ$2)*CF25+CC26)</f>
        <v>101.06122448979593</v>
      </c>
      <c r="CG26" s="179"/>
      <c r="CH26" s="213"/>
      <c r="CI26" s="217"/>
      <c r="CJ26" s="176">
        <f>DANE!BG26</f>
        <v>1</v>
      </c>
      <c r="CK26" s="188">
        <f t="shared" si="13"/>
        <v>15</v>
      </c>
      <c r="CL26" s="177">
        <f t="shared" ca="1" si="29"/>
        <v>1.4285714285714286</v>
      </c>
      <c r="CM26" s="209"/>
      <c r="CN26" s="179"/>
      <c r="CO26" s="180"/>
      <c r="CP26" s="181"/>
      <c r="CQ26" s="176">
        <f>DANE!BK26</f>
        <v>6</v>
      </c>
      <c r="CR26" s="188">
        <f t="shared" si="14"/>
        <v>39</v>
      </c>
      <c r="CS26" s="177">
        <f t="shared" ca="1" si="30"/>
        <v>3.8571428571428572</v>
      </c>
      <c r="CT26" s="209"/>
      <c r="CU26" s="179"/>
      <c r="CV26" s="180"/>
      <c r="CW26" s="218"/>
      <c r="CX26" s="176">
        <f>DANE!BO26</f>
        <v>12</v>
      </c>
      <c r="CY26" s="188">
        <f t="shared" si="15"/>
        <v>69</v>
      </c>
      <c r="CZ26" s="177">
        <f t="shared" ca="1" si="31"/>
        <v>7.7142857142857144</v>
      </c>
      <c r="DA26" s="209"/>
      <c r="DB26" s="179"/>
      <c r="DC26" s="180"/>
      <c r="DD26" s="181"/>
      <c r="DE26" s="176">
        <f>DANE!BS26</f>
        <v>2</v>
      </c>
      <c r="DF26" s="188">
        <f t="shared" si="16"/>
        <v>33</v>
      </c>
      <c r="DG26" s="177">
        <f t="shared" ca="1" si="32"/>
        <v>3.4285714285714284</v>
      </c>
      <c r="DH26" s="209"/>
      <c r="DI26" s="179"/>
      <c r="DJ26" s="177"/>
      <c r="DK26" s="221"/>
      <c r="DL26" s="83"/>
      <c r="DM26" s="89"/>
      <c r="DN26" s="89"/>
      <c r="DO26" s="89"/>
      <c r="DP26" s="89"/>
      <c r="DQ26" s="89"/>
      <c r="DR26" s="89"/>
      <c r="DS26" s="89"/>
      <c r="DT26" s="89"/>
      <c r="DU26" s="89"/>
      <c r="DV26" s="89"/>
      <c r="DW26" s="89"/>
      <c r="DX26" s="89"/>
      <c r="DY26" s="89"/>
      <c r="DZ26" s="89"/>
      <c r="EA26" s="89"/>
      <c r="EB26" s="89"/>
      <c r="EC26" s="89"/>
      <c r="ED26" s="89"/>
      <c r="EE26" s="89"/>
      <c r="EF26" s="89"/>
      <c r="EG26" s="89"/>
      <c r="EH26" s="89"/>
    </row>
    <row r="27" spans="1:138" x14ac:dyDescent="0.25">
      <c r="A27" s="32">
        <v>43917</v>
      </c>
      <c r="B27" s="33" t="str">
        <f t="shared" ca="1" si="0"/>
        <v/>
      </c>
      <c r="C27" s="51">
        <v>24</v>
      </c>
      <c r="D27" s="176">
        <f>DANE!K27</f>
        <v>28</v>
      </c>
      <c r="E27" s="188">
        <f t="shared" si="1"/>
        <v>193</v>
      </c>
      <c r="F27" s="178">
        <f t="shared" ca="1" si="17"/>
        <v>19.285714285714285</v>
      </c>
      <c r="G27" s="209">
        <f t="shared" si="38"/>
        <v>121.81912298447077</v>
      </c>
      <c r="H27" s="179">
        <f t="shared" si="42"/>
        <v>0.1129542443796847</v>
      </c>
      <c r="I27" s="213">
        <f t="shared" si="43"/>
        <v>1.790679710657793</v>
      </c>
      <c r="J27" s="214">
        <f t="shared" ca="1" si="44"/>
        <v>1.254211702608417</v>
      </c>
      <c r="K27" s="176">
        <f>DANE!O27</f>
        <v>2</v>
      </c>
      <c r="L27" s="188">
        <f t="shared" si="2"/>
        <v>33</v>
      </c>
      <c r="M27" s="177">
        <f t="shared" ca="1" si="18"/>
        <v>2.7142857142857144</v>
      </c>
      <c r="N27" s="209"/>
      <c r="O27" s="179"/>
      <c r="P27" s="213"/>
      <c r="Q27" s="217"/>
      <c r="R27" s="176">
        <f>DANE!S27</f>
        <v>4</v>
      </c>
      <c r="S27" s="188">
        <f t="shared" si="3"/>
        <v>78</v>
      </c>
      <c r="T27" s="177">
        <f t="shared" ca="1" si="19"/>
        <v>7.1428571428571432</v>
      </c>
      <c r="U27" s="209"/>
      <c r="V27" s="179"/>
      <c r="W27" s="180"/>
      <c r="X27" s="181"/>
      <c r="Y27" s="176">
        <f>DANE!W27</f>
        <v>1</v>
      </c>
      <c r="Z27" s="188">
        <f t="shared" si="4"/>
        <v>31</v>
      </c>
      <c r="AA27" s="177">
        <f t="shared" ca="1" si="20"/>
        <v>3.1428571428571428</v>
      </c>
      <c r="AB27" s="209"/>
      <c r="AC27" s="179"/>
      <c r="AD27" s="180"/>
      <c r="AE27" s="218"/>
      <c r="AF27" s="176">
        <f>DANE!AA27</f>
        <v>10</v>
      </c>
      <c r="AG27" s="188">
        <f t="shared" si="5"/>
        <v>168</v>
      </c>
      <c r="AH27" s="177">
        <f t="shared" ca="1" si="21"/>
        <v>15.857142857142858</v>
      </c>
      <c r="AI27" s="219">
        <f t="shared" si="37"/>
        <v>90.082346641280438</v>
      </c>
      <c r="AJ27" s="220">
        <f t="shared" si="39"/>
        <v>-3.5824457990610521E-2</v>
      </c>
      <c r="AK27" s="213">
        <f t="shared" si="40"/>
        <v>0.74922879406572629</v>
      </c>
      <c r="AL27" s="214">
        <f t="shared" ca="1" si="41"/>
        <v>1.113226972293816</v>
      </c>
      <c r="AM27" s="176">
        <f>DANE!AE27</f>
        <v>24</v>
      </c>
      <c r="AN27" s="188">
        <f t="shared" si="6"/>
        <v>93</v>
      </c>
      <c r="AO27" s="177">
        <f t="shared" ca="1" si="22"/>
        <v>11.285714285714286</v>
      </c>
      <c r="AP27" s="219"/>
      <c r="AQ27" s="220"/>
      <c r="AR27" s="213"/>
      <c r="AS27" s="217"/>
      <c r="AT27" s="176">
        <f>DANE!AI27</f>
        <v>27</v>
      </c>
      <c r="AU27" s="188">
        <f t="shared" si="7"/>
        <v>318</v>
      </c>
      <c r="AV27" s="177">
        <f t="shared" ca="1" si="23"/>
        <v>30.142857142857142</v>
      </c>
      <c r="AW27" s="211">
        <f t="shared" si="33"/>
        <v>177.92664950620156</v>
      </c>
      <c r="AX27" s="200">
        <f t="shared" si="34"/>
        <v>1.0481298157584779E-2</v>
      </c>
      <c r="AY27" s="213">
        <f t="shared" si="35"/>
        <v>1.0733690871030934</v>
      </c>
      <c r="AZ27" s="214">
        <f t="shared" ca="1" si="36"/>
        <v>1.6930474933532291</v>
      </c>
      <c r="BA27" s="176">
        <f>DANE!AM27</f>
        <v>2</v>
      </c>
      <c r="BB27" s="188">
        <f t="shared" si="8"/>
        <v>28</v>
      </c>
      <c r="BC27" s="177">
        <f t="shared" ca="1" si="24"/>
        <v>2.5714285714285716</v>
      </c>
      <c r="BD27" s="209"/>
      <c r="BE27" s="179"/>
      <c r="BF27" s="180"/>
      <c r="BG27" s="218"/>
      <c r="BH27" s="176">
        <f>DANE!AQ27</f>
        <v>8</v>
      </c>
      <c r="BI27" s="188">
        <f t="shared" si="9"/>
        <v>61</v>
      </c>
      <c r="BJ27" s="177">
        <f t="shared" ca="1" si="25"/>
        <v>6</v>
      </c>
      <c r="BK27" s="209"/>
      <c r="BL27" s="179"/>
      <c r="BM27" s="180"/>
      <c r="BN27" s="181"/>
      <c r="BO27" s="176">
        <f>DANE!AU27</f>
        <v>4</v>
      </c>
      <c r="BP27" s="188">
        <f t="shared" si="10"/>
        <v>17</v>
      </c>
      <c r="BQ27" s="177">
        <f t="shared" ca="1" si="26"/>
        <v>2</v>
      </c>
      <c r="BR27" s="209"/>
      <c r="BS27" s="179"/>
      <c r="BT27" s="180"/>
      <c r="BU27" s="218"/>
      <c r="BV27" s="176">
        <f>DANE!AY27</f>
        <v>4</v>
      </c>
      <c r="BW27" s="188">
        <f t="shared" si="11"/>
        <v>32</v>
      </c>
      <c r="BX27" s="177">
        <f t="shared" ca="1" si="27"/>
        <v>3.1428571428571428</v>
      </c>
      <c r="BY27" s="209"/>
      <c r="BZ27" s="179"/>
      <c r="CA27" s="180"/>
      <c r="CB27" s="181"/>
      <c r="CC27" s="176">
        <f>DANE!BC27</f>
        <v>14</v>
      </c>
      <c r="CD27" s="188">
        <f t="shared" si="12"/>
        <v>141</v>
      </c>
      <c r="CE27" s="177">
        <f t="shared" ca="1" si="28"/>
        <v>13.571428571428571</v>
      </c>
      <c r="CF27" s="209">
        <f t="shared" si="45"/>
        <v>100.62390670553938</v>
      </c>
      <c r="CG27" s="179">
        <f t="shared" ref="CG27:CG296" si="46">IF(ISBLANK(CC27),"",(CF27-CF26)/CF26)</f>
        <v>-4.3272559427647277E-3</v>
      </c>
      <c r="CH27" s="213">
        <f t="shared" ref="CH27:CH296" si="47">IF(ISBLANK(CC27),"",1+CG27/$DQ$2)</f>
        <v>0.96970920840064689</v>
      </c>
      <c r="CI27" s="217">
        <f t="shared" ref="CI27:CI296" ca="1" si="48">IF(ISBLANK(CC27),"",AVERAGE((OFFSET(CH27,(-1)*($DU$2-1),0)):CH27))</f>
        <v>0.96970920840064689</v>
      </c>
      <c r="CJ27" s="176">
        <f>DANE!BG27</f>
        <v>7</v>
      </c>
      <c r="CK27" s="188">
        <f t="shared" si="13"/>
        <v>22</v>
      </c>
      <c r="CL27" s="177">
        <f t="shared" ca="1" si="29"/>
        <v>2.2857142857142856</v>
      </c>
      <c r="CM27" s="209"/>
      <c r="CN27" s="179"/>
      <c r="CO27" s="180"/>
      <c r="CP27" s="181"/>
      <c r="CQ27" s="176">
        <f>DANE!BK27</f>
        <v>5</v>
      </c>
      <c r="CR27" s="188">
        <f t="shared" si="14"/>
        <v>44</v>
      </c>
      <c r="CS27" s="177">
        <f t="shared" ca="1" si="30"/>
        <v>3.8571428571428572</v>
      </c>
      <c r="CT27" s="209"/>
      <c r="CU27" s="179"/>
      <c r="CV27" s="180"/>
      <c r="CW27" s="218"/>
      <c r="CX27" s="176">
        <f>DANE!BO27</f>
        <v>21</v>
      </c>
      <c r="CY27" s="188">
        <f t="shared" si="15"/>
        <v>90</v>
      </c>
      <c r="CZ27" s="177">
        <f t="shared" ca="1" si="31"/>
        <v>10.285714285714286</v>
      </c>
      <c r="DA27" s="209"/>
      <c r="DB27" s="179"/>
      <c r="DC27" s="180"/>
      <c r="DD27" s="181"/>
      <c r="DE27" s="176">
        <f>DANE!BS27</f>
        <v>7</v>
      </c>
      <c r="DF27" s="188">
        <f t="shared" si="16"/>
        <v>40</v>
      </c>
      <c r="DG27" s="177">
        <f t="shared" ca="1" si="32"/>
        <v>4.4285714285714288</v>
      </c>
      <c r="DH27" s="209"/>
      <c r="DI27" s="179"/>
      <c r="DJ27" s="177"/>
      <c r="DK27" s="221"/>
      <c r="DL27" s="83"/>
      <c r="DM27" s="89"/>
      <c r="DN27" s="89"/>
      <c r="DO27" s="89"/>
      <c r="DP27" s="89"/>
      <c r="DQ27" s="89"/>
      <c r="DR27" s="89"/>
      <c r="DS27" s="89"/>
      <c r="DT27" s="89"/>
      <c r="DU27" s="89"/>
      <c r="DV27" s="89"/>
      <c r="DW27" s="89"/>
      <c r="DX27" s="89"/>
      <c r="DY27" s="89"/>
      <c r="DZ27" s="89"/>
      <c r="EA27" s="89"/>
      <c r="EB27" s="89"/>
      <c r="EC27" s="89"/>
      <c r="ED27" s="89"/>
      <c r="EE27" s="89"/>
      <c r="EF27" s="89"/>
      <c r="EG27" s="89"/>
      <c r="EH27" s="89"/>
    </row>
    <row r="28" spans="1:138" x14ac:dyDescent="0.25">
      <c r="A28" s="61">
        <v>43918</v>
      </c>
      <c r="B28" s="62" t="str">
        <f t="shared" ca="1" si="0"/>
        <v/>
      </c>
      <c r="C28" s="12">
        <v>25</v>
      </c>
      <c r="D28" s="176">
        <f>DANE!K28</f>
        <v>21</v>
      </c>
      <c r="E28" s="198">
        <f t="shared" si="1"/>
        <v>214</v>
      </c>
      <c r="F28" s="178">
        <f t="shared" ca="1" si="17"/>
        <v>21.142857142857142</v>
      </c>
      <c r="G28" s="211">
        <f t="shared" si="38"/>
        <v>125.41639112954638</v>
      </c>
      <c r="H28" s="200">
        <f t="shared" si="42"/>
        <v>2.9529584985882627E-2</v>
      </c>
      <c r="I28" s="213">
        <f t="shared" si="43"/>
        <v>1.2067070949011784</v>
      </c>
      <c r="J28" s="214">
        <f t="shared" ca="1" si="44"/>
        <v>1.2423355506816074</v>
      </c>
      <c r="K28" s="176">
        <f>DANE!O28</f>
        <v>4</v>
      </c>
      <c r="L28" s="198">
        <f t="shared" si="2"/>
        <v>37</v>
      </c>
      <c r="M28" s="177">
        <f t="shared" ca="1" si="18"/>
        <v>2.7142857142857144</v>
      </c>
      <c r="N28" s="211"/>
      <c r="O28" s="200"/>
      <c r="P28" s="213"/>
      <c r="Q28" s="217"/>
      <c r="R28" s="176">
        <f>DANE!S28</f>
        <v>9</v>
      </c>
      <c r="S28" s="198">
        <f t="shared" si="3"/>
        <v>87</v>
      </c>
      <c r="T28" s="177">
        <f t="shared" ca="1" si="19"/>
        <v>8</v>
      </c>
      <c r="U28" s="211"/>
      <c r="V28" s="200"/>
      <c r="W28" s="201"/>
      <c r="X28" s="202"/>
      <c r="Y28" s="176">
        <f>DANE!W28</f>
        <v>2</v>
      </c>
      <c r="Z28" s="198">
        <f t="shared" si="4"/>
        <v>33</v>
      </c>
      <c r="AA28" s="177">
        <f t="shared" ca="1" si="20"/>
        <v>3.4285714285714284</v>
      </c>
      <c r="AB28" s="211"/>
      <c r="AC28" s="200"/>
      <c r="AD28" s="201"/>
      <c r="AE28" s="212"/>
      <c r="AF28" s="176">
        <f>DANE!AA28</f>
        <v>14</v>
      </c>
      <c r="AG28" s="198">
        <f t="shared" si="5"/>
        <v>182</v>
      </c>
      <c r="AH28" s="177">
        <f t="shared" ca="1" si="21"/>
        <v>13</v>
      </c>
      <c r="AI28" s="222">
        <f t="shared" si="37"/>
        <v>91.213439978240388</v>
      </c>
      <c r="AJ28" s="223">
        <f t="shared" si="39"/>
        <v>1.255621527560899E-2</v>
      </c>
      <c r="AK28" s="213">
        <f t="shared" si="40"/>
        <v>1.087893506929263</v>
      </c>
      <c r="AL28" s="214">
        <f t="shared" ca="1" si="41"/>
        <v>1.1081602792209053</v>
      </c>
      <c r="AM28" s="176">
        <f>DANE!AE28</f>
        <v>19</v>
      </c>
      <c r="AN28" s="198">
        <f t="shared" si="6"/>
        <v>112</v>
      </c>
      <c r="AO28" s="177">
        <f t="shared" ca="1" si="22"/>
        <v>13.714285714285714</v>
      </c>
      <c r="AP28" s="224">
        <f>(1-$DQ$2)*AN27+AM28</f>
        <v>98.714285714285722</v>
      </c>
      <c r="AQ28" s="223"/>
      <c r="AR28" s="213"/>
      <c r="AS28" s="217"/>
      <c r="AT28" s="176">
        <f>DANE!AI28</f>
        <v>103</v>
      </c>
      <c r="AU28" s="198">
        <f t="shared" si="7"/>
        <v>421</v>
      </c>
      <c r="AV28" s="177">
        <f t="shared" ca="1" si="23"/>
        <v>42</v>
      </c>
      <c r="AW28" s="211">
        <f t="shared" si="33"/>
        <v>255.50855671960136</v>
      </c>
      <c r="AX28" s="200">
        <f t="shared" si="34"/>
        <v>0.4360330924496823</v>
      </c>
      <c r="AY28" s="213">
        <f t="shared" si="35"/>
        <v>4.0522316471477762</v>
      </c>
      <c r="AZ28" s="214">
        <f t="shared" ca="1" si="36"/>
        <v>2.0300738010381645</v>
      </c>
      <c r="BA28" s="176">
        <f>DANE!AM28</f>
        <v>3</v>
      </c>
      <c r="BB28" s="198">
        <f t="shared" si="8"/>
        <v>31</v>
      </c>
      <c r="BC28" s="177">
        <f t="shared" ca="1" si="24"/>
        <v>3</v>
      </c>
      <c r="BD28" s="211"/>
      <c r="BE28" s="200"/>
      <c r="BF28" s="201"/>
      <c r="BG28" s="212"/>
      <c r="BH28" s="176">
        <f>DANE!AQ28</f>
        <v>10</v>
      </c>
      <c r="BI28" s="198">
        <f t="shared" si="9"/>
        <v>71</v>
      </c>
      <c r="BJ28" s="177">
        <f t="shared" ca="1" si="25"/>
        <v>6.5714285714285712</v>
      </c>
      <c r="BK28" s="211"/>
      <c r="BL28" s="200"/>
      <c r="BM28" s="201"/>
      <c r="BN28" s="202"/>
      <c r="BO28" s="176">
        <f>DANE!AU28</f>
        <v>9</v>
      </c>
      <c r="BP28" s="198">
        <f t="shared" si="10"/>
        <v>26</v>
      </c>
      <c r="BQ28" s="177">
        <f t="shared" ca="1" si="26"/>
        <v>3</v>
      </c>
      <c r="BR28" s="211"/>
      <c r="BS28" s="200"/>
      <c r="BT28" s="201"/>
      <c r="BU28" s="212"/>
      <c r="BV28" s="176">
        <f>DANE!AY28</f>
        <v>4</v>
      </c>
      <c r="BW28" s="198">
        <f t="shared" si="11"/>
        <v>36</v>
      </c>
      <c r="BX28" s="177">
        <f t="shared" ca="1" si="27"/>
        <v>3.1428571428571428</v>
      </c>
      <c r="BY28" s="211"/>
      <c r="BZ28" s="200"/>
      <c r="CA28" s="201"/>
      <c r="CB28" s="202"/>
      <c r="CC28" s="176">
        <f>DANE!BC28</f>
        <v>24</v>
      </c>
      <c r="CD28" s="198">
        <f t="shared" si="12"/>
        <v>165</v>
      </c>
      <c r="CE28" s="177">
        <f t="shared" ca="1" si="28"/>
        <v>15.571428571428571</v>
      </c>
      <c r="CF28" s="209">
        <f t="shared" si="45"/>
        <v>110.24906289046234</v>
      </c>
      <c r="CG28" s="179">
        <f t="shared" si="46"/>
        <v>9.5654765354017887E-2</v>
      </c>
      <c r="CH28" s="213">
        <f t="shared" si="47"/>
        <v>1.6695833574781251</v>
      </c>
      <c r="CI28" s="217">
        <f t="shared" ca="1" si="48"/>
        <v>1.319646282939386</v>
      </c>
      <c r="CJ28" s="176">
        <f>DANE!BG28</f>
        <v>5</v>
      </c>
      <c r="CK28" s="198">
        <f t="shared" si="13"/>
        <v>27</v>
      </c>
      <c r="CL28" s="177">
        <f t="shared" ca="1" si="29"/>
        <v>2.8571428571428572</v>
      </c>
      <c r="CM28" s="211"/>
      <c r="CN28" s="200"/>
      <c r="CO28" s="201"/>
      <c r="CP28" s="202"/>
      <c r="CQ28" s="176">
        <f>DANE!BK28</f>
        <v>2</v>
      </c>
      <c r="CR28" s="198">
        <f t="shared" si="14"/>
        <v>46</v>
      </c>
      <c r="CS28" s="177">
        <f t="shared" ca="1" si="30"/>
        <v>3.7142857142857144</v>
      </c>
      <c r="CT28" s="211"/>
      <c r="CU28" s="200"/>
      <c r="CV28" s="201"/>
      <c r="CW28" s="212"/>
      <c r="CX28" s="176">
        <f>DANE!BO28</f>
        <v>9</v>
      </c>
      <c r="CY28" s="198">
        <f t="shared" si="15"/>
        <v>99</v>
      </c>
      <c r="CZ28" s="177">
        <f t="shared" ca="1" si="31"/>
        <v>9.7142857142857135</v>
      </c>
      <c r="DA28" s="211"/>
      <c r="DB28" s="200"/>
      <c r="DC28" s="201"/>
      <c r="DD28" s="202"/>
      <c r="DE28" s="176">
        <f>DANE!BS28</f>
        <v>11</v>
      </c>
      <c r="DF28" s="198">
        <f t="shared" si="16"/>
        <v>51</v>
      </c>
      <c r="DG28" s="177">
        <f t="shared" ca="1" si="32"/>
        <v>5.8571428571428568</v>
      </c>
      <c r="DH28" s="211"/>
      <c r="DI28" s="200"/>
      <c r="DJ28" s="215"/>
      <c r="DK28" s="216"/>
      <c r="DL28" s="87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88"/>
      <c r="ED28" s="88"/>
      <c r="EE28" s="88"/>
      <c r="EF28" s="88"/>
      <c r="EG28" s="88"/>
      <c r="EH28" s="88"/>
    </row>
    <row r="29" spans="1:138" x14ac:dyDescent="0.25">
      <c r="A29" s="61">
        <v>43919</v>
      </c>
      <c r="B29" s="62" t="str">
        <f t="shared" ca="1" si="0"/>
        <v/>
      </c>
      <c r="C29" s="12">
        <v>26</v>
      </c>
      <c r="D29" s="176">
        <f>DANE!K29</f>
        <v>20</v>
      </c>
      <c r="E29" s="198">
        <f t="shared" si="1"/>
        <v>234</v>
      </c>
      <c r="F29" s="178">
        <f t="shared" ca="1" si="17"/>
        <v>22.142857142857142</v>
      </c>
      <c r="G29" s="211">
        <f t="shared" si="38"/>
        <v>127.49976382532547</v>
      </c>
      <c r="H29" s="200">
        <f t="shared" si="42"/>
        <v>1.6611646029800933E-2</v>
      </c>
      <c r="I29" s="213">
        <f t="shared" si="43"/>
        <v>1.1162815222086064</v>
      </c>
      <c r="J29" s="214">
        <f t="shared" ca="1" si="44"/>
        <v>1.2171247449870073</v>
      </c>
      <c r="K29" s="176">
        <f>DANE!O29</f>
        <v>10</v>
      </c>
      <c r="L29" s="198">
        <f t="shared" si="2"/>
        <v>47</v>
      </c>
      <c r="M29" s="177">
        <f t="shared" ca="1" si="18"/>
        <v>4.1428571428571432</v>
      </c>
      <c r="N29" s="211"/>
      <c r="O29" s="200"/>
      <c r="P29" s="213"/>
      <c r="Q29" s="217"/>
      <c r="R29" s="176">
        <f>DANE!S29</f>
        <v>18</v>
      </c>
      <c r="S29" s="198">
        <f t="shared" si="3"/>
        <v>105</v>
      </c>
      <c r="T29" s="177">
        <f t="shared" ca="1" si="19"/>
        <v>9.4285714285714288</v>
      </c>
      <c r="U29" s="224">
        <f>(1-$DQ$2)*S28+R29</f>
        <v>92.571428571428584</v>
      </c>
      <c r="V29" s="200"/>
      <c r="W29" s="201"/>
      <c r="X29" s="202"/>
      <c r="Y29" s="176">
        <f>DANE!W29</f>
        <v>0</v>
      </c>
      <c r="Z29" s="198">
        <f t="shared" si="4"/>
        <v>33</v>
      </c>
      <c r="AA29" s="177">
        <f t="shared" ca="1" si="20"/>
        <v>3.1428571428571428</v>
      </c>
      <c r="AB29" s="211"/>
      <c r="AC29" s="200"/>
      <c r="AD29" s="201"/>
      <c r="AE29" s="212"/>
      <c r="AF29" s="176">
        <f>DANE!AA29</f>
        <v>8</v>
      </c>
      <c r="AG29" s="198">
        <f t="shared" si="5"/>
        <v>190</v>
      </c>
      <c r="AH29" s="177">
        <f t="shared" ca="1" si="21"/>
        <v>12</v>
      </c>
      <c r="AI29" s="222">
        <f t="shared" si="37"/>
        <v>86.182948552777475</v>
      </c>
      <c r="AJ29" s="223">
        <f t="shared" si="39"/>
        <v>-5.5150769740325241E-2</v>
      </c>
      <c r="AK29" s="213">
        <f t="shared" si="40"/>
        <v>0.61394461181772331</v>
      </c>
      <c r="AL29" s="214">
        <f t="shared" ca="1" si="41"/>
        <v>1.025791001320375</v>
      </c>
      <c r="AM29" s="176">
        <f>DANE!AE29</f>
        <v>38</v>
      </c>
      <c r="AN29" s="198">
        <f t="shared" si="6"/>
        <v>150</v>
      </c>
      <c r="AO29" s="177">
        <f t="shared" ca="1" si="22"/>
        <v>18</v>
      </c>
      <c r="AP29" s="222">
        <f t="shared" ref="AP29:AP296" si="49">IF(ISBLANK(AM29),"",(1-$DQ$2)*AP28+AM29)</f>
        <v>122.6122448979592</v>
      </c>
      <c r="AQ29" s="223"/>
      <c r="AR29" s="213"/>
      <c r="AS29" s="217"/>
      <c r="AT29" s="176">
        <f>DANE!AI29</f>
        <v>40</v>
      </c>
      <c r="AU29" s="198">
        <f t="shared" si="7"/>
        <v>461</v>
      </c>
      <c r="AV29" s="177">
        <f t="shared" ca="1" si="23"/>
        <v>44.857142857142854</v>
      </c>
      <c r="AW29" s="211">
        <f t="shared" si="33"/>
        <v>259.00733433108689</v>
      </c>
      <c r="AX29" s="200">
        <f t="shared" si="34"/>
        <v>1.3693387244659455E-2</v>
      </c>
      <c r="AY29" s="213">
        <f t="shared" si="35"/>
        <v>1.0958537107126163</v>
      </c>
      <c r="AZ29" s="214">
        <f t="shared" ca="1" si="36"/>
        <v>1.9899161818023514</v>
      </c>
      <c r="BA29" s="176">
        <f>DANE!AM29</f>
        <v>12</v>
      </c>
      <c r="BB29" s="198">
        <f t="shared" si="8"/>
        <v>43</v>
      </c>
      <c r="BC29" s="177">
        <f t="shared" ca="1" si="24"/>
        <v>4.1428571428571432</v>
      </c>
      <c r="BD29" s="211"/>
      <c r="BE29" s="200"/>
      <c r="BF29" s="201"/>
      <c r="BG29" s="212"/>
      <c r="BH29" s="176">
        <f>DANE!AQ29</f>
        <v>5</v>
      </c>
      <c r="BI29" s="198">
        <f t="shared" si="9"/>
        <v>76</v>
      </c>
      <c r="BJ29" s="177">
        <f t="shared" ca="1" si="25"/>
        <v>6.7142857142857144</v>
      </c>
      <c r="BK29" s="211"/>
      <c r="BL29" s="200"/>
      <c r="BM29" s="201"/>
      <c r="BN29" s="202"/>
      <c r="BO29" s="176">
        <f>DANE!AU29</f>
        <v>2</v>
      </c>
      <c r="BP29" s="198">
        <f t="shared" si="10"/>
        <v>28</v>
      </c>
      <c r="BQ29" s="177">
        <f t="shared" ca="1" si="26"/>
        <v>3.1428571428571428</v>
      </c>
      <c r="BR29" s="211"/>
      <c r="BS29" s="200"/>
      <c r="BT29" s="201"/>
      <c r="BU29" s="212"/>
      <c r="BV29" s="176">
        <f>DANE!AY29</f>
        <v>9</v>
      </c>
      <c r="BW29" s="198">
        <f t="shared" si="11"/>
        <v>45</v>
      </c>
      <c r="BX29" s="177">
        <f t="shared" ca="1" si="27"/>
        <v>4</v>
      </c>
      <c r="BY29" s="211"/>
      <c r="BZ29" s="200"/>
      <c r="CA29" s="201"/>
      <c r="CB29" s="202"/>
      <c r="CC29" s="176">
        <f>DANE!BC29</f>
        <v>30</v>
      </c>
      <c r="CD29" s="198">
        <f t="shared" si="12"/>
        <v>195</v>
      </c>
      <c r="CE29" s="177">
        <f t="shared" ca="1" si="28"/>
        <v>18.428571428571427</v>
      </c>
      <c r="CF29" s="209">
        <f t="shared" si="45"/>
        <v>124.49919676325344</v>
      </c>
      <c r="CG29" s="179">
        <f t="shared" si="46"/>
        <v>0.12925401358693886</v>
      </c>
      <c r="CH29" s="213">
        <f t="shared" si="47"/>
        <v>1.904778095108572</v>
      </c>
      <c r="CI29" s="217">
        <f t="shared" ca="1" si="48"/>
        <v>1.5146902203291148</v>
      </c>
      <c r="CJ29" s="176">
        <f>DANE!BG29</f>
        <v>7</v>
      </c>
      <c r="CK29" s="198">
        <f t="shared" si="13"/>
        <v>34</v>
      </c>
      <c r="CL29" s="177">
        <f t="shared" ca="1" si="29"/>
        <v>3.8571428571428572</v>
      </c>
      <c r="CM29" s="211"/>
      <c r="CN29" s="200"/>
      <c r="CO29" s="201"/>
      <c r="CP29" s="202"/>
      <c r="CQ29" s="176">
        <f>DANE!BK29</f>
        <v>10</v>
      </c>
      <c r="CR29" s="198">
        <f t="shared" si="14"/>
        <v>56</v>
      </c>
      <c r="CS29" s="177">
        <f t="shared" ca="1" si="30"/>
        <v>4.8571428571428568</v>
      </c>
      <c r="CT29" s="211"/>
      <c r="CU29" s="200"/>
      <c r="CV29" s="201"/>
      <c r="CW29" s="212"/>
      <c r="CX29" s="176">
        <f>DANE!BO29</f>
        <v>9</v>
      </c>
      <c r="CY29" s="198">
        <f t="shared" si="15"/>
        <v>108</v>
      </c>
      <c r="CZ29" s="177">
        <f t="shared" ca="1" si="31"/>
        <v>10.142857142857142</v>
      </c>
      <c r="DA29" s="210">
        <f>(1-$DQ$2)*CY28+CX29</f>
        <v>93.857142857142861</v>
      </c>
      <c r="DB29" s="200"/>
      <c r="DC29" s="201"/>
      <c r="DD29" s="202"/>
      <c r="DE29" s="176">
        <f>DANE!BS29</f>
        <v>6</v>
      </c>
      <c r="DF29" s="198">
        <f t="shared" si="16"/>
        <v>57</v>
      </c>
      <c r="DG29" s="177">
        <f t="shared" ca="1" si="32"/>
        <v>6.4285714285714288</v>
      </c>
      <c r="DH29" s="211"/>
      <c r="DI29" s="200"/>
      <c r="DJ29" s="215"/>
      <c r="DK29" s="216"/>
      <c r="DL29" s="87"/>
      <c r="DM29" s="90"/>
      <c r="DN29" s="90"/>
      <c r="DO29" s="90"/>
      <c r="DP29" s="90"/>
      <c r="DQ29" s="90"/>
      <c r="DR29" s="90"/>
      <c r="DS29" s="90"/>
      <c r="DT29" s="9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</row>
    <row r="30" spans="1:138" x14ac:dyDescent="0.25">
      <c r="A30" s="32">
        <v>43920</v>
      </c>
      <c r="B30" s="33" t="str">
        <f t="shared" ca="1" si="0"/>
        <v/>
      </c>
      <c r="C30" s="51">
        <v>27</v>
      </c>
      <c r="D30" s="176">
        <f>DANE!K30</f>
        <v>24</v>
      </c>
      <c r="E30" s="188">
        <f t="shared" si="1"/>
        <v>258</v>
      </c>
      <c r="F30" s="178">
        <f t="shared" ca="1" si="17"/>
        <v>22.428571428571427</v>
      </c>
      <c r="G30" s="209">
        <f t="shared" si="38"/>
        <v>133.28551185027897</v>
      </c>
      <c r="H30" s="179">
        <f t="shared" si="42"/>
        <v>4.5378499938870158E-2</v>
      </c>
      <c r="I30" s="213">
        <f t="shared" si="43"/>
        <v>1.3176494995720911</v>
      </c>
      <c r="J30" s="214">
        <f t="shared" ca="1" si="44"/>
        <v>1.2338788707511881</v>
      </c>
      <c r="K30" s="176">
        <f>DANE!O30</f>
        <v>25</v>
      </c>
      <c r="L30" s="188">
        <f t="shared" si="2"/>
        <v>72</v>
      </c>
      <c r="M30" s="177">
        <f t="shared" ca="1" si="18"/>
        <v>7.2857142857142856</v>
      </c>
      <c r="N30" s="209"/>
      <c r="O30" s="179"/>
      <c r="P30" s="213"/>
      <c r="Q30" s="217"/>
      <c r="R30" s="176">
        <f>DANE!S30</f>
        <v>9</v>
      </c>
      <c r="S30" s="188">
        <f t="shared" si="3"/>
        <v>114</v>
      </c>
      <c r="T30" s="177">
        <f t="shared" ca="1" si="19"/>
        <v>9.4285714285714288</v>
      </c>
      <c r="U30" s="209">
        <f t="shared" ref="U30:U296" si="50">IF(ISBLANK(R30),"",(1-$DQ$2)*U29+R30)</f>
        <v>88.346938775510225</v>
      </c>
      <c r="V30" s="179"/>
      <c r="W30" s="213"/>
      <c r="X30" s="214"/>
      <c r="Y30" s="176">
        <f>DANE!W30</f>
        <v>3</v>
      </c>
      <c r="Z30" s="188">
        <f t="shared" si="4"/>
        <v>36</v>
      </c>
      <c r="AA30" s="177">
        <f t="shared" ca="1" si="20"/>
        <v>2.8571428571428572</v>
      </c>
      <c r="AB30" s="209"/>
      <c r="AC30" s="179"/>
      <c r="AD30" s="180"/>
      <c r="AE30" s="218"/>
      <c r="AF30" s="176">
        <f>DANE!AA30</f>
        <v>12</v>
      </c>
      <c r="AG30" s="188">
        <f t="shared" si="5"/>
        <v>202</v>
      </c>
      <c r="AH30" s="177">
        <f t="shared" ca="1" si="21"/>
        <v>13</v>
      </c>
      <c r="AI30" s="209">
        <f t="shared" si="37"/>
        <v>85.871098759523562</v>
      </c>
      <c r="AJ30" s="179">
        <f t="shared" si="39"/>
        <v>-3.6184627990876812E-3</v>
      </c>
      <c r="AK30" s="213">
        <f t="shared" si="40"/>
        <v>0.97467076040638623</v>
      </c>
      <c r="AL30" s="214">
        <f t="shared" ca="1" si="41"/>
        <v>1.0184881097612339</v>
      </c>
      <c r="AM30" s="176">
        <f>DANE!AE30</f>
        <v>24</v>
      </c>
      <c r="AN30" s="188">
        <f t="shared" si="6"/>
        <v>174</v>
      </c>
      <c r="AO30" s="177">
        <f t="shared" ca="1" si="22"/>
        <v>20.142857142857142</v>
      </c>
      <c r="AP30" s="209">
        <f t="shared" si="49"/>
        <v>129.09620991253647</v>
      </c>
      <c r="AQ30" s="179">
        <f t="shared" ref="AQ30:AQ296" si="51">IF(ISBLANK(AM30),"",(AP30-AP29)/AP29)</f>
        <v>5.2881871789994331E-2</v>
      </c>
      <c r="AR30" s="213">
        <f t="shared" ref="AR30:AR296" si="52">IF(ISBLANK(AM30),"",1+AQ30/$DQ$2)</f>
        <v>1.3701731025299604</v>
      </c>
      <c r="AS30" s="217">
        <f t="shared" ref="AS30:AS296" ca="1" si="53">IF(ISBLANK(AM30),"",AVERAGE((OFFSET(AR30,(-1)*($DU$2-1),0)):AR30))</f>
        <v>1.3701731025299604</v>
      </c>
      <c r="AT30" s="176">
        <f>DANE!AI30</f>
        <v>26</v>
      </c>
      <c r="AU30" s="188">
        <f t="shared" si="7"/>
        <v>487</v>
      </c>
      <c r="AV30" s="177">
        <f t="shared" ca="1" si="23"/>
        <v>44.571428571428569</v>
      </c>
      <c r="AW30" s="211">
        <f t="shared" si="33"/>
        <v>248.00628656950306</v>
      </c>
      <c r="AX30" s="200">
        <f t="shared" si="34"/>
        <v>-4.2473885112153956E-2</v>
      </c>
      <c r="AY30" s="213">
        <f t="shared" si="35"/>
        <v>0.70268280421492224</v>
      </c>
      <c r="AZ30" s="214">
        <f t="shared" ca="1" si="36"/>
        <v>1.8289803276622725</v>
      </c>
      <c r="BA30" s="176">
        <f>DANE!AM30</f>
        <v>11</v>
      </c>
      <c r="BB30" s="188">
        <f t="shared" si="8"/>
        <v>54</v>
      </c>
      <c r="BC30" s="177">
        <f t="shared" ca="1" si="24"/>
        <v>5</v>
      </c>
      <c r="BD30" s="209"/>
      <c r="BE30" s="179"/>
      <c r="BF30" s="180"/>
      <c r="BG30" s="218"/>
      <c r="BH30" s="176">
        <f>DANE!AQ30</f>
        <v>4</v>
      </c>
      <c r="BI30" s="188">
        <f t="shared" si="9"/>
        <v>80</v>
      </c>
      <c r="BJ30" s="177">
        <f t="shared" ca="1" si="25"/>
        <v>7.1428571428571432</v>
      </c>
      <c r="BK30" s="209"/>
      <c r="BL30" s="179"/>
      <c r="BM30" s="180"/>
      <c r="BN30" s="181"/>
      <c r="BO30" s="176">
        <f>DANE!AU30</f>
        <v>8</v>
      </c>
      <c r="BP30" s="188">
        <f t="shared" si="10"/>
        <v>36</v>
      </c>
      <c r="BQ30" s="177">
        <f t="shared" ca="1" si="26"/>
        <v>4.1428571428571432</v>
      </c>
      <c r="BR30" s="209"/>
      <c r="BS30" s="179"/>
      <c r="BT30" s="180"/>
      <c r="BU30" s="218"/>
      <c r="BV30" s="176">
        <f>DANE!AY30</f>
        <v>3</v>
      </c>
      <c r="BW30" s="188">
        <f t="shared" si="11"/>
        <v>48</v>
      </c>
      <c r="BX30" s="177">
        <f t="shared" ca="1" si="27"/>
        <v>3.8571428571428572</v>
      </c>
      <c r="BY30" s="209"/>
      <c r="BZ30" s="179"/>
      <c r="CA30" s="180"/>
      <c r="CB30" s="181"/>
      <c r="CC30" s="176">
        <f>DANE!BC30</f>
        <v>14</v>
      </c>
      <c r="CD30" s="188">
        <f t="shared" si="12"/>
        <v>209</v>
      </c>
      <c r="CE30" s="177">
        <f t="shared" ca="1" si="28"/>
        <v>18.857142857142858</v>
      </c>
      <c r="CF30" s="209">
        <f t="shared" si="45"/>
        <v>120.71359722564581</v>
      </c>
      <c r="CG30" s="179">
        <f t="shared" si="46"/>
        <v>-3.0406618163218241E-2</v>
      </c>
      <c r="CH30" s="213">
        <f t="shared" si="47"/>
        <v>0.78715367285747229</v>
      </c>
      <c r="CI30" s="217">
        <f t="shared" ca="1" si="48"/>
        <v>1.3328060834612041</v>
      </c>
      <c r="CJ30" s="176">
        <f>DANE!BG30</f>
        <v>3</v>
      </c>
      <c r="CK30" s="188">
        <f t="shared" si="13"/>
        <v>37</v>
      </c>
      <c r="CL30" s="177">
        <f t="shared" ca="1" si="29"/>
        <v>4.1428571428571432</v>
      </c>
      <c r="CM30" s="209"/>
      <c r="CN30" s="179"/>
      <c r="CO30" s="180"/>
      <c r="CP30" s="181"/>
      <c r="CQ30" s="176">
        <f>DANE!BK30</f>
        <v>1</v>
      </c>
      <c r="CR30" s="188">
        <f t="shared" si="14"/>
        <v>57</v>
      </c>
      <c r="CS30" s="177">
        <f t="shared" ca="1" si="30"/>
        <v>4.5714285714285712</v>
      </c>
      <c r="CT30" s="209"/>
      <c r="CU30" s="179"/>
      <c r="CV30" s="180"/>
      <c r="CW30" s="218"/>
      <c r="CX30" s="176">
        <f>DANE!BO30</f>
        <v>24</v>
      </c>
      <c r="CY30" s="188">
        <f t="shared" si="15"/>
        <v>132</v>
      </c>
      <c r="CZ30" s="177">
        <f t="shared" ca="1" si="31"/>
        <v>13</v>
      </c>
      <c r="DA30" s="211">
        <f t="shared" ref="DA30:DA296" si="54">IF(ISBLANK(CX30),"",(1-$DQ$2)*DA29+CX30)</f>
        <v>104.44897959183675</v>
      </c>
      <c r="DB30" s="200"/>
      <c r="DC30" s="213"/>
      <c r="DD30" s="214"/>
      <c r="DE30" s="176">
        <f>DANE!BS30</f>
        <v>2</v>
      </c>
      <c r="DF30" s="188">
        <f t="shared" si="16"/>
        <v>59</v>
      </c>
      <c r="DG30" s="177">
        <f t="shared" ca="1" si="32"/>
        <v>6.1428571428571432</v>
      </c>
      <c r="DH30" s="209"/>
      <c r="DI30" s="179"/>
      <c r="DJ30" s="177"/>
      <c r="DK30" s="221"/>
      <c r="DL30" s="83"/>
      <c r="DM30" s="376"/>
      <c r="DN30" s="372"/>
      <c r="DO30" s="372"/>
      <c r="DP30" s="372"/>
      <c r="DQ30" s="372"/>
      <c r="DR30" s="372"/>
      <c r="DS30" s="372"/>
      <c r="DT30" s="372"/>
      <c r="DU30" s="91"/>
      <c r="DV30" s="91"/>
      <c r="DW30" s="91"/>
      <c r="DX30" s="91"/>
      <c r="DY30" s="91"/>
      <c r="DZ30" s="91"/>
      <c r="EA30" s="91"/>
      <c r="EB30" s="91"/>
      <c r="EC30" s="91"/>
      <c r="ED30" s="91"/>
      <c r="EE30" s="91"/>
      <c r="EF30" s="91"/>
      <c r="EG30" s="91"/>
      <c r="EH30" s="91"/>
    </row>
    <row r="31" spans="1:138" x14ac:dyDescent="0.25">
      <c r="A31" s="32">
        <v>43921</v>
      </c>
      <c r="B31" s="33" t="str">
        <f t="shared" ca="1" si="0"/>
        <v/>
      </c>
      <c r="C31" s="51">
        <v>28</v>
      </c>
      <c r="D31" s="176">
        <f>DANE!K31</f>
        <v>16</v>
      </c>
      <c r="E31" s="188">
        <f t="shared" si="1"/>
        <v>274</v>
      </c>
      <c r="F31" s="178">
        <f t="shared" ca="1" si="17"/>
        <v>20</v>
      </c>
      <c r="G31" s="209">
        <f t="shared" si="38"/>
        <v>130.24472444309626</v>
      </c>
      <c r="H31" s="179">
        <f t="shared" si="42"/>
        <v>-2.2814088080319293E-2</v>
      </c>
      <c r="I31" s="213">
        <f t="shared" si="43"/>
        <v>0.84030138343776495</v>
      </c>
      <c r="J31" s="214">
        <f t="shared" ca="1" si="44"/>
        <v>1.1776535154206991</v>
      </c>
      <c r="K31" s="176">
        <f>DANE!O31</f>
        <v>4</v>
      </c>
      <c r="L31" s="188">
        <f t="shared" si="2"/>
        <v>76</v>
      </c>
      <c r="M31" s="177">
        <f t="shared" ca="1" si="18"/>
        <v>7.7142857142857144</v>
      </c>
      <c r="N31" s="209"/>
      <c r="O31" s="179"/>
      <c r="P31" s="213"/>
      <c r="Q31" s="217"/>
      <c r="R31" s="176">
        <f>DANE!S31</f>
        <v>18</v>
      </c>
      <c r="S31" s="188">
        <f t="shared" si="3"/>
        <v>132</v>
      </c>
      <c r="T31" s="177">
        <f t="shared" ca="1" si="19"/>
        <v>11.142857142857142</v>
      </c>
      <c r="U31" s="209">
        <f t="shared" si="50"/>
        <v>93.725947521865919</v>
      </c>
      <c r="V31" s="179">
        <f t="shared" ref="V31:V296" si="55">IF(ISBLANK(R31),"",(U31-U30)/U30)</f>
        <v>6.0885060885060974E-2</v>
      </c>
      <c r="W31" s="213">
        <f t="shared" ref="W31:W296" si="56">IF(ISBLANK(R31),"",1+V31/$DQ$2)</f>
        <v>1.4261954261954268</v>
      </c>
      <c r="X31" s="214">
        <f t="shared" ref="X31:X296" ca="1" si="57">IF(ISBLANK(R31),"",AVERAGE((OFFSET(W31,(-1)*($DU$2-1),0)):W31))</f>
        <v>1.4261954261954268</v>
      </c>
      <c r="Y31" s="176">
        <f>DANE!W31</f>
        <v>6</v>
      </c>
      <c r="Z31" s="188">
        <f t="shared" si="4"/>
        <v>42</v>
      </c>
      <c r="AA31" s="177">
        <f t="shared" ca="1" si="20"/>
        <v>3</v>
      </c>
      <c r="AB31" s="209"/>
      <c r="AC31" s="179"/>
      <c r="AD31" s="213"/>
      <c r="AE31" s="217"/>
      <c r="AF31" s="176">
        <f>DANE!AA31</f>
        <v>6</v>
      </c>
      <c r="AG31" s="188">
        <f t="shared" si="5"/>
        <v>208</v>
      </c>
      <c r="AH31" s="177">
        <f t="shared" ca="1" si="21"/>
        <v>11.285714285714286</v>
      </c>
      <c r="AI31" s="209">
        <f t="shared" si="37"/>
        <v>79.603798936734492</v>
      </c>
      <c r="AJ31" s="179">
        <f t="shared" si="39"/>
        <v>-7.2984972980725871E-2</v>
      </c>
      <c r="AK31" s="213">
        <f t="shared" si="40"/>
        <v>0.48910518913491885</v>
      </c>
      <c r="AL31" s="214">
        <f t="shared" ca="1" si="41"/>
        <v>0.87588135889566077</v>
      </c>
      <c r="AM31" s="176">
        <f>DANE!AE31</f>
        <v>18</v>
      </c>
      <c r="AN31" s="188">
        <f t="shared" si="6"/>
        <v>192</v>
      </c>
      <c r="AO31" s="177">
        <f t="shared" ca="1" si="22"/>
        <v>20.428571428571427</v>
      </c>
      <c r="AP31" s="209">
        <f t="shared" si="49"/>
        <v>128.65389421074553</v>
      </c>
      <c r="AQ31" s="179">
        <f t="shared" si="51"/>
        <v>-3.4262485481998551E-3</v>
      </c>
      <c r="AR31" s="213">
        <f t="shared" si="52"/>
        <v>0.97601626016260101</v>
      </c>
      <c r="AS31" s="217">
        <f t="shared" ca="1" si="53"/>
        <v>1.1730946813462806</v>
      </c>
      <c r="AT31" s="176">
        <f>DANE!AI31</f>
        <v>57</v>
      </c>
      <c r="AU31" s="188">
        <f t="shared" si="7"/>
        <v>544</v>
      </c>
      <c r="AV31" s="177">
        <f t="shared" ca="1" si="23"/>
        <v>47.428571428571431</v>
      </c>
      <c r="AW31" s="211">
        <f t="shared" si="33"/>
        <v>269.57681705957407</v>
      </c>
      <c r="AX31" s="200">
        <f t="shared" si="34"/>
        <v>8.6975740770288607E-2</v>
      </c>
      <c r="AY31" s="213">
        <f t="shared" si="35"/>
        <v>1.6088301853920202</v>
      </c>
      <c r="AZ31" s="214">
        <f t="shared" ca="1" si="36"/>
        <v>1.7500726816448855</v>
      </c>
      <c r="BA31" s="176">
        <f>DANE!AM31</f>
        <v>16</v>
      </c>
      <c r="BB31" s="188">
        <f t="shared" si="8"/>
        <v>70</v>
      </c>
      <c r="BC31" s="177">
        <f t="shared" ca="1" si="24"/>
        <v>7</v>
      </c>
      <c r="BD31" s="209"/>
      <c r="BE31" s="179"/>
      <c r="BF31" s="180"/>
      <c r="BG31" s="218"/>
      <c r="BH31" s="176">
        <f>DANE!AQ31</f>
        <v>15</v>
      </c>
      <c r="BI31" s="188">
        <f t="shared" si="9"/>
        <v>95</v>
      </c>
      <c r="BJ31" s="177">
        <f t="shared" ca="1" si="25"/>
        <v>8.2857142857142865</v>
      </c>
      <c r="BK31" s="209"/>
      <c r="BL31" s="179"/>
      <c r="BM31" s="180"/>
      <c r="BN31" s="181"/>
      <c r="BO31" s="176">
        <f>DANE!AU31</f>
        <v>0</v>
      </c>
      <c r="BP31" s="188">
        <f t="shared" si="10"/>
        <v>36</v>
      </c>
      <c r="BQ31" s="177">
        <f t="shared" ca="1" si="26"/>
        <v>4.1428571428571432</v>
      </c>
      <c r="BR31" s="209"/>
      <c r="BS31" s="179"/>
      <c r="BT31" s="213"/>
      <c r="BU31" s="217"/>
      <c r="BV31" s="176">
        <f>DANE!AY31</f>
        <v>6</v>
      </c>
      <c r="BW31" s="188">
        <f t="shared" si="11"/>
        <v>54</v>
      </c>
      <c r="BX31" s="177">
        <f t="shared" ca="1" si="27"/>
        <v>4.5714285714285712</v>
      </c>
      <c r="BY31" s="209"/>
      <c r="BZ31" s="179"/>
      <c r="CA31" s="180"/>
      <c r="CB31" s="181"/>
      <c r="CC31" s="176">
        <f>DANE!BC31</f>
        <v>55</v>
      </c>
      <c r="CD31" s="188">
        <f t="shared" si="12"/>
        <v>264</v>
      </c>
      <c r="CE31" s="177">
        <f t="shared" ca="1" si="28"/>
        <v>25.285714285714285</v>
      </c>
      <c r="CF31" s="209">
        <f t="shared" si="45"/>
        <v>158.46879762198213</v>
      </c>
      <c r="CG31" s="179">
        <f t="shared" si="46"/>
        <v>0.31276675754895955</v>
      </c>
      <c r="CH31" s="213">
        <f t="shared" si="47"/>
        <v>3.189367302842717</v>
      </c>
      <c r="CI31" s="217">
        <f t="shared" ca="1" si="48"/>
        <v>1.7041183273375069</v>
      </c>
      <c r="CJ31" s="176">
        <f>DANE!BG31</f>
        <v>12</v>
      </c>
      <c r="CK31" s="188">
        <f t="shared" si="13"/>
        <v>49</v>
      </c>
      <c r="CL31" s="177">
        <f t="shared" ca="1" si="29"/>
        <v>5.8571428571428568</v>
      </c>
      <c r="CM31" s="209"/>
      <c r="CN31" s="179"/>
      <c r="CO31" s="180"/>
      <c r="CP31" s="181"/>
      <c r="CQ31" s="176">
        <f>DANE!BK31</f>
        <v>1</v>
      </c>
      <c r="CR31" s="188">
        <f t="shared" si="14"/>
        <v>58</v>
      </c>
      <c r="CS31" s="177">
        <f t="shared" ca="1" si="30"/>
        <v>4.1428571428571432</v>
      </c>
      <c r="CT31" s="209"/>
      <c r="CU31" s="179"/>
      <c r="CV31" s="180"/>
      <c r="CW31" s="218"/>
      <c r="CX31" s="176">
        <f>DANE!BO31</f>
        <v>16</v>
      </c>
      <c r="CY31" s="188">
        <f t="shared" si="15"/>
        <v>148</v>
      </c>
      <c r="CZ31" s="177">
        <f t="shared" ca="1" si="31"/>
        <v>15.142857142857142</v>
      </c>
      <c r="DA31" s="211">
        <f t="shared" si="54"/>
        <v>105.52769679300293</v>
      </c>
      <c r="DB31" s="200">
        <f t="shared" ref="DB31:DB296" si="58">IF(ISBLANK(CX31),"",(DA31-DA30)/DA30)</f>
        <v>1.0327694970133463E-2</v>
      </c>
      <c r="DC31" s="213">
        <f t="shared" ref="DC31:DC296" si="59">IF(ISBLANK(CX31),"",1+DB31/$DQ$2)</f>
        <v>1.0722938647909341</v>
      </c>
      <c r="DD31" s="214">
        <f t="shared" ref="DD31:DD296" ca="1" si="60">IF(ISBLANK(CX31),"",AVERAGE((OFFSET(DC31,(-1)*($DU$2-1),0)):DC31))</f>
        <v>1.0722938647909341</v>
      </c>
      <c r="DE31" s="176">
        <f>DANE!BS31</f>
        <v>10</v>
      </c>
      <c r="DF31" s="188">
        <f t="shared" si="16"/>
        <v>69</v>
      </c>
      <c r="DG31" s="177">
        <f t="shared" ca="1" si="32"/>
        <v>6</v>
      </c>
      <c r="DH31" s="209"/>
      <c r="DI31" s="179"/>
      <c r="DJ31" s="177"/>
      <c r="DK31" s="221"/>
      <c r="DL31" s="83"/>
      <c r="DM31" s="376"/>
      <c r="DN31" s="372"/>
      <c r="DO31" s="372"/>
      <c r="DP31" s="372"/>
      <c r="DQ31" s="372"/>
      <c r="DR31" s="372"/>
      <c r="DS31" s="372"/>
      <c r="DT31" s="372"/>
      <c r="DU31" s="91"/>
      <c r="DV31" s="91"/>
      <c r="DW31" s="91"/>
      <c r="DX31" s="91"/>
      <c r="DY31" s="91"/>
      <c r="DZ31" s="91"/>
      <c r="EA31" s="91"/>
      <c r="EB31" s="91"/>
      <c r="EC31" s="91"/>
      <c r="ED31" s="91"/>
      <c r="EE31" s="91"/>
      <c r="EF31" s="91"/>
      <c r="EG31" s="91"/>
      <c r="EH31" s="91"/>
    </row>
    <row r="32" spans="1:138" x14ac:dyDescent="0.25">
      <c r="A32" s="32">
        <v>43922</v>
      </c>
      <c r="B32" s="33" t="str">
        <f t="shared" ca="1" si="0"/>
        <v/>
      </c>
      <c r="C32" s="51">
        <v>29</v>
      </c>
      <c r="D32" s="176">
        <f>DANE!K32</f>
        <v>52</v>
      </c>
      <c r="E32" s="188">
        <f t="shared" si="1"/>
        <v>326</v>
      </c>
      <c r="F32" s="178">
        <f t="shared" ca="1" si="17"/>
        <v>25.142857142857142</v>
      </c>
      <c r="G32" s="209">
        <f t="shared" si="38"/>
        <v>163.63833523693967</v>
      </c>
      <c r="H32" s="179">
        <f t="shared" si="42"/>
        <v>0.25639127370900178</v>
      </c>
      <c r="I32" s="213">
        <f t="shared" si="43"/>
        <v>2.7947389159630127</v>
      </c>
      <c r="J32" s="214">
        <f t="shared" ca="1" si="44"/>
        <v>1.4313123312440397</v>
      </c>
      <c r="K32" s="176">
        <f>DANE!O32</f>
        <v>8</v>
      </c>
      <c r="L32" s="188">
        <f t="shared" si="2"/>
        <v>84</v>
      </c>
      <c r="M32" s="177">
        <f t="shared" ca="1" si="18"/>
        <v>8.1428571428571423</v>
      </c>
      <c r="N32" s="209"/>
      <c r="O32" s="179"/>
      <c r="P32" s="213"/>
      <c r="Q32" s="217"/>
      <c r="R32" s="176">
        <f>DANE!S32</f>
        <v>1</v>
      </c>
      <c r="S32" s="188">
        <f t="shared" si="3"/>
        <v>133</v>
      </c>
      <c r="T32" s="177">
        <f t="shared" ca="1" si="19"/>
        <v>10.428571428571429</v>
      </c>
      <c r="U32" s="209">
        <f t="shared" si="50"/>
        <v>81.336526447313645</v>
      </c>
      <c r="V32" s="179">
        <f t="shared" si="55"/>
        <v>-0.13218773885067278</v>
      </c>
      <c r="W32" s="213">
        <f t="shared" si="56"/>
        <v>7.4685828045290448E-2</v>
      </c>
      <c r="X32" s="214">
        <f t="shared" ca="1" si="57"/>
        <v>0.75044062712035864</v>
      </c>
      <c r="Y32" s="176">
        <f>DANE!W32</f>
        <v>5</v>
      </c>
      <c r="Z32" s="188">
        <f t="shared" si="4"/>
        <v>47</v>
      </c>
      <c r="AA32" s="177">
        <f t="shared" ca="1" si="20"/>
        <v>3.4285714285714284</v>
      </c>
      <c r="AB32" s="209"/>
      <c r="AC32" s="179"/>
      <c r="AD32" s="213"/>
      <c r="AE32" s="217"/>
      <c r="AF32" s="176">
        <f>DANE!AA32</f>
        <v>13</v>
      </c>
      <c r="AG32" s="188">
        <f t="shared" si="5"/>
        <v>221</v>
      </c>
      <c r="AH32" s="177">
        <f t="shared" ca="1" si="21"/>
        <v>11</v>
      </c>
      <c r="AI32" s="209">
        <f t="shared" si="37"/>
        <v>81.231827660058144</v>
      </c>
      <c r="AJ32" s="179">
        <f t="shared" si="39"/>
        <v>2.0451646090628613E-2</v>
      </c>
      <c r="AK32" s="213">
        <f t="shared" si="40"/>
        <v>1.1431615226344003</v>
      </c>
      <c r="AL32" s="214">
        <f t="shared" ca="1" si="41"/>
        <v>0.87364960730289154</v>
      </c>
      <c r="AM32" s="176">
        <f>DANE!AE32</f>
        <v>17</v>
      </c>
      <c r="AN32" s="188">
        <f t="shared" si="6"/>
        <v>209</v>
      </c>
      <c r="AO32" s="177">
        <f t="shared" ca="1" si="22"/>
        <v>21.857142857142858</v>
      </c>
      <c r="AP32" s="209">
        <f t="shared" si="49"/>
        <v>127.27476646635333</v>
      </c>
      <c r="AQ32" s="179">
        <f t="shared" si="51"/>
        <v>-1.0719673530698446E-2</v>
      </c>
      <c r="AR32" s="213">
        <f t="shared" si="52"/>
        <v>0.92496228528511093</v>
      </c>
      <c r="AS32" s="217">
        <f t="shared" ca="1" si="53"/>
        <v>1.090383882659224</v>
      </c>
      <c r="AT32" s="176">
        <f>DANE!AI32</f>
        <v>68</v>
      </c>
      <c r="AU32" s="188">
        <f t="shared" si="7"/>
        <v>612</v>
      </c>
      <c r="AV32" s="177">
        <f t="shared" ca="1" si="23"/>
        <v>51.571428571428569</v>
      </c>
      <c r="AW32" s="211">
        <f t="shared" si="33"/>
        <v>299.06584319392061</v>
      </c>
      <c r="AX32" s="200">
        <f t="shared" si="34"/>
        <v>0.10939006720236531</v>
      </c>
      <c r="AY32" s="213">
        <f t="shared" si="35"/>
        <v>1.7657304704165573</v>
      </c>
      <c r="AZ32" s="214">
        <f t="shared" ca="1" si="36"/>
        <v>1.7231931706181949</v>
      </c>
      <c r="BA32" s="176">
        <f>DANE!AM32</f>
        <v>5</v>
      </c>
      <c r="BB32" s="188">
        <f t="shared" si="8"/>
        <v>75</v>
      </c>
      <c r="BC32" s="177">
        <f t="shared" ca="1" si="24"/>
        <v>7.4285714285714288</v>
      </c>
      <c r="BD32" s="209"/>
      <c r="BE32" s="179"/>
      <c r="BF32" s="180"/>
      <c r="BG32" s="218"/>
      <c r="BH32" s="176">
        <f>DANE!AQ32</f>
        <v>9</v>
      </c>
      <c r="BI32" s="188">
        <f t="shared" si="9"/>
        <v>104</v>
      </c>
      <c r="BJ32" s="177">
        <f t="shared" ca="1" si="25"/>
        <v>8.7142857142857135</v>
      </c>
      <c r="BK32" s="224">
        <f>(1-$DQ$2)*BI31+BH32</f>
        <v>90.428571428571431</v>
      </c>
      <c r="BL32" s="179"/>
      <c r="BM32" s="180"/>
      <c r="BN32" s="181"/>
      <c r="BO32" s="176">
        <f>DANE!AU32</f>
        <v>11</v>
      </c>
      <c r="BP32" s="188">
        <f t="shared" si="10"/>
        <v>47</v>
      </c>
      <c r="BQ32" s="177">
        <f t="shared" ca="1" si="26"/>
        <v>5.2857142857142856</v>
      </c>
      <c r="BR32" s="209"/>
      <c r="BS32" s="179"/>
      <c r="BT32" s="213"/>
      <c r="BU32" s="217"/>
      <c r="BV32" s="176">
        <f>DANE!AY32</f>
        <v>6</v>
      </c>
      <c r="BW32" s="188">
        <f t="shared" si="11"/>
        <v>60</v>
      </c>
      <c r="BX32" s="177">
        <f t="shared" ca="1" si="27"/>
        <v>5.4285714285714288</v>
      </c>
      <c r="BY32" s="209"/>
      <c r="BZ32" s="179"/>
      <c r="CA32" s="180"/>
      <c r="CB32" s="181"/>
      <c r="CC32" s="176">
        <f>DANE!BC32</f>
        <v>8</v>
      </c>
      <c r="CD32" s="188">
        <f t="shared" si="12"/>
        <v>272</v>
      </c>
      <c r="CE32" s="177">
        <f t="shared" ca="1" si="28"/>
        <v>23.571428571428573</v>
      </c>
      <c r="CF32" s="209">
        <f t="shared" si="45"/>
        <v>143.83039796169899</v>
      </c>
      <c r="CG32" s="179">
        <f t="shared" si="46"/>
        <v>-9.2374018607765118E-2</v>
      </c>
      <c r="CH32" s="213">
        <f t="shared" si="47"/>
        <v>0.35338186974564412</v>
      </c>
      <c r="CI32" s="217">
        <f t="shared" ca="1" si="48"/>
        <v>1.4789955844055296</v>
      </c>
      <c r="CJ32" s="176">
        <f>DANE!BG32</f>
        <v>6</v>
      </c>
      <c r="CK32" s="188">
        <f t="shared" si="13"/>
        <v>55</v>
      </c>
      <c r="CL32" s="177">
        <f t="shared" ca="1" si="29"/>
        <v>5.8571428571428568</v>
      </c>
      <c r="CM32" s="209"/>
      <c r="CN32" s="179"/>
      <c r="CO32" s="180"/>
      <c r="CP32" s="181"/>
      <c r="CQ32" s="176">
        <f>DANE!BK32</f>
        <v>3</v>
      </c>
      <c r="CR32" s="188">
        <f t="shared" si="14"/>
        <v>61</v>
      </c>
      <c r="CS32" s="177">
        <f t="shared" ca="1" si="30"/>
        <v>4</v>
      </c>
      <c r="CT32" s="209"/>
      <c r="CU32" s="179"/>
      <c r="CV32" s="180"/>
      <c r="CW32" s="218"/>
      <c r="CX32" s="176">
        <f>DANE!BO32</f>
        <v>21</v>
      </c>
      <c r="CY32" s="188">
        <f t="shared" si="15"/>
        <v>169</v>
      </c>
      <c r="CZ32" s="177">
        <f t="shared" ca="1" si="31"/>
        <v>16</v>
      </c>
      <c r="DA32" s="211">
        <f t="shared" si="54"/>
        <v>111.45231153685967</v>
      </c>
      <c r="DB32" s="200">
        <f t="shared" si="58"/>
        <v>5.6142746633408673E-2</v>
      </c>
      <c r="DC32" s="213">
        <f t="shared" si="59"/>
        <v>1.3929992264338606</v>
      </c>
      <c r="DD32" s="214">
        <f t="shared" ca="1" si="60"/>
        <v>1.2326465456123974</v>
      </c>
      <c r="DE32" s="176">
        <f>DANE!BS32</f>
        <v>10</v>
      </c>
      <c r="DF32" s="188">
        <f t="shared" si="16"/>
        <v>79</v>
      </c>
      <c r="DG32" s="177">
        <f t="shared" ca="1" si="32"/>
        <v>6.8571428571428568</v>
      </c>
      <c r="DH32" s="209"/>
      <c r="DI32" s="179"/>
      <c r="DJ32" s="177"/>
      <c r="DK32" s="221"/>
      <c r="DL32" s="50"/>
      <c r="DM32" s="50"/>
      <c r="DN32" s="92"/>
      <c r="DO32" s="92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</row>
    <row r="33" spans="1:138" x14ac:dyDescent="0.25">
      <c r="A33" s="32">
        <v>43923</v>
      </c>
      <c r="B33" s="33" t="str">
        <f t="shared" ca="1" si="0"/>
        <v/>
      </c>
      <c r="C33" s="51">
        <v>30</v>
      </c>
      <c r="D33" s="176">
        <f>DANE!K33</f>
        <v>12</v>
      </c>
      <c r="E33" s="188">
        <f t="shared" si="1"/>
        <v>338</v>
      </c>
      <c r="F33" s="178">
        <f t="shared" ca="1" si="17"/>
        <v>24.714285714285715</v>
      </c>
      <c r="G33" s="209">
        <f t="shared" si="38"/>
        <v>152.26143020309115</v>
      </c>
      <c r="H33" s="179">
        <f t="shared" si="42"/>
        <v>-6.9524693082310809E-2</v>
      </c>
      <c r="I33" s="213">
        <f t="shared" si="43"/>
        <v>0.51332714842382432</v>
      </c>
      <c r="J33" s="214">
        <f t="shared" ca="1" si="44"/>
        <v>1.3685264678806102</v>
      </c>
      <c r="K33" s="176">
        <f>DANE!O33</f>
        <v>73</v>
      </c>
      <c r="L33" s="188">
        <f t="shared" si="2"/>
        <v>157</v>
      </c>
      <c r="M33" s="177">
        <f t="shared" ca="1" si="18"/>
        <v>18</v>
      </c>
      <c r="N33" s="210">
        <f>(1-$DQ$2)*L32+K33</f>
        <v>145</v>
      </c>
      <c r="O33" s="179"/>
      <c r="P33" s="213"/>
      <c r="Q33" s="217"/>
      <c r="R33" s="176">
        <f>DANE!S33</f>
        <v>18</v>
      </c>
      <c r="S33" s="188">
        <f t="shared" si="3"/>
        <v>151</v>
      </c>
      <c r="T33" s="177">
        <f t="shared" ca="1" si="19"/>
        <v>11</v>
      </c>
      <c r="U33" s="209">
        <f t="shared" si="50"/>
        <v>87.717022669125981</v>
      </c>
      <c r="V33" s="179">
        <f t="shared" si="55"/>
        <v>7.8445644294207126E-2</v>
      </c>
      <c r="W33" s="213">
        <f t="shared" si="56"/>
        <v>1.5491195100594499</v>
      </c>
      <c r="X33" s="214">
        <f t="shared" ca="1" si="57"/>
        <v>1.016666921433389</v>
      </c>
      <c r="Y33" s="176">
        <f>DANE!W33</f>
        <v>1</v>
      </c>
      <c r="Z33" s="188">
        <f t="shared" si="4"/>
        <v>48</v>
      </c>
      <c r="AA33" s="177">
        <f t="shared" ca="1" si="20"/>
        <v>2.5714285714285716</v>
      </c>
      <c r="AB33" s="209"/>
      <c r="AC33" s="179"/>
      <c r="AD33" s="213"/>
      <c r="AE33" s="217"/>
      <c r="AF33" s="176">
        <f>DANE!AA33</f>
        <v>15</v>
      </c>
      <c r="AG33" s="188">
        <f t="shared" si="5"/>
        <v>236</v>
      </c>
      <c r="AH33" s="177">
        <f t="shared" ca="1" si="21"/>
        <v>11.142857142857142</v>
      </c>
      <c r="AI33" s="209">
        <f t="shared" si="37"/>
        <v>84.627280851478417</v>
      </c>
      <c r="AJ33" s="179">
        <f t="shared" si="39"/>
        <v>4.1799541992698815E-2</v>
      </c>
      <c r="AK33" s="213">
        <f t="shared" si="40"/>
        <v>1.2925967939488916</v>
      </c>
      <c r="AL33" s="214">
        <f t="shared" ca="1" si="41"/>
        <v>0.90722873984818719</v>
      </c>
      <c r="AM33" s="176">
        <f>DANE!AE33</f>
        <v>21</v>
      </c>
      <c r="AN33" s="188">
        <f t="shared" si="6"/>
        <v>230</v>
      </c>
      <c r="AO33" s="177">
        <f t="shared" ca="1" si="22"/>
        <v>23</v>
      </c>
      <c r="AP33" s="209">
        <f t="shared" si="49"/>
        <v>130.09265697116001</v>
      </c>
      <c r="AQ33" s="179">
        <f t="shared" si="51"/>
        <v>2.2140213516334585E-2</v>
      </c>
      <c r="AR33" s="213">
        <f t="shared" si="52"/>
        <v>1.1549814946143422</v>
      </c>
      <c r="AS33" s="217">
        <f t="shared" ca="1" si="53"/>
        <v>1.1065332856480037</v>
      </c>
      <c r="AT33" s="176">
        <f>DANE!AI33</f>
        <v>142</v>
      </c>
      <c r="AU33" s="188">
        <f t="shared" si="7"/>
        <v>754</v>
      </c>
      <c r="AV33" s="177">
        <f t="shared" ca="1" si="23"/>
        <v>66.142857142857139</v>
      </c>
      <c r="AW33" s="211">
        <f t="shared" si="33"/>
        <v>398.34215130907484</v>
      </c>
      <c r="AX33" s="200">
        <f t="shared" si="34"/>
        <v>0.33195468614843243</v>
      </c>
      <c r="AY33" s="213">
        <f t="shared" si="35"/>
        <v>3.3236828030390271</v>
      </c>
      <c r="AZ33" s="214">
        <f t="shared" ca="1" si="36"/>
        <v>1.9460543868608589</v>
      </c>
      <c r="BA33" s="176">
        <f>DANE!AM33</f>
        <v>3</v>
      </c>
      <c r="BB33" s="188">
        <f t="shared" si="8"/>
        <v>78</v>
      </c>
      <c r="BC33" s="177">
        <f t="shared" ca="1" si="24"/>
        <v>7.4285714285714288</v>
      </c>
      <c r="BD33" s="209"/>
      <c r="BE33" s="179"/>
      <c r="BF33" s="180"/>
      <c r="BG33" s="218"/>
      <c r="BH33" s="176">
        <f>DANE!AQ33</f>
        <v>7</v>
      </c>
      <c r="BI33" s="188">
        <f t="shared" si="9"/>
        <v>111</v>
      </c>
      <c r="BJ33" s="177">
        <f t="shared" ca="1" si="25"/>
        <v>8.2857142857142865</v>
      </c>
      <c r="BK33" s="209">
        <f t="shared" ref="BK33:BK296" si="61">IF(ISBLANK(BH33),"",(1-$DQ$2)*BK32+BH33)</f>
        <v>84.510204081632665</v>
      </c>
      <c r="BL33" s="179"/>
      <c r="BM33" s="213"/>
      <c r="BN33" s="214"/>
      <c r="BO33" s="176">
        <f>DANE!AU33</f>
        <v>12</v>
      </c>
      <c r="BP33" s="188">
        <f t="shared" si="10"/>
        <v>59</v>
      </c>
      <c r="BQ33" s="177">
        <f t="shared" ca="1" si="26"/>
        <v>6.5714285714285712</v>
      </c>
      <c r="BR33" s="209"/>
      <c r="BS33" s="179"/>
      <c r="BT33" s="213"/>
      <c r="BU33" s="217"/>
      <c r="BV33" s="176">
        <f>DANE!AY33</f>
        <v>10</v>
      </c>
      <c r="BW33" s="188">
        <f t="shared" si="11"/>
        <v>70</v>
      </c>
      <c r="BX33" s="177">
        <f t="shared" ca="1" si="27"/>
        <v>6</v>
      </c>
      <c r="BY33" s="209"/>
      <c r="BZ33" s="179"/>
      <c r="CA33" s="180"/>
      <c r="CB33" s="181"/>
      <c r="CC33" s="176">
        <f>DANE!BC33</f>
        <v>29</v>
      </c>
      <c r="CD33" s="188">
        <f t="shared" si="12"/>
        <v>301</v>
      </c>
      <c r="CE33" s="177">
        <f t="shared" ca="1" si="28"/>
        <v>24.857142857142858</v>
      </c>
      <c r="CF33" s="209">
        <f t="shared" si="45"/>
        <v>152.28319825288486</v>
      </c>
      <c r="CG33" s="179">
        <f t="shared" si="46"/>
        <v>5.8769219935251707E-2</v>
      </c>
      <c r="CH33" s="213">
        <f t="shared" si="47"/>
        <v>1.4113845395467619</v>
      </c>
      <c r="CI33" s="217">
        <f t="shared" ca="1" si="48"/>
        <v>1.4693368637114201</v>
      </c>
      <c r="CJ33" s="176">
        <f>DANE!BG33</f>
        <v>7</v>
      </c>
      <c r="CK33" s="188">
        <f t="shared" si="13"/>
        <v>62</v>
      </c>
      <c r="CL33" s="177">
        <f t="shared" ca="1" si="29"/>
        <v>6.7142857142857144</v>
      </c>
      <c r="CM33" s="209"/>
      <c r="CN33" s="179"/>
      <c r="CO33" s="180"/>
      <c r="CP33" s="181"/>
      <c r="CQ33" s="176">
        <f>DANE!BK33</f>
        <v>6</v>
      </c>
      <c r="CR33" s="188">
        <f t="shared" si="14"/>
        <v>67</v>
      </c>
      <c r="CS33" s="177">
        <f t="shared" ca="1" si="30"/>
        <v>4</v>
      </c>
      <c r="CT33" s="209"/>
      <c r="CU33" s="179"/>
      <c r="CV33" s="180"/>
      <c r="CW33" s="218"/>
      <c r="CX33" s="176">
        <f>DANE!BO33</f>
        <v>26</v>
      </c>
      <c r="CY33" s="188">
        <f t="shared" si="15"/>
        <v>195</v>
      </c>
      <c r="CZ33" s="177">
        <f t="shared" ca="1" si="31"/>
        <v>18</v>
      </c>
      <c r="DA33" s="211">
        <f t="shared" si="54"/>
        <v>121.53055274587972</v>
      </c>
      <c r="DB33" s="200">
        <f t="shared" si="58"/>
        <v>9.0426488872659763E-2</v>
      </c>
      <c r="DC33" s="213">
        <f t="shared" si="59"/>
        <v>1.6329854221086184</v>
      </c>
      <c r="DD33" s="214">
        <f t="shared" ca="1" si="60"/>
        <v>1.3660928377778045</v>
      </c>
      <c r="DE33" s="176">
        <f>DANE!BS33</f>
        <v>10</v>
      </c>
      <c r="DF33" s="188">
        <f t="shared" si="16"/>
        <v>89</v>
      </c>
      <c r="DG33" s="177">
        <f t="shared" ca="1" si="32"/>
        <v>8</v>
      </c>
      <c r="DH33" s="209"/>
      <c r="DI33" s="179"/>
      <c r="DJ33" s="177"/>
      <c r="DK33" s="221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</row>
    <row r="34" spans="1:138" x14ac:dyDescent="0.25">
      <c r="A34" s="32">
        <v>43924</v>
      </c>
      <c r="B34" s="33" t="str">
        <f t="shared" ca="1" si="0"/>
        <v/>
      </c>
      <c r="C34" s="51">
        <v>31</v>
      </c>
      <c r="D34" s="176">
        <f>DANE!K34</f>
        <v>62</v>
      </c>
      <c r="E34" s="188">
        <f t="shared" si="1"/>
        <v>400</v>
      </c>
      <c r="F34" s="178">
        <f t="shared" ca="1" si="17"/>
        <v>29.571428571428573</v>
      </c>
      <c r="G34" s="209">
        <f t="shared" si="38"/>
        <v>192.50979731693528</v>
      </c>
      <c r="H34" s="179">
        <f t="shared" si="42"/>
        <v>0.26433724588137369</v>
      </c>
      <c r="I34" s="213">
        <f t="shared" si="43"/>
        <v>2.8503607211696158</v>
      </c>
      <c r="J34" s="214">
        <f t="shared" ca="1" si="44"/>
        <v>1.519909469382299</v>
      </c>
      <c r="K34" s="176">
        <f>DANE!O34</f>
        <v>42</v>
      </c>
      <c r="L34" s="188">
        <f t="shared" si="2"/>
        <v>199</v>
      </c>
      <c r="M34" s="177">
        <f t="shared" ca="1" si="18"/>
        <v>23.714285714285715</v>
      </c>
      <c r="N34" s="209">
        <f t="shared" ref="N34:N296" si="62">IF(ISBLANK(K34),"",(1-$DQ$2)*N33+K34)</f>
        <v>166.28571428571428</v>
      </c>
      <c r="O34" s="179"/>
      <c r="P34" s="213"/>
      <c r="Q34" s="217"/>
      <c r="R34" s="176">
        <f>DANE!S34</f>
        <v>7</v>
      </c>
      <c r="S34" s="188">
        <f t="shared" si="3"/>
        <v>158</v>
      </c>
      <c r="T34" s="177">
        <f t="shared" ca="1" si="19"/>
        <v>11.428571428571429</v>
      </c>
      <c r="U34" s="209">
        <f t="shared" si="50"/>
        <v>82.186019430679423</v>
      </c>
      <c r="V34" s="179">
        <f t="shared" si="55"/>
        <v>-6.3055072665996012E-2</v>
      </c>
      <c r="W34" s="213">
        <f t="shared" si="56"/>
        <v>0.55861449133802787</v>
      </c>
      <c r="X34" s="214">
        <f t="shared" ca="1" si="57"/>
        <v>0.90215381390954874</v>
      </c>
      <c r="Y34" s="176">
        <f>DANE!W34</f>
        <v>2</v>
      </c>
      <c r="Z34" s="188">
        <f t="shared" si="4"/>
        <v>50</v>
      </c>
      <c r="AA34" s="177">
        <f t="shared" ca="1" si="20"/>
        <v>2.7142857142857144</v>
      </c>
      <c r="AB34" s="209"/>
      <c r="AC34" s="179"/>
      <c r="AD34" s="213"/>
      <c r="AE34" s="217"/>
      <c r="AF34" s="176">
        <f>DANE!AA34</f>
        <v>12</v>
      </c>
      <c r="AG34" s="188">
        <f t="shared" si="5"/>
        <v>248</v>
      </c>
      <c r="AH34" s="177">
        <f t="shared" ca="1" si="21"/>
        <v>11.428571428571429</v>
      </c>
      <c r="AI34" s="209">
        <f t="shared" si="37"/>
        <v>84.537669301267215</v>
      </c>
      <c r="AJ34" s="179">
        <f t="shared" si="39"/>
        <v>-1.0588967211231978E-3</v>
      </c>
      <c r="AK34" s="213">
        <f t="shared" si="40"/>
        <v>0.9925877229521376</v>
      </c>
      <c r="AL34" s="214">
        <f t="shared" ca="1" si="41"/>
        <v>0.94199430111767435</v>
      </c>
      <c r="AM34" s="176">
        <f>DANE!AE34</f>
        <v>32</v>
      </c>
      <c r="AN34" s="188">
        <f t="shared" si="6"/>
        <v>262</v>
      </c>
      <c r="AO34" s="177">
        <f t="shared" ca="1" si="22"/>
        <v>24.142857142857142</v>
      </c>
      <c r="AP34" s="209">
        <f t="shared" si="49"/>
        <v>143.50799168956573</v>
      </c>
      <c r="AQ34" s="179">
        <f t="shared" si="51"/>
        <v>0.10312138310296588</v>
      </c>
      <c r="AR34" s="213">
        <f t="shared" si="52"/>
        <v>1.7218496817207614</v>
      </c>
      <c r="AS34" s="217">
        <f t="shared" ca="1" si="53"/>
        <v>1.2295965648625553</v>
      </c>
      <c r="AT34" s="176">
        <f>DANE!AI34</f>
        <v>54</v>
      </c>
      <c r="AU34" s="188">
        <f t="shared" si="7"/>
        <v>808</v>
      </c>
      <c r="AV34" s="177">
        <f t="shared" ca="1" si="23"/>
        <v>70</v>
      </c>
      <c r="AW34" s="211">
        <f t="shared" si="33"/>
        <v>395.43612969349272</v>
      </c>
      <c r="AX34" s="200">
        <f t="shared" si="34"/>
        <v>-7.2952902574634354E-3</v>
      </c>
      <c r="AY34" s="213">
        <f t="shared" si="35"/>
        <v>0.94893296819775597</v>
      </c>
      <c r="AZ34" s="214">
        <f t="shared" ca="1" si="36"/>
        <v>1.9282777984458106</v>
      </c>
      <c r="BA34" s="176">
        <f>DANE!AM34</f>
        <v>12</v>
      </c>
      <c r="BB34" s="188">
        <f t="shared" si="8"/>
        <v>90</v>
      </c>
      <c r="BC34" s="177">
        <f t="shared" ca="1" si="24"/>
        <v>8.8571428571428577</v>
      </c>
      <c r="BD34" s="209"/>
      <c r="BE34" s="179"/>
      <c r="BF34" s="213"/>
      <c r="BG34" s="217"/>
      <c r="BH34" s="176">
        <f>DANE!AQ34</f>
        <v>14</v>
      </c>
      <c r="BI34" s="188">
        <f t="shared" si="9"/>
        <v>125</v>
      </c>
      <c r="BJ34" s="177">
        <f t="shared" ca="1" si="25"/>
        <v>9.1428571428571423</v>
      </c>
      <c r="BK34" s="209">
        <f t="shared" si="61"/>
        <v>86.437317784256578</v>
      </c>
      <c r="BL34" s="179">
        <f t="shared" ref="BL34:BL296" si="63">IF(ISBLANK(BH34),"",(BK34-BK33)/BK33)</f>
        <v>2.2803325628730192E-2</v>
      </c>
      <c r="BM34" s="213">
        <f t="shared" ref="BM34:BM296" si="64">IF(ISBLANK(BH34),"",1+BL34/$DQ$2)</f>
        <v>1.1596232794011114</v>
      </c>
      <c r="BN34" s="214">
        <f t="shared" ref="BN34:BN296" ca="1" si="65">IF(ISBLANK(BH34),"",AVERAGE((OFFSET(BM34,(-1)*($DU$2-1),0)):BM34))</f>
        <v>1.1596232794011114</v>
      </c>
      <c r="BO34" s="176">
        <f>DANE!AU34</f>
        <v>15</v>
      </c>
      <c r="BP34" s="188">
        <f t="shared" si="10"/>
        <v>74</v>
      </c>
      <c r="BQ34" s="177">
        <f t="shared" ca="1" si="26"/>
        <v>8.1428571428571423</v>
      </c>
      <c r="BR34" s="209"/>
      <c r="BS34" s="179"/>
      <c r="BT34" s="213"/>
      <c r="BU34" s="217"/>
      <c r="BV34" s="176">
        <f>DANE!AY34</f>
        <v>12</v>
      </c>
      <c r="BW34" s="188">
        <f t="shared" si="11"/>
        <v>82</v>
      </c>
      <c r="BX34" s="177">
        <f t="shared" ca="1" si="27"/>
        <v>7.1428571428571432</v>
      </c>
      <c r="BY34" s="209"/>
      <c r="BZ34" s="179"/>
      <c r="CA34" s="180"/>
      <c r="CB34" s="181"/>
      <c r="CC34" s="176">
        <f>DANE!BC34</f>
        <v>130</v>
      </c>
      <c r="CD34" s="188">
        <f t="shared" si="12"/>
        <v>431</v>
      </c>
      <c r="CE34" s="177">
        <f t="shared" ca="1" si="28"/>
        <v>41.428571428571431</v>
      </c>
      <c r="CF34" s="209">
        <f t="shared" si="45"/>
        <v>260.52845564532993</v>
      </c>
      <c r="CG34" s="179">
        <f t="shared" si="46"/>
        <v>0.71081549792965726</v>
      </c>
      <c r="CH34" s="213">
        <f t="shared" si="47"/>
        <v>5.9757084855076013</v>
      </c>
      <c r="CI34" s="217">
        <f t="shared" ca="1" si="48"/>
        <v>2.1844796175838419</v>
      </c>
      <c r="CJ34" s="176">
        <f>DANE!BG34</f>
        <v>17</v>
      </c>
      <c r="CK34" s="188">
        <f t="shared" si="13"/>
        <v>79</v>
      </c>
      <c r="CL34" s="177">
        <f t="shared" ca="1" si="29"/>
        <v>8.1428571428571423</v>
      </c>
      <c r="CM34" s="209"/>
      <c r="CN34" s="179"/>
      <c r="CO34" s="180"/>
      <c r="CP34" s="181"/>
      <c r="CQ34" s="176">
        <f>DANE!BK34</f>
        <v>8</v>
      </c>
      <c r="CR34" s="188">
        <f t="shared" si="14"/>
        <v>75</v>
      </c>
      <c r="CS34" s="177">
        <f t="shared" ca="1" si="30"/>
        <v>4.4285714285714288</v>
      </c>
      <c r="CT34" s="209"/>
      <c r="CU34" s="179"/>
      <c r="CV34" s="180"/>
      <c r="CW34" s="218"/>
      <c r="CX34" s="176">
        <f>DANE!BO34</f>
        <v>18</v>
      </c>
      <c r="CY34" s="188">
        <f t="shared" si="15"/>
        <v>213</v>
      </c>
      <c r="CZ34" s="177">
        <f t="shared" ca="1" si="31"/>
        <v>17.571428571428573</v>
      </c>
      <c r="DA34" s="211">
        <f t="shared" si="54"/>
        <v>122.16904521075405</v>
      </c>
      <c r="DB34" s="200">
        <f t="shared" si="58"/>
        <v>5.2537608893248383E-3</v>
      </c>
      <c r="DC34" s="213">
        <f t="shared" si="59"/>
        <v>1.0367763262252738</v>
      </c>
      <c r="DD34" s="214">
        <f t="shared" ca="1" si="60"/>
        <v>1.2837637098896719</v>
      </c>
      <c r="DE34" s="176">
        <f>DANE!BS34</f>
        <v>0</v>
      </c>
      <c r="DF34" s="188">
        <f t="shared" si="16"/>
        <v>89</v>
      </c>
      <c r="DG34" s="177">
        <f t="shared" ca="1" si="32"/>
        <v>7</v>
      </c>
      <c r="DH34" s="209"/>
      <c r="DI34" s="179"/>
      <c r="DJ34" s="177"/>
      <c r="DK34" s="221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</row>
    <row r="35" spans="1:138" x14ac:dyDescent="0.25">
      <c r="A35" s="61">
        <v>43925</v>
      </c>
      <c r="B35" s="62" t="str">
        <f t="shared" ca="1" si="0"/>
        <v/>
      </c>
      <c r="C35" s="12">
        <v>32</v>
      </c>
      <c r="D35" s="176">
        <f>DANE!K35</f>
        <v>7</v>
      </c>
      <c r="E35" s="198">
        <f t="shared" si="1"/>
        <v>407</v>
      </c>
      <c r="F35" s="178">
        <f t="shared" ca="1" si="17"/>
        <v>27.571428571428573</v>
      </c>
      <c r="G35" s="211">
        <f t="shared" si="38"/>
        <v>172.00839770023026</v>
      </c>
      <c r="H35" s="200">
        <f t="shared" si="42"/>
        <v>-0.10649535713215094</v>
      </c>
      <c r="I35" s="213">
        <f t="shared" si="43"/>
        <v>0.25453250007494332</v>
      </c>
      <c r="J35" s="214">
        <f t="shared" ca="1" si="44"/>
        <v>1.3838845272642657</v>
      </c>
      <c r="K35" s="176">
        <f>DANE!O35</f>
        <v>25</v>
      </c>
      <c r="L35" s="198">
        <f t="shared" si="2"/>
        <v>224</v>
      </c>
      <c r="M35" s="177">
        <f t="shared" ca="1" si="18"/>
        <v>26.714285714285715</v>
      </c>
      <c r="N35" s="211">
        <f t="shared" si="62"/>
        <v>167.53061224489795</v>
      </c>
      <c r="O35" s="200">
        <f t="shared" ref="O35:O296" si="66">IF(ISBLANK(K35),"",(N35-N34)/N34)</f>
        <v>7.4864997545409989E-3</v>
      </c>
      <c r="P35" s="213">
        <f t="shared" ref="P35:P296" si="67">IF(ISBLANK(K35),"",1+O35/$DQ$2)</f>
        <v>1.052405498281787</v>
      </c>
      <c r="Q35" s="217">
        <f t="shared" ref="Q35:Q296" ca="1" si="68">IF(ISBLANK(K35),"",AVERAGE((OFFSET(P35,(-1)*($DU$2-1),0)):P35))</f>
        <v>1.052405498281787</v>
      </c>
      <c r="R35" s="176">
        <f>DANE!S35</f>
        <v>7</v>
      </c>
      <c r="S35" s="198">
        <f t="shared" si="3"/>
        <v>165</v>
      </c>
      <c r="T35" s="177">
        <f t="shared" ca="1" si="19"/>
        <v>11.142857142857142</v>
      </c>
      <c r="U35" s="211">
        <f t="shared" si="50"/>
        <v>77.445159512010946</v>
      </c>
      <c r="V35" s="200">
        <f t="shared" si="55"/>
        <v>-5.7684505850380062E-2</v>
      </c>
      <c r="W35" s="213">
        <f t="shared" si="56"/>
        <v>0.59620845904733955</v>
      </c>
      <c r="X35" s="214">
        <f t="shared" ca="1" si="57"/>
        <v>0.84096474293710699</v>
      </c>
      <c r="Y35" s="176">
        <f>DANE!W35</f>
        <v>6</v>
      </c>
      <c r="Z35" s="198">
        <f t="shared" si="4"/>
        <v>56</v>
      </c>
      <c r="AA35" s="177">
        <f t="shared" ca="1" si="20"/>
        <v>3.2857142857142856</v>
      </c>
      <c r="AB35" s="211"/>
      <c r="AC35" s="200"/>
      <c r="AD35" s="213"/>
      <c r="AE35" s="217"/>
      <c r="AF35" s="176">
        <f>DANE!AA35</f>
        <v>11</v>
      </c>
      <c r="AG35" s="198">
        <f t="shared" si="5"/>
        <v>259</v>
      </c>
      <c r="AH35" s="177">
        <f t="shared" ca="1" si="21"/>
        <v>11</v>
      </c>
      <c r="AI35" s="211">
        <f t="shared" si="37"/>
        <v>83.460859401086196</v>
      </c>
      <c r="AJ35" s="200">
        <f t="shared" si="39"/>
        <v>-1.2737634111292884E-2</v>
      </c>
      <c r="AK35" s="213">
        <f t="shared" si="40"/>
        <v>0.9108365612209498</v>
      </c>
      <c r="AL35" s="214">
        <f t="shared" ca="1" si="41"/>
        <v>0.91670045173077253</v>
      </c>
      <c r="AM35" s="176">
        <f>DANE!AE35</f>
        <v>46</v>
      </c>
      <c r="AN35" s="198">
        <f t="shared" si="6"/>
        <v>308</v>
      </c>
      <c r="AO35" s="177">
        <f t="shared" ca="1" si="22"/>
        <v>28</v>
      </c>
      <c r="AP35" s="211">
        <f t="shared" si="49"/>
        <v>169.00685001962779</v>
      </c>
      <c r="AQ35" s="200">
        <f t="shared" si="51"/>
        <v>0.17768249718956977</v>
      </c>
      <c r="AR35" s="213">
        <f t="shared" si="52"/>
        <v>2.2437774803269885</v>
      </c>
      <c r="AS35" s="217">
        <f t="shared" ca="1" si="53"/>
        <v>1.3986267174399607</v>
      </c>
      <c r="AT35" s="176">
        <f>DANE!AI35</f>
        <v>0</v>
      </c>
      <c r="AU35" s="198">
        <f t="shared" si="7"/>
        <v>808</v>
      </c>
      <c r="AV35" s="177">
        <f t="shared" ca="1" si="23"/>
        <v>55.285714285714285</v>
      </c>
      <c r="AW35" s="211">
        <f t="shared" si="33"/>
        <v>338.94525402299377</v>
      </c>
      <c r="AX35" s="200">
        <f t="shared" si="34"/>
        <v>-0.14285714285714285</v>
      </c>
      <c r="AY35" s="213">
        <f t="shared" si="35"/>
        <v>0</v>
      </c>
      <c r="AZ35" s="214">
        <f t="shared" ca="1" si="36"/>
        <v>1.3493875631389856</v>
      </c>
      <c r="BA35" s="176">
        <f>DANE!AM35</f>
        <v>0</v>
      </c>
      <c r="BB35" s="198">
        <f t="shared" si="8"/>
        <v>90</v>
      </c>
      <c r="BC35" s="177">
        <f t="shared" ca="1" si="24"/>
        <v>8.4285714285714288</v>
      </c>
      <c r="BD35" s="211"/>
      <c r="BE35" s="200"/>
      <c r="BF35" s="213"/>
      <c r="BG35" s="217"/>
      <c r="BH35" s="176">
        <f>DANE!AQ35</f>
        <v>11</v>
      </c>
      <c r="BI35" s="198">
        <f t="shared" si="9"/>
        <v>136</v>
      </c>
      <c r="BJ35" s="177">
        <f t="shared" ca="1" si="25"/>
        <v>9.2857142857142865</v>
      </c>
      <c r="BK35" s="209">
        <f t="shared" si="61"/>
        <v>85.089129529362793</v>
      </c>
      <c r="BL35" s="179">
        <f t="shared" si="63"/>
        <v>-1.5597293963456828E-2</v>
      </c>
      <c r="BM35" s="213">
        <f t="shared" si="64"/>
        <v>0.89081894225580216</v>
      </c>
      <c r="BN35" s="214">
        <f t="shared" ca="1" si="65"/>
        <v>1.0252211108284568</v>
      </c>
      <c r="BO35" s="176">
        <f>DANE!AU35</f>
        <v>8</v>
      </c>
      <c r="BP35" s="198">
        <f t="shared" si="10"/>
        <v>82</v>
      </c>
      <c r="BQ35" s="177">
        <f t="shared" ca="1" si="26"/>
        <v>8</v>
      </c>
      <c r="BR35" s="211"/>
      <c r="BS35" s="200"/>
      <c r="BT35" s="213"/>
      <c r="BU35" s="217"/>
      <c r="BV35" s="176">
        <f>DANE!AY35</f>
        <v>22</v>
      </c>
      <c r="BW35" s="198">
        <f t="shared" si="11"/>
        <v>104</v>
      </c>
      <c r="BX35" s="177">
        <f t="shared" ca="1" si="27"/>
        <v>9.7142857142857135</v>
      </c>
      <c r="BY35" s="224">
        <f>(1-$DQ$2)*BW34+BV35</f>
        <v>92.285714285714292</v>
      </c>
      <c r="BZ35" s="200"/>
      <c r="CA35" s="201"/>
      <c r="CB35" s="202"/>
      <c r="CC35" s="176">
        <f>DANE!BC35</f>
        <v>65</v>
      </c>
      <c r="CD35" s="198">
        <f t="shared" si="12"/>
        <v>496</v>
      </c>
      <c r="CE35" s="177">
        <f t="shared" ca="1" si="28"/>
        <v>47.285714285714285</v>
      </c>
      <c r="CF35" s="209">
        <f t="shared" si="45"/>
        <v>288.31010483885427</v>
      </c>
      <c r="CG35" s="179">
        <f t="shared" si="46"/>
        <v>0.10663575740588144</v>
      </c>
      <c r="CH35" s="213">
        <f t="shared" si="47"/>
        <v>1.7464503018411701</v>
      </c>
      <c r="CI35" s="217">
        <f t="shared" ca="1" si="48"/>
        <v>2.1954606096357057</v>
      </c>
      <c r="CJ35" s="176">
        <f>DANE!BG35</f>
        <v>2</v>
      </c>
      <c r="CK35" s="198">
        <f t="shared" si="13"/>
        <v>81</v>
      </c>
      <c r="CL35" s="177">
        <f t="shared" ca="1" si="29"/>
        <v>7.7142857142857144</v>
      </c>
      <c r="CM35" s="211"/>
      <c r="CN35" s="200"/>
      <c r="CO35" s="201"/>
      <c r="CP35" s="202"/>
      <c r="CQ35" s="176">
        <f>DANE!BK35</f>
        <v>3</v>
      </c>
      <c r="CR35" s="198">
        <f t="shared" si="14"/>
        <v>78</v>
      </c>
      <c r="CS35" s="177">
        <f t="shared" ca="1" si="30"/>
        <v>4.5714285714285712</v>
      </c>
      <c r="CT35" s="211"/>
      <c r="CU35" s="200"/>
      <c r="CV35" s="201"/>
      <c r="CW35" s="212"/>
      <c r="CX35" s="176">
        <f>DANE!BO35</f>
        <v>20</v>
      </c>
      <c r="CY35" s="198">
        <f t="shared" si="15"/>
        <v>233</v>
      </c>
      <c r="CZ35" s="177">
        <f t="shared" ca="1" si="31"/>
        <v>19.142857142857142</v>
      </c>
      <c r="DA35" s="211">
        <f t="shared" si="54"/>
        <v>124.71632446636062</v>
      </c>
      <c r="DB35" s="200">
        <f t="shared" si="58"/>
        <v>2.0850447437092204E-2</v>
      </c>
      <c r="DC35" s="213">
        <f t="shared" si="59"/>
        <v>1.1459531320596454</v>
      </c>
      <c r="DD35" s="214">
        <f t="shared" ca="1" si="60"/>
        <v>1.2562015943236666</v>
      </c>
      <c r="DE35" s="176">
        <f>DANE!BS35</f>
        <v>11</v>
      </c>
      <c r="DF35" s="198">
        <f t="shared" si="16"/>
        <v>100</v>
      </c>
      <c r="DG35" s="177">
        <f t="shared" ca="1" si="32"/>
        <v>7</v>
      </c>
      <c r="DH35" s="224">
        <f>(1-$DQ$2)*DF34+DE35</f>
        <v>87.285714285714292</v>
      </c>
      <c r="DI35" s="200"/>
      <c r="DJ35" s="215"/>
      <c r="DK35" s="216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</row>
    <row r="36" spans="1:138" x14ac:dyDescent="0.25">
      <c r="A36" s="61">
        <v>43926</v>
      </c>
      <c r="B36" s="62" t="str">
        <f t="shared" ca="1" si="0"/>
        <v/>
      </c>
      <c r="C36" s="12">
        <v>33</v>
      </c>
      <c r="D36" s="176">
        <f>DANE!K36</f>
        <v>61</v>
      </c>
      <c r="E36" s="198">
        <f t="shared" si="1"/>
        <v>468</v>
      </c>
      <c r="F36" s="178">
        <f t="shared" ca="1" si="17"/>
        <v>33.428571428571431</v>
      </c>
      <c r="G36" s="211">
        <f t="shared" si="38"/>
        <v>208.43576945734023</v>
      </c>
      <c r="H36" s="200">
        <f t="shared" si="42"/>
        <v>0.2117767053478064</v>
      </c>
      <c r="I36" s="213">
        <f t="shared" si="43"/>
        <v>2.4824369374346449</v>
      </c>
      <c r="J36" s="214">
        <f t="shared" ca="1" si="44"/>
        <v>1.5790495865822709</v>
      </c>
      <c r="K36" s="176">
        <f>DANE!O36</f>
        <v>17</v>
      </c>
      <c r="L36" s="198">
        <f t="shared" si="2"/>
        <v>241</v>
      </c>
      <c r="M36" s="177">
        <f t="shared" ca="1" si="18"/>
        <v>27.714285714285715</v>
      </c>
      <c r="N36" s="211">
        <f t="shared" si="62"/>
        <v>160.59766763848398</v>
      </c>
      <c r="O36" s="200">
        <f t="shared" si="66"/>
        <v>-4.1383150897098854E-2</v>
      </c>
      <c r="P36" s="213">
        <f t="shared" si="67"/>
        <v>0.71031794372030799</v>
      </c>
      <c r="Q36" s="217">
        <f t="shared" ca="1" si="68"/>
        <v>0.88136172100104748</v>
      </c>
      <c r="R36" s="176">
        <f>DANE!S36</f>
        <v>9</v>
      </c>
      <c r="S36" s="198">
        <f t="shared" si="3"/>
        <v>174</v>
      </c>
      <c r="T36" s="177">
        <f t="shared" ca="1" si="19"/>
        <v>9.8571428571428577</v>
      </c>
      <c r="U36" s="211">
        <f t="shared" si="50"/>
        <v>75.381565296009384</v>
      </c>
      <c r="V36" s="200">
        <f t="shared" si="55"/>
        <v>-2.6645877276313436E-2</v>
      </c>
      <c r="W36" s="213">
        <f t="shared" si="56"/>
        <v>0.81347885906580597</v>
      </c>
      <c r="X36" s="214">
        <f t="shared" ca="1" si="57"/>
        <v>0.83638376229189015</v>
      </c>
      <c r="Y36" s="176">
        <f>DANE!W36</f>
        <v>3</v>
      </c>
      <c r="Z36" s="198">
        <f t="shared" si="4"/>
        <v>59</v>
      </c>
      <c r="AA36" s="177">
        <f t="shared" ca="1" si="20"/>
        <v>3.7142857142857144</v>
      </c>
      <c r="AB36" s="211"/>
      <c r="AC36" s="200"/>
      <c r="AD36" s="213"/>
      <c r="AE36" s="217"/>
      <c r="AF36" s="176">
        <f>DANE!AA36</f>
        <v>67</v>
      </c>
      <c r="AG36" s="198">
        <f t="shared" si="5"/>
        <v>326</v>
      </c>
      <c r="AH36" s="177">
        <f t="shared" ca="1" si="21"/>
        <v>19.428571428571427</v>
      </c>
      <c r="AI36" s="211">
        <f t="shared" si="37"/>
        <v>138.53787948664532</v>
      </c>
      <c r="AJ36" s="200">
        <f t="shared" si="39"/>
        <v>0.65991436561749961</v>
      </c>
      <c r="AK36" s="213">
        <f t="shared" si="40"/>
        <v>5.6194005593224974</v>
      </c>
      <c r="AL36" s="214">
        <f t="shared" ca="1" si="41"/>
        <v>1.6317655870885974</v>
      </c>
      <c r="AM36" s="176">
        <f>DANE!AE36</f>
        <v>19</v>
      </c>
      <c r="AN36" s="198">
        <f t="shared" si="6"/>
        <v>327</v>
      </c>
      <c r="AO36" s="177">
        <f t="shared" ca="1" si="22"/>
        <v>25.285714285714285</v>
      </c>
      <c r="AP36" s="211">
        <f t="shared" si="49"/>
        <v>163.86301430253812</v>
      </c>
      <c r="AQ36" s="200">
        <f t="shared" si="51"/>
        <v>-3.0435664095817935E-2</v>
      </c>
      <c r="AR36" s="213">
        <f t="shared" si="52"/>
        <v>0.78695035132927438</v>
      </c>
      <c r="AS36" s="217">
        <f t="shared" ca="1" si="53"/>
        <v>1.3112443794241482</v>
      </c>
      <c r="AT36" s="176">
        <f>DANE!AI36</f>
        <v>159</v>
      </c>
      <c r="AU36" s="198">
        <f t="shared" si="7"/>
        <v>967</v>
      </c>
      <c r="AV36" s="177">
        <f t="shared" ca="1" si="23"/>
        <v>72.285714285714292</v>
      </c>
      <c r="AW36" s="211">
        <f t="shared" si="33"/>
        <v>449.52450344828037</v>
      </c>
      <c r="AX36" s="200">
        <f t="shared" si="34"/>
        <v>0.32624516234643897</v>
      </c>
      <c r="AY36" s="213">
        <f t="shared" si="35"/>
        <v>3.2837161364250731</v>
      </c>
      <c r="AZ36" s="214">
        <f t="shared" ca="1" si="36"/>
        <v>1.6619393382407652</v>
      </c>
      <c r="BA36" s="176">
        <f>DANE!AM36</f>
        <v>4</v>
      </c>
      <c r="BB36" s="198">
        <f t="shared" si="8"/>
        <v>94</v>
      </c>
      <c r="BC36" s="177">
        <f t="shared" ca="1" si="24"/>
        <v>7.2857142857142856</v>
      </c>
      <c r="BD36" s="211"/>
      <c r="BE36" s="200"/>
      <c r="BF36" s="213"/>
      <c r="BG36" s="217"/>
      <c r="BH36" s="176">
        <f>DANE!AQ36</f>
        <v>13</v>
      </c>
      <c r="BI36" s="198">
        <f t="shared" si="9"/>
        <v>149</v>
      </c>
      <c r="BJ36" s="177">
        <f t="shared" ca="1" si="25"/>
        <v>10.428571428571429</v>
      </c>
      <c r="BK36" s="209">
        <f t="shared" si="61"/>
        <v>85.933539596596688</v>
      </c>
      <c r="BL36" s="179">
        <f t="shared" si="63"/>
        <v>9.9238301285301481E-3</v>
      </c>
      <c r="BM36" s="213">
        <f t="shared" si="64"/>
        <v>1.069466810899711</v>
      </c>
      <c r="BN36" s="214">
        <f t="shared" ca="1" si="65"/>
        <v>1.0399696775188749</v>
      </c>
      <c r="BO36" s="176">
        <f>DANE!AU36</f>
        <v>9</v>
      </c>
      <c r="BP36" s="198">
        <f t="shared" si="10"/>
        <v>91</v>
      </c>
      <c r="BQ36" s="177">
        <f t="shared" ca="1" si="26"/>
        <v>9</v>
      </c>
      <c r="BR36" s="211"/>
      <c r="BS36" s="200"/>
      <c r="BT36" s="213"/>
      <c r="BU36" s="217"/>
      <c r="BV36" s="176">
        <f>DANE!AY36</f>
        <v>13</v>
      </c>
      <c r="BW36" s="198">
        <f t="shared" si="11"/>
        <v>117</v>
      </c>
      <c r="BX36" s="177">
        <f t="shared" ca="1" si="27"/>
        <v>10.285714285714286</v>
      </c>
      <c r="BY36" s="209">
        <f t="shared" ref="BY36:BY296" si="69">IF(ISBLANK(BV36),"",(1-$DQ$2)*BY35+BV36)</f>
        <v>92.102040816326536</v>
      </c>
      <c r="BZ36" s="179"/>
      <c r="CA36" s="213"/>
      <c r="CB36" s="214"/>
      <c r="CC36" s="176">
        <f>DANE!BC36</f>
        <v>41</v>
      </c>
      <c r="CD36" s="198">
        <f t="shared" si="12"/>
        <v>537</v>
      </c>
      <c r="CE36" s="177">
        <f t="shared" ca="1" si="28"/>
        <v>48.857142857142854</v>
      </c>
      <c r="CF36" s="209">
        <f t="shared" si="45"/>
        <v>288.12294700473228</v>
      </c>
      <c r="CG36" s="179">
        <f t="shared" si="46"/>
        <v>-6.4915461158254804E-4</v>
      </c>
      <c r="CH36" s="213">
        <f t="shared" si="47"/>
        <v>0.99545591771892217</v>
      </c>
      <c r="CI36" s="217">
        <f t="shared" ca="1" si="48"/>
        <v>2.0655574414371842</v>
      </c>
      <c r="CJ36" s="176">
        <f>DANE!BG36</f>
        <v>12</v>
      </c>
      <c r="CK36" s="198">
        <f t="shared" si="13"/>
        <v>93</v>
      </c>
      <c r="CL36" s="177">
        <f t="shared" ca="1" si="29"/>
        <v>8.4285714285714288</v>
      </c>
      <c r="CM36" s="211"/>
      <c r="CN36" s="200"/>
      <c r="CO36" s="201"/>
      <c r="CP36" s="202"/>
      <c r="CQ36" s="176">
        <f>DANE!BK36</f>
        <v>2</v>
      </c>
      <c r="CR36" s="198">
        <f t="shared" si="14"/>
        <v>80</v>
      </c>
      <c r="CS36" s="177">
        <f t="shared" ca="1" si="30"/>
        <v>3.4285714285714284</v>
      </c>
      <c r="CT36" s="211"/>
      <c r="CU36" s="200"/>
      <c r="CV36" s="201"/>
      <c r="CW36" s="212"/>
      <c r="CX36" s="176">
        <f>DANE!BO36</f>
        <v>40</v>
      </c>
      <c r="CY36" s="198">
        <f t="shared" si="15"/>
        <v>273</v>
      </c>
      <c r="CZ36" s="177">
        <f t="shared" ca="1" si="31"/>
        <v>23.571428571428573</v>
      </c>
      <c r="DA36" s="211">
        <f t="shared" si="54"/>
        <v>146.89970668545197</v>
      </c>
      <c r="DB36" s="200">
        <f t="shared" si="58"/>
        <v>0.17787071832023735</v>
      </c>
      <c r="DC36" s="213">
        <f t="shared" si="59"/>
        <v>2.2450950282416615</v>
      </c>
      <c r="DD36" s="214">
        <f t="shared" ca="1" si="60"/>
        <v>1.4210171666433322</v>
      </c>
      <c r="DE36" s="176">
        <f>DANE!BS36</f>
        <v>6</v>
      </c>
      <c r="DF36" s="198">
        <f t="shared" si="16"/>
        <v>106</v>
      </c>
      <c r="DG36" s="177">
        <f t="shared" ca="1" si="32"/>
        <v>7</v>
      </c>
      <c r="DH36" s="209">
        <f t="shared" ref="DH36:DH296" si="70">IF(ISBLANK(DE36),"",(1-$DQ$2)*DH35+DE36)</f>
        <v>80.816326530612258</v>
      </c>
      <c r="DI36" s="179"/>
      <c r="DJ36" s="157"/>
      <c r="DK36" s="22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</row>
    <row r="37" spans="1:138" x14ac:dyDescent="0.25">
      <c r="A37" s="32">
        <v>43927</v>
      </c>
      <c r="B37" s="33" t="str">
        <f t="shared" ca="1" si="0"/>
        <v/>
      </c>
      <c r="C37" s="51">
        <v>34</v>
      </c>
      <c r="D37" s="176">
        <f>DANE!K37</f>
        <v>20</v>
      </c>
      <c r="E37" s="188">
        <f t="shared" si="1"/>
        <v>488</v>
      </c>
      <c r="F37" s="178">
        <f t="shared" ca="1" si="17"/>
        <v>32.857142857142854</v>
      </c>
      <c r="G37" s="209">
        <f t="shared" si="38"/>
        <v>198.65923096343448</v>
      </c>
      <c r="H37" s="179">
        <f t="shared" si="42"/>
        <v>-4.6904322225301519E-2</v>
      </c>
      <c r="I37" s="213">
        <f t="shared" si="43"/>
        <v>0.6716697444228894</v>
      </c>
      <c r="J37" s="214">
        <f t="shared" ca="1" si="44"/>
        <v>1.4867667644180993</v>
      </c>
      <c r="K37" s="176">
        <f>DANE!O37</f>
        <v>4</v>
      </c>
      <c r="L37" s="188">
        <f t="shared" si="2"/>
        <v>245</v>
      </c>
      <c r="M37" s="177">
        <f t="shared" ca="1" si="18"/>
        <v>24.714285714285715</v>
      </c>
      <c r="N37" s="209">
        <f t="shared" si="62"/>
        <v>141.65514369012914</v>
      </c>
      <c r="O37" s="179">
        <f t="shared" si="66"/>
        <v>-0.11795018088927497</v>
      </c>
      <c r="P37" s="213">
        <f t="shared" si="67"/>
        <v>0.17434873377507509</v>
      </c>
      <c r="Q37" s="217">
        <f t="shared" ca="1" si="68"/>
        <v>0.64569072525905669</v>
      </c>
      <c r="R37" s="176">
        <f>DANE!S37</f>
        <v>7</v>
      </c>
      <c r="S37" s="188">
        <f t="shared" si="3"/>
        <v>181</v>
      </c>
      <c r="T37" s="177">
        <f t="shared" ca="1" si="19"/>
        <v>9.5714285714285712</v>
      </c>
      <c r="U37" s="209">
        <f t="shared" si="50"/>
        <v>71.612770253722331</v>
      </c>
      <c r="V37" s="179">
        <f t="shared" si="55"/>
        <v>-4.9996242814641691E-2</v>
      </c>
      <c r="W37" s="213">
        <f t="shared" si="56"/>
        <v>0.65002630029750819</v>
      </c>
      <c r="X37" s="214">
        <f t="shared" ca="1" si="57"/>
        <v>0.80976126772126411</v>
      </c>
      <c r="Y37" s="176">
        <f>DANE!W37</f>
        <v>3</v>
      </c>
      <c r="Z37" s="188">
        <f t="shared" si="4"/>
        <v>62</v>
      </c>
      <c r="AA37" s="177">
        <f t="shared" ca="1" si="20"/>
        <v>3.7142857142857144</v>
      </c>
      <c r="AB37" s="209"/>
      <c r="AC37" s="179"/>
      <c r="AD37" s="213"/>
      <c r="AE37" s="217"/>
      <c r="AF37" s="176">
        <f>DANE!AA37</f>
        <v>14</v>
      </c>
      <c r="AG37" s="188">
        <f t="shared" si="5"/>
        <v>340</v>
      </c>
      <c r="AH37" s="177">
        <f t="shared" ca="1" si="21"/>
        <v>19.714285714285715</v>
      </c>
      <c r="AI37" s="209">
        <f t="shared" si="37"/>
        <v>132.74675384569599</v>
      </c>
      <c r="AJ37" s="179">
        <f t="shared" si="39"/>
        <v>-4.1801748824281525E-2</v>
      </c>
      <c r="AK37" s="213">
        <f t="shared" si="40"/>
        <v>0.70738775823002931</v>
      </c>
      <c r="AL37" s="214">
        <f t="shared" ca="1" si="41"/>
        <v>1.5935823010634034</v>
      </c>
      <c r="AM37" s="176">
        <f>DANE!AE37</f>
        <v>22</v>
      </c>
      <c r="AN37" s="188">
        <f t="shared" si="6"/>
        <v>349</v>
      </c>
      <c r="AO37" s="177">
        <f t="shared" ca="1" si="22"/>
        <v>25</v>
      </c>
      <c r="AP37" s="209">
        <f t="shared" si="49"/>
        <v>162.4540122593184</v>
      </c>
      <c r="AQ37" s="179">
        <f t="shared" si="51"/>
        <v>-8.5986581488016155E-3</v>
      </c>
      <c r="AR37" s="213">
        <f t="shared" si="52"/>
        <v>0.93980939295838872</v>
      </c>
      <c r="AS37" s="217">
        <f t="shared" ca="1" si="53"/>
        <v>1.2497638494853525</v>
      </c>
      <c r="AT37" s="176">
        <f>DANE!AI37</f>
        <v>98</v>
      </c>
      <c r="AU37" s="188">
        <f t="shared" si="7"/>
        <v>1065</v>
      </c>
      <c r="AV37" s="177">
        <f t="shared" ca="1" si="23"/>
        <v>82.571428571428569</v>
      </c>
      <c r="AW37" s="209">
        <f t="shared" si="33"/>
        <v>483.30671724138318</v>
      </c>
      <c r="AX37" s="179">
        <f t="shared" si="34"/>
        <v>7.5150995182600974E-2</v>
      </c>
      <c r="AY37" s="213">
        <f t="shared" si="35"/>
        <v>1.5260569662782069</v>
      </c>
      <c r="AZ37" s="214">
        <f t="shared" ca="1" si="36"/>
        <v>1.7795642185355198</v>
      </c>
      <c r="BA37" s="176">
        <f>DANE!AM37</f>
        <v>7</v>
      </c>
      <c r="BB37" s="188">
        <f t="shared" si="8"/>
        <v>101</v>
      </c>
      <c r="BC37" s="177">
        <f t="shared" ca="1" si="24"/>
        <v>6.7142857142857144</v>
      </c>
      <c r="BD37" s="210">
        <f>(1-$DQ$2)*BB36+BA37</f>
        <v>87.571428571428584</v>
      </c>
      <c r="BE37" s="179"/>
      <c r="BF37" s="213"/>
      <c r="BG37" s="217"/>
      <c r="BH37" s="176">
        <f>DANE!AQ37</f>
        <v>7</v>
      </c>
      <c r="BI37" s="188">
        <f t="shared" si="9"/>
        <v>156</v>
      </c>
      <c r="BJ37" s="177">
        <f t="shared" ca="1" si="25"/>
        <v>10.857142857142858</v>
      </c>
      <c r="BK37" s="209">
        <f t="shared" si="61"/>
        <v>80.657319654225745</v>
      </c>
      <c r="BL37" s="179">
        <f t="shared" si="63"/>
        <v>-6.1398843421782E-2</v>
      </c>
      <c r="BM37" s="213">
        <f t="shared" si="64"/>
        <v>0.57020809604752598</v>
      </c>
      <c r="BN37" s="214">
        <f t="shared" ca="1" si="65"/>
        <v>0.92252928215103769</v>
      </c>
      <c r="BO37" s="176">
        <f>DANE!AU37</f>
        <v>18</v>
      </c>
      <c r="BP37" s="188">
        <f t="shared" si="10"/>
        <v>109</v>
      </c>
      <c r="BQ37" s="177">
        <f t="shared" ca="1" si="26"/>
        <v>10.428571428571429</v>
      </c>
      <c r="BR37" s="224">
        <f>(1-$DQ$2)*BP36+BO37</f>
        <v>96</v>
      </c>
      <c r="BS37" s="179"/>
      <c r="BT37" s="213"/>
      <c r="BU37" s="217"/>
      <c r="BV37" s="176">
        <f>DANE!AY37</f>
        <v>8</v>
      </c>
      <c r="BW37" s="188">
        <f t="shared" si="11"/>
        <v>125</v>
      </c>
      <c r="BX37" s="177">
        <f t="shared" ca="1" si="27"/>
        <v>11</v>
      </c>
      <c r="BY37" s="209">
        <f t="shared" si="69"/>
        <v>86.94460641399418</v>
      </c>
      <c r="BZ37" s="179">
        <f t="shared" ref="BZ37:BZ296" si="71">IF(ISBLANK(BV37),"",(BY37-BY36)/BY36)</f>
        <v>-5.5996961159823937E-2</v>
      </c>
      <c r="CA37" s="213">
        <f t="shared" ref="CA37:CA296" si="72">IF(ISBLANK(BV37),"",1+BZ37/$DQ$2)</f>
        <v>0.60802127188123234</v>
      </c>
      <c r="CB37" s="214">
        <f t="shared" ref="CB37:CB296" ca="1" si="73">IF(ISBLANK(BV37),"",AVERAGE((OFFSET(CA37,(-1)*($DU$2-1),0)):CA37))</f>
        <v>0.60802127188123234</v>
      </c>
      <c r="CC37" s="176">
        <f>DANE!BC37</f>
        <v>25</v>
      </c>
      <c r="CD37" s="188">
        <f t="shared" si="12"/>
        <v>562</v>
      </c>
      <c r="CE37" s="177">
        <f t="shared" ca="1" si="28"/>
        <v>50.428571428571431</v>
      </c>
      <c r="CF37" s="209">
        <f t="shared" si="45"/>
        <v>271.96252600405626</v>
      </c>
      <c r="CG37" s="179">
        <f t="shared" si="46"/>
        <v>-5.6088628721441602E-2</v>
      </c>
      <c r="CH37" s="213">
        <f t="shared" si="47"/>
        <v>0.60737959894990878</v>
      </c>
      <c r="CI37" s="217">
        <f t="shared" ca="1" si="48"/>
        <v>2.0398754308789608</v>
      </c>
      <c r="CJ37" s="176">
        <f>DANE!BG37</f>
        <v>10</v>
      </c>
      <c r="CK37" s="188">
        <f t="shared" si="13"/>
        <v>103</v>
      </c>
      <c r="CL37" s="177">
        <f t="shared" ca="1" si="29"/>
        <v>9.4285714285714288</v>
      </c>
      <c r="CM37" s="210">
        <f>(1-$DQ$2)*CK36+CJ37</f>
        <v>89.714285714285722</v>
      </c>
      <c r="CN37" s="179"/>
      <c r="CO37" s="180"/>
      <c r="CP37" s="181"/>
      <c r="CQ37" s="176">
        <f>DANE!BK37</f>
        <v>3</v>
      </c>
      <c r="CR37" s="188">
        <f t="shared" si="14"/>
        <v>83</v>
      </c>
      <c r="CS37" s="177">
        <f t="shared" ca="1" si="30"/>
        <v>3.7142857142857144</v>
      </c>
      <c r="CT37" s="209"/>
      <c r="CU37" s="179"/>
      <c r="CV37" s="180"/>
      <c r="CW37" s="218"/>
      <c r="CX37" s="176">
        <f>DANE!BO37</f>
        <v>54</v>
      </c>
      <c r="CY37" s="188">
        <f t="shared" si="15"/>
        <v>327</v>
      </c>
      <c r="CZ37" s="177">
        <f t="shared" ca="1" si="31"/>
        <v>27.857142857142858</v>
      </c>
      <c r="DA37" s="211">
        <f t="shared" si="54"/>
        <v>179.914034301816</v>
      </c>
      <c r="DB37" s="200">
        <f t="shared" si="58"/>
        <v>0.22474059588870207</v>
      </c>
      <c r="DC37" s="213">
        <f t="shared" si="59"/>
        <v>2.5731841712209147</v>
      </c>
      <c r="DD37" s="214">
        <f t="shared" ca="1" si="60"/>
        <v>1.5856124530115583</v>
      </c>
      <c r="DE37" s="176">
        <f>DANE!BS37</f>
        <v>11</v>
      </c>
      <c r="DF37" s="188">
        <f t="shared" si="16"/>
        <v>117</v>
      </c>
      <c r="DG37" s="177">
        <f t="shared" ca="1" si="32"/>
        <v>8.2857142857142865</v>
      </c>
      <c r="DH37" s="209">
        <f t="shared" si="70"/>
        <v>80.271137026239089</v>
      </c>
      <c r="DI37" s="179">
        <f t="shared" ref="DI37:DI296" si="74">IF(ISBLANK(DE37),"",(DH37-DH36)/DH36)</f>
        <v>-6.7460317460316431E-3</v>
      </c>
      <c r="DJ37" s="157">
        <f t="shared" ref="DJ37:DJ296" si="75">IF(ISBLANK(DE37),"",1+DI37/$DQ$2)</f>
        <v>0.9527777777777785</v>
      </c>
      <c r="DK37" s="225">
        <f t="shared" ref="DK37:DK296" ca="1" si="76">IF(ISBLANK(DE37),"",AVERAGE((OFFSET(DJ37,(-1)*($DU$2-1),0)):DJ37))</f>
        <v>0.9527777777777785</v>
      </c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</row>
    <row r="38" spans="1:138" x14ac:dyDescent="0.25">
      <c r="A38" s="32">
        <v>43928</v>
      </c>
      <c r="B38" s="33" t="str">
        <f t="shared" ca="1" si="0"/>
        <v/>
      </c>
      <c r="C38" s="51">
        <v>35</v>
      </c>
      <c r="D38" s="176">
        <f>DANE!K38</f>
        <v>39</v>
      </c>
      <c r="E38" s="188">
        <f t="shared" si="1"/>
        <v>527</v>
      </c>
      <c r="F38" s="178">
        <f t="shared" ca="1" si="17"/>
        <v>36.142857142857146</v>
      </c>
      <c r="G38" s="209">
        <f t="shared" si="38"/>
        <v>209.279340825801</v>
      </c>
      <c r="H38" s="179">
        <f t="shared" si="42"/>
        <v>5.3458929700182282E-2</v>
      </c>
      <c r="I38" s="213">
        <f t="shared" si="43"/>
        <v>1.3742125079012759</v>
      </c>
      <c r="J38" s="214">
        <f t="shared" ca="1" si="44"/>
        <v>1.5630397821986008</v>
      </c>
      <c r="K38" s="176">
        <f>DANE!O38</f>
        <v>19</v>
      </c>
      <c r="L38" s="188">
        <f t="shared" si="2"/>
        <v>264</v>
      </c>
      <c r="M38" s="177">
        <f t="shared" ca="1" si="18"/>
        <v>26.857142857142858</v>
      </c>
      <c r="N38" s="209">
        <f t="shared" si="62"/>
        <v>140.41869459153926</v>
      </c>
      <c r="O38" s="179">
        <f t="shared" si="66"/>
        <v>-8.7285859615137389E-3</v>
      </c>
      <c r="P38" s="213">
        <f t="shared" si="67"/>
        <v>0.93889989826940379</v>
      </c>
      <c r="Q38" s="217">
        <f t="shared" ca="1" si="68"/>
        <v>0.71899301851164343</v>
      </c>
      <c r="R38" s="176">
        <f>DANE!S38</f>
        <v>11</v>
      </c>
      <c r="S38" s="188">
        <f t="shared" si="3"/>
        <v>192</v>
      </c>
      <c r="T38" s="177">
        <f t="shared" ca="1" si="19"/>
        <v>8.5714285714285712</v>
      </c>
      <c r="U38" s="209">
        <f t="shared" si="50"/>
        <v>72.382374503190576</v>
      </c>
      <c r="V38" s="179">
        <f t="shared" si="55"/>
        <v>1.0746745960832894E-2</v>
      </c>
      <c r="W38" s="213">
        <f t="shared" si="56"/>
        <v>1.0752272217258303</v>
      </c>
      <c r="X38" s="214">
        <f t="shared" ca="1" si="57"/>
        <v>0.75962295279703607</v>
      </c>
      <c r="Y38" s="176">
        <f>DANE!W38</f>
        <v>0</v>
      </c>
      <c r="Z38" s="188">
        <f t="shared" si="4"/>
        <v>62</v>
      </c>
      <c r="AA38" s="177">
        <f t="shared" ca="1" si="20"/>
        <v>2.8571428571428572</v>
      </c>
      <c r="AB38" s="209"/>
      <c r="AC38" s="179"/>
      <c r="AD38" s="213"/>
      <c r="AE38" s="217"/>
      <c r="AF38" s="176">
        <f>DANE!AA38</f>
        <v>18</v>
      </c>
      <c r="AG38" s="188">
        <f t="shared" si="5"/>
        <v>358</v>
      </c>
      <c r="AH38" s="177">
        <f t="shared" ca="1" si="21"/>
        <v>21.428571428571427</v>
      </c>
      <c r="AI38" s="209">
        <f t="shared" si="37"/>
        <v>131.78293186773942</v>
      </c>
      <c r="AJ38" s="179">
        <f t="shared" si="39"/>
        <v>-7.2606067571106929E-3</v>
      </c>
      <c r="AK38" s="213">
        <f t="shared" si="40"/>
        <v>0.94917575270022514</v>
      </c>
      <c r="AL38" s="214">
        <f t="shared" ca="1" si="41"/>
        <v>1.6593066672870189</v>
      </c>
      <c r="AM38" s="176">
        <f>DANE!AE38</f>
        <v>22</v>
      </c>
      <c r="AN38" s="188">
        <f t="shared" si="6"/>
        <v>371</v>
      </c>
      <c r="AO38" s="177">
        <f t="shared" ca="1" si="22"/>
        <v>25.571428571428573</v>
      </c>
      <c r="AP38" s="209">
        <f t="shared" si="49"/>
        <v>161.24629622227292</v>
      </c>
      <c r="AQ38" s="179">
        <f t="shared" si="51"/>
        <v>-7.43420257985171E-3</v>
      </c>
      <c r="AR38" s="213">
        <f t="shared" si="52"/>
        <v>0.94796058194103805</v>
      </c>
      <c r="AS38" s="217">
        <f t="shared" ca="1" si="53"/>
        <v>1.2457558954537007</v>
      </c>
      <c r="AT38" s="176">
        <f>DANE!AI38</f>
        <v>182</v>
      </c>
      <c r="AU38" s="188">
        <f t="shared" si="7"/>
        <v>1247</v>
      </c>
      <c r="AV38" s="177">
        <f t="shared" ca="1" si="23"/>
        <v>100.42857142857143</v>
      </c>
      <c r="AW38" s="209">
        <f t="shared" si="33"/>
        <v>596.26290049261411</v>
      </c>
      <c r="AX38" s="179">
        <f t="shared" si="34"/>
        <v>0.23371531828889516</v>
      </c>
      <c r="AY38" s="213">
        <f t="shared" si="35"/>
        <v>2.6360072280222662</v>
      </c>
      <c r="AZ38" s="214">
        <f t="shared" ca="1" si="36"/>
        <v>1.9263037960541267</v>
      </c>
      <c r="BA38" s="176">
        <f>DANE!AM38</f>
        <v>6</v>
      </c>
      <c r="BB38" s="188">
        <f t="shared" si="8"/>
        <v>107</v>
      </c>
      <c r="BC38" s="177">
        <f t="shared" ca="1" si="24"/>
        <v>5.2857142857142856</v>
      </c>
      <c r="BD38" s="209">
        <f t="shared" ref="BD38:BD296" si="77">IF(ISBLANK(BA38),"",(1-$DQ$2)*BD37+BA38)</f>
        <v>81.061224489795933</v>
      </c>
      <c r="BE38" s="179"/>
      <c r="BF38" s="213"/>
      <c r="BG38" s="217"/>
      <c r="BH38" s="176">
        <f>DANE!AQ38</f>
        <v>12</v>
      </c>
      <c r="BI38" s="188">
        <f t="shared" si="9"/>
        <v>168</v>
      </c>
      <c r="BJ38" s="177">
        <f t="shared" ca="1" si="25"/>
        <v>10.428571428571429</v>
      </c>
      <c r="BK38" s="209">
        <f t="shared" si="61"/>
        <v>81.134845417907783</v>
      </c>
      <c r="BL38" s="179">
        <f t="shared" si="63"/>
        <v>5.9204268841212384E-3</v>
      </c>
      <c r="BM38" s="213">
        <f t="shared" si="64"/>
        <v>1.0414429881888487</v>
      </c>
      <c r="BN38" s="214">
        <f t="shared" ca="1" si="65"/>
        <v>0.94631202335859987</v>
      </c>
      <c r="BO38" s="176">
        <f>DANE!AU38</f>
        <v>18</v>
      </c>
      <c r="BP38" s="188">
        <f t="shared" si="10"/>
        <v>127</v>
      </c>
      <c r="BQ38" s="177">
        <f t="shared" ca="1" si="26"/>
        <v>13</v>
      </c>
      <c r="BR38" s="209">
        <f t="shared" ref="BR38:BR296" si="78">IF(ISBLANK(BO38),"",(1-$DQ$2)*BR37+BO38)</f>
        <v>100.28571428571429</v>
      </c>
      <c r="BS38" s="179"/>
      <c r="BT38" s="213"/>
      <c r="BU38" s="217"/>
      <c r="BV38" s="176">
        <f>DANE!AY38</f>
        <v>10</v>
      </c>
      <c r="BW38" s="188">
        <f t="shared" si="11"/>
        <v>135</v>
      </c>
      <c r="BX38" s="177">
        <f t="shared" ca="1" si="27"/>
        <v>11.571428571428571</v>
      </c>
      <c r="BY38" s="209">
        <f t="shared" si="69"/>
        <v>84.523948354852166</v>
      </c>
      <c r="BZ38" s="179">
        <f t="shared" si="71"/>
        <v>-2.784138268009223E-2</v>
      </c>
      <c r="CA38" s="213">
        <f t="shared" si="72"/>
        <v>0.80511032123935444</v>
      </c>
      <c r="CB38" s="214">
        <f t="shared" ca="1" si="73"/>
        <v>0.70656579656029339</v>
      </c>
      <c r="CC38" s="176">
        <f>DANE!BC38</f>
        <v>39</v>
      </c>
      <c r="CD38" s="188">
        <f t="shared" si="12"/>
        <v>601</v>
      </c>
      <c r="CE38" s="177">
        <f t="shared" ca="1" si="28"/>
        <v>48.142857142857146</v>
      </c>
      <c r="CF38" s="209">
        <f t="shared" si="45"/>
        <v>272.11073657490539</v>
      </c>
      <c r="CG38" s="179">
        <f t="shared" si="46"/>
        <v>5.4496688579411061E-4</v>
      </c>
      <c r="CH38" s="213">
        <f t="shared" si="47"/>
        <v>1.0038147682005587</v>
      </c>
      <c r="CI38" s="217">
        <f t="shared" ca="1" si="48"/>
        <v>1.7276536402157954</v>
      </c>
      <c r="CJ38" s="176">
        <f>DANE!BG38</f>
        <v>17</v>
      </c>
      <c r="CK38" s="188">
        <f t="shared" si="13"/>
        <v>120</v>
      </c>
      <c r="CL38" s="177">
        <f t="shared" ca="1" si="29"/>
        <v>10.142857142857142</v>
      </c>
      <c r="CM38" s="209">
        <f t="shared" ref="CM38:CM296" si="79">IF(ISBLANK(CJ38),"",(1-$DQ$2)*CM37+CJ38)</f>
        <v>93.897959183673478</v>
      </c>
      <c r="CN38" s="179"/>
      <c r="CO38" s="180"/>
      <c r="CP38" s="181"/>
      <c r="CQ38" s="176">
        <f>DANE!BK38</f>
        <v>4</v>
      </c>
      <c r="CR38" s="188">
        <f t="shared" si="14"/>
        <v>87</v>
      </c>
      <c r="CS38" s="177">
        <f t="shared" ca="1" si="30"/>
        <v>4.1428571428571432</v>
      </c>
      <c r="CT38" s="209"/>
      <c r="CU38" s="179"/>
      <c r="CV38" s="180"/>
      <c r="CW38" s="218"/>
      <c r="CX38" s="176">
        <f>DANE!BO38</f>
        <v>22</v>
      </c>
      <c r="CY38" s="188">
        <f t="shared" si="15"/>
        <v>349</v>
      </c>
      <c r="CZ38" s="177">
        <f t="shared" ca="1" si="31"/>
        <v>28.714285714285715</v>
      </c>
      <c r="DA38" s="211">
        <f t="shared" si="54"/>
        <v>176.21202940155658</v>
      </c>
      <c r="DB38" s="200">
        <f t="shared" si="58"/>
        <v>-2.057652097361733E-2</v>
      </c>
      <c r="DC38" s="213">
        <f t="shared" si="59"/>
        <v>0.85596435318467867</v>
      </c>
      <c r="DD38" s="214">
        <f t="shared" ca="1" si="60"/>
        <v>1.5547082370678074</v>
      </c>
      <c r="DE38" s="176">
        <f>DANE!BS38</f>
        <v>16</v>
      </c>
      <c r="DF38" s="188">
        <f t="shared" si="16"/>
        <v>133</v>
      </c>
      <c r="DG38" s="177">
        <f t="shared" ca="1" si="32"/>
        <v>9.1428571428571423</v>
      </c>
      <c r="DH38" s="209">
        <f t="shared" si="70"/>
        <v>84.803831736776374</v>
      </c>
      <c r="DI38" s="179">
        <f t="shared" si="74"/>
        <v>5.6467304170060961E-2</v>
      </c>
      <c r="DJ38" s="157">
        <f t="shared" si="75"/>
        <v>1.3952711291904267</v>
      </c>
      <c r="DK38" s="225">
        <f t="shared" ca="1" si="76"/>
        <v>1.1740244534841027</v>
      </c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</row>
    <row r="39" spans="1:138" x14ac:dyDescent="0.25">
      <c r="A39" s="32">
        <v>43929</v>
      </c>
      <c r="B39" s="33" t="str">
        <f t="shared" ca="1" si="0"/>
        <v/>
      </c>
      <c r="C39" s="51">
        <v>36</v>
      </c>
      <c r="D39" s="176">
        <f>DANE!K39</f>
        <v>12</v>
      </c>
      <c r="E39" s="188">
        <f t="shared" si="1"/>
        <v>539</v>
      </c>
      <c r="F39" s="178">
        <f t="shared" ca="1" si="17"/>
        <v>30.428571428571427</v>
      </c>
      <c r="G39" s="209">
        <f t="shared" si="38"/>
        <v>191.38229213640088</v>
      </c>
      <c r="H39" s="179">
        <f t="shared" si="42"/>
        <v>-8.5517512711860019E-2</v>
      </c>
      <c r="I39" s="213">
        <f t="shared" si="43"/>
        <v>0.40137741101697988</v>
      </c>
      <c r="J39" s="214">
        <f t="shared" ca="1" si="44"/>
        <v>1.2211309957777392</v>
      </c>
      <c r="K39" s="176">
        <f>DANE!O39</f>
        <v>13</v>
      </c>
      <c r="L39" s="188">
        <f t="shared" si="2"/>
        <v>277</v>
      </c>
      <c r="M39" s="177">
        <f t="shared" ca="1" si="18"/>
        <v>27.571428571428573</v>
      </c>
      <c r="N39" s="209">
        <f t="shared" si="62"/>
        <v>133.35888107846222</v>
      </c>
      <c r="O39" s="179">
        <f t="shared" si="66"/>
        <v>-5.0276877545494751E-2</v>
      </c>
      <c r="P39" s="213">
        <f t="shared" si="67"/>
        <v>0.64806185718153675</v>
      </c>
      <c r="Q39" s="217">
        <f t="shared" ca="1" si="68"/>
        <v>0.7048067862456221</v>
      </c>
      <c r="R39" s="176">
        <f>DANE!S39</f>
        <v>8</v>
      </c>
      <c r="S39" s="188">
        <f t="shared" si="3"/>
        <v>200</v>
      </c>
      <c r="T39" s="177">
        <f t="shared" ca="1" si="19"/>
        <v>9.5714285714285712</v>
      </c>
      <c r="U39" s="209">
        <f t="shared" si="50"/>
        <v>70.042035288449071</v>
      </c>
      <c r="V39" s="179">
        <f t="shared" si="55"/>
        <v>-3.2332998617478952E-2</v>
      </c>
      <c r="W39" s="213">
        <f t="shared" si="56"/>
        <v>0.77366900967764729</v>
      </c>
      <c r="X39" s="214">
        <f t="shared" ca="1" si="57"/>
        <v>0.85947769303022981</v>
      </c>
      <c r="Y39" s="176">
        <f>DANE!W39</f>
        <v>4</v>
      </c>
      <c r="Z39" s="188">
        <f t="shared" si="4"/>
        <v>66</v>
      </c>
      <c r="AA39" s="177">
        <f t="shared" ca="1" si="20"/>
        <v>2.7142857142857144</v>
      </c>
      <c r="AB39" s="209"/>
      <c r="AC39" s="179"/>
      <c r="AD39" s="213"/>
      <c r="AE39" s="217"/>
      <c r="AF39" s="176">
        <f>DANE!AA39</f>
        <v>42</v>
      </c>
      <c r="AG39" s="188">
        <f t="shared" si="5"/>
        <v>400</v>
      </c>
      <c r="AH39" s="177">
        <f t="shared" ca="1" si="21"/>
        <v>25.571428571428573</v>
      </c>
      <c r="AI39" s="209">
        <f t="shared" si="37"/>
        <v>154.95679874377666</v>
      </c>
      <c r="AJ39" s="179">
        <f t="shared" si="39"/>
        <v>0.17584877303606433</v>
      </c>
      <c r="AK39" s="213">
        <f t="shared" si="40"/>
        <v>2.2309414112524504</v>
      </c>
      <c r="AL39" s="214">
        <f t="shared" ca="1" si="41"/>
        <v>1.8147037942324544</v>
      </c>
      <c r="AM39" s="176">
        <f>DANE!AE39</f>
        <v>28</v>
      </c>
      <c r="AN39" s="188">
        <f t="shared" si="6"/>
        <v>399</v>
      </c>
      <c r="AO39" s="177">
        <f t="shared" ca="1" si="22"/>
        <v>27.142857142857142</v>
      </c>
      <c r="AP39" s="209">
        <f t="shared" si="49"/>
        <v>166.21111104766251</v>
      </c>
      <c r="AQ39" s="179">
        <f t="shared" si="51"/>
        <v>3.079025653119967E-2</v>
      </c>
      <c r="AR39" s="213">
        <f t="shared" si="52"/>
        <v>1.2155317957183978</v>
      </c>
      <c r="AS39" s="217">
        <f t="shared" ca="1" si="53"/>
        <v>1.2872658255155986</v>
      </c>
      <c r="AT39" s="176">
        <f>DANE!AI39</f>
        <v>67</v>
      </c>
      <c r="AU39" s="188">
        <f t="shared" si="7"/>
        <v>1314</v>
      </c>
      <c r="AV39" s="177">
        <f t="shared" ca="1" si="23"/>
        <v>100.28571428571429</v>
      </c>
      <c r="AW39" s="209">
        <f t="shared" si="33"/>
        <v>578.08248613652643</v>
      </c>
      <c r="AX39" s="179">
        <f t="shared" si="34"/>
        <v>-3.0490601278509163E-2</v>
      </c>
      <c r="AY39" s="213">
        <f t="shared" si="35"/>
        <v>0.78656579105043578</v>
      </c>
      <c r="AZ39" s="214">
        <f t="shared" ca="1" si="36"/>
        <v>1.7864231275732523</v>
      </c>
      <c r="BA39" s="176">
        <f>DANE!AM39</f>
        <v>9</v>
      </c>
      <c r="BB39" s="188">
        <f t="shared" si="8"/>
        <v>116</v>
      </c>
      <c r="BC39" s="177">
        <f t="shared" ca="1" si="24"/>
        <v>5.8571428571428568</v>
      </c>
      <c r="BD39" s="209">
        <f t="shared" si="77"/>
        <v>78.48104956268223</v>
      </c>
      <c r="BE39" s="179">
        <f t="shared" ref="BE39:BE296" si="80">IF(ISBLANK(BA39),"",(BD39-BD38)/BD38)</f>
        <v>-3.1829952524816567E-2</v>
      </c>
      <c r="BF39" s="213">
        <f t="shared" ref="BF39:BF296" si="81">IF(ISBLANK(BA39),"",1+BE39/$DQ$2)</f>
        <v>0.77719033232628398</v>
      </c>
      <c r="BG39" s="217">
        <f t="shared" ref="BG39:BG296" ca="1" si="82">IF(ISBLANK(BA39),"",AVERAGE((OFFSET(BF39,(-1)*($DU$2-1),0)):BF39))</f>
        <v>0.77719033232628398</v>
      </c>
      <c r="BH39" s="176">
        <f>DANE!AQ39</f>
        <v>12</v>
      </c>
      <c r="BI39" s="188">
        <f t="shared" si="9"/>
        <v>180</v>
      </c>
      <c r="BJ39" s="177">
        <f t="shared" ca="1" si="25"/>
        <v>10.857142857142858</v>
      </c>
      <c r="BK39" s="209">
        <f t="shared" si="61"/>
        <v>81.544153215349539</v>
      </c>
      <c r="BL39" s="179">
        <f t="shared" si="63"/>
        <v>5.0447843381410387E-3</v>
      </c>
      <c r="BM39" s="213">
        <f t="shared" si="64"/>
        <v>1.0353134903669872</v>
      </c>
      <c r="BN39" s="214">
        <f t="shared" ca="1" si="65"/>
        <v>0.96114560119333114</v>
      </c>
      <c r="BO39" s="176">
        <f>DANE!AU39</f>
        <v>22</v>
      </c>
      <c r="BP39" s="188">
        <f t="shared" si="10"/>
        <v>149</v>
      </c>
      <c r="BQ39" s="177">
        <f t="shared" ca="1" si="26"/>
        <v>14.571428571428571</v>
      </c>
      <c r="BR39" s="209">
        <f t="shared" si="78"/>
        <v>107.9591836734694</v>
      </c>
      <c r="BS39" s="179">
        <f t="shared" ref="BS39:BS296" si="83">IF(ISBLANK(BO39),"",(BR39-BR38)/BR38)</f>
        <v>7.6516076516076545E-2</v>
      </c>
      <c r="BT39" s="213">
        <f t="shared" ref="BT39:BT296" si="84">IF(ISBLANK(BO39),"",1+BS39/$DQ$2)</f>
        <v>1.5356125356125359</v>
      </c>
      <c r="BU39" s="217">
        <f t="shared" ref="BU39:BU296" ca="1" si="85">IF(ISBLANK(BO39),"",AVERAGE((OFFSET(BT39,(-1)*($DU$2-1),0)):BT39))</f>
        <v>1.5356125356125359</v>
      </c>
      <c r="BV39" s="176">
        <f>DANE!AY39</f>
        <v>8</v>
      </c>
      <c r="BW39" s="188">
        <f t="shared" si="11"/>
        <v>143</v>
      </c>
      <c r="BX39" s="177">
        <f t="shared" ca="1" si="27"/>
        <v>11.857142857142858</v>
      </c>
      <c r="BY39" s="209">
        <f t="shared" si="69"/>
        <v>80.449098589873287</v>
      </c>
      <c r="BZ39" s="179">
        <f t="shared" si="71"/>
        <v>-4.8209410992866367E-2</v>
      </c>
      <c r="CA39" s="213">
        <f t="shared" si="72"/>
        <v>0.66253412304993542</v>
      </c>
      <c r="CB39" s="214">
        <f t="shared" ca="1" si="73"/>
        <v>0.69188857205684073</v>
      </c>
      <c r="CC39" s="176">
        <f>DANE!BC39</f>
        <v>43</v>
      </c>
      <c r="CD39" s="188">
        <f t="shared" si="12"/>
        <v>644</v>
      </c>
      <c r="CE39" s="177">
        <f t="shared" ca="1" si="28"/>
        <v>53.142857142857146</v>
      </c>
      <c r="CF39" s="209">
        <f t="shared" si="45"/>
        <v>276.23777420706176</v>
      </c>
      <c r="CG39" s="179">
        <f t="shared" si="46"/>
        <v>1.5166757784363652E-2</v>
      </c>
      <c r="CH39" s="213">
        <f t="shared" si="47"/>
        <v>1.1061673044905456</v>
      </c>
      <c r="CI39" s="217">
        <f t="shared" ca="1" si="48"/>
        <v>1.8351944166079244</v>
      </c>
      <c r="CJ39" s="176">
        <f>DANE!BG39</f>
        <v>7</v>
      </c>
      <c r="CK39" s="188">
        <f t="shared" si="13"/>
        <v>127</v>
      </c>
      <c r="CL39" s="177">
        <f t="shared" ca="1" si="29"/>
        <v>10.285714285714286</v>
      </c>
      <c r="CM39" s="209">
        <f t="shared" si="79"/>
        <v>87.483965014577279</v>
      </c>
      <c r="CN39" s="179">
        <f t="shared" ref="CN39:CN296" si="86">IF(ISBLANK(CJ39),"",(CM39-CM38)/CM38)</f>
        <v>-6.8308131772595898E-2</v>
      </c>
      <c r="CO39" s="213">
        <f t="shared" ref="CO39:CO296" si="87">IF(ISBLANK(CJ39),"",1+CN39/$DQ$2)</f>
        <v>0.52184307759182869</v>
      </c>
      <c r="CP39" s="214">
        <f t="shared" ref="CP39:CP296" ca="1" si="88">IF(ISBLANK(CJ39),"",AVERAGE((OFFSET(CO39,(-1)*($DU$2-1),0)):CO39))</f>
        <v>0.52184307759182869</v>
      </c>
      <c r="CQ39" s="176">
        <f>DANE!BK39</f>
        <v>5</v>
      </c>
      <c r="CR39" s="188">
        <f t="shared" si="14"/>
        <v>92</v>
      </c>
      <c r="CS39" s="177">
        <f t="shared" ca="1" si="30"/>
        <v>4.4285714285714288</v>
      </c>
      <c r="CT39" s="209"/>
      <c r="CU39" s="179"/>
      <c r="CV39" s="213"/>
      <c r="CW39" s="217"/>
      <c r="CX39" s="176">
        <f>DANE!BO39</f>
        <v>45</v>
      </c>
      <c r="CY39" s="188">
        <f t="shared" si="15"/>
        <v>394</v>
      </c>
      <c r="CZ39" s="177">
        <f t="shared" ca="1" si="31"/>
        <v>32.142857142857146</v>
      </c>
      <c r="DA39" s="211">
        <f t="shared" si="54"/>
        <v>196.03888234419136</v>
      </c>
      <c r="DB39" s="200">
        <f t="shared" si="58"/>
        <v>0.11251702287278489</v>
      </c>
      <c r="DC39" s="213">
        <f t="shared" si="59"/>
        <v>1.7876191601094944</v>
      </c>
      <c r="DD39" s="214">
        <f t="shared" ca="1" si="60"/>
        <v>1.6110825133071838</v>
      </c>
      <c r="DE39" s="176">
        <f>DANE!BS39</f>
        <v>32</v>
      </c>
      <c r="DF39" s="188">
        <f t="shared" si="16"/>
        <v>165</v>
      </c>
      <c r="DG39" s="177">
        <f t="shared" ca="1" si="32"/>
        <v>12.285714285714286</v>
      </c>
      <c r="DH39" s="209">
        <f t="shared" si="70"/>
        <v>104.68899863152261</v>
      </c>
      <c r="DI39" s="179">
        <f t="shared" si="74"/>
        <v>0.23448429731887635</v>
      </c>
      <c r="DJ39" s="157">
        <f t="shared" si="75"/>
        <v>2.6413900812321343</v>
      </c>
      <c r="DK39" s="225">
        <f t="shared" ca="1" si="76"/>
        <v>1.663146329400113</v>
      </c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</row>
    <row r="40" spans="1:138" x14ac:dyDescent="0.25">
      <c r="A40" s="32">
        <v>43930</v>
      </c>
      <c r="B40" s="33" t="str">
        <f t="shared" ca="1" si="0"/>
        <v/>
      </c>
      <c r="C40" s="51">
        <v>37</v>
      </c>
      <c r="D40" s="176">
        <f>DANE!K40</f>
        <v>29</v>
      </c>
      <c r="E40" s="188">
        <f t="shared" si="1"/>
        <v>568</v>
      </c>
      <c r="F40" s="178">
        <f t="shared" ca="1" si="17"/>
        <v>32.857142857142854</v>
      </c>
      <c r="G40" s="209">
        <f t="shared" si="38"/>
        <v>193.04196468834363</v>
      </c>
      <c r="H40" s="179">
        <f t="shared" si="42"/>
        <v>8.6720277692142796E-3</v>
      </c>
      <c r="I40" s="213">
        <f t="shared" si="43"/>
        <v>1.0607041943844999</v>
      </c>
      <c r="J40" s="214">
        <f t="shared" ca="1" si="44"/>
        <v>1.2993277166292643</v>
      </c>
      <c r="K40" s="176">
        <f>DANE!O40</f>
        <v>3</v>
      </c>
      <c r="L40" s="188">
        <f t="shared" si="2"/>
        <v>280</v>
      </c>
      <c r="M40" s="177">
        <f t="shared" ca="1" si="18"/>
        <v>17.571428571428573</v>
      </c>
      <c r="N40" s="209">
        <f t="shared" si="62"/>
        <v>117.30761235296762</v>
      </c>
      <c r="O40" s="179">
        <f t="shared" si="66"/>
        <v>-0.1203614532132342</v>
      </c>
      <c r="P40" s="213">
        <f t="shared" si="67"/>
        <v>0.15746982750736049</v>
      </c>
      <c r="Q40" s="217">
        <f t="shared" ca="1" si="68"/>
        <v>0.61358395978924518</v>
      </c>
      <c r="R40" s="176">
        <f>DANE!S40</f>
        <v>5</v>
      </c>
      <c r="S40" s="188">
        <f t="shared" si="3"/>
        <v>205</v>
      </c>
      <c r="T40" s="177">
        <f t="shared" ca="1" si="19"/>
        <v>7.7142857142857144</v>
      </c>
      <c r="U40" s="209">
        <f t="shared" si="50"/>
        <v>65.036030247242067</v>
      </c>
      <c r="V40" s="179">
        <f t="shared" si="55"/>
        <v>-7.1471438837993978E-2</v>
      </c>
      <c r="W40" s="213">
        <f t="shared" si="56"/>
        <v>0.49969992813404218</v>
      </c>
      <c r="X40" s="214">
        <f t="shared" ca="1" si="57"/>
        <v>0.70956060989802872</v>
      </c>
      <c r="Y40" s="176">
        <f>DANE!W40</f>
        <v>3</v>
      </c>
      <c r="Z40" s="188">
        <f t="shared" si="4"/>
        <v>69</v>
      </c>
      <c r="AA40" s="177">
        <f t="shared" ca="1" si="20"/>
        <v>3</v>
      </c>
      <c r="AB40" s="209"/>
      <c r="AC40" s="179"/>
      <c r="AD40" s="213"/>
      <c r="AE40" s="217"/>
      <c r="AF40" s="176">
        <f>DANE!AA40</f>
        <v>32</v>
      </c>
      <c r="AG40" s="188">
        <f t="shared" si="5"/>
        <v>432</v>
      </c>
      <c r="AH40" s="177">
        <f t="shared" ca="1" si="21"/>
        <v>28</v>
      </c>
      <c r="AI40" s="209">
        <f t="shared" si="37"/>
        <v>164.82011320895143</v>
      </c>
      <c r="AJ40" s="179">
        <f t="shared" si="39"/>
        <v>6.3652027824115692E-2</v>
      </c>
      <c r="AK40" s="213">
        <f t="shared" si="40"/>
        <v>1.4455641947688098</v>
      </c>
      <c r="AL40" s="214">
        <f t="shared" ca="1" si="41"/>
        <v>1.8365562800638713</v>
      </c>
      <c r="AM40" s="176">
        <f>DANE!AE40</f>
        <v>34</v>
      </c>
      <c r="AN40" s="188">
        <f t="shared" si="6"/>
        <v>433</v>
      </c>
      <c r="AO40" s="177">
        <f t="shared" ca="1" si="22"/>
        <v>29</v>
      </c>
      <c r="AP40" s="209">
        <f t="shared" si="49"/>
        <v>176.46666661228215</v>
      </c>
      <c r="AQ40" s="179">
        <f t="shared" si="51"/>
        <v>6.1701985504920724E-2</v>
      </c>
      <c r="AR40" s="213">
        <f t="shared" si="52"/>
        <v>1.4319138985344451</v>
      </c>
      <c r="AS40" s="217">
        <f t="shared" ca="1" si="53"/>
        <v>1.3268275975041848</v>
      </c>
      <c r="AT40" s="176">
        <f>DANE!AI40</f>
        <v>110</v>
      </c>
      <c r="AU40" s="188">
        <f t="shared" si="7"/>
        <v>1424</v>
      </c>
      <c r="AV40" s="177">
        <f t="shared" ca="1" si="23"/>
        <v>95.714285714285708</v>
      </c>
      <c r="AW40" s="209">
        <f t="shared" si="33"/>
        <v>605.49927383130841</v>
      </c>
      <c r="AX40" s="179">
        <f t="shared" si="34"/>
        <v>4.7427120440917375E-2</v>
      </c>
      <c r="AY40" s="213">
        <f t="shared" si="35"/>
        <v>1.3319898430864217</v>
      </c>
      <c r="AZ40" s="214">
        <f t="shared" ca="1" si="36"/>
        <v>1.5018955618657372</v>
      </c>
      <c r="BA40" s="176">
        <f>DANE!AM40</f>
        <v>9</v>
      </c>
      <c r="BB40" s="188">
        <f t="shared" si="8"/>
        <v>125</v>
      </c>
      <c r="BC40" s="177">
        <f t="shared" ca="1" si="24"/>
        <v>6.7142857142857144</v>
      </c>
      <c r="BD40" s="209">
        <f t="shared" si="77"/>
        <v>76.269471053727628</v>
      </c>
      <c r="BE40" s="179">
        <f t="shared" si="80"/>
        <v>-2.8179777427520654E-2</v>
      </c>
      <c r="BF40" s="213">
        <f t="shared" si="81"/>
        <v>0.80274155800735536</v>
      </c>
      <c r="BG40" s="217">
        <f t="shared" ca="1" si="82"/>
        <v>0.78996594516681973</v>
      </c>
      <c r="BH40" s="176">
        <f>DANE!AQ40</f>
        <v>14</v>
      </c>
      <c r="BI40" s="188">
        <f t="shared" si="9"/>
        <v>194</v>
      </c>
      <c r="BJ40" s="177">
        <f t="shared" ca="1" si="25"/>
        <v>11.857142857142858</v>
      </c>
      <c r="BK40" s="209">
        <f t="shared" si="61"/>
        <v>83.894988470299609</v>
      </c>
      <c r="BL40" s="179">
        <f t="shared" si="63"/>
        <v>2.8828986043202401E-2</v>
      </c>
      <c r="BM40" s="213">
        <f t="shared" si="64"/>
        <v>1.2018029023024168</v>
      </c>
      <c r="BN40" s="214">
        <f t="shared" ca="1" si="65"/>
        <v>0.99552521563748619</v>
      </c>
      <c r="BO40" s="176">
        <f>DANE!AU40</f>
        <v>19</v>
      </c>
      <c r="BP40" s="188">
        <f t="shared" si="10"/>
        <v>168</v>
      </c>
      <c r="BQ40" s="177">
        <f t="shared" ca="1" si="26"/>
        <v>15.571428571428571</v>
      </c>
      <c r="BR40" s="209">
        <f t="shared" si="78"/>
        <v>111.53644314868806</v>
      </c>
      <c r="BS40" s="179">
        <f t="shared" si="83"/>
        <v>3.3135295706184252E-2</v>
      </c>
      <c r="BT40" s="213">
        <f t="shared" si="84"/>
        <v>1.2319470699432897</v>
      </c>
      <c r="BU40" s="217">
        <f t="shared" ca="1" si="85"/>
        <v>1.3837798027779127</v>
      </c>
      <c r="BV40" s="176">
        <f>DANE!AY40</f>
        <v>10</v>
      </c>
      <c r="BW40" s="188">
        <f t="shared" si="11"/>
        <v>153</v>
      </c>
      <c r="BX40" s="177">
        <f t="shared" ca="1" si="27"/>
        <v>11.857142857142858</v>
      </c>
      <c r="BY40" s="209">
        <f t="shared" si="69"/>
        <v>78.956370219891397</v>
      </c>
      <c r="BZ40" s="179">
        <f t="shared" si="71"/>
        <v>-1.8554942145365325E-2</v>
      </c>
      <c r="CA40" s="213">
        <f t="shared" si="72"/>
        <v>0.87011540498244266</v>
      </c>
      <c r="CB40" s="214">
        <f t="shared" ca="1" si="73"/>
        <v>0.7364452802882413</v>
      </c>
      <c r="CC40" s="176">
        <f>DANE!BC40</f>
        <v>51</v>
      </c>
      <c r="CD40" s="188">
        <f t="shared" si="12"/>
        <v>695</v>
      </c>
      <c r="CE40" s="177">
        <f t="shared" ca="1" si="28"/>
        <v>56.285714285714285</v>
      </c>
      <c r="CF40" s="209">
        <f t="shared" si="45"/>
        <v>287.77523503462442</v>
      </c>
      <c r="CG40" s="179">
        <f t="shared" si="46"/>
        <v>4.1766412507054256E-2</v>
      </c>
      <c r="CH40" s="213">
        <f t="shared" si="47"/>
        <v>1.2923648875493798</v>
      </c>
      <c r="CI40" s="217">
        <f t="shared" ca="1" si="48"/>
        <v>1.8181916091797266</v>
      </c>
      <c r="CJ40" s="176">
        <f>DANE!BG40</f>
        <v>2</v>
      </c>
      <c r="CK40" s="188">
        <f t="shared" si="13"/>
        <v>129</v>
      </c>
      <c r="CL40" s="177">
        <f t="shared" ca="1" si="29"/>
        <v>9.5714285714285712</v>
      </c>
      <c r="CM40" s="209">
        <f t="shared" si="79"/>
        <v>76.986255726780527</v>
      </c>
      <c r="CN40" s="179">
        <f t="shared" si="86"/>
        <v>-0.11999581050135918</v>
      </c>
      <c r="CO40" s="213">
        <f t="shared" si="87"/>
        <v>0.16002932649048562</v>
      </c>
      <c r="CP40" s="214">
        <f t="shared" ca="1" si="88"/>
        <v>0.34093620204115715</v>
      </c>
      <c r="CQ40" s="176">
        <f>DANE!BK40</f>
        <v>3</v>
      </c>
      <c r="CR40" s="188">
        <f t="shared" si="14"/>
        <v>95</v>
      </c>
      <c r="CS40" s="177">
        <f t="shared" ca="1" si="30"/>
        <v>4</v>
      </c>
      <c r="CT40" s="209"/>
      <c r="CU40" s="179"/>
      <c r="CV40" s="213"/>
      <c r="CW40" s="217"/>
      <c r="CX40" s="176">
        <f>DANE!BO40</f>
        <v>37</v>
      </c>
      <c r="CY40" s="188">
        <f t="shared" si="15"/>
        <v>431</v>
      </c>
      <c r="CZ40" s="177">
        <f t="shared" ca="1" si="31"/>
        <v>33.714285714285715</v>
      </c>
      <c r="DA40" s="211">
        <f t="shared" si="54"/>
        <v>205.03332772359261</v>
      </c>
      <c r="DB40" s="200">
        <f t="shared" si="58"/>
        <v>4.5880925619691218E-2</v>
      </c>
      <c r="DC40" s="213">
        <f t="shared" si="59"/>
        <v>1.3211664793378386</v>
      </c>
      <c r="DD40" s="214">
        <f t="shared" ca="1" si="60"/>
        <v>1.5665369500542154</v>
      </c>
      <c r="DE40" s="176">
        <f>DANE!BS40</f>
        <v>9</v>
      </c>
      <c r="DF40" s="188">
        <f t="shared" si="16"/>
        <v>174</v>
      </c>
      <c r="DG40" s="177">
        <f t="shared" ca="1" si="32"/>
        <v>12.142857142857142</v>
      </c>
      <c r="DH40" s="209">
        <f t="shared" si="70"/>
        <v>98.733427398447958</v>
      </c>
      <c r="DI40" s="179">
        <f t="shared" si="74"/>
        <v>-5.6888224273084077E-2</v>
      </c>
      <c r="DJ40" s="157">
        <f t="shared" si="75"/>
        <v>0.60178243008841137</v>
      </c>
      <c r="DK40" s="225">
        <f t="shared" ca="1" si="76"/>
        <v>1.3978053545721876</v>
      </c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</row>
    <row r="41" spans="1:138" x14ac:dyDescent="0.25">
      <c r="A41" s="32">
        <v>43931</v>
      </c>
      <c r="B41" s="33" t="str">
        <f t="shared" ca="1" si="0"/>
        <v/>
      </c>
      <c r="C41" s="51">
        <v>38</v>
      </c>
      <c r="D41" s="176">
        <f>DANE!K41</f>
        <v>69</v>
      </c>
      <c r="E41" s="188">
        <f t="shared" si="1"/>
        <v>637</v>
      </c>
      <c r="F41" s="178">
        <f t="shared" ca="1" si="17"/>
        <v>33.857142857142854</v>
      </c>
      <c r="G41" s="209">
        <f t="shared" si="38"/>
        <v>234.46454116143741</v>
      </c>
      <c r="H41" s="179">
        <f t="shared" si="42"/>
        <v>0.21457809207427211</v>
      </c>
      <c r="I41" s="213">
        <f t="shared" si="43"/>
        <v>2.502046644519905</v>
      </c>
      <c r="J41" s="214">
        <f t="shared" ca="1" si="44"/>
        <v>1.2495685628221627</v>
      </c>
      <c r="K41" s="176">
        <f>DANE!O41</f>
        <v>10</v>
      </c>
      <c r="L41" s="188">
        <f t="shared" si="2"/>
        <v>290</v>
      </c>
      <c r="M41" s="177">
        <f t="shared" ca="1" si="18"/>
        <v>13</v>
      </c>
      <c r="N41" s="209">
        <f t="shared" si="62"/>
        <v>110.5493820168294</v>
      </c>
      <c r="O41" s="179">
        <f t="shared" si="66"/>
        <v>-5.7611183115749927E-2</v>
      </c>
      <c r="P41" s="213">
        <f t="shared" si="67"/>
        <v>0.59672171818975051</v>
      </c>
      <c r="Q41" s="217">
        <f t="shared" ca="1" si="68"/>
        <v>0.61117506813217459</v>
      </c>
      <c r="R41" s="176">
        <f>DANE!S41</f>
        <v>17</v>
      </c>
      <c r="S41" s="188">
        <f t="shared" si="3"/>
        <v>222</v>
      </c>
      <c r="T41" s="177">
        <f t="shared" ca="1" si="19"/>
        <v>9.1428571428571423</v>
      </c>
      <c r="U41" s="209">
        <f t="shared" si="50"/>
        <v>72.745168783350351</v>
      </c>
      <c r="V41" s="179">
        <f t="shared" si="55"/>
        <v>0.11853642522154402</v>
      </c>
      <c r="W41" s="213">
        <f t="shared" si="56"/>
        <v>1.8297549765508081</v>
      </c>
      <c r="X41" s="214">
        <f t="shared" ca="1" si="57"/>
        <v>0.89115210778556886</v>
      </c>
      <c r="Y41" s="176">
        <f>DANE!W41</f>
        <v>5</v>
      </c>
      <c r="Z41" s="188">
        <f t="shared" si="4"/>
        <v>74</v>
      </c>
      <c r="AA41" s="177">
        <f t="shared" ca="1" si="20"/>
        <v>3.4285714285714284</v>
      </c>
      <c r="AB41" s="209"/>
      <c r="AC41" s="179"/>
      <c r="AD41" s="213"/>
      <c r="AE41" s="217"/>
      <c r="AF41" s="176">
        <f>DANE!AA41</f>
        <v>31</v>
      </c>
      <c r="AG41" s="188">
        <f t="shared" si="5"/>
        <v>463</v>
      </c>
      <c r="AH41" s="177">
        <f t="shared" ca="1" si="21"/>
        <v>30.714285714285715</v>
      </c>
      <c r="AI41" s="209">
        <f t="shared" si="37"/>
        <v>172.27438275052981</v>
      </c>
      <c r="AJ41" s="179">
        <f t="shared" si="39"/>
        <v>4.5226698346749715E-2</v>
      </c>
      <c r="AK41" s="213">
        <f t="shared" si="40"/>
        <v>1.316586888427248</v>
      </c>
      <c r="AL41" s="214">
        <f t="shared" ca="1" si="41"/>
        <v>1.8828418751317442</v>
      </c>
      <c r="AM41" s="176">
        <f>DANE!AE41</f>
        <v>20</v>
      </c>
      <c r="AN41" s="188">
        <f t="shared" si="6"/>
        <v>453</v>
      </c>
      <c r="AO41" s="177">
        <f t="shared" ca="1" si="22"/>
        <v>27.285714285714285</v>
      </c>
      <c r="AP41" s="209">
        <f t="shared" si="49"/>
        <v>171.25714281052757</v>
      </c>
      <c r="AQ41" s="179">
        <f t="shared" si="51"/>
        <v>-2.9521290914394142E-2</v>
      </c>
      <c r="AR41" s="213">
        <f t="shared" si="52"/>
        <v>0.79335096359924095</v>
      </c>
      <c r="AS41" s="217">
        <f t="shared" ca="1" si="53"/>
        <v>1.1941849234868247</v>
      </c>
      <c r="AT41" s="176">
        <f>DANE!AI41</f>
        <v>77</v>
      </c>
      <c r="AU41" s="188">
        <f t="shared" si="7"/>
        <v>1501</v>
      </c>
      <c r="AV41" s="177">
        <f t="shared" ca="1" si="23"/>
        <v>99</v>
      </c>
      <c r="AW41" s="209">
        <f t="shared" si="33"/>
        <v>595.99937756969291</v>
      </c>
      <c r="AX41" s="179">
        <f t="shared" si="34"/>
        <v>-1.5689360288584205E-2</v>
      </c>
      <c r="AY41" s="213">
        <f t="shared" si="35"/>
        <v>0.89017447797991056</v>
      </c>
      <c r="AZ41" s="214">
        <f t="shared" ca="1" si="36"/>
        <v>1.4935014918346163</v>
      </c>
      <c r="BA41" s="176">
        <f>DANE!AM41</f>
        <v>5</v>
      </c>
      <c r="BB41" s="188">
        <f t="shared" si="8"/>
        <v>130</v>
      </c>
      <c r="BC41" s="177">
        <f t="shared" ca="1" si="24"/>
        <v>5.7142857142857144</v>
      </c>
      <c r="BD41" s="209">
        <f t="shared" si="77"/>
        <v>70.373832331766536</v>
      </c>
      <c r="BE41" s="179">
        <f t="shared" si="80"/>
        <v>-7.7300112882754096E-2</v>
      </c>
      <c r="BF41" s="213">
        <f t="shared" si="81"/>
        <v>0.4588992098207213</v>
      </c>
      <c r="BG41" s="217">
        <f t="shared" ca="1" si="82"/>
        <v>0.67961036671812025</v>
      </c>
      <c r="BH41" s="176">
        <f>DANE!AQ41</f>
        <v>15</v>
      </c>
      <c r="BI41" s="188">
        <f t="shared" si="9"/>
        <v>209</v>
      </c>
      <c r="BJ41" s="177">
        <f t="shared" ca="1" si="25"/>
        <v>12</v>
      </c>
      <c r="BK41" s="209">
        <f t="shared" si="61"/>
        <v>86.909990117399673</v>
      </c>
      <c r="BL41" s="179">
        <f t="shared" si="63"/>
        <v>3.5937803938878077E-2</v>
      </c>
      <c r="BM41" s="213">
        <f t="shared" si="64"/>
        <v>1.2515646275721466</v>
      </c>
      <c r="BN41" s="214">
        <f t="shared" ca="1" si="65"/>
        <v>1.008659693947634</v>
      </c>
      <c r="BO41" s="176">
        <f>DANE!AU41</f>
        <v>21</v>
      </c>
      <c r="BP41" s="188">
        <f t="shared" si="10"/>
        <v>189</v>
      </c>
      <c r="BQ41" s="177">
        <f t="shared" ca="1" si="26"/>
        <v>16.428571428571427</v>
      </c>
      <c r="BR41" s="209">
        <f t="shared" si="78"/>
        <v>116.60266555601835</v>
      </c>
      <c r="BS41" s="179">
        <f t="shared" si="83"/>
        <v>4.5422126296214761E-2</v>
      </c>
      <c r="BT41" s="213">
        <f t="shared" si="84"/>
        <v>1.3179548840735034</v>
      </c>
      <c r="BU41" s="217">
        <f t="shared" ca="1" si="85"/>
        <v>1.3618381632097762</v>
      </c>
      <c r="BV41" s="176">
        <f>DANE!AY41</f>
        <v>4</v>
      </c>
      <c r="BW41" s="188">
        <f t="shared" si="11"/>
        <v>157</v>
      </c>
      <c r="BX41" s="177">
        <f t="shared" ca="1" si="27"/>
        <v>10.714285714285714</v>
      </c>
      <c r="BY41" s="209">
        <f t="shared" si="69"/>
        <v>71.676888759906916</v>
      </c>
      <c r="BZ41" s="179">
        <f t="shared" si="71"/>
        <v>-9.2196252686278748E-2</v>
      </c>
      <c r="CA41" s="213">
        <f t="shared" si="72"/>
        <v>0.35462623119604875</v>
      </c>
      <c r="CB41" s="214">
        <f t="shared" ca="1" si="73"/>
        <v>0.66008147046980281</v>
      </c>
      <c r="CC41" s="176">
        <f>DANE!BC41</f>
        <v>34</v>
      </c>
      <c r="CD41" s="188">
        <f t="shared" si="12"/>
        <v>729</v>
      </c>
      <c r="CE41" s="177">
        <f t="shared" ca="1" si="28"/>
        <v>42.571428571428569</v>
      </c>
      <c r="CF41" s="209">
        <f t="shared" si="45"/>
        <v>280.66448717253525</v>
      </c>
      <c r="CG41" s="179">
        <f t="shared" si="46"/>
        <v>-2.4709380781962081E-2</v>
      </c>
      <c r="CH41" s="213">
        <f t="shared" si="47"/>
        <v>0.8270343345262654</v>
      </c>
      <c r="CI41" s="217">
        <f t="shared" ca="1" si="48"/>
        <v>1.0826667304681072</v>
      </c>
      <c r="CJ41" s="176">
        <f>DANE!BG41</f>
        <v>1</v>
      </c>
      <c r="CK41" s="188">
        <f t="shared" si="13"/>
        <v>130</v>
      </c>
      <c r="CL41" s="177">
        <f t="shared" ca="1" si="29"/>
        <v>7.2857142857142856</v>
      </c>
      <c r="CM41" s="209">
        <f t="shared" si="79"/>
        <v>66.988219194383319</v>
      </c>
      <c r="CN41" s="179">
        <f t="shared" si="86"/>
        <v>-0.12986781131270525</v>
      </c>
      <c r="CO41" s="213">
        <f t="shared" si="87"/>
        <v>9.0925320811063193E-2</v>
      </c>
      <c r="CP41" s="214">
        <f t="shared" ca="1" si="88"/>
        <v>0.25759924163112585</v>
      </c>
      <c r="CQ41" s="176">
        <f>DANE!BK41</f>
        <v>15</v>
      </c>
      <c r="CR41" s="188">
        <f t="shared" si="14"/>
        <v>110</v>
      </c>
      <c r="CS41" s="177">
        <f t="shared" ca="1" si="30"/>
        <v>5</v>
      </c>
      <c r="CT41" s="210">
        <f>(1-$DQ$2)*CR40+CQ41</f>
        <v>96.428571428571431</v>
      </c>
      <c r="CU41" s="179"/>
      <c r="CV41" s="213"/>
      <c r="CW41" s="217"/>
      <c r="CX41" s="176">
        <f>DANE!BO41</f>
        <v>46</v>
      </c>
      <c r="CY41" s="188">
        <f t="shared" si="15"/>
        <v>477</v>
      </c>
      <c r="CZ41" s="177">
        <f t="shared" ca="1" si="31"/>
        <v>37.714285714285715</v>
      </c>
      <c r="DA41" s="211">
        <f t="shared" si="54"/>
        <v>221.74285233450797</v>
      </c>
      <c r="DB41" s="200">
        <f t="shared" si="58"/>
        <v>8.1496626896880087E-2</v>
      </c>
      <c r="DC41" s="213">
        <f t="shared" si="59"/>
        <v>1.5704763882781605</v>
      </c>
      <c r="DD41" s="214">
        <f t="shared" ca="1" si="60"/>
        <v>1.6427798160617706</v>
      </c>
      <c r="DE41" s="176">
        <f>DANE!BS41</f>
        <v>10</v>
      </c>
      <c r="DF41" s="188">
        <f t="shared" si="16"/>
        <v>184</v>
      </c>
      <c r="DG41" s="177">
        <f t="shared" ca="1" si="32"/>
        <v>13.571428571428571</v>
      </c>
      <c r="DH41" s="209">
        <f t="shared" si="70"/>
        <v>94.628652055812537</v>
      </c>
      <c r="DI41" s="179">
        <f t="shared" si="74"/>
        <v>-4.1574322403193975E-2</v>
      </c>
      <c r="DJ41" s="157">
        <f t="shared" si="75"/>
        <v>0.70897974317764212</v>
      </c>
      <c r="DK41" s="225">
        <f t="shared" ca="1" si="76"/>
        <v>1.2600402322932784</v>
      </c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</row>
    <row r="42" spans="1:138" x14ac:dyDescent="0.25">
      <c r="A42" s="61">
        <v>43932</v>
      </c>
      <c r="B42" s="62" t="str">
        <f t="shared" ca="1" si="0"/>
        <v/>
      </c>
      <c r="C42" s="12">
        <v>39</v>
      </c>
      <c r="D42" s="176">
        <f>DANE!K42</f>
        <v>23</v>
      </c>
      <c r="E42" s="198">
        <f t="shared" si="1"/>
        <v>660</v>
      </c>
      <c r="F42" s="178">
        <f t="shared" ca="1" si="17"/>
        <v>36.142857142857146</v>
      </c>
      <c r="G42" s="211">
        <f t="shared" si="38"/>
        <v>223.96960670980351</v>
      </c>
      <c r="H42" s="200">
        <f t="shared" si="42"/>
        <v>-4.4761286289374348E-2</v>
      </c>
      <c r="I42" s="213">
        <f t="shared" si="43"/>
        <v>0.68667099597437953</v>
      </c>
      <c r="J42" s="214">
        <f t="shared" ca="1" si="44"/>
        <v>1.3113026336649392</v>
      </c>
      <c r="K42" s="176">
        <f>DANE!O42</f>
        <v>23</v>
      </c>
      <c r="L42" s="198">
        <f t="shared" si="2"/>
        <v>313</v>
      </c>
      <c r="M42" s="177">
        <f t="shared" ca="1" si="18"/>
        <v>12.714285714285714</v>
      </c>
      <c r="N42" s="211">
        <f t="shared" si="62"/>
        <v>117.75661315728235</v>
      </c>
      <c r="O42" s="200">
        <f t="shared" si="66"/>
        <v>6.5194675980692146E-2</v>
      </c>
      <c r="P42" s="213">
        <f t="shared" si="67"/>
        <v>1.4563627318648451</v>
      </c>
      <c r="Q42" s="217">
        <f t="shared" ca="1" si="68"/>
        <v>0.66888324435832569</v>
      </c>
      <c r="R42" s="176">
        <f>DANE!S42</f>
        <v>3</v>
      </c>
      <c r="S42" s="198">
        <f t="shared" si="3"/>
        <v>225</v>
      </c>
      <c r="T42" s="177">
        <f t="shared" ca="1" si="19"/>
        <v>8.5714285714285712</v>
      </c>
      <c r="U42" s="211">
        <f t="shared" si="50"/>
        <v>65.353001814300313</v>
      </c>
      <c r="V42" s="200">
        <f t="shared" si="55"/>
        <v>-0.10161729077934217</v>
      </c>
      <c r="W42" s="213">
        <f t="shared" si="56"/>
        <v>0.28867896454460473</v>
      </c>
      <c r="X42" s="214">
        <f t="shared" ca="1" si="57"/>
        <v>0.84721932285660684</v>
      </c>
      <c r="Y42" s="176">
        <f>DANE!W42</f>
        <v>2</v>
      </c>
      <c r="Z42" s="198">
        <f t="shared" si="4"/>
        <v>76</v>
      </c>
      <c r="AA42" s="177">
        <f t="shared" ca="1" si="20"/>
        <v>2.8571428571428572</v>
      </c>
      <c r="AB42" s="211"/>
      <c r="AC42" s="200"/>
      <c r="AD42" s="213"/>
      <c r="AE42" s="217"/>
      <c r="AF42" s="176">
        <f>DANE!AA42</f>
        <v>29</v>
      </c>
      <c r="AG42" s="198">
        <f t="shared" si="5"/>
        <v>492</v>
      </c>
      <c r="AH42" s="177">
        <f t="shared" ca="1" si="21"/>
        <v>33.285714285714285</v>
      </c>
      <c r="AI42" s="211">
        <f t="shared" si="37"/>
        <v>176.66375664331127</v>
      </c>
      <c r="AJ42" s="200">
        <f t="shared" si="39"/>
        <v>2.5478970365186027E-2</v>
      </c>
      <c r="AK42" s="213">
        <f t="shared" si="40"/>
        <v>1.1783527925563022</v>
      </c>
      <c r="AL42" s="214">
        <f t="shared" ca="1" si="41"/>
        <v>1.9210584796082233</v>
      </c>
      <c r="AM42" s="176">
        <f>DANE!AE42</f>
        <v>33</v>
      </c>
      <c r="AN42" s="198">
        <f t="shared" si="6"/>
        <v>486</v>
      </c>
      <c r="AO42" s="177">
        <f t="shared" ca="1" si="22"/>
        <v>25.428571428571427</v>
      </c>
      <c r="AP42" s="211">
        <f t="shared" si="49"/>
        <v>179.79183669473792</v>
      </c>
      <c r="AQ42" s="200">
        <f t="shared" si="51"/>
        <v>4.9835549887999812E-2</v>
      </c>
      <c r="AR42" s="213">
        <f t="shared" si="52"/>
        <v>1.3488488492159987</v>
      </c>
      <c r="AS42" s="217">
        <f t="shared" ca="1" si="53"/>
        <v>1.0663379761852547</v>
      </c>
      <c r="AT42" s="176">
        <f>DANE!AI42</f>
        <v>128</v>
      </c>
      <c r="AU42" s="198">
        <f t="shared" si="7"/>
        <v>1629</v>
      </c>
      <c r="AV42" s="177">
        <f t="shared" ca="1" si="23"/>
        <v>117.28571428571429</v>
      </c>
      <c r="AW42" s="211">
        <f t="shared" si="33"/>
        <v>638.85660934545103</v>
      </c>
      <c r="AX42" s="200">
        <f t="shared" si="34"/>
        <v>7.1908182103338908E-2</v>
      </c>
      <c r="AY42" s="213">
        <f t="shared" si="35"/>
        <v>1.5033572747233723</v>
      </c>
      <c r="AZ42" s="214">
        <f t="shared" ca="1" si="36"/>
        <v>1.7082668167950981</v>
      </c>
      <c r="BA42" s="176">
        <f>DANE!AM42</f>
        <v>13</v>
      </c>
      <c r="BB42" s="198">
        <f t="shared" si="8"/>
        <v>143</v>
      </c>
      <c r="BC42" s="177">
        <f t="shared" ca="1" si="24"/>
        <v>7.5714285714285712</v>
      </c>
      <c r="BD42" s="211">
        <f t="shared" si="77"/>
        <v>73.320427712942745</v>
      </c>
      <c r="BE42" s="200">
        <f t="shared" si="80"/>
        <v>4.1870611327303325E-2</v>
      </c>
      <c r="BF42" s="213">
        <f t="shared" si="81"/>
        <v>1.2930942792911233</v>
      </c>
      <c r="BG42" s="217">
        <f t="shared" ca="1" si="82"/>
        <v>0.83298134486137099</v>
      </c>
      <c r="BH42" s="176">
        <f>DANE!AQ42</f>
        <v>11</v>
      </c>
      <c r="BI42" s="198">
        <f t="shared" si="9"/>
        <v>220</v>
      </c>
      <c r="BJ42" s="177">
        <f t="shared" ca="1" si="25"/>
        <v>12</v>
      </c>
      <c r="BK42" s="211">
        <f t="shared" si="61"/>
        <v>85.494277243485442</v>
      </c>
      <c r="BL42" s="200">
        <f t="shared" si="63"/>
        <v>-1.6289414738189002E-2</v>
      </c>
      <c r="BM42" s="213">
        <f t="shared" si="64"/>
        <v>0.88597409683267703</v>
      </c>
      <c r="BN42" s="214">
        <f t="shared" ca="1" si="65"/>
        <v>1.0079675731729019</v>
      </c>
      <c r="BO42" s="176">
        <f>DANE!AU42</f>
        <v>6</v>
      </c>
      <c r="BP42" s="198">
        <f t="shared" si="10"/>
        <v>195</v>
      </c>
      <c r="BQ42" s="177">
        <f t="shared" ca="1" si="26"/>
        <v>16.142857142857142</v>
      </c>
      <c r="BR42" s="211">
        <f t="shared" si="78"/>
        <v>105.94514190515859</v>
      </c>
      <c r="BS42" s="200">
        <f t="shared" si="83"/>
        <v>-9.1400343208617826E-2</v>
      </c>
      <c r="BT42" s="213">
        <f t="shared" si="84"/>
        <v>0.36019759753967517</v>
      </c>
      <c r="BU42" s="217">
        <f t="shared" ca="1" si="85"/>
        <v>1.111428021792251</v>
      </c>
      <c r="BV42" s="176">
        <f>DANE!AY42</f>
        <v>6</v>
      </c>
      <c r="BW42" s="198">
        <f t="shared" si="11"/>
        <v>163</v>
      </c>
      <c r="BX42" s="177">
        <f t="shared" ca="1" si="27"/>
        <v>8.4285714285714288</v>
      </c>
      <c r="BY42" s="211">
        <f t="shared" si="69"/>
        <v>67.437333222777369</v>
      </c>
      <c r="BZ42" s="200">
        <f t="shared" si="71"/>
        <v>-5.9148152360945935E-2</v>
      </c>
      <c r="CA42" s="213">
        <f t="shared" si="72"/>
        <v>0.58596293347337847</v>
      </c>
      <c r="CB42" s="214">
        <f t="shared" ca="1" si="73"/>
        <v>0.64772838097039875</v>
      </c>
      <c r="CC42" s="176">
        <f>DANE!BC42</f>
        <v>52</v>
      </c>
      <c r="CD42" s="198">
        <f t="shared" si="12"/>
        <v>781</v>
      </c>
      <c r="CE42" s="177">
        <f t="shared" ca="1" si="28"/>
        <v>40.714285714285715</v>
      </c>
      <c r="CF42" s="211">
        <f t="shared" si="45"/>
        <v>292.56956043360162</v>
      </c>
      <c r="CG42" s="200">
        <f t="shared" si="46"/>
        <v>4.2417455022543953E-2</v>
      </c>
      <c r="CH42" s="213">
        <f t="shared" si="47"/>
        <v>1.2969221851578077</v>
      </c>
      <c r="CI42" s="217">
        <f t="shared" ca="1" si="48"/>
        <v>1.0184484280847699</v>
      </c>
      <c r="CJ42" s="176">
        <f>DANE!BG42</f>
        <v>6</v>
      </c>
      <c r="CK42" s="198">
        <f t="shared" si="13"/>
        <v>136</v>
      </c>
      <c r="CL42" s="177">
        <f t="shared" ca="1" si="29"/>
        <v>7.8571428571428568</v>
      </c>
      <c r="CM42" s="211">
        <f t="shared" si="79"/>
        <v>63.418473595185709</v>
      </c>
      <c r="CN42" s="200">
        <f t="shared" si="86"/>
        <v>-5.3289155050369186E-2</v>
      </c>
      <c r="CO42" s="213">
        <f t="shared" si="87"/>
        <v>0.62697591464741564</v>
      </c>
      <c r="CP42" s="214">
        <f t="shared" ca="1" si="88"/>
        <v>0.34994340988519829</v>
      </c>
      <c r="CQ42" s="176">
        <f>DANE!BK42</f>
        <v>1</v>
      </c>
      <c r="CR42" s="198">
        <f t="shared" si="14"/>
        <v>111</v>
      </c>
      <c r="CS42" s="177">
        <f t="shared" ca="1" si="30"/>
        <v>4.7142857142857144</v>
      </c>
      <c r="CT42" s="211">
        <f t="shared" ref="CT42:CT296" si="89">IF(ISBLANK(CQ42),"",(1-$DQ$2)*CT41+CQ42)</f>
        <v>83.653061224489804</v>
      </c>
      <c r="CU42" s="200"/>
      <c r="CV42" s="213"/>
      <c r="CW42" s="217"/>
      <c r="CX42" s="176">
        <f>DANE!BO42</f>
        <v>58</v>
      </c>
      <c r="CY42" s="198">
        <f t="shared" si="15"/>
        <v>535</v>
      </c>
      <c r="CZ42" s="177">
        <f t="shared" ca="1" si="31"/>
        <v>43.142857142857146</v>
      </c>
      <c r="DA42" s="211">
        <f t="shared" si="54"/>
        <v>248.06530200100684</v>
      </c>
      <c r="DB42" s="200">
        <f t="shared" si="58"/>
        <v>0.11870709422818464</v>
      </c>
      <c r="DC42" s="213">
        <f t="shared" si="59"/>
        <v>1.8309496595972925</v>
      </c>
      <c r="DD42" s="214">
        <f t="shared" ca="1" si="60"/>
        <v>1.7406364628528632</v>
      </c>
      <c r="DE42" s="176">
        <f>DANE!BS42</f>
        <v>7</v>
      </c>
      <c r="DF42" s="198">
        <f t="shared" si="16"/>
        <v>191</v>
      </c>
      <c r="DG42" s="177">
        <f t="shared" ca="1" si="32"/>
        <v>13</v>
      </c>
      <c r="DH42" s="209">
        <f t="shared" si="70"/>
        <v>88.110273190696461</v>
      </c>
      <c r="DI42" s="179">
        <f t="shared" si="74"/>
        <v>-6.8883775933651664E-2</v>
      </c>
      <c r="DJ42" s="157">
        <f t="shared" si="75"/>
        <v>0.51781356846443827</v>
      </c>
      <c r="DK42" s="225">
        <f t="shared" ca="1" si="76"/>
        <v>1.1363357883218053</v>
      </c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</row>
    <row r="43" spans="1:138" x14ac:dyDescent="0.25">
      <c r="A43" s="61">
        <v>43933</v>
      </c>
      <c r="B43" s="62" t="str">
        <f t="shared" ca="1" si="0"/>
        <v/>
      </c>
      <c r="C43" s="12">
        <v>40</v>
      </c>
      <c r="D43" s="176">
        <f>DANE!K43</f>
        <v>37</v>
      </c>
      <c r="E43" s="198">
        <f t="shared" si="1"/>
        <v>697</v>
      </c>
      <c r="F43" s="178">
        <f t="shared" ca="1" si="17"/>
        <v>32.714285714285715</v>
      </c>
      <c r="G43" s="211">
        <f t="shared" si="38"/>
        <v>228.97394860840302</v>
      </c>
      <c r="H43" s="200">
        <f t="shared" si="42"/>
        <v>2.234384375681657E-2</v>
      </c>
      <c r="I43" s="213">
        <f t="shared" si="43"/>
        <v>1.156406906297716</v>
      </c>
      <c r="J43" s="214">
        <f t="shared" ca="1" si="44"/>
        <v>1.1218697720739494</v>
      </c>
      <c r="K43" s="176">
        <f>DANE!O43</f>
        <v>23</v>
      </c>
      <c r="L43" s="198">
        <f t="shared" si="2"/>
        <v>336</v>
      </c>
      <c r="M43" s="177">
        <f t="shared" ca="1" si="18"/>
        <v>13.571428571428571</v>
      </c>
      <c r="N43" s="211">
        <f t="shared" si="62"/>
        <v>123.93423984909916</v>
      </c>
      <c r="O43" s="200">
        <f t="shared" si="66"/>
        <v>5.2460974599920149E-2</v>
      </c>
      <c r="P43" s="213">
        <f t="shared" si="67"/>
        <v>1.367226822199441</v>
      </c>
      <c r="Q43" s="217">
        <f t="shared" ca="1" si="68"/>
        <v>0.76272736985534473</v>
      </c>
      <c r="R43" s="176">
        <f>DANE!S43</f>
        <v>9</v>
      </c>
      <c r="S43" s="198">
        <f t="shared" si="3"/>
        <v>234</v>
      </c>
      <c r="T43" s="177">
        <f t="shared" ca="1" si="19"/>
        <v>8.5714285714285712</v>
      </c>
      <c r="U43" s="211">
        <f t="shared" si="50"/>
        <v>65.016858697971699</v>
      </c>
      <c r="V43" s="200">
        <f t="shared" si="55"/>
        <v>-5.1434992578269067E-3</v>
      </c>
      <c r="W43" s="213">
        <f t="shared" si="56"/>
        <v>0.9639955051952116</v>
      </c>
      <c r="X43" s="214">
        <f t="shared" ca="1" si="57"/>
        <v>0.86872170087509315</v>
      </c>
      <c r="Y43" s="176">
        <f>DANE!W43</f>
        <v>2</v>
      </c>
      <c r="Z43" s="198">
        <f t="shared" si="4"/>
        <v>78</v>
      </c>
      <c r="AA43" s="177">
        <f t="shared" ca="1" si="20"/>
        <v>2.7142857142857144</v>
      </c>
      <c r="AB43" s="211"/>
      <c r="AC43" s="200"/>
      <c r="AD43" s="213"/>
      <c r="AE43" s="217"/>
      <c r="AF43" s="176">
        <f>DANE!AA43</f>
        <v>37</v>
      </c>
      <c r="AG43" s="198">
        <f t="shared" si="5"/>
        <v>529</v>
      </c>
      <c r="AH43" s="177">
        <f t="shared" ca="1" si="21"/>
        <v>29</v>
      </c>
      <c r="AI43" s="211">
        <f t="shared" si="37"/>
        <v>188.42607712283825</v>
      </c>
      <c r="AJ43" s="200">
        <f t="shared" si="39"/>
        <v>6.6580269224521302E-2</v>
      </c>
      <c r="AK43" s="213">
        <f t="shared" si="40"/>
        <v>1.4660618845716491</v>
      </c>
      <c r="AL43" s="214">
        <f t="shared" ca="1" si="41"/>
        <v>1.3277243832152448</v>
      </c>
      <c r="AM43" s="176">
        <f>DANE!AE43</f>
        <v>19</v>
      </c>
      <c r="AN43" s="198">
        <f t="shared" si="6"/>
        <v>505</v>
      </c>
      <c r="AO43" s="177">
        <f t="shared" ca="1" si="22"/>
        <v>25.428571428571427</v>
      </c>
      <c r="AP43" s="211">
        <f t="shared" si="49"/>
        <v>173.10728859548965</v>
      </c>
      <c r="AQ43" s="200">
        <f t="shared" si="51"/>
        <v>-3.7179374893409251E-2</v>
      </c>
      <c r="AR43" s="213">
        <f t="shared" si="52"/>
        <v>0.73974437574613527</v>
      </c>
      <c r="AS43" s="217">
        <f t="shared" ca="1" si="53"/>
        <v>1.0595942653876635</v>
      </c>
      <c r="AT43" s="176">
        <f>DANE!AI43</f>
        <v>35</v>
      </c>
      <c r="AU43" s="198">
        <f t="shared" si="7"/>
        <v>1664</v>
      </c>
      <c r="AV43" s="177">
        <f t="shared" ca="1" si="23"/>
        <v>99.571428571428569</v>
      </c>
      <c r="AW43" s="211">
        <f t="shared" si="33"/>
        <v>582.59137943895803</v>
      </c>
      <c r="AX43" s="200">
        <f t="shared" si="34"/>
        <v>-8.8071766157573741E-2</v>
      </c>
      <c r="AY43" s="213">
        <f t="shared" si="35"/>
        <v>0.3834976368969838</v>
      </c>
      <c r="AZ43" s="214">
        <f t="shared" ca="1" si="36"/>
        <v>1.2939498882910851</v>
      </c>
      <c r="BA43" s="176">
        <f>DANE!AM43</f>
        <v>8</v>
      </c>
      <c r="BB43" s="198">
        <f t="shared" si="8"/>
        <v>151</v>
      </c>
      <c r="BC43" s="177">
        <f t="shared" ca="1" si="24"/>
        <v>8.1428571428571423</v>
      </c>
      <c r="BD43" s="211">
        <f t="shared" si="77"/>
        <v>70.846080896808076</v>
      </c>
      <c r="BE43" s="200">
        <f t="shared" si="80"/>
        <v>-3.3747031943430553E-2</v>
      </c>
      <c r="BF43" s="213">
        <f t="shared" si="81"/>
        <v>0.76377077639598612</v>
      </c>
      <c r="BG43" s="217">
        <f t="shared" ca="1" si="82"/>
        <v>0.8191392311682939</v>
      </c>
      <c r="BH43" s="176">
        <f>DANE!AQ43</f>
        <v>1</v>
      </c>
      <c r="BI43" s="198">
        <f t="shared" si="9"/>
        <v>221</v>
      </c>
      <c r="BJ43" s="177">
        <f t="shared" ca="1" si="25"/>
        <v>10.285714285714286</v>
      </c>
      <c r="BK43" s="211">
        <f t="shared" si="61"/>
        <v>74.280809065844664</v>
      </c>
      <c r="BL43" s="200">
        <f t="shared" si="63"/>
        <v>-0.13116045353193778</v>
      </c>
      <c r="BM43" s="213">
        <f t="shared" si="64"/>
        <v>8.1876825276435472E-2</v>
      </c>
      <c r="BN43" s="214">
        <f t="shared" ca="1" si="65"/>
        <v>0.86688328951243399</v>
      </c>
      <c r="BO43" s="176">
        <f>DANE!AU43</f>
        <v>27</v>
      </c>
      <c r="BP43" s="198">
        <f t="shared" si="10"/>
        <v>222</v>
      </c>
      <c r="BQ43" s="177">
        <f t="shared" ca="1" si="26"/>
        <v>18.714285714285715</v>
      </c>
      <c r="BR43" s="211">
        <f t="shared" si="78"/>
        <v>117.81012163299309</v>
      </c>
      <c r="BS43" s="200">
        <f t="shared" si="83"/>
        <v>0.11199173000736502</v>
      </c>
      <c r="BT43" s="213">
        <f t="shared" si="84"/>
        <v>1.7839421100515551</v>
      </c>
      <c r="BU43" s="217">
        <f t="shared" ca="1" si="85"/>
        <v>1.2459308394441118</v>
      </c>
      <c r="BV43" s="176">
        <f>DANE!AY43</f>
        <v>8</v>
      </c>
      <c r="BW43" s="198">
        <f t="shared" si="11"/>
        <v>171</v>
      </c>
      <c r="BX43" s="177">
        <f t="shared" ca="1" si="27"/>
        <v>7.7142857142857144</v>
      </c>
      <c r="BY43" s="211">
        <f t="shared" si="69"/>
        <v>65.803428476666312</v>
      </c>
      <c r="BZ43" s="200">
        <f t="shared" si="71"/>
        <v>-2.4228489888731181E-2</v>
      </c>
      <c r="CA43" s="213">
        <f t="shared" si="72"/>
        <v>0.83040057077888174</v>
      </c>
      <c r="CB43" s="214">
        <f t="shared" ca="1" si="73"/>
        <v>0.67382440808589628</v>
      </c>
      <c r="CC43" s="176">
        <f>DANE!BC43</f>
        <v>65</v>
      </c>
      <c r="CD43" s="198">
        <f t="shared" si="12"/>
        <v>846</v>
      </c>
      <c r="CE43" s="177">
        <f t="shared" ca="1" si="28"/>
        <v>44.142857142857146</v>
      </c>
      <c r="CF43" s="211">
        <f t="shared" si="45"/>
        <v>315.77390894308712</v>
      </c>
      <c r="CG43" s="200">
        <f t="shared" si="46"/>
        <v>7.9312244496985887E-2</v>
      </c>
      <c r="CH43" s="213">
        <f t="shared" si="47"/>
        <v>1.5551857114789014</v>
      </c>
      <c r="CI43" s="217">
        <f t="shared" ca="1" si="48"/>
        <v>1.0984098271933382</v>
      </c>
      <c r="CJ43" s="176">
        <f>DANE!BG43</f>
        <v>5</v>
      </c>
      <c r="CK43" s="198">
        <f t="shared" si="13"/>
        <v>141</v>
      </c>
      <c r="CL43" s="177">
        <f t="shared" ca="1" si="29"/>
        <v>6.8571428571428568</v>
      </c>
      <c r="CM43" s="211">
        <f t="shared" si="79"/>
        <v>59.358691653016329</v>
      </c>
      <c r="CN43" s="200">
        <f t="shared" si="86"/>
        <v>-6.4015762474572871E-2</v>
      </c>
      <c r="CO43" s="213">
        <f t="shared" si="87"/>
        <v>0.55188966267798989</v>
      </c>
      <c r="CP43" s="214">
        <f t="shared" ca="1" si="88"/>
        <v>0.39033266044375658</v>
      </c>
      <c r="CQ43" s="176">
        <f>DANE!BK43</f>
        <v>11</v>
      </c>
      <c r="CR43" s="198">
        <f t="shared" si="14"/>
        <v>122</v>
      </c>
      <c r="CS43" s="177">
        <f t="shared" ca="1" si="30"/>
        <v>6</v>
      </c>
      <c r="CT43" s="211">
        <f t="shared" si="89"/>
        <v>82.702623906705554</v>
      </c>
      <c r="CU43" s="200">
        <f t="shared" ref="CU43:CU296" si="90">IF(ISBLANK(CQ43),"",(CT43-CT42)/CT42)</f>
        <v>-1.1361656153068608E-2</v>
      </c>
      <c r="CV43" s="213">
        <f t="shared" ref="CV43:CV296" si="91">IF(ISBLANK(CQ43),"",1+CU43/$DQ$2)</f>
        <v>0.92046840692851972</v>
      </c>
      <c r="CW43" s="217">
        <f t="shared" ref="CW43:CW296" ca="1" si="92">IF(ISBLANK(CQ43),"",AVERAGE((OFFSET(CV43,(-1)*($DU$2-1),0)):CV43))</f>
        <v>0.92046840692851972</v>
      </c>
      <c r="CX43" s="176">
        <f>DANE!BO43</f>
        <v>29</v>
      </c>
      <c r="CY43" s="198">
        <f t="shared" si="15"/>
        <v>564</v>
      </c>
      <c r="CZ43" s="177">
        <f t="shared" ca="1" si="31"/>
        <v>41.571428571428569</v>
      </c>
      <c r="DA43" s="211">
        <f t="shared" si="54"/>
        <v>241.62740171514875</v>
      </c>
      <c r="DB43" s="200">
        <f t="shared" si="58"/>
        <v>-2.5952441691470263E-2</v>
      </c>
      <c r="DC43" s="213">
        <f t="shared" si="59"/>
        <v>0.81833290815970816</v>
      </c>
      <c r="DD43" s="214">
        <f t="shared" ca="1" si="60"/>
        <v>1.5368133028411555</v>
      </c>
      <c r="DE43" s="176">
        <f>DANE!BS43</f>
        <v>2</v>
      </c>
      <c r="DF43" s="198">
        <f t="shared" si="16"/>
        <v>193</v>
      </c>
      <c r="DG43" s="177">
        <f t="shared" ca="1" si="32"/>
        <v>12.428571428571429</v>
      </c>
      <c r="DH43" s="209">
        <f t="shared" si="70"/>
        <v>77.523091306311258</v>
      </c>
      <c r="DI43" s="179">
        <f t="shared" si="74"/>
        <v>-0.12015831413292111</v>
      </c>
      <c r="DJ43" s="157">
        <f t="shared" si="75"/>
        <v>0.15889180106955225</v>
      </c>
      <c r="DK43" s="225">
        <f t="shared" ca="1" si="76"/>
        <v>0.9967009330000548</v>
      </c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</row>
    <row r="44" spans="1:138" x14ac:dyDescent="0.25">
      <c r="A44" s="32">
        <v>43934</v>
      </c>
      <c r="B44" s="33" t="str">
        <f t="shared" ca="1" si="0"/>
        <v/>
      </c>
      <c r="C44" s="51">
        <v>41</v>
      </c>
      <c r="D44" s="176">
        <f>DANE!K44</f>
        <v>12</v>
      </c>
      <c r="E44" s="188">
        <f t="shared" si="1"/>
        <v>709</v>
      </c>
      <c r="F44" s="178">
        <f t="shared" ca="1" si="17"/>
        <v>31.571428571428573</v>
      </c>
      <c r="G44" s="209">
        <f t="shared" si="38"/>
        <v>208.26338452148832</v>
      </c>
      <c r="H44" s="179">
        <f t="shared" si="42"/>
        <v>-9.0449434150844929E-2</v>
      </c>
      <c r="I44" s="213">
        <f t="shared" si="43"/>
        <v>0.36685396094408551</v>
      </c>
      <c r="J44" s="214">
        <f t="shared" ca="1" si="44"/>
        <v>1.078324660148406</v>
      </c>
      <c r="K44" s="176">
        <f>DANE!O44</f>
        <v>9</v>
      </c>
      <c r="L44" s="188">
        <f t="shared" si="2"/>
        <v>345</v>
      </c>
      <c r="M44" s="177">
        <f t="shared" ca="1" si="18"/>
        <v>14.285714285714286</v>
      </c>
      <c r="N44" s="209">
        <f t="shared" si="62"/>
        <v>115.229348442085</v>
      </c>
      <c r="O44" s="179">
        <f t="shared" si="66"/>
        <v>-7.0237986028825694E-2</v>
      </c>
      <c r="P44" s="213">
        <f t="shared" si="67"/>
        <v>0.50833409779822014</v>
      </c>
      <c r="Q44" s="217">
        <f t="shared" ca="1" si="68"/>
        <v>0.81043956471579393</v>
      </c>
      <c r="R44" s="176">
        <f>DANE!S44</f>
        <v>6</v>
      </c>
      <c r="S44" s="188">
        <f t="shared" si="3"/>
        <v>240</v>
      </c>
      <c r="T44" s="177">
        <f t="shared" ca="1" si="19"/>
        <v>8.4285714285714288</v>
      </c>
      <c r="U44" s="209">
        <f t="shared" si="50"/>
        <v>61.728736026832891</v>
      </c>
      <c r="V44" s="179">
        <f t="shared" si="55"/>
        <v>-5.0573385687755261E-2</v>
      </c>
      <c r="W44" s="213">
        <f t="shared" si="56"/>
        <v>0.64598630018571312</v>
      </c>
      <c r="X44" s="214">
        <f t="shared" ca="1" si="57"/>
        <v>0.86814455800197965</v>
      </c>
      <c r="Y44" s="176">
        <f>DANE!W44</f>
        <v>0</v>
      </c>
      <c r="Z44" s="188">
        <f t="shared" si="4"/>
        <v>78</v>
      </c>
      <c r="AA44" s="177">
        <f t="shared" ca="1" si="20"/>
        <v>2.2857142857142856</v>
      </c>
      <c r="AB44" s="209"/>
      <c r="AC44" s="179"/>
      <c r="AD44" s="213"/>
      <c r="AE44" s="217"/>
      <c r="AF44" s="176">
        <f>DANE!AA44</f>
        <v>22</v>
      </c>
      <c r="AG44" s="188">
        <f t="shared" si="5"/>
        <v>551</v>
      </c>
      <c r="AH44" s="177">
        <f t="shared" ca="1" si="21"/>
        <v>30.142857142857142</v>
      </c>
      <c r="AI44" s="209">
        <f t="shared" si="37"/>
        <v>183.50806610528994</v>
      </c>
      <c r="AJ44" s="179">
        <f t="shared" si="39"/>
        <v>-2.6100479788379673E-2</v>
      </c>
      <c r="AK44" s="213">
        <f t="shared" si="40"/>
        <v>0.81729664148134229</v>
      </c>
      <c r="AL44" s="214">
        <f t="shared" ca="1" si="41"/>
        <v>1.3434256522511467</v>
      </c>
      <c r="AM44" s="176">
        <f>DANE!AE44</f>
        <v>13</v>
      </c>
      <c r="AN44" s="188">
        <f t="shared" si="6"/>
        <v>518</v>
      </c>
      <c r="AO44" s="177">
        <f t="shared" ca="1" si="22"/>
        <v>24.142857142857142</v>
      </c>
      <c r="AP44" s="209">
        <f t="shared" si="49"/>
        <v>161.37767593899113</v>
      </c>
      <c r="AQ44" s="179">
        <f t="shared" si="51"/>
        <v>-6.7759207319732326E-2</v>
      </c>
      <c r="AR44" s="213">
        <f t="shared" si="52"/>
        <v>0.52568554876187368</v>
      </c>
      <c r="AS44" s="217">
        <f t="shared" ca="1" si="53"/>
        <v>1.0004337162167327</v>
      </c>
      <c r="AT44" s="176">
        <f>DANE!AI44</f>
        <v>24</v>
      </c>
      <c r="AU44" s="188">
        <f t="shared" si="7"/>
        <v>1688</v>
      </c>
      <c r="AV44" s="177">
        <f t="shared" ca="1" si="23"/>
        <v>89</v>
      </c>
      <c r="AW44" s="209">
        <f t="shared" si="33"/>
        <v>523.36403951910688</v>
      </c>
      <c r="AX44" s="179">
        <f t="shared" si="34"/>
        <v>-0.10166188860687869</v>
      </c>
      <c r="AY44" s="213">
        <f t="shared" si="35"/>
        <v>0.2883667797518491</v>
      </c>
      <c r="AZ44" s="214">
        <f t="shared" ca="1" si="36"/>
        <v>1.1171370045016056</v>
      </c>
      <c r="BA44" s="176">
        <f>DANE!AM44</f>
        <v>20</v>
      </c>
      <c r="BB44" s="188">
        <f t="shared" si="8"/>
        <v>171</v>
      </c>
      <c r="BC44" s="177">
        <f t="shared" ca="1" si="24"/>
        <v>10</v>
      </c>
      <c r="BD44" s="209">
        <f t="shared" si="77"/>
        <v>80.725212197264071</v>
      </c>
      <c r="BE44" s="179">
        <f t="shared" si="80"/>
        <v>0.13944499364538729</v>
      </c>
      <c r="BF44" s="213">
        <f t="shared" si="81"/>
        <v>1.9761149555177111</v>
      </c>
      <c r="BG44" s="217">
        <f t="shared" ca="1" si="82"/>
        <v>1.0119685185598635</v>
      </c>
      <c r="BH44" s="176">
        <f>DANE!AQ44</f>
        <v>4</v>
      </c>
      <c r="BI44" s="188">
        <f t="shared" si="9"/>
        <v>225</v>
      </c>
      <c r="BJ44" s="177">
        <f t="shared" ca="1" si="25"/>
        <v>9.8571428571428577</v>
      </c>
      <c r="BK44" s="209">
        <f t="shared" si="61"/>
        <v>67.669264913581145</v>
      </c>
      <c r="BL44" s="179">
        <f t="shared" si="63"/>
        <v>-8.9007433217412252E-2</v>
      </c>
      <c r="BM44" s="213">
        <f t="shared" si="64"/>
        <v>0.37694796747811421</v>
      </c>
      <c r="BN44" s="214">
        <f t="shared" ca="1" si="65"/>
        <v>0.83927469971680357</v>
      </c>
      <c r="BO44" s="176">
        <f>DANE!AU44</f>
        <v>16</v>
      </c>
      <c r="BP44" s="188">
        <f t="shared" si="10"/>
        <v>238</v>
      </c>
      <c r="BQ44" s="177">
        <f t="shared" ca="1" si="26"/>
        <v>18.428571428571427</v>
      </c>
      <c r="BR44" s="209">
        <f t="shared" si="78"/>
        <v>116.98010425685122</v>
      </c>
      <c r="BS44" s="179">
        <f t="shared" si="83"/>
        <v>-7.0453825582794298E-3</v>
      </c>
      <c r="BT44" s="213">
        <f t="shared" si="84"/>
        <v>0.95068232209204395</v>
      </c>
      <c r="BU44" s="217">
        <f t="shared" ca="1" si="85"/>
        <v>1.1967227532187672</v>
      </c>
      <c r="BV44" s="176">
        <f>DANE!AY44</f>
        <v>4</v>
      </c>
      <c r="BW44" s="188">
        <f t="shared" si="11"/>
        <v>175</v>
      </c>
      <c r="BX44" s="177">
        <f t="shared" ca="1" si="27"/>
        <v>7.1428571428571432</v>
      </c>
      <c r="BY44" s="209">
        <f t="shared" si="69"/>
        <v>60.402938694285417</v>
      </c>
      <c r="BZ44" s="179">
        <f t="shared" si="71"/>
        <v>-8.2070036583213768E-2</v>
      </c>
      <c r="CA44" s="213">
        <f t="shared" si="72"/>
        <v>0.42550974391750362</v>
      </c>
      <c r="CB44" s="214">
        <f t="shared" ca="1" si="73"/>
        <v>0.64775133266250629</v>
      </c>
      <c r="CC44" s="176">
        <f>DANE!BC44</f>
        <v>33</v>
      </c>
      <c r="CD44" s="188">
        <f t="shared" si="12"/>
        <v>879</v>
      </c>
      <c r="CE44" s="177">
        <f t="shared" ca="1" si="28"/>
        <v>45.285714285714285</v>
      </c>
      <c r="CF44" s="209">
        <f t="shared" si="45"/>
        <v>303.66335052264611</v>
      </c>
      <c r="CG44" s="179">
        <f t="shared" si="46"/>
        <v>-3.8351991971014084E-2</v>
      </c>
      <c r="CH44" s="213">
        <f t="shared" si="47"/>
        <v>0.73153605620290141</v>
      </c>
      <c r="CI44" s="217">
        <f t="shared" ca="1" si="48"/>
        <v>1.1161464639437657</v>
      </c>
      <c r="CJ44" s="176">
        <f>DANE!BG44</f>
        <v>0</v>
      </c>
      <c r="CK44" s="188">
        <f t="shared" si="13"/>
        <v>141</v>
      </c>
      <c r="CL44" s="177">
        <f t="shared" ca="1" si="29"/>
        <v>5.4285714285714288</v>
      </c>
      <c r="CM44" s="209">
        <f t="shared" si="79"/>
        <v>50.878878559728285</v>
      </c>
      <c r="CN44" s="179">
        <f t="shared" si="86"/>
        <v>-0.14285714285714279</v>
      </c>
      <c r="CO44" s="213">
        <f t="shared" si="87"/>
        <v>4.4408920985006262E-16</v>
      </c>
      <c r="CP44" s="214">
        <f t="shared" ca="1" si="88"/>
        <v>0.32527721703646389</v>
      </c>
      <c r="CQ44" s="176">
        <f>DANE!BK44</f>
        <v>0</v>
      </c>
      <c r="CR44" s="188">
        <f t="shared" si="14"/>
        <v>122</v>
      </c>
      <c r="CS44" s="177">
        <f t="shared" ca="1" si="30"/>
        <v>5.5714285714285712</v>
      </c>
      <c r="CT44" s="209">
        <f t="shared" si="89"/>
        <v>70.887963348604771</v>
      </c>
      <c r="CU44" s="179">
        <f t="shared" si="90"/>
        <v>-0.14285714285714274</v>
      </c>
      <c r="CV44" s="213">
        <f t="shared" si="91"/>
        <v>7.7715611723760958E-16</v>
      </c>
      <c r="CW44" s="217">
        <f t="shared" ca="1" si="92"/>
        <v>0.46023420346426025</v>
      </c>
      <c r="CX44" s="176">
        <f>DANE!BO44</f>
        <v>85</v>
      </c>
      <c r="CY44" s="188">
        <f t="shared" si="15"/>
        <v>649</v>
      </c>
      <c r="CZ44" s="177">
        <f t="shared" ca="1" si="31"/>
        <v>46</v>
      </c>
      <c r="DA44" s="209">
        <f t="shared" si="54"/>
        <v>292.10920147012752</v>
      </c>
      <c r="DB44" s="179">
        <f t="shared" si="58"/>
        <v>0.20892415097229358</v>
      </c>
      <c r="DC44" s="213">
        <f t="shared" si="59"/>
        <v>2.4624690568060554</v>
      </c>
      <c r="DD44" s="214">
        <f t="shared" ca="1" si="60"/>
        <v>1.5209968579247468</v>
      </c>
      <c r="DE44" s="176">
        <f>DANE!BS44</f>
        <v>10</v>
      </c>
      <c r="DF44" s="188">
        <f t="shared" si="16"/>
        <v>203</v>
      </c>
      <c r="DG44" s="177">
        <f t="shared" ca="1" si="32"/>
        <v>12.285714285714286</v>
      </c>
      <c r="DH44" s="209">
        <f t="shared" si="70"/>
        <v>76.448363976838223</v>
      </c>
      <c r="DI44" s="179">
        <f t="shared" si="74"/>
        <v>-1.3863318804284316E-2</v>
      </c>
      <c r="DJ44" s="157">
        <f t="shared" si="75"/>
        <v>0.90295676837000982</v>
      </c>
      <c r="DK44" s="225">
        <f t="shared" ca="1" si="76"/>
        <v>0.98958364594180215</v>
      </c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</row>
    <row r="45" spans="1:138" x14ac:dyDescent="0.25">
      <c r="A45" s="32">
        <v>43935</v>
      </c>
      <c r="B45" s="33" t="str">
        <f t="shared" ca="1" si="0"/>
        <v/>
      </c>
      <c r="C45" s="51">
        <v>42</v>
      </c>
      <c r="D45" s="176">
        <f>DANE!K45</f>
        <v>14</v>
      </c>
      <c r="E45" s="188">
        <f t="shared" si="1"/>
        <v>723</v>
      </c>
      <c r="F45" s="178">
        <f t="shared" ca="1" si="17"/>
        <v>28</v>
      </c>
      <c r="G45" s="209">
        <f t="shared" si="38"/>
        <v>192.51147244699001</v>
      </c>
      <c r="H45" s="179">
        <f t="shared" si="42"/>
        <v>-7.5634572590329949E-2</v>
      </c>
      <c r="I45" s="213">
        <f t="shared" si="43"/>
        <v>0.47055799186769032</v>
      </c>
      <c r="J45" s="214">
        <f t="shared" ca="1" si="44"/>
        <v>0.9492311578578938</v>
      </c>
      <c r="K45" s="176">
        <f>DANE!O45</f>
        <v>7</v>
      </c>
      <c r="L45" s="188">
        <f t="shared" si="2"/>
        <v>352</v>
      </c>
      <c r="M45" s="177">
        <f t="shared" ca="1" si="18"/>
        <v>12.571428571428571</v>
      </c>
      <c r="N45" s="209">
        <f t="shared" si="62"/>
        <v>105.76801295035858</v>
      </c>
      <c r="O45" s="179">
        <f t="shared" si="66"/>
        <v>-8.2108730281346187E-2</v>
      </c>
      <c r="P45" s="213">
        <f t="shared" si="67"/>
        <v>0.42523888803057663</v>
      </c>
      <c r="Q45" s="217">
        <f t="shared" ca="1" si="68"/>
        <v>0.7370594203959614</v>
      </c>
      <c r="R45" s="176">
        <f>DANE!S45</f>
        <v>5</v>
      </c>
      <c r="S45" s="188">
        <f t="shared" si="3"/>
        <v>245</v>
      </c>
      <c r="T45" s="177">
        <f t="shared" ca="1" si="19"/>
        <v>7.5714285714285712</v>
      </c>
      <c r="U45" s="209">
        <f t="shared" si="50"/>
        <v>57.910345165856768</v>
      </c>
      <c r="V45" s="179">
        <f t="shared" si="55"/>
        <v>-6.1857590269081573E-2</v>
      </c>
      <c r="W45" s="213">
        <f t="shared" si="56"/>
        <v>0.56699686811642902</v>
      </c>
      <c r="X45" s="214">
        <f t="shared" ca="1" si="57"/>
        <v>0.79554022177206529</v>
      </c>
      <c r="Y45" s="176">
        <f>DANE!W45</f>
        <v>1</v>
      </c>
      <c r="Z45" s="188">
        <f t="shared" si="4"/>
        <v>79</v>
      </c>
      <c r="AA45" s="177">
        <f t="shared" ca="1" si="20"/>
        <v>2.4285714285714284</v>
      </c>
      <c r="AB45" s="209"/>
      <c r="AC45" s="179"/>
      <c r="AD45" s="213"/>
      <c r="AE45" s="217"/>
      <c r="AF45" s="176">
        <f>DANE!AA45</f>
        <v>16</v>
      </c>
      <c r="AG45" s="188">
        <f t="shared" si="5"/>
        <v>567</v>
      </c>
      <c r="AH45" s="177">
        <f t="shared" ca="1" si="21"/>
        <v>29.857142857142858</v>
      </c>
      <c r="AI45" s="209">
        <f t="shared" si="37"/>
        <v>173.29262809024854</v>
      </c>
      <c r="AJ45" s="179">
        <f t="shared" si="39"/>
        <v>-5.5667514959152641E-2</v>
      </c>
      <c r="AK45" s="213">
        <f t="shared" si="40"/>
        <v>0.6103273952859315</v>
      </c>
      <c r="AL45" s="214">
        <f t="shared" ca="1" si="41"/>
        <v>1.295018744049105</v>
      </c>
      <c r="AM45" s="176">
        <f>DANE!AE45</f>
        <v>19</v>
      </c>
      <c r="AN45" s="188">
        <f t="shared" si="6"/>
        <v>537</v>
      </c>
      <c r="AO45" s="177">
        <f t="shared" ca="1" si="22"/>
        <v>23.714285714285715</v>
      </c>
      <c r="AP45" s="209">
        <f t="shared" si="49"/>
        <v>157.32372223342099</v>
      </c>
      <c r="AQ45" s="179">
        <f t="shared" si="51"/>
        <v>-2.5120907721478996E-2</v>
      </c>
      <c r="AR45" s="213">
        <f t="shared" si="52"/>
        <v>0.82415364594964702</v>
      </c>
      <c r="AS45" s="217">
        <f t="shared" ca="1" si="53"/>
        <v>0.98274701107510565</v>
      </c>
      <c r="AT45" s="176">
        <f>DANE!AI45</f>
        <v>27</v>
      </c>
      <c r="AU45" s="188">
        <f t="shared" si="7"/>
        <v>1715</v>
      </c>
      <c r="AV45" s="177">
        <f t="shared" ca="1" si="23"/>
        <v>66.857142857142861</v>
      </c>
      <c r="AW45" s="209">
        <f t="shared" si="33"/>
        <v>475.59774815923453</v>
      </c>
      <c r="AX45" s="179">
        <f t="shared" si="34"/>
        <v>-9.126781313397539E-2</v>
      </c>
      <c r="AY45" s="213">
        <f t="shared" si="35"/>
        <v>0.36112530806217225</v>
      </c>
      <c r="AZ45" s="214">
        <f t="shared" ca="1" si="36"/>
        <v>0.79215387307873519</v>
      </c>
      <c r="BA45" s="176">
        <f>DANE!AM45</f>
        <v>35</v>
      </c>
      <c r="BB45" s="188">
        <f t="shared" si="8"/>
        <v>206</v>
      </c>
      <c r="BC45" s="177">
        <f t="shared" ca="1" si="24"/>
        <v>14.142857142857142</v>
      </c>
      <c r="BD45" s="209">
        <f t="shared" si="77"/>
        <v>104.19303902622636</v>
      </c>
      <c r="BE45" s="179">
        <f t="shared" si="80"/>
        <v>0.29071248238549263</v>
      </c>
      <c r="BF45" s="213">
        <f t="shared" si="81"/>
        <v>3.0349873766984485</v>
      </c>
      <c r="BG45" s="217">
        <f t="shared" ca="1" si="82"/>
        <v>1.3009712125796613</v>
      </c>
      <c r="BH45" s="176">
        <f>DANE!AQ45</f>
        <v>9</v>
      </c>
      <c r="BI45" s="188">
        <f t="shared" si="9"/>
        <v>234</v>
      </c>
      <c r="BJ45" s="177">
        <f t="shared" ca="1" si="25"/>
        <v>9.4285714285714288</v>
      </c>
      <c r="BK45" s="209">
        <f t="shared" si="61"/>
        <v>67.002227068783839</v>
      </c>
      <c r="BL45" s="179">
        <f t="shared" si="63"/>
        <v>-9.8573236409345514E-3</v>
      </c>
      <c r="BM45" s="213">
        <f t="shared" si="64"/>
        <v>0.93099873451345816</v>
      </c>
      <c r="BN45" s="214">
        <f t="shared" ca="1" si="65"/>
        <v>0.82349694919174787</v>
      </c>
      <c r="BO45" s="176">
        <f>DANE!AU45</f>
        <v>18</v>
      </c>
      <c r="BP45" s="188">
        <f t="shared" si="10"/>
        <v>256</v>
      </c>
      <c r="BQ45" s="177">
        <f t="shared" ca="1" si="26"/>
        <v>18.428571428571427</v>
      </c>
      <c r="BR45" s="209">
        <f t="shared" si="78"/>
        <v>118.26866079158677</v>
      </c>
      <c r="BS45" s="179">
        <f t="shared" si="83"/>
        <v>1.1015176836449782E-2</v>
      </c>
      <c r="BT45" s="213">
        <f t="shared" si="84"/>
        <v>1.0771062378551486</v>
      </c>
      <c r="BU45" s="217">
        <f t="shared" ca="1" si="85"/>
        <v>1.1796346795953931</v>
      </c>
      <c r="BV45" s="176">
        <f>DANE!AY45</f>
        <v>0</v>
      </c>
      <c r="BW45" s="188">
        <f t="shared" si="11"/>
        <v>175</v>
      </c>
      <c r="BX45" s="177">
        <f t="shared" ca="1" si="27"/>
        <v>5.7142857142857144</v>
      </c>
      <c r="BY45" s="209">
        <f t="shared" si="69"/>
        <v>51.773947452244649</v>
      </c>
      <c r="BZ45" s="179">
        <f t="shared" si="71"/>
        <v>-0.14285714285714277</v>
      </c>
      <c r="CA45" s="213">
        <f t="shared" si="72"/>
        <v>5.5511151231257827E-16</v>
      </c>
      <c r="CB45" s="214">
        <f t="shared" ca="1" si="73"/>
        <v>0.53273557248545578</v>
      </c>
      <c r="CC45" s="176">
        <f>DANE!BC45</f>
        <v>64</v>
      </c>
      <c r="CD45" s="188">
        <f t="shared" si="12"/>
        <v>943</v>
      </c>
      <c r="CE45" s="177">
        <f t="shared" ca="1" si="28"/>
        <v>48.857142857142854</v>
      </c>
      <c r="CF45" s="209">
        <f t="shared" si="45"/>
        <v>324.28287187655383</v>
      </c>
      <c r="CG45" s="179">
        <f t="shared" si="46"/>
        <v>6.7902568151272463E-2</v>
      </c>
      <c r="CH45" s="213">
        <f t="shared" si="47"/>
        <v>1.4753179770589073</v>
      </c>
      <c r="CI45" s="217">
        <f t="shared" ca="1" si="48"/>
        <v>1.1835040652092441</v>
      </c>
      <c r="CJ45" s="176">
        <f>DANE!BG45</f>
        <v>13</v>
      </c>
      <c r="CK45" s="188">
        <f t="shared" si="13"/>
        <v>154</v>
      </c>
      <c r="CL45" s="177">
        <f t="shared" ca="1" si="29"/>
        <v>4.8571428571428568</v>
      </c>
      <c r="CM45" s="209">
        <f t="shared" si="79"/>
        <v>56.610467336909963</v>
      </c>
      <c r="CN45" s="179">
        <f t="shared" si="86"/>
        <v>0.11265163343671557</v>
      </c>
      <c r="CO45" s="213">
        <f t="shared" si="87"/>
        <v>1.7885614340570091</v>
      </c>
      <c r="CP45" s="214">
        <f t="shared" ca="1" si="88"/>
        <v>0.53431781946797041</v>
      </c>
      <c r="CQ45" s="176">
        <f>DANE!BK45</f>
        <v>0</v>
      </c>
      <c r="CR45" s="188">
        <f t="shared" si="14"/>
        <v>122</v>
      </c>
      <c r="CS45" s="177">
        <f t="shared" ca="1" si="30"/>
        <v>5</v>
      </c>
      <c r="CT45" s="209">
        <f t="shared" si="89"/>
        <v>60.761111441661235</v>
      </c>
      <c r="CU45" s="179">
        <f t="shared" si="90"/>
        <v>-0.14285714285714282</v>
      </c>
      <c r="CV45" s="213">
        <f t="shared" si="91"/>
        <v>2.2204460492503131E-16</v>
      </c>
      <c r="CW45" s="217">
        <f t="shared" ca="1" si="92"/>
        <v>0.30682280230950693</v>
      </c>
      <c r="CX45" s="176">
        <f>DANE!BO45</f>
        <v>34</v>
      </c>
      <c r="CY45" s="188">
        <f t="shared" si="15"/>
        <v>683</v>
      </c>
      <c r="CZ45" s="177">
        <f t="shared" ca="1" si="31"/>
        <v>47.714285714285715</v>
      </c>
      <c r="DA45" s="209">
        <f t="shared" si="54"/>
        <v>284.3793155458236</v>
      </c>
      <c r="DB45" s="179">
        <f t="shared" si="58"/>
        <v>-2.6462315755207081E-2</v>
      </c>
      <c r="DC45" s="213">
        <f t="shared" si="59"/>
        <v>0.81476378971355046</v>
      </c>
      <c r="DD45" s="214">
        <f t="shared" ca="1" si="60"/>
        <v>1.5151110631431572</v>
      </c>
      <c r="DE45" s="176">
        <f>DANE!BS45</f>
        <v>8</v>
      </c>
      <c r="DF45" s="188">
        <f t="shared" si="16"/>
        <v>211</v>
      </c>
      <c r="DG45" s="177">
        <f t="shared" ca="1" si="32"/>
        <v>11.142857142857142</v>
      </c>
      <c r="DH45" s="209">
        <f t="shared" si="70"/>
        <v>73.527169123004199</v>
      </c>
      <c r="DI45" s="179">
        <f t="shared" si="74"/>
        <v>-3.8211345565473009E-2</v>
      </c>
      <c r="DJ45" s="157">
        <f t="shared" si="75"/>
        <v>0.73252058104168893</v>
      </c>
      <c r="DK45" s="225">
        <f t="shared" ca="1" si="76"/>
        <v>0.89490499620626818</v>
      </c>
      <c r="DL45" s="82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</row>
    <row r="46" spans="1:138" x14ac:dyDescent="0.25">
      <c r="A46" s="32">
        <v>43936</v>
      </c>
      <c r="B46" s="33" t="str">
        <f t="shared" ca="1" si="0"/>
        <v/>
      </c>
      <c r="C46" s="51">
        <v>43</v>
      </c>
      <c r="D46" s="176">
        <f>DANE!K46</f>
        <v>41</v>
      </c>
      <c r="E46" s="188">
        <f t="shared" si="1"/>
        <v>764</v>
      </c>
      <c r="F46" s="178">
        <f t="shared" ca="1" si="17"/>
        <v>32.142857142857146</v>
      </c>
      <c r="G46" s="209">
        <f t="shared" si="38"/>
        <v>206.00983352599144</v>
      </c>
      <c r="H46" s="179">
        <f t="shared" si="42"/>
        <v>7.0117177472206693E-2</v>
      </c>
      <c r="I46" s="213">
        <f t="shared" si="43"/>
        <v>1.4908202423054469</v>
      </c>
      <c r="J46" s="214">
        <f t="shared" ca="1" si="44"/>
        <v>1.1048658480419606</v>
      </c>
      <c r="K46" s="176">
        <f>DANE!O46</f>
        <v>7</v>
      </c>
      <c r="L46" s="188">
        <f t="shared" si="2"/>
        <v>359</v>
      </c>
      <c r="M46" s="177">
        <f t="shared" ca="1" si="18"/>
        <v>11.714285714285714</v>
      </c>
      <c r="N46" s="209">
        <f t="shared" si="62"/>
        <v>97.658296814593072</v>
      </c>
      <c r="O46" s="179">
        <f t="shared" si="66"/>
        <v>-7.6674562654133846E-2</v>
      </c>
      <c r="P46" s="213">
        <f t="shared" si="67"/>
        <v>0.46327806142106309</v>
      </c>
      <c r="Q46" s="217">
        <f t="shared" ca="1" si="68"/>
        <v>0.71066173528732235</v>
      </c>
      <c r="R46" s="176">
        <f>DANE!S46</f>
        <v>25</v>
      </c>
      <c r="S46" s="188">
        <f t="shared" si="3"/>
        <v>270</v>
      </c>
      <c r="T46" s="177">
        <f t="shared" ca="1" si="19"/>
        <v>10</v>
      </c>
      <c r="U46" s="209">
        <f t="shared" si="50"/>
        <v>74.637438713591521</v>
      </c>
      <c r="V46" s="179">
        <f t="shared" si="55"/>
        <v>0.28884465288244981</v>
      </c>
      <c r="W46" s="213">
        <f t="shared" si="56"/>
        <v>3.021912570177149</v>
      </c>
      <c r="X46" s="214">
        <f t="shared" ca="1" si="57"/>
        <v>1.116717873271994</v>
      </c>
      <c r="Y46" s="176">
        <f>DANE!W46</f>
        <v>0</v>
      </c>
      <c r="Z46" s="188">
        <f t="shared" si="4"/>
        <v>79</v>
      </c>
      <c r="AA46" s="177">
        <f t="shared" ca="1" si="20"/>
        <v>1.8571428571428572</v>
      </c>
      <c r="AB46" s="209"/>
      <c r="AC46" s="179"/>
      <c r="AD46" s="213"/>
      <c r="AE46" s="217"/>
      <c r="AF46" s="176">
        <f>DANE!AA46</f>
        <v>5</v>
      </c>
      <c r="AG46" s="188">
        <f t="shared" si="5"/>
        <v>572</v>
      </c>
      <c r="AH46" s="177">
        <f t="shared" ca="1" si="21"/>
        <v>24.571428571428573</v>
      </c>
      <c r="AI46" s="209">
        <f t="shared" si="37"/>
        <v>153.53653836307018</v>
      </c>
      <c r="AJ46" s="179">
        <f t="shared" si="39"/>
        <v>-0.11400421324841152</v>
      </c>
      <c r="AK46" s="213">
        <f t="shared" si="40"/>
        <v>0.20197050726111931</v>
      </c>
      <c r="AL46" s="214">
        <f t="shared" ca="1" si="41"/>
        <v>1.0051657577646289</v>
      </c>
      <c r="AM46" s="176">
        <f>DANE!AE46</f>
        <v>24</v>
      </c>
      <c r="AN46" s="188">
        <f t="shared" si="6"/>
        <v>561</v>
      </c>
      <c r="AO46" s="177">
        <f t="shared" ca="1" si="22"/>
        <v>23.142857142857142</v>
      </c>
      <c r="AP46" s="209">
        <f t="shared" si="49"/>
        <v>158.84890477150373</v>
      </c>
      <c r="AQ46" s="179">
        <f t="shared" si="51"/>
        <v>9.6945490256060678E-3</v>
      </c>
      <c r="AR46" s="213">
        <f t="shared" si="52"/>
        <v>1.0678618431792424</v>
      </c>
      <c r="AS46" s="217">
        <f t="shared" ca="1" si="53"/>
        <v>0.96165130356951189</v>
      </c>
      <c r="AT46" s="176">
        <f>DANE!AI46</f>
        <v>77</v>
      </c>
      <c r="AU46" s="188">
        <f t="shared" si="7"/>
        <v>1792</v>
      </c>
      <c r="AV46" s="177">
        <f t="shared" ca="1" si="23"/>
        <v>68.285714285714292</v>
      </c>
      <c r="AW46" s="209">
        <f t="shared" si="33"/>
        <v>484.65521270791533</v>
      </c>
      <c r="AX46" s="179">
        <f t="shared" si="34"/>
        <v>1.9044380642543067E-2</v>
      </c>
      <c r="AY46" s="213">
        <f t="shared" si="35"/>
        <v>1.1333106644978015</v>
      </c>
      <c r="AZ46" s="214">
        <f t="shared" ca="1" si="36"/>
        <v>0.84168885499978718</v>
      </c>
      <c r="BA46" s="176">
        <f>DANE!AM46</f>
        <v>13</v>
      </c>
      <c r="BB46" s="188">
        <f t="shared" si="8"/>
        <v>219</v>
      </c>
      <c r="BC46" s="177">
        <f t="shared" ca="1" si="24"/>
        <v>14.714285714285714</v>
      </c>
      <c r="BD46" s="209">
        <f t="shared" si="77"/>
        <v>102.30831916533688</v>
      </c>
      <c r="BE46" s="179">
        <f t="shared" si="80"/>
        <v>-1.808873105635276E-2</v>
      </c>
      <c r="BF46" s="213">
        <f t="shared" si="81"/>
        <v>0.87337888260553065</v>
      </c>
      <c r="BG46" s="217">
        <f t="shared" ca="1" si="82"/>
        <v>1.3147124340481253</v>
      </c>
      <c r="BH46" s="176">
        <f>DANE!AQ46</f>
        <v>9</v>
      </c>
      <c r="BI46" s="188">
        <f t="shared" si="9"/>
        <v>243</v>
      </c>
      <c r="BJ46" s="177">
        <f t="shared" ca="1" si="25"/>
        <v>9</v>
      </c>
      <c r="BK46" s="209">
        <f t="shared" si="61"/>
        <v>66.430480344671864</v>
      </c>
      <c r="BL46" s="179">
        <f t="shared" si="63"/>
        <v>-8.5332495519145242E-3</v>
      </c>
      <c r="BM46" s="213">
        <f t="shared" si="64"/>
        <v>0.94026725313659831</v>
      </c>
      <c r="BN46" s="214">
        <f t="shared" ca="1" si="65"/>
        <v>0.80991891530169224</v>
      </c>
      <c r="BO46" s="176">
        <f>DANE!AU46</f>
        <v>3</v>
      </c>
      <c r="BP46" s="188">
        <f t="shared" si="10"/>
        <v>259</v>
      </c>
      <c r="BQ46" s="177">
        <f t="shared" ca="1" si="26"/>
        <v>15.714285714285714</v>
      </c>
      <c r="BR46" s="209">
        <f t="shared" si="78"/>
        <v>104.37313782136009</v>
      </c>
      <c r="BS46" s="179">
        <f t="shared" si="83"/>
        <v>-0.11749116695177088</v>
      </c>
      <c r="BT46" s="213">
        <f t="shared" si="84"/>
        <v>0.17756183133760384</v>
      </c>
      <c r="BU46" s="217">
        <f t="shared" ca="1" si="85"/>
        <v>0.98562743612754566</v>
      </c>
      <c r="BV46" s="176">
        <f>DANE!AY46</f>
        <v>4</v>
      </c>
      <c r="BW46" s="188">
        <f t="shared" si="11"/>
        <v>179</v>
      </c>
      <c r="BX46" s="177">
        <f t="shared" ca="1" si="27"/>
        <v>5.1428571428571432</v>
      </c>
      <c r="BY46" s="209">
        <f t="shared" si="69"/>
        <v>48.377669244781131</v>
      </c>
      <c r="BZ46" s="179">
        <f t="shared" si="71"/>
        <v>-6.5598208647238698E-2</v>
      </c>
      <c r="CA46" s="213">
        <f t="shared" si="72"/>
        <v>0.54081253946932906</v>
      </c>
      <c r="CB46" s="214">
        <f t="shared" ca="1" si="73"/>
        <v>0.5153467748310836</v>
      </c>
      <c r="CC46" s="176">
        <f>DANE!BC46</f>
        <v>45</v>
      </c>
      <c r="CD46" s="188">
        <f t="shared" si="12"/>
        <v>988</v>
      </c>
      <c r="CE46" s="177">
        <f t="shared" ca="1" si="28"/>
        <v>49.142857142857146</v>
      </c>
      <c r="CF46" s="209">
        <f t="shared" si="45"/>
        <v>322.95674732276046</v>
      </c>
      <c r="CG46" s="179">
        <f t="shared" si="46"/>
        <v>-4.0894067149441823E-3</v>
      </c>
      <c r="CH46" s="213">
        <f t="shared" si="47"/>
        <v>0.97137415299539076</v>
      </c>
      <c r="CI46" s="217">
        <f t="shared" ca="1" si="48"/>
        <v>1.1642479007099362</v>
      </c>
      <c r="CJ46" s="176">
        <f>DANE!BG46</f>
        <v>16</v>
      </c>
      <c r="CK46" s="188">
        <f t="shared" si="13"/>
        <v>170</v>
      </c>
      <c r="CL46" s="177">
        <f t="shared" ca="1" si="29"/>
        <v>6.1428571428571432</v>
      </c>
      <c r="CM46" s="209">
        <f t="shared" si="79"/>
        <v>64.523257717351399</v>
      </c>
      <c r="CN46" s="179">
        <f t="shared" si="86"/>
        <v>0.13977610065201326</v>
      </c>
      <c r="CO46" s="213">
        <f t="shared" si="87"/>
        <v>1.978432704564093</v>
      </c>
      <c r="CP46" s="214">
        <f t="shared" ca="1" si="88"/>
        <v>0.74240205189257957</v>
      </c>
      <c r="CQ46" s="176">
        <f>DANE!BK46</f>
        <v>3</v>
      </c>
      <c r="CR46" s="188">
        <f t="shared" si="14"/>
        <v>125</v>
      </c>
      <c r="CS46" s="177">
        <f t="shared" ca="1" si="30"/>
        <v>4.7142857142857144</v>
      </c>
      <c r="CT46" s="209">
        <f t="shared" si="89"/>
        <v>55.080952664281064</v>
      </c>
      <c r="CU46" s="179">
        <f t="shared" si="90"/>
        <v>-9.3483457471542158E-2</v>
      </c>
      <c r="CV46" s="213">
        <f t="shared" si="91"/>
        <v>0.34561579769920481</v>
      </c>
      <c r="CW46" s="217">
        <f t="shared" ca="1" si="92"/>
        <v>0.31652105115693141</v>
      </c>
      <c r="CX46" s="176">
        <f>DANE!BO46</f>
        <v>102</v>
      </c>
      <c r="CY46" s="188">
        <f t="shared" si="15"/>
        <v>785</v>
      </c>
      <c r="CZ46" s="177">
        <f t="shared" ca="1" si="31"/>
        <v>55.857142857142854</v>
      </c>
      <c r="DA46" s="209">
        <f t="shared" si="54"/>
        <v>345.75369903927742</v>
      </c>
      <c r="DB46" s="179">
        <f t="shared" si="58"/>
        <v>0.21581873272201554</v>
      </c>
      <c r="DC46" s="213">
        <f t="shared" si="59"/>
        <v>2.510731129054109</v>
      </c>
      <c r="DD46" s="214">
        <f t="shared" ca="1" si="60"/>
        <v>1.6184127729923878</v>
      </c>
      <c r="DE46" s="176">
        <f>DANE!BS46</f>
        <v>6</v>
      </c>
      <c r="DF46" s="188">
        <f t="shared" si="16"/>
        <v>217</v>
      </c>
      <c r="DG46" s="177">
        <f t="shared" ca="1" si="32"/>
        <v>7.4285714285714288</v>
      </c>
      <c r="DH46" s="209">
        <f t="shared" si="70"/>
        <v>69.023287819717893</v>
      </c>
      <c r="DI46" s="179">
        <f t="shared" si="74"/>
        <v>-6.1254653987177533E-2</v>
      </c>
      <c r="DJ46" s="157">
        <f t="shared" si="75"/>
        <v>0.57121742208975723</v>
      </c>
      <c r="DK46" s="225">
        <f t="shared" ca="1" si="76"/>
        <v>0.59916604490021441</v>
      </c>
      <c r="DL46" s="83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</row>
    <row r="47" spans="1:138" x14ac:dyDescent="0.25">
      <c r="A47" s="32">
        <v>43937</v>
      </c>
      <c r="B47" s="33" t="str">
        <f t="shared" ca="1" si="0"/>
        <v/>
      </c>
      <c r="C47" s="51">
        <v>44</v>
      </c>
      <c r="D47" s="176">
        <f>DANE!K47</f>
        <v>55</v>
      </c>
      <c r="E47" s="188">
        <f t="shared" si="1"/>
        <v>819</v>
      </c>
      <c r="F47" s="178">
        <f t="shared" ca="1" si="17"/>
        <v>35.857142857142854</v>
      </c>
      <c r="G47" s="209">
        <f t="shared" si="38"/>
        <v>231.57985730799268</v>
      </c>
      <c r="H47" s="179">
        <f t="shared" si="42"/>
        <v>0.12412040408146427</v>
      </c>
      <c r="I47" s="213">
        <f t="shared" si="43"/>
        <v>1.8688428285702501</v>
      </c>
      <c r="J47" s="214">
        <f t="shared" ca="1" si="44"/>
        <v>1.2203142243542104</v>
      </c>
      <c r="K47" s="176">
        <f>DANE!O47</f>
        <v>8</v>
      </c>
      <c r="L47" s="188">
        <f t="shared" si="2"/>
        <v>367</v>
      </c>
      <c r="M47" s="177">
        <f t="shared" ca="1" si="18"/>
        <v>12.428571428571429</v>
      </c>
      <c r="N47" s="209">
        <f t="shared" si="62"/>
        <v>91.707111555365501</v>
      </c>
      <c r="O47" s="179">
        <f t="shared" si="66"/>
        <v>-6.0938859813683403E-2</v>
      </c>
      <c r="P47" s="213">
        <f t="shared" si="67"/>
        <v>0.57342798130421613</v>
      </c>
      <c r="Q47" s="217">
        <f t="shared" ca="1" si="68"/>
        <v>0.77008432868687315</v>
      </c>
      <c r="R47" s="176">
        <f>DANE!S47</f>
        <v>9</v>
      </c>
      <c r="S47" s="188">
        <f t="shared" si="3"/>
        <v>279</v>
      </c>
      <c r="T47" s="177">
        <f t="shared" ca="1" si="19"/>
        <v>10.571428571428571</v>
      </c>
      <c r="U47" s="209">
        <f t="shared" si="50"/>
        <v>72.974947468792735</v>
      </c>
      <c r="V47" s="179">
        <f t="shared" si="55"/>
        <v>-2.2274226895409879E-2</v>
      </c>
      <c r="W47" s="213">
        <f t="shared" si="56"/>
        <v>0.84408041173213078</v>
      </c>
      <c r="X47" s="214">
        <f t="shared" ca="1" si="57"/>
        <v>1.1659150852145781</v>
      </c>
      <c r="Y47" s="176">
        <f>DANE!W47</f>
        <v>2</v>
      </c>
      <c r="Z47" s="188">
        <f t="shared" si="4"/>
        <v>81</v>
      </c>
      <c r="AA47" s="177">
        <f t="shared" ca="1" si="20"/>
        <v>1.7142857142857142</v>
      </c>
      <c r="AB47" s="209"/>
      <c r="AC47" s="179"/>
      <c r="AD47" s="213"/>
      <c r="AE47" s="217"/>
      <c r="AF47" s="176">
        <f>DANE!AA47</f>
        <v>18</v>
      </c>
      <c r="AG47" s="188">
        <f t="shared" si="5"/>
        <v>590</v>
      </c>
      <c r="AH47" s="177">
        <f t="shared" ca="1" si="21"/>
        <v>22.571428571428573</v>
      </c>
      <c r="AI47" s="209">
        <f t="shared" si="37"/>
        <v>149.60274716834587</v>
      </c>
      <c r="AJ47" s="179">
        <f t="shared" si="39"/>
        <v>-2.5621205458091101E-2</v>
      </c>
      <c r="AK47" s="213">
        <f t="shared" si="40"/>
        <v>0.82065156179336229</v>
      </c>
      <c r="AL47" s="214">
        <f t="shared" ca="1" si="41"/>
        <v>0.9158925244824222</v>
      </c>
      <c r="AM47" s="176">
        <f>DANE!AE47</f>
        <v>14</v>
      </c>
      <c r="AN47" s="188">
        <f t="shared" si="6"/>
        <v>575</v>
      </c>
      <c r="AO47" s="177">
        <f t="shared" ca="1" si="22"/>
        <v>20.285714285714285</v>
      </c>
      <c r="AP47" s="209">
        <f t="shared" si="49"/>
        <v>150.15620408986035</v>
      </c>
      <c r="AQ47" s="179">
        <f t="shared" si="51"/>
        <v>-5.4723075957919837E-2</v>
      </c>
      <c r="AR47" s="213">
        <f t="shared" si="52"/>
        <v>0.61693846829456112</v>
      </c>
      <c r="AS47" s="217">
        <f t="shared" ca="1" si="53"/>
        <v>0.84522624210667152</v>
      </c>
      <c r="AT47" s="176">
        <f>DANE!AI47</f>
        <v>54</v>
      </c>
      <c r="AU47" s="188">
        <f t="shared" si="7"/>
        <v>1846</v>
      </c>
      <c r="AV47" s="177">
        <f t="shared" ca="1" si="23"/>
        <v>60.285714285714285</v>
      </c>
      <c r="AW47" s="209">
        <f t="shared" si="33"/>
        <v>469.41875374964172</v>
      </c>
      <c r="AX47" s="179">
        <f t="shared" si="34"/>
        <v>-3.1437728427891852E-2</v>
      </c>
      <c r="AY47" s="213">
        <f t="shared" si="35"/>
        <v>0.77993590100475707</v>
      </c>
      <c r="AZ47" s="214">
        <f t="shared" ca="1" si="36"/>
        <v>0.76282400613097801</v>
      </c>
      <c r="BA47" s="176">
        <f>DANE!AM47</f>
        <v>11</v>
      </c>
      <c r="BB47" s="188">
        <f t="shared" si="8"/>
        <v>230</v>
      </c>
      <c r="BC47" s="177">
        <f t="shared" ca="1" si="24"/>
        <v>15</v>
      </c>
      <c r="BD47" s="209">
        <f t="shared" si="77"/>
        <v>98.692844998860195</v>
      </c>
      <c r="BE47" s="179">
        <f t="shared" si="80"/>
        <v>-3.5339004647645972E-2</v>
      </c>
      <c r="BF47" s="213">
        <f t="shared" si="81"/>
        <v>0.75262696746647817</v>
      </c>
      <c r="BG47" s="217">
        <f t="shared" ca="1" si="82"/>
        <v>1.3075532068279998</v>
      </c>
      <c r="BH47" s="176">
        <f>DANE!AQ47</f>
        <v>3</v>
      </c>
      <c r="BI47" s="188">
        <f t="shared" si="9"/>
        <v>246</v>
      </c>
      <c r="BJ47" s="177">
        <f t="shared" ca="1" si="25"/>
        <v>7.4285714285714288</v>
      </c>
      <c r="BK47" s="209">
        <f t="shared" si="61"/>
        <v>59.940411724004456</v>
      </c>
      <c r="BL47" s="179">
        <f t="shared" si="63"/>
        <v>-9.769715026888183E-2</v>
      </c>
      <c r="BM47" s="213">
        <f t="shared" si="64"/>
        <v>0.31611994811782718</v>
      </c>
      <c r="BN47" s="214">
        <f t="shared" ca="1" si="65"/>
        <v>0.68339277898960826</v>
      </c>
      <c r="BO47" s="176">
        <f>DANE!AU47</f>
        <v>19</v>
      </c>
      <c r="BP47" s="188">
        <f t="shared" si="10"/>
        <v>278</v>
      </c>
      <c r="BQ47" s="177">
        <f t="shared" ca="1" si="26"/>
        <v>15.714285714285714</v>
      </c>
      <c r="BR47" s="209">
        <f t="shared" si="78"/>
        <v>108.4626895611658</v>
      </c>
      <c r="BS47" s="179">
        <f t="shared" si="83"/>
        <v>3.9182033089828039E-2</v>
      </c>
      <c r="BT47" s="213">
        <f t="shared" si="84"/>
        <v>1.2742742316287963</v>
      </c>
      <c r="BU47" s="217">
        <f t="shared" ca="1" si="85"/>
        <v>0.99167417351118947</v>
      </c>
      <c r="BV47" s="176">
        <f>DANE!AY47</f>
        <v>2</v>
      </c>
      <c r="BW47" s="188">
        <f t="shared" si="11"/>
        <v>181</v>
      </c>
      <c r="BX47" s="177">
        <f t="shared" ca="1" si="27"/>
        <v>4</v>
      </c>
      <c r="BY47" s="209">
        <f t="shared" si="69"/>
        <v>43.466573638383828</v>
      </c>
      <c r="BZ47" s="179">
        <f t="shared" si="71"/>
        <v>-0.10151575474932788</v>
      </c>
      <c r="CA47" s="213">
        <f t="shared" si="72"/>
        <v>0.28938971675470482</v>
      </c>
      <c r="CB47" s="214">
        <f t="shared" ca="1" si="73"/>
        <v>0.432385962227121</v>
      </c>
      <c r="CC47" s="176">
        <f>DANE!BC47</f>
        <v>82</v>
      </c>
      <c r="CD47" s="188">
        <f t="shared" si="12"/>
        <v>1070</v>
      </c>
      <c r="CE47" s="177">
        <f t="shared" ca="1" si="28"/>
        <v>53.571428571428569</v>
      </c>
      <c r="CF47" s="209">
        <f t="shared" si="45"/>
        <v>358.82006913379473</v>
      </c>
      <c r="CG47" s="179">
        <f t="shared" si="46"/>
        <v>0.11104682626492006</v>
      </c>
      <c r="CH47" s="213">
        <f t="shared" si="47"/>
        <v>1.7773277838544406</v>
      </c>
      <c r="CI47" s="217">
        <f t="shared" ca="1" si="48"/>
        <v>1.233528314467802</v>
      </c>
      <c r="CJ47" s="176">
        <f>DANE!BG47</f>
        <v>5</v>
      </c>
      <c r="CK47" s="188">
        <f t="shared" si="13"/>
        <v>175</v>
      </c>
      <c r="CL47" s="177">
        <f t="shared" ca="1" si="29"/>
        <v>6.5714285714285712</v>
      </c>
      <c r="CM47" s="209">
        <f t="shared" si="79"/>
        <v>60.305649472015489</v>
      </c>
      <c r="CN47" s="179">
        <f t="shared" si="86"/>
        <v>-6.5365705244013486E-2</v>
      </c>
      <c r="CO47" s="213">
        <f t="shared" si="87"/>
        <v>0.54244006329190553</v>
      </c>
      <c r="CP47" s="214">
        <f t="shared" ca="1" si="88"/>
        <v>0.79703215714992537</v>
      </c>
      <c r="CQ47" s="176">
        <f>DANE!BK47</f>
        <v>4</v>
      </c>
      <c r="CR47" s="188">
        <f t="shared" si="14"/>
        <v>129</v>
      </c>
      <c r="CS47" s="177">
        <f t="shared" ca="1" si="30"/>
        <v>4.8571428571428568</v>
      </c>
      <c r="CT47" s="209">
        <f t="shared" si="89"/>
        <v>51.212245140812342</v>
      </c>
      <c r="CU47" s="179">
        <f t="shared" si="90"/>
        <v>-7.0236757651025591E-2</v>
      </c>
      <c r="CV47" s="213">
        <f t="shared" si="91"/>
        <v>0.50834269644282082</v>
      </c>
      <c r="CW47" s="217">
        <f t="shared" ca="1" si="92"/>
        <v>0.35488538021410931</v>
      </c>
      <c r="CX47" s="176">
        <f>DANE!BO47</f>
        <v>44</v>
      </c>
      <c r="CY47" s="188">
        <f t="shared" si="15"/>
        <v>829</v>
      </c>
      <c r="CZ47" s="177">
        <f t="shared" ca="1" si="31"/>
        <v>56.857142857142854</v>
      </c>
      <c r="DA47" s="209">
        <f t="shared" si="54"/>
        <v>340.3603134622378</v>
      </c>
      <c r="DB47" s="179">
        <f t="shared" si="58"/>
        <v>-1.5598923719473896E-2</v>
      </c>
      <c r="DC47" s="213">
        <f t="shared" si="59"/>
        <v>0.89080753396368273</v>
      </c>
      <c r="DD47" s="214">
        <f t="shared" ca="1" si="60"/>
        <v>1.5569329236532228</v>
      </c>
      <c r="DE47" s="176">
        <f>DANE!BS47</f>
        <v>6</v>
      </c>
      <c r="DF47" s="188">
        <f t="shared" si="16"/>
        <v>223</v>
      </c>
      <c r="DG47" s="177">
        <f t="shared" ca="1" si="32"/>
        <v>7</v>
      </c>
      <c r="DH47" s="209">
        <f t="shared" si="70"/>
        <v>65.162818131186768</v>
      </c>
      <c r="DI47" s="179">
        <f t="shared" si="74"/>
        <v>-5.592995944519908E-2</v>
      </c>
      <c r="DJ47" s="157">
        <f t="shared" si="75"/>
        <v>0.60849028388360638</v>
      </c>
      <c r="DK47" s="225">
        <f t="shared" ca="1" si="76"/>
        <v>0.60012430972809927</v>
      </c>
      <c r="DL47" s="83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</row>
    <row r="48" spans="1:138" x14ac:dyDescent="0.25">
      <c r="A48" s="32">
        <v>43938</v>
      </c>
      <c r="B48" s="33" t="str">
        <f t="shared" ca="1" si="0"/>
        <v/>
      </c>
      <c r="C48" s="51">
        <v>45</v>
      </c>
      <c r="D48" s="176">
        <f>DANE!K48</f>
        <v>74</v>
      </c>
      <c r="E48" s="188">
        <f t="shared" si="1"/>
        <v>893</v>
      </c>
      <c r="F48" s="178">
        <f t="shared" ca="1" si="17"/>
        <v>36.571428571428569</v>
      </c>
      <c r="G48" s="209">
        <f t="shared" si="38"/>
        <v>272.49702054970805</v>
      </c>
      <c r="H48" s="179">
        <f t="shared" si="42"/>
        <v>0.17668705610823937</v>
      </c>
      <c r="I48" s="213">
        <f t="shared" si="43"/>
        <v>2.2368093927576758</v>
      </c>
      <c r="J48" s="214">
        <f t="shared" ca="1" si="44"/>
        <v>1.1824231883881779</v>
      </c>
      <c r="K48" s="176">
        <f>DANE!O48</f>
        <v>20</v>
      </c>
      <c r="L48" s="188">
        <f t="shared" si="2"/>
        <v>387</v>
      </c>
      <c r="M48" s="177">
        <f t="shared" ca="1" si="18"/>
        <v>13.857142857142858</v>
      </c>
      <c r="N48" s="209">
        <f t="shared" si="62"/>
        <v>98.606095618884723</v>
      </c>
      <c r="O48" s="179">
        <f t="shared" si="66"/>
        <v>7.5228452259715556E-2</v>
      </c>
      <c r="P48" s="213">
        <f t="shared" si="67"/>
        <v>1.5265991658180089</v>
      </c>
      <c r="Q48" s="217">
        <f t="shared" ca="1" si="68"/>
        <v>0.90292396406233877</v>
      </c>
      <c r="R48" s="176">
        <f>DANE!S48</f>
        <v>11</v>
      </c>
      <c r="S48" s="188">
        <f t="shared" si="3"/>
        <v>290</v>
      </c>
      <c r="T48" s="177">
        <f t="shared" ca="1" si="19"/>
        <v>9.7142857142857135</v>
      </c>
      <c r="U48" s="209">
        <f t="shared" si="50"/>
        <v>73.549954973250919</v>
      </c>
      <c r="V48" s="179">
        <f t="shared" si="55"/>
        <v>7.8795192652119841E-3</v>
      </c>
      <c r="W48" s="213">
        <f t="shared" si="56"/>
        <v>1.0551566348564838</v>
      </c>
      <c r="X48" s="214">
        <f t="shared" ca="1" si="57"/>
        <v>1.0552581792582461</v>
      </c>
      <c r="Y48" s="176">
        <f>DANE!W48</f>
        <v>0</v>
      </c>
      <c r="Z48" s="188">
        <f t="shared" si="4"/>
        <v>81</v>
      </c>
      <c r="AA48" s="177">
        <f t="shared" ca="1" si="20"/>
        <v>1</v>
      </c>
      <c r="AB48" s="209"/>
      <c r="AC48" s="179"/>
      <c r="AD48" s="213"/>
      <c r="AE48" s="217"/>
      <c r="AF48" s="176">
        <f>DANE!AA48</f>
        <v>17</v>
      </c>
      <c r="AG48" s="188">
        <f t="shared" si="5"/>
        <v>607</v>
      </c>
      <c r="AH48" s="177">
        <f t="shared" ca="1" si="21"/>
        <v>20.571428571428573</v>
      </c>
      <c r="AI48" s="209">
        <f t="shared" si="37"/>
        <v>145.23092614429646</v>
      </c>
      <c r="AJ48" s="179">
        <f t="shared" si="39"/>
        <v>-2.922286593527498E-2</v>
      </c>
      <c r="AK48" s="213">
        <f t="shared" si="40"/>
        <v>0.79543993845307515</v>
      </c>
      <c r="AL48" s="214">
        <f t="shared" ca="1" si="41"/>
        <v>0.84144296020039755</v>
      </c>
      <c r="AM48" s="176">
        <f>DANE!AE48</f>
        <v>21</v>
      </c>
      <c r="AN48" s="188">
        <f t="shared" si="6"/>
        <v>596</v>
      </c>
      <c r="AO48" s="177">
        <f t="shared" ca="1" si="22"/>
        <v>20.428571428571427</v>
      </c>
      <c r="AP48" s="209">
        <f t="shared" si="49"/>
        <v>149.70531779130889</v>
      </c>
      <c r="AQ48" s="179">
        <f t="shared" si="51"/>
        <v>-3.0027816784822009E-3</v>
      </c>
      <c r="AR48" s="213">
        <f t="shared" si="52"/>
        <v>0.97898052825062454</v>
      </c>
      <c r="AS48" s="217">
        <f t="shared" ca="1" si="53"/>
        <v>0.87174475134258311</v>
      </c>
      <c r="AT48" s="176">
        <f>DANE!AI48</f>
        <v>37</v>
      </c>
      <c r="AU48" s="188">
        <f t="shared" si="7"/>
        <v>1883</v>
      </c>
      <c r="AV48" s="177">
        <f t="shared" ca="1" si="23"/>
        <v>54.571428571428569</v>
      </c>
      <c r="AW48" s="209">
        <f t="shared" si="33"/>
        <v>439.35893178540721</v>
      </c>
      <c r="AX48" s="179">
        <f t="shared" si="34"/>
        <v>-6.4036261278701545E-2</v>
      </c>
      <c r="AY48" s="213">
        <f t="shared" si="35"/>
        <v>0.55174617104908918</v>
      </c>
      <c r="AZ48" s="214">
        <f t="shared" ca="1" si="36"/>
        <v>0.71447710514086082</v>
      </c>
      <c r="BA48" s="176">
        <f>DANE!AM48</f>
        <v>24</v>
      </c>
      <c r="BB48" s="188">
        <f t="shared" si="8"/>
        <v>254</v>
      </c>
      <c r="BC48" s="177">
        <f t="shared" ca="1" si="24"/>
        <v>17.714285714285715</v>
      </c>
      <c r="BD48" s="209">
        <f t="shared" si="77"/>
        <v>108.59386714188017</v>
      </c>
      <c r="BE48" s="179">
        <f t="shared" si="80"/>
        <v>0.1003215799801325</v>
      </c>
      <c r="BF48" s="213">
        <f t="shared" si="81"/>
        <v>1.7022510598609275</v>
      </c>
      <c r="BG48" s="217">
        <f t="shared" ca="1" si="82"/>
        <v>1.4851748996908865</v>
      </c>
      <c r="BH48" s="176">
        <f>DANE!AQ48</f>
        <v>5</v>
      </c>
      <c r="BI48" s="188">
        <f t="shared" si="9"/>
        <v>251</v>
      </c>
      <c r="BJ48" s="177">
        <f t="shared" ca="1" si="25"/>
        <v>6</v>
      </c>
      <c r="BK48" s="209">
        <f t="shared" si="61"/>
        <v>56.377495763432393</v>
      </c>
      <c r="BL48" s="179">
        <f t="shared" si="63"/>
        <v>-5.9440965754080984E-2</v>
      </c>
      <c r="BM48" s="213">
        <f t="shared" si="64"/>
        <v>0.58391323972143305</v>
      </c>
      <c r="BN48" s="214">
        <f t="shared" ca="1" si="65"/>
        <v>0.58801400929664904</v>
      </c>
      <c r="BO48" s="176">
        <f>DANE!AU48</f>
        <v>13</v>
      </c>
      <c r="BP48" s="188">
        <f t="shared" si="10"/>
        <v>291</v>
      </c>
      <c r="BQ48" s="177">
        <f t="shared" ca="1" si="26"/>
        <v>14.571428571428571</v>
      </c>
      <c r="BR48" s="209">
        <f t="shared" si="78"/>
        <v>105.96801962385641</v>
      </c>
      <c r="BS48" s="179">
        <f t="shared" si="83"/>
        <v>-2.3000258866921856E-2</v>
      </c>
      <c r="BT48" s="213">
        <f t="shared" si="84"/>
        <v>0.83899818793154701</v>
      </c>
      <c r="BU48" s="217">
        <f t="shared" ca="1" si="85"/>
        <v>0.92325178834805288</v>
      </c>
      <c r="BV48" s="176">
        <f>DANE!AY48</f>
        <v>4</v>
      </c>
      <c r="BW48" s="188">
        <f t="shared" si="11"/>
        <v>185</v>
      </c>
      <c r="BX48" s="177">
        <f t="shared" ca="1" si="27"/>
        <v>4</v>
      </c>
      <c r="BY48" s="209">
        <f t="shared" si="69"/>
        <v>41.25706311861471</v>
      </c>
      <c r="BZ48" s="179">
        <f t="shared" si="71"/>
        <v>-5.0832406026546706E-2</v>
      </c>
      <c r="CA48" s="213">
        <f t="shared" si="72"/>
        <v>0.64417315781417306</v>
      </c>
      <c r="CB48" s="214">
        <f t="shared" ca="1" si="73"/>
        <v>0.47374980888685309</v>
      </c>
      <c r="CC48" s="176">
        <f>DANE!BC48</f>
        <v>145</v>
      </c>
      <c r="CD48" s="188">
        <f t="shared" si="12"/>
        <v>1215</v>
      </c>
      <c r="CE48" s="177">
        <f t="shared" ca="1" si="28"/>
        <v>69.428571428571431</v>
      </c>
      <c r="CF48" s="209">
        <f t="shared" si="45"/>
        <v>452.56005925753834</v>
      </c>
      <c r="CG48" s="179">
        <f t="shared" si="46"/>
        <v>0.2612451147173443</v>
      </c>
      <c r="CH48" s="213">
        <f t="shared" si="47"/>
        <v>2.8287158030214101</v>
      </c>
      <c r="CI48" s="217">
        <f t="shared" ca="1" si="48"/>
        <v>1.5194828099671085</v>
      </c>
      <c r="CJ48" s="176">
        <f>DANE!BG48</f>
        <v>18</v>
      </c>
      <c r="CK48" s="188">
        <f t="shared" si="13"/>
        <v>193</v>
      </c>
      <c r="CL48" s="177">
        <f t="shared" ca="1" si="29"/>
        <v>9</v>
      </c>
      <c r="CM48" s="209">
        <f t="shared" si="79"/>
        <v>69.69055669029899</v>
      </c>
      <c r="CN48" s="179">
        <f t="shared" si="86"/>
        <v>0.15562235545839725</v>
      </c>
      <c r="CO48" s="213">
        <f t="shared" si="87"/>
        <v>2.0893564882087809</v>
      </c>
      <c r="CP48" s="214">
        <f t="shared" ca="1" si="88"/>
        <v>1.0825223239210278</v>
      </c>
      <c r="CQ48" s="176">
        <f>DANE!BK48</f>
        <v>10</v>
      </c>
      <c r="CR48" s="188">
        <f t="shared" si="14"/>
        <v>139</v>
      </c>
      <c r="CS48" s="177">
        <f t="shared" ca="1" si="30"/>
        <v>4.1428571428571432</v>
      </c>
      <c r="CT48" s="209">
        <f t="shared" si="89"/>
        <v>53.896210120696296</v>
      </c>
      <c r="CU48" s="179">
        <f t="shared" si="90"/>
        <v>5.2408656806671283E-2</v>
      </c>
      <c r="CV48" s="213">
        <f t="shared" si="91"/>
        <v>1.366860597646699</v>
      </c>
      <c r="CW48" s="217">
        <f t="shared" ca="1" si="92"/>
        <v>0.52354791645287424</v>
      </c>
      <c r="CX48" s="176">
        <f>DANE!BO48</f>
        <v>51</v>
      </c>
      <c r="CY48" s="188">
        <f t="shared" si="15"/>
        <v>880</v>
      </c>
      <c r="CZ48" s="177">
        <f t="shared" ca="1" si="31"/>
        <v>57.571428571428569</v>
      </c>
      <c r="DA48" s="209">
        <f t="shared" si="54"/>
        <v>342.73741153906099</v>
      </c>
      <c r="DB48" s="179">
        <f t="shared" si="58"/>
        <v>6.9840636020183991E-3</v>
      </c>
      <c r="DC48" s="213">
        <f t="shared" si="59"/>
        <v>1.0488884452141287</v>
      </c>
      <c r="DD48" s="214">
        <f t="shared" ca="1" si="60"/>
        <v>1.482420360358361</v>
      </c>
      <c r="DE48" s="176">
        <f>DANE!BS48</f>
        <v>7</v>
      </c>
      <c r="DF48" s="188">
        <f t="shared" si="16"/>
        <v>230</v>
      </c>
      <c r="DG48" s="177">
        <f t="shared" ca="1" si="32"/>
        <v>6.5714285714285712</v>
      </c>
      <c r="DH48" s="209">
        <f t="shared" si="70"/>
        <v>62.853844112445806</v>
      </c>
      <c r="DI48" s="179">
        <f t="shared" si="74"/>
        <v>-3.5433918988778242E-2</v>
      </c>
      <c r="DJ48" s="157">
        <f t="shared" si="75"/>
        <v>0.75196256707855236</v>
      </c>
      <c r="DK48" s="225">
        <f t="shared" ca="1" si="76"/>
        <v>0.60626471314251495</v>
      </c>
      <c r="DL48" s="83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</row>
    <row r="49" spans="1:138" x14ac:dyDescent="0.25">
      <c r="A49" s="61">
        <v>43939</v>
      </c>
      <c r="B49" s="62" t="str">
        <f t="shared" ca="1" si="0"/>
        <v/>
      </c>
      <c r="C49" s="12">
        <v>46</v>
      </c>
      <c r="D49" s="176">
        <f>DANE!K49</f>
        <v>56</v>
      </c>
      <c r="E49" s="198">
        <f t="shared" si="1"/>
        <v>949</v>
      </c>
      <c r="F49" s="178">
        <f t="shared" ca="1" si="17"/>
        <v>41.285714285714285</v>
      </c>
      <c r="G49" s="211">
        <f t="shared" si="38"/>
        <v>289.56887475689263</v>
      </c>
      <c r="H49" s="200">
        <f t="shared" si="42"/>
        <v>6.2649691261744925E-2</v>
      </c>
      <c r="I49" s="213">
        <f t="shared" si="43"/>
        <v>1.4385478388322146</v>
      </c>
      <c r="J49" s="214">
        <f t="shared" ca="1" si="44"/>
        <v>1.2898341659392969</v>
      </c>
      <c r="K49" s="176">
        <f>DANE!O49</f>
        <v>11</v>
      </c>
      <c r="L49" s="198">
        <f t="shared" si="2"/>
        <v>398</v>
      </c>
      <c r="M49" s="177">
        <f t="shared" ca="1" si="18"/>
        <v>12.142857142857142</v>
      </c>
      <c r="N49" s="211">
        <f t="shared" si="62"/>
        <v>95.51951053047263</v>
      </c>
      <c r="O49" s="200">
        <f t="shared" si="66"/>
        <v>-3.1302173248414882E-2</v>
      </c>
      <c r="P49" s="213">
        <f t="shared" si="67"/>
        <v>0.78088478726109578</v>
      </c>
      <c r="Q49" s="217">
        <f t="shared" ca="1" si="68"/>
        <v>0.80642711483323171</v>
      </c>
      <c r="R49" s="176">
        <f>DANE!S49</f>
        <v>3</v>
      </c>
      <c r="S49" s="198">
        <f t="shared" si="3"/>
        <v>293</v>
      </c>
      <c r="T49" s="177">
        <f t="shared" ca="1" si="19"/>
        <v>9.7142857142857135</v>
      </c>
      <c r="U49" s="211">
        <f t="shared" si="50"/>
        <v>66.04281854850079</v>
      </c>
      <c r="V49" s="200">
        <f t="shared" si="55"/>
        <v>-0.10206853868884581</v>
      </c>
      <c r="W49" s="213">
        <f t="shared" si="56"/>
        <v>0.28552022917807929</v>
      </c>
      <c r="X49" s="214">
        <f t="shared" ca="1" si="57"/>
        <v>1.0548069313487425</v>
      </c>
      <c r="Y49" s="176">
        <f>DANE!W49</f>
        <v>0</v>
      </c>
      <c r="Z49" s="198">
        <f t="shared" si="4"/>
        <v>81</v>
      </c>
      <c r="AA49" s="177">
        <f t="shared" ca="1" si="20"/>
        <v>0.7142857142857143</v>
      </c>
      <c r="AB49" s="211"/>
      <c r="AC49" s="200"/>
      <c r="AD49" s="213"/>
      <c r="AE49" s="217"/>
      <c r="AF49" s="176">
        <f>DANE!AA49</f>
        <v>33</v>
      </c>
      <c r="AG49" s="198">
        <f t="shared" si="5"/>
        <v>640</v>
      </c>
      <c r="AH49" s="177">
        <f t="shared" ca="1" si="21"/>
        <v>21.142857142857142</v>
      </c>
      <c r="AI49" s="211">
        <f t="shared" si="37"/>
        <v>157.48365098082553</v>
      </c>
      <c r="AJ49" s="200">
        <f t="shared" si="39"/>
        <v>8.4367187911169705E-2</v>
      </c>
      <c r="AK49" s="213">
        <f t="shared" si="40"/>
        <v>1.590570315378188</v>
      </c>
      <c r="AL49" s="214">
        <f t="shared" ca="1" si="41"/>
        <v>0.90033117774638094</v>
      </c>
      <c r="AM49" s="176">
        <f>DANE!AE49</f>
        <v>34</v>
      </c>
      <c r="AN49" s="198">
        <f t="shared" si="6"/>
        <v>630</v>
      </c>
      <c r="AO49" s="177">
        <f t="shared" ca="1" si="22"/>
        <v>20.571428571428573</v>
      </c>
      <c r="AP49" s="211">
        <f t="shared" si="49"/>
        <v>162.3188438211219</v>
      </c>
      <c r="AQ49" s="200">
        <f t="shared" si="51"/>
        <v>8.425569789976621E-2</v>
      </c>
      <c r="AR49" s="213">
        <f t="shared" si="52"/>
        <v>1.5897898852983636</v>
      </c>
      <c r="AS49" s="217">
        <f t="shared" ca="1" si="53"/>
        <v>0.90616489935434963</v>
      </c>
      <c r="AT49" s="176">
        <f>DANE!AI49</f>
        <v>53</v>
      </c>
      <c r="AU49" s="198">
        <f t="shared" si="7"/>
        <v>1936</v>
      </c>
      <c r="AV49" s="177">
        <f t="shared" ca="1" si="23"/>
        <v>43.857142857142854</v>
      </c>
      <c r="AW49" s="211">
        <f t="shared" si="33"/>
        <v>429.59337010177762</v>
      </c>
      <c r="AX49" s="200">
        <f t="shared" si="34"/>
        <v>-2.2226842285749421E-2</v>
      </c>
      <c r="AY49" s="213">
        <f t="shared" si="35"/>
        <v>0.84441210399975408</v>
      </c>
      <c r="AZ49" s="214">
        <f t="shared" ca="1" si="36"/>
        <v>0.62034208075177244</v>
      </c>
      <c r="BA49" s="176">
        <f>DANE!AM49</f>
        <v>17</v>
      </c>
      <c r="BB49" s="198">
        <f t="shared" si="8"/>
        <v>271</v>
      </c>
      <c r="BC49" s="177">
        <f t="shared" ca="1" si="24"/>
        <v>18.285714285714285</v>
      </c>
      <c r="BD49" s="211">
        <f t="shared" si="77"/>
        <v>110.08045755018301</v>
      </c>
      <c r="BE49" s="200">
        <f t="shared" si="80"/>
        <v>1.3689450863376878E-2</v>
      </c>
      <c r="BF49" s="213">
        <f t="shared" si="81"/>
        <v>1.0958261560436382</v>
      </c>
      <c r="BG49" s="217">
        <f t="shared" ca="1" si="82"/>
        <v>1.4569937392269598</v>
      </c>
      <c r="BH49" s="176">
        <f>DANE!AQ49</f>
        <v>8</v>
      </c>
      <c r="BI49" s="198">
        <f t="shared" si="9"/>
        <v>259</v>
      </c>
      <c r="BJ49" s="177">
        <f t="shared" ca="1" si="25"/>
        <v>5.5714285714285712</v>
      </c>
      <c r="BK49" s="211">
        <f t="shared" si="61"/>
        <v>56.323567797227767</v>
      </c>
      <c r="BL49" s="200">
        <f t="shared" si="63"/>
        <v>-9.5655128831749687E-4</v>
      </c>
      <c r="BM49" s="213">
        <f t="shared" si="64"/>
        <v>0.99330414098177755</v>
      </c>
      <c r="BN49" s="214">
        <f t="shared" ca="1" si="65"/>
        <v>0.60334687274652055</v>
      </c>
      <c r="BO49" s="176">
        <f>DANE!AU49</f>
        <v>25</v>
      </c>
      <c r="BP49" s="198">
        <f t="shared" si="10"/>
        <v>316</v>
      </c>
      <c r="BQ49" s="177">
        <f t="shared" ca="1" si="26"/>
        <v>17.285714285714285</v>
      </c>
      <c r="BR49" s="211">
        <f t="shared" si="78"/>
        <v>115.82973110616264</v>
      </c>
      <c r="BS49" s="200">
        <f t="shared" si="83"/>
        <v>9.3063091273304144E-2</v>
      </c>
      <c r="BT49" s="213">
        <f t="shared" si="84"/>
        <v>1.651441638913129</v>
      </c>
      <c r="BU49" s="217">
        <f t="shared" ca="1" si="85"/>
        <v>1.1077152228299749</v>
      </c>
      <c r="BV49" s="176">
        <f>DANE!AY49</f>
        <v>22</v>
      </c>
      <c r="BW49" s="198">
        <f t="shared" si="11"/>
        <v>207</v>
      </c>
      <c r="BX49" s="177">
        <f t="shared" ca="1" si="27"/>
        <v>6.2857142857142856</v>
      </c>
      <c r="BY49" s="211">
        <f t="shared" si="69"/>
        <v>57.363196958812608</v>
      </c>
      <c r="BZ49" s="200">
        <f t="shared" si="71"/>
        <v>0.39038488498060342</v>
      </c>
      <c r="CA49" s="213">
        <f t="shared" si="72"/>
        <v>3.7326941948642243</v>
      </c>
      <c r="CB49" s="214">
        <f t="shared" ca="1" si="73"/>
        <v>0.92328284622840251</v>
      </c>
      <c r="CC49" s="176">
        <f>DANE!BC49</f>
        <v>25</v>
      </c>
      <c r="CD49" s="198">
        <f t="shared" si="12"/>
        <v>1240</v>
      </c>
      <c r="CE49" s="177">
        <f t="shared" ca="1" si="28"/>
        <v>65.571428571428569</v>
      </c>
      <c r="CF49" s="211">
        <f t="shared" si="45"/>
        <v>412.90862222074719</v>
      </c>
      <c r="CG49" s="200">
        <f t="shared" si="46"/>
        <v>-8.7615856118285304E-2</v>
      </c>
      <c r="CH49" s="213">
        <f t="shared" si="47"/>
        <v>0.38668900717200283</v>
      </c>
      <c r="CI49" s="217">
        <f t="shared" ca="1" si="48"/>
        <v>1.3894494988262791</v>
      </c>
      <c r="CJ49" s="176">
        <f>DANE!BG49</f>
        <v>10</v>
      </c>
      <c r="CK49" s="198">
        <f t="shared" si="13"/>
        <v>203</v>
      </c>
      <c r="CL49" s="177">
        <f t="shared" ca="1" si="29"/>
        <v>9.5714285714285712</v>
      </c>
      <c r="CM49" s="211">
        <f t="shared" si="79"/>
        <v>69.734762877399135</v>
      </c>
      <c r="CN49" s="200">
        <f t="shared" si="86"/>
        <v>6.3432105007560932E-4</v>
      </c>
      <c r="CO49" s="213">
        <f t="shared" si="87"/>
        <v>1.0044402473505292</v>
      </c>
      <c r="CP49" s="214">
        <f t="shared" ca="1" si="88"/>
        <v>1.1364458000214726</v>
      </c>
      <c r="CQ49" s="176">
        <f>DANE!BK49</f>
        <v>0</v>
      </c>
      <c r="CR49" s="198">
        <f t="shared" si="14"/>
        <v>139</v>
      </c>
      <c r="CS49" s="177">
        <f t="shared" ca="1" si="30"/>
        <v>4</v>
      </c>
      <c r="CT49" s="211">
        <f t="shared" si="89"/>
        <v>46.196751532025402</v>
      </c>
      <c r="CU49" s="200">
        <f t="shared" si="90"/>
        <v>-0.14285714285714274</v>
      </c>
      <c r="CV49" s="213">
        <f t="shared" si="91"/>
        <v>7.7715611723760958E-16</v>
      </c>
      <c r="CW49" s="217">
        <f t="shared" ca="1" si="92"/>
        <v>0.44875535695960661</v>
      </c>
      <c r="CX49" s="176">
        <f>DANE!BO49</f>
        <v>18</v>
      </c>
      <c r="CY49" s="198">
        <f t="shared" si="15"/>
        <v>898</v>
      </c>
      <c r="CZ49" s="177">
        <f t="shared" ca="1" si="31"/>
        <v>51.857142857142854</v>
      </c>
      <c r="DA49" s="211">
        <f t="shared" si="54"/>
        <v>311.774924176338</v>
      </c>
      <c r="DB49" s="200">
        <f t="shared" si="58"/>
        <v>-9.0338802594341988E-2</v>
      </c>
      <c r="DC49" s="213">
        <f t="shared" si="59"/>
        <v>0.367628381839606</v>
      </c>
      <c r="DD49" s="214">
        <f t="shared" ca="1" si="60"/>
        <v>1.2733744635358342</v>
      </c>
      <c r="DE49" s="176">
        <f>DANE!BS49</f>
        <v>19</v>
      </c>
      <c r="DF49" s="198">
        <f t="shared" si="16"/>
        <v>249</v>
      </c>
      <c r="DG49" s="177">
        <f t="shared" ca="1" si="32"/>
        <v>8.2857142857142865</v>
      </c>
      <c r="DH49" s="209">
        <f t="shared" si="70"/>
        <v>72.874723524953552</v>
      </c>
      <c r="DI49" s="179">
        <f t="shared" si="74"/>
        <v>0.15943144852970884</v>
      </c>
      <c r="DJ49" s="157">
        <f t="shared" si="75"/>
        <v>2.1160201397079619</v>
      </c>
      <c r="DK49" s="225">
        <f t="shared" ca="1" si="76"/>
        <v>0.83457993760587557</v>
      </c>
      <c r="DL49" s="87"/>
      <c r="DM49" s="75"/>
      <c r="DN49" s="75"/>
      <c r="DO49" s="75"/>
      <c r="DP49" s="75"/>
      <c r="DQ49" s="75"/>
      <c r="DR49" s="75"/>
      <c r="DS49" s="75"/>
      <c r="DT49" s="75"/>
      <c r="DU49" s="75"/>
      <c r="DV49" s="75"/>
      <c r="DW49" s="75"/>
      <c r="DX49" s="75"/>
      <c r="DY49" s="75"/>
      <c r="DZ49" s="75"/>
      <c r="EA49" s="75"/>
      <c r="EB49" s="75"/>
      <c r="EC49" s="75"/>
      <c r="ED49" s="75"/>
      <c r="EE49" s="75"/>
      <c r="EF49" s="75"/>
      <c r="EG49" s="75"/>
      <c r="EH49" s="75"/>
    </row>
    <row r="50" spans="1:138" x14ac:dyDescent="0.25">
      <c r="A50" s="61">
        <v>43940</v>
      </c>
      <c r="B50" s="62" t="str">
        <f t="shared" ca="1" si="0"/>
        <v/>
      </c>
      <c r="C50" s="12">
        <v>47</v>
      </c>
      <c r="D50" s="176">
        <f>DANE!K50</f>
        <v>95</v>
      </c>
      <c r="E50" s="198">
        <f t="shared" si="1"/>
        <v>1044</v>
      </c>
      <c r="F50" s="178">
        <f t="shared" ca="1" si="17"/>
        <v>49.571428571428569</v>
      </c>
      <c r="G50" s="211">
        <f t="shared" si="38"/>
        <v>343.20189264876512</v>
      </c>
      <c r="H50" s="200">
        <f t="shared" si="42"/>
        <v>0.18521679146938727</v>
      </c>
      <c r="I50" s="213">
        <f t="shared" si="43"/>
        <v>2.296517540285711</v>
      </c>
      <c r="J50" s="214">
        <f t="shared" ca="1" si="44"/>
        <v>1.4527071136518679</v>
      </c>
      <c r="K50" s="176">
        <f>DANE!O50</f>
        <v>8</v>
      </c>
      <c r="L50" s="198">
        <f t="shared" si="2"/>
        <v>406</v>
      </c>
      <c r="M50" s="177">
        <f t="shared" ca="1" si="18"/>
        <v>10</v>
      </c>
      <c r="N50" s="211">
        <f t="shared" si="62"/>
        <v>89.873866168976548</v>
      </c>
      <c r="O50" s="200">
        <f t="shared" si="66"/>
        <v>-5.9104619884908317E-2</v>
      </c>
      <c r="P50" s="213">
        <f t="shared" si="67"/>
        <v>0.58626766080564174</v>
      </c>
      <c r="Q50" s="217">
        <f t="shared" ca="1" si="68"/>
        <v>0.69486152034840321</v>
      </c>
      <c r="R50" s="176">
        <f>DANE!S50</f>
        <v>15</v>
      </c>
      <c r="S50" s="198">
        <f t="shared" si="3"/>
        <v>308</v>
      </c>
      <c r="T50" s="177">
        <f t="shared" ca="1" si="19"/>
        <v>10.571428571428571</v>
      </c>
      <c r="U50" s="211">
        <f t="shared" si="50"/>
        <v>71.608130184429257</v>
      </c>
      <c r="V50" s="200">
        <f t="shared" si="55"/>
        <v>8.426823321965568E-2</v>
      </c>
      <c r="W50" s="213">
        <f t="shared" si="56"/>
        <v>1.5898776325375898</v>
      </c>
      <c r="X50" s="214">
        <f t="shared" ca="1" si="57"/>
        <v>1.1442186638262248</v>
      </c>
      <c r="Y50" s="176">
        <f>DANE!W50</f>
        <v>0</v>
      </c>
      <c r="Z50" s="198">
        <f t="shared" si="4"/>
        <v>81</v>
      </c>
      <c r="AA50" s="177">
        <f t="shared" ca="1" si="20"/>
        <v>0.42857142857142855</v>
      </c>
      <c r="AB50" s="211"/>
      <c r="AC50" s="200"/>
      <c r="AD50" s="213"/>
      <c r="AE50" s="217"/>
      <c r="AF50" s="176">
        <f>DANE!AA50</f>
        <v>20</v>
      </c>
      <c r="AG50" s="198">
        <f t="shared" si="5"/>
        <v>660</v>
      </c>
      <c r="AH50" s="177">
        <f t="shared" ca="1" si="21"/>
        <v>18.714285714285715</v>
      </c>
      <c r="AI50" s="211">
        <f t="shared" si="37"/>
        <v>154.98598655499333</v>
      </c>
      <c r="AJ50" s="200">
        <f t="shared" si="39"/>
        <v>-1.5859833133639391E-2</v>
      </c>
      <c r="AK50" s="213">
        <f t="shared" si="40"/>
        <v>0.88898116806452421</v>
      </c>
      <c r="AL50" s="214">
        <f t="shared" ca="1" si="41"/>
        <v>0.81789107538822048</v>
      </c>
      <c r="AM50" s="176">
        <f>DANE!AE50</f>
        <v>16</v>
      </c>
      <c r="AN50" s="198">
        <f t="shared" si="6"/>
        <v>646</v>
      </c>
      <c r="AO50" s="177">
        <f t="shared" ca="1" si="22"/>
        <v>20.142857142857142</v>
      </c>
      <c r="AP50" s="211">
        <f t="shared" si="49"/>
        <v>155.13043756096164</v>
      </c>
      <c r="AQ50" s="200">
        <f t="shared" si="51"/>
        <v>-4.4285716254127638E-2</v>
      </c>
      <c r="AR50" s="213">
        <f t="shared" si="52"/>
        <v>0.68999998622110659</v>
      </c>
      <c r="AS50" s="217">
        <f t="shared" ca="1" si="53"/>
        <v>0.89905855799363132</v>
      </c>
      <c r="AT50" s="176">
        <f>DANE!AI50</f>
        <v>56</v>
      </c>
      <c r="AU50" s="198">
        <f t="shared" si="7"/>
        <v>1992</v>
      </c>
      <c r="AV50" s="177">
        <f t="shared" ca="1" si="23"/>
        <v>46.857142857142854</v>
      </c>
      <c r="AW50" s="211">
        <f t="shared" si="33"/>
        <v>424.22288865866653</v>
      </c>
      <c r="AX50" s="200">
        <f t="shared" si="34"/>
        <v>-1.2501313606955189E-2</v>
      </c>
      <c r="AY50" s="213">
        <f t="shared" si="35"/>
        <v>0.91249080475131361</v>
      </c>
      <c r="AZ50" s="214">
        <f t="shared" ca="1" si="36"/>
        <v>0.69591253330239089</v>
      </c>
      <c r="BA50" s="176">
        <f>DANE!AM50</f>
        <v>5</v>
      </c>
      <c r="BB50" s="198">
        <f t="shared" si="8"/>
        <v>276</v>
      </c>
      <c r="BC50" s="177">
        <f t="shared" ca="1" si="24"/>
        <v>17.857142857142858</v>
      </c>
      <c r="BD50" s="211">
        <f t="shared" si="77"/>
        <v>99.354677900156872</v>
      </c>
      <c r="BE50" s="200">
        <f t="shared" si="80"/>
        <v>-9.7435820024063008E-2</v>
      </c>
      <c r="BF50" s="213">
        <f t="shared" si="81"/>
        <v>0.31794925983155886</v>
      </c>
      <c r="BG50" s="217">
        <f t="shared" ca="1" si="82"/>
        <v>1.3933049511463274</v>
      </c>
      <c r="BH50" s="176">
        <f>DANE!AQ50</f>
        <v>4</v>
      </c>
      <c r="BI50" s="198">
        <f t="shared" si="9"/>
        <v>263</v>
      </c>
      <c r="BJ50" s="177">
        <f t="shared" ca="1" si="25"/>
        <v>6</v>
      </c>
      <c r="BK50" s="211">
        <f t="shared" si="61"/>
        <v>52.277343826195235</v>
      </c>
      <c r="BL50" s="200">
        <f t="shared" si="63"/>
        <v>-7.1838914494896156E-2</v>
      </c>
      <c r="BM50" s="213">
        <f t="shared" si="64"/>
        <v>0.49712759853572686</v>
      </c>
      <c r="BN50" s="214">
        <f t="shared" ca="1" si="65"/>
        <v>0.66266841178356206</v>
      </c>
      <c r="BO50" s="176">
        <f>DANE!AU50</f>
        <v>5</v>
      </c>
      <c r="BP50" s="198">
        <f t="shared" si="10"/>
        <v>321</v>
      </c>
      <c r="BQ50" s="177">
        <f t="shared" ca="1" si="26"/>
        <v>14.142857142857142</v>
      </c>
      <c r="BR50" s="211">
        <f t="shared" si="78"/>
        <v>104.28262666242513</v>
      </c>
      <c r="BS50" s="200">
        <f t="shared" si="83"/>
        <v>-9.9690332814069305E-2</v>
      </c>
      <c r="BT50" s="213">
        <f t="shared" si="84"/>
        <v>0.30216767030151481</v>
      </c>
      <c r="BU50" s="217">
        <f t="shared" ca="1" si="85"/>
        <v>0.8960331600085405</v>
      </c>
      <c r="BV50" s="176">
        <f>DANE!AY50</f>
        <v>2</v>
      </c>
      <c r="BW50" s="198">
        <f t="shared" si="11"/>
        <v>209</v>
      </c>
      <c r="BX50" s="177">
        <f t="shared" ca="1" si="27"/>
        <v>5.4285714285714288</v>
      </c>
      <c r="BY50" s="211">
        <f t="shared" si="69"/>
        <v>51.168454536125097</v>
      </c>
      <c r="BZ50" s="200">
        <f t="shared" si="71"/>
        <v>-0.10799158260191466</v>
      </c>
      <c r="CA50" s="213">
        <f t="shared" si="72"/>
        <v>0.24405892178659738</v>
      </c>
      <c r="CB50" s="214">
        <f t="shared" ca="1" si="73"/>
        <v>0.8395197535152189</v>
      </c>
      <c r="CC50" s="176">
        <f>DANE!BC50</f>
        <v>140</v>
      </c>
      <c r="CD50" s="198">
        <f t="shared" si="12"/>
        <v>1380</v>
      </c>
      <c r="CE50" s="177">
        <f t="shared" ca="1" si="28"/>
        <v>76.285714285714292</v>
      </c>
      <c r="CF50" s="211">
        <f t="shared" si="45"/>
        <v>493.92167618921189</v>
      </c>
      <c r="CG50" s="200">
        <f t="shared" si="46"/>
        <v>0.19620092584347609</v>
      </c>
      <c r="CH50" s="213">
        <f t="shared" si="47"/>
        <v>2.3734064809043325</v>
      </c>
      <c r="CI50" s="217">
        <f t="shared" ca="1" si="48"/>
        <v>1.5063381801727693</v>
      </c>
      <c r="CJ50" s="176">
        <f>DANE!BG50</f>
        <v>7</v>
      </c>
      <c r="CK50" s="198">
        <f t="shared" si="13"/>
        <v>210</v>
      </c>
      <c r="CL50" s="177">
        <f t="shared" ca="1" si="29"/>
        <v>9.8571428571428577</v>
      </c>
      <c r="CM50" s="211">
        <f t="shared" si="79"/>
        <v>66.772653894913546</v>
      </c>
      <c r="CN50" s="200">
        <f t="shared" si="86"/>
        <v>-4.2476791491974815E-2</v>
      </c>
      <c r="CO50" s="213">
        <f t="shared" si="87"/>
        <v>0.70266245955617634</v>
      </c>
      <c r="CP50" s="214">
        <f t="shared" ca="1" si="88"/>
        <v>1.1579847710040707</v>
      </c>
      <c r="CQ50" s="176">
        <f>DANE!BK50</f>
        <v>3</v>
      </c>
      <c r="CR50" s="198">
        <f t="shared" si="14"/>
        <v>142</v>
      </c>
      <c r="CS50" s="177">
        <f t="shared" ca="1" si="30"/>
        <v>2.8571428571428572</v>
      </c>
      <c r="CT50" s="211">
        <f t="shared" si="89"/>
        <v>42.597215598878918</v>
      </c>
      <c r="CU50" s="200">
        <f t="shared" si="90"/>
        <v>-7.7917511811434276E-2</v>
      </c>
      <c r="CV50" s="213">
        <f t="shared" si="91"/>
        <v>0.45457741731996004</v>
      </c>
      <c r="CW50" s="217">
        <f t="shared" ca="1" si="92"/>
        <v>0.38219950130124092</v>
      </c>
      <c r="CX50" s="176">
        <f>DANE!BO50</f>
        <v>122</v>
      </c>
      <c r="CY50" s="198">
        <f t="shared" si="15"/>
        <v>1020</v>
      </c>
      <c r="CZ50" s="177">
        <f t="shared" ca="1" si="31"/>
        <v>65.142857142857139</v>
      </c>
      <c r="DA50" s="211">
        <f t="shared" si="54"/>
        <v>389.23564929400402</v>
      </c>
      <c r="DB50" s="200">
        <f t="shared" si="58"/>
        <v>0.24845078648420968</v>
      </c>
      <c r="DC50" s="213">
        <f t="shared" si="59"/>
        <v>2.7391555053894678</v>
      </c>
      <c r="DD50" s="214">
        <f t="shared" ca="1" si="60"/>
        <v>1.5477776917115142</v>
      </c>
      <c r="DE50" s="176">
        <f>DANE!BS50</f>
        <v>17</v>
      </c>
      <c r="DF50" s="198">
        <f t="shared" si="16"/>
        <v>266</v>
      </c>
      <c r="DG50" s="177">
        <f t="shared" ca="1" si="32"/>
        <v>10.428571428571429</v>
      </c>
      <c r="DH50" s="209">
        <f t="shared" si="70"/>
        <v>79.464048735674481</v>
      </c>
      <c r="DI50" s="179">
        <f t="shared" si="74"/>
        <v>9.0419899959752595E-2</v>
      </c>
      <c r="DJ50" s="157">
        <f t="shared" si="75"/>
        <v>1.6329392997182683</v>
      </c>
      <c r="DK50" s="225">
        <f t="shared" ca="1" si="76"/>
        <v>1.0451581516985493</v>
      </c>
      <c r="DL50" s="87"/>
      <c r="DM50" s="75"/>
      <c r="DN50" s="75"/>
      <c r="DO50" s="75"/>
      <c r="DP50" s="75"/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</row>
    <row r="51" spans="1:138" x14ac:dyDescent="0.25">
      <c r="A51" s="32">
        <v>43941</v>
      </c>
      <c r="B51" s="33" t="str">
        <f t="shared" ca="1" si="0"/>
        <v/>
      </c>
      <c r="C51" s="51">
        <v>48</v>
      </c>
      <c r="D51" s="176">
        <f>DANE!K51</f>
        <v>33</v>
      </c>
      <c r="E51" s="188">
        <f t="shared" si="1"/>
        <v>1077</v>
      </c>
      <c r="F51" s="178">
        <f t="shared" ca="1" si="17"/>
        <v>52.571428571428569</v>
      </c>
      <c r="G51" s="209">
        <f t="shared" si="38"/>
        <v>327.17305084179873</v>
      </c>
      <c r="H51" s="179">
        <f t="shared" si="42"/>
        <v>-4.670382696103139E-2</v>
      </c>
      <c r="I51" s="213">
        <f t="shared" si="43"/>
        <v>0.67307321127278019</v>
      </c>
      <c r="J51" s="214">
        <f t="shared" ca="1" si="44"/>
        <v>1.4964527208416811</v>
      </c>
      <c r="K51" s="176">
        <f>DANE!O51</f>
        <v>15</v>
      </c>
      <c r="L51" s="188">
        <f t="shared" si="2"/>
        <v>421</v>
      </c>
      <c r="M51" s="177">
        <f t="shared" ca="1" si="18"/>
        <v>10.857142857142858</v>
      </c>
      <c r="N51" s="209">
        <f t="shared" si="62"/>
        <v>92.034742430551333</v>
      </c>
      <c r="O51" s="179">
        <f t="shared" si="66"/>
        <v>2.4043432798495714E-2</v>
      </c>
      <c r="P51" s="213">
        <f t="shared" si="67"/>
        <v>1.16830402958947</v>
      </c>
      <c r="Q51" s="217">
        <f t="shared" ca="1" si="68"/>
        <v>0.78914293917572464</v>
      </c>
      <c r="R51" s="176">
        <f>DANE!S51</f>
        <v>3</v>
      </c>
      <c r="S51" s="188">
        <f t="shared" si="3"/>
        <v>311</v>
      </c>
      <c r="T51" s="177">
        <f t="shared" ca="1" si="19"/>
        <v>10.142857142857142</v>
      </c>
      <c r="U51" s="209">
        <f t="shared" si="50"/>
        <v>64.378397300939369</v>
      </c>
      <c r="V51" s="179">
        <f t="shared" si="55"/>
        <v>-0.10096245866034285</v>
      </c>
      <c r="W51" s="213">
        <f t="shared" si="56"/>
        <v>0.29326278937759998</v>
      </c>
      <c r="X51" s="214">
        <f t="shared" ca="1" si="57"/>
        <v>1.0938295908536373</v>
      </c>
      <c r="Y51" s="176">
        <f>DANE!W51</f>
        <v>1</v>
      </c>
      <c r="Z51" s="188">
        <f t="shared" si="4"/>
        <v>82</v>
      </c>
      <c r="AA51" s="177">
        <f t="shared" ca="1" si="20"/>
        <v>0.5714285714285714</v>
      </c>
      <c r="AB51" s="209"/>
      <c r="AC51" s="179"/>
      <c r="AD51" s="213"/>
      <c r="AE51" s="217"/>
      <c r="AF51" s="176">
        <f>DANE!AA51</f>
        <v>22</v>
      </c>
      <c r="AG51" s="188">
        <f t="shared" si="5"/>
        <v>682</v>
      </c>
      <c r="AH51" s="177">
        <f t="shared" ca="1" si="21"/>
        <v>18.714285714285715</v>
      </c>
      <c r="AI51" s="209">
        <f t="shared" si="37"/>
        <v>154.84513133285142</v>
      </c>
      <c r="AJ51" s="179">
        <f t="shared" si="39"/>
        <v>-9.088255349584735E-4</v>
      </c>
      <c r="AK51" s="213">
        <f t="shared" si="40"/>
        <v>0.99363822125529067</v>
      </c>
      <c r="AL51" s="214">
        <f t="shared" ca="1" si="41"/>
        <v>0.84308272964164155</v>
      </c>
      <c r="AM51" s="176">
        <f>DANE!AE51</f>
        <v>33</v>
      </c>
      <c r="AN51" s="188">
        <f t="shared" si="6"/>
        <v>679</v>
      </c>
      <c r="AO51" s="177">
        <f t="shared" ca="1" si="22"/>
        <v>23</v>
      </c>
      <c r="AP51" s="209">
        <f t="shared" si="49"/>
        <v>165.96894648082426</v>
      </c>
      <c r="AQ51" s="179">
        <f t="shared" si="51"/>
        <v>6.9867068579648708E-2</v>
      </c>
      <c r="AR51" s="213">
        <f t="shared" si="52"/>
        <v>1.489069480057541</v>
      </c>
      <c r="AS51" s="217">
        <f t="shared" ca="1" si="53"/>
        <v>1.0366848338930124</v>
      </c>
      <c r="AT51" s="176">
        <f>DANE!AI51</f>
        <v>38</v>
      </c>
      <c r="AU51" s="188">
        <f t="shared" si="7"/>
        <v>2030</v>
      </c>
      <c r="AV51" s="177">
        <f t="shared" ca="1" si="23"/>
        <v>48.857142857142854</v>
      </c>
      <c r="AW51" s="209">
        <f t="shared" si="33"/>
        <v>401.61961885028563</v>
      </c>
      <c r="AX51" s="179">
        <f t="shared" si="34"/>
        <v>-5.328158949614737E-2</v>
      </c>
      <c r="AY51" s="213">
        <f t="shared" si="35"/>
        <v>0.62702887352696846</v>
      </c>
      <c r="AZ51" s="214">
        <f t="shared" ca="1" si="36"/>
        <v>0.74429283241312227</v>
      </c>
      <c r="BA51" s="176">
        <f>DANE!AM51</f>
        <v>16</v>
      </c>
      <c r="BB51" s="188">
        <f t="shared" si="8"/>
        <v>292</v>
      </c>
      <c r="BC51" s="177">
        <f t="shared" ca="1" si="24"/>
        <v>17.285714285714285</v>
      </c>
      <c r="BD51" s="209">
        <f t="shared" si="77"/>
        <v>101.16115248584876</v>
      </c>
      <c r="BE51" s="179">
        <f t="shared" si="80"/>
        <v>1.8182078829818593E-2</v>
      </c>
      <c r="BF51" s="213">
        <f t="shared" si="81"/>
        <v>1.1272745518087302</v>
      </c>
      <c r="BG51" s="217">
        <f t="shared" ca="1" si="82"/>
        <v>1.2720420363307585</v>
      </c>
      <c r="BH51" s="176">
        <f>DANE!AQ51</f>
        <v>3</v>
      </c>
      <c r="BI51" s="188">
        <f t="shared" si="9"/>
        <v>266</v>
      </c>
      <c r="BJ51" s="177">
        <f t="shared" ca="1" si="25"/>
        <v>5.8571428571428568</v>
      </c>
      <c r="BK51" s="209">
        <f t="shared" si="61"/>
        <v>47.809151851024488</v>
      </c>
      <c r="BL51" s="179">
        <f t="shared" si="63"/>
        <v>-8.5470906670889746E-2</v>
      </c>
      <c r="BM51" s="213">
        <f t="shared" si="64"/>
        <v>0.40170365330377178</v>
      </c>
      <c r="BN51" s="214">
        <f t="shared" ca="1" si="65"/>
        <v>0.66620493833008454</v>
      </c>
      <c r="BO51" s="176">
        <f>DANE!AU51</f>
        <v>6</v>
      </c>
      <c r="BP51" s="188">
        <f t="shared" si="10"/>
        <v>327</v>
      </c>
      <c r="BQ51" s="177">
        <f t="shared" ca="1" si="26"/>
        <v>12.714285714285714</v>
      </c>
      <c r="BR51" s="209">
        <f t="shared" si="78"/>
        <v>95.385108567792969</v>
      </c>
      <c r="BS51" s="179">
        <f t="shared" si="83"/>
        <v>-8.5321192794984457E-2</v>
      </c>
      <c r="BT51" s="213">
        <f t="shared" si="84"/>
        <v>0.40275165043510874</v>
      </c>
      <c r="BU51" s="217">
        <f t="shared" ca="1" si="85"/>
        <v>0.81775734977183545</v>
      </c>
      <c r="BV51" s="176">
        <f>DANE!AY51</f>
        <v>6</v>
      </c>
      <c r="BW51" s="188">
        <f t="shared" si="11"/>
        <v>215</v>
      </c>
      <c r="BX51" s="177">
        <f t="shared" ca="1" si="27"/>
        <v>5.7142857142857144</v>
      </c>
      <c r="BY51" s="209">
        <f t="shared" si="69"/>
        <v>49.858675316678656</v>
      </c>
      <c r="BZ51" s="179">
        <f t="shared" si="71"/>
        <v>-2.5597396507680958E-2</v>
      </c>
      <c r="CA51" s="213">
        <f t="shared" si="72"/>
        <v>0.82081822444623331</v>
      </c>
      <c r="CB51" s="214">
        <f t="shared" ca="1" si="73"/>
        <v>0.89599239359075167</v>
      </c>
      <c r="CC51" s="176">
        <f>DANE!BC51</f>
        <v>71</v>
      </c>
      <c r="CD51" s="188">
        <f t="shared" si="12"/>
        <v>1451</v>
      </c>
      <c r="CE51" s="177">
        <f t="shared" ca="1" si="28"/>
        <v>81.714285714285708</v>
      </c>
      <c r="CF51" s="209">
        <f t="shared" si="45"/>
        <v>494.36143673361022</v>
      </c>
      <c r="CG51" s="179">
        <f t="shared" si="46"/>
        <v>8.9034469552184915E-4</v>
      </c>
      <c r="CH51" s="213">
        <f t="shared" si="47"/>
        <v>1.0062324128686528</v>
      </c>
      <c r="CI51" s="217">
        <f t="shared" ca="1" si="48"/>
        <v>1.5455805168393053</v>
      </c>
      <c r="CJ51" s="176">
        <f>DANE!BG51</f>
        <v>17</v>
      </c>
      <c r="CK51" s="188">
        <f t="shared" si="13"/>
        <v>227</v>
      </c>
      <c r="CL51" s="177">
        <f t="shared" ca="1" si="29"/>
        <v>12.285714285714286</v>
      </c>
      <c r="CM51" s="209">
        <f t="shared" si="79"/>
        <v>74.233703338497321</v>
      </c>
      <c r="CN51" s="179">
        <f t="shared" si="86"/>
        <v>0.11173809948195164</v>
      </c>
      <c r="CO51" s="213">
        <f t="shared" si="87"/>
        <v>1.7821666963736615</v>
      </c>
      <c r="CP51" s="214">
        <f t="shared" ca="1" si="88"/>
        <v>1.4125800133431652</v>
      </c>
      <c r="CQ51" s="176">
        <f>DANE!BK51</f>
        <v>1</v>
      </c>
      <c r="CR51" s="188">
        <f t="shared" si="14"/>
        <v>143</v>
      </c>
      <c r="CS51" s="177">
        <f t="shared" ca="1" si="30"/>
        <v>3</v>
      </c>
      <c r="CT51" s="209">
        <f t="shared" si="89"/>
        <v>37.51189908475336</v>
      </c>
      <c r="CU51" s="179">
        <f t="shared" si="90"/>
        <v>-0.11938143004491109</v>
      </c>
      <c r="CV51" s="213">
        <f t="shared" si="91"/>
        <v>0.1643299896856224</v>
      </c>
      <c r="CW51" s="217">
        <f t="shared" ca="1" si="92"/>
        <v>0.40567521411347257</v>
      </c>
      <c r="CX51" s="176">
        <f>DANE!BO51</f>
        <v>30</v>
      </c>
      <c r="CY51" s="188">
        <f t="shared" si="15"/>
        <v>1050</v>
      </c>
      <c r="CZ51" s="177">
        <f t="shared" ca="1" si="31"/>
        <v>57.285714285714285</v>
      </c>
      <c r="DA51" s="209">
        <f t="shared" si="54"/>
        <v>363.63055653771778</v>
      </c>
      <c r="DB51" s="179">
        <f t="shared" si="58"/>
        <v>-6.5783010376179007E-2</v>
      </c>
      <c r="DC51" s="213">
        <f t="shared" si="59"/>
        <v>0.53951892736674689</v>
      </c>
      <c r="DD51" s="214">
        <f t="shared" ca="1" si="60"/>
        <v>1.2730705303630414</v>
      </c>
      <c r="DE51" s="176">
        <f>DANE!BS51</f>
        <v>11</v>
      </c>
      <c r="DF51" s="188">
        <f t="shared" si="16"/>
        <v>277</v>
      </c>
      <c r="DG51" s="177">
        <f t="shared" ca="1" si="32"/>
        <v>10.571428571428571</v>
      </c>
      <c r="DH51" s="209">
        <f t="shared" si="70"/>
        <v>79.11204177343528</v>
      </c>
      <c r="DI51" s="179">
        <f t="shared" si="74"/>
        <v>-4.4297637464975016E-3</v>
      </c>
      <c r="DJ51" s="157">
        <f t="shared" si="75"/>
        <v>0.96899165377451746</v>
      </c>
      <c r="DK51" s="225">
        <f t="shared" ca="1" si="76"/>
        <v>1.0545917067563362</v>
      </c>
      <c r="DL51" s="87"/>
      <c r="DM51" s="88"/>
      <c r="DN51" s="88"/>
      <c r="DO51" s="88"/>
      <c r="DP51" s="88"/>
      <c r="DQ51" s="88"/>
      <c r="DR51" s="88"/>
      <c r="DS51" s="88"/>
      <c r="DT51" s="88"/>
      <c r="DU51" s="88"/>
      <c r="DV51" s="88"/>
      <c r="DW51" s="88"/>
      <c r="DX51" s="88"/>
      <c r="DY51" s="88"/>
      <c r="DZ51" s="88"/>
      <c r="EA51" s="88"/>
      <c r="EB51" s="88"/>
      <c r="EC51" s="88"/>
      <c r="ED51" s="88"/>
      <c r="EE51" s="88"/>
      <c r="EF51" s="88"/>
      <c r="EG51" s="88"/>
      <c r="EH51" s="88"/>
    </row>
    <row r="52" spans="1:138" x14ac:dyDescent="0.25">
      <c r="A52" s="32">
        <v>43942</v>
      </c>
      <c r="B52" s="33" t="str">
        <f t="shared" ca="1" si="0"/>
        <v/>
      </c>
      <c r="C52" s="51">
        <v>49</v>
      </c>
      <c r="D52" s="176">
        <f>DANE!K52</f>
        <v>41</v>
      </c>
      <c r="E52" s="188">
        <f t="shared" si="1"/>
        <v>1118</v>
      </c>
      <c r="F52" s="178">
        <f t="shared" ca="1" si="17"/>
        <v>56.428571428571431</v>
      </c>
      <c r="G52" s="209">
        <f t="shared" si="38"/>
        <v>321.43404357868462</v>
      </c>
      <c r="H52" s="179">
        <f t="shared" si="42"/>
        <v>-1.7541197993991089E-2</v>
      </c>
      <c r="I52" s="213">
        <f t="shared" si="43"/>
        <v>0.87721161404206238</v>
      </c>
      <c r="J52" s="214">
        <f t="shared" ca="1" si="44"/>
        <v>1.5545460954380201</v>
      </c>
      <c r="K52" s="176">
        <f>DANE!O52</f>
        <v>17</v>
      </c>
      <c r="L52" s="188">
        <f t="shared" si="2"/>
        <v>438</v>
      </c>
      <c r="M52" s="177">
        <f t="shared" ca="1" si="18"/>
        <v>12.285714285714286</v>
      </c>
      <c r="N52" s="209">
        <f t="shared" si="62"/>
        <v>95.886922083329722</v>
      </c>
      <c r="O52" s="179">
        <f t="shared" si="66"/>
        <v>4.1855711778464665E-2</v>
      </c>
      <c r="P52" s="213">
        <f t="shared" si="67"/>
        <v>1.2929899824492526</v>
      </c>
      <c r="Q52" s="217">
        <f t="shared" ca="1" si="68"/>
        <v>0.91310738123553548</v>
      </c>
      <c r="R52" s="176">
        <f>DANE!S52</f>
        <v>14</v>
      </c>
      <c r="S52" s="188">
        <f t="shared" si="3"/>
        <v>325</v>
      </c>
      <c r="T52" s="177">
        <f t="shared" ca="1" si="19"/>
        <v>11.428571428571429</v>
      </c>
      <c r="U52" s="209">
        <f t="shared" si="50"/>
        <v>69.181483400805178</v>
      </c>
      <c r="V52" s="179">
        <f t="shared" si="55"/>
        <v>7.4607108925274918E-2</v>
      </c>
      <c r="W52" s="213">
        <f t="shared" si="56"/>
        <v>1.5222497624769245</v>
      </c>
      <c r="X52" s="214">
        <f t="shared" ca="1" si="57"/>
        <v>1.2302942900479938</v>
      </c>
      <c r="Y52" s="176">
        <f>DANE!W52</f>
        <v>2</v>
      </c>
      <c r="Z52" s="188">
        <f t="shared" si="4"/>
        <v>84</v>
      </c>
      <c r="AA52" s="177">
        <f t="shared" ca="1" si="20"/>
        <v>0.7142857142857143</v>
      </c>
      <c r="AB52" s="209"/>
      <c r="AC52" s="179"/>
      <c r="AD52" s="213"/>
      <c r="AE52" s="217"/>
      <c r="AF52" s="176">
        <f>DANE!AA52</f>
        <v>13</v>
      </c>
      <c r="AG52" s="188">
        <f t="shared" si="5"/>
        <v>695</v>
      </c>
      <c r="AH52" s="177">
        <f t="shared" ca="1" si="21"/>
        <v>18.285714285714285</v>
      </c>
      <c r="AI52" s="209">
        <f t="shared" si="37"/>
        <v>145.72439828530122</v>
      </c>
      <c r="AJ52" s="179">
        <f t="shared" si="39"/>
        <v>-5.8902291399427285E-2</v>
      </c>
      <c r="AK52" s="213">
        <f t="shared" si="40"/>
        <v>0.58768396020400893</v>
      </c>
      <c r="AL52" s="214">
        <f t="shared" ca="1" si="41"/>
        <v>0.83984795320136685</v>
      </c>
      <c r="AM52" s="176">
        <f>DANE!AE52</f>
        <v>28</v>
      </c>
      <c r="AN52" s="188">
        <f t="shared" si="6"/>
        <v>707</v>
      </c>
      <c r="AO52" s="177">
        <f t="shared" ca="1" si="22"/>
        <v>24.285714285714285</v>
      </c>
      <c r="AP52" s="209">
        <f t="shared" si="49"/>
        <v>170.25909698356367</v>
      </c>
      <c r="AQ52" s="179">
        <f t="shared" si="51"/>
        <v>2.5849115715361151E-2</v>
      </c>
      <c r="AR52" s="213">
        <f t="shared" si="52"/>
        <v>1.180943810007528</v>
      </c>
      <c r="AS52" s="217">
        <f t="shared" ca="1" si="53"/>
        <v>1.0876548573298526</v>
      </c>
      <c r="AT52" s="176">
        <f>DANE!AI52</f>
        <v>29</v>
      </c>
      <c r="AU52" s="188">
        <f t="shared" si="7"/>
        <v>2059</v>
      </c>
      <c r="AV52" s="177">
        <f t="shared" ca="1" si="23"/>
        <v>49.142857142857146</v>
      </c>
      <c r="AW52" s="209">
        <f t="shared" si="33"/>
        <v>373.24538758595912</v>
      </c>
      <c r="AX52" s="179">
        <f t="shared" si="34"/>
        <v>-7.0649514945393538E-2</v>
      </c>
      <c r="AY52" s="213">
        <f t="shared" si="35"/>
        <v>0.50545339538224521</v>
      </c>
      <c r="AZ52" s="214">
        <f t="shared" ca="1" si="36"/>
        <v>0.76491113060170413</v>
      </c>
      <c r="BA52" s="176">
        <f>DANE!AM52</f>
        <v>6</v>
      </c>
      <c r="BB52" s="188">
        <f t="shared" si="8"/>
        <v>298</v>
      </c>
      <c r="BC52" s="177">
        <f t="shared" ca="1" si="24"/>
        <v>13.142857142857142</v>
      </c>
      <c r="BD52" s="209">
        <f t="shared" si="77"/>
        <v>92.709559273584659</v>
      </c>
      <c r="BE52" s="179">
        <f t="shared" si="80"/>
        <v>-8.3545837553070365E-2</v>
      </c>
      <c r="BF52" s="213">
        <f t="shared" si="81"/>
        <v>0.4151791371285074</v>
      </c>
      <c r="BG52" s="217">
        <f t="shared" ca="1" si="82"/>
        <v>0.89778371639219579</v>
      </c>
      <c r="BH52" s="176">
        <f>DANE!AQ52</f>
        <v>4</v>
      </c>
      <c r="BI52" s="188">
        <f t="shared" si="9"/>
        <v>270</v>
      </c>
      <c r="BJ52" s="177">
        <f t="shared" ca="1" si="25"/>
        <v>5.1428571428571432</v>
      </c>
      <c r="BK52" s="209">
        <f t="shared" si="61"/>
        <v>44.979273015163848</v>
      </c>
      <c r="BL52" s="179">
        <f t="shared" si="63"/>
        <v>-5.9191153289618534E-2</v>
      </c>
      <c r="BM52" s="213">
        <f t="shared" si="64"/>
        <v>0.58566192697267017</v>
      </c>
      <c r="BN52" s="214">
        <f t="shared" ca="1" si="65"/>
        <v>0.6168711086814006</v>
      </c>
      <c r="BO52" s="176">
        <f>DANE!AU52</f>
        <v>5</v>
      </c>
      <c r="BP52" s="188">
        <f t="shared" si="10"/>
        <v>332</v>
      </c>
      <c r="BQ52" s="177">
        <f t="shared" ca="1" si="26"/>
        <v>10.857142857142858</v>
      </c>
      <c r="BR52" s="209">
        <f t="shared" si="78"/>
        <v>86.758664486679692</v>
      </c>
      <c r="BS52" s="179">
        <f t="shared" si="83"/>
        <v>-9.0438059049670338E-2</v>
      </c>
      <c r="BT52" s="213">
        <f t="shared" si="84"/>
        <v>0.36693358665230758</v>
      </c>
      <c r="BU52" s="217">
        <f t="shared" ca="1" si="85"/>
        <v>0.71630411388571524</v>
      </c>
      <c r="BV52" s="176">
        <f>DANE!AY52</f>
        <v>4</v>
      </c>
      <c r="BW52" s="188">
        <f t="shared" si="11"/>
        <v>219</v>
      </c>
      <c r="BX52" s="177">
        <f t="shared" ca="1" si="27"/>
        <v>6.2857142857142856</v>
      </c>
      <c r="BY52" s="209">
        <f t="shared" si="69"/>
        <v>46.736007414295997</v>
      </c>
      <c r="BZ52" s="179">
        <f t="shared" si="71"/>
        <v>-6.2630382426908729E-2</v>
      </c>
      <c r="CA52" s="213">
        <f t="shared" si="72"/>
        <v>0.56158732301163883</v>
      </c>
      <c r="CB52" s="214">
        <f t="shared" ca="1" si="73"/>
        <v>0.9762191540209858</v>
      </c>
      <c r="CC52" s="176">
        <f>DANE!BC52</f>
        <v>54</v>
      </c>
      <c r="CD52" s="188">
        <f t="shared" si="12"/>
        <v>1505</v>
      </c>
      <c r="CE52" s="177">
        <f t="shared" ca="1" si="28"/>
        <v>80.285714285714292</v>
      </c>
      <c r="CF52" s="209">
        <f t="shared" si="45"/>
        <v>477.73837434309451</v>
      </c>
      <c r="CG52" s="179">
        <f t="shared" si="46"/>
        <v>-3.3625321789557697E-2</v>
      </c>
      <c r="CH52" s="213">
        <f t="shared" si="47"/>
        <v>0.76462274747309611</v>
      </c>
      <c r="CI52" s="217">
        <f t="shared" ca="1" si="48"/>
        <v>1.4440526268984752</v>
      </c>
      <c r="CJ52" s="176">
        <f>DANE!BG52</f>
        <v>11</v>
      </c>
      <c r="CK52" s="188">
        <f t="shared" si="13"/>
        <v>238</v>
      </c>
      <c r="CL52" s="177">
        <f t="shared" ca="1" si="29"/>
        <v>12</v>
      </c>
      <c r="CM52" s="209">
        <f t="shared" si="79"/>
        <v>74.628888575854859</v>
      </c>
      <c r="CN52" s="179">
        <f t="shared" si="86"/>
        <v>5.3235285265984585E-3</v>
      </c>
      <c r="CO52" s="213">
        <f t="shared" si="87"/>
        <v>1.0372646996861892</v>
      </c>
      <c r="CP52" s="214">
        <f t="shared" ca="1" si="88"/>
        <v>1.3052519084330478</v>
      </c>
      <c r="CQ52" s="176">
        <f>DANE!BK52</f>
        <v>2</v>
      </c>
      <c r="CR52" s="188">
        <f t="shared" si="14"/>
        <v>145</v>
      </c>
      <c r="CS52" s="177">
        <f t="shared" ca="1" si="30"/>
        <v>3.2857142857142856</v>
      </c>
      <c r="CT52" s="209">
        <f t="shared" si="89"/>
        <v>34.153056358360026</v>
      </c>
      <c r="CU52" s="179">
        <f t="shared" si="90"/>
        <v>-8.9540727298408881E-2</v>
      </c>
      <c r="CV52" s="213">
        <f t="shared" si="91"/>
        <v>0.37321490891113784</v>
      </c>
      <c r="CW52" s="217">
        <f t="shared" ca="1" si="92"/>
        <v>0.45899162967220652</v>
      </c>
      <c r="CX52" s="176">
        <f>DANE!BO52</f>
        <v>31</v>
      </c>
      <c r="CY52" s="188">
        <f t="shared" si="15"/>
        <v>1081</v>
      </c>
      <c r="CZ52" s="177">
        <f t="shared" ca="1" si="31"/>
        <v>56.857142857142854</v>
      </c>
      <c r="DA52" s="209">
        <f t="shared" si="54"/>
        <v>342.6833341751867</v>
      </c>
      <c r="DB52" s="179">
        <f t="shared" si="58"/>
        <v>-5.7605781433712699E-2</v>
      </c>
      <c r="DC52" s="213">
        <f t="shared" si="59"/>
        <v>0.59675952996401116</v>
      </c>
      <c r="DD52" s="214">
        <f t="shared" ca="1" si="60"/>
        <v>1.241927064684536</v>
      </c>
      <c r="DE52" s="176">
        <f>DANE!BS52</f>
        <v>2</v>
      </c>
      <c r="DF52" s="188">
        <f t="shared" si="16"/>
        <v>279</v>
      </c>
      <c r="DG52" s="177">
        <f t="shared" ca="1" si="32"/>
        <v>9.7142857142857135</v>
      </c>
      <c r="DH52" s="209">
        <f t="shared" si="70"/>
        <v>69.810321520087385</v>
      </c>
      <c r="DI52" s="179">
        <f t="shared" si="74"/>
        <v>-0.11757654138148262</v>
      </c>
      <c r="DJ52" s="157">
        <f t="shared" si="75"/>
        <v>0.17696421032962162</v>
      </c>
      <c r="DK52" s="225">
        <f t="shared" ca="1" si="76"/>
        <v>0.97522651094032653</v>
      </c>
      <c r="DL52" s="83"/>
      <c r="DM52" s="89"/>
      <c r="DN52" s="89"/>
      <c r="DO52" s="89"/>
      <c r="DP52" s="89"/>
      <c r="DQ52" s="89"/>
      <c r="DR52" s="89"/>
      <c r="DS52" s="89"/>
      <c r="DT52" s="89"/>
      <c r="DU52" s="89"/>
      <c r="DV52" s="89"/>
      <c r="DW52" s="89"/>
      <c r="DX52" s="89"/>
      <c r="DY52" s="89"/>
      <c r="DZ52" s="89"/>
      <c r="EA52" s="89"/>
      <c r="EB52" s="89"/>
      <c r="EC52" s="89"/>
      <c r="ED52" s="89"/>
      <c r="EE52" s="89"/>
      <c r="EF52" s="89"/>
      <c r="EG52" s="89"/>
      <c r="EH52" s="89"/>
    </row>
    <row r="53" spans="1:138" x14ac:dyDescent="0.25">
      <c r="A53" s="32">
        <v>43943</v>
      </c>
      <c r="B53" s="33" t="str">
        <f t="shared" ca="1" si="0"/>
        <v/>
      </c>
      <c r="C53" s="51">
        <v>50</v>
      </c>
      <c r="D53" s="176">
        <f>DANE!K53</f>
        <v>26</v>
      </c>
      <c r="E53" s="188">
        <f t="shared" si="1"/>
        <v>1144</v>
      </c>
      <c r="F53" s="178">
        <f t="shared" ca="1" si="17"/>
        <v>54.285714285714285</v>
      </c>
      <c r="G53" s="209">
        <f t="shared" si="38"/>
        <v>301.51489449601542</v>
      </c>
      <c r="H53" s="179">
        <f t="shared" si="42"/>
        <v>-6.1969631035031142E-2</v>
      </c>
      <c r="I53" s="213">
        <f t="shared" si="43"/>
        <v>0.56621258275478192</v>
      </c>
      <c r="J53" s="214">
        <f t="shared" ca="1" si="44"/>
        <v>1.4224592869307824</v>
      </c>
      <c r="K53" s="176">
        <f>DANE!O53</f>
        <v>14</v>
      </c>
      <c r="L53" s="188">
        <f t="shared" si="2"/>
        <v>452</v>
      </c>
      <c r="M53" s="177">
        <f t="shared" ca="1" si="18"/>
        <v>13.285714285714286</v>
      </c>
      <c r="N53" s="209">
        <f t="shared" si="62"/>
        <v>96.188790357139766</v>
      </c>
      <c r="O53" s="179">
        <f t="shared" si="66"/>
        <v>3.1481693984056311E-3</v>
      </c>
      <c r="P53" s="213">
        <f t="shared" si="67"/>
        <v>1.0220371857888395</v>
      </c>
      <c r="Q53" s="217">
        <f t="shared" ca="1" si="68"/>
        <v>0.99293011328807501</v>
      </c>
      <c r="R53" s="176">
        <f>DANE!S53</f>
        <v>7</v>
      </c>
      <c r="S53" s="188">
        <f t="shared" si="3"/>
        <v>332</v>
      </c>
      <c r="T53" s="177">
        <f t="shared" ca="1" si="19"/>
        <v>8.8571428571428577</v>
      </c>
      <c r="U53" s="209">
        <f t="shared" si="50"/>
        <v>66.298414343547307</v>
      </c>
      <c r="V53" s="179">
        <f t="shared" si="55"/>
        <v>-4.1673998814895537E-2</v>
      </c>
      <c r="W53" s="213">
        <f t="shared" si="56"/>
        <v>0.70828200829573129</v>
      </c>
      <c r="X53" s="214">
        <f t="shared" ca="1" si="57"/>
        <v>0.89977563835064855</v>
      </c>
      <c r="Y53" s="176">
        <f>DANE!W53</f>
        <v>1</v>
      </c>
      <c r="Z53" s="188">
        <f t="shared" si="4"/>
        <v>85</v>
      </c>
      <c r="AA53" s="177">
        <f t="shared" ca="1" si="20"/>
        <v>0.8571428571428571</v>
      </c>
      <c r="AB53" s="209"/>
      <c r="AC53" s="179"/>
      <c r="AD53" s="213"/>
      <c r="AE53" s="217"/>
      <c r="AF53" s="176">
        <f>DANE!AA53</f>
        <v>70</v>
      </c>
      <c r="AG53" s="188">
        <f t="shared" si="5"/>
        <v>765</v>
      </c>
      <c r="AH53" s="177">
        <f t="shared" ca="1" si="21"/>
        <v>27.571428571428573</v>
      </c>
      <c r="AI53" s="209">
        <f t="shared" si="37"/>
        <v>194.90662710168675</v>
      </c>
      <c r="AJ53" s="179">
        <f t="shared" si="39"/>
        <v>0.33750167710485851</v>
      </c>
      <c r="AK53" s="213">
        <f t="shared" si="40"/>
        <v>3.3625117397340096</v>
      </c>
      <c r="AL53" s="214">
        <f t="shared" ca="1" si="41"/>
        <v>1.291353843554637</v>
      </c>
      <c r="AM53" s="176">
        <f>DANE!AE53</f>
        <v>27</v>
      </c>
      <c r="AN53" s="188">
        <f t="shared" si="6"/>
        <v>734</v>
      </c>
      <c r="AO53" s="177">
        <f t="shared" ca="1" si="22"/>
        <v>24.714285714285715</v>
      </c>
      <c r="AP53" s="209">
        <f t="shared" si="49"/>
        <v>172.93636884305459</v>
      </c>
      <c r="AQ53" s="179">
        <f t="shared" si="51"/>
        <v>1.5724691995455523E-2</v>
      </c>
      <c r="AR53" s="213">
        <f t="shared" si="52"/>
        <v>1.1100728439681886</v>
      </c>
      <c r="AS53" s="217">
        <f t="shared" ca="1" si="53"/>
        <v>1.0936850002997018</v>
      </c>
      <c r="AT53" s="176">
        <f>DANE!AI53</f>
        <v>39</v>
      </c>
      <c r="AU53" s="188">
        <f t="shared" si="7"/>
        <v>2098</v>
      </c>
      <c r="AV53" s="177">
        <f t="shared" ca="1" si="23"/>
        <v>43.714285714285715</v>
      </c>
      <c r="AW53" s="209">
        <f t="shared" si="33"/>
        <v>358.92461793082214</v>
      </c>
      <c r="AX53" s="179">
        <f t="shared" si="34"/>
        <v>-3.8368242800693377E-2</v>
      </c>
      <c r="AY53" s="213">
        <f t="shared" si="35"/>
        <v>0.73142230039514633</v>
      </c>
      <c r="AZ53" s="214">
        <f t="shared" ca="1" si="36"/>
        <v>0.70749850715846763</v>
      </c>
      <c r="BA53" s="176">
        <f>DANE!AM53</f>
        <v>26</v>
      </c>
      <c r="BB53" s="188">
        <f t="shared" si="8"/>
        <v>324</v>
      </c>
      <c r="BC53" s="177">
        <f t="shared" ca="1" si="24"/>
        <v>15</v>
      </c>
      <c r="BD53" s="209">
        <f t="shared" si="77"/>
        <v>105.46533652021543</v>
      </c>
      <c r="BE53" s="179">
        <f t="shared" si="80"/>
        <v>0.13758858683589084</v>
      </c>
      <c r="BF53" s="213">
        <f t="shared" si="81"/>
        <v>1.9631201078512359</v>
      </c>
      <c r="BG53" s="217">
        <f t="shared" ca="1" si="82"/>
        <v>1.0534610342844393</v>
      </c>
      <c r="BH53" s="176">
        <f>DANE!AQ53</f>
        <v>6</v>
      </c>
      <c r="BI53" s="188">
        <f t="shared" si="9"/>
        <v>276</v>
      </c>
      <c r="BJ53" s="177">
        <f t="shared" ca="1" si="25"/>
        <v>4.7142857142857144</v>
      </c>
      <c r="BK53" s="209">
        <f t="shared" si="61"/>
        <v>44.553662584426156</v>
      </c>
      <c r="BL53" s="179">
        <f t="shared" si="63"/>
        <v>-9.4623679354311849E-3</v>
      </c>
      <c r="BM53" s="213">
        <f t="shared" si="64"/>
        <v>0.93376342445198168</v>
      </c>
      <c r="BN53" s="214">
        <f t="shared" ca="1" si="65"/>
        <v>0.61594199029788399</v>
      </c>
      <c r="BO53" s="176">
        <f>DANE!AU53</f>
        <v>3</v>
      </c>
      <c r="BP53" s="188">
        <f t="shared" si="10"/>
        <v>335</v>
      </c>
      <c r="BQ53" s="177">
        <f t="shared" ca="1" si="26"/>
        <v>10.857142857142858</v>
      </c>
      <c r="BR53" s="209">
        <f t="shared" si="78"/>
        <v>77.364569560011176</v>
      </c>
      <c r="BS53" s="179">
        <f t="shared" si="83"/>
        <v>-0.10827846396956488</v>
      </c>
      <c r="BT53" s="213">
        <f t="shared" si="84"/>
        <v>0.24205075221304584</v>
      </c>
      <c r="BU53" s="217">
        <f t="shared" ca="1" si="85"/>
        <v>0.72551681686792124</v>
      </c>
      <c r="BV53" s="176">
        <f>DANE!AY53</f>
        <v>12</v>
      </c>
      <c r="BW53" s="188">
        <f t="shared" si="11"/>
        <v>231</v>
      </c>
      <c r="BX53" s="177">
        <f t="shared" ca="1" si="27"/>
        <v>7.4285714285714288</v>
      </c>
      <c r="BY53" s="209">
        <f t="shared" si="69"/>
        <v>52.059434926539431</v>
      </c>
      <c r="BZ53" s="179">
        <f t="shared" si="71"/>
        <v>0.11390419949768879</v>
      </c>
      <c r="CA53" s="213">
        <f t="shared" si="72"/>
        <v>1.7973293964838217</v>
      </c>
      <c r="CB53" s="214">
        <f t="shared" ca="1" si="73"/>
        <v>1.1557215621659134</v>
      </c>
      <c r="CC53" s="176">
        <f>DANE!BC53</f>
        <v>46</v>
      </c>
      <c r="CD53" s="188">
        <f t="shared" si="12"/>
        <v>1551</v>
      </c>
      <c r="CE53" s="177">
        <f t="shared" ca="1" si="28"/>
        <v>80.428571428571431</v>
      </c>
      <c r="CF53" s="209">
        <f t="shared" si="45"/>
        <v>455.49003515122388</v>
      </c>
      <c r="CG53" s="179">
        <f t="shared" si="46"/>
        <v>-4.6570132077965905E-2</v>
      </c>
      <c r="CH53" s="213">
        <f t="shared" si="47"/>
        <v>0.67400907545423872</v>
      </c>
      <c r="CI53" s="217">
        <f t="shared" ca="1" si="48"/>
        <v>1.4015719015354533</v>
      </c>
      <c r="CJ53" s="176">
        <f>DANE!BG53</f>
        <v>9</v>
      </c>
      <c r="CK53" s="188">
        <f t="shared" si="13"/>
        <v>247</v>
      </c>
      <c r="CL53" s="177">
        <f t="shared" ca="1" si="29"/>
        <v>11</v>
      </c>
      <c r="CM53" s="209">
        <f t="shared" si="79"/>
        <v>72.967618779304161</v>
      </c>
      <c r="CN53" s="179">
        <f t="shared" si="86"/>
        <v>-2.2260411862654737E-2</v>
      </c>
      <c r="CO53" s="213">
        <f t="shared" si="87"/>
        <v>0.84417711696141684</v>
      </c>
      <c r="CP53" s="214">
        <f t="shared" ca="1" si="88"/>
        <v>1.1432153959183802</v>
      </c>
      <c r="CQ53" s="176">
        <f>DANE!BK53</f>
        <v>0</v>
      </c>
      <c r="CR53" s="188">
        <f t="shared" si="14"/>
        <v>145</v>
      </c>
      <c r="CS53" s="177">
        <f t="shared" ca="1" si="30"/>
        <v>2.8571428571428572</v>
      </c>
      <c r="CT53" s="209">
        <f t="shared" si="89"/>
        <v>29.274048307165739</v>
      </c>
      <c r="CU53" s="179">
        <f t="shared" si="90"/>
        <v>-0.14285714285714279</v>
      </c>
      <c r="CV53" s="213">
        <f t="shared" si="91"/>
        <v>4.4408920985006262E-16</v>
      </c>
      <c r="CW53" s="217">
        <f t="shared" ca="1" si="92"/>
        <v>0.40961794428660586</v>
      </c>
      <c r="CX53" s="176">
        <f>DANE!BO53</f>
        <v>18</v>
      </c>
      <c r="CY53" s="188">
        <f t="shared" si="15"/>
        <v>1099</v>
      </c>
      <c r="CZ53" s="177">
        <f t="shared" ca="1" si="31"/>
        <v>44.857142857142854</v>
      </c>
      <c r="DA53" s="209">
        <f t="shared" si="54"/>
        <v>311.72857215016006</v>
      </c>
      <c r="DB53" s="179">
        <f t="shared" si="58"/>
        <v>-9.0330514903890644E-2</v>
      </c>
      <c r="DC53" s="213">
        <f t="shared" si="59"/>
        <v>0.36768639567276551</v>
      </c>
      <c r="DD53" s="214">
        <f t="shared" ca="1" si="60"/>
        <v>0.93577781705862983</v>
      </c>
      <c r="DE53" s="176">
        <f>DANE!BS53</f>
        <v>9</v>
      </c>
      <c r="DF53" s="188">
        <f t="shared" si="16"/>
        <v>288</v>
      </c>
      <c r="DG53" s="177">
        <f t="shared" ca="1" si="32"/>
        <v>10.142857142857142</v>
      </c>
      <c r="DH53" s="209">
        <f t="shared" si="70"/>
        <v>68.837418445789183</v>
      </c>
      <c r="DI53" s="179">
        <f t="shared" si="74"/>
        <v>-1.3936378648797033E-2</v>
      </c>
      <c r="DJ53" s="157">
        <f t="shared" si="75"/>
        <v>0.90244534945842081</v>
      </c>
      <c r="DK53" s="225">
        <f t="shared" ca="1" si="76"/>
        <v>1.0225447862787069</v>
      </c>
      <c r="DL53" s="83"/>
      <c r="DM53" s="89"/>
      <c r="DN53" s="89"/>
      <c r="DO53" s="89"/>
      <c r="DP53" s="89"/>
      <c r="DQ53" s="89"/>
      <c r="DR53" s="89"/>
      <c r="DS53" s="89"/>
      <c r="DT53" s="89"/>
      <c r="DU53" s="89"/>
      <c r="DV53" s="89"/>
      <c r="DW53" s="89"/>
      <c r="DX53" s="89"/>
      <c r="DY53" s="89"/>
      <c r="DZ53" s="89"/>
      <c r="EA53" s="89"/>
      <c r="EB53" s="89"/>
      <c r="EC53" s="89"/>
      <c r="ED53" s="89"/>
      <c r="EE53" s="89"/>
      <c r="EF53" s="89"/>
      <c r="EG53" s="89"/>
      <c r="EH53" s="89"/>
    </row>
    <row r="54" spans="1:138" x14ac:dyDescent="0.25">
      <c r="A54" s="32">
        <v>43944</v>
      </c>
      <c r="B54" s="33" t="str">
        <f t="shared" ca="1" si="0"/>
        <v/>
      </c>
      <c r="C54" s="51">
        <v>51</v>
      </c>
      <c r="D54" s="176">
        <f>DANE!K54</f>
        <v>68</v>
      </c>
      <c r="E54" s="188">
        <f t="shared" si="1"/>
        <v>1212</v>
      </c>
      <c r="F54" s="178">
        <f t="shared" ca="1" si="17"/>
        <v>56.142857142857146</v>
      </c>
      <c r="G54" s="209">
        <f t="shared" si="38"/>
        <v>326.44133813944183</v>
      </c>
      <c r="H54" s="179">
        <f t="shared" si="42"/>
        <v>8.2670687579435048E-2</v>
      </c>
      <c r="I54" s="213">
        <f t="shared" si="43"/>
        <v>1.5786948130560454</v>
      </c>
      <c r="J54" s="214">
        <f t="shared" ca="1" si="44"/>
        <v>1.3810095704287533</v>
      </c>
      <c r="K54" s="176">
        <f>DANE!O54</f>
        <v>8</v>
      </c>
      <c r="L54" s="188">
        <f t="shared" si="2"/>
        <v>460</v>
      </c>
      <c r="M54" s="177">
        <f t="shared" ca="1" si="18"/>
        <v>13.285714285714286</v>
      </c>
      <c r="N54" s="209">
        <f t="shared" si="62"/>
        <v>90.447534591834085</v>
      </c>
      <c r="O54" s="179">
        <f t="shared" si="66"/>
        <v>-5.9687368392813217E-2</v>
      </c>
      <c r="P54" s="213">
        <f t="shared" si="67"/>
        <v>0.58218842125030745</v>
      </c>
      <c r="Q54" s="217">
        <f t="shared" ca="1" si="68"/>
        <v>0.99418160470894534</v>
      </c>
      <c r="R54" s="176">
        <f>DANE!S54</f>
        <v>4</v>
      </c>
      <c r="S54" s="188">
        <f t="shared" si="3"/>
        <v>336</v>
      </c>
      <c r="T54" s="177">
        <f t="shared" ca="1" si="19"/>
        <v>8.1428571428571423</v>
      </c>
      <c r="U54" s="209">
        <f t="shared" si="50"/>
        <v>60.827212294469128</v>
      </c>
      <c r="V54" s="179">
        <f t="shared" si="55"/>
        <v>-8.2523874865654018E-2</v>
      </c>
      <c r="W54" s="213">
        <f t="shared" si="56"/>
        <v>0.42233287594042179</v>
      </c>
      <c r="X54" s="214">
        <f t="shared" ca="1" si="57"/>
        <v>0.83952599038040432</v>
      </c>
      <c r="Y54" s="176">
        <f>DANE!W54</f>
        <v>0</v>
      </c>
      <c r="Z54" s="188">
        <f t="shared" si="4"/>
        <v>85</v>
      </c>
      <c r="AA54" s="177">
        <f t="shared" ca="1" si="20"/>
        <v>0.5714285714285714</v>
      </c>
      <c r="AB54" s="209"/>
      <c r="AC54" s="179"/>
      <c r="AD54" s="213"/>
      <c r="AE54" s="217"/>
      <c r="AF54" s="176">
        <f>DANE!AA54</f>
        <v>16</v>
      </c>
      <c r="AG54" s="188">
        <f t="shared" si="5"/>
        <v>781</v>
      </c>
      <c r="AH54" s="177">
        <f t="shared" ca="1" si="21"/>
        <v>27.285714285714285</v>
      </c>
      <c r="AI54" s="209">
        <f t="shared" si="37"/>
        <v>183.06282323001722</v>
      </c>
      <c r="AJ54" s="179">
        <f t="shared" si="39"/>
        <v>-6.0766552927368565E-2</v>
      </c>
      <c r="AK54" s="213">
        <f t="shared" si="40"/>
        <v>0.57463412950842008</v>
      </c>
      <c r="AL54" s="214">
        <f t="shared" ca="1" si="41"/>
        <v>1.2562084960853597</v>
      </c>
      <c r="AM54" s="176">
        <f>DANE!AE54</f>
        <v>32</v>
      </c>
      <c r="AN54" s="188">
        <f t="shared" si="6"/>
        <v>766</v>
      </c>
      <c r="AO54" s="177">
        <f t="shared" ca="1" si="22"/>
        <v>27.285714285714285</v>
      </c>
      <c r="AP54" s="209">
        <f t="shared" si="49"/>
        <v>180.23117329404681</v>
      </c>
      <c r="AQ54" s="179">
        <f t="shared" si="51"/>
        <v>4.2182014690111194E-2</v>
      </c>
      <c r="AR54" s="213">
        <f t="shared" si="52"/>
        <v>1.2952741028307784</v>
      </c>
      <c r="AS54" s="217">
        <f t="shared" ca="1" si="53"/>
        <v>1.1905900909477329</v>
      </c>
      <c r="AT54" s="176">
        <f>DANE!AI54</f>
        <v>68</v>
      </c>
      <c r="AU54" s="188">
        <f t="shared" si="7"/>
        <v>2166</v>
      </c>
      <c r="AV54" s="177">
        <f t="shared" ca="1" si="23"/>
        <v>45.714285714285715</v>
      </c>
      <c r="AW54" s="209">
        <f t="shared" si="33"/>
        <v>375.64967251213329</v>
      </c>
      <c r="AX54" s="179">
        <f t="shared" si="34"/>
        <v>4.659768025311288E-2</v>
      </c>
      <c r="AY54" s="213">
        <f t="shared" si="35"/>
        <v>1.3261837617717902</v>
      </c>
      <c r="AZ54" s="214">
        <f t="shared" ca="1" si="36"/>
        <v>0.78553391583947241</v>
      </c>
      <c r="BA54" s="176">
        <f>DANE!AM54</f>
        <v>6</v>
      </c>
      <c r="BB54" s="188">
        <f t="shared" si="8"/>
        <v>330</v>
      </c>
      <c r="BC54" s="177">
        <f t="shared" ca="1" si="24"/>
        <v>14.285714285714286</v>
      </c>
      <c r="BD54" s="209">
        <f t="shared" si="77"/>
        <v>96.398859874470375</v>
      </c>
      <c r="BE54" s="179">
        <f t="shared" si="80"/>
        <v>-8.5966412708569959E-2</v>
      </c>
      <c r="BF54" s="213">
        <f t="shared" si="81"/>
        <v>0.3982351110400103</v>
      </c>
      <c r="BG54" s="217">
        <f t="shared" ca="1" si="82"/>
        <v>1.0028336262235154</v>
      </c>
      <c r="BH54" s="176">
        <f>DANE!AQ54</f>
        <v>3</v>
      </c>
      <c r="BI54" s="188">
        <f t="shared" si="9"/>
        <v>279</v>
      </c>
      <c r="BJ54" s="177">
        <f t="shared" ca="1" si="25"/>
        <v>4.7142857142857144</v>
      </c>
      <c r="BK54" s="209">
        <f t="shared" si="61"/>
        <v>41.188853643793848</v>
      </c>
      <c r="BL54" s="179">
        <f t="shared" si="63"/>
        <v>-7.5522611283779961E-2</v>
      </c>
      <c r="BM54" s="213">
        <f t="shared" si="64"/>
        <v>0.47134172101354022</v>
      </c>
      <c r="BN54" s="214">
        <f t="shared" ca="1" si="65"/>
        <v>0.6381165292829859</v>
      </c>
      <c r="BO54" s="176">
        <f>DANE!AU54</f>
        <v>6</v>
      </c>
      <c r="BP54" s="188">
        <f t="shared" si="10"/>
        <v>341</v>
      </c>
      <c r="BQ54" s="177">
        <f t="shared" ca="1" si="26"/>
        <v>9</v>
      </c>
      <c r="BR54" s="209">
        <f t="shared" si="78"/>
        <v>72.312488194295298</v>
      </c>
      <c r="BS54" s="179">
        <f t="shared" si="83"/>
        <v>-6.5302261674150625E-2</v>
      </c>
      <c r="BT54" s="213">
        <f t="shared" si="84"/>
        <v>0.54288416828094554</v>
      </c>
      <c r="BU54" s="217">
        <f t="shared" ca="1" si="85"/>
        <v>0.62103252210394266</v>
      </c>
      <c r="BV54" s="176">
        <f>DANE!AY54</f>
        <v>12</v>
      </c>
      <c r="BW54" s="188">
        <f t="shared" si="11"/>
        <v>243</v>
      </c>
      <c r="BX54" s="177">
        <f t="shared" ca="1" si="27"/>
        <v>8.8571428571428577</v>
      </c>
      <c r="BY54" s="209">
        <f t="shared" si="69"/>
        <v>56.622372794176655</v>
      </c>
      <c r="BZ54" s="179">
        <f t="shared" si="71"/>
        <v>8.7648624578348613E-2</v>
      </c>
      <c r="CA54" s="213">
        <f t="shared" si="72"/>
        <v>1.6135403720484405</v>
      </c>
      <c r="CB54" s="214">
        <f t="shared" ca="1" si="73"/>
        <v>1.3448859414935899</v>
      </c>
      <c r="CC54" s="176">
        <f>DANE!BC54</f>
        <v>35</v>
      </c>
      <c r="CD54" s="188">
        <f t="shared" si="12"/>
        <v>1586</v>
      </c>
      <c r="CE54" s="177">
        <f t="shared" ca="1" si="28"/>
        <v>73.714285714285708</v>
      </c>
      <c r="CF54" s="209">
        <f t="shared" si="45"/>
        <v>425.4200301296205</v>
      </c>
      <c r="CG54" s="179">
        <f t="shared" si="46"/>
        <v>-6.6016822984107784E-2</v>
      </c>
      <c r="CH54" s="213">
        <f t="shared" si="47"/>
        <v>0.53788223911124544</v>
      </c>
      <c r="CI54" s="217">
        <f t="shared" ca="1" si="48"/>
        <v>1.2245082522864255</v>
      </c>
      <c r="CJ54" s="176">
        <f>DANE!BG54</f>
        <v>1</v>
      </c>
      <c r="CK54" s="188">
        <f t="shared" si="13"/>
        <v>248</v>
      </c>
      <c r="CL54" s="177">
        <f t="shared" ca="1" si="29"/>
        <v>10.428571428571429</v>
      </c>
      <c r="CM54" s="209">
        <f t="shared" si="79"/>
        <v>63.543673239403574</v>
      </c>
      <c r="CN54" s="179">
        <f t="shared" si="86"/>
        <v>-0.12915243360762521</v>
      </c>
      <c r="CO54" s="213">
        <f t="shared" si="87"/>
        <v>9.5932964746623495E-2</v>
      </c>
      <c r="CP54" s="214">
        <f t="shared" ca="1" si="88"/>
        <v>1.0794286675547682</v>
      </c>
      <c r="CQ54" s="176">
        <f>DANE!BK54</f>
        <v>0</v>
      </c>
      <c r="CR54" s="188">
        <f t="shared" si="14"/>
        <v>145</v>
      </c>
      <c r="CS54" s="177">
        <f t="shared" ca="1" si="30"/>
        <v>2.2857142857142856</v>
      </c>
      <c r="CT54" s="209">
        <f t="shared" si="89"/>
        <v>25.092041406142062</v>
      </c>
      <c r="CU54" s="179">
        <f t="shared" si="90"/>
        <v>-0.14285714285714285</v>
      </c>
      <c r="CV54" s="213">
        <f t="shared" si="91"/>
        <v>0</v>
      </c>
      <c r="CW54" s="217">
        <f t="shared" ca="1" si="92"/>
        <v>0.33699755908048862</v>
      </c>
      <c r="CX54" s="176">
        <f>DANE!BO54</f>
        <v>67</v>
      </c>
      <c r="CY54" s="188">
        <f t="shared" si="15"/>
        <v>1166</v>
      </c>
      <c r="CZ54" s="177">
        <f t="shared" ca="1" si="31"/>
        <v>48.142857142857146</v>
      </c>
      <c r="DA54" s="209">
        <f t="shared" si="54"/>
        <v>334.19591898585151</v>
      </c>
      <c r="DB54" s="179">
        <f t="shared" si="58"/>
        <v>7.2073428113188467E-2</v>
      </c>
      <c r="DC54" s="213">
        <f t="shared" si="59"/>
        <v>1.5045139967923193</v>
      </c>
      <c r="DD54" s="214">
        <f t="shared" ca="1" si="60"/>
        <v>1.0234501688912923</v>
      </c>
      <c r="DE54" s="176">
        <f>DANE!BS54</f>
        <v>16</v>
      </c>
      <c r="DF54" s="188">
        <f t="shared" si="16"/>
        <v>304</v>
      </c>
      <c r="DG54" s="177">
        <f t="shared" ca="1" si="32"/>
        <v>11.571428571428571</v>
      </c>
      <c r="DH54" s="209">
        <f t="shared" si="70"/>
        <v>75.003501524962161</v>
      </c>
      <c r="DI54" s="179">
        <f t="shared" si="74"/>
        <v>8.9574583393607202E-2</v>
      </c>
      <c r="DJ54" s="157">
        <f t="shared" si="75"/>
        <v>1.6270220837552505</v>
      </c>
      <c r="DK54" s="225">
        <f t="shared" ca="1" si="76"/>
        <v>1.1680493291175134</v>
      </c>
      <c r="DL54" s="83"/>
      <c r="DM54" s="89"/>
      <c r="DN54" s="89"/>
      <c r="DO54" s="89"/>
      <c r="DP54" s="89"/>
      <c r="DQ54" s="89"/>
      <c r="DR54" s="89"/>
      <c r="DS54" s="89"/>
      <c r="DT54" s="89"/>
      <c r="DU54" s="89"/>
      <c r="DV54" s="89"/>
      <c r="DW54" s="89"/>
      <c r="DX54" s="89"/>
      <c r="DY54" s="89"/>
      <c r="DZ54" s="89"/>
      <c r="EA54" s="89"/>
      <c r="EB54" s="89"/>
      <c r="EC54" s="89"/>
      <c r="ED54" s="89"/>
      <c r="EE54" s="89"/>
      <c r="EF54" s="89"/>
      <c r="EG54" s="89"/>
      <c r="EH54" s="89"/>
    </row>
    <row r="55" spans="1:138" x14ac:dyDescent="0.25">
      <c r="A55" s="32">
        <v>43945</v>
      </c>
      <c r="B55" s="33" t="str">
        <f t="shared" ca="1" si="0"/>
        <v/>
      </c>
      <c r="C55" s="51">
        <v>52</v>
      </c>
      <c r="D55" s="176">
        <f>DANE!K55</f>
        <v>23</v>
      </c>
      <c r="E55" s="188">
        <f t="shared" si="1"/>
        <v>1235</v>
      </c>
      <c r="F55" s="178">
        <f t="shared" ca="1" si="17"/>
        <v>48.857142857142854</v>
      </c>
      <c r="G55" s="209">
        <f t="shared" si="38"/>
        <v>302.80686126237873</v>
      </c>
      <c r="H55" s="179">
        <f t="shared" si="42"/>
        <v>-7.2400379840887222E-2</v>
      </c>
      <c r="I55" s="213">
        <f t="shared" si="43"/>
        <v>0.49319734111378943</v>
      </c>
      <c r="J55" s="214">
        <f t="shared" ca="1" si="44"/>
        <v>1.1319221344796264</v>
      </c>
      <c r="K55" s="176">
        <f>DANE!O55</f>
        <v>11</v>
      </c>
      <c r="L55" s="188">
        <f t="shared" si="2"/>
        <v>471</v>
      </c>
      <c r="M55" s="177">
        <f t="shared" ca="1" si="18"/>
        <v>12</v>
      </c>
      <c r="N55" s="209">
        <f t="shared" si="62"/>
        <v>88.526458221572085</v>
      </c>
      <c r="O55" s="179">
        <f t="shared" si="66"/>
        <v>-2.12396764481344E-2</v>
      </c>
      <c r="P55" s="213">
        <f t="shared" si="67"/>
        <v>0.85132226486305917</v>
      </c>
      <c r="Q55" s="217">
        <f t="shared" ca="1" si="68"/>
        <v>0.89771347600109508</v>
      </c>
      <c r="R55" s="176">
        <f>DANE!S55</f>
        <v>6</v>
      </c>
      <c r="S55" s="188">
        <f t="shared" si="3"/>
        <v>342</v>
      </c>
      <c r="T55" s="177">
        <f t="shared" ca="1" si="19"/>
        <v>7.4285714285714288</v>
      </c>
      <c r="U55" s="209">
        <f t="shared" si="50"/>
        <v>58.137610538116398</v>
      </c>
      <c r="V55" s="179">
        <f t="shared" si="55"/>
        <v>-4.4217080725846257E-2</v>
      </c>
      <c r="W55" s="213">
        <f t="shared" si="56"/>
        <v>0.69048043491907618</v>
      </c>
      <c r="X55" s="214">
        <f t="shared" ca="1" si="57"/>
        <v>0.78742939038934601</v>
      </c>
      <c r="Y55" s="176">
        <f>DANE!W55</f>
        <v>0</v>
      </c>
      <c r="Z55" s="188">
        <f t="shared" si="4"/>
        <v>85</v>
      </c>
      <c r="AA55" s="177">
        <f t="shared" ca="1" si="20"/>
        <v>0.5714285714285714</v>
      </c>
      <c r="AB55" s="209"/>
      <c r="AC55" s="179"/>
      <c r="AD55" s="213"/>
      <c r="AE55" s="217"/>
      <c r="AF55" s="176">
        <f>DANE!AA55</f>
        <v>32</v>
      </c>
      <c r="AG55" s="188">
        <f t="shared" si="5"/>
        <v>813</v>
      </c>
      <c r="AH55" s="177">
        <f t="shared" ca="1" si="21"/>
        <v>29.428571428571427</v>
      </c>
      <c r="AI55" s="209">
        <f t="shared" si="37"/>
        <v>188.91099134001476</v>
      </c>
      <c r="AJ55" s="179">
        <f t="shared" si="39"/>
        <v>3.1946235761093671E-2</v>
      </c>
      <c r="AK55" s="213">
        <f t="shared" si="40"/>
        <v>1.2236236503276556</v>
      </c>
      <c r="AL55" s="214">
        <f t="shared" ca="1" si="41"/>
        <v>1.3173775977817281</v>
      </c>
      <c r="AM55" s="176">
        <f>DANE!AE55</f>
        <v>22</v>
      </c>
      <c r="AN55" s="188">
        <f t="shared" si="6"/>
        <v>788</v>
      </c>
      <c r="AO55" s="177">
        <f t="shared" ca="1" si="22"/>
        <v>27.428571428571427</v>
      </c>
      <c r="AP55" s="209">
        <f t="shared" si="49"/>
        <v>176.48386282346871</v>
      </c>
      <c r="AQ55" s="179">
        <f t="shared" si="51"/>
        <v>-2.079168881880589E-2</v>
      </c>
      <c r="AR55" s="213">
        <f t="shared" si="52"/>
        <v>0.85445817826835879</v>
      </c>
      <c r="AS55" s="217">
        <f t="shared" ca="1" si="53"/>
        <v>1.1728011838074093</v>
      </c>
      <c r="AT55" s="176">
        <f>DANE!AI55</f>
        <v>40</v>
      </c>
      <c r="AU55" s="188">
        <f t="shared" si="7"/>
        <v>2206</v>
      </c>
      <c r="AV55" s="177">
        <f t="shared" ca="1" si="23"/>
        <v>46.142857142857146</v>
      </c>
      <c r="AW55" s="209">
        <f t="shared" si="33"/>
        <v>361.98543358182854</v>
      </c>
      <c r="AX55" s="179">
        <f t="shared" si="34"/>
        <v>-3.6374952329722585E-2</v>
      </c>
      <c r="AY55" s="213">
        <f t="shared" si="35"/>
        <v>0.74537533369194187</v>
      </c>
      <c r="AZ55" s="214">
        <f t="shared" ca="1" si="36"/>
        <v>0.81319522478845141</v>
      </c>
      <c r="BA55" s="176">
        <f>DANE!AM55</f>
        <v>15</v>
      </c>
      <c r="BB55" s="188">
        <f t="shared" si="8"/>
        <v>345</v>
      </c>
      <c r="BC55" s="177">
        <f t="shared" ca="1" si="24"/>
        <v>13</v>
      </c>
      <c r="BD55" s="209">
        <f t="shared" si="77"/>
        <v>97.627594178117477</v>
      </c>
      <c r="BE55" s="179">
        <f t="shared" si="80"/>
        <v>1.2746357220896044E-2</v>
      </c>
      <c r="BF55" s="213">
        <f t="shared" si="81"/>
        <v>1.0892245005462724</v>
      </c>
      <c r="BG55" s="217">
        <f t="shared" ca="1" si="82"/>
        <v>0.91525840346427911</v>
      </c>
      <c r="BH55" s="176">
        <f>DANE!AQ55</f>
        <v>9</v>
      </c>
      <c r="BI55" s="188">
        <f t="shared" si="9"/>
        <v>288</v>
      </c>
      <c r="BJ55" s="177">
        <f t="shared" ca="1" si="25"/>
        <v>5.2857142857142856</v>
      </c>
      <c r="BK55" s="209">
        <f t="shared" si="61"/>
        <v>44.304731694680441</v>
      </c>
      <c r="BL55" s="179">
        <f t="shared" si="63"/>
        <v>7.5648574195171361E-2</v>
      </c>
      <c r="BM55" s="213">
        <f t="shared" si="64"/>
        <v>1.5295400193661997</v>
      </c>
      <c r="BN55" s="214">
        <f t="shared" ca="1" si="65"/>
        <v>0.77320606923223834</v>
      </c>
      <c r="BO55" s="176">
        <f>DANE!AU55</f>
        <v>3</v>
      </c>
      <c r="BP55" s="188">
        <f t="shared" si="10"/>
        <v>344</v>
      </c>
      <c r="BQ55" s="177">
        <f t="shared" ca="1" si="26"/>
        <v>7.5714285714285712</v>
      </c>
      <c r="BR55" s="209">
        <f t="shared" si="78"/>
        <v>64.982132737967405</v>
      </c>
      <c r="BS55" s="179">
        <f t="shared" si="83"/>
        <v>-0.10137053279970226</v>
      </c>
      <c r="BT55" s="213">
        <f t="shared" si="84"/>
        <v>0.29040627040208411</v>
      </c>
      <c r="BU55" s="217">
        <f t="shared" ca="1" si="85"/>
        <v>0.54266224817116226</v>
      </c>
      <c r="BV55" s="176">
        <f>DANE!AY55</f>
        <v>14</v>
      </c>
      <c r="BW55" s="188">
        <f t="shared" si="11"/>
        <v>257</v>
      </c>
      <c r="BX55" s="177">
        <f t="shared" ca="1" si="27"/>
        <v>10.285714285714286</v>
      </c>
      <c r="BY55" s="209">
        <f t="shared" si="69"/>
        <v>62.533462395008563</v>
      </c>
      <c r="BZ55" s="179">
        <f t="shared" si="71"/>
        <v>0.10439494689349782</v>
      </c>
      <c r="CA55" s="213">
        <f t="shared" si="72"/>
        <v>1.7307646282544846</v>
      </c>
      <c r="CB55" s="214">
        <f t="shared" ca="1" si="73"/>
        <v>1.5001132944136342</v>
      </c>
      <c r="CC55" s="176">
        <f>DANE!BC55</f>
        <v>97</v>
      </c>
      <c r="CD55" s="188">
        <f t="shared" si="12"/>
        <v>1683</v>
      </c>
      <c r="CE55" s="177">
        <f t="shared" ca="1" si="28"/>
        <v>66.857142857142861</v>
      </c>
      <c r="CF55" s="209">
        <f t="shared" si="45"/>
        <v>461.64574011110329</v>
      </c>
      <c r="CG55" s="179">
        <f t="shared" si="46"/>
        <v>8.5152807615676313E-2</v>
      </c>
      <c r="CH55" s="213">
        <f t="shared" si="47"/>
        <v>1.5960696533097343</v>
      </c>
      <c r="CI55" s="217">
        <f t="shared" ca="1" si="48"/>
        <v>1.0484159451847574</v>
      </c>
      <c r="CJ55" s="176">
        <f>DANE!BG55</f>
        <v>6</v>
      </c>
      <c r="CK55" s="188">
        <f t="shared" si="13"/>
        <v>254</v>
      </c>
      <c r="CL55" s="177">
        <f t="shared" ca="1" si="29"/>
        <v>8.7142857142857135</v>
      </c>
      <c r="CM55" s="209">
        <f t="shared" si="79"/>
        <v>60.466005633774493</v>
      </c>
      <c r="CN55" s="179">
        <f t="shared" si="86"/>
        <v>-4.8433895126487783E-2</v>
      </c>
      <c r="CO55" s="213">
        <f t="shared" si="87"/>
        <v>0.6609627341145855</v>
      </c>
      <c r="CP55" s="214">
        <f t="shared" ca="1" si="88"/>
        <v>0.8753724169698831</v>
      </c>
      <c r="CQ55" s="176">
        <f>DANE!BK55</f>
        <v>1</v>
      </c>
      <c r="CR55" s="188">
        <f t="shared" si="14"/>
        <v>146</v>
      </c>
      <c r="CS55" s="177">
        <f t="shared" ca="1" si="30"/>
        <v>1</v>
      </c>
      <c r="CT55" s="209">
        <f t="shared" si="89"/>
        <v>22.507464062407482</v>
      </c>
      <c r="CU55" s="179">
        <f t="shared" si="90"/>
        <v>-0.1030038689120736</v>
      </c>
      <c r="CV55" s="213">
        <f t="shared" si="91"/>
        <v>0.27897291761548482</v>
      </c>
      <c r="CW55" s="217">
        <f t="shared" ca="1" si="92"/>
        <v>0.18158503336174375</v>
      </c>
      <c r="CX55" s="176">
        <f>DANE!BO55</f>
        <v>70</v>
      </c>
      <c r="CY55" s="188">
        <f t="shared" si="15"/>
        <v>1236</v>
      </c>
      <c r="CZ55" s="177">
        <f t="shared" ca="1" si="31"/>
        <v>50.857142857142854</v>
      </c>
      <c r="DA55" s="209">
        <f t="shared" si="54"/>
        <v>356.45364484501562</v>
      </c>
      <c r="DB55" s="179">
        <f t="shared" si="58"/>
        <v>6.6600830814174047E-2</v>
      </c>
      <c r="DC55" s="213">
        <f t="shared" si="59"/>
        <v>1.4662058156992184</v>
      </c>
      <c r="DD55" s="214">
        <f t="shared" ca="1" si="60"/>
        <v>1.0830669361034477</v>
      </c>
      <c r="DE55" s="176">
        <f>DANE!BS55</f>
        <v>32</v>
      </c>
      <c r="DF55" s="188">
        <f t="shared" si="16"/>
        <v>336</v>
      </c>
      <c r="DG55" s="177">
        <f t="shared" ca="1" si="32"/>
        <v>15.142857142857142</v>
      </c>
      <c r="DH55" s="209">
        <f t="shared" si="70"/>
        <v>96.288715592824715</v>
      </c>
      <c r="DI55" s="179">
        <f t="shared" si="74"/>
        <v>0.28378960495302413</v>
      </c>
      <c r="DJ55" s="157">
        <f t="shared" si="75"/>
        <v>2.9865272346711693</v>
      </c>
      <c r="DK55" s="225">
        <f t="shared" ca="1" si="76"/>
        <v>1.487272853059316</v>
      </c>
      <c r="DL55" s="83"/>
      <c r="DM55" s="89"/>
      <c r="DN55" s="89"/>
      <c r="DO55" s="89"/>
      <c r="DP55" s="89"/>
      <c r="DQ55" s="89"/>
      <c r="DR55" s="89"/>
      <c r="DS55" s="89"/>
      <c r="DT55" s="89"/>
      <c r="DU55" s="89"/>
      <c r="DV55" s="89"/>
      <c r="DW55" s="89"/>
      <c r="DX55" s="89"/>
      <c r="DY55" s="89"/>
      <c r="DZ55" s="89"/>
      <c r="EA55" s="89"/>
      <c r="EB55" s="89"/>
      <c r="EC55" s="89"/>
      <c r="ED55" s="89"/>
      <c r="EE55" s="89"/>
      <c r="EF55" s="89"/>
      <c r="EG55" s="89"/>
      <c r="EH55" s="89"/>
    </row>
    <row r="56" spans="1:138" x14ac:dyDescent="0.25">
      <c r="A56" s="61">
        <v>43946</v>
      </c>
      <c r="B56" s="62" t="str">
        <f t="shared" ca="1" si="0"/>
        <v/>
      </c>
      <c r="C56" s="12">
        <v>53</v>
      </c>
      <c r="D56" s="176">
        <f>DANE!K56</f>
        <v>43</v>
      </c>
      <c r="E56" s="198">
        <f t="shared" si="1"/>
        <v>1278</v>
      </c>
      <c r="F56" s="178">
        <f t="shared" ca="1" si="17"/>
        <v>47</v>
      </c>
      <c r="G56" s="211">
        <f t="shared" si="38"/>
        <v>302.54873822489606</v>
      </c>
      <c r="H56" s="200">
        <f t="shared" si="42"/>
        <v>-8.5243457300333511E-4</v>
      </c>
      <c r="I56" s="213">
        <f t="shared" si="43"/>
        <v>0.99403295798897662</v>
      </c>
      <c r="J56" s="214">
        <f t="shared" ca="1" si="44"/>
        <v>1.0684200086448781</v>
      </c>
      <c r="K56" s="176">
        <f>DANE!O56</f>
        <v>3</v>
      </c>
      <c r="L56" s="198">
        <f t="shared" si="2"/>
        <v>474</v>
      </c>
      <c r="M56" s="177">
        <f t="shared" ca="1" si="18"/>
        <v>10.857142857142858</v>
      </c>
      <c r="N56" s="211">
        <f t="shared" si="62"/>
        <v>78.879821332776075</v>
      </c>
      <c r="O56" s="200">
        <f t="shared" si="66"/>
        <v>-0.10896896908098964</v>
      </c>
      <c r="P56" s="213">
        <f t="shared" si="67"/>
        <v>0.23721721643307248</v>
      </c>
      <c r="Q56" s="217">
        <f t="shared" ca="1" si="68"/>
        <v>0.82004668016852034</v>
      </c>
      <c r="R56" s="176">
        <f>DANE!S56</f>
        <v>4</v>
      </c>
      <c r="S56" s="198">
        <f t="shared" si="3"/>
        <v>346</v>
      </c>
      <c r="T56" s="177">
        <f t="shared" ca="1" si="19"/>
        <v>7.5714285714285712</v>
      </c>
      <c r="U56" s="211">
        <f t="shared" si="50"/>
        <v>53.832237604099774</v>
      </c>
      <c r="V56" s="200">
        <f t="shared" si="55"/>
        <v>-7.4054865588153468E-2</v>
      </c>
      <c r="W56" s="213">
        <f t="shared" si="56"/>
        <v>0.4816159408829257</v>
      </c>
      <c r="X56" s="214">
        <f t="shared" ca="1" si="57"/>
        <v>0.81544306349003837</v>
      </c>
      <c r="Y56" s="176">
        <f>DANE!W56</f>
        <v>0</v>
      </c>
      <c r="Z56" s="198">
        <f t="shared" si="4"/>
        <v>85</v>
      </c>
      <c r="AA56" s="177">
        <f t="shared" ca="1" si="20"/>
        <v>0.5714285714285714</v>
      </c>
      <c r="AB56" s="211"/>
      <c r="AC56" s="200"/>
      <c r="AD56" s="213"/>
      <c r="AE56" s="217"/>
      <c r="AF56" s="176">
        <f>DANE!AA56</f>
        <v>23</v>
      </c>
      <c r="AG56" s="198">
        <f t="shared" si="5"/>
        <v>836</v>
      </c>
      <c r="AH56" s="177">
        <f t="shared" ca="1" si="21"/>
        <v>28</v>
      </c>
      <c r="AI56" s="211">
        <f t="shared" si="37"/>
        <v>184.92370686286981</v>
      </c>
      <c r="AJ56" s="200">
        <f t="shared" si="39"/>
        <v>-2.1106683358451971E-2</v>
      </c>
      <c r="AK56" s="213">
        <f t="shared" si="40"/>
        <v>0.85225321649083619</v>
      </c>
      <c r="AL56" s="214">
        <f t="shared" ca="1" si="41"/>
        <v>1.2119037265121064</v>
      </c>
      <c r="AM56" s="176">
        <f>DANE!AE56</f>
        <v>24</v>
      </c>
      <c r="AN56" s="198">
        <f t="shared" si="6"/>
        <v>812</v>
      </c>
      <c r="AO56" s="177">
        <f t="shared" ca="1" si="22"/>
        <v>26</v>
      </c>
      <c r="AP56" s="211">
        <f t="shared" si="49"/>
        <v>175.27188242011604</v>
      </c>
      <c r="AQ56" s="200">
        <f t="shared" si="51"/>
        <v>-6.8673723702714689E-3</v>
      </c>
      <c r="AR56" s="213">
        <f t="shared" si="52"/>
        <v>0.95192839340809976</v>
      </c>
      <c r="AS56" s="217">
        <f t="shared" ca="1" si="53"/>
        <v>1.0816781135373714</v>
      </c>
      <c r="AT56" s="176">
        <f>DANE!AI56</f>
        <v>96</v>
      </c>
      <c r="AU56" s="198">
        <f t="shared" si="7"/>
        <v>2302</v>
      </c>
      <c r="AV56" s="177">
        <f t="shared" ca="1" si="23"/>
        <v>52.285714285714285</v>
      </c>
      <c r="AW56" s="211">
        <f t="shared" si="33"/>
        <v>406.27322878442448</v>
      </c>
      <c r="AX56" s="200">
        <f t="shared" si="34"/>
        <v>0.12234689878089931</v>
      </c>
      <c r="AY56" s="213">
        <f t="shared" si="35"/>
        <v>1.8564282914662953</v>
      </c>
      <c r="AZ56" s="214">
        <f t="shared" ca="1" si="36"/>
        <v>0.95776896585509996</v>
      </c>
      <c r="BA56" s="176">
        <f>DANE!AM56</f>
        <v>7</v>
      </c>
      <c r="BB56" s="198">
        <f t="shared" si="8"/>
        <v>352</v>
      </c>
      <c r="BC56" s="177">
        <f t="shared" ca="1" si="24"/>
        <v>11.571428571428571</v>
      </c>
      <c r="BD56" s="211">
        <f t="shared" si="77"/>
        <v>90.680795009814986</v>
      </c>
      <c r="BE56" s="200">
        <f t="shared" si="80"/>
        <v>-7.115610321840303E-2</v>
      </c>
      <c r="BF56" s="213">
        <f t="shared" si="81"/>
        <v>0.5019072774711788</v>
      </c>
      <c r="BG56" s="217">
        <f t="shared" ca="1" si="82"/>
        <v>0.83041284938249915</v>
      </c>
      <c r="BH56" s="176">
        <f>DANE!AQ56</f>
        <v>23</v>
      </c>
      <c r="BI56" s="198">
        <f t="shared" si="9"/>
        <v>311</v>
      </c>
      <c r="BJ56" s="177">
        <f t="shared" ca="1" si="25"/>
        <v>7.4285714285714288</v>
      </c>
      <c r="BK56" s="211">
        <f t="shared" si="61"/>
        <v>60.975484309726099</v>
      </c>
      <c r="BL56" s="200">
        <f t="shared" si="63"/>
        <v>0.37627476744311877</v>
      </c>
      <c r="BM56" s="213">
        <f t="shared" si="64"/>
        <v>3.6339233721018314</v>
      </c>
      <c r="BN56" s="214">
        <f t="shared" ca="1" si="65"/>
        <v>1.1504373879636745</v>
      </c>
      <c r="BO56" s="176">
        <f>DANE!AU56</f>
        <v>14</v>
      </c>
      <c r="BP56" s="198">
        <f t="shared" si="10"/>
        <v>358</v>
      </c>
      <c r="BQ56" s="177">
        <f t="shared" ca="1" si="26"/>
        <v>6</v>
      </c>
      <c r="BR56" s="211">
        <f t="shared" si="78"/>
        <v>69.698970918257771</v>
      </c>
      <c r="BS56" s="200">
        <f t="shared" si="83"/>
        <v>7.258669393493819E-2</v>
      </c>
      <c r="BT56" s="213">
        <f t="shared" si="84"/>
        <v>1.5081068575445675</v>
      </c>
      <c r="BU56" s="217">
        <f t="shared" ca="1" si="85"/>
        <v>0.52218585083279634</v>
      </c>
      <c r="BV56" s="176">
        <f>DANE!AY56</f>
        <v>39</v>
      </c>
      <c r="BW56" s="198">
        <f t="shared" si="11"/>
        <v>296</v>
      </c>
      <c r="BX56" s="177">
        <f t="shared" ca="1" si="27"/>
        <v>12.714285714285714</v>
      </c>
      <c r="BY56" s="211">
        <f t="shared" si="69"/>
        <v>92.600110624293052</v>
      </c>
      <c r="BZ56" s="200">
        <f t="shared" si="71"/>
        <v>0.4808089473658253</v>
      </c>
      <c r="CA56" s="213">
        <f t="shared" si="72"/>
        <v>4.3656626315607774</v>
      </c>
      <c r="CB56" s="214">
        <f t="shared" ca="1" si="73"/>
        <v>1.5905373567988563</v>
      </c>
      <c r="CC56" s="176">
        <f>DANE!BC56</f>
        <v>67</v>
      </c>
      <c r="CD56" s="198">
        <f t="shared" si="12"/>
        <v>1750</v>
      </c>
      <c r="CE56" s="177">
        <f t="shared" ca="1" si="28"/>
        <v>72.857142857142861</v>
      </c>
      <c r="CF56" s="211">
        <f t="shared" si="45"/>
        <v>462.69634866666001</v>
      </c>
      <c r="CG56" s="200">
        <f t="shared" si="46"/>
        <v>2.2757895595524684E-3</v>
      </c>
      <c r="CH56" s="213">
        <f t="shared" si="47"/>
        <v>1.0159305269168672</v>
      </c>
      <c r="CI56" s="217">
        <f t="shared" ca="1" si="48"/>
        <v>1.1383075908625953</v>
      </c>
      <c r="CJ56" s="176">
        <f>DANE!BG56</f>
        <v>1</v>
      </c>
      <c r="CK56" s="198">
        <f t="shared" si="13"/>
        <v>255</v>
      </c>
      <c r="CL56" s="177">
        <f t="shared" ca="1" si="29"/>
        <v>7.4285714285714288</v>
      </c>
      <c r="CM56" s="211">
        <f t="shared" si="79"/>
        <v>52.828004828949567</v>
      </c>
      <c r="CN56" s="200">
        <f t="shared" si="86"/>
        <v>-0.12631892457203373</v>
      </c>
      <c r="CO56" s="213">
        <f t="shared" si="87"/>
        <v>0.11576752799576384</v>
      </c>
      <c r="CP56" s="214">
        <f t="shared" ca="1" si="88"/>
        <v>0.74841917134777369</v>
      </c>
      <c r="CQ56" s="176">
        <f>DANE!BK56</f>
        <v>0</v>
      </c>
      <c r="CR56" s="198">
        <f t="shared" si="14"/>
        <v>146</v>
      </c>
      <c r="CS56" s="177">
        <f t="shared" ca="1" si="30"/>
        <v>1</v>
      </c>
      <c r="CT56" s="211">
        <f t="shared" si="89"/>
        <v>19.292112053492129</v>
      </c>
      <c r="CU56" s="200">
        <f t="shared" si="90"/>
        <v>-0.14285714285714279</v>
      </c>
      <c r="CV56" s="213">
        <f t="shared" si="91"/>
        <v>4.4408920985006262E-16</v>
      </c>
      <c r="CW56" s="217">
        <f t="shared" ca="1" si="92"/>
        <v>0.1815850333617437</v>
      </c>
      <c r="CX56" s="176">
        <f>DANE!BO56</f>
        <v>30</v>
      </c>
      <c r="CY56" s="198">
        <f t="shared" si="15"/>
        <v>1266</v>
      </c>
      <c r="CZ56" s="177">
        <f t="shared" ca="1" si="31"/>
        <v>52.571428571428569</v>
      </c>
      <c r="DA56" s="211">
        <f t="shared" si="54"/>
        <v>335.53169558144197</v>
      </c>
      <c r="DB56" s="200">
        <f t="shared" si="58"/>
        <v>-5.8694726694884597E-2</v>
      </c>
      <c r="DC56" s="213">
        <f t="shared" si="59"/>
        <v>0.58913691313580774</v>
      </c>
      <c r="DD56" s="214">
        <f t="shared" ca="1" si="60"/>
        <v>1.1147110120029053</v>
      </c>
      <c r="DE56" s="176">
        <f>DANE!BS56</f>
        <v>7</v>
      </c>
      <c r="DF56" s="198">
        <f t="shared" si="16"/>
        <v>343</v>
      </c>
      <c r="DG56" s="177">
        <f t="shared" ca="1" si="32"/>
        <v>13.428571428571429</v>
      </c>
      <c r="DH56" s="209">
        <f t="shared" si="70"/>
        <v>89.533184793849756</v>
      </c>
      <c r="DI56" s="179">
        <f t="shared" si="74"/>
        <v>-7.0159112180310054E-2</v>
      </c>
      <c r="DJ56" s="157">
        <f t="shared" si="75"/>
        <v>0.50888621473782958</v>
      </c>
      <c r="DK56" s="225">
        <f t="shared" ca="1" si="76"/>
        <v>1.257682292349297</v>
      </c>
      <c r="DL56" s="87"/>
      <c r="DM56" s="378"/>
      <c r="DN56" s="372"/>
      <c r="DO56" s="60"/>
      <c r="DP56" s="375"/>
      <c r="DQ56" s="372"/>
      <c r="DR56" s="378"/>
      <c r="DS56" s="372"/>
      <c r="DT56" s="372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</row>
    <row r="57" spans="1:138" x14ac:dyDescent="0.25">
      <c r="A57" s="61">
        <v>43947</v>
      </c>
      <c r="B57" s="62" t="str">
        <f t="shared" ca="1" si="0"/>
        <v/>
      </c>
      <c r="C57" s="12">
        <v>54</v>
      </c>
      <c r="D57" s="176">
        <f>DANE!K57</f>
        <v>63</v>
      </c>
      <c r="E57" s="198">
        <f t="shared" si="1"/>
        <v>1341</v>
      </c>
      <c r="F57" s="178">
        <f t="shared" ca="1" si="17"/>
        <v>42.428571428571431</v>
      </c>
      <c r="G57" s="211">
        <f t="shared" si="38"/>
        <v>322.3274899070538</v>
      </c>
      <c r="H57" s="200">
        <f t="shared" si="42"/>
        <v>6.5373770183947827E-2</v>
      </c>
      <c r="I57" s="213">
        <f t="shared" si="43"/>
        <v>1.4576163912876348</v>
      </c>
      <c r="J57" s="214">
        <f t="shared" ca="1" si="44"/>
        <v>0.94857698735943874</v>
      </c>
      <c r="K57" s="176">
        <f>DANE!O57</f>
        <v>4</v>
      </c>
      <c r="L57" s="198">
        <f t="shared" si="2"/>
        <v>478</v>
      </c>
      <c r="M57" s="177">
        <f t="shared" ca="1" si="18"/>
        <v>10.285714285714286</v>
      </c>
      <c r="N57" s="211">
        <f t="shared" si="62"/>
        <v>71.611275428093776</v>
      </c>
      <c r="O57" s="200">
        <f t="shared" si="66"/>
        <v>-9.2147088848210643E-2</v>
      </c>
      <c r="P57" s="213">
        <f t="shared" si="67"/>
        <v>0.35497037806252552</v>
      </c>
      <c r="Q57" s="217">
        <f t="shared" ca="1" si="68"/>
        <v>0.78700421120521824</v>
      </c>
      <c r="R57" s="176">
        <f>DANE!S57</f>
        <v>5</v>
      </c>
      <c r="S57" s="198">
        <f t="shared" si="3"/>
        <v>351</v>
      </c>
      <c r="T57" s="177">
        <f t="shared" ca="1" si="19"/>
        <v>6.1428571428571432</v>
      </c>
      <c r="U57" s="211">
        <f t="shared" si="50"/>
        <v>51.141917946371237</v>
      </c>
      <c r="V57" s="200">
        <f t="shared" si="55"/>
        <v>-4.9975995378717955E-2</v>
      </c>
      <c r="W57" s="213">
        <f t="shared" si="56"/>
        <v>0.65016803234897425</v>
      </c>
      <c r="X57" s="214">
        <f t="shared" ca="1" si="57"/>
        <v>0.68119883489166477</v>
      </c>
      <c r="Y57" s="176">
        <f>DANE!W57</f>
        <v>2</v>
      </c>
      <c r="Z57" s="198">
        <f t="shared" si="4"/>
        <v>87</v>
      </c>
      <c r="AA57" s="177">
        <f t="shared" ca="1" si="20"/>
        <v>0.8571428571428571</v>
      </c>
      <c r="AB57" s="211"/>
      <c r="AC57" s="200"/>
      <c r="AD57" s="213"/>
      <c r="AE57" s="217"/>
      <c r="AF57" s="176">
        <f>DANE!AA57</f>
        <v>19</v>
      </c>
      <c r="AG57" s="198">
        <f t="shared" si="5"/>
        <v>855</v>
      </c>
      <c r="AH57" s="177">
        <f t="shared" ca="1" si="21"/>
        <v>27.857142857142858</v>
      </c>
      <c r="AI57" s="211">
        <f t="shared" si="37"/>
        <v>177.50603445388842</v>
      </c>
      <c r="AJ57" s="200">
        <f t="shared" si="39"/>
        <v>-4.01120685650216E-2</v>
      </c>
      <c r="AK57" s="213">
        <f t="shared" si="40"/>
        <v>0.71921552004484879</v>
      </c>
      <c r="AL57" s="214">
        <f t="shared" ca="1" si="41"/>
        <v>1.1876514910807241</v>
      </c>
      <c r="AM57" s="176">
        <f>DANE!AE57</f>
        <v>9</v>
      </c>
      <c r="AN57" s="198">
        <f t="shared" si="6"/>
        <v>821</v>
      </c>
      <c r="AO57" s="177">
        <f t="shared" ca="1" si="22"/>
        <v>25</v>
      </c>
      <c r="AP57" s="211">
        <f t="shared" si="49"/>
        <v>159.2330420743852</v>
      </c>
      <c r="AQ57" s="200">
        <f t="shared" si="51"/>
        <v>-9.1508347626955491E-2</v>
      </c>
      <c r="AR57" s="213">
        <f t="shared" si="52"/>
        <v>0.35944156661131155</v>
      </c>
      <c r="AS57" s="217">
        <f t="shared" ca="1" si="53"/>
        <v>1.0344554821645437</v>
      </c>
      <c r="AT57" s="176">
        <f>DANE!AI57</f>
        <v>46</v>
      </c>
      <c r="AU57" s="198">
        <f t="shared" si="7"/>
        <v>2348</v>
      </c>
      <c r="AV57" s="177">
        <f t="shared" ca="1" si="23"/>
        <v>50.857142857142854</v>
      </c>
      <c r="AW57" s="211">
        <f t="shared" si="33"/>
        <v>394.23419610093526</v>
      </c>
      <c r="AX57" s="200">
        <f t="shared" si="34"/>
        <v>-2.963284762697797E-2</v>
      </c>
      <c r="AY57" s="213">
        <f t="shared" si="35"/>
        <v>0.79257006661115414</v>
      </c>
      <c r="AZ57" s="214">
        <f t="shared" ca="1" si="36"/>
        <v>0.94063743183507742</v>
      </c>
      <c r="BA57" s="176">
        <f>DANE!AM57</f>
        <v>11</v>
      </c>
      <c r="BB57" s="198">
        <f t="shared" si="8"/>
        <v>363</v>
      </c>
      <c r="BC57" s="177">
        <f t="shared" ca="1" si="24"/>
        <v>12.428571428571429</v>
      </c>
      <c r="BD57" s="211">
        <f t="shared" si="77"/>
        <v>88.72639572269857</v>
      </c>
      <c r="BE57" s="200">
        <f t="shared" si="80"/>
        <v>-2.1552516019570391E-2</v>
      </c>
      <c r="BF57" s="213">
        <f t="shared" si="81"/>
        <v>0.84913238786300727</v>
      </c>
      <c r="BG57" s="217">
        <f t="shared" ca="1" si="82"/>
        <v>0.90629615338699165</v>
      </c>
      <c r="BH57" s="176">
        <f>DANE!AQ57</f>
        <v>2</v>
      </c>
      <c r="BI57" s="198">
        <f t="shared" si="9"/>
        <v>313</v>
      </c>
      <c r="BJ57" s="177">
        <f t="shared" ca="1" si="25"/>
        <v>7.1428571428571432</v>
      </c>
      <c r="BK57" s="211">
        <f t="shared" si="61"/>
        <v>54.264700836908091</v>
      </c>
      <c r="BL57" s="200">
        <f t="shared" si="63"/>
        <v>-0.11005707537689179</v>
      </c>
      <c r="BM57" s="213">
        <f t="shared" si="64"/>
        <v>0.2296004723617574</v>
      </c>
      <c r="BN57" s="214">
        <f t="shared" ca="1" si="65"/>
        <v>1.1122192270816789</v>
      </c>
      <c r="BO57" s="176">
        <f>DANE!AU57</f>
        <v>3</v>
      </c>
      <c r="BP57" s="198">
        <f t="shared" si="10"/>
        <v>361</v>
      </c>
      <c r="BQ57" s="177">
        <f t="shared" ca="1" si="26"/>
        <v>5.7142857142857144</v>
      </c>
      <c r="BR57" s="211">
        <f t="shared" si="78"/>
        <v>62.741975072792378</v>
      </c>
      <c r="BS57" s="200">
        <f t="shared" si="83"/>
        <v>-9.981490047571126E-2</v>
      </c>
      <c r="BT57" s="213">
        <f t="shared" si="84"/>
        <v>0.3012956966700211</v>
      </c>
      <c r="BU57" s="217">
        <f t="shared" ca="1" si="85"/>
        <v>0.5220612831711543</v>
      </c>
      <c r="BV57" s="176">
        <f>DANE!AY57</f>
        <v>50</v>
      </c>
      <c r="BW57" s="198">
        <f t="shared" si="11"/>
        <v>346</v>
      </c>
      <c r="BX57" s="177">
        <f t="shared" ca="1" si="27"/>
        <v>19.571428571428573</v>
      </c>
      <c r="BY57" s="211">
        <f t="shared" si="69"/>
        <v>129.37152339225119</v>
      </c>
      <c r="BZ57" s="200">
        <f t="shared" si="71"/>
        <v>0.39709901554168764</v>
      </c>
      <c r="CA57" s="213">
        <f t="shared" si="72"/>
        <v>3.7796931087918137</v>
      </c>
      <c r="CB57" s="214">
        <f t="shared" ca="1" si="73"/>
        <v>2.0956279549424588</v>
      </c>
      <c r="CC57" s="176">
        <f>DANE!BC57</f>
        <v>74</v>
      </c>
      <c r="CD57" s="198">
        <f t="shared" si="12"/>
        <v>1824</v>
      </c>
      <c r="CE57" s="177">
        <f t="shared" ca="1" si="28"/>
        <v>63.428571428571431</v>
      </c>
      <c r="CF57" s="211">
        <f t="shared" si="45"/>
        <v>470.59687028570863</v>
      </c>
      <c r="CG57" s="200">
        <f t="shared" si="46"/>
        <v>1.7074959942552703E-2</v>
      </c>
      <c r="CH57" s="213">
        <f t="shared" si="47"/>
        <v>1.119524719597869</v>
      </c>
      <c r="CI57" s="217">
        <f t="shared" ca="1" si="48"/>
        <v>0.95918162496167192</v>
      </c>
      <c r="CJ57" s="176">
        <f>DANE!BG57</f>
        <v>3</v>
      </c>
      <c r="CK57" s="198">
        <f t="shared" si="13"/>
        <v>258</v>
      </c>
      <c r="CL57" s="177">
        <f t="shared" ca="1" si="29"/>
        <v>6.8571428571428568</v>
      </c>
      <c r="CM57" s="211">
        <f t="shared" si="79"/>
        <v>48.281146996242491</v>
      </c>
      <c r="CN57" s="200">
        <f t="shared" si="86"/>
        <v>-8.6069081113875665E-2</v>
      </c>
      <c r="CO57" s="213">
        <f t="shared" si="87"/>
        <v>0.39751643220287036</v>
      </c>
      <c r="CP57" s="214">
        <f t="shared" ca="1" si="88"/>
        <v>0.70482688172587282</v>
      </c>
      <c r="CQ57" s="176">
        <f>DANE!BK57</f>
        <v>0</v>
      </c>
      <c r="CR57" s="198">
        <f t="shared" si="14"/>
        <v>146</v>
      </c>
      <c r="CS57" s="177">
        <f t="shared" ca="1" si="30"/>
        <v>0.5714285714285714</v>
      </c>
      <c r="CT57" s="211">
        <f t="shared" si="89"/>
        <v>16.536096045850396</v>
      </c>
      <c r="CU57" s="200">
        <f t="shared" si="90"/>
        <v>-0.14285714285714288</v>
      </c>
      <c r="CV57" s="213">
        <f t="shared" si="91"/>
        <v>-2.2204460492503131E-16</v>
      </c>
      <c r="CW57" s="217">
        <f t="shared" ca="1" si="92"/>
        <v>0.11664540231603511</v>
      </c>
      <c r="CX57" s="176">
        <f>DANE!BO57</f>
        <v>41</v>
      </c>
      <c r="CY57" s="198">
        <f t="shared" si="15"/>
        <v>1307</v>
      </c>
      <c r="CZ57" s="177">
        <f t="shared" ca="1" si="31"/>
        <v>41</v>
      </c>
      <c r="DA57" s="211">
        <f t="shared" si="54"/>
        <v>328.59859621266457</v>
      </c>
      <c r="DB57" s="200">
        <f t="shared" si="58"/>
        <v>-2.0663023672809932E-2</v>
      </c>
      <c r="DC57" s="213">
        <f t="shared" si="59"/>
        <v>0.85535883429033044</v>
      </c>
      <c r="DD57" s="214">
        <f t="shared" ca="1" si="60"/>
        <v>0.84559720184588572</v>
      </c>
      <c r="DE57" s="176">
        <f>DANE!BS57</f>
        <v>12</v>
      </c>
      <c r="DF57" s="198">
        <f t="shared" si="16"/>
        <v>355</v>
      </c>
      <c r="DG57" s="177">
        <f t="shared" ca="1" si="32"/>
        <v>12.714285714285714</v>
      </c>
      <c r="DH57" s="209">
        <f t="shared" si="70"/>
        <v>88.742729823299797</v>
      </c>
      <c r="DI57" s="179">
        <f t="shared" si="74"/>
        <v>-8.828625636069825E-3</v>
      </c>
      <c r="DJ57" s="157">
        <f t="shared" si="75"/>
        <v>0.93819962054751127</v>
      </c>
      <c r="DK57" s="225">
        <f t="shared" ca="1" si="76"/>
        <v>1.1584337667534743</v>
      </c>
      <c r="DL57" s="87"/>
      <c r="DM57" s="378"/>
      <c r="DN57" s="372"/>
      <c r="DO57" s="60"/>
      <c r="DP57" s="375"/>
      <c r="DQ57" s="372"/>
      <c r="DR57" s="378"/>
      <c r="DS57" s="372"/>
      <c r="DT57" s="372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</row>
    <row r="58" spans="1:138" x14ac:dyDescent="0.25">
      <c r="A58" s="32">
        <v>43948</v>
      </c>
      <c r="B58" s="33" t="str">
        <f t="shared" ca="1" si="0"/>
        <v/>
      </c>
      <c r="C58" s="51">
        <v>55</v>
      </c>
      <c r="D58" s="176">
        <f>DANE!K58</f>
        <v>71</v>
      </c>
      <c r="E58" s="188">
        <f t="shared" si="1"/>
        <v>1412</v>
      </c>
      <c r="F58" s="178">
        <f t="shared" ca="1" si="17"/>
        <v>47.857142857142854</v>
      </c>
      <c r="G58" s="209">
        <f t="shared" si="38"/>
        <v>347.28070563461756</v>
      </c>
      <c r="H58" s="179">
        <f t="shared" si="42"/>
        <v>7.7415723166395944E-2</v>
      </c>
      <c r="I58" s="213">
        <f t="shared" si="43"/>
        <v>1.5419100621647717</v>
      </c>
      <c r="J58" s="214">
        <f t="shared" ca="1" si="44"/>
        <v>1.072696537486866</v>
      </c>
      <c r="K58" s="176">
        <f>DANE!O58</f>
        <v>5</v>
      </c>
      <c r="L58" s="188">
        <f t="shared" si="2"/>
        <v>483</v>
      </c>
      <c r="M58" s="177">
        <f t="shared" ca="1" si="18"/>
        <v>8.8571428571428577</v>
      </c>
      <c r="N58" s="209">
        <f t="shared" si="62"/>
        <v>66.381093224080388</v>
      </c>
      <c r="O58" s="179">
        <f t="shared" si="66"/>
        <v>-7.3035735961232987E-2</v>
      </c>
      <c r="P58" s="213">
        <f t="shared" si="67"/>
        <v>0.48874984827136903</v>
      </c>
      <c r="Q58" s="217">
        <f t="shared" ca="1" si="68"/>
        <v>0.68992504244548936</v>
      </c>
      <c r="R58" s="176">
        <f>DANE!S58</f>
        <v>2</v>
      </c>
      <c r="S58" s="188">
        <f t="shared" si="3"/>
        <v>353</v>
      </c>
      <c r="T58" s="177">
        <f t="shared" ca="1" si="19"/>
        <v>6</v>
      </c>
      <c r="U58" s="209">
        <f t="shared" si="50"/>
        <v>45.835929668318208</v>
      </c>
      <c r="V58" s="179">
        <f t="shared" si="55"/>
        <v>-0.10375027944038055</v>
      </c>
      <c r="W58" s="213">
        <f t="shared" si="56"/>
        <v>0.27374804391733609</v>
      </c>
      <c r="X58" s="214">
        <f t="shared" ca="1" si="57"/>
        <v>0.67841101411162708</v>
      </c>
      <c r="Y58" s="176">
        <f>DANE!W58</f>
        <v>0</v>
      </c>
      <c r="Z58" s="188">
        <f t="shared" si="4"/>
        <v>87</v>
      </c>
      <c r="AA58" s="177">
        <f t="shared" ca="1" si="20"/>
        <v>0.7142857142857143</v>
      </c>
      <c r="AB58" s="209"/>
      <c r="AC58" s="179"/>
      <c r="AD58" s="213"/>
      <c r="AE58" s="217"/>
      <c r="AF58" s="176">
        <f>DANE!AA58</f>
        <v>35</v>
      </c>
      <c r="AG58" s="188">
        <f t="shared" si="5"/>
        <v>890</v>
      </c>
      <c r="AH58" s="177">
        <f t="shared" ca="1" si="21"/>
        <v>29.714285714285715</v>
      </c>
      <c r="AI58" s="209">
        <f t="shared" si="37"/>
        <v>187.14802953190437</v>
      </c>
      <c r="AJ58" s="179">
        <f t="shared" si="39"/>
        <v>5.4319252343619333E-2</v>
      </c>
      <c r="AK58" s="213">
        <f t="shared" si="40"/>
        <v>1.3802347664053354</v>
      </c>
      <c r="AL58" s="214">
        <f t="shared" ca="1" si="41"/>
        <v>1.242879568959302</v>
      </c>
      <c r="AM58" s="176">
        <f>DANE!AE58</f>
        <v>20</v>
      </c>
      <c r="AN58" s="188">
        <f t="shared" si="6"/>
        <v>841</v>
      </c>
      <c r="AO58" s="177">
        <f t="shared" ca="1" si="22"/>
        <v>23.142857142857142</v>
      </c>
      <c r="AP58" s="209">
        <f t="shared" si="49"/>
        <v>156.48546463518733</v>
      </c>
      <c r="AQ58" s="179">
        <f t="shared" si="51"/>
        <v>-1.725507095389377E-2</v>
      </c>
      <c r="AR58" s="213">
        <f t="shared" si="52"/>
        <v>0.87921450332274365</v>
      </c>
      <c r="AS58" s="217">
        <f t="shared" ca="1" si="53"/>
        <v>0.94733334263100122</v>
      </c>
      <c r="AT58" s="176">
        <f>DANE!AI58</f>
        <v>28</v>
      </c>
      <c r="AU58" s="188">
        <f t="shared" si="7"/>
        <v>2376</v>
      </c>
      <c r="AV58" s="177">
        <f t="shared" ca="1" si="23"/>
        <v>49.428571428571431</v>
      </c>
      <c r="AW58" s="209">
        <f t="shared" si="33"/>
        <v>365.9150252293731</v>
      </c>
      <c r="AX58" s="179">
        <f t="shared" si="34"/>
        <v>-7.1833369990845858E-2</v>
      </c>
      <c r="AY58" s="213">
        <f t="shared" si="35"/>
        <v>0.49716641006407891</v>
      </c>
      <c r="AZ58" s="214">
        <f t="shared" ca="1" si="36"/>
        <v>0.92208565134037879</v>
      </c>
      <c r="BA58" s="176">
        <f>DANE!AM58</f>
        <v>10</v>
      </c>
      <c r="BB58" s="188">
        <f t="shared" si="8"/>
        <v>373</v>
      </c>
      <c r="BC58" s="177">
        <f t="shared" ca="1" si="24"/>
        <v>11.571428571428571</v>
      </c>
      <c r="BD58" s="209">
        <f t="shared" si="77"/>
        <v>86.051196333741643</v>
      </c>
      <c r="BE58" s="179">
        <f t="shared" si="80"/>
        <v>-3.015111080718158E-2</v>
      </c>
      <c r="BF58" s="213">
        <f t="shared" si="81"/>
        <v>0.78894222434972894</v>
      </c>
      <c r="BG58" s="217">
        <f t="shared" ca="1" si="82"/>
        <v>0.85796296374999148</v>
      </c>
      <c r="BH58" s="176">
        <f>DANE!AQ58</f>
        <v>3</v>
      </c>
      <c r="BI58" s="188">
        <f t="shared" si="9"/>
        <v>316</v>
      </c>
      <c r="BJ58" s="177">
        <f t="shared" ca="1" si="25"/>
        <v>7.1428571428571432</v>
      </c>
      <c r="BK58" s="209">
        <f t="shared" si="61"/>
        <v>49.512600717349798</v>
      </c>
      <c r="BL58" s="179">
        <f t="shared" si="63"/>
        <v>-8.7572584871345241E-2</v>
      </c>
      <c r="BM58" s="213">
        <f t="shared" si="64"/>
        <v>0.3869919059005833</v>
      </c>
      <c r="BN58" s="214">
        <f t="shared" ca="1" si="65"/>
        <v>1.1101175488812234</v>
      </c>
      <c r="BO58" s="176">
        <f>DANE!AU58</f>
        <v>4</v>
      </c>
      <c r="BP58" s="188">
        <f t="shared" si="10"/>
        <v>365</v>
      </c>
      <c r="BQ58" s="177">
        <f t="shared" ca="1" si="26"/>
        <v>5.4285714285714288</v>
      </c>
      <c r="BR58" s="209">
        <f t="shared" si="78"/>
        <v>57.778835776679188</v>
      </c>
      <c r="BS58" s="179">
        <f t="shared" si="83"/>
        <v>-7.910396971652589E-2</v>
      </c>
      <c r="BT58" s="213">
        <f t="shared" si="84"/>
        <v>0.44627221198431877</v>
      </c>
      <c r="BU58" s="217">
        <f t="shared" ca="1" si="85"/>
        <v>0.52827850624961292</v>
      </c>
      <c r="BV58" s="176">
        <f>DANE!AY58</f>
        <v>11</v>
      </c>
      <c r="BW58" s="188">
        <f t="shared" si="11"/>
        <v>357</v>
      </c>
      <c r="BX58" s="177">
        <f t="shared" ca="1" si="27"/>
        <v>20.285714285714285</v>
      </c>
      <c r="BY58" s="209">
        <f t="shared" si="69"/>
        <v>121.88987719335817</v>
      </c>
      <c r="BZ58" s="179">
        <f t="shared" si="71"/>
        <v>-5.7830703409195043E-2</v>
      </c>
      <c r="CA58" s="213">
        <f t="shared" si="72"/>
        <v>0.59518507613563465</v>
      </c>
      <c r="CB58" s="214">
        <f t="shared" ca="1" si="73"/>
        <v>2.0633946480409446</v>
      </c>
      <c r="CC58" s="176">
        <f>DANE!BC58</f>
        <v>42</v>
      </c>
      <c r="CD58" s="188">
        <f t="shared" si="12"/>
        <v>1866</v>
      </c>
      <c r="CE58" s="177">
        <f t="shared" ca="1" si="28"/>
        <v>59.285714285714285</v>
      </c>
      <c r="CF58" s="209">
        <f t="shared" si="45"/>
        <v>445.36874595917885</v>
      </c>
      <c r="CG58" s="179">
        <f t="shared" si="46"/>
        <v>-5.3608780507216909E-2</v>
      </c>
      <c r="CH58" s="213">
        <f t="shared" si="47"/>
        <v>0.62473853644948163</v>
      </c>
      <c r="CI58" s="217">
        <f t="shared" ca="1" si="48"/>
        <v>0.90468249975893333</v>
      </c>
      <c r="CJ58" s="176">
        <f>DANE!BG58</f>
        <v>3</v>
      </c>
      <c r="CK58" s="188">
        <f t="shared" si="13"/>
        <v>261</v>
      </c>
      <c r="CL58" s="177">
        <f t="shared" ca="1" si="29"/>
        <v>4.8571428571428568</v>
      </c>
      <c r="CM58" s="209">
        <f t="shared" si="79"/>
        <v>44.383840282493566</v>
      </c>
      <c r="CN58" s="179">
        <f t="shared" si="86"/>
        <v>-8.0721087965292856E-2</v>
      </c>
      <c r="CO58" s="213">
        <f t="shared" si="87"/>
        <v>0.43495238424295002</v>
      </c>
      <c r="CP58" s="214">
        <f t="shared" ca="1" si="88"/>
        <v>0.51236769427862849</v>
      </c>
      <c r="CQ58" s="176">
        <f>DANE!BK58</f>
        <v>0</v>
      </c>
      <c r="CR58" s="188">
        <f t="shared" si="14"/>
        <v>146</v>
      </c>
      <c r="CS58" s="177">
        <f t="shared" ca="1" si="30"/>
        <v>0.42857142857142855</v>
      </c>
      <c r="CT58" s="209">
        <f t="shared" si="89"/>
        <v>14.173796610728912</v>
      </c>
      <c r="CU58" s="179">
        <f t="shared" si="90"/>
        <v>-0.14285714285714279</v>
      </c>
      <c r="CV58" s="213">
        <f t="shared" si="91"/>
        <v>4.4408920985006262E-16</v>
      </c>
      <c r="CW58" s="217">
        <f t="shared" ca="1" si="92"/>
        <v>9.3169689503803402E-2</v>
      </c>
      <c r="CX58" s="176">
        <f>DANE!BO58</f>
        <v>36</v>
      </c>
      <c r="CY58" s="188">
        <f t="shared" si="15"/>
        <v>1343</v>
      </c>
      <c r="CZ58" s="177">
        <f t="shared" ca="1" si="31"/>
        <v>41.857142857142854</v>
      </c>
      <c r="DA58" s="209">
        <f t="shared" si="54"/>
        <v>317.6559396108554</v>
      </c>
      <c r="DB58" s="179">
        <f t="shared" si="58"/>
        <v>-3.3300984021024958E-2</v>
      </c>
      <c r="DC58" s="213">
        <f t="shared" si="59"/>
        <v>0.76689311185282527</v>
      </c>
      <c r="DD58" s="214">
        <f t="shared" ca="1" si="60"/>
        <v>0.87807922820103967</v>
      </c>
      <c r="DE58" s="176">
        <f>DANE!BS58</f>
        <v>15</v>
      </c>
      <c r="DF58" s="188">
        <f t="shared" si="16"/>
        <v>370</v>
      </c>
      <c r="DG58" s="177">
        <f t="shared" ca="1" si="32"/>
        <v>13.285714285714286</v>
      </c>
      <c r="DH58" s="209">
        <f t="shared" si="70"/>
        <v>91.06519699139983</v>
      </c>
      <c r="DI58" s="179">
        <f t="shared" si="74"/>
        <v>2.6170787992711251E-2</v>
      </c>
      <c r="DJ58" s="157">
        <f t="shared" si="75"/>
        <v>1.1831955159489786</v>
      </c>
      <c r="DK58" s="225">
        <f t="shared" ca="1" si="76"/>
        <v>1.189034318492683</v>
      </c>
      <c r="DL58" s="87"/>
      <c r="DM58" s="378"/>
      <c r="DN58" s="372"/>
      <c r="DO58" s="60"/>
      <c r="DP58" s="377"/>
      <c r="DQ58" s="372"/>
      <c r="DR58" s="379"/>
      <c r="DS58" s="372"/>
      <c r="DT58" s="372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</row>
    <row r="59" spans="1:138" x14ac:dyDescent="0.25">
      <c r="A59" s="32">
        <v>43949</v>
      </c>
      <c r="B59" s="33" t="str">
        <f t="shared" ca="1" si="0"/>
        <v/>
      </c>
      <c r="C59" s="51">
        <v>56</v>
      </c>
      <c r="D59" s="176">
        <f>DANE!K59</f>
        <v>49</v>
      </c>
      <c r="E59" s="188">
        <f t="shared" si="1"/>
        <v>1461</v>
      </c>
      <c r="F59" s="178">
        <f t="shared" ca="1" si="17"/>
        <v>49</v>
      </c>
      <c r="G59" s="209">
        <f t="shared" si="38"/>
        <v>346.66917625824362</v>
      </c>
      <c r="H59" s="179">
        <f t="shared" si="42"/>
        <v>-1.7609080102979928E-3</v>
      </c>
      <c r="I59" s="213">
        <f t="shared" si="43"/>
        <v>0.98767364392791401</v>
      </c>
      <c r="J59" s="214">
        <f t="shared" ca="1" si="44"/>
        <v>1.0884768274705592</v>
      </c>
      <c r="K59" s="176">
        <f>DANE!O59</f>
        <v>35</v>
      </c>
      <c r="L59" s="188">
        <f t="shared" si="2"/>
        <v>518</v>
      </c>
      <c r="M59" s="177">
        <f t="shared" ca="1" si="18"/>
        <v>11.428571428571429</v>
      </c>
      <c r="N59" s="209">
        <f t="shared" si="62"/>
        <v>91.898079906354624</v>
      </c>
      <c r="O59" s="179">
        <f t="shared" si="66"/>
        <v>0.38440142279876915</v>
      </c>
      <c r="P59" s="213">
        <f t="shared" si="67"/>
        <v>3.6908099595913844</v>
      </c>
      <c r="Q59" s="217">
        <f t="shared" ca="1" si="68"/>
        <v>1.032470753465794</v>
      </c>
      <c r="R59" s="176">
        <f>DANE!S59</f>
        <v>3</v>
      </c>
      <c r="S59" s="188">
        <f t="shared" si="3"/>
        <v>356</v>
      </c>
      <c r="T59" s="177">
        <f t="shared" ca="1" si="19"/>
        <v>4.4285714285714288</v>
      </c>
      <c r="U59" s="209">
        <f t="shared" si="50"/>
        <v>42.287939715701327</v>
      </c>
      <c r="V59" s="179">
        <f t="shared" si="55"/>
        <v>-7.7406305016417098E-2</v>
      </c>
      <c r="W59" s="213">
        <f t="shared" si="56"/>
        <v>0.45815586488508031</v>
      </c>
      <c r="X59" s="214">
        <f t="shared" ca="1" si="57"/>
        <v>0.52639760016993509</v>
      </c>
      <c r="Y59" s="176">
        <f>DANE!W59</f>
        <v>0</v>
      </c>
      <c r="Z59" s="188">
        <f t="shared" si="4"/>
        <v>87</v>
      </c>
      <c r="AA59" s="177">
        <f t="shared" ca="1" si="20"/>
        <v>0.42857142857142855</v>
      </c>
      <c r="AB59" s="209"/>
      <c r="AC59" s="179"/>
      <c r="AD59" s="213"/>
      <c r="AE59" s="217"/>
      <c r="AF59" s="176">
        <f>DANE!AA59</f>
        <v>14</v>
      </c>
      <c r="AG59" s="188">
        <f t="shared" si="5"/>
        <v>904</v>
      </c>
      <c r="AH59" s="177">
        <f t="shared" ca="1" si="21"/>
        <v>29.857142857142858</v>
      </c>
      <c r="AI59" s="209">
        <f t="shared" si="37"/>
        <v>174.41259674163234</v>
      </c>
      <c r="AJ59" s="179">
        <f t="shared" si="39"/>
        <v>-6.8050050124096734E-2</v>
      </c>
      <c r="AK59" s="213">
        <f t="shared" si="40"/>
        <v>0.52364964913132284</v>
      </c>
      <c r="AL59" s="214">
        <f t="shared" ca="1" si="41"/>
        <v>1.2337318102346326</v>
      </c>
      <c r="AM59" s="176">
        <f>DANE!AE59</f>
        <v>11</v>
      </c>
      <c r="AN59" s="188">
        <f t="shared" si="6"/>
        <v>852</v>
      </c>
      <c r="AO59" s="177">
        <f t="shared" ca="1" si="22"/>
        <v>20.714285714285715</v>
      </c>
      <c r="AP59" s="209">
        <f t="shared" si="49"/>
        <v>145.13039825873201</v>
      </c>
      <c r="AQ59" s="179">
        <f t="shared" si="51"/>
        <v>-7.2563074167477731E-2</v>
      </c>
      <c r="AR59" s="213">
        <f t="shared" si="52"/>
        <v>0.4920584808276558</v>
      </c>
      <c r="AS59" s="217">
        <f t="shared" ca="1" si="53"/>
        <v>0.84892115274816249</v>
      </c>
      <c r="AT59" s="176">
        <f>DANE!AI59</f>
        <v>15</v>
      </c>
      <c r="AU59" s="188">
        <f t="shared" si="7"/>
        <v>2391</v>
      </c>
      <c r="AV59" s="177">
        <f t="shared" ca="1" si="23"/>
        <v>47.428571428571431</v>
      </c>
      <c r="AW59" s="209">
        <f t="shared" si="33"/>
        <v>328.64145019660555</v>
      </c>
      <c r="AX59" s="179">
        <f t="shared" si="34"/>
        <v>-0.10186401886449645</v>
      </c>
      <c r="AY59" s="213">
        <f t="shared" si="35"/>
        <v>0.28695186794852479</v>
      </c>
      <c r="AZ59" s="214">
        <f t="shared" ca="1" si="36"/>
        <v>0.89087114742127582</v>
      </c>
      <c r="BA59" s="176">
        <f>DANE!AM59</f>
        <v>5</v>
      </c>
      <c r="BB59" s="188">
        <f t="shared" si="8"/>
        <v>378</v>
      </c>
      <c r="BC59" s="177">
        <f t="shared" ca="1" si="24"/>
        <v>11.428571428571429</v>
      </c>
      <c r="BD59" s="209">
        <f t="shared" si="77"/>
        <v>78.758168286064276</v>
      </c>
      <c r="BE59" s="179">
        <f t="shared" si="80"/>
        <v>-8.4752198207588295E-2</v>
      </c>
      <c r="BF59" s="213">
        <f t="shared" si="81"/>
        <v>0.40673461254688192</v>
      </c>
      <c r="BG59" s="217">
        <f t="shared" ca="1" si="82"/>
        <v>0.85675660309547363</v>
      </c>
      <c r="BH59" s="176">
        <f>DANE!AQ59</f>
        <v>9</v>
      </c>
      <c r="BI59" s="188">
        <f t="shared" si="9"/>
        <v>325</v>
      </c>
      <c r="BJ59" s="177">
        <f t="shared" ca="1" si="25"/>
        <v>7.8571428571428568</v>
      </c>
      <c r="BK59" s="209">
        <f t="shared" si="61"/>
        <v>51.439372043442688</v>
      </c>
      <c r="BL59" s="179">
        <f t="shared" si="63"/>
        <v>3.8914767113368914E-2</v>
      </c>
      <c r="BM59" s="213">
        <f t="shared" si="64"/>
        <v>1.2724033697935824</v>
      </c>
      <c r="BN59" s="214">
        <f t="shared" ca="1" si="65"/>
        <v>1.2082234692842106</v>
      </c>
      <c r="BO59" s="176">
        <f>DANE!AU59</f>
        <v>2</v>
      </c>
      <c r="BP59" s="188">
        <f t="shared" si="10"/>
        <v>367</v>
      </c>
      <c r="BQ59" s="177">
        <f t="shared" ca="1" si="26"/>
        <v>5</v>
      </c>
      <c r="BR59" s="209">
        <f t="shared" si="78"/>
        <v>51.524716380010737</v>
      </c>
      <c r="BS59" s="179">
        <f t="shared" si="83"/>
        <v>-0.10824239209043998</v>
      </c>
      <c r="BT59" s="213">
        <f t="shared" si="84"/>
        <v>0.2423032553669201</v>
      </c>
      <c r="BU59" s="217">
        <f t="shared" ca="1" si="85"/>
        <v>0.51047417320884325</v>
      </c>
      <c r="BV59" s="176">
        <f>DANE!AY59</f>
        <v>37</v>
      </c>
      <c r="BW59" s="188">
        <f t="shared" si="11"/>
        <v>394</v>
      </c>
      <c r="BX59" s="177">
        <f t="shared" ca="1" si="27"/>
        <v>25</v>
      </c>
      <c r="BY59" s="209">
        <f t="shared" si="69"/>
        <v>141.47703759430703</v>
      </c>
      <c r="BZ59" s="179">
        <f t="shared" si="71"/>
        <v>0.16069554627474983</v>
      </c>
      <c r="CA59" s="213">
        <f t="shared" si="72"/>
        <v>2.1248688239232489</v>
      </c>
      <c r="CB59" s="214">
        <f t="shared" ca="1" si="73"/>
        <v>2.2867205767426029</v>
      </c>
      <c r="CC59" s="176">
        <f>DANE!BC59</f>
        <v>94</v>
      </c>
      <c r="CD59" s="188">
        <f t="shared" si="12"/>
        <v>1960</v>
      </c>
      <c r="CE59" s="177">
        <f t="shared" ca="1" si="28"/>
        <v>65</v>
      </c>
      <c r="CF59" s="209">
        <f t="shared" si="45"/>
        <v>475.74463939358191</v>
      </c>
      <c r="CG59" s="179">
        <f t="shared" si="46"/>
        <v>6.8203918011766396E-2</v>
      </c>
      <c r="CH59" s="213">
        <f t="shared" si="47"/>
        <v>1.4774274260823648</v>
      </c>
      <c r="CI59" s="217">
        <f t="shared" ca="1" si="48"/>
        <v>1.0065117395602574</v>
      </c>
      <c r="CJ59" s="176">
        <f>DANE!BG59</f>
        <v>3</v>
      </c>
      <c r="CK59" s="188">
        <f t="shared" si="13"/>
        <v>264</v>
      </c>
      <c r="CL59" s="177">
        <f t="shared" ca="1" si="29"/>
        <v>3.7142857142857144</v>
      </c>
      <c r="CM59" s="209">
        <f t="shared" si="79"/>
        <v>41.043291670708776</v>
      </c>
      <c r="CN59" s="179">
        <f t="shared" si="86"/>
        <v>-7.526497460613861E-2</v>
      </c>
      <c r="CO59" s="213">
        <f t="shared" si="87"/>
        <v>0.47314517775702969</v>
      </c>
      <c r="CP59" s="214">
        <f t="shared" ca="1" si="88"/>
        <v>0.43177919114589136</v>
      </c>
      <c r="CQ59" s="176">
        <f>DANE!BK59</f>
        <v>0</v>
      </c>
      <c r="CR59" s="188">
        <f t="shared" si="14"/>
        <v>146</v>
      </c>
      <c r="CS59" s="177">
        <f t="shared" ca="1" si="30"/>
        <v>0.14285714285714285</v>
      </c>
      <c r="CT59" s="209">
        <f t="shared" si="89"/>
        <v>12.148968523481926</v>
      </c>
      <c r="CU59" s="179">
        <f t="shared" si="90"/>
        <v>-0.14285714285714274</v>
      </c>
      <c r="CV59" s="213">
        <f t="shared" si="91"/>
        <v>7.7715611723760958E-16</v>
      </c>
      <c r="CW59" s="217">
        <f t="shared" ca="1" si="92"/>
        <v>3.9853273945069531E-2</v>
      </c>
      <c r="CX59" s="176">
        <f>DANE!BO59</f>
        <v>33</v>
      </c>
      <c r="CY59" s="188">
        <f t="shared" si="15"/>
        <v>1376</v>
      </c>
      <c r="CZ59" s="177">
        <f t="shared" ca="1" si="31"/>
        <v>42.142857142857146</v>
      </c>
      <c r="DA59" s="209">
        <f t="shared" si="54"/>
        <v>305.27651966644748</v>
      </c>
      <c r="DB59" s="179">
        <f t="shared" si="58"/>
        <v>-3.8971158416157212E-2</v>
      </c>
      <c r="DC59" s="213">
        <f t="shared" si="59"/>
        <v>0.72720189108689948</v>
      </c>
      <c r="DD59" s="214">
        <f t="shared" ca="1" si="60"/>
        <v>0.89671385121859515</v>
      </c>
      <c r="DE59" s="176">
        <f>DANE!BS59</f>
        <v>6</v>
      </c>
      <c r="DF59" s="188">
        <f t="shared" si="16"/>
        <v>376</v>
      </c>
      <c r="DG59" s="177">
        <f t="shared" ca="1" si="32"/>
        <v>13.857142857142858</v>
      </c>
      <c r="DH59" s="209">
        <f t="shared" si="70"/>
        <v>84.055883135485573</v>
      </c>
      <c r="DI59" s="179">
        <f t="shared" si="74"/>
        <v>-7.6970281594803056E-2</v>
      </c>
      <c r="DJ59" s="157">
        <f t="shared" si="75"/>
        <v>0.46120802883637857</v>
      </c>
      <c r="DK59" s="225">
        <f t="shared" ca="1" si="76"/>
        <v>1.2296405782793625</v>
      </c>
      <c r="DL59" s="50"/>
      <c r="DM59" s="50"/>
      <c r="DN59" s="92"/>
      <c r="DO59" s="92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</row>
    <row r="60" spans="1:138" x14ac:dyDescent="0.25">
      <c r="A60" s="32">
        <v>43950</v>
      </c>
      <c r="B60" s="33" t="str">
        <f t="shared" ca="1" si="0"/>
        <v/>
      </c>
      <c r="C60" s="51">
        <v>57</v>
      </c>
      <c r="D60" s="176">
        <f>DANE!K60</f>
        <v>59</v>
      </c>
      <c r="E60" s="188">
        <f t="shared" si="1"/>
        <v>1520</v>
      </c>
      <c r="F60" s="178">
        <f t="shared" ca="1" si="17"/>
        <v>53.714285714285715</v>
      </c>
      <c r="G60" s="209">
        <f t="shared" si="38"/>
        <v>356.1450082213517</v>
      </c>
      <c r="H60" s="179">
        <f t="shared" si="42"/>
        <v>2.7333932786828628E-2</v>
      </c>
      <c r="I60" s="213">
        <f t="shared" si="43"/>
        <v>1.1913375295078004</v>
      </c>
      <c r="J60" s="214">
        <f t="shared" ca="1" si="44"/>
        <v>1.177780391292419</v>
      </c>
      <c r="K60" s="176">
        <f>DANE!O60</f>
        <v>19</v>
      </c>
      <c r="L60" s="188">
        <f t="shared" si="2"/>
        <v>537</v>
      </c>
      <c r="M60" s="177">
        <f t="shared" ca="1" si="18"/>
        <v>12.142857142857142</v>
      </c>
      <c r="N60" s="209">
        <f t="shared" si="62"/>
        <v>97.769782776875402</v>
      </c>
      <c r="O60" s="179">
        <f t="shared" si="66"/>
        <v>6.3893640394925788E-2</v>
      </c>
      <c r="P60" s="213">
        <f t="shared" si="67"/>
        <v>1.4472554827644806</v>
      </c>
      <c r="Q60" s="217">
        <f t="shared" ca="1" si="68"/>
        <v>1.093216224462314</v>
      </c>
      <c r="R60" s="176">
        <f>DANE!S60</f>
        <v>3</v>
      </c>
      <c r="S60" s="188">
        <f t="shared" si="3"/>
        <v>359</v>
      </c>
      <c r="T60" s="177">
        <f t="shared" ca="1" si="19"/>
        <v>3.8571428571428572</v>
      </c>
      <c r="U60" s="209">
        <f t="shared" si="50"/>
        <v>39.246805470601139</v>
      </c>
      <c r="V60" s="179">
        <f t="shared" si="55"/>
        <v>-7.1914930487167447E-2</v>
      </c>
      <c r="W60" s="213">
        <f t="shared" si="56"/>
        <v>0.49659548658982788</v>
      </c>
      <c r="X60" s="214">
        <f t="shared" ca="1" si="57"/>
        <v>0.49615666849766321</v>
      </c>
      <c r="Y60" s="176">
        <f>DANE!W60</f>
        <v>0</v>
      </c>
      <c r="Z60" s="188">
        <f t="shared" si="4"/>
        <v>87</v>
      </c>
      <c r="AA60" s="177">
        <f t="shared" ca="1" si="20"/>
        <v>0.2857142857142857</v>
      </c>
      <c r="AB60" s="209"/>
      <c r="AC60" s="179"/>
      <c r="AD60" s="213"/>
      <c r="AE60" s="217"/>
      <c r="AF60" s="176">
        <f>DANE!AA60</f>
        <v>32</v>
      </c>
      <c r="AG60" s="188">
        <f t="shared" si="5"/>
        <v>936</v>
      </c>
      <c r="AH60" s="177">
        <f t="shared" ca="1" si="21"/>
        <v>24.428571428571427</v>
      </c>
      <c r="AI60" s="209">
        <f t="shared" si="37"/>
        <v>181.49651149282772</v>
      </c>
      <c r="AJ60" s="179">
        <f t="shared" si="39"/>
        <v>4.0615843600386274E-2</v>
      </c>
      <c r="AK60" s="213">
        <f t="shared" si="40"/>
        <v>1.284310905202704</v>
      </c>
      <c r="AL60" s="214">
        <f t="shared" ca="1" si="41"/>
        <v>0.93684597673016035</v>
      </c>
      <c r="AM60" s="176">
        <f>DANE!AE60</f>
        <v>24</v>
      </c>
      <c r="AN60" s="188">
        <f t="shared" si="6"/>
        <v>876</v>
      </c>
      <c r="AO60" s="177">
        <f t="shared" ca="1" si="22"/>
        <v>20.285714285714285</v>
      </c>
      <c r="AP60" s="209">
        <f t="shared" si="49"/>
        <v>148.3974842217703</v>
      </c>
      <c r="AQ60" s="179">
        <f t="shared" si="51"/>
        <v>2.2511382882129685E-2</v>
      </c>
      <c r="AR60" s="213">
        <f t="shared" si="52"/>
        <v>1.1575796801749079</v>
      </c>
      <c r="AS60" s="217">
        <f t="shared" ca="1" si="53"/>
        <v>0.85570784363483654</v>
      </c>
      <c r="AT60" s="176">
        <f>DANE!AI60</f>
        <v>36</v>
      </c>
      <c r="AU60" s="188">
        <f t="shared" si="7"/>
        <v>2427</v>
      </c>
      <c r="AV60" s="177">
        <f t="shared" ca="1" si="23"/>
        <v>47</v>
      </c>
      <c r="AW60" s="209">
        <f t="shared" si="33"/>
        <v>317.69267159709051</v>
      </c>
      <c r="AX60" s="179">
        <f t="shared" si="34"/>
        <v>-3.3315269857058717E-2</v>
      </c>
      <c r="AY60" s="213">
        <f t="shared" si="35"/>
        <v>0.766793111000589</v>
      </c>
      <c r="AZ60" s="214">
        <f t="shared" ca="1" si="36"/>
        <v>0.89592412036491065</v>
      </c>
      <c r="BA60" s="176">
        <f>DANE!AM60</f>
        <v>12</v>
      </c>
      <c r="BB60" s="188">
        <f t="shared" si="8"/>
        <v>390</v>
      </c>
      <c r="BC60" s="177">
        <f t="shared" ca="1" si="24"/>
        <v>9.4285714285714288</v>
      </c>
      <c r="BD60" s="209">
        <f t="shared" si="77"/>
        <v>79.507001388055102</v>
      </c>
      <c r="BE60" s="179">
        <f t="shared" si="80"/>
        <v>9.5080055604000995E-3</v>
      </c>
      <c r="BF60" s="213">
        <f t="shared" si="81"/>
        <v>1.0665560389228006</v>
      </c>
      <c r="BG60" s="217">
        <f t="shared" ca="1" si="82"/>
        <v>0.72867602181998292</v>
      </c>
      <c r="BH60" s="176">
        <f>DANE!AQ60</f>
        <v>3</v>
      </c>
      <c r="BI60" s="188">
        <f t="shared" si="9"/>
        <v>328</v>
      </c>
      <c r="BJ60" s="177">
        <f t="shared" ca="1" si="25"/>
        <v>7.4285714285714288</v>
      </c>
      <c r="BK60" s="209">
        <f t="shared" si="61"/>
        <v>47.090890322950877</v>
      </c>
      <c r="BL60" s="179">
        <f t="shared" si="63"/>
        <v>-8.4536057648980201E-2</v>
      </c>
      <c r="BM60" s="213">
        <f t="shared" si="64"/>
        <v>0.4082475964571386</v>
      </c>
      <c r="BN60" s="214">
        <f t="shared" ca="1" si="65"/>
        <v>1.1331497795706618</v>
      </c>
      <c r="BO60" s="176">
        <f>DANE!AU60</f>
        <v>0</v>
      </c>
      <c r="BP60" s="188">
        <f t="shared" si="10"/>
        <v>367</v>
      </c>
      <c r="BQ60" s="177">
        <f t="shared" ca="1" si="26"/>
        <v>4.5714285714285712</v>
      </c>
      <c r="BR60" s="209">
        <f t="shared" si="78"/>
        <v>44.164042611437779</v>
      </c>
      <c r="BS60" s="179">
        <f t="shared" si="83"/>
        <v>-0.14285714285714277</v>
      </c>
      <c r="BT60" s="213">
        <f t="shared" si="84"/>
        <v>5.5511151231257827E-16</v>
      </c>
      <c r="BU60" s="217">
        <f t="shared" ca="1" si="85"/>
        <v>0.47589549432126538</v>
      </c>
      <c r="BV60" s="176">
        <f>DANE!AY60</f>
        <v>30</v>
      </c>
      <c r="BW60" s="188">
        <f t="shared" si="11"/>
        <v>424</v>
      </c>
      <c r="BX60" s="177">
        <f t="shared" ca="1" si="27"/>
        <v>27.571428571428573</v>
      </c>
      <c r="BY60" s="209">
        <f t="shared" si="69"/>
        <v>151.26603222369175</v>
      </c>
      <c r="BZ60" s="179">
        <f t="shared" si="71"/>
        <v>6.9191402335233951E-2</v>
      </c>
      <c r="CA60" s="213">
        <f t="shared" si="72"/>
        <v>1.4843398163466377</v>
      </c>
      <c r="CB60" s="214">
        <f t="shared" ca="1" si="73"/>
        <v>2.2420077795801485</v>
      </c>
      <c r="CC60" s="176">
        <f>DANE!BC60</f>
        <v>159</v>
      </c>
      <c r="CD60" s="188">
        <f t="shared" si="12"/>
        <v>2119</v>
      </c>
      <c r="CE60" s="177">
        <f t="shared" ca="1" si="28"/>
        <v>81.142857142857139</v>
      </c>
      <c r="CF60" s="209">
        <f t="shared" si="45"/>
        <v>566.78111948021308</v>
      </c>
      <c r="CG60" s="179">
        <f t="shared" si="46"/>
        <v>0.19135576641004884</v>
      </c>
      <c r="CH60" s="213">
        <f t="shared" si="47"/>
        <v>2.339490364870342</v>
      </c>
      <c r="CI60" s="217">
        <f t="shared" ca="1" si="48"/>
        <v>1.244437638048272</v>
      </c>
      <c r="CJ60" s="176">
        <f>DANE!BG60</f>
        <v>2</v>
      </c>
      <c r="CK60" s="188">
        <f t="shared" si="13"/>
        <v>266</v>
      </c>
      <c r="CL60" s="177">
        <f t="shared" ca="1" si="29"/>
        <v>2.7142857142857144</v>
      </c>
      <c r="CM60" s="209">
        <f t="shared" si="79"/>
        <v>37.179964289178955</v>
      </c>
      <c r="CN60" s="179">
        <f t="shared" si="86"/>
        <v>-9.412810776789983E-2</v>
      </c>
      <c r="CO60" s="213">
        <f t="shared" si="87"/>
        <v>0.34110324562470118</v>
      </c>
      <c r="CP60" s="214">
        <f t="shared" ca="1" si="88"/>
        <v>0.35991149524064625</v>
      </c>
      <c r="CQ60" s="176">
        <f>DANE!BK60</f>
        <v>0</v>
      </c>
      <c r="CR60" s="188">
        <f t="shared" si="14"/>
        <v>146</v>
      </c>
      <c r="CS60" s="177">
        <f t="shared" ca="1" si="30"/>
        <v>0.14285714285714285</v>
      </c>
      <c r="CT60" s="209">
        <f t="shared" si="89"/>
        <v>10.413401591555937</v>
      </c>
      <c r="CU60" s="179">
        <f t="shared" si="90"/>
        <v>-0.14285714285714285</v>
      </c>
      <c r="CV60" s="213">
        <f t="shared" si="91"/>
        <v>0</v>
      </c>
      <c r="CW60" s="217">
        <f t="shared" ca="1" si="92"/>
        <v>3.9853273945069469E-2</v>
      </c>
      <c r="CX60" s="176">
        <f>DANE!BO60</f>
        <v>39</v>
      </c>
      <c r="CY60" s="188">
        <f t="shared" si="15"/>
        <v>1415</v>
      </c>
      <c r="CZ60" s="177">
        <f t="shared" ca="1" si="31"/>
        <v>45.142857142857146</v>
      </c>
      <c r="DA60" s="209">
        <f t="shared" si="54"/>
        <v>300.66558828552644</v>
      </c>
      <c r="DB60" s="179">
        <f t="shared" si="58"/>
        <v>-1.510411408633412E-2</v>
      </c>
      <c r="DC60" s="213">
        <f t="shared" si="59"/>
        <v>0.89427120139566119</v>
      </c>
      <c r="DD60" s="214">
        <f t="shared" ca="1" si="60"/>
        <v>0.97194025203615175</v>
      </c>
      <c r="DE60" s="176">
        <f>DANE!BS60</f>
        <v>4</v>
      </c>
      <c r="DF60" s="188">
        <f t="shared" si="16"/>
        <v>380</v>
      </c>
      <c r="DG60" s="177">
        <f t="shared" ca="1" si="32"/>
        <v>13.142857142857142</v>
      </c>
      <c r="DH60" s="209">
        <f t="shared" si="70"/>
        <v>76.047899830416213</v>
      </c>
      <c r="DI60" s="179">
        <f t="shared" si="74"/>
        <v>-9.5269753958347955E-2</v>
      </c>
      <c r="DJ60" s="157">
        <f t="shared" si="75"/>
        <v>0.33311172229156427</v>
      </c>
      <c r="DK60" s="225">
        <f t="shared" ca="1" si="76"/>
        <v>1.148307202969812</v>
      </c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</row>
    <row r="61" spans="1:138" x14ac:dyDescent="0.25">
      <c r="A61" s="32">
        <v>43951</v>
      </c>
      <c r="B61" s="33" t="str">
        <f t="shared" ca="1" si="0"/>
        <v/>
      </c>
      <c r="C61" s="51">
        <v>58</v>
      </c>
      <c r="D61" s="176">
        <f>DANE!K61</f>
        <v>43</v>
      </c>
      <c r="E61" s="188">
        <f t="shared" si="1"/>
        <v>1563</v>
      </c>
      <c r="F61" s="178">
        <f t="shared" ca="1" si="17"/>
        <v>50.142857142857146</v>
      </c>
      <c r="G61" s="209">
        <f t="shared" si="38"/>
        <v>348.26714990401575</v>
      </c>
      <c r="H61" s="179">
        <f t="shared" si="42"/>
        <v>-2.2119805515959087E-2</v>
      </c>
      <c r="I61" s="213">
        <f t="shared" si="43"/>
        <v>0.84516136138828635</v>
      </c>
      <c r="J61" s="214">
        <f t="shared" ca="1" si="44"/>
        <v>1.0729898981970247</v>
      </c>
      <c r="K61" s="176">
        <f>DANE!O61</f>
        <v>7</v>
      </c>
      <c r="L61" s="188">
        <f t="shared" si="2"/>
        <v>544</v>
      </c>
      <c r="M61" s="177">
        <f t="shared" ca="1" si="18"/>
        <v>12</v>
      </c>
      <c r="N61" s="209">
        <f t="shared" si="62"/>
        <v>90.802670951607496</v>
      </c>
      <c r="O61" s="179">
        <f t="shared" si="66"/>
        <v>-7.1260379509769906E-2</v>
      </c>
      <c r="P61" s="213">
        <f t="shared" si="67"/>
        <v>0.50117734343161069</v>
      </c>
      <c r="Q61" s="217">
        <f t="shared" ca="1" si="68"/>
        <v>1.0816432133453573</v>
      </c>
      <c r="R61" s="176">
        <f>DANE!S61</f>
        <v>1</v>
      </c>
      <c r="S61" s="188">
        <f t="shared" si="3"/>
        <v>360</v>
      </c>
      <c r="T61" s="177">
        <f t="shared" ca="1" si="19"/>
        <v>3.4285714285714284</v>
      </c>
      <c r="U61" s="209">
        <f t="shared" si="50"/>
        <v>34.640118974800977</v>
      </c>
      <c r="V61" s="179">
        <f t="shared" si="55"/>
        <v>-0.11737736206965743</v>
      </c>
      <c r="W61" s="213">
        <f t="shared" si="56"/>
        <v>0.17835846551239798</v>
      </c>
      <c r="X61" s="214">
        <f t="shared" ca="1" si="57"/>
        <v>0.46130318129365971</v>
      </c>
      <c r="Y61" s="176">
        <f>DANE!W61</f>
        <v>0</v>
      </c>
      <c r="Z61" s="188">
        <f t="shared" si="4"/>
        <v>87</v>
      </c>
      <c r="AA61" s="177">
        <f t="shared" ca="1" si="20"/>
        <v>0.2857142857142857</v>
      </c>
      <c r="AB61" s="209"/>
      <c r="AC61" s="179"/>
      <c r="AD61" s="213"/>
      <c r="AE61" s="217"/>
      <c r="AF61" s="176">
        <f>DANE!AA61</f>
        <v>18</v>
      </c>
      <c r="AG61" s="188">
        <f t="shared" si="5"/>
        <v>954</v>
      </c>
      <c r="AH61" s="177">
        <f t="shared" ca="1" si="21"/>
        <v>24.714285714285715</v>
      </c>
      <c r="AI61" s="209">
        <f t="shared" si="37"/>
        <v>173.56843842242378</v>
      </c>
      <c r="AJ61" s="179">
        <f t="shared" si="39"/>
        <v>-4.3681682943626371E-2</v>
      </c>
      <c r="AK61" s="213">
        <f t="shared" si="40"/>
        <v>0.69422821939461543</v>
      </c>
      <c r="AL61" s="214">
        <f t="shared" ca="1" si="41"/>
        <v>0.95393084671390249</v>
      </c>
      <c r="AM61" s="176">
        <f>DANE!AE61</f>
        <v>21</v>
      </c>
      <c r="AN61" s="188">
        <f t="shared" si="6"/>
        <v>897</v>
      </c>
      <c r="AO61" s="177">
        <f t="shared" ca="1" si="22"/>
        <v>18.714285714285715</v>
      </c>
      <c r="AP61" s="209">
        <f t="shared" si="49"/>
        <v>148.19784361866027</v>
      </c>
      <c r="AQ61" s="179">
        <f t="shared" si="51"/>
        <v>-1.3453098895644122E-3</v>
      </c>
      <c r="AR61" s="213">
        <f t="shared" si="52"/>
        <v>0.99058283077304909</v>
      </c>
      <c r="AS61" s="217">
        <f t="shared" ca="1" si="53"/>
        <v>0.81218051905516098</v>
      </c>
      <c r="AT61" s="176">
        <f>DANE!AI61</f>
        <v>25</v>
      </c>
      <c r="AU61" s="188">
        <f t="shared" si="7"/>
        <v>2452</v>
      </c>
      <c r="AV61" s="177">
        <f t="shared" ca="1" si="23"/>
        <v>40.857142857142854</v>
      </c>
      <c r="AW61" s="209">
        <f t="shared" si="33"/>
        <v>297.30800422607757</v>
      </c>
      <c r="AX61" s="179">
        <f t="shared" si="34"/>
        <v>-6.4164739049648339E-2</v>
      </c>
      <c r="AY61" s="213">
        <f t="shared" si="35"/>
        <v>0.55084682665246154</v>
      </c>
      <c r="AZ61" s="214">
        <f t="shared" ca="1" si="36"/>
        <v>0.78516170106214922</v>
      </c>
      <c r="BA61" s="176">
        <f>DANE!AM61</f>
        <v>4</v>
      </c>
      <c r="BB61" s="188">
        <f t="shared" si="8"/>
        <v>394</v>
      </c>
      <c r="BC61" s="177">
        <f t="shared" ca="1" si="24"/>
        <v>9.1428571428571423</v>
      </c>
      <c r="BD61" s="209">
        <f t="shared" si="77"/>
        <v>72.148858332618659</v>
      </c>
      <c r="BE61" s="179">
        <f t="shared" si="80"/>
        <v>-9.2547108141119119E-2</v>
      </c>
      <c r="BF61" s="213">
        <f t="shared" si="81"/>
        <v>0.35217024301216615</v>
      </c>
      <c r="BG61" s="217">
        <f t="shared" ca="1" si="82"/>
        <v>0.72209532638743379</v>
      </c>
      <c r="BH61" s="176">
        <f>DANE!AQ61</f>
        <v>1</v>
      </c>
      <c r="BI61" s="188">
        <f t="shared" si="9"/>
        <v>329</v>
      </c>
      <c r="BJ61" s="177">
        <f t="shared" ca="1" si="25"/>
        <v>7.1428571428571432</v>
      </c>
      <c r="BK61" s="209">
        <f t="shared" si="61"/>
        <v>41.363620276815041</v>
      </c>
      <c r="BL61" s="179">
        <f t="shared" si="63"/>
        <v>-0.12162161315825691</v>
      </c>
      <c r="BM61" s="213">
        <f t="shared" si="64"/>
        <v>0.14864870789220153</v>
      </c>
      <c r="BN61" s="214">
        <f t="shared" ca="1" si="65"/>
        <v>1.0870507776961849</v>
      </c>
      <c r="BO61" s="176">
        <f>DANE!AU61</f>
        <v>8</v>
      </c>
      <c r="BP61" s="188">
        <f t="shared" si="10"/>
        <v>375</v>
      </c>
      <c r="BQ61" s="177">
        <f t="shared" ca="1" si="26"/>
        <v>4.8571428571428568</v>
      </c>
      <c r="BR61" s="209">
        <f t="shared" si="78"/>
        <v>45.854893666946673</v>
      </c>
      <c r="BS61" s="179">
        <f t="shared" si="83"/>
        <v>3.8285694776297279E-2</v>
      </c>
      <c r="BT61" s="213">
        <f t="shared" si="84"/>
        <v>1.267999863434081</v>
      </c>
      <c r="BU61" s="217">
        <f t="shared" ca="1" si="85"/>
        <v>0.57948345077171326</v>
      </c>
      <c r="BV61" s="176">
        <f>DANE!AY61</f>
        <v>4</v>
      </c>
      <c r="BW61" s="188">
        <f t="shared" si="11"/>
        <v>428</v>
      </c>
      <c r="BX61" s="177">
        <f t="shared" ca="1" si="27"/>
        <v>26.428571428571427</v>
      </c>
      <c r="BY61" s="209">
        <f t="shared" si="69"/>
        <v>133.65659904887866</v>
      </c>
      <c r="BZ61" s="179">
        <f t="shared" si="71"/>
        <v>-0.11641366482577076</v>
      </c>
      <c r="CA61" s="213">
        <f t="shared" si="72"/>
        <v>0.1851043462196047</v>
      </c>
      <c r="CB61" s="214">
        <f t="shared" ca="1" si="73"/>
        <v>2.0379454901760292</v>
      </c>
      <c r="CC61" s="176">
        <f>DANE!BC61</f>
        <v>120</v>
      </c>
      <c r="CD61" s="188">
        <f t="shared" si="12"/>
        <v>2239</v>
      </c>
      <c r="CE61" s="177">
        <f t="shared" ca="1" si="28"/>
        <v>93.285714285714292</v>
      </c>
      <c r="CF61" s="209">
        <f t="shared" si="45"/>
        <v>605.81238812589697</v>
      </c>
      <c r="CG61" s="179">
        <f t="shared" si="46"/>
        <v>6.8864800368577769E-2</v>
      </c>
      <c r="CH61" s="213">
        <f t="shared" si="47"/>
        <v>1.4820536025800444</v>
      </c>
      <c r="CI61" s="217">
        <f t="shared" ca="1" si="48"/>
        <v>1.3793192614009577</v>
      </c>
      <c r="CJ61" s="176">
        <f>DANE!BG61</f>
        <v>4</v>
      </c>
      <c r="CK61" s="188">
        <f t="shared" si="13"/>
        <v>270</v>
      </c>
      <c r="CL61" s="177">
        <f t="shared" ca="1" si="29"/>
        <v>3.1428571428571428</v>
      </c>
      <c r="CM61" s="209">
        <f t="shared" si="79"/>
        <v>35.86854081929625</v>
      </c>
      <c r="CN61" s="179">
        <f t="shared" si="86"/>
        <v>-3.5272316554225094E-2</v>
      </c>
      <c r="CO61" s="213">
        <f t="shared" si="87"/>
        <v>0.75309378412042438</v>
      </c>
      <c r="CP61" s="214">
        <f t="shared" ca="1" si="88"/>
        <v>0.45379161229404641</v>
      </c>
      <c r="CQ61" s="176">
        <f>DANE!BK61</f>
        <v>2</v>
      </c>
      <c r="CR61" s="188">
        <f t="shared" si="14"/>
        <v>148</v>
      </c>
      <c r="CS61" s="177">
        <f t="shared" ca="1" si="30"/>
        <v>0.42857142857142855</v>
      </c>
      <c r="CT61" s="209">
        <f t="shared" si="89"/>
        <v>10.925772792762233</v>
      </c>
      <c r="CU61" s="179">
        <f t="shared" si="90"/>
        <v>4.9203057877050441E-2</v>
      </c>
      <c r="CV61" s="213">
        <f t="shared" si="91"/>
        <v>1.344421405139353</v>
      </c>
      <c r="CW61" s="217">
        <f t="shared" ca="1" si="92"/>
        <v>0.23191347467926277</v>
      </c>
      <c r="CX61" s="176">
        <f>DANE!BO61</f>
        <v>26</v>
      </c>
      <c r="CY61" s="188">
        <f t="shared" si="15"/>
        <v>1441</v>
      </c>
      <c r="CZ61" s="177">
        <f t="shared" ca="1" si="31"/>
        <v>39.285714285714285</v>
      </c>
      <c r="DA61" s="209">
        <f t="shared" si="54"/>
        <v>283.71336138759409</v>
      </c>
      <c r="DB61" s="179">
        <f t="shared" si="58"/>
        <v>-5.6382331595040074E-2</v>
      </c>
      <c r="DC61" s="213">
        <f t="shared" si="59"/>
        <v>0.60532367883471938</v>
      </c>
      <c r="DD61" s="214">
        <f t="shared" ca="1" si="60"/>
        <v>0.84348449232792311</v>
      </c>
      <c r="DE61" s="176">
        <f>DANE!BS61</f>
        <v>16</v>
      </c>
      <c r="DF61" s="188">
        <f t="shared" si="16"/>
        <v>396</v>
      </c>
      <c r="DG61" s="177">
        <f t="shared" ca="1" si="32"/>
        <v>13.142857142857142</v>
      </c>
      <c r="DH61" s="209">
        <f t="shared" si="70"/>
        <v>81.183914140356762</v>
      </c>
      <c r="DI61" s="179">
        <f t="shared" si="74"/>
        <v>6.7536569995932258E-2</v>
      </c>
      <c r="DJ61" s="157">
        <f t="shared" si="75"/>
        <v>1.4727559899715259</v>
      </c>
      <c r="DK61" s="225">
        <f t="shared" ca="1" si="76"/>
        <v>1.1262691895721366</v>
      </c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</row>
    <row r="62" spans="1:138" x14ac:dyDescent="0.25">
      <c r="A62" s="32">
        <v>43952</v>
      </c>
      <c r="B62" s="33" t="str">
        <f t="shared" ca="1" si="0"/>
        <v/>
      </c>
      <c r="C62" s="51">
        <v>59</v>
      </c>
      <c r="D62" s="176">
        <f>DANE!K62</f>
        <v>17</v>
      </c>
      <c r="E62" s="188">
        <f t="shared" si="1"/>
        <v>1580</v>
      </c>
      <c r="F62" s="178">
        <f t="shared" ca="1" si="17"/>
        <v>49.285714285714285</v>
      </c>
      <c r="G62" s="209">
        <f t="shared" si="38"/>
        <v>315.5146999177278</v>
      </c>
      <c r="H62" s="179">
        <f t="shared" si="42"/>
        <v>-9.4044040603067799E-2</v>
      </c>
      <c r="I62" s="213">
        <f t="shared" si="43"/>
        <v>0.34169171577852542</v>
      </c>
      <c r="J62" s="214">
        <f t="shared" ca="1" si="44"/>
        <v>1.0513462374348441</v>
      </c>
      <c r="K62" s="176">
        <f>DANE!O62</f>
        <v>6</v>
      </c>
      <c r="L62" s="188">
        <f t="shared" si="2"/>
        <v>550</v>
      </c>
      <c r="M62" s="177">
        <f t="shared" ca="1" si="18"/>
        <v>11.285714285714286</v>
      </c>
      <c r="N62" s="209">
        <f t="shared" si="62"/>
        <v>83.83086081566357</v>
      </c>
      <c r="O62" s="179">
        <f t="shared" si="66"/>
        <v>-7.6779791418905424E-2</v>
      </c>
      <c r="P62" s="213">
        <f t="shared" si="67"/>
        <v>0.46254146006766195</v>
      </c>
      <c r="Q62" s="217">
        <f t="shared" ca="1" si="68"/>
        <v>1.0261030983745862</v>
      </c>
      <c r="R62" s="176">
        <f>DANE!S62</f>
        <v>5</v>
      </c>
      <c r="S62" s="188">
        <f t="shared" si="3"/>
        <v>365</v>
      </c>
      <c r="T62" s="177">
        <f t="shared" ca="1" si="19"/>
        <v>3.2857142857142856</v>
      </c>
      <c r="U62" s="209">
        <f t="shared" si="50"/>
        <v>34.691530549829409</v>
      </c>
      <c r="V62" s="179">
        <f t="shared" si="55"/>
        <v>1.4841627728193229E-3</v>
      </c>
      <c r="W62" s="213">
        <f t="shared" si="56"/>
        <v>1.0103891394097353</v>
      </c>
      <c r="X62" s="214">
        <f t="shared" ca="1" si="57"/>
        <v>0.50700442479232533</v>
      </c>
      <c r="Y62" s="176">
        <f>DANE!W62</f>
        <v>0</v>
      </c>
      <c r="Z62" s="188">
        <f t="shared" si="4"/>
        <v>87</v>
      </c>
      <c r="AA62" s="177">
        <f t="shared" ca="1" si="20"/>
        <v>0.2857142857142857</v>
      </c>
      <c r="AB62" s="209"/>
      <c r="AC62" s="179"/>
      <c r="AD62" s="213"/>
      <c r="AE62" s="217"/>
      <c r="AF62" s="176">
        <f>DANE!AA62</f>
        <v>18</v>
      </c>
      <c r="AG62" s="188">
        <f t="shared" si="5"/>
        <v>972</v>
      </c>
      <c r="AH62" s="177">
        <f t="shared" ca="1" si="21"/>
        <v>22.714285714285715</v>
      </c>
      <c r="AI62" s="209">
        <f t="shared" si="37"/>
        <v>166.77294721922038</v>
      </c>
      <c r="AJ62" s="179">
        <f t="shared" si="39"/>
        <v>-3.9151652598641284E-2</v>
      </c>
      <c r="AK62" s="213">
        <f t="shared" si="40"/>
        <v>0.72593843180951101</v>
      </c>
      <c r="AL62" s="214">
        <f t="shared" ca="1" si="41"/>
        <v>0.88283295835416775</v>
      </c>
      <c r="AM62" s="176">
        <f>DANE!AE62</f>
        <v>16</v>
      </c>
      <c r="AN62" s="188">
        <f t="shared" si="6"/>
        <v>913</v>
      </c>
      <c r="AO62" s="177">
        <f t="shared" ca="1" si="22"/>
        <v>17.857142857142858</v>
      </c>
      <c r="AP62" s="209">
        <f t="shared" si="49"/>
        <v>143.0267231017088</v>
      </c>
      <c r="AQ62" s="179">
        <f t="shared" si="51"/>
        <v>-3.4893358706741373E-2</v>
      </c>
      <c r="AR62" s="213">
        <f t="shared" si="52"/>
        <v>0.75574648905281039</v>
      </c>
      <c r="AS62" s="217">
        <f t="shared" ca="1" si="53"/>
        <v>0.79807884916722549</v>
      </c>
      <c r="AT62" s="176">
        <f>DANE!AI62</f>
        <v>0</v>
      </c>
      <c r="AU62" s="188">
        <f t="shared" si="7"/>
        <v>2452</v>
      </c>
      <c r="AV62" s="177">
        <f t="shared" ca="1" si="23"/>
        <v>35.142857142857146</v>
      </c>
      <c r="AW62" s="209">
        <f t="shared" si="33"/>
        <v>254.8354321937808</v>
      </c>
      <c r="AX62" s="179">
        <f t="shared" si="34"/>
        <v>-0.14285714285714277</v>
      </c>
      <c r="AY62" s="213">
        <f t="shared" si="35"/>
        <v>5.5511151231257827E-16</v>
      </c>
      <c r="AZ62" s="214">
        <f t="shared" ca="1" si="36"/>
        <v>0.67867951053472919</v>
      </c>
      <c r="BA62" s="176">
        <f>DANE!AM62</f>
        <v>4</v>
      </c>
      <c r="BB62" s="188">
        <f t="shared" si="8"/>
        <v>398</v>
      </c>
      <c r="BC62" s="177">
        <f t="shared" ca="1" si="24"/>
        <v>7.5714285714285712</v>
      </c>
      <c r="BD62" s="209">
        <f t="shared" si="77"/>
        <v>65.841878570815993</v>
      </c>
      <c r="BE62" s="179">
        <f t="shared" si="80"/>
        <v>-8.7416210146062226E-2</v>
      </c>
      <c r="BF62" s="213">
        <f t="shared" si="81"/>
        <v>0.38808652897756435</v>
      </c>
      <c r="BG62" s="217">
        <f t="shared" ca="1" si="82"/>
        <v>0.6219327590204754</v>
      </c>
      <c r="BH62" s="176">
        <f>DANE!AQ62</f>
        <v>8</v>
      </c>
      <c r="BI62" s="188">
        <f t="shared" si="9"/>
        <v>337</v>
      </c>
      <c r="BJ62" s="177">
        <f t="shared" ca="1" si="25"/>
        <v>7</v>
      </c>
      <c r="BK62" s="209">
        <f t="shared" si="61"/>
        <v>43.454531665841465</v>
      </c>
      <c r="BL62" s="179">
        <f t="shared" si="63"/>
        <v>5.0549525767656568E-2</v>
      </c>
      <c r="BM62" s="213">
        <f t="shared" si="64"/>
        <v>1.353846680373596</v>
      </c>
      <c r="BN62" s="214">
        <f t="shared" ca="1" si="65"/>
        <v>1.0619517292686702</v>
      </c>
      <c r="BO62" s="176">
        <f>DANE!AU62</f>
        <v>0</v>
      </c>
      <c r="BP62" s="188">
        <f t="shared" si="10"/>
        <v>375</v>
      </c>
      <c r="BQ62" s="177">
        <f t="shared" ca="1" si="26"/>
        <v>4.4285714285714288</v>
      </c>
      <c r="BR62" s="209">
        <f t="shared" si="78"/>
        <v>39.304194571668582</v>
      </c>
      <c r="BS62" s="179">
        <f t="shared" si="83"/>
        <v>-0.14285714285714274</v>
      </c>
      <c r="BT62" s="213">
        <f t="shared" si="84"/>
        <v>7.7715611723760958E-16</v>
      </c>
      <c r="BU62" s="217">
        <f t="shared" ca="1" si="85"/>
        <v>0.53799684071427289</v>
      </c>
      <c r="BV62" s="176">
        <f>DANE!AY62</f>
        <v>6</v>
      </c>
      <c r="BW62" s="188">
        <f t="shared" si="11"/>
        <v>434</v>
      </c>
      <c r="BX62" s="177">
        <f t="shared" ca="1" si="27"/>
        <v>25.285714285714285</v>
      </c>
      <c r="BY62" s="209">
        <f t="shared" si="69"/>
        <v>120.56279918475315</v>
      </c>
      <c r="BZ62" s="179">
        <f t="shared" si="71"/>
        <v>-9.7965981158454202E-2</v>
      </c>
      <c r="CA62" s="213">
        <f t="shared" si="72"/>
        <v>0.3142381318908205</v>
      </c>
      <c r="CB62" s="214">
        <f t="shared" ca="1" si="73"/>
        <v>1.8355845621240772</v>
      </c>
      <c r="CC62" s="176">
        <f>DANE!BC62</f>
        <v>141</v>
      </c>
      <c r="CD62" s="188">
        <f t="shared" si="12"/>
        <v>2380</v>
      </c>
      <c r="CE62" s="177">
        <f t="shared" ca="1" si="28"/>
        <v>99.571428571428569</v>
      </c>
      <c r="CF62" s="209">
        <f t="shared" si="45"/>
        <v>660.2677612507689</v>
      </c>
      <c r="CG62" s="179">
        <f t="shared" si="46"/>
        <v>8.988818022248049E-2</v>
      </c>
      <c r="CH62" s="213">
        <f t="shared" si="47"/>
        <v>1.6292172615573635</v>
      </c>
      <c r="CI62" s="217">
        <f t="shared" ca="1" si="48"/>
        <v>1.384054634007762</v>
      </c>
      <c r="CJ62" s="176">
        <f>DANE!BG62</f>
        <v>0</v>
      </c>
      <c r="CK62" s="188">
        <f t="shared" si="13"/>
        <v>270</v>
      </c>
      <c r="CL62" s="177">
        <f t="shared" ca="1" si="29"/>
        <v>2.2857142857142856</v>
      </c>
      <c r="CM62" s="209">
        <f t="shared" si="79"/>
        <v>30.744463559396788</v>
      </c>
      <c r="CN62" s="179">
        <f t="shared" si="86"/>
        <v>-0.14285714285714279</v>
      </c>
      <c r="CO62" s="213">
        <f t="shared" si="87"/>
        <v>4.4408920985006262E-16</v>
      </c>
      <c r="CP62" s="214">
        <f t="shared" ca="1" si="88"/>
        <v>0.35936836456339138</v>
      </c>
      <c r="CQ62" s="176">
        <f>DANE!BK62</f>
        <v>0</v>
      </c>
      <c r="CR62" s="188">
        <f t="shared" si="14"/>
        <v>148</v>
      </c>
      <c r="CS62" s="177">
        <f t="shared" ca="1" si="30"/>
        <v>0.2857142857142857</v>
      </c>
      <c r="CT62" s="209">
        <f t="shared" si="89"/>
        <v>9.364948108081915</v>
      </c>
      <c r="CU62" s="179">
        <f t="shared" si="90"/>
        <v>-0.14285714285714277</v>
      </c>
      <c r="CV62" s="213">
        <f t="shared" si="91"/>
        <v>5.5511151231257827E-16</v>
      </c>
      <c r="CW62" s="217">
        <f t="shared" ca="1" si="92"/>
        <v>0.19206020073419358</v>
      </c>
      <c r="CX62" s="176">
        <f>DANE!BO62</f>
        <v>2</v>
      </c>
      <c r="CY62" s="188">
        <f t="shared" si="15"/>
        <v>1443</v>
      </c>
      <c r="CZ62" s="177">
        <f t="shared" ca="1" si="31"/>
        <v>29.571428571428573</v>
      </c>
      <c r="DA62" s="209">
        <f t="shared" si="54"/>
        <v>245.18288118936638</v>
      </c>
      <c r="DB62" s="179">
        <f t="shared" si="58"/>
        <v>-0.13580777447273418</v>
      </c>
      <c r="DC62" s="213">
        <f t="shared" si="59"/>
        <v>4.9345578690860759E-2</v>
      </c>
      <c r="DD62" s="214">
        <f t="shared" ca="1" si="60"/>
        <v>0.64107588704101481</v>
      </c>
      <c r="DE62" s="176">
        <f>DANE!BS62</f>
        <v>5</v>
      </c>
      <c r="DF62" s="188">
        <f t="shared" si="16"/>
        <v>401</v>
      </c>
      <c r="DG62" s="177">
        <f t="shared" ca="1" si="32"/>
        <v>9.2857142857142865</v>
      </c>
      <c r="DH62" s="209">
        <f t="shared" si="70"/>
        <v>74.586212120305802</v>
      </c>
      <c r="DI62" s="179">
        <f t="shared" si="74"/>
        <v>-8.126858737858296E-2</v>
      </c>
      <c r="DJ62" s="157">
        <f t="shared" si="75"/>
        <v>0.43111988834991921</v>
      </c>
      <c r="DK62" s="225">
        <f t="shared" ca="1" si="76"/>
        <v>0.76121099724052954</v>
      </c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</row>
    <row r="63" spans="1:138" x14ac:dyDescent="0.25">
      <c r="A63" s="61">
        <v>43953</v>
      </c>
      <c r="B63" s="62" t="str">
        <f t="shared" ca="1" si="0"/>
        <v/>
      </c>
      <c r="C63" s="12">
        <v>60</v>
      </c>
      <c r="D63" s="176">
        <f>DANE!K63</f>
        <v>40</v>
      </c>
      <c r="E63" s="198">
        <f t="shared" si="1"/>
        <v>1620</v>
      </c>
      <c r="F63" s="178">
        <f t="shared" ca="1" si="17"/>
        <v>48.857142857142854</v>
      </c>
      <c r="G63" s="211">
        <f t="shared" si="38"/>
        <v>310.44117135805243</v>
      </c>
      <c r="H63" s="200">
        <f t="shared" si="42"/>
        <v>-1.6080165396408844E-2</v>
      </c>
      <c r="I63" s="213">
        <f t="shared" si="43"/>
        <v>0.88743884222513814</v>
      </c>
      <c r="J63" s="214">
        <f t="shared" ca="1" si="44"/>
        <v>1.0361185066114387</v>
      </c>
      <c r="K63" s="176">
        <f>DANE!O63</f>
        <v>4</v>
      </c>
      <c r="L63" s="198">
        <f t="shared" si="2"/>
        <v>554</v>
      </c>
      <c r="M63" s="177">
        <f t="shared" ca="1" si="18"/>
        <v>11.428571428571429</v>
      </c>
      <c r="N63" s="211">
        <f t="shared" si="62"/>
        <v>75.855023556283072</v>
      </c>
      <c r="O63" s="200">
        <f t="shared" si="66"/>
        <v>-9.5142017889075933E-2</v>
      </c>
      <c r="P63" s="213">
        <f t="shared" si="67"/>
        <v>0.33400587477646848</v>
      </c>
      <c r="Q63" s="217">
        <f t="shared" ca="1" si="68"/>
        <v>1.0399300495665</v>
      </c>
      <c r="R63" s="176">
        <f>DANE!S63</f>
        <v>2</v>
      </c>
      <c r="S63" s="198">
        <f t="shared" si="3"/>
        <v>367</v>
      </c>
      <c r="T63" s="177">
        <f t="shared" ca="1" si="19"/>
        <v>3</v>
      </c>
      <c r="U63" s="211">
        <f t="shared" si="50"/>
        <v>31.735597614139497</v>
      </c>
      <c r="V63" s="200">
        <f t="shared" si="55"/>
        <v>-8.5206184012093039E-2</v>
      </c>
      <c r="W63" s="213">
        <f t="shared" si="56"/>
        <v>0.4035567119153487</v>
      </c>
      <c r="X63" s="214">
        <f t="shared" ca="1" si="57"/>
        <v>0.49585310636838581</v>
      </c>
      <c r="Y63" s="176">
        <f>DANE!W63</f>
        <v>0</v>
      </c>
      <c r="Z63" s="198">
        <f t="shared" si="4"/>
        <v>87</v>
      </c>
      <c r="AA63" s="177">
        <f t="shared" ca="1" si="20"/>
        <v>0.2857142857142857</v>
      </c>
      <c r="AB63" s="211"/>
      <c r="AC63" s="200"/>
      <c r="AD63" s="213"/>
      <c r="AE63" s="217"/>
      <c r="AF63" s="176">
        <f>DANE!AA63</f>
        <v>34</v>
      </c>
      <c r="AG63" s="198">
        <f t="shared" si="5"/>
        <v>1006</v>
      </c>
      <c r="AH63" s="177">
        <f t="shared" ca="1" si="21"/>
        <v>24.285714285714285</v>
      </c>
      <c r="AI63" s="211">
        <f t="shared" si="37"/>
        <v>176.94824047361749</v>
      </c>
      <c r="AJ63" s="200">
        <f t="shared" si="39"/>
        <v>6.101285264822863E-2</v>
      </c>
      <c r="AK63" s="213">
        <f t="shared" si="40"/>
        <v>1.4270899685376004</v>
      </c>
      <c r="AL63" s="214">
        <f t="shared" ca="1" si="41"/>
        <v>0.96495249436084818</v>
      </c>
      <c r="AM63" s="176">
        <f>DANE!AE63</f>
        <v>21</v>
      </c>
      <c r="AN63" s="198">
        <f t="shared" si="6"/>
        <v>934</v>
      </c>
      <c r="AO63" s="177">
        <f t="shared" ca="1" si="22"/>
        <v>17.428571428571427</v>
      </c>
      <c r="AP63" s="211">
        <f t="shared" si="49"/>
        <v>143.59433408717899</v>
      </c>
      <c r="AQ63" s="200">
        <f t="shared" si="51"/>
        <v>3.9685659655822377E-3</v>
      </c>
      <c r="AR63" s="213">
        <f t="shared" si="52"/>
        <v>1.0277799617590757</v>
      </c>
      <c r="AS63" s="217">
        <f t="shared" ca="1" si="53"/>
        <v>0.8089147875030791</v>
      </c>
      <c r="AT63" s="176">
        <f>DANE!AI63</f>
        <v>25</v>
      </c>
      <c r="AU63" s="198">
        <f t="shared" si="7"/>
        <v>2477</v>
      </c>
      <c r="AV63" s="177">
        <f t="shared" ca="1" si="23"/>
        <v>25</v>
      </c>
      <c r="AW63" s="211">
        <f t="shared" si="33"/>
        <v>243.43037045181214</v>
      </c>
      <c r="AX63" s="200">
        <f t="shared" si="34"/>
        <v>-4.4754615336599191E-2</v>
      </c>
      <c r="AY63" s="213">
        <f t="shared" si="35"/>
        <v>0.68671769264380567</v>
      </c>
      <c r="AZ63" s="214">
        <f t="shared" ca="1" si="36"/>
        <v>0.51157799641723067</v>
      </c>
      <c r="BA63" s="176">
        <f>DANE!AM63</f>
        <v>9</v>
      </c>
      <c r="BB63" s="198">
        <f t="shared" si="8"/>
        <v>407</v>
      </c>
      <c r="BC63" s="177">
        <f t="shared" ca="1" si="24"/>
        <v>7.8571428571428568</v>
      </c>
      <c r="BD63" s="211">
        <f t="shared" si="77"/>
        <v>65.435895917842288</v>
      </c>
      <c r="BE63" s="200">
        <f t="shared" si="80"/>
        <v>-6.1660247518158526E-3</v>
      </c>
      <c r="BF63" s="213">
        <f t="shared" si="81"/>
        <v>0.95683782673728901</v>
      </c>
      <c r="BG63" s="217">
        <f t="shared" ca="1" si="82"/>
        <v>0.68692283748706251</v>
      </c>
      <c r="BH63" s="176">
        <f>DANE!AQ63</f>
        <v>4</v>
      </c>
      <c r="BI63" s="198">
        <f t="shared" si="9"/>
        <v>341</v>
      </c>
      <c r="BJ63" s="177">
        <f t="shared" ca="1" si="25"/>
        <v>4.2857142857142856</v>
      </c>
      <c r="BK63" s="211">
        <f t="shared" si="61"/>
        <v>41.246741427864116</v>
      </c>
      <c r="BL63" s="200">
        <f t="shared" si="63"/>
        <v>-5.080690444335955E-2</v>
      </c>
      <c r="BM63" s="213">
        <f t="shared" si="64"/>
        <v>0.64435166889648321</v>
      </c>
      <c r="BN63" s="214">
        <f t="shared" ca="1" si="65"/>
        <v>0.63487005738219171</v>
      </c>
      <c r="BO63" s="176">
        <f>DANE!AU63</f>
        <v>2</v>
      </c>
      <c r="BP63" s="198">
        <f t="shared" si="10"/>
        <v>377</v>
      </c>
      <c r="BQ63" s="177">
        <f t="shared" ca="1" si="26"/>
        <v>2.7142857142857144</v>
      </c>
      <c r="BR63" s="211">
        <f t="shared" si="78"/>
        <v>35.689309632858787</v>
      </c>
      <c r="BS63" s="200">
        <f t="shared" si="83"/>
        <v>-9.1971988694954487E-2</v>
      </c>
      <c r="BT63" s="213">
        <f t="shared" si="84"/>
        <v>0.35619607913531859</v>
      </c>
      <c r="BU63" s="217">
        <f t="shared" ca="1" si="85"/>
        <v>0.37343815808438013</v>
      </c>
      <c r="BV63" s="176">
        <f>DANE!AY63</f>
        <v>6</v>
      </c>
      <c r="BW63" s="198">
        <f t="shared" si="11"/>
        <v>440</v>
      </c>
      <c r="BX63" s="177">
        <f t="shared" ca="1" si="27"/>
        <v>20.571428571428573</v>
      </c>
      <c r="BY63" s="211">
        <f t="shared" si="69"/>
        <v>109.33954215835985</v>
      </c>
      <c r="BZ63" s="200">
        <f t="shared" si="71"/>
        <v>-9.3090547849627531E-2</v>
      </c>
      <c r="CA63" s="213">
        <f t="shared" si="72"/>
        <v>0.3483661650526072</v>
      </c>
      <c r="CB63" s="214">
        <f t="shared" ca="1" si="73"/>
        <v>1.2616850669086237</v>
      </c>
      <c r="CC63" s="176">
        <f>DANE!BC63</f>
        <v>66</v>
      </c>
      <c r="CD63" s="198">
        <f t="shared" si="12"/>
        <v>2446</v>
      </c>
      <c r="CE63" s="177">
        <f t="shared" ca="1" si="28"/>
        <v>99.428571428571431</v>
      </c>
      <c r="CF63" s="211">
        <f t="shared" si="45"/>
        <v>631.94379535780195</v>
      </c>
      <c r="CG63" s="200">
        <f t="shared" si="46"/>
        <v>-4.2897696291140805E-2</v>
      </c>
      <c r="CH63" s="213">
        <f t="shared" si="47"/>
        <v>0.69971612596201438</v>
      </c>
      <c r="CI63" s="217">
        <f t="shared" ca="1" si="48"/>
        <v>1.3388811481570684</v>
      </c>
      <c r="CJ63" s="176">
        <f>DANE!BG63</f>
        <v>1</v>
      </c>
      <c r="CK63" s="198">
        <f t="shared" si="13"/>
        <v>271</v>
      </c>
      <c r="CL63" s="177">
        <f t="shared" ca="1" si="29"/>
        <v>2.2857142857142856</v>
      </c>
      <c r="CM63" s="211">
        <f t="shared" si="79"/>
        <v>27.35239733662582</v>
      </c>
      <c r="CN63" s="200">
        <f t="shared" si="86"/>
        <v>-0.11033096141741627</v>
      </c>
      <c r="CO63" s="213">
        <f t="shared" si="87"/>
        <v>0.22768327007808609</v>
      </c>
      <c r="CP63" s="214">
        <f t="shared" ca="1" si="88"/>
        <v>0.37535632771800886</v>
      </c>
      <c r="CQ63" s="176">
        <f>DANE!BK63</f>
        <v>0</v>
      </c>
      <c r="CR63" s="198">
        <f t="shared" si="14"/>
        <v>148</v>
      </c>
      <c r="CS63" s="177">
        <f t="shared" ca="1" si="30"/>
        <v>0.2857142857142857</v>
      </c>
      <c r="CT63" s="211">
        <f t="shared" si="89"/>
        <v>8.0270983783559284</v>
      </c>
      <c r="CU63" s="200">
        <f t="shared" si="90"/>
        <v>-0.14285714285714271</v>
      </c>
      <c r="CV63" s="213">
        <f t="shared" si="91"/>
        <v>9.9920072216264089E-16</v>
      </c>
      <c r="CW63" s="217">
        <f t="shared" ca="1" si="92"/>
        <v>0.19206020073419364</v>
      </c>
      <c r="CX63" s="176">
        <f>DANE!BO63</f>
        <v>51</v>
      </c>
      <c r="CY63" s="198">
        <f t="shared" si="15"/>
        <v>1494</v>
      </c>
      <c r="CZ63" s="177">
        <f t="shared" ca="1" si="31"/>
        <v>32.571428571428569</v>
      </c>
      <c r="DA63" s="211">
        <f t="shared" si="54"/>
        <v>261.1567553051712</v>
      </c>
      <c r="DB63" s="200">
        <f t="shared" si="58"/>
        <v>6.5150854082130782E-2</v>
      </c>
      <c r="DC63" s="213">
        <f t="shared" si="59"/>
        <v>1.4560559785749154</v>
      </c>
      <c r="DD63" s="214">
        <f t="shared" ca="1" si="60"/>
        <v>0.76492146781803017</v>
      </c>
      <c r="DE63" s="176">
        <f>DANE!BS63</f>
        <v>5</v>
      </c>
      <c r="DF63" s="198">
        <f t="shared" si="16"/>
        <v>406</v>
      </c>
      <c r="DG63" s="177">
        <f t="shared" ca="1" si="32"/>
        <v>9</v>
      </c>
      <c r="DH63" s="209">
        <f t="shared" si="70"/>
        <v>68.931038960262129</v>
      </c>
      <c r="DI63" s="179">
        <f t="shared" si="74"/>
        <v>-7.5820624204940359E-2</v>
      </c>
      <c r="DJ63" s="157">
        <f t="shared" si="75"/>
        <v>0.46925563056541741</v>
      </c>
      <c r="DK63" s="225">
        <f t="shared" ca="1" si="76"/>
        <v>0.75554948521589915</v>
      </c>
      <c r="DL63" s="75"/>
      <c r="DM63" s="75"/>
      <c r="DN63" s="75"/>
      <c r="DO63" s="75"/>
      <c r="DP63" s="75"/>
      <c r="DQ63" s="75"/>
      <c r="DR63" s="75"/>
      <c r="DS63" s="75"/>
      <c r="DT63" s="75"/>
      <c r="DU63" s="75"/>
      <c r="DV63" s="75"/>
      <c r="DW63" s="75"/>
      <c r="DX63" s="75"/>
      <c r="DY63" s="75"/>
      <c r="DZ63" s="75"/>
      <c r="EA63" s="75"/>
      <c r="EB63" s="75"/>
      <c r="EC63" s="75"/>
      <c r="ED63" s="75"/>
      <c r="EE63" s="75"/>
      <c r="EF63" s="75"/>
      <c r="EG63" s="75"/>
      <c r="EH63" s="75"/>
    </row>
    <row r="64" spans="1:138" x14ac:dyDescent="0.25">
      <c r="A64" s="61">
        <v>43954</v>
      </c>
      <c r="B64" s="62" t="str">
        <f t="shared" ca="1" si="0"/>
        <v/>
      </c>
      <c r="C64" s="12">
        <v>61</v>
      </c>
      <c r="D64" s="176">
        <f>DANE!K64</f>
        <v>25</v>
      </c>
      <c r="E64" s="198">
        <f t="shared" si="1"/>
        <v>1645</v>
      </c>
      <c r="F64" s="178">
        <f t="shared" ca="1" si="17"/>
        <v>43.428571428571431</v>
      </c>
      <c r="G64" s="211">
        <f t="shared" si="38"/>
        <v>291.09243259261638</v>
      </c>
      <c r="H64" s="200">
        <f t="shared" si="42"/>
        <v>-6.2326587291219399E-2</v>
      </c>
      <c r="I64" s="213">
        <f t="shared" si="43"/>
        <v>0.56371388896146413</v>
      </c>
      <c r="J64" s="214">
        <f t="shared" ca="1" si="44"/>
        <v>0.9084181491362715</v>
      </c>
      <c r="K64" s="176">
        <f>DANE!O64</f>
        <v>3</v>
      </c>
      <c r="L64" s="198">
        <f t="shared" si="2"/>
        <v>557</v>
      </c>
      <c r="M64" s="177">
        <f t="shared" ca="1" si="18"/>
        <v>11.285714285714286</v>
      </c>
      <c r="N64" s="211">
        <f t="shared" si="62"/>
        <v>68.018591619671213</v>
      </c>
      <c r="O64" s="200">
        <f t="shared" si="66"/>
        <v>-0.10330801533266108</v>
      </c>
      <c r="P64" s="213">
        <f t="shared" si="67"/>
        <v>0.27684389267137244</v>
      </c>
      <c r="Q64" s="217">
        <f t="shared" ca="1" si="68"/>
        <v>1.0287691230820497</v>
      </c>
      <c r="R64" s="176">
        <f>DANE!S64</f>
        <v>7</v>
      </c>
      <c r="S64" s="198">
        <f t="shared" si="3"/>
        <v>374</v>
      </c>
      <c r="T64" s="177">
        <f t="shared" ca="1" si="19"/>
        <v>3.2857142857142856</v>
      </c>
      <c r="U64" s="211">
        <f t="shared" si="50"/>
        <v>34.201940812119574</v>
      </c>
      <c r="V64" s="200">
        <f t="shared" si="55"/>
        <v>7.7715353842311791E-2</v>
      </c>
      <c r="W64" s="213">
        <f t="shared" si="56"/>
        <v>1.5440074768961827</v>
      </c>
      <c r="X64" s="214">
        <f t="shared" ca="1" si="57"/>
        <v>0.62354445558941562</v>
      </c>
      <c r="Y64" s="176">
        <f>DANE!W64</f>
        <v>1</v>
      </c>
      <c r="Z64" s="198">
        <f t="shared" si="4"/>
        <v>88</v>
      </c>
      <c r="AA64" s="177">
        <f t="shared" ca="1" si="20"/>
        <v>0.14285714285714285</v>
      </c>
      <c r="AB64" s="211"/>
      <c r="AC64" s="200"/>
      <c r="AD64" s="213"/>
      <c r="AE64" s="217"/>
      <c r="AF64" s="176">
        <f>DANE!AA64</f>
        <v>43</v>
      </c>
      <c r="AG64" s="198">
        <f t="shared" si="5"/>
        <v>1049</v>
      </c>
      <c r="AH64" s="177">
        <f t="shared" ca="1" si="21"/>
        <v>27.714285714285715</v>
      </c>
      <c r="AI64" s="211">
        <f t="shared" si="37"/>
        <v>194.66992040595787</v>
      </c>
      <c r="AJ64" s="200">
        <f t="shared" si="39"/>
        <v>0.10015177254606629</v>
      </c>
      <c r="AK64" s="213">
        <f t="shared" si="40"/>
        <v>1.7010624078224641</v>
      </c>
      <c r="AL64" s="214">
        <f t="shared" ca="1" si="41"/>
        <v>1.1052163354719362</v>
      </c>
      <c r="AM64" s="176">
        <f>DANE!AE64</f>
        <v>10</v>
      </c>
      <c r="AN64" s="198">
        <f t="shared" si="6"/>
        <v>944</v>
      </c>
      <c r="AO64" s="177">
        <f t="shared" ca="1" si="22"/>
        <v>17.571428571428573</v>
      </c>
      <c r="AP64" s="211">
        <f t="shared" si="49"/>
        <v>133.08085778901057</v>
      </c>
      <c r="AQ64" s="200">
        <f t="shared" si="51"/>
        <v>-7.3216512092917851E-2</v>
      </c>
      <c r="AR64" s="213">
        <f t="shared" si="52"/>
        <v>0.48748441534957498</v>
      </c>
      <c r="AS64" s="217">
        <f t="shared" ca="1" si="53"/>
        <v>0.82720662303711678</v>
      </c>
      <c r="AT64" s="176">
        <f>DANE!AI64</f>
        <v>31</v>
      </c>
      <c r="AU64" s="198">
        <f t="shared" si="7"/>
        <v>2508</v>
      </c>
      <c r="AV64" s="177">
        <f t="shared" ca="1" si="23"/>
        <v>22.857142857142858</v>
      </c>
      <c r="AW64" s="211">
        <f t="shared" si="33"/>
        <v>239.65460324441042</v>
      </c>
      <c r="AX64" s="200">
        <f t="shared" si="34"/>
        <v>-1.5510666152271002E-2</v>
      </c>
      <c r="AY64" s="213">
        <f t="shared" si="35"/>
        <v>0.89142533693410297</v>
      </c>
      <c r="AZ64" s="214">
        <f t="shared" ca="1" si="36"/>
        <v>0.52570017789193757</v>
      </c>
      <c r="BA64" s="176">
        <f>DANE!AM64</f>
        <v>15</v>
      </c>
      <c r="BB64" s="198">
        <f t="shared" si="8"/>
        <v>422</v>
      </c>
      <c r="BC64" s="177">
        <f t="shared" ca="1" si="24"/>
        <v>8.4285714285714288</v>
      </c>
      <c r="BD64" s="211">
        <f t="shared" si="77"/>
        <v>71.087910786721963</v>
      </c>
      <c r="BE64" s="200">
        <f t="shared" si="80"/>
        <v>8.6374837382467179E-2</v>
      </c>
      <c r="BF64" s="213">
        <f t="shared" si="81"/>
        <v>1.6046238616772703</v>
      </c>
      <c r="BG64" s="217">
        <f t="shared" ca="1" si="82"/>
        <v>0.79485019088910025</v>
      </c>
      <c r="BH64" s="176">
        <f>DANE!AQ64</f>
        <v>9</v>
      </c>
      <c r="BI64" s="198">
        <f t="shared" si="9"/>
        <v>350</v>
      </c>
      <c r="BJ64" s="177">
        <f t="shared" ca="1" si="25"/>
        <v>5.2857142857142856</v>
      </c>
      <c r="BK64" s="211">
        <f t="shared" si="61"/>
        <v>44.354349795312103</v>
      </c>
      <c r="BL64" s="200">
        <f t="shared" si="63"/>
        <v>7.5341912109174569E-2</v>
      </c>
      <c r="BM64" s="213">
        <f t="shared" si="64"/>
        <v>1.527393384764222</v>
      </c>
      <c r="BN64" s="214">
        <f t="shared" ca="1" si="65"/>
        <v>0.82026904486825813</v>
      </c>
      <c r="BO64" s="176">
        <f>DANE!AU64</f>
        <v>1</v>
      </c>
      <c r="BP64" s="198">
        <f t="shared" si="10"/>
        <v>378</v>
      </c>
      <c r="BQ64" s="177">
        <f t="shared" ca="1" si="26"/>
        <v>2.4285714285714284</v>
      </c>
      <c r="BR64" s="211">
        <f t="shared" si="78"/>
        <v>31.590836828164676</v>
      </c>
      <c r="BS64" s="200">
        <f t="shared" si="83"/>
        <v>-0.11483754790596143</v>
      </c>
      <c r="BT64" s="213">
        <f t="shared" si="84"/>
        <v>0.19613716465826991</v>
      </c>
      <c r="BU64" s="217">
        <f t="shared" ca="1" si="85"/>
        <v>0.35841551065412997</v>
      </c>
      <c r="BV64" s="176">
        <f>DANE!AY64</f>
        <v>4</v>
      </c>
      <c r="BW64" s="198">
        <f t="shared" si="11"/>
        <v>444</v>
      </c>
      <c r="BX64" s="177">
        <f t="shared" ca="1" si="27"/>
        <v>14</v>
      </c>
      <c r="BY64" s="211">
        <f t="shared" si="69"/>
        <v>97.719607564308447</v>
      </c>
      <c r="BZ64" s="200">
        <f t="shared" si="71"/>
        <v>-0.10627385449649944</v>
      </c>
      <c r="CA64" s="213">
        <f t="shared" si="72"/>
        <v>0.25608301852450388</v>
      </c>
      <c r="CB64" s="214">
        <f t="shared" ca="1" si="73"/>
        <v>0.75831219687043683</v>
      </c>
      <c r="CC64" s="176">
        <f>DANE!BC64</f>
        <v>130</v>
      </c>
      <c r="CD64" s="198">
        <f t="shared" si="12"/>
        <v>2576</v>
      </c>
      <c r="CE64" s="177">
        <f t="shared" ca="1" si="28"/>
        <v>107.42857142857143</v>
      </c>
      <c r="CF64" s="211">
        <f t="shared" si="45"/>
        <v>671.66611030668741</v>
      </c>
      <c r="CG64" s="200">
        <f t="shared" si="46"/>
        <v>6.2857354151875142E-2</v>
      </c>
      <c r="CH64" s="213">
        <f t="shared" si="47"/>
        <v>1.4400014790631261</v>
      </c>
      <c r="CI64" s="217">
        <f t="shared" ca="1" si="48"/>
        <v>1.3846635423663911</v>
      </c>
      <c r="CJ64" s="176">
        <f>DANE!BG64</f>
        <v>7</v>
      </c>
      <c r="CK64" s="198">
        <f t="shared" si="13"/>
        <v>278</v>
      </c>
      <c r="CL64" s="177">
        <f t="shared" ca="1" si="29"/>
        <v>2.8571428571428572</v>
      </c>
      <c r="CM64" s="211">
        <f t="shared" si="79"/>
        <v>30.444912002822132</v>
      </c>
      <c r="CN64" s="200">
        <f t="shared" si="86"/>
        <v>0.11306192390146827</v>
      </c>
      <c r="CO64" s="213">
        <f t="shared" si="87"/>
        <v>1.7914334673102781</v>
      </c>
      <c r="CP64" s="214">
        <f t="shared" ca="1" si="88"/>
        <v>0.57448733273335273</v>
      </c>
      <c r="CQ64" s="176">
        <f>DANE!BK64</f>
        <v>0</v>
      </c>
      <c r="CR64" s="198">
        <f t="shared" si="14"/>
        <v>148</v>
      </c>
      <c r="CS64" s="177">
        <f t="shared" ca="1" si="30"/>
        <v>0.2857142857142857</v>
      </c>
      <c r="CT64" s="211">
        <f t="shared" si="89"/>
        <v>6.8803700385907964</v>
      </c>
      <c r="CU64" s="200">
        <f t="shared" si="90"/>
        <v>-0.14285714285714277</v>
      </c>
      <c r="CV64" s="213">
        <f t="shared" si="91"/>
        <v>5.5511151231257827E-16</v>
      </c>
      <c r="CW64" s="217">
        <f t="shared" ca="1" si="92"/>
        <v>0.19206020073419369</v>
      </c>
      <c r="CX64" s="176">
        <f>DANE!BO64</f>
        <v>24</v>
      </c>
      <c r="CY64" s="198">
        <f t="shared" si="15"/>
        <v>1518</v>
      </c>
      <c r="CZ64" s="177">
        <f t="shared" ca="1" si="31"/>
        <v>30.142857142857142</v>
      </c>
      <c r="DA64" s="211">
        <f t="shared" si="54"/>
        <v>247.84864740443248</v>
      </c>
      <c r="DB64" s="200">
        <f t="shared" si="58"/>
        <v>-5.0958313849426215E-2</v>
      </c>
      <c r="DC64" s="213">
        <f t="shared" si="59"/>
        <v>0.64329180305401645</v>
      </c>
      <c r="DD64" s="214">
        <f t="shared" ca="1" si="60"/>
        <v>0.73462617764141402</v>
      </c>
      <c r="DE64" s="176">
        <f>DANE!BS64</f>
        <v>8</v>
      </c>
      <c r="DF64" s="198">
        <f t="shared" si="16"/>
        <v>414</v>
      </c>
      <c r="DG64" s="177">
        <f t="shared" ca="1" si="32"/>
        <v>8.4285714285714288</v>
      </c>
      <c r="DH64" s="209">
        <f t="shared" si="70"/>
        <v>67.08374768022469</v>
      </c>
      <c r="DI64" s="179">
        <f t="shared" si="74"/>
        <v>-2.6799121381332711E-2</v>
      </c>
      <c r="DJ64" s="157">
        <f t="shared" si="75"/>
        <v>0.81240615033067098</v>
      </c>
      <c r="DK64" s="225">
        <f t="shared" ca="1" si="76"/>
        <v>0.73757898947063638</v>
      </c>
      <c r="DL64" s="75"/>
      <c r="DM64" s="75"/>
      <c r="DN64" s="75"/>
      <c r="DO64" s="75"/>
      <c r="DP64" s="75"/>
      <c r="DQ64" s="75"/>
      <c r="DR64" s="75"/>
      <c r="DS64" s="75"/>
      <c r="DT64" s="75"/>
      <c r="DU64" s="75"/>
      <c r="DV64" s="75"/>
      <c r="DW64" s="75"/>
      <c r="DX64" s="75"/>
      <c r="DY64" s="75"/>
      <c r="DZ64" s="75"/>
      <c r="EA64" s="75"/>
      <c r="EB64" s="75"/>
      <c r="EC64" s="75"/>
      <c r="ED64" s="75"/>
      <c r="EE64" s="75"/>
      <c r="EF64" s="75"/>
      <c r="EG64" s="75"/>
      <c r="EH64" s="75"/>
    </row>
    <row r="65" spans="1:138" x14ac:dyDescent="0.25">
      <c r="A65" s="32">
        <v>43955</v>
      </c>
      <c r="B65" s="33" t="str">
        <f t="shared" ca="1" si="0"/>
        <v/>
      </c>
      <c r="C65" s="51">
        <v>62</v>
      </c>
      <c r="D65" s="176">
        <f>DANE!K65</f>
        <v>78</v>
      </c>
      <c r="E65" s="188">
        <f t="shared" si="1"/>
        <v>1723</v>
      </c>
      <c r="F65" s="178">
        <f t="shared" ca="1" si="17"/>
        <v>44.428571428571431</v>
      </c>
      <c r="G65" s="209">
        <f t="shared" si="38"/>
        <v>327.5077993650998</v>
      </c>
      <c r="H65" s="179">
        <f t="shared" si="42"/>
        <v>0.12509898126911015</v>
      </c>
      <c r="I65" s="213">
        <f t="shared" si="43"/>
        <v>1.8756928688837711</v>
      </c>
      <c r="J65" s="214">
        <f t="shared" ca="1" si="44"/>
        <v>0.95610140723898573</v>
      </c>
      <c r="K65" s="176">
        <f>DANE!O65</f>
        <v>0</v>
      </c>
      <c r="L65" s="188">
        <f t="shared" si="2"/>
        <v>557</v>
      </c>
      <c r="M65" s="177">
        <f t="shared" ca="1" si="18"/>
        <v>10.571428571428571</v>
      </c>
      <c r="N65" s="209">
        <f t="shared" si="62"/>
        <v>58.301649959718183</v>
      </c>
      <c r="O65" s="179">
        <f t="shared" si="66"/>
        <v>-0.14285714285714285</v>
      </c>
      <c r="P65" s="213">
        <f t="shared" si="67"/>
        <v>0</v>
      </c>
      <c r="Q65" s="217">
        <f t="shared" ca="1" si="68"/>
        <v>0.95894771618613983</v>
      </c>
      <c r="R65" s="176">
        <f>DANE!S65</f>
        <v>0</v>
      </c>
      <c r="S65" s="188">
        <f t="shared" si="3"/>
        <v>374</v>
      </c>
      <c r="T65" s="177">
        <f t="shared" ca="1" si="19"/>
        <v>3</v>
      </c>
      <c r="U65" s="209">
        <f t="shared" si="50"/>
        <v>29.315949267531064</v>
      </c>
      <c r="V65" s="179">
        <f t="shared" si="55"/>
        <v>-0.14285714285714285</v>
      </c>
      <c r="W65" s="213">
        <f t="shared" si="56"/>
        <v>0</v>
      </c>
      <c r="X65" s="214">
        <f t="shared" ca="1" si="57"/>
        <v>0.58443759217265334</v>
      </c>
      <c r="Y65" s="176">
        <f>DANE!W65</f>
        <v>2</v>
      </c>
      <c r="Z65" s="188">
        <f t="shared" si="4"/>
        <v>90</v>
      </c>
      <c r="AA65" s="177">
        <f t="shared" ca="1" si="20"/>
        <v>0.42857142857142855</v>
      </c>
      <c r="AB65" s="209"/>
      <c r="AC65" s="179"/>
      <c r="AD65" s="213"/>
      <c r="AE65" s="217"/>
      <c r="AF65" s="176">
        <f>DANE!AA65</f>
        <v>19</v>
      </c>
      <c r="AG65" s="188">
        <f t="shared" si="5"/>
        <v>1068</v>
      </c>
      <c r="AH65" s="177">
        <f t="shared" ca="1" si="21"/>
        <v>25.428571428571427</v>
      </c>
      <c r="AI65" s="209">
        <f t="shared" si="37"/>
        <v>185.85993177653532</v>
      </c>
      <c r="AJ65" s="179">
        <f t="shared" si="39"/>
        <v>-4.5256034476464084E-2</v>
      </c>
      <c r="AK65" s="213">
        <f t="shared" si="40"/>
        <v>0.68320775866475136</v>
      </c>
      <c r="AL65" s="214">
        <f t="shared" ca="1" si="41"/>
        <v>1.0056410486518528</v>
      </c>
      <c r="AM65" s="176">
        <f>DANE!AE65</f>
        <v>32</v>
      </c>
      <c r="AN65" s="188">
        <f t="shared" si="6"/>
        <v>976</v>
      </c>
      <c r="AO65" s="177">
        <f t="shared" ca="1" si="22"/>
        <v>19.285714285714285</v>
      </c>
      <c r="AP65" s="209">
        <f t="shared" si="49"/>
        <v>146.06930667629479</v>
      </c>
      <c r="AQ65" s="179">
        <f t="shared" si="51"/>
        <v>9.7598175297880965E-2</v>
      </c>
      <c r="AR65" s="213">
        <f t="shared" si="52"/>
        <v>1.6831872270851669</v>
      </c>
      <c r="AS65" s="217">
        <f t="shared" ca="1" si="53"/>
        <v>0.94205986928889174</v>
      </c>
      <c r="AT65" s="176">
        <f>DANE!AI65</f>
        <v>45</v>
      </c>
      <c r="AU65" s="188">
        <f t="shared" si="7"/>
        <v>2553</v>
      </c>
      <c r="AV65" s="177">
        <f t="shared" ca="1" si="23"/>
        <v>25.285714285714285</v>
      </c>
      <c r="AW65" s="209">
        <f t="shared" si="33"/>
        <v>250.4182313523518</v>
      </c>
      <c r="AX65" s="179">
        <f t="shared" si="34"/>
        <v>4.4913087260686352E-2</v>
      </c>
      <c r="AY65" s="213">
        <f t="shared" si="35"/>
        <v>1.3143916108248046</v>
      </c>
      <c r="AZ65" s="214">
        <f t="shared" ca="1" si="36"/>
        <v>0.64244663514346989</v>
      </c>
      <c r="BA65" s="176">
        <f>DANE!AM65</f>
        <v>13</v>
      </c>
      <c r="BB65" s="188">
        <f t="shared" si="8"/>
        <v>435</v>
      </c>
      <c r="BC65" s="177">
        <f t="shared" ca="1" si="24"/>
        <v>8.8571428571428577</v>
      </c>
      <c r="BD65" s="209">
        <f t="shared" si="77"/>
        <v>73.932494960047393</v>
      </c>
      <c r="BE65" s="179">
        <f t="shared" si="80"/>
        <v>4.0015020020207862E-2</v>
      </c>
      <c r="BF65" s="213">
        <f t="shared" si="81"/>
        <v>1.2801051401414552</v>
      </c>
      <c r="BG65" s="217">
        <f t="shared" ca="1" si="82"/>
        <v>0.86501632171648957</v>
      </c>
      <c r="BH65" s="176">
        <f>DANE!AQ65</f>
        <v>13</v>
      </c>
      <c r="BI65" s="188">
        <f t="shared" si="9"/>
        <v>363</v>
      </c>
      <c r="BJ65" s="177">
        <f t="shared" ca="1" si="25"/>
        <v>6.7142857142857144</v>
      </c>
      <c r="BK65" s="209">
        <f t="shared" si="61"/>
        <v>51.018014110267522</v>
      </c>
      <c r="BL65" s="179">
        <f t="shared" si="63"/>
        <v>0.15023699695085407</v>
      </c>
      <c r="BM65" s="213">
        <f t="shared" si="64"/>
        <v>2.0516589786559787</v>
      </c>
      <c r="BN65" s="214">
        <f t="shared" ca="1" si="65"/>
        <v>1.0580786266904576</v>
      </c>
      <c r="BO65" s="176">
        <f>DANE!AU65</f>
        <v>0</v>
      </c>
      <c r="BP65" s="188">
        <f t="shared" si="10"/>
        <v>378</v>
      </c>
      <c r="BQ65" s="177">
        <f t="shared" ca="1" si="26"/>
        <v>1.8571428571428572</v>
      </c>
      <c r="BR65" s="209">
        <f t="shared" si="78"/>
        <v>27.077860138426868</v>
      </c>
      <c r="BS65" s="179">
        <f t="shared" si="83"/>
        <v>-0.14285714285714277</v>
      </c>
      <c r="BT65" s="213">
        <f t="shared" si="84"/>
        <v>5.5511151231257827E-16</v>
      </c>
      <c r="BU65" s="217">
        <f t="shared" ca="1" si="85"/>
        <v>0.29466233751351301</v>
      </c>
      <c r="BV65" s="176">
        <f>DANE!AY65</f>
        <v>0</v>
      </c>
      <c r="BW65" s="188">
        <f t="shared" si="11"/>
        <v>444</v>
      </c>
      <c r="BX65" s="177">
        <f t="shared" ca="1" si="27"/>
        <v>12.428571428571429</v>
      </c>
      <c r="BY65" s="209">
        <f t="shared" si="69"/>
        <v>83.759663626550108</v>
      </c>
      <c r="BZ65" s="179">
        <f t="shared" si="71"/>
        <v>-0.14285714285714277</v>
      </c>
      <c r="CA65" s="213">
        <f t="shared" si="72"/>
        <v>5.5511151231257827E-16</v>
      </c>
      <c r="CB65" s="214">
        <f t="shared" ca="1" si="73"/>
        <v>0.6732857574224892</v>
      </c>
      <c r="CC65" s="176">
        <f>DANE!BC65</f>
        <v>80</v>
      </c>
      <c r="CD65" s="188">
        <f t="shared" si="12"/>
        <v>2656</v>
      </c>
      <c r="CE65" s="177">
        <f t="shared" ca="1" si="28"/>
        <v>112.85714285714286</v>
      </c>
      <c r="CF65" s="209">
        <f t="shared" si="45"/>
        <v>655.71380883430356</v>
      </c>
      <c r="CG65" s="179">
        <f t="shared" si="46"/>
        <v>-2.3750344445843664E-2</v>
      </c>
      <c r="CH65" s="213">
        <f t="shared" si="47"/>
        <v>0.83374758887909439</v>
      </c>
      <c r="CI65" s="217">
        <f t="shared" ca="1" si="48"/>
        <v>1.4145219784277641</v>
      </c>
      <c r="CJ65" s="176">
        <f>DANE!BG65</f>
        <v>4</v>
      </c>
      <c r="CK65" s="188">
        <f t="shared" si="13"/>
        <v>282</v>
      </c>
      <c r="CL65" s="177">
        <f t="shared" ca="1" si="29"/>
        <v>3</v>
      </c>
      <c r="CM65" s="209">
        <f t="shared" si="79"/>
        <v>30.095638859561831</v>
      </c>
      <c r="CN65" s="179">
        <f t="shared" si="86"/>
        <v>-1.1472299319765655E-2</v>
      </c>
      <c r="CO65" s="213">
        <f t="shared" si="87"/>
        <v>0.91969390476164037</v>
      </c>
      <c r="CP65" s="214">
        <f t="shared" ca="1" si="88"/>
        <v>0.64373612137888003</v>
      </c>
      <c r="CQ65" s="176">
        <f>DANE!BK65</f>
        <v>2</v>
      </c>
      <c r="CR65" s="188">
        <f t="shared" si="14"/>
        <v>150</v>
      </c>
      <c r="CS65" s="177">
        <f t="shared" ca="1" si="30"/>
        <v>0.5714285714285714</v>
      </c>
      <c r="CT65" s="209">
        <f t="shared" si="89"/>
        <v>7.8974600330778255</v>
      </c>
      <c r="CU65" s="179">
        <f t="shared" si="90"/>
        <v>0.1478248973212703</v>
      </c>
      <c r="CV65" s="213">
        <f t="shared" si="91"/>
        <v>2.0347742812488923</v>
      </c>
      <c r="CW65" s="217">
        <f t="shared" ca="1" si="92"/>
        <v>0.48274224091260681</v>
      </c>
      <c r="CX65" s="176">
        <f>DANE!BO65</f>
        <v>11</v>
      </c>
      <c r="CY65" s="188">
        <f t="shared" si="15"/>
        <v>1529</v>
      </c>
      <c r="CZ65" s="177">
        <f t="shared" ca="1" si="31"/>
        <v>26.571428571428573</v>
      </c>
      <c r="DA65" s="209">
        <f t="shared" si="54"/>
        <v>223.44169777522785</v>
      </c>
      <c r="DB65" s="179">
        <f t="shared" si="58"/>
        <v>-9.8475218181756127E-2</v>
      </c>
      <c r="DC65" s="213">
        <f t="shared" si="59"/>
        <v>0.31067347272770707</v>
      </c>
      <c r="DD65" s="214">
        <f t="shared" ca="1" si="60"/>
        <v>0.66945194348068282</v>
      </c>
      <c r="DE65" s="176">
        <f>DANE!BS65</f>
        <v>14</v>
      </c>
      <c r="DF65" s="188">
        <f t="shared" si="16"/>
        <v>428</v>
      </c>
      <c r="DG65" s="177">
        <f t="shared" ca="1" si="32"/>
        <v>8.2857142857142865</v>
      </c>
      <c r="DH65" s="209">
        <f t="shared" si="70"/>
        <v>71.500355154478314</v>
      </c>
      <c r="DI65" s="179">
        <f t="shared" si="74"/>
        <v>6.5837220295245594E-2</v>
      </c>
      <c r="DJ65" s="157">
        <f t="shared" si="75"/>
        <v>1.4608605420667191</v>
      </c>
      <c r="DK65" s="225">
        <f t="shared" ca="1" si="76"/>
        <v>0.77724542177317069</v>
      </c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</row>
    <row r="66" spans="1:138" x14ac:dyDescent="0.25">
      <c r="A66" s="32">
        <v>43956</v>
      </c>
      <c r="B66" s="33" t="str">
        <f t="shared" ca="1" si="0"/>
        <v/>
      </c>
      <c r="C66" s="51">
        <v>63</v>
      </c>
      <c r="D66" s="176">
        <f>DANE!K66</f>
        <v>46</v>
      </c>
      <c r="E66" s="188">
        <f t="shared" si="1"/>
        <v>1769</v>
      </c>
      <c r="F66" s="178">
        <f t="shared" ca="1" si="17"/>
        <v>44</v>
      </c>
      <c r="G66" s="209">
        <f t="shared" si="38"/>
        <v>326.7209708843713</v>
      </c>
      <c r="H66" s="179">
        <f t="shared" si="42"/>
        <v>-2.4024724976132858E-3</v>
      </c>
      <c r="I66" s="213">
        <f t="shared" si="43"/>
        <v>0.98318269251670698</v>
      </c>
      <c r="J66" s="214">
        <f t="shared" ca="1" si="44"/>
        <v>0.9554598427516704</v>
      </c>
      <c r="K66" s="176">
        <f>DANE!O66</f>
        <v>4</v>
      </c>
      <c r="L66" s="188">
        <f t="shared" si="2"/>
        <v>561</v>
      </c>
      <c r="M66" s="177">
        <f t="shared" ca="1" si="18"/>
        <v>6.1428571428571432</v>
      </c>
      <c r="N66" s="209">
        <f t="shared" si="62"/>
        <v>53.97284282261559</v>
      </c>
      <c r="O66" s="179">
        <f t="shared" si="66"/>
        <v>-7.4248449916828357E-2</v>
      </c>
      <c r="P66" s="213">
        <f t="shared" si="67"/>
        <v>0.48026085058220147</v>
      </c>
      <c r="Q66" s="217">
        <f t="shared" ca="1" si="68"/>
        <v>0.50029784347054218</v>
      </c>
      <c r="R66" s="176">
        <f>DANE!S66</f>
        <v>2</v>
      </c>
      <c r="S66" s="188">
        <f t="shared" si="3"/>
        <v>376</v>
      </c>
      <c r="T66" s="177">
        <f t="shared" ca="1" si="19"/>
        <v>2.8571428571428572</v>
      </c>
      <c r="U66" s="209">
        <f t="shared" si="50"/>
        <v>27.127956515026629</v>
      </c>
      <c r="V66" s="179">
        <f t="shared" si="55"/>
        <v>-7.4634893536527941E-2</v>
      </c>
      <c r="W66" s="213">
        <f t="shared" si="56"/>
        <v>0.47755574524430433</v>
      </c>
      <c r="X66" s="214">
        <f t="shared" ca="1" si="57"/>
        <v>0.58720900365254247</v>
      </c>
      <c r="Y66" s="176">
        <f>DANE!W66</f>
        <v>0</v>
      </c>
      <c r="Z66" s="188">
        <f t="shared" si="4"/>
        <v>90</v>
      </c>
      <c r="AA66" s="177">
        <f t="shared" ca="1" si="20"/>
        <v>0.42857142857142855</v>
      </c>
      <c r="AB66" s="209"/>
      <c r="AC66" s="179"/>
      <c r="AD66" s="213"/>
      <c r="AE66" s="217"/>
      <c r="AF66" s="176">
        <f>DANE!AA66</f>
        <v>3</v>
      </c>
      <c r="AG66" s="188">
        <f t="shared" si="5"/>
        <v>1071</v>
      </c>
      <c r="AH66" s="177">
        <f t="shared" ca="1" si="21"/>
        <v>23.857142857142858</v>
      </c>
      <c r="AI66" s="209">
        <f t="shared" si="37"/>
        <v>162.308512951316</v>
      </c>
      <c r="AJ66" s="179">
        <f t="shared" si="39"/>
        <v>-0.12671595539772315</v>
      </c>
      <c r="AK66" s="213">
        <f t="shared" si="40"/>
        <v>0.11298831221593786</v>
      </c>
      <c r="AL66" s="214">
        <f t="shared" ca="1" si="41"/>
        <v>0.94697514337822652</v>
      </c>
      <c r="AM66" s="176">
        <f>DANE!AE66</f>
        <v>21</v>
      </c>
      <c r="AN66" s="188">
        <f t="shared" si="6"/>
        <v>997</v>
      </c>
      <c r="AO66" s="177">
        <f t="shared" ca="1" si="22"/>
        <v>20.714285714285715</v>
      </c>
      <c r="AP66" s="209">
        <f t="shared" si="49"/>
        <v>146.20226286539554</v>
      </c>
      <c r="AQ66" s="179">
        <f t="shared" si="51"/>
        <v>9.1022674185342752E-4</v>
      </c>
      <c r="AR66" s="213">
        <f t="shared" si="52"/>
        <v>1.0063715871929739</v>
      </c>
      <c r="AS66" s="217">
        <f t="shared" ca="1" si="53"/>
        <v>1.0155331701982226</v>
      </c>
      <c r="AT66" s="176">
        <f>DANE!AI66</f>
        <v>78</v>
      </c>
      <c r="AU66" s="188">
        <f t="shared" si="7"/>
        <v>2631</v>
      </c>
      <c r="AV66" s="177">
        <f t="shared" ca="1" si="23"/>
        <v>34.285714285714285</v>
      </c>
      <c r="AW66" s="209">
        <f t="shared" si="33"/>
        <v>292.64419830201587</v>
      </c>
      <c r="AX66" s="179">
        <f t="shared" si="34"/>
        <v>0.16862177614476434</v>
      </c>
      <c r="AY66" s="213">
        <f t="shared" si="35"/>
        <v>2.1803524330133506</v>
      </c>
      <c r="AZ66" s="214">
        <f t="shared" ca="1" si="36"/>
        <v>0.91293243015273073</v>
      </c>
      <c r="BA66" s="176">
        <f>DANE!AM66</f>
        <v>5</v>
      </c>
      <c r="BB66" s="188">
        <f t="shared" si="8"/>
        <v>440</v>
      </c>
      <c r="BC66" s="177">
        <f t="shared" ca="1" si="24"/>
        <v>8.8571428571428577</v>
      </c>
      <c r="BD66" s="209">
        <f t="shared" si="77"/>
        <v>68.370709965754912</v>
      </c>
      <c r="BE66" s="179">
        <f t="shared" si="80"/>
        <v>-7.522788183055408E-2</v>
      </c>
      <c r="BF66" s="213">
        <f t="shared" si="81"/>
        <v>0.47340482718612142</v>
      </c>
      <c r="BG66" s="217">
        <f t="shared" ca="1" si="82"/>
        <v>0.874540638093524</v>
      </c>
      <c r="BH66" s="176">
        <f>DANE!AQ66</f>
        <v>3</v>
      </c>
      <c r="BI66" s="188">
        <f t="shared" si="9"/>
        <v>366</v>
      </c>
      <c r="BJ66" s="177">
        <f t="shared" ca="1" si="25"/>
        <v>5.8571428571428568</v>
      </c>
      <c r="BK66" s="209">
        <f t="shared" si="61"/>
        <v>46.729726380229309</v>
      </c>
      <c r="BL66" s="179">
        <f t="shared" si="63"/>
        <v>-8.4054383629471444E-2</v>
      </c>
      <c r="BM66" s="213">
        <f t="shared" si="64"/>
        <v>0.41161931459369983</v>
      </c>
      <c r="BN66" s="214">
        <f t="shared" ca="1" si="65"/>
        <v>0.93510947594761706</v>
      </c>
      <c r="BO66" s="176">
        <f>DANE!AU66</f>
        <v>1</v>
      </c>
      <c r="BP66" s="188">
        <f t="shared" si="10"/>
        <v>379</v>
      </c>
      <c r="BQ66" s="177">
        <f t="shared" ca="1" si="26"/>
        <v>1.7142857142857142</v>
      </c>
      <c r="BR66" s="209">
        <f t="shared" si="78"/>
        <v>24.209594404365887</v>
      </c>
      <c r="BS66" s="179">
        <f t="shared" si="83"/>
        <v>-0.10592660274474763</v>
      </c>
      <c r="BT66" s="213">
        <f t="shared" si="84"/>
        <v>0.25851378078676657</v>
      </c>
      <c r="BU66" s="217">
        <f t="shared" ca="1" si="85"/>
        <v>0.29697812685920544</v>
      </c>
      <c r="BV66" s="176">
        <f>DANE!AY66</f>
        <v>7</v>
      </c>
      <c r="BW66" s="188">
        <f t="shared" si="11"/>
        <v>451</v>
      </c>
      <c r="BX66" s="177">
        <f t="shared" ca="1" si="27"/>
        <v>8.1428571428571423</v>
      </c>
      <c r="BY66" s="209">
        <f t="shared" si="69"/>
        <v>78.793997394185809</v>
      </c>
      <c r="BZ66" s="179">
        <f t="shared" si="71"/>
        <v>-5.9284696444151956E-2</v>
      </c>
      <c r="CA66" s="213">
        <f t="shared" si="72"/>
        <v>0.58500712489093631</v>
      </c>
      <c r="CB66" s="214">
        <f t="shared" ca="1" si="73"/>
        <v>0.45330551470358726</v>
      </c>
      <c r="CC66" s="176">
        <f>DANE!BC66</f>
        <v>134</v>
      </c>
      <c r="CD66" s="188">
        <f t="shared" si="12"/>
        <v>2790</v>
      </c>
      <c r="CE66" s="177">
        <f t="shared" ca="1" si="28"/>
        <v>118.57142857142857</v>
      </c>
      <c r="CF66" s="209">
        <f t="shared" si="45"/>
        <v>696.04040757226028</v>
      </c>
      <c r="CG66" s="179">
        <f t="shared" si="46"/>
        <v>6.1500304240423728E-2</v>
      </c>
      <c r="CH66" s="213">
        <f t="shared" si="47"/>
        <v>1.4305021296829661</v>
      </c>
      <c r="CI66" s="217">
        <f t="shared" ca="1" si="48"/>
        <v>1.4078183646564213</v>
      </c>
      <c r="CJ66" s="176">
        <f>DANE!BG66</f>
        <v>18</v>
      </c>
      <c r="CK66" s="188">
        <f t="shared" si="13"/>
        <v>300</v>
      </c>
      <c r="CL66" s="177">
        <f t="shared" ca="1" si="29"/>
        <v>5.1428571428571432</v>
      </c>
      <c r="CM66" s="209">
        <f t="shared" si="79"/>
        <v>43.796261879624424</v>
      </c>
      <c r="CN66" s="179">
        <f t="shared" si="86"/>
        <v>0.4552361584346199</v>
      </c>
      <c r="CO66" s="213">
        <f t="shared" si="87"/>
        <v>4.1866531090423393</v>
      </c>
      <c r="CP66" s="214">
        <f t="shared" ca="1" si="88"/>
        <v>1.1742372544196387</v>
      </c>
      <c r="CQ66" s="176">
        <f>DANE!BK66</f>
        <v>2</v>
      </c>
      <c r="CR66" s="188">
        <f t="shared" si="14"/>
        <v>152</v>
      </c>
      <c r="CS66" s="177">
        <f t="shared" ca="1" si="30"/>
        <v>0.8571428571428571</v>
      </c>
      <c r="CT66" s="209">
        <f t="shared" si="89"/>
        <v>8.7692514569238504</v>
      </c>
      <c r="CU66" s="179">
        <f t="shared" si="90"/>
        <v>0.11038883643533519</v>
      </c>
      <c r="CV66" s="213">
        <f t="shared" si="91"/>
        <v>1.7727218550473465</v>
      </c>
      <c r="CW66" s="217">
        <f t="shared" ca="1" si="92"/>
        <v>0.73598822020508492</v>
      </c>
      <c r="CX66" s="176">
        <f>DANE!BO66</f>
        <v>69</v>
      </c>
      <c r="CY66" s="188">
        <f t="shared" si="15"/>
        <v>1598</v>
      </c>
      <c r="CZ66" s="177">
        <f t="shared" ca="1" si="31"/>
        <v>31.714285714285715</v>
      </c>
      <c r="DA66" s="209">
        <f t="shared" si="54"/>
        <v>260.52145523590957</v>
      </c>
      <c r="DB66" s="179">
        <f t="shared" si="58"/>
        <v>0.16594824435133976</v>
      </c>
      <c r="DC66" s="213">
        <f t="shared" si="59"/>
        <v>2.1616377104593782</v>
      </c>
      <c r="DD66" s="214">
        <f t="shared" ca="1" si="60"/>
        <v>0.8743713462481798</v>
      </c>
      <c r="DE66" s="176">
        <f>DANE!BS66</f>
        <v>13</v>
      </c>
      <c r="DF66" s="188">
        <f t="shared" si="16"/>
        <v>441</v>
      </c>
      <c r="DG66" s="177">
        <f t="shared" ca="1" si="32"/>
        <v>9.2857142857142865</v>
      </c>
      <c r="DH66" s="209">
        <f t="shared" si="70"/>
        <v>74.28601870383855</v>
      </c>
      <c r="DI66" s="179">
        <f t="shared" si="74"/>
        <v>3.8960135839070181E-2</v>
      </c>
      <c r="DJ66" s="157">
        <f t="shared" si="75"/>
        <v>1.2727209508734914</v>
      </c>
      <c r="DK66" s="225">
        <f t="shared" ca="1" si="76"/>
        <v>0.89317583920704391</v>
      </c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</row>
    <row r="67" spans="1:138" x14ac:dyDescent="0.25">
      <c r="A67" s="32">
        <v>43957</v>
      </c>
      <c r="B67" s="33" t="str">
        <f t="shared" ca="1" si="0"/>
        <v/>
      </c>
      <c r="C67" s="51">
        <v>64</v>
      </c>
      <c r="D67" s="176">
        <f>DANE!K67</f>
        <v>20</v>
      </c>
      <c r="E67" s="188">
        <f t="shared" si="1"/>
        <v>1789</v>
      </c>
      <c r="F67" s="178">
        <f t="shared" ca="1" si="17"/>
        <v>38.428571428571431</v>
      </c>
      <c r="G67" s="209">
        <f t="shared" si="38"/>
        <v>300.04654647231825</v>
      </c>
      <c r="H67" s="179">
        <f t="shared" si="42"/>
        <v>-8.1642829169644257E-2</v>
      </c>
      <c r="I67" s="213">
        <f t="shared" si="43"/>
        <v>0.42850019581249021</v>
      </c>
      <c r="J67" s="214">
        <f t="shared" ca="1" si="44"/>
        <v>0.84648308079519752</v>
      </c>
      <c r="K67" s="176">
        <f>DANE!O67</f>
        <v>0</v>
      </c>
      <c r="L67" s="188">
        <f t="shared" si="2"/>
        <v>561</v>
      </c>
      <c r="M67" s="177">
        <f t="shared" ca="1" si="18"/>
        <v>3.4285714285714284</v>
      </c>
      <c r="N67" s="209">
        <f t="shared" si="62"/>
        <v>46.262436705099077</v>
      </c>
      <c r="O67" s="179">
        <f t="shared" si="66"/>
        <v>-0.14285714285714285</v>
      </c>
      <c r="P67" s="213">
        <f t="shared" si="67"/>
        <v>0</v>
      </c>
      <c r="Q67" s="217">
        <f t="shared" ca="1" si="68"/>
        <v>0.29354706021847354</v>
      </c>
      <c r="R67" s="176">
        <f>DANE!S67</f>
        <v>4</v>
      </c>
      <c r="S67" s="188">
        <f t="shared" si="3"/>
        <v>380</v>
      </c>
      <c r="T67" s="177">
        <f t="shared" ca="1" si="19"/>
        <v>3</v>
      </c>
      <c r="U67" s="209">
        <f t="shared" si="50"/>
        <v>27.252534155737113</v>
      </c>
      <c r="V67" s="179">
        <f t="shared" si="55"/>
        <v>4.5922235477441333E-3</v>
      </c>
      <c r="W67" s="213">
        <f t="shared" si="56"/>
        <v>1.0321455648342088</v>
      </c>
      <c r="X67" s="214">
        <f t="shared" ca="1" si="57"/>
        <v>0.66371615768745396</v>
      </c>
      <c r="Y67" s="176">
        <f>DANE!W67</f>
        <v>0</v>
      </c>
      <c r="Z67" s="188">
        <f t="shared" si="4"/>
        <v>90</v>
      </c>
      <c r="AA67" s="177">
        <f t="shared" ca="1" si="20"/>
        <v>0.42857142857142855</v>
      </c>
      <c r="AB67" s="209"/>
      <c r="AC67" s="179"/>
      <c r="AD67" s="213"/>
      <c r="AE67" s="217"/>
      <c r="AF67" s="176">
        <f>DANE!AA67</f>
        <v>27</v>
      </c>
      <c r="AG67" s="188">
        <f t="shared" si="5"/>
        <v>1098</v>
      </c>
      <c r="AH67" s="177">
        <f t="shared" ca="1" si="21"/>
        <v>23.142857142857142</v>
      </c>
      <c r="AI67" s="209">
        <f t="shared" si="37"/>
        <v>166.12158252969945</v>
      </c>
      <c r="AJ67" s="179">
        <f t="shared" si="39"/>
        <v>2.3492726962061245E-2</v>
      </c>
      <c r="AK67" s="213">
        <f t="shared" si="40"/>
        <v>1.1644490887344288</v>
      </c>
      <c r="AL67" s="214">
        <f t="shared" ca="1" si="41"/>
        <v>0.92985202673990131</v>
      </c>
      <c r="AM67" s="176">
        <f>DANE!AE67</f>
        <v>12</v>
      </c>
      <c r="AN67" s="188">
        <f t="shared" si="6"/>
        <v>1009</v>
      </c>
      <c r="AO67" s="177">
        <f t="shared" ca="1" si="22"/>
        <v>19</v>
      </c>
      <c r="AP67" s="209">
        <f t="shared" si="49"/>
        <v>137.31622531319618</v>
      </c>
      <c r="AQ67" s="179">
        <f t="shared" si="51"/>
        <v>-6.0779069886083011E-2</v>
      </c>
      <c r="AR67" s="213">
        <f t="shared" si="52"/>
        <v>0.57454651079741892</v>
      </c>
      <c r="AS67" s="217">
        <f t="shared" ca="1" si="53"/>
        <v>0.93224271743000997</v>
      </c>
      <c r="AT67" s="176">
        <f>DANE!AI67</f>
        <v>42</v>
      </c>
      <c r="AU67" s="188">
        <f t="shared" si="7"/>
        <v>2673</v>
      </c>
      <c r="AV67" s="177">
        <f t="shared" ca="1" si="23"/>
        <v>35.142857142857146</v>
      </c>
      <c r="AW67" s="209">
        <f t="shared" si="33"/>
        <v>292.83788425887076</v>
      </c>
      <c r="AX67" s="179">
        <f t="shared" si="34"/>
        <v>6.6184792993915413E-4</v>
      </c>
      <c r="AY67" s="213">
        <f t="shared" si="35"/>
        <v>1.004632935509574</v>
      </c>
      <c r="AZ67" s="214">
        <f t="shared" ca="1" si="36"/>
        <v>0.94690954793972859</v>
      </c>
      <c r="BA67" s="176">
        <f>DANE!AM67</f>
        <v>10</v>
      </c>
      <c r="BB67" s="188">
        <f t="shared" si="8"/>
        <v>450</v>
      </c>
      <c r="BC67" s="177">
        <f t="shared" ca="1" si="24"/>
        <v>8.5714285714285712</v>
      </c>
      <c r="BD67" s="209">
        <f t="shared" si="77"/>
        <v>68.603465684932786</v>
      </c>
      <c r="BE67" s="179">
        <f t="shared" si="80"/>
        <v>3.4043191784092187E-3</v>
      </c>
      <c r="BF67" s="213">
        <f t="shared" si="81"/>
        <v>1.0238302342488645</v>
      </c>
      <c r="BG67" s="217">
        <f t="shared" ca="1" si="82"/>
        <v>0.86843695171153301</v>
      </c>
      <c r="BH67" s="176">
        <f>DANE!AQ67</f>
        <v>0</v>
      </c>
      <c r="BI67" s="188">
        <f t="shared" si="9"/>
        <v>366</v>
      </c>
      <c r="BJ67" s="177">
        <f t="shared" ca="1" si="25"/>
        <v>5.4285714285714288</v>
      </c>
      <c r="BK67" s="209">
        <f t="shared" si="61"/>
        <v>40.054051183053694</v>
      </c>
      <c r="BL67" s="179">
        <f t="shared" si="63"/>
        <v>-0.14285714285714285</v>
      </c>
      <c r="BM67" s="213">
        <f t="shared" si="64"/>
        <v>0</v>
      </c>
      <c r="BN67" s="214">
        <f t="shared" ca="1" si="65"/>
        <v>0.87678839073945436</v>
      </c>
      <c r="BO67" s="176">
        <f>DANE!AU67</f>
        <v>1</v>
      </c>
      <c r="BP67" s="188">
        <f t="shared" si="10"/>
        <v>380</v>
      </c>
      <c r="BQ67" s="177">
        <f t="shared" ca="1" si="26"/>
        <v>1.8571428571428572</v>
      </c>
      <c r="BR67" s="209">
        <f t="shared" si="78"/>
        <v>21.751080918027906</v>
      </c>
      <c r="BS67" s="179">
        <f t="shared" si="83"/>
        <v>-0.10155120508316406</v>
      </c>
      <c r="BT67" s="213">
        <f t="shared" si="84"/>
        <v>0.28914156441785155</v>
      </c>
      <c r="BU67" s="217">
        <f t="shared" ca="1" si="85"/>
        <v>0.33828406463318406</v>
      </c>
      <c r="BV67" s="176">
        <f>DANE!AY67</f>
        <v>9</v>
      </c>
      <c r="BW67" s="188">
        <f t="shared" si="11"/>
        <v>460</v>
      </c>
      <c r="BX67" s="177">
        <f t="shared" ca="1" si="27"/>
        <v>5.1428571428571432</v>
      </c>
      <c r="BY67" s="209">
        <f t="shared" si="69"/>
        <v>76.537712052159264</v>
      </c>
      <c r="BZ67" s="179">
        <f t="shared" si="71"/>
        <v>-2.8635244011532213E-2</v>
      </c>
      <c r="CA67" s="213">
        <f t="shared" si="72"/>
        <v>0.79955329191927449</v>
      </c>
      <c r="CB67" s="214">
        <f t="shared" ca="1" si="73"/>
        <v>0.35547886835682113</v>
      </c>
      <c r="CC67" s="176">
        <f>DANE!BC67</f>
        <v>157</v>
      </c>
      <c r="CD67" s="188">
        <f t="shared" si="12"/>
        <v>2947</v>
      </c>
      <c r="CE67" s="177">
        <f t="shared" ca="1" si="28"/>
        <v>118.28571428571429</v>
      </c>
      <c r="CF67" s="209">
        <f t="shared" si="45"/>
        <v>753.60606363336603</v>
      </c>
      <c r="CG67" s="179">
        <f t="shared" si="46"/>
        <v>8.2704474388046942E-2</v>
      </c>
      <c r="CH67" s="213">
        <f t="shared" si="47"/>
        <v>1.5789313207163285</v>
      </c>
      <c r="CI67" s="217">
        <f t="shared" ca="1" si="48"/>
        <v>1.2991670726344198</v>
      </c>
      <c r="CJ67" s="176">
        <f>DANE!BG67</f>
        <v>0</v>
      </c>
      <c r="CK67" s="188">
        <f t="shared" si="13"/>
        <v>300</v>
      </c>
      <c r="CL67" s="177">
        <f t="shared" ca="1" si="29"/>
        <v>4.8571428571428568</v>
      </c>
      <c r="CM67" s="209">
        <f t="shared" si="79"/>
        <v>37.539653039678079</v>
      </c>
      <c r="CN67" s="179">
        <f t="shared" si="86"/>
        <v>-0.14285714285714282</v>
      </c>
      <c r="CO67" s="213">
        <f t="shared" si="87"/>
        <v>2.2204460492503131E-16</v>
      </c>
      <c r="CP67" s="214">
        <f t="shared" ca="1" si="88"/>
        <v>1.1255082193303956</v>
      </c>
      <c r="CQ67" s="176">
        <f>DANE!BK67</f>
        <v>0</v>
      </c>
      <c r="CR67" s="188">
        <f t="shared" si="14"/>
        <v>152</v>
      </c>
      <c r="CS67" s="177">
        <f t="shared" ca="1" si="30"/>
        <v>0.8571428571428571</v>
      </c>
      <c r="CT67" s="209">
        <f t="shared" si="89"/>
        <v>7.5165012487918723</v>
      </c>
      <c r="CU67" s="179">
        <f t="shared" si="90"/>
        <v>-0.14285714285714279</v>
      </c>
      <c r="CV67" s="213">
        <f t="shared" si="91"/>
        <v>4.4408920985006262E-16</v>
      </c>
      <c r="CW67" s="217">
        <f t="shared" ca="1" si="92"/>
        <v>0.73598822020508492</v>
      </c>
      <c r="CX67" s="176">
        <f>DANE!BO67</f>
        <v>18</v>
      </c>
      <c r="CY67" s="188">
        <f t="shared" si="15"/>
        <v>1616</v>
      </c>
      <c r="CZ67" s="177">
        <f t="shared" ca="1" si="31"/>
        <v>28.714285714285715</v>
      </c>
      <c r="DA67" s="209">
        <f t="shared" si="54"/>
        <v>241.3041044879225</v>
      </c>
      <c r="DB67" s="179">
        <f t="shared" si="58"/>
        <v>-7.3764944735876789E-2</v>
      </c>
      <c r="DC67" s="213">
        <f t="shared" si="59"/>
        <v>0.48364538684886249</v>
      </c>
      <c r="DD67" s="214">
        <f t="shared" ca="1" si="60"/>
        <v>0.81571051559863705</v>
      </c>
      <c r="DE67" s="176">
        <f>DANE!BS67</f>
        <v>11</v>
      </c>
      <c r="DF67" s="188">
        <f t="shared" si="16"/>
        <v>452</v>
      </c>
      <c r="DG67" s="177">
        <f t="shared" ca="1" si="32"/>
        <v>10.285714285714286</v>
      </c>
      <c r="DH67" s="209">
        <f t="shared" si="70"/>
        <v>74.673730317575902</v>
      </c>
      <c r="DI67" s="179">
        <f t="shared" si="74"/>
        <v>5.2191734124703857E-3</v>
      </c>
      <c r="DJ67" s="157">
        <f t="shared" si="75"/>
        <v>1.0365342138872926</v>
      </c>
      <c r="DK67" s="225">
        <f t="shared" ca="1" si="76"/>
        <v>0.99366476657786229</v>
      </c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</row>
    <row r="68" spans="1:138" x14ac:dyDescent="0.25">
      <c r="A68" s="32">
        <v>43958</v>
      </c>
      <c r="B68" s="33" t="str">
        <f t="shared" ca="1" si="0"/>
        <v/>
      </c>
      <c r="C68" s="51">
        <v>65</v>
      </c>
      <c r="D68" s="176">
        <f>DANE!K68</f>
        <v>36</v>
      </c>
      <c r="E68" s="188">
        <f t="shared" si="1"/>
        <v>1825</v>
      </c>
      <c r="F68" s="178">
        <f t="shared" ca="1" si="17"/>
        <v>37.428571428571431</v>
      </c>
      <c r="G68" s="209">
        <f t="shared" si="38"/>
        <v>293.18275411912992</v>
      </c>
      <c r="H68" s="179">
        <f t="shared" si="42"/>
        <v>-2.2875758557752875E-2</v>
      </c>
      <c r="I68" s="213">
        <f t="shared" si="43"/>
        <v>0.83986969009572987</v>
      </c>
      <c r="J68" s="214">
        <f t="shared" ca="1" si="44"/>
        <v>0.84572712775340375</v>
      </c>
      <c r="K68" s="176">
        <f>DANE!O68</f>
        <v>5</v>
      </c>
      <c r="L68" s="188">
        <f t="shared" si="2"/>
        <v>566</v>
      </c>
      <c r="M68" s="177">
        <f t="shared" ca="1" si="18"/>
        <v>3.1428571428571428</v>
      </c>
      <c r="N68" s="209">
        <f t="shared" si="62"/>
        <v>44.653517175799209</v>
      </c>
      <c r="O68" s="179">
        <f t="shared" si="66"/>
        <v>-3.4778097391539517E-2</v>
      </c>
      <c r="P68" s="213">
        <f t="shared" si="67"/>
        <v>0.75655331825922334</v>
      </c>
      <c r="Q68" s="217">
        <f t="shared" ca="1" si="68"/>
        <v>0.33002934233670395</v>
      </c>
      <c r="R68" s="176">
        <f>DANE!S68</f>
        <v>1</v>
      </c>
      <c r="S68" s="188">
        <f t="shared" si="3"/>
        <v>381</v>
      </c>
      <c r="T68" s="177">
        <f t="shared" ca="1" si="19"/>
        <v>3</v>
      </c>
      <c r="U68" s="209">
        <f t="shared" si="50"/>
        <v>24.359314990631812</v>
      </c>
      <c r="V68" s="179">
        <f t="shared" si="55"/>
        <v>-0.10616330755047342</v>
      </c>
      <c r="W68" s="213">
        <f t="shared" si="56"/>
        <v>0.25685684714668611</v>
      </c>
      <c r="X68" s="214">
        <f t="shared" ca="1" si="57"/>
        <v>0.67493021220663796</v>
      </c>
      <c r="Y68" s="176">
        <f>DANE!W68</f>
        <v>2</v>
      </c>
      <c r="Z68" s="188">
        <f t="shared" si="4"/>
        <v>92</v>
      </c>
      <c r="AA68" s="177">
        <f t="shared" ca="1" si="20"/>
        <v>0.7142857142857143</v>
      </c>
      <c r="AB68" s="209"/>
      <c r="AC68" s="179"/>
      <c r="AD68" s="213"/>
      <c r="AE68" s="217"/>
      <c r="AF68" s="176">
        <f>DANE!AA68</f>
        <v>38</v>
      </c>
      <c r="AG68" s="188">
        <f t="shared" si="5"/>
        <v>1136</v>
      </c>
      <c r="AH68" s="177">
        <f t="shared" ca="1" si="21"/>
        <v>26</v>
      </c>
      <c r="AI68" s="209">
        <f t="shared" si="37"/>
        <v>180.38992788259955</v>
      </c>
      <c r="AJ68" s="179">
        <f t="shared" si="39"/>
        <v>8.5890978978298518E-2</v>
      </c>
      <c r="AK68" s="213">
        <f t="shared" si="40"/>
        <v>1.6012368528480896</v>
      </c>
      <c r="AL68" s="214">
        <f t="shared" ca="1" si="41"/>
        <v>1.0594246886618262</v>
      </c>
      <c r="AM68" s="176">
        <f>DANE!AE68</f>
        <v>10</v>
      </c>
      <c r="AN68" s="188">
        <f t="shared" si="6"/>
        <v>1019</v>
      </c>
      <c r="AO68" s="177">
        <f t="shared" ca="1" si="22"/>
        <v>17.428571428571427</v>
      </c>
      <c r="AP68" s="209">
        <f t="shared" si="49"/>
        <v>127.69962169702531</v>
      </c>
      <c r="AQ68" s="179">
        <f t="shared" si="51"/>
        <v>-7.0032536899677769E-2</v>
      </c>
      <c r="AR68" s="213">
        <f t="shared" si="52"/>
        <v>0.50977224170225566</v>
      </c>
      <c r="AS68" s="217">
        <f t="shared" ca="1" si="53"/>
        <v>0.86355549041989665</v>
      </c>
      <c r="AT68" s="176">
        <f>DANE!AI68</f>
        <v>36</v>
      </c>
      <c r="AU68" s="188">
        <f t="shared" si="7"/>
        <v>2709</v>
      </c>
      <c r="AV68" s="177">
        <f t="shared" ca="1" si="23"/>
        <v>36.714285714285715</v>
      </c>
      <c r="AW68" s="209">
        <f t="shared" si="33"/>
        <v>287.00390079331783</v>
      </c>
      <c r="AX68" s="179">
        <f t="shared" si="34"/>
        <v>-1.9922229257726951E-2</v>
      </c>
      <c r="AY68" s="213">
        <f t="shared" si="35"/>
        <v>0.8605443951959113</v>
      </c>
      <c r="AZ68" s="214">
        <f t="shared" ca="1" si="36"/>
        <v>0.99115205773164994</v>
      </c>
      <c r="BA68" s="176">
        <f>DANE!AM68</f>
        <v>9</v>
      </c>
      <c r="BB68" s="188">
        <f t="shared" si="8"/>
        <v>459</v>
      </c>
      <c r="BC68" s="177">
        <f t="shared" ca="1" si="24"/>
        <v>9.2857142857142865</v>
      </c>
      <c r="BD68" s="209">
        <f t="shared" si="77"/>
        <v>67.802970587085241</v>
      </c>
      <c r="BE68" s="179">
        <f t="shared" si="80"/>
        <v>-1.1668435258415169E-2</v>
      </c>
      <c r="BF68" s="213">
        <f t="shared" si="81"/>
        <v>0.91832095319109386</v>
      </c>
      <c r="BG68" s="217">
        <f t="shared" ca="1" si="82"/>
        <v>0.94931562459423702</v>
      </c>
      <c r="BH68" s="176">
        <f>DANE!AQ68</f>
        <v>2</v>
      </c>
      <c r="BI68" s="188">
        <f t="shared" si="9"/>
        <v>368</v>
      </c>
      <c r="BJ68" s="177">
        <f t="shared" ca="1" si="25"/>
        <v>5.5714285714285712</v>
      </c>
      <c r="BK68" s="209">
        <f t="shared" si="61"/>
        <v>36.332043871188887</v>
      </c>
      <c r="BL68" s="179">
        <f t="shared" si="63"/>
        <v>-9.2924615661337556E-2</v>
      </c>
      <c r="BM68" s="213">
        <f t="shared" si="64"/>
        <v>0.34952769037063702</v>
      </c>
      <c r="BN68" s="214">
        <f t="shared" ca="1" si="65"/>
        <v>0.9054853882363737</v>
      </c>
      <c r="BO68" s="176">
        <f>DANE!AU68</f>
        <v>1</v>
      </c>
      <c r="BP68" s="188">
        <f t="shared" si="10"/>
        <v>381</v>
      </c>
      <c r="BQ68" s="177">
        <f t="shared" ca="1" si="26"/>
        <v>0.8571428571428571</v>
      </c>
      <c r="BR68" s="209">
        <f t="shared" si="78"/>
        <v>19.64378364402392</v>
      </c>
      <c r="BS68" s="179">
        <f t="shared" si="83"/>
        <v>-9.6882416186379022E-2</v>
      </c>
      <c r="BT68" s="213">
        <f t="shared" si="84"/>
        <v>0.32182308669534676</v>
      </c>
      <c r="BU68" s="217">
        <f t="shared" ca="1" si="85"/>
        <v>0.20311595367050783</v>
      </c>
      <c r="BV68" s="176">
        <f>DANE!AY68</f>
        <v>8</v>
      </c>
      <c r="BW68" s="188">
        <f t="shared" si="11"/>
        <v>468</v>
      </c>
      <c r="BX68" s="177">
        <f t="shared" ca="1" si="27"/>
        <v>5.7142857142857144</v>
      </c>
      <c r="BY68" s="209">
        <f t="shared" si="69"/>
        <v>73.60375318756509</v>
      </c>
      <c r="BZ68" s="179">
        <f t="shared" si="71"/>
        <v>-3.8333506266750264E-2</v>
      </c>
      <c r="CA68" s="213">
        <f t="shared" si="72"/>
        <v>0.73166545613274814</v>
      </c>
      <c r="CB68" s="214">
        <f t="shared" ca="1" si="73"/>
        <v>0.43355902691584153</v>
      </c>
      <c r="CC68" s="176">
        <f>DANE!BC68</f>
        <v>116</v>
      </c>
      <c r="CD68" s="188">
        <f t="shared" si="12"/>
        <v>3063</v>
      </c>
      <c r="CE68" s="177">
        <f t="shared" ca="1" si="28"/>
        <v>117.71428571428571</v>
      </c>
      <c r="CF68" s="209">
        <f t="shared" si="45"/>
        <v>761.94805454288519</v>
      </c>
      <c r="CG68" s="179">
        <f t="shared" si="46"/>
        <v>1.1069431778852544E-2</v>
      </c>
      <c r="CH68" s="213">
        <f t="shared" si="47"/>
        <v>1.0774860224519678</v>
      </c>
      <c r="CI68" s="217">
        <f t="shared" ca="1" si="48"/>
        <v>1.2413717040446943</v>
      </c>
      <c r="CJ68" s="176">
        <f>DANE!BG68</f>
        <v>3</v>
      </c>
      <c r="CK68" s="188">
        <f t="shared" si="13"/>
        <v>303</v>
      </c>
      <c r="CL68" s="177">
        <f t="shared" ca="1" si="29"/>
        <v>4.7142857142857144</v>
      </c>
      <c r="CM68" s="209">
        <f t="shared" si="79"/>
        <v>35.176845462581213</v>
      </c>
      <c r="CN68" s="179">
        <f t="shared" si="86"/>
        <v>-6.2941646652926245E-2</v>
      </c>
      <c r="CO68" s="213">
        <f t="shared" si="87"/>
        <v>0.55940847342951627</v>
      </c>
      <c r="CP68" s="214">
        <f t="shared" ca="1" si="88"/>
        <v>1.0978388892316944</v>
      </c>
      <c r="CQ68" s="176">
        <f>DANE!BK68</f>
        <v>4</v>
      </c>
      <c r="CR68" s="188">
        <f t="shared" si="14"/>
        <v>156</v>
      </c>
      <c r="CS68" s="177">
        <f t="shared" ca="1" si="30"/>
        <v>1.1428571428571428</v>
      </c>
      <c r="CT68" s="209">
        <f t="shared" si="89"/>
        <v>10.442715356107319</v>
      </c>
      <c r="CU68" s="179">
        <f t="shared" si="90"/>
        <v>0.38930534439620795</v>
      </c>
      <c r="CV68" s="213">
        <f t="shared" si="91"/>
        <v>3.7251374107734558</v>
      </c>
      <c r="CW68" s="217">
        <f t="shared" ca="1" si="92"/>
        <v>1.0760905067242423</v>
      </c>
      <c r="CX68" s="176">
        <f>DANE!BO68</f>
        <v>24</v>
      </c>
      <c r="CY68" s="188">
        <f t="shared" si="15"/>
        <v>1640</v>
      </c>
      <c r="CZ68" s="177">
        <f t="shared" ca="1" si="31"/>
        <v>28.428571428571427</v>
      </c>
      <c r="DA68" s="209">
        <f t="shared" si="54"/>
        <v>230.83208956107646</v>
      </c>
      <c r="DB68" s="179">
        <f t="shared" si="58"/>
        <v>-4.3397583099835657E-2</v>
      </c>
      <c r="DC68" s="213">
        <f t="shared" si="59"/>
        <v>0.6962169183011504</v>
      </c>
      <c r="DD68" s="214">
        <f t="shared" ca="1" si="60"/>
        <v>0.82869526409384153</v>
      </c>
      <c r="DE68" s="176">
        <f>DANE!BS68</f>
        <v>8</v>
      </c>
      <c r="DF68" s="188">
        <f t="shared" si="16"/>
        <v>460</v>
      </c>
      <c r="DG68" s="177">
        <f t="shared" ca="1" si="32"/>
        <v>9.1428571428571423</v>
      </c>
      <c r="DH68" s="209">
        <f t="shared" si="70"/>
        <v>72.006054557922212</v>
      </c>
      <c r="DI68" s="179">
        <f t="shared" si="74"/>
        <v>-3.5724420734152093E-2</v>
      </c>
      <c r="DJ68" s="157">
        <f t="shared" si="75"/>
        <v>0.74992905486093531</v>
      </c>
      <c r="DK68" s="225">
        <f t="shared" ca="1" si="76"/>
        <v>0.89040377584777797</v>
      </c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</row>
    <row r="69" spans="1:138" x14ac:dyDescent="0.25">
      <c r="A69" s="32">
        <v>43959</v>
      </c>
      <c r="B69" s="33" t="str">
        <f t="shared" ca="1" si="0"/>
        <v/>
      </c>
      <c r="C69" s="51">
        <v>66</v>
      </c>
      <c r="D69" s="176">
        <f>DANE!K69</f>
        <v>45</v>
      </c>
      <c r="E69" s="188">
        <f t="shared" si="1"/>
        <v>1870</v>
      </c>
      <c r="F69" s="178">
        <f t="shared" ca="1" si="17"/>
        <v>41.428571428571431</v>
      </c>
      <c r="G69" s="209">
        <f t="shared" si="38"/>
        <v>296.29950353068284</v>
      </c>
      <c r="H69" s="179">
        <f t="shared" si="42"/>
        <v>1.0630739249712067E-2</v>
      </c>
      <c r="I69" s="213">
        <f t="shared" si="43"/>
        <v>1.0744151747479844</v>
      </c>
      <c r="J69" s="214">
        <f t="shared" ca="1" si="44"/>
        <v>0.95040190760618359</v>
      </c>
      <c r="K69" s="176">
        <f>DANE!O69</f>
        <v>5</v>
      </c>
      <c r="L69" s="188">
        <f t="shared" si="2"/>
        <v>571</v>
      </c>
      <c r="M69" s="177">
        <f t="shared" ca="1" si="18"/>
        <v>3</v>
      </c>
      <c r="N69" s="209">
        <f t="shared" si="62"/>
        <v>43.274443293542184</v>
      </c>
      <c r="O69" s="179">
        <f t="shared" si="66"/>
        <v>-3.0883880363279402E-2</v>
      </c>
      <c r="P69" s="213">
        <f t="shared" si="67"/>
        <v>0.78381283745704411</v>
      </c>
      <c r="Q69" s="217">
        <f t="shared" ca="1" si="68"/>
        <v>0.37592525339232996</v>
      </c>
      <c r="R69" s="176">
        <f>DANE!S69</f>
        <v>3</v>
      </c>
      <c r="S69" s="188">
        <f t="shared" si="3"/>
        <v>384</v>
      </c>
      <c r="T69" s="177">
        <f t="shared" ca="1" si="19"/>
        <v>2.7142857142857144</v>
      </c>
      <c r="U69" s="209">
        <f t="shared" si="50"/>
        <v>23.879412849112985</v>
      </c>
      <c r="V69" s="179">
        <f t="shared" si="55"/>
        <v>-1.9700970314780616E-2</v>
      </c>
      <c r="W69" s="213">
        <f t="shared" si="56"/>
        <v>0.86209320779653564</v>
      </c>
      <c r="X69" s="214">
        <f t="shared" ca="1" si="57"/>
        <v>0.65374507911903801</v>
      </c>
      <c r="Y69" s="176">
        <f>DANE!W69</f>
        <v>0</v>
      </c>
      <c r="Z69" s="188">
        <f t="shared" si="4"/>
        <v>92</v>
      </c>
      <c r="AA69" s="177">
        <f t="shared" ca="1" si="20"/>
        <v>0.7142857142857143</v>
      </c>
      <c r="AB69" s="209"/>
      <c r="AC69" s="179"/>
      <c r="AD69" s="213"/>
      <c r="AE69" s="217"/>
      <c r="AF69" s="176">
        <f>DANE!AA69</f>
        <v>11</v>
      </c>
      <c r="AG69" s="188">
        <f t="shared" si="5"/>
        <v>1147</v>
      </c>
      <c r="AH69" s="177">
        <f t="shared" ca="1" si="21"/>
        <v>25</v>
      </c>
      <c r="AI69" s="209">
        <f t="shared" si="37"/>
        <v>165.61993818508535</v>
      </c>
      <c r="AJ69" s="179">
        <f t="shared" si="39"/>
        <v>-8.1878128512400838E-2</v>
      </c>
      <c r="AK69" s="213">
        <f t="shared" si="40"/>
        <v>0.42685310041319413</v>
      </c>
      <c r="AL69" s="214">
        <f t="shared" ca="1" si="41"/>
        <v>1.0166982127480666</v>
      </c>
      <c r="AM69" s="176">
        <f>DANE!AE69</f>
        <v>14</v>
      </c>
      <c r="AN69" s="188">
        <f t="shared" si="6"/>
        <v>1033</v>
      </c>
      <c r="AO69" s="177">
        <f t="shared" ca="1" si="22"/>
        <v>17.142857142857142</v>
      </c>
      <c r="AP69" s="209">
        <f t="shared" si="49"/>
        <v>123.45681859745027</v>
      </c>
      <c r="AQ69" s="179">
        <f t="shared" si="51"/>
        <v>-3.3224868196096428E-2</v>
      </c>
      <c r="AR69" s="213">
        <f t="shared" si="52"/>
        <v>0.76742592262732501</v>
      </c>
      <c r="AS69" s="217">
        <f t="shared" ca="1" si="53"/>
        <v>0.86522398093054165</v>
      </c>
      <c r="AT69" s="176">
        <f>DANE!AI69</f>
        <v>22</v>
      </c>
      <c r="AU69" s="188">
        <f t="shared" si="7"/>
        <v>2731</v>
      </c>
      <c r="AV69" s="177">
        <f t="shared" ca="1" si="23"/>
        <v>39.857142857142854</v>
      </c>
      <c r="AW69" s="209">
        <f t="shared" si="33"/>
        <v>268.00334353712958</v>
      </c>
      <c r="AX69" s="179">
        <f t="shared" si="34"/>
        <v>-6.6203132444082186E-2</v>
      </c>
      <c r="AY69" s="213">
        <f t="shared" si="35"/>
        <v>0.53657807289142467</v>
      </c>
      <c r="AZ69" s="214">
        <f t="shared" ca="1" si="36"/>
        <v>1.0678060681447106</v>
      </c>
      <c r="BA69" s="176">
        <f>DANE!AM69</f>
        <v>16</v>
      </c>
      <c r="BB69" s="188">
        <f t="shared" si="8"/>
        <v>475</v>
      </c>
      <c r="BC69" s="177">
        <f t="shared" ca="1" si="24"/>
        <v>11</v>
      </c>
      <c r="BD69" s="209">
        <f t="shared" si="77"/>
        <v>74.116831931787345</v>
      </c>
      <c r="BE69" s="179">
        <f t="shared" si="80"/>
        <v>9.3120718606165845E-2</v>
      </c>
      <c r="BF69" s="213">
        <f t="shared" si="81"/>
        <v>1.6518450302431611</v>
      </c>
      <c r="BG69" s="217">
        <f t="shared" ca="1" si="82"/>
        <v>1.1298525533464649</v>
      </c>
      <c r="BH69" s="176">
        <f>DANE!AQ69</f>
        <v>2</v>
      </c>
      <c r="BI69" s="188">
        <f t="shared" si="9"/>
        <v>370</v>
      </c>
      <c r="BJ69" s="177">
        <f t="shared" ca="1" si="25"/>
        <v>4.7142857142857144</v>
      </c>
      <c r="BK69" s="209">
        <f t="shared" si="61"/>
        <v>33.141751889590481</v>
      </c>
      <c r="BL69" s="179">
        <f t="shared" si="63"/>
        <v>-8.7809317662095265E-2</v>
      </c>
      <c r="BM69" s="213">
        <f t="shared" si="64"/>
        <v>0.38533477636533309</v>
      </c>
      <c r="BN69" s="214">
        <f t="shared" ca="1" si="65"/>
        <v>0.76712654480662201</v>
      </c>
      <c r="BO69" s="176">
        <f>DANE!AU69</f>
        <v>2</v>
      </c>
      <c r="BP69" s="188">
        <f t="shared" si="10"/>
        <v>383</v>
      </c>
      <c r="BQ69" s="177">
        <f t="shared" ca="1" si="26"/>
        <v>1.1428571428571428</v>
      </c>
      <c r="BR69" s="209">
        <f t="shared" si="78"/>
        <v>18.837528837734791</v>
      </c>
      <c r="BS69" s="179">
        <f t="shared" si="83"/>
        <v>-4.1043763304449227E-2</v>
      </c>
      <c r="BT69" s="213">
        <f t="shared" si="84"/>
        <v>0.71269365686885533</v>
      </c>
      <c r="BU69" s="217">
        <f t="shared" ca="1" si="85"/>
        <v>0.30492933322320137</v>
      </c>
      <c r="BV69" s="176">
        <f>DANE!AY69</f>
        <v>9</v>
      </c>
      <c r="BW69" s="188">
        <f t="shared" si="11"/>
        <v>477</v>
      </c>
      <c r="BX69" s="177">
        <f t="shared" ca="1" si="27"/>
        <v>6.1428571428571432</v>
      </c>
      <c r="BY69" s="209">
        <f t="shared" si="69"/>
        <v>72.08893130362722</v>
      </c>
      <c r="BZ69" s="179">
        <f t="shared" si="71"/>
        <v>-2.0580769571323845E-2</v>
      </c>
      <c r="CA69" s="213">
        <f t="shared" si="72"/>
        <v>0.85593461300073304</v>
      </c>
      <c r="CB69" s="214">
        <f t="shared" ca="1" si="73"/>
        <v>0.51094423850297199</v>
      </c>
      <c r="CC69" s="176">
        <f>DANE!BC69</f>
        <v>179</v>
      </c>
      <c r="CD69" s="188">
        <f t="shared" si="12"/>
        <v>3242</v>
      </c>
      <c r="CE69" s="177">
        <f t="shared" ca="1" si="28"/>
        <v>123.14285714285714</v>
      </c>
      <c r="CF69" s="209">
        <f t="shared" si="45"/>
        <v>832.09833246533026</v>
      </c>
      <c r="CG69" s="179">
        <f t="shared" si="46"/>
        <v>9.2067008379633261E-2</v>
      </c>
      <c r="CH69" s="213">
        <f t="shared" si="47"/>
        <v>1.6444690586574329</v>
      </c>
      <c r="CI69" s="217">
        <f t="shared" ca="1" si="48"/>
        <v>1.2435505322018474</v>
      </c>
      <c r="CJ69" s="176">
        <f>DANE!BG69</f>
        <v>9</v>
      </c>
      <c r="CK69" s="188">
        <f t="shared" si="13"/>
        <v>312</v>
      </c>
      <c r="CL69" s="177">
        <f t="shared" ca="1" si="29"/>
        <v>6</v>
      </c>
      <c r="CM69" s="209">
        <f t="shared" si="79"/>
        <v>39.151581825069613</v>
      </c>
      <c r="CN69" s="179">
        <f t="shared" si="86"/>
        <v>0.11299297336699678</v>
      </c>
      <c r="CO69" s="213">
        <f t="shared" si="87"/>
        <v>1.7909508135689776</v>
      </c>
      <c r="CP69" s="214">
        <f t="shared" ca="1" si="88"/>
        <v>1.3536890054558339</v>
      </c>
      <c r="CQ69" s="176">
        <f>DANE!BK69</f>
        <v>1</v>
      </c>
      <c r="CR69" s="188">
        <f t="shared" si="14"/>
        <v>157</v>
      </c>
      <c r="CS69" s="177">
        <f t="shared" ca="1" si="30"/>
        <v>1.2857142857142858</v>
      </c>
      <c r="CT69" s="209">
        <f t="shared" si="89"/>
        <v>9.9508988766634179</v>
      </c>
      <c r="CU69" s="179">
        <f t="shared" si="90"/>
        <v>-4.709660875284391E-2</v>
      </c>
      <c r="CV69" s="213">
        <f t="shared" si="91"/>
        <v>0.67032373873009266</v>
      </c>
      <c r="CW69" s="217">
        <f t="shared" ca="1" si="92"/>
        <v>1.1718510408285412</v>
      </c>
      <c r="CX69" s="176">
        <f>DANE!BO69</f>
        <v>15</v>
      </c>
      <c r="CY69" s="188">
        <f t="shared" si="15"/>
        <v>1655</v>
      </c>
      <c r="CZ69" s="177">
        <f t="shared" ca="1" si="31"/>
        <v>30.285714285714285</v>
      </c>
      <c r="DA69" s="209">
        <f t="shared" si="54"/>
        <v>212.85607676663699</v>
      </c>
      <c r="DB69" s="179">
        <f t="shared" si="58"/>
        <v>-7.7874843262132967E-2</v>
      </c>
      <c r="DC69" s="213">
        <f t="shared" si="59"/>
        <v>0.45487609716506916</v>
      </c>
      <c r="DD69" s="214">
        <f t="shared" ca="1" si="60"/>
        <v>0.88662819530444281</v>
      </c>
      <c r="DE69" s="176">
        <f>DANE!BS69</f>
        <v>4</v>
      </c>
      <c r="DF69" s="188">
        <f t="shared" si="16"/>
        <v>464</v>
      </c>
      <c r="DG69" s="177">
        <f t="shared" ca="1" si="32"/>
        <v>9</v>
      </c>
      <c r="DH69" s="209">
        <f t="shared" si="70"/>
        <v>65.719475335361892</v>
      </c>
      <c r="DI69" s="179">
        <f t="shared" si="74"/>
        <v>-8.7306258635561657E-2</v>
      </c>
      <c r="DJ69" s="157">
        <f t="shared" si="75"/>
        <v>0.38885618955106838</v>
      </c>
      <c r="DK69" s="225">
        <f t="shared" ca="1" si="76"/>
        <v>0.88436610459079934</v>
      </c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</row>
    <row r="70" spans="1:138" x14ac:dyDescent="0.25">
      <c r="A70" s="61">
        <v>43960</v>
      </c>
      <c r="B70" s="62" t="str">
        <f t="shared" ca="1" si="0"/>
        <v/>
      </c>
      <c r="C70" s="12">
        <v>67</v>
      </c>
      <c r="D70" s="176">
        <f>DANE!K70</f>
        <v>33</v>
      </c>
      <c r="E70" s="198">
        <f t="shared" si="1"/>
        <v>1903</v>
      </c>
      <c r="F70" s="178">
        <f t="shared" ca="1" si="17"/>
        <v>40.428571428571431</v>
      </c>
      <c r="G70" s="211">
        <f t="shared" si="38"/>
        <v>286.97100302629963</v>
      </c>
      <c r="H70" s="200">
        <f t="shared" si="42"/>
        <v>-3.1483348413431332E-2</v>
      </c>
      <c r="I70" s="213">
        <f t="shared" si="43"/>
        <v>0.77961656110598065</v>
      </c>
      <c r="J70" s="214">
        <f t="shared" ca="1" si="44"/>
        <v>0.934998724589161</v>
      </c>
      <c r="K70" s="176">
        <f>DANE!O70</f>
        <v>1</v>
      </c>
      <c r="L70" s="198">
        <f t="shared" si="2"/>
        <v>572</v>
      </c>
      <c r="M70" s="177">
        <f t="shared" ca="1" si="18"/>
        <v>2.5714285714285716</v>
      </c>
      <c r="N70" s="211">
        <f t="shared" si="62"/>
        <v>38.092379965893301</v>
      </c>
      <c r="O70" s="200">
        <f t="shared" si="66"/>
        <v>-0.11974881554217935</v>
      </c>
      <c r="P70" s="213">
        <f t="shared" si="67"/>
        <v>0.1617582912047445</v>
      </c>
      <c r="Q70" s="217">
        <f t="shared" ca="1" si="68"/>
        <v>0.35131845573922654</v>
      </c>
      <c r="R70" s="176">
        <f>DANE!S70</f>
        <v>2</v>
      </c>
      <c r="S70" s="198">
        <f t="shared" si="3"/>
        <v>386</v>
      </c>
      <c r="T70" s="177">
        <f t="shared" ca="1" si="19"/>
        <v>2.7142857142857144</v>
      </c>
      <c r="U70" s="211">
        <f t="shared" si="50"/>
        <v>22.468068156382561</v>
      </c>
      <c r="V70" s="200">
        <f t="shared" si="55"/>
        <v>-5.9102989744693371E-2</v>
      </c>
      <c r="W70" s="213">
        <f t="shared" si="56"/>
        <v>0.58627907178714644</v>
      </c>
      <c r="X70" s="214">
        <f t="shared" ca="1" si="57"/>
        <v>0.67984827338643761</v>
      </c>
      <c r="Y70" s="176">
        <f>DANE!W70</f>
        <v>0</v>
      </c>
      <c r="Z70" s="198">
        <f t="shared" si="4"/>
        <v>92</v>
      </c>
      <c r="AA70" s="177">
        <f t="shared" ca="1" si="20"/>
        <v>0.7142857142857143</v>
      </c>
      <c r="AB70" s="211"/>
      <c r="AC70" s="200"/>
      <c r="AD70" s="213"/>
      <c r="AE70" s="217"/>
      <c r="AF70" s="176">
        <f>DANE!AA70</f>
        <v>16</v>
      </c>
      <c r="AG70" s="198">
        <f t="shared" si="5"/>
        <v>1163</v>
      </c>
      <c r="AH70" s="177">
        <f t="shared" ca="1" si="21"/>
        <v>22.428571428571427</v>
      </c>
      <c r="AI70" s="211">
        <f t="shared" si="37"/>
        <v>157.95994701578746</v>
      </c>
      <c r="AJ70" s="200">
        <f t="shared" si="39"/>
        <v>-4.6250416787003069E-2</v>
      </c>
      <c r="AK70" s="213">
        <f t="shared" si="40"/>
        <v>0.67624708249097853</v>
      </c>
      <c r="AL70" s="214">
        <f t="shared" ca="1" si="41"/>
        <v>0.90943494331283492</v>
      </c>
      <c r="AM70" s="176">
        <f>DANE!AE70</f>
        <v>10</v>
      </c>
      <c r="AN70" s="198">
        <f t="shared" si="6"/>
        <v>1043</v>
      </c>
      <c r="AO70" s="177">
        <f t="shared" ca="1" si="22"/>
        <v>15.571428571428571</v>
      </c>
      <c r="AP70" s="211">
        <f t="shared" si="49"/>
        <v>115.82013022638596</v>
      </c>
      <c r="AQ70" s="200">
        <f t="shared" si="51"/>
        <v>-6.1857161538925551E-2</v>
      </c>
      <c r="AR70" s="213">
        <f t="shared" si="52"/>
        <v>0.5669998692275211</v>
      </c>
      <c r="AS70" s="217">
        <f t="shared" ca="1" si="53"/>
        <v>0.79939825342603377</v>
      </c>
      <c r="AT70" s="176">
        <f>DANE!AI70</f>
        <v>34</v>
      </c>
      <c r="AU70" s="198">
        <f t="shared" si="7"/>
        <v>2765</v>
      </c>
      <c r="AV70" s="177">
        <f t="shared" ca="1" si="23"/>
        <v>41.142857142857146</v>
      </c>
      <c r="AW70" s="211">
        <f t="shared" si="33"/>
        <v>263.71715160325391</v>
      </c>
      <c r="AX70" s="200">
        <f t="shared" si="34"/>
        <v>-1.5993053957111751E-2</v>
      </c>
      <c r="AY70" s="213">
        <f t="shared" si="35"/>
        <v>0.88804862230021775</v>
      </c>
      <c r="AZ70" s="214">
        <f t="shared" ca="1" si="36"/>
        <v>1.096567629524198</v>
      </c>
      <c r="BA70" s="176">
        <f>DANE!AM70</f>
        <v>3</v>
      </c>
      <c r="BB70" s="198">
        <f t="shared" si="8"/>
        <v>478</v>
      </c>
      <c r="BC70" s="177">
        <f t="shared" ca="1" si="24"/>
        <v>10.142857142857142</v>
      </c>
      <c r="BD70" s="211">
        <f t="shared" si="77"/>
        <v>66.528713084389153</v>
      </c>
      <c r="BE70" s="200">
        <f t="shared" si="80"/>
        <v>-0.10238050722920589</v>
      </c>
      <c r="BF70" s="213">
        <f t="shared" si="81"/>
        <v>0.2833364493955588</v>
      </c>
      <c r="BG70" s="217">
        <f t="shared" ca="1" si="82"/>
        <v>1.0336380708690751</v>
      </c>
      <c r="BH70" s="176">
        <f>DANE!AQ70</f>
        <v>0</v>
      </c>
      <c r="BI70" s="198">
        <f t="shared" si="9"/>
        <v>370</v>
      </c>
      <c r="BJ70" s="177">
        <f t="shared" ca="1" si="25"/>
        <v>4.1428571428571432</v>
      </c>
      <c r="BK70" s="211">
        <f t="shared" si="61"/>
        <v>28.40721590536327</v>
      </c>
      <c r="BL70" s="200">
        <f t="shared" si="63"/>
        <v>-0.14285714285714285</v>
      </c>
      <c r="BM70" s="213">
        <f t="shared" si="64"/>
        <v>0</v>
      </c>
      <c r="BN70" s="214">
        <f t="shared" ca="1" si="65"/>
        <v>0.67507630639283867</v>
      </c>
      <c r="BO70" s="176">
        <f>DANE!AU70</f>
        <v>0</v>
      </c>
      <c r="BP70" s="198">
        <f t="shared" si="10"/>
        <v>383</v>
      </c>
      <c r="BQ70" s="177">
        <f t="shared" ca="1" si="26"/>
        <v>0.8571428571428571</v>
      </c>
      <c r="BR70" s="211">
        <f t="shared" si="78"/>
        <v>16.146453289486963</v>
      </c>
      <c r="BS70" s="200">
        <f t="shared" si="83"/>
        <v>-0.14285714285714285</v>
      </c>
      <c r="BT70" s="213">
        <f t="shared" si="84"/>
        <v>0</v>
      </c>
      <c r="BU70" s="217">
        <f t="shared" ca="1" si="85"/>
        <v>0.25404417906101295</v>
      </c>
      <c r="BV70" s="176">
        <f>DANE!AY70</f>
        <v>1</v>
      </c>
      <c r="BW70" s="198">
        <f t="shared" si="11"/>
        <v>478</v>
      </c>
      <c r="BX70" s="177">
        <f t="shared" ca="1" si="27"/>
        <v>5.4285714285714288</v>
      </c>
      <c r="BY70" s="211">
        <f t="shared" si="69"/>
        <v>62.790512545966195</v>
      </c>
      <c r="BZ70" s="200">
        <f t="shared" si="71"/>
        <v>-0.12898538776358814</v>
      </c>
      <c r="CA70" s="213">
        <f t="shared" si="72"/>
        <v>9.7102285654882992E-2</v>
      </c>
      <c r="CB70" s="214">
        <f t="shared" ca="1" si="73"/>
        <v>0.4750493985890113</v>
      </c>
      <c r="CC70" s="176">
        <f>DANE!BC70</f>
        <v>156</v>
      </c>
      <c r="CD70" s="198">
        <f t="shared" si="12"/>
        <v>3398</v>
      </c>
      <c r="CE70" s="177">
        <f t="shared" ca="1" si="28"/>
        <v>136</v>
      </c>
      <c r="CF70" s="211">
        <f t="shared" si="45"/>
        <v>869.2271421131403</v>
      </c>
      <c r="CG70" s="200">
        <f t="shared" si="46"/>
        <v>4.4620699500508891E-2</v>
      </c>
      <c r="CH70" s="213">
        <f t="shared" si="47"/>
        <v>1.3123448965035622</v>
      </c>
      <c r="CI70" s="217">
        <f t="shared" ca="1" si="48"/>
        <v>1.3310689279934971</v>
      </c>
      <c r="CJ70" s="176">
        <f>DANE!BG70</f>
        <v>9</v>
      </c>
      <c r="CK70" s="198">
        <f t="shared" si="13"/>
        <v>321</v>
      </c>
      <c r="CL70" s="177">
        <f t="shared" ca="1" si="29"/>
        <v>7.1428571428571432</v>
      </c>
      <c r="CM70" s="211">
        <f t="shared" si="79"/>
        <v>42.558498707202524</v>
      </c>
      <c r="CN70" s="200">
        <f t="shared" si="86"/>
        <v>8.7018626663799017E-2</v>
      </c>
      <c r="CO70" s="213">
        <f t="shared" si="87"/>
        <v>1.6091303866465931</v>
      </c>
      <c r="CP70" s="214">
        <f t="shared" ca="1" si="88"/>
        <v>1.5510385935370492</v>
      </c>
      <c r="CQ70" s="176">
        <f>DANE!BK70</f>
        <v>3</v>
      </c>
      <c r="CR70" s="198">
        <f t="shared" si="14"/>
        <v>160</v>
      </c>
      <c r="CS70" s="177">
        <f t="shared" ca="1" si="30"/>
        <v>1.7142857142857142</v>
      </c>
      <c r="CT70" s="211">
        <f t="shared" si="89"/>
        <v>11.529341894282931</v>
      </c>
      <c r="CU70" s="200">
        <f t="shared" si="90"/>
        <v>0.15862315929279872</v>
      </c>
      <c r="CV70" s="213">
        <f t="shared" si="91"/>
        <v>2.110362115049591</v>
      </c>
      <c r="CW70" s="217">
        <f t="shared" ca="1" si="92"/>
        <v>1.4733313429784827</v>
      </c>
      <c r="CX70" s="176">
        <f>DANE!BO70</f>
        <v>15</v>
      </c>
      <c r="CY70" s="198">
        <f t="shared" si="15"/>
        <v>1670</v>
      </c>
      <c r="CZ70" s="177">
        <f t="shared" ca="1" si="31"/>
        <v>25.142857142857142</v>
      </c>
      <c r="DA70" s="211">
        <f t="shared" si="54"/>
        <v>197.44806579997459</v>
      </c>
      <c r="DB70" s="200">
        <f t="shared" si="58"/>
        <v>-7.2386991251158161E-2</v>
      </c>
      <c r="DC70" s="213">
        <f t="shared" si="59"/>
        <v>0.49329106124189281</v>
      </c>
      <c r="DD70" s="214">
        <f t="shared" ca="1" si="60"/>
        <v>0.74909034997115376</v>
      </c>
      <c r="DE70" s="176">
        <f>DANE!BS70</f>
        <v>5</v>
      </c>
      <c r="DF70" s="198">
        <f t="shared" si="16"/>
        <v>469</v>
      </c>
      <c r="DG70" s="177">
        <f t="shared" ca="1" si="32"/>
        <v>9</v>
      </c>
      <c r="DH70" s="209">
        <f t="shared" si="70"/>
        <v>61.330978858881629</v>
      </c>
      <c r="DI70" s="179">
        <f t="shared" si="74"/>
        <v>-6.6776194637678893E-2</v>
      </c>
      <c r="DJ70" s="157">
        <f t="shared" si="75"/>
        <v>0.53256663753624767</v>
      </c>
      <c r="DK70" s="225">
        <f t="shared" ca="1" si="76"/>
        <v>0.89341053415806082</v>
      </c>
      <c r="DL70" s="75"/>
      <c r="DM70" s="75"/>
      <c r="DN70" s="75"/>
      <c r="DO70" s="75"/>
      <c r="DP70" s="75"/>
      <c r="DQ70" s="75"/>
      <c r="DR70" s="75"/>
      <c r="DS70" s="75"/>
      <c r="DT70" s="75"/>
      <c r="DU70" s="75"/>
      <c r="DV70" s="75"/>
      <c r="DW70" s="75"/>
      <c r="DX70" s="75"/>
      <c r="DY70" s="75"/>
      <c r="DZ70" s="75"/>
      <c r="EA70" s="75"/>
      <c r="EB70" s="75"/>
      <c r="EC70" s="75"/>
      <c r="ED70" s="75"/>
      <c r="EE70" s="75"/>
      <c r="EF70" s="75"/>
      <c r="EG70" s="75"/>
      <c r="EH70" s="75"/>
    </row>
    <row r="71" spans="1:138" x14ac:dyDescent="0.25">
      <c r="A71" s="61">
        <v>43961</v>
      </c>
      <c r="B71" s="62" t="str">
        <f t="shared" ca="1" si="0"/>
        <v/>
      </c>
      <c r="C71" s="12">
        <v>68</v>
      </c>
      <c r="D71" s="176">
        <f>DANE!K71</f>
        <v>99</v>
      </c>
      <c r="E71" s="198">
        <f t="shared" si="1"/>
        <v>2002</v>
      </c>
      <c r="F71" s="178">
        <f t="shared" ca="1" si="17"/>
        <v>51</v>
      </c>
      <c r="G71" s="211">
        <f t="shared" si="38"/>
        <v>344.97514545111397</v>
      </c>
      <c r="H71" s="200">
        <f t="shared" si="42"/>
        <v>0.20212544756481379</v>
      </c>
      <c r="I71" s="213">
        <f t="shared" si="43"/>
        <v>2.4148781329536968</v>
      </c>
      <c r="J71" s="214">
        <f t="shared" ca="1" si="44"/>
        <v>1.1994507594451942</v>
      </c>
      <c r="K71" s="176">
        <f>DANE!O71</f>
        <v>2</v>
      </c>
      <c r="L71" s="198">
        <f t="shared" si="2"/>
        <v>574</v>
      </c>
      <c r="M71" s="177">
        <f t="shared" ca="1" si="18"/>
        <v>2.4285714285714284</v>
      </c>
      <c r="N71" s="211">
        <f t="shared" si="62"/>
        <v>34.650611399337116</v>
      </c>
      <c r="O71" s="200">
        <f t="shared" si="66"/>
        <v>-9.0353203702100898E-2</v>
      </c>
      <c r="P71" s="213">
        <f t="shared" si="67"/>
        <v>0.36752757408529368</v>
      </c>
      <c r="Q71" s="217">
        <f t="shared" ca="1" si="68"/>
        <v>0.36427326736978671</v>
      </c>
      <c r="R71" s="176">
        <f>DANE!S71</f>
        <v>2</v>
      </c>
      <c r="S71" s="198">
        <f t="shared" si="3"/>
        <v>388</v>
      </c>
      <c r="T71" s="177">
        <f t="shared" ca="1" si="19"/>
        <v>2</v>
      </c>
      <c r="U71" s="211">
        <f t="shared" si="50"/>
        <v>21.258344134042197</v>
      </c>
      <c r="V71" s="200">
        <f t="shared" si="55"/>
        <v>-5.3841924188605172E-2</v>
      </c>
      <c r="W71" s="213">
        <f t="shared" si="56"/>
        <v>0.62310653067976385</v>
      </c>
      <c r="X71" s="214">
        <f t="shared" ca="1" si="57"/>
        <v>0.54829099535552073</v>
      </c>
      <c r="Y71" s="176">
        <f>DANE!W71</f>
        <v>0</v>
      </c>
      <c r="Z71" s="198">
        <f t="shared" si="4"/>
        <v>92</v>
      </c>
      <c r="AA71" s="177">
        <f t="shared" ca="1" si="20"/>
        <v>0.5714285714285714</v>
      </c>
      <c r="AB71" s="211"/>
      <c r="AC71" s="200"/>
      <c r="AD71" s="213"/>
      <c r="AE71" s="217"/>
      <c r="AF71" s="176">
        <f>DANE!AA71</f>
        <v>12</v>
      </c>
      <c r="AG71" s="198">
        <f t="shared" si="5"/>
        <v>1175</v>
      </c>
      <c r="AH71" s="177">
        <f t="shared" ca="1" si="21"/>
        <v>18</v>
      </c>
      <c r="AI71" s="211">
        <f t="shared" si="37"/>
        <v>147.39424029924641</v>
      </c>
      <c r="AJ71" s="200">
        <f t="shared" si="39"/>
        <v>-6.6888517729656233E-2</v>
      </c>
      <c r="AK71" s="213">
        <f t="shared" si="40"/>
        <v>0.53178037589240634</v>
      </c>
      <c r="AL71" s="214">
        <f t="shared" ca="1" si="41"/>
        <v>0.74239465303711238</v>
      </c>
      <c r="AM71" s="176">
        <f>DANE!AE71</f>
        <v>4</v>
      </c>
      <c r="AN71" s="198">
        <f t="shared" si="6"/>
        <v>1047</v>
      </c>
      <c r="AO71" s="177">
        <f t="shared" ca="1" si="22"/>
        <v>14.714285714285714</v>
      </c>
      <c r="AP71" s="211">
        <f t="shared" si="49"/>
        <v>103.27439733690225</v>
      </c>
      <c r="AQ71" s="200">
        <f t="shared" si="51"/>
        <v>-0.10832083218142984</v>
      </c>
      <c r="AR71" s="213">
        <f t="shared" si="52"/>
        <v>0.24175417472999106</v>
      </c>
      <c r="AS71" s="217">
        <f t="shared" ca="1" si="53"/>
        <v>0.76429393333752171</v>
      </c>
      <c r="AT71" s="176">
        <f>DANE!AI71</f>
        <v>26</v>
      </c>
      <c r="AU71" s="198">
        <f t="shared" si="7"/>
        <v>2791</v>
      </c>
      <c r="AV71" s="177">
        <f t="shared" ca="1" si="23"/>
        <v>40.428571428571431</v>
      </c>
      <c r="AW71" s="211">
        <f t="shared" si="33"/>
        <v>252.04327280278909</v>
      </c>
      <c r="AX71" s="200">
        <f t="shared" si="34"/>
        <v>-4.4266664983654329E-2</v>
      </c>
      <c r="AY71" s="213">
        <f t="shared" si="35"/>
        <v>0.69013334511441971</v>
      </c>
      <c r="AZ71" s="214">
        <f t="shared" ca="1" si="36"/>
        <v>1.0678116306928147</v>
      </c>
      <c r="BA71" s="176">
        <f>DANE!AM71</f>
        <v>12</v>
      </c>
      <c r="BB71" s="198">
        <f t="shared" si="8"/>
        <v>490</v>
      </c>
      <c r="BC71" s="177">
        <f t="shared" ca="1" si="24"/>
        <v>9.7142857142857135</v>
      </c>
      <c r="BD71" s="211">
        <f t="shared" si="77"/>
        <v>69.024611215190703</v>
      </c>
      <c r="BE71" s="200">
        <f t="shared" si="80"/>
        <v>3.7516104176486882E-2</v>
      </c>
      <c r="BF71" s="213">
        <f t="shared" si="81"/>
        <v>1.2626127292354081</v>
      </c>
      <c r="BG71" s="217">
        <f t="shared" ca="1" si="82"/>
        <v>0.98477933766309467</v>
      </c>
      <c r="BH71" s="176">
        <f>DANE!AQ71</f>
        <v>1</v>
      </c>
      <c r="BI71" s="198">
        <f t="shared" si="9"/>
        <v>371</v>
      </c>
      <c r="BJ71" s="177">
        <f t="shared" ca="1" si="25"/>
        <v>3</v>
      </c>
      <c r="BK71" s="211">
        <f t="shared" si="61"/>
        <v>25.34904220459709</v>
      </c>
      <c r="BL71" s="200">
        <f t="shared" si="63"/>
        <v>-0.10765481949918217</v>
      </c>
      <c r="BM71" s="213">
        <f t="shared" si="64"/>
        <v>0.24641626350572476</v>
      </c>
      <c r="BN71" s="214">
        <f t="shared" ca="1" si="65"/>
        <v>0.492079574784482</v>
      </c>
      <c r="BO71" s="176">
        <f>DANE!AU71</f>
        <v>1</v>
      </c>
      <c r="BP71" s="198">
        <f t="shared" si="10"/>
        <v>384</v>
      </c>
      <c r="BQ71" s="177">
        <f t="shared" ca="1" si="26"/>
        <v>0.8571428571428571</v>
      </c>
      <c r="BR71" s="211">
        <f t="shared" si="78"/>
        <v>14.839817105274541</v>
      </c>
      <c r="BS71" s="200">
        <f t="shared" si="83"/>
        <v>-8.0924037049249678E-2</v>
      </c>
      <c r="BT71" s="213">
        <f t="shared" si="84"/>
        <v>0.43353174065525224</v>
      </c>
      <c r="BU71" s="217">
        <f t="shared" ca="1" si="85"/>
        <v>0.28795768991772469</v>
      </c>
      <c r="BV71" s="176">
        <f>DANE!AY71</f>
        <v>3</v>
      </c>
      <c r="BW71" s="198">
        <f t="shared" si="11"/>
        <v>481</v>
      </c>
      <c r="BX71" s="177">
        <f t="shared" ca="1" si="27"/>
        <v>5.2857142857142856</v>
      </c>
      <c r="BY71" s="211">
        <f t="shared" si="69"/>
        <v>56.820439325113888</v>
      </c>
      <c r="BZ71" s="200">
        <f t="shared" si="71"/>
        <v>-9.507922421371981E-2</v>
      </c>
      <c r="CA71" s="213">
        <f t="shared" si="72"/>
        <v>0.33444543050396125</v>
      </c>
      <c r="CB71" s="214">
        <f t="shared" ca="1" si="73"/>
        <v>0.48624402887179091</v>
      </c>
      <c r="CC71" s="176">
        <f>DANE!BC71</f>
        <v>171</v>
      </c>
      <c r="CD71" s="198">
        <f t="shared" si="12"/>
        <v>3569</v>
      </c>
      <c r="CE71" s="177">
        <f t="shared" ca="1" si="28"/>
        <v>141.85714285714286</v>
      </c>
      <c r="CF71" s="211">
        <f t="shared" si="45"/>
        <v>916.05183609697747</v>
      </c>
      <c r="CG71" s="200">
        <f t="shared" si="46"/>
        <v>5.3869341758016998E-2</v>
      </c>
      <c r="CH71" s="213">
        <f t="shared" si="47"/>
        <v>1.377085392306119</v>
      </c>
      <c r="CI71" s="217">
        <f t="shared" ca="1" si="48"/>
        <v>1.3220809155996387</v>
      </c>
      <c r="CJ71" s="176">
        <f>DANE!BG71</f>
        <v>4</v>
      </c>
      <c r="CK71" s="198">
        <f t="shared" si="13"/>
        <v>325</v>
      </c>
      <c r="CL71" s="177">
        <f t="shared" ca="1" si="29"/>
        <v>6.7142857142857144</v>
      </c>
      <c r="CM71" s="211">
        <f t="shared" si="79"/>
        <v>40.478713177602167</v>
      </c>
      <c r="CN71" s="200">
        <f t="shared" si="86"/>
        <v>-4.8868865039367056E-2</v>
      </c>
      <c r="CO71" s="213">
        <f t="shared" si="87"/>
        <v>0.65791794472443055</v>
      </c>
      <c r="CP71" s="214">
        <f t="shared" ca="1" si="88"/>
        <v>1.3891078045962135</v>
      </c>
      <c r="CQ71" s="176">
        <f>DANE!BK71</f>
        <v>2</v>
      </c>
      <c r="CR71" s="198">
        <f t="shared" si="14"/>
        <v>162</v>
      </c>
      <c r="CS71" s="177">
        <f t="shared" ca="1" si="30"/>
        <v>2</v>
      </c>
      <c r="CT71" s="211">
        <f t="shared" si="89"/>
        <v>11.882293052242513</v>
      </c>
      <c r="CU71" s="200">
        <f t="shared" si="90"/>
        <v>3.0613296161735012E-2</v>
      </c>
      <c r="CV71" s="213">
        <f t="shared" si="91"/>
        <v>1.2142930731321451</v>
      </c>
      <c r="CW71" s="217">
        <f t="shared" ca="1" si="92"/>
        <v>1.6468017819973606</v>
      </c>
      <c r="CX71" s="176">
        <f>DANE!BO71</f>
        <v>2</v>
      </c>
      <c r="CY71" s="198">
        <f t="shared" si="15"/>
        <v>1672</v>
      </c>
      <c r="CZ71" s="177">
        <f t="shared" ca="1" si="31"/>
        <v>22</v>
      </c>
      <c r="DA71" s="211">
        <f t="shared" si="54"/>
        <v>171.24119925712108</v>
      </c>
      <c r="DB71" s="200">
        <f t="shared" si="58"/>
        <v>-0.13272789701268817</v>
      </c>
      <c r="DC71" s="213">
        <f t="shared" si="59"/>
        <v>7.0904720911182828E-2</v>
      </c>
      <c r="DD71" s="214">
        <f t="shared" ca="1" si="60"/>
        <v>0.66732076680789187</v>
      </c>
      <c r="DE71" s="176">
        <f>DANE!BS71</f>
        <v>4</v>
      </c>
      <c r="DF71" s="198">
        <f t="shared" si="16"/>
        <v>473</v>
      </c>
      <c r="DG71" s="177">
        <f t="shared" ca="1" si="32"/>
        <v>8.4285714285714288</v>
      </c>
      <c r="DH71" s="209">
        <f t="shared" si="70"/>
        <v>56.569410450469974</v>
      </c>
      <c r="DI71" s="179">
        <f t="shared" si="74"/>
        <v>-7.7637247880352561E-2</v>
      </c>
      <c r="DJ71" s="157">
        <f t="shared" si="75"/>
        <v>0.45653926483753204</v>
      </c>
      <c r="DK71" s="225">
        <f t="shared" ca="1" si="76"/>
        <v>0.84257240765904096</v>
      </c>
      <c r="DL71" s="75"/>
      <c r="DM71" s="75"/>
      <c r="DN71" s="75"/>
      <c r="DO71" s="75"/>
      <c r="DP71" s="75"/>
      <c r="DQ71" s="75"/>
      <c r="DR71" s="75"/>
      <c r="DS71" s="75"/>
      <c r="DT71" s="75"/>
      <c r="DU71" s="75"/>
      <c r="DV71" s="75"/>
      <c r="DW71" s="75"/>
      <c r="DX71" s="75"/>
      <c r="DY71" s="75"/>
      <c r="DZ71" s="75"/>
      <c r="EA71" s="75"/>
      <c r="EB71" s="75"/>
      <c r="EC71" s="75"/>
      <c r="ED71" s="75"/>
      <c r="EE71" s="75"/>
      <c r="EF71" s="75"/>
      <c r="EG71" s="75"/>
      <c r="EH71" s="75"/>
    </row>
    <row r="72" spans="1:138" x14ac:dyDescent="0.25">
      <c r="A72" s="32">
        <v>43962</v>
      </c>
      <c r="B72" s="33" t="str">
        <f t="shared" ca="1" si="0"/>
        <v/>
      </c>
      <c r="C72" s="51">
        <v>69</v>
      </c>
      <c r="D72" s="176">
        <f>DANE!K72</f>
        <v>22</v>
      </c>
      <c r="E72" s="188">
        <f t="shared" si="1"/>
        <v>2024</v>
      </c>
      <c r="F72" s="178">
        <f t="shared" ca="1" si="17"/>
        <v>43</v>
      </c>
      <c r="G72" s="209">
        <f t="shared" si="38"/>
        <v>317.69298181524056</v>
      </c>
      <c r="H72" s="179">
        <f t="shared" si="42"/>
        <v>-7.9084432590635842E-2</v>
      </c>
      <c r="I72" s="213">
        <f t="shared" si="43"/>
        <v>0.44640897186554906</v>
      </c>
      <c r="J72" s="214">
        <f t="shared" ca="1" si="44"/>
        <v>0.99526734558544816</v>
      </c>
      <c r="K72" s="176">
        <f>DANE!O72</f>
        <v>3</v>
      </c>
      <c r="L72" s="188">
        <f t="shared" si="2"/>
        <v>577</v>
      </c>
      <c r="M72" s="177">
        <f t="shared" ca="1" si="18"/>
        <v>2.8571428571428572</v>
      </c>
      <c r="N72" s="209">
        <f t="shared" si="62"/>
        <v>32.700524056574672</v>
      </c>
      <c r="O72" s="179">
        <f t="shared" si="66"/>
        <v>-5.6278583955945732E-2</v>
      </c>
      <c r="P72" s="213">
        <f t="shared" si="67"/>
        <v>0.60604991230837979</v>
      </c>
      <c r="Q72" s="217">
        <f t="shared" ca="1" si="68"/>
        <v>0.4508518262709838</v>
      </c>
      <c r="R72" s="176">
        <f>DANE!S72</f>
        <v>4</v>
      </c>
      <c r="S72" s="188">
        <f t="shared" si="3"/>
        <v>392</v>
      </c>
      <c r="T72" s="177">
        <f t="shared" ca="1" si="19"/>
        <v>2.5714285714285716</v>
      </c>
      <c r="U72" s="209">
        <f t="shared" si="50"/>
        <v>22.221437829179028</v>
      </c>
      <c r="V72" s="179">
        <f t="shared" si="55"/>
        <v>4.5304266835843238E-2</v>
      </c>
      <c r="W72" s="213">
        <f t="shared" si="56"/>
        <v>1.3171298678509027</v>
      </c>
      <c r="X72" s="214">
        <f t="shared" ca="1" si="57"/>
        <v>0.73645240504850684</v>
      </c>
      <c r="Y72" s="176">
        <f>DANE!W72</f>
        <v>0</v>
      </c>
      <c r="Z72" s="188">
        <f t="shared" si="4"/>
        <v>92</v>
      </c>
      <c r="AA72" s="177">
        <f t="shared" ca="1" si="20"/>
        <v>0.2857142857142857</v>
      </c>
      <c r="AB72" s="209"/>
      <c r="AC72" s="179"/>
      <c r="AD72" s="213"/>
      <c r="AE72" s="217"/>
      <c r="AF72" s="176">
        <f>DANE!AA72</f>
        <v>10</v>
      </c>
      <c r="AG72" s="188">
        <f t="shared" si="5"/>
        <v>1185</v>
      </c>
      <c r="AH72" s="177">
        <f t="shared" ca="1" si="21"/>
        <v>16.714285714285715</v>
      </c>
      <c r="AI72" s="209">
        <f t="shared" si="37"/>
        <v>136.33792025649694</v>
      </c>
      <c r="AJ72" s="179">
        <f t="shared" si="39"/>
        <v>-7.5011886626658031E-2</v>
      </c>
      <c r="AK72" s="213">
        <f t="shared" si="40"/>
        <v>0.47491679361339378</v>
      </c>
      <c r="AL72" s="214">
        <f t="shared" ca="1" si="41"/>
        <v>0.71263880088691844</v>
      </c>
      <c r="AM72" s="176">
        <f>DANE!AE72</f>
        <v>24</v>
      </c>
      <c r="AN72" s="188">
        <f t="shared" si="6"/>
        <v>1071</v>
      </c>
      <c r="AO72" s="177">
        <f t="shared" ca="1" si="22"/>
        <v>13.571428571428571</v>
      </c>
      <c r="AP72" s="209">
        <f t="shared" si="49"/>
        <v>112.52091200305908</v>
      </c>
      <c r="AQ72" s="179">
        <f t="shared" si="51"/>
        <v>8.9533465259475697E-2</v>
      </c>
      <c r="AR72" s="213">
        <f t="shared" si="52"/>
        <v>1.6267342568163299</v>
      </c>
      <c r="AS72" s="217">
        <f t="shared" ca="1" si="53"/>
        <v>0.75622922329911646</v>
      </c>
      <c r="AT72" s="176">
        <f>DANE!AI72</f>
        <v>17</v>
      </c>
      <c r="AU72" s="188">
        <f t="shared" si="7"/>
        <v>2808</v>
      </c>
      <c r="AV72" s="177">
        <f t="shared" ca="1" si="23"/>
        <v>36.428571428571431</v>
      </c>
      <c r="AW72" s="209">
        <f t="shared" si="33"/>
        <v>233.03709097381923</v>
      </c>
      <c r="AX72" s="179">
        <f t="shared" si="34"/>
        <v>-7.5408407523105042E-2</v>
      </c>
      <c r="AY72" s="213">
        <f t="shared" si="35"/>
        <v>0.47214114733826462</v>
      </c>
      <c r="AZ72" s="214">
        <f t="shared" ca="1" si="36"/>
        <v>0.94749013590902342</v>
      </c>
      <c r="BA72" s="176">
        <f>DANE!AM72</f>
        <v>5</v>
      </c>
      <c r="BB72" s="188">
        <f t="shared" si="8"/>
        <v>495</v>
      </c>
      <c r="BC72" s="177">
        <f t="shared" ca="1" si="24"/>
        <v>8.5714285714285712</v>
      </c>
      <c r="BD72" s="209">
        <f t="shared" si="77"/>
        <v>64.163952470163466</v>
      </c>
      <c r="BE72" s="179">
        <f t="shared" si="80"/>
        <v>-7.0419212212201779E-2</v>
      </c>
      <c r="BF72" s="213">
        <f t="shared" si="81"/>
        <v>0.50706551451458748</v>
      </c>
      <c r="BG72" s="217">
        <f t="shared" ca="1" si="82"/>
        <v>0.87434510543068511</v>
      </c>
      <c r="BH72" s="176">
        <f>DANE!AQ72</f>
        <v>0</v>
      </c>
      <c r="BI72" s="188">
        <f t="shared" si="9"/>
        <v>371</v>
      </c>
      <c r="BJ72" s="177">
        <f t="shared" ca="1" si="25"/>
        <v>1.1428571428571428</v>
      </c>
      <c r="BK72" s="209">
        <f t="shared" si="61"/>
        <v>21.727750461083222</v>
      </c>
      <c r="BL72" s="179">
        <f t="shared" si="63"/>
        <v>-0.14285714285714279</v>
      </c>
      <c r="BM72" s="213">
        <f t="shared" si="64"/>
        <v>4.4408920985006262E-16</v>
      </c>
      <c r="BN72" s="214">
        <f t="shared" ca="1" si="65"/>
        <v>0.19898543497648502</v>
      </c>
      <c r="BO72" s="176">
        <f>DANE!AU72</f>
        <v>0</v>
      </c>
      <c r="BP72" s="188">
        <f t="shared" si="10"/>
        <v>384</v>
      </c>
      <c r="BQ72" s="177">
        <f t="shared" ca="1" si="26"/>
        <v>0.8571428571428571</v>
      </c>
      <c r="BR72" s="209">
        <f t="shared" si="78"/>
        <v>12.719843233092465</v>
      </c>
      <c r="BS72" s="179">
        <f t="shared" si="83"/>
        <v>-0.14285714285714277</v>
      </c>
      <c r="BT72" s="213">
        <f t="shared" si="84"/>
        <v>5.5511151231257827E-16</v>
      </c>
      <c r="BU72" s="217">
        <f t="shared" ca="1" si="85"/>
        <v>0.28795768991772469</v>
      </c>
      <c r="BV72" s="176">
        <f>DANE!AY72</f>
        <v>4</v>
      </c>
      <c r="BW72" s="188">
        <f t="shared" si="11"/>
        <v>485</v>
      </c>
      <c r="BX72" s="177">
        <f t="shared" ca="1" si="27"/>
        <v>5.8571428571428568</v>
      </c>
      <c r="BY72" s="209">
        <f t="shared" si="69"/>
        <v>52.703233707240479</v>
      </c>
      <c r="BZ72" s="179">
        <f t="shared" si="71"/>
        <v>-7.2459939887399974E-2</v>
      </c>
      <c r="CA72" s="213">
        <f t="shared" si="72"/>
        <v>0.49278042078820017</v>
      </c>
      <c r="CB72" s="214">
        <f t="shared" ca="1" si="73"/>
        <v>0.5566412318415338</v>
      </c>
      <c r="CC72" s="176">
        <f>DANE!BC72</f>
        <v>213</v>
      </c>
      <c r="CD72" s="188">
        <f t="shared" si="12"/>
        <v>3782</v>
      </c>
      <c r="CE72" s="177">
        <f t="shared" ca="1" si="28"/>
        <v>160.85714285714286</v>
      </c>
      <c r="CF72" s="209">
        <f t="shared" si="45"/>
        <v>998.18728808312358</v>
      </c>
      <c r="CG72" s="179">
        <f t="shared" si="46"/>
        <v>8.9662450037871946E-2</v>
      </c>
      <c r="CH72" s="213">
        <f t="shared" si="47"/>
        <v>1.6276371502651037</v>
      </c>
      <c r="CI72" s="217">
        <f t="shared" ca="1" si="48"/>
        <v>1.4354937100833542</v>
      </c>
      <c r="CJ72" s="176">
        <f>DANE!BG72</f>
        <v>0</v>
      </c>
      <c r="CK72" s="188">
        <f t="shared" si="13"/>
        <v>325</v>
      </c>
      <c r="CL72" s="177">
        <f t="shared" ca="1" si="29"/>
        <v>6.1428571428571432</v>
      </c>
      <c r="CM72" s="209">
        <f t="shared" si="79"/>
        <v>34.696039866516145</v>
      </c>
      <c r="CN72" s="179">
        <f t="shared" si="86"/>
        <v>-0.14285714285714279</v>
      </c>
      <c r="CO72" s="213">
        <f t="shared" si="87"/>
        <v>4.4408920985006262E-16</v>
      </c>
      <c r="CP72" s="214">
        <f t="shared" ca="1" si="88"/>
        <v>1.2577229610588365</v>
      </c>
      <c r="CQ72" s="176">
        <f>DANE!BK72</f>
        <v>0</v>
      </c>
      <c r="CR72" s="188">
        <f t="shared" si="14"/>
        <v>162</v>
      </c>
      <c r="CS72" s="177">
        <f t="shared" ca="1" si="30"/>
        <v>1.7142857142857142</v>
      </c>
      <c r="CT72" s="209">
        <f t="shared" si="89"/>
        <v>10.184822616207869</v>
      </c>
      <c r="CU72" s="179">
        <f t="shared" si="90"/>
        <v>-0.14285714285714279</v>
      </c>
      <c r="CV72" s="213">
        <f t="shared" si="91"/>
        <v>4.4408920985006262E-16</v>
      </c>
      <c r="CW72" s="217">
        <f t="shared" ca="1" si="92"/>
        <v>1.3561197418189475</v>
      </c>
      <c r="CX72" s="176">
        <f>DANE!BO72</f>
        <v>27</v>
      </c>
      <c r="CY72" s="188">
        <f t="shared" si="15"/>
        <v>1699</v>
      </c>
      <c r="CZ72" s="177">
        <f t="shared" ca="1" si="31"/>
        <v>24.285714285714285</v>
      </c>
      <c r="DA72" s="209">
        <f t="shared" si="54"/>
        <v>173.77817079181807</v>
      </c>
      <c r="DB72" s="179">
        <f t="shared" si="58"/>
        <v>1.4815193689969957E-2</v>
      </c>
      <c r="DC72" s="213">
        <f t="shared" si="59"/>
        <v>1.1037063558297897</v>
      </c>
      <c r="DD72" s="214">
        <f t="shared" ca="1" si="60"/>
        <v>0.78061117867961793</v>
      </c>
      <c r="DE72" s="176">
        <f>DANE!BS72</f>
        <v>1</v>
      </c>
      <c r="DF72" s="188">
        <f t="shared" si="16"/>
        <v>474</v>
      </c>
      <c r="DG72" s="177">
        <f t="shared" ca="1" si="32"/>
        <v>6.5714285714285712</v>
      </c>
      <c r="DH72" s="209">
        <f t="shared" si="70"/>
        <v>49.48806610040284</v>
      </c>
      <c r="DI72" s="179">
        <f t="shared" si="74"/>
        <v>-0.12517974455942563</v>
      </c>
      <c r="DJ72" s="157">
        <f t="shared" si="75"/>
        <v>0.12374178808402059</v>
      </c>
      <c r="DK72" s="225">
        <f t="shared" ca="1" si="76"/>
        <v>0.6515554428043695</v>
      </c>
      <c r="DL72" s="82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</row>
    <row r="73" spans="1:138" x14ac:dyDescent="0.25">
      <c r="A73" s="32">
        <v>43963</v>
      </c>
      <c r="B73" s="33" t="str">
        <f t="shared" ca="1" si="0"/>
        <v/>
      </c>
      <c r="C73" s="51">
        <v>70</v>
      </c>
      <c r="D73" s="176">
        <f>DANE!K73</f>
        <v>32</v>
      </c>
      <c r="E73" s="188">
        <f t="shared" si="1"/>
        <v>2056</v>
      </c>
      <c r="F73" s="178">
        <f t="shared" ca="1" si="17"/>
        <v>41</v>
      </c>
      <c r="G73" s="209">
        <f t="shared" si="38"/>
        <v>304.30827012734909</v>
      </c>
      <c r="H73" s="179">
        <f t="shared" si="42"/>
        <v>-4.2130964339890775E-2</v>
      </c>
      <c r="I73" s="213">
        <f t="shared" si="43"/>
        <v>0.70508324962076463</v>
      </c>
      <c r="J73" s="214">
        <f t="shared" ca="1" si="44"/>
        <v>0.95553885374317082</v>
      </c>
      <c r="K73" s="176">
        <f>DANE!O73</f>
        <v>0</v>
      </c>
      <c r="L73" s="188">
        <f t="shared" si="2"/>
        <v>577</v>
      </c>
      <c r="M73" s="177">
        <f t="shared" ca="1" si="18"/>
        <v>2.2857142857142856</v>
      </c>
      <c r="N73" s="209">
        <f t="shared" si="62"/>
        <v>28.029020619921148</v>
      </c>
      <c r="O73" s="179">
        <f t="shared" si="66"/>
        <v>-0.14285714285714282</v>
      </c>
      <c r="P73" s="213">
        <f t="shared" si="67"/>
        <v>2.2204460492503131E-16</v>
      </c>
      <c r="Q73" s="217">
        <f t="shared" ca="1" si="68"/>
        <v>0.38224313333066934</v>
      </c>
      <c r="R73" s="176">
        <f>DANE!S73</f>
        <v>4</v>
      </c>
      <c r="S73" s="188">
        <f t="shared" si="3"/>
        <v>396</v>
      </c>
      <c r="T73" s="177">
        <f t="shared" ca="1" si="19"/>
        <v>2.8571428571428572</v>
      </c>
      <c r="U73" s="209">
        <f t="shared" si="50"/>
        <v>23.046946710724882</v>
      </c>
      <c r="V73" s="179">
        <f t="shared" si="55"/>
        <v>3.7149210950781789E-2</v>
      </c>
      <c r="W73" s="213">
        <f t="shared" si="56"/>
        <v>1.2600444766554726</v>
      </c>
      <c r="X73" s="214">
        <f t="shared" ca="1" si="57"/>
        <v>0.84823650953581675</v>
      </c>
      <c r="Y73" s="176">
        <f>DANE!W73</f>
        <v>0</v>
      </c>
      <c r="Z73" s="188">
        <f t="shared" si="4"/>
        <v>92</v>
      </c>
      <c r="AA73" s="177">
        <f t="shared" ca="1" si="20"/>
        <v>0.2857142857142857</v>
      </c>
      <c r="AB73" s="209"/>
      <c r="AC73" s="179"/>
      <c r="AD73" s="213"/>
      <c r="AE73" s="217"/>
      <c r="AF73" s="176">
        <f>DANE!AA73</f>
        <v>13</v>
      </c>
      <c r="AG73" s="188">
        <f t="shared" si="5"/>
        <v>1198</v>
      </c>
      <c r="AH73" s="177">
        <f t="shared" ca="1" si="21"/>
        <v>18.142857142857142</v>
      </c>
      <c r="AI73" s="209">
        <f t="shared" si="37"/>
        <v>129.86107450556881</v>
      </c>
      <c r="AJ73" s="179">
        <f t="shared" si="39"/>
        <v>-4.7505827716478551E-2</v>
      </c>
      <c r="AK73" s="213">
        <f t="shared" si="40"/>
        <v>0.66745920598465014</v>
      </c>
      <c r="AL73" s="214">
        <f t="shared" ca="1" si="41"/>
        <v>0.79184892856816291</v>
      </c>
      <c r="AM73" s="176">
        <f>DANE!AE73</f>
        <v>3</v>
      </c>
      <c r="AN73" s="188">
        <f t="shared" si="6"/>
        <v>1074</v>
      </c>
      <c r="AO73" s="177">
        <f t="shared" ca="1" si="22"/>
        <v>11</v>
      </c>
      <c r="AP73" s="209">
        <f t="shared" si="49"/>
        <v>99.446496002622084</v>
      </c>
      <c r="AQ73" s="179">
        <f t="shared" si="51"/>
        <v>-0.11619543218847662</v>
      </c>
      <c r="AR73" s="213">
        <f t="shared" si="52"/>
        <v>0.18663197468066361</v>
      </c>
      <c r="AS73" s="217">
        <f t="shared" ca="1" si="53"/>
        <v>0.63912356436878659</v>
      </c>
      <c r="AT73" s="176">
        <f>DANE!AI73</f>
        <v>21</v>
      </c>
      <c r="AU73" s="188">
        <f t="shared" si="7"/>
        <v>2829</v>
      </c>
      <c r="AV73" s="177">
        <f t="shared" ca="1" si="23"/>
        <v>28.285714285714285</v>
      </c>
      <c r="AW73" s="209">
        <f t="shared" si="33"/>
        <v>220.74607797755937</v>
      </c>
      <c r="AX73" s="179">
        <f t="shared" si="34"/>
        <v>-5.274273269074025E-2</v>
      </c>
      <c r="AY73" s="213">
        <f t="shared" si="35"/>
        <v>0.63080087116481831</v>
      </c>
      <c r="AZ73" s="214">
        <f t="shared" ca="1" si="36"/>
        <v>0.72612562707351869</v>
      </c>
      <c r="BA73" s="176">
        <f>DANE!AM73</f>
        <v>3</v>
      </c>
      <c r="BB73" s="188">
        <f t="shared" si="8"/>
        <v>498</v>
      </c>
      <c r="BC73" s="177">
        <f t="shared" ca="1" si="24"/>
        <v>8.2857142857142865</v>
      </c>
      <c r="BD73" s="209">
        <f t="shared" si="77"/>
        <v>57.997673545854404</v>
      </c>
      <c r="BE73" s="179">
        <f t="shared" si="80"/>
        <v>-9.6101918396881952E-2</v>
      </c>
      <c r="BF73" s="213">
        <f t="shared" si="81"/>
        <v>0.32728657122182625</v>
      </c>
      <c r="BG73" s="217">
        <f t="shared" ca="1" si="82"/>
        <v>0.85347106886435709</v>
      </c>
      <c r="BH73" s="176">
        <f>DANE!AQ73</f>
        <v>0</v>
      </c>
      <c r="BI73" s="188">
        <f t="shared" si="9"/>
        <v>371</v>
      </c>
      <c r="BJ73" s="177">
        <f t="shared" ca="1" si="25"/>
        <v>0.7142857142857143</v>
      </c>
      <c r="BK73" s="209">
        <f t="shared" si="61"/>
        <v>18.623786109499907</v>
      </c>
      <c r="BL73" s="179">
        <f t="shared" si="63"/>
        <v>-0.14285714285714274</v>
      </c>
      <c r="BM73" s="213">
        <f t="shared" si="64"/>
        <v>7.7715611723760958E-16</v>
      </c>
      <c r="BN73" s="214">
        <f t="shared" ca="1" si="65"/>
        <v>0.14018267574881374</v>
      </c>
      <c r="BO73" s="176">
        <f>DANE!AU73</f>
        <v>1</v>
      </c>
      <c r="BP73" s="188">
        <f t="shared" si="10"/>
        <v>385</v>
      </c>
      <c r="BQ73" s="177">
        <f t="shared" ca="1" si="26"/>
        <v>0.8571428571428571</v>
      </c>
      <c r="BR73" s="209">
        <f t="shared" si="78"/>
        <v>11.902722771222114</v>
      </c>
      <c r="BS73" s="179">
        <f t="shared" si="83"/>
        <v>-6.4239821741237879E-2</v>
      </c>
      <c r="BT73" s="213">
        <f t="shared" si="84"/>
        <v>0.55032124781133485</v>
      </c>
      <c r="BU73" s="217">
        <f t="shared" ca="1" si="85"/>
        <v>0.32964447092123444</v>
      </c>
      <c r="BV73" s="176">
        <f>DANE!AY73</f>
        <v>4</v>
      </c>
      <c r="BW73" s="188">
        <f t="shared" si="11"/>
        <v>489</v>
      </c>
      <c r="BX73" s="177">
        <f t="shared" ca="1" si="27"/>
        <v>5.4285714285714288</v>
      </c>
      <c r="BY73" s="209">
        <f t="shared" si="69"/>
        <v>49.174200320491842</v>
      </c>
      <c r="BZ73" s="179">
        <f t="shared" si="71"/>
        <v>-6.6960471654395101E-2</v>
      </c>
      <c r="CA73" s="213">
        <f t="shared" si="72"/>
        <v>0.53127669841923431</v>
      </c>
      <c r="CB73" s="214">
        <f t="shared" ca="1" si="73"/>
        <v>0.54896545663129059</v>
      </c>
      <c r="CC73" s="176">
        <f>DANE!BC73</f>
        <v>453</v>
      </c>
      <c r="CD73" s="188">
        <f t="shared" si="12"/>
        <v>4235</v>
      </c>
      <c r="CE73" s="177">
        <f t="shared" ca="1" si="28"/>
        <v>206.42857142857142</v>
      </c>
      <c r="CF73" s="209">
        <f t="shared" si="45"/>
        <v>1308.5891040712488</v>
      </c>
      <c r="CG73" s="179">
        <f t="shared" si="46"/>
        <v>0.31096550686816266</v>
      </c>
      <c r="CH73" s="213">
        <f t="shared" si="47"/>
        <v>3.1767585480771388</v>
      </c>
      <c r="CI73" s="217">
        <f t="shared" ca="1" si="48"/>
        <v>1.6849589127110935</v>
      </c>
      <c r="CJ73" s="176">
        <f>DANE!BG73</f>
        <v>3</v>
      </c>
      <c r="CK73" s="188">
        <f t="shared" si="13"/>
        <v>328</v>
      </c>
      <c r="CL73" s="177">
        <f t="shared" ca="1" si="29"/>
        <v>4</v>
      </c>
      <c r="CM73" s="209">
        <f t="shared" si="79"/>
        <v>32.739462742728122</v>
      </c>
      <c r="CN73" s="179">
        <f t="shared" si="86"/>
        <v>-5.6391943614182968E-2</v>
      </c>
      <c r="CO73" s="213">
        <f t="shared" si="87"/>
        <v>0.60525639470071924</v>
      </c>
      <c r="CP73" s="214">
        <f t="shared" ca="1" si="88"/>
        <v>0.74609485901003381</v>
      </c>
      <c r="CQ73" s="176">
        <f>DANE!BK73</f>
        <v>2</v>
      </c>
      <c r="CR73" s="188">
        <f t="shared" si="14"/>
        <v>164</v>
      </c>
      <c r="CS73" s="177">
        <f t="shared" ca="1" si="30"/>
        <v>1.7142857142857142</v>
      </c>
      <c r="CT73" s="209">
        <f t="shared" si="89"/>
        <v>10.729847956749603</v>
      </c>
      <c r="CU73" s="179">
        <f t="shared" si="90"/>
        <v>5.3513483845501114E-2</v>
      </c>
      <c r="CV73" s="213">
        <f t="shared" si="91"/>
        <v>1.3745943869185078</v>
      </c>
      <c r="CW73" s="217">
        <f t="shared" ca="1" si="92"/>
        <v>1.2992443892291132</v>
      </c>
      <c r="CX73" s="176">
        <f>DANE!BO73</f>
        <v>11</v>
      </c>
      <c r="CY73" s="188">
        <f t="shared" si="15"/>
        <v>1710</v>
      </c>
      <c r="CZ73" s="177">
        <f t="shared" ca="1" si="31"/>
        <v>16</v>
      </c>
      <c r="DA73" s="209">
        <f t="shared" si="54"/>
        <v>159.95271782155837</v>
      </c>
      <c r="DB73" s="179">
        <f t="shared" si="58"/>
        <v>-7.9558053277141771E-2</v>
      </c>
      <c r="DC73" s="213">
        <f t="shared" si="59"/>
        <v>0.44309362706000754</v>
      </c>
      <c r="DD73" s="214">
        <f t="shared" ca="1" si="60"/>
        <v>0.53510488105113641</v>
      </c>
      <c r="DE73" s="176">
        <f>DANE!BS73</f>
        <v>6</v>
      </c>
      <c r="DF73" s="188">
        <f t="shared" si="16"/>
        <v>480</v>
      </c>
      <c r="DG73" s="177">
        <f t="shared" ca="1" si="32"/>
        <v>5.5714285714285712</v>
      </c>
      <c r="DH73" s="209">
        <f t="shared" si="70"/>
        <v>48.418342371773868</v>
      </c>
      <c r="DI73" s="179">
        <f t="shared" si="74"/>
        <v>-2.1615791703371176E-2</v>
      </c>
      <c r="DJ73" s="157">
        <f t="shared" si="75"/>
        <v>0.84868945807640173</v>
      </c>
      <c r="DK73" s="225">
        <f t="shared" ca="1" si="76"/>
        <v>0.59097951526192838</v>
      </c>
      <c r="DL73" s="83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</row>
    <row r="74" spans="1:138" x14ac:dyDescent="0.25">
      <c r="A74" s="32">
        <v>43964</v>
      </c>
      <c r="B74" s="33" t="str">
        <f t="shared" ca="1" si="0"/>
        <v/>
      </c>
      <c r="C74" s="51">
        <v>71</v>
      </c>
      <c r="D74" s="176">
        <f>DANE!K74</f>
        <v>44</v>
      </c>
      <c r="E74" s="188">
        <f t="shared" si="1"/>
        <v>2100</v>
      </c>
      <c r="F74" s="178">
        <f t="shared" ca="1" si="17"/>
        <v>44.428571428571431</v>
      </c>
      <c r="G74" s="209">
        <f t="shared" si="38"/>
        <v>304.83566010915638</v>
      </c>
      <c r="H74" s="179">
        <f t="shared" si="42"/>
        <v>1.7330780447951126E-3</v>
      </c>
      <c r="I74" s="213">
        <f t="shared" si="43"/>
        <v>1.0121315463135658</v>
      </c>
      <c r="J74" s="214">
        <f t="shared" ca="1" si="44"/>
        <v>1.0389147609576102</v>
      </c>
      <c r="K74" s="176">
        <f>DANE!O74</f>
        <v>0</v>
      </c>
      <c r="L74" s="188">
        <f t="shared" si="2"/>
        <v>577</v>
      </c>
      <c r="M74" s="177">
        <f t="shared" ca="1" si="18"/>
        <v>2.2857142857142856</v>
      </c>
      <c r="N74" s="209">
        <f t="shared" si="62"/>
        <v>24.024874817075272</v>
      </c>
      <c r="O74" s="179">
        <f t="shared" si="66"/>
        <v>-0.14285714285714279</v>
      </c>
      <c r="P74" s="213">
        <f t="shared" si="67"/>
        <v>4.4408920985006262E-16</v>
      </c>
      <c r="Q74" s="217">
        <f t="shared" ca="1" si="68"/>
        <v>0.38224313333066939</v>
      </c>
      <c r="R74" s="176">
        <f>DANE!S74</f>
        <v>2</v>
      </c>
      <c r="S74" s="188">
        <f t="shared" si="3"/>
        <v>398</v>
      </c>
      <c r="T74" s="177">
        <f t="shared" ca="1" si="19"/>
        <v>2.5714285714285716</v>
      </c>
      <c r="U74" s="209">
        <f t="shared" si="50"/>
        <v>21.754525752049901</v>
      </c>
      <c r="V74" s="179">
        <f t="shared" si="55"/>
        <v>-5.6077751855674395E-2</v>
      </c>
      <c r="W74" s="213">
        <f t="shared" si="56"/>
        <v>0.60745573701027922</v>
      </c>
      <c r="X74" s="214">
        <f t="shared" ca="1" si="57"/>
        <v>0.78756653413239808</v>
      </c>
      <c r="Y74" s="176">
        <f>DANE!W74</f>
        <v>0</v>
      </c>
      <c r="Z74" s="188">
        <f t="shared" si="4"/>
        <v>92</v>
      </c>
      <c r="AA74" s="177">
        <f t="shared" ca="1" si="20"/>
        <v>0.2857142857142857</v>
      </c>
      <c r="AB74" s="209"/>
      <c r="AC74" s="179"/>
      <c r="AD74" s="213"/>
      <c r="AE74" s="217"/>
      <c r="AF74" s="176">
        <f>DANE!AA74</f>
        <v>11</v>
      </c>
      <c r="AG74" s="188">
        <f t="shared" si="5"/>
        <v>1209</v>
      </c>
      <c r="AH74" s="177">
        <f t="shared" ca="1" si="21"/>
        <v>15.857142857142858</v>
      </c>
      <c r="AI74" s="209">
        <f t="shared" si="37"/>
        <v>122.3094924333447</v>
      </c>
      <c r="AJ74" s="179">
        <f t="shared" si="39"/>
        <v>-5.8151236627110109E-2</v>
      </c>
      <c r="AK74" s="213">
        <f t="shared" si="40"/>
        <v>0.59294134361022921</v>
      </c>
      <c r="AL74" s="214">
        <f t="shared" ca="1" si="41"/>
        <v>0.71020496497899166</v>
      </c>
      <c r="AM74" s="176">
        <f>DANE!AE74</f>
        <v>10</v>
      </c>
      <c r="AN74" s="188">
        <f t="shared" si="6"/>
        <v>1084</v>
      </c>
      <c r="AO74" s="177">
        <f t="shared" ca="1" si="22"/>
        <v>10.714285714285714</v>
      </c>
      <c r="AP74" s="209">
        <f t="shared" si="49"/>
        <v>95.239853716533219</v>
      </c>
      <c r="AQ74" s="179">
        <f t="shared" si="51"/>
        <v>-4.230055814111288E-2</v>
      </c>
      <c r="AR74" s="213">
        <f t="shared" si="52"/>
        <v>0.70389609301220979</v>
      </c>
      <c r="AS74" s="217">
        <f t="shared" ca="1" si="53"/>
        <v>0.65760207611375654</v>
      </c>
      <c r="AT74" s="176">
        <f>DANE!AI74</f>
        <v>51</v>
      </c>
      <c r="AU74" s="188">
        <f t="shared" si="7"/>
        <v>2880</v>
      </c>
      <c r="AV74" s="177">
        <f t="shared" ca="1" si="23"/>
        <v>29.571428571428573</v>
      </c>
      <c r="AW74" s="209">
        <f t="shared" si="33"/>
        <v>240.21092398076519</v>
      </c>
      <c r="AX74" s="179">
        <f t="shared" si="34"/>
        <v>8.8177539467698185E-2</v>
      </c>
      <c r="AY74" s="213">
        <f t="shared" si="35"/>
        <v>1.6172427762738875</v>
      </c>
      <c r="AZ74" s="214">
        <f t="shared" ca="1" si="36"/>
        <v>0.81364131861127753</v>
      </c>
      <c r="BA74" s="176">
        <f>DANE!AM74</f>
        <v>4</v>
      </c>
      <c r="BB74" s="188">
        <f t="shared" si="8"/>
        <v>502</v>
      </c>
      <c r="BC74" s="177">
        <f t="shared" ca="1" si="24"/>
        <v>7.4285714285714288</v>
      </c>
      <c r="BD74" s="209">
        <f t="shared" si="77"/>
        <v>53.71229161073235</v>
      </c>
      <c r="BE74" s="179">
        <f t="shared" si="80"/>
        <v>-7.3888859209739227E-2</v>
      </c>
      <c r="BF74" s="213">
        <f t="shared" si="81"/>
        <v>0.48277798553182538</v>
      </c>
      <c r="BG74" s="217">
        <f t="shared" ca="1" si="82"/>
        <v>0.77617789047620878</v>
      </c>
      <c r="BH74" s="176">
        <f>DANE!AQ74</f>
        <v>0</v>
      </c>
      <c r="BI74" s="188">
        <f t="shared" si="9"/>
        <v>371</v>
      </c>
      <c r="BJ74" s="177">
        <f t="shared" ca="1" si="25"/>
        <v>0.7142857142857143</v>
      </c>
      <c r="BK74" s="209">
        <f t="shared" si="61"/>
        <v>15.963245236714208</v>
      </c>
      <c r="BL74" s="179">
        <f t="shared" si="63"/>
        <v>-0.14285714285714274</v>
      </c>
      <c r="BM74" s="213">
        <f t="shared" si="64"/>
        <v>7.7715611723760958E-16</v>
      </c>
      <c r="BN74" s="214">
        <f t="shared" ca="1" si="65"/>
        <v>0.14018267574881385</v>
      </c>
      <c r="BO74" s="176">
        <f>DANE!AU74</f>
        <v>0</v>
      </c>
      <c r="BP74" s="188">
        <f t="shared" si="10"/>
        <v>385</v>
      </c>
      <c r="BQ74" s="177">
        <f t="shared" ca="1" si="26"/>
        <v>0.7142857142857143</v>
      </c>
      <c r="BR74" s="209">
        <f t="shared" si="78"/>
        <v>10.20233380390467</v>
      </c>
      <c r="BS74" s="179">
        <f t="shared" si="83"/>
        <v>-0.14285714285714279</v>
      </c>
      <c r="BT74" s="213">
        <f t="shared" si="84"/>
        <v>4.4408920985006262E-16</v>
      </c>
      <c r="BU74" s="217">
        <f t="shared" ca="1" si="85"/>
        <v>0.28833853314725572</v>
      </c>
      <c r="BV74" s="176">
        <f>DANE!AY74</f>
        <v>2</v>
      </c>
      <c r="BW74" s="188">
        <f t="shared" si="11"/>
        <v>491</v>
      </c>
      <c r="BX74" s="177">
        <f t="shared" ca="1" si="27"/>
        <v>4.4285714285714288</v>
      </c>
      <c r="BY74" s="209">
        <f t="shared" si="69"/>
        <v>44.14931456042158</v>
      </c>
      <c r="BZ74" s="179">
        <f t="shared" si="71"/>
        <v>-0.10218540875745151</v>
      </c>
      <c r="CA74" s="213">
        <f t="shared" si="72"/>
        <v>0.28470213869783945</v>
      </c>
      <c r="CB74" s="214">
        <f t="shared" ca="1" si="73"/>
        <v>0.47541529188537129</v>
      </c>
      <c r="CC74" s="176">
        <f>DANE!BC74</f>
        <v>167</v>
      </c>
      <c r="CD74" s="188">
        <f t="shared" si="12"/>
        <v>4402</v>
      </c>
      <c r="CE74" s="177">
        <f t="shared" ca="1" si="28"/>
        <v>207.85714285714286</v>
      </c>
      <c r="CF74" s="209">
        <f t="shared" si="45"/>
        <v>1288.647803489642</v>
      </c>
      <c r="CG74" s="179">
        <f t="shared" si="46"/>
        <v>-1.5238779323139669E-2</v>
      </c>
      <c r="CH74" s="213">
        <f t="shared" si="47"/>
        <v>0.89332854473802237</v>
      </c>
      <c r="CI74" s="217">
        <f t="shared" ca="1" si="48"/>
        <v>1.5870156589999067</v>
      </c>
      <c r="CJ74" s="176">
        <f>DANE!BG74</f>
        <v>9</v>
      </c>
      <c r="CK74" s="188">
        <f t="shared" si="13"/>
        <v>337</v>
      </c>
      <c r="CL74" s="177">
        <f t="shared" ca="1" si="29"/>
        <v>5.2857142857142856</v>
      </c>
      <c r="CM74" s="209">
        <f t="shared" si="79"/>
        <v>37.062396636624108</v>
      </c>
      <c r="CN74" s="179">
        <f t="shared" si="86"/>
        <v>0.13204046529004718</v>
      </c>
      <c r="CO74" s="213">
        <f t="shared" si="87"/>
        <v>1.9242832570303303</v>
      </c>
      <c r="CP74" s="214">
        <f t="shared" ca="1" si="88"/>
        <v>1.0209924671572239</v>
      </c>
      <c r="CQ74" s="176">
        <f>DANE!BK74</f>
        <v>4</v>
      </c>
      <c r="CR74" s="188">
        <f t="shared" si="14"/>
        <v>168</v>
      </c>
      <c r="CS74" s="177">
        <f t="shared" ca="1" si="30"/>
        <v>2.2857142857142856</v>
      </c>
      <c r="CT74" s="209">
        <f t="shared" si="89"/>
        <v>13.197012534356803</v>
      </c>
      <c r="CU74" s="179">
        <f t="shared" si="90"/>
        <v>0.229934719257157</v>
      </c>
      <c r="CV74" s="213">
        <f t="shared" si="91"/>
        <v>2.6095430348000992</v>
      </c>
      <c r="CW74" s="217">
        <f t="shared" ca="1" si="92"/>
        <v>1.6720362513434133</v>
      </c>
      <c r="CX74" s="176">
        <f>DANE!BO74</f>
        <v>12</v>
      </c>
      <c r="CY74" s="188">
        <f t="shared" si="15"/>
        <v>1722</v>
      </c>
      <c r="CZ74" s="177">
        <f t="shared" ca="1" si="31"/>
        <v>15.142857142857142</v>
      </c>
      <c r="DA74" s="209">
        <f t="shared" si="54"/>
        <v>149.10232956133575</v>
      </c>
      <c r="DB74" s="179">
        <f t="shared" si="58"/>
        <v>-6.7834972784439951E-2</v>
      </c>
      <c r="DC74" s="213">
        <f t="shared" si="59"/>
        <v>0.52515519050892034</v>
      </c>
      <c r="DD74" s="214">
        <f t="shared" ca="1" si="60"/>
        <v>0.54103485300257326</v>
      </c>
      <c r="DE74" s="176">
        <f>DANE!BS74</f>
        <v>6</v>
      </c>
      <c r="DF74" s="188">
        <f t="shared" si="16"/>
        <v>486</v>
      </c>
      <c r="DG74" s="177">
        <f t="shared" ca="1" si="32"/>
        <v>4.8571428571428568</v>
      </c>
      <c r="DH74" s="209">
        <f t="shared" si="70"/>
        <v>47.501436318663316</v>
      </c>
      <c r="DI74" s="179">
        <f t="shared" si="74"/>
        <v>-1.8937163235994516E-2</v>
      </c>
      <c r="DJ74" s="157">
        <f t="shared" si="75"/>
        <v>0.86743985734803841</v>
      </c>
      <c r="DK74" s="225">
        <f t="shared" ca="1" si="76"/>
        <v>0.56682317861346343</v>
      </c>
      <c r="DL74" s="83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</row>
    <row r="75" spans="1:138" x14ac:dyDescent="0.25">
      <c r="A75" s="32">
        <v>43965</v>
      </c>
      <c r="B75" s="33" t="str">
        <f t="shared" ca="1" si="0"/>
        <v/>
      </c>
      <c r="C75" s="51">
        <v>72</v>
      </c>
      <c r="D75" s="176">
        <f>DANE!K75</f>
        <v>25</v>
      </c>
      <c r="E75" s="188">
        <f t="shared" si="1"/>
        <v>2125</v>
      </c>
      <c r="F75" s="178">
        <f t="shared" ca="1" si="17"/>
        <v>42.857142857142854</v>
      </c>
      <c r="G75" s="209">
        <f t="shared" si="38"/>
        <v>286.28770866499121</v>
      </c>
      <c r="H75" s="179">
        <f t="shared" si="42"/>
        <v>-6.0845740414764676E-2</v>
      </c>
      <c r="I75" s="213">
        <f t="shared" si="43"/>
        <v>0.57407981709664724</v>
      </c>
      <c r="J75" s="214">
        <f t="shared" ca="1" si="44"/>
        <v>1.0009447791005985</v>
      </c>
      <c r="K75" s="176">
        <f>DANE!O75</f>
        <v>1</v>
      </c>
      <c r="L75" s="188">
        <f t="shared" si="2"/>
        <v>578</v>
      </c>
      <c r="M75" s="177">
        <f t="shared" ca="1" si="18"/>
        <v>1.7142857142857142</v>
      </c>
      <c r="N75" s="209">
        <f t="shared" si="62"/>
        <v>21.592749843207379</v>
      </c>
      <c r="O75" s="179">
        <f t="shared" si="66"/>
        <v>-0.10123361692354382</v>
      </c>
      <c r="P75" s="213">
        <f t="shared" si="67"/>
        <v>0.29136468153519324</v>
      </c>
      <c r="Q75" s="217">
        <f t="shared" ca="1" si="68"/>
        <v>0.31578761379866516</v>
      </c>
      <c r="R75" s="176">
        <f>DANE!S75</f>
        <v>2</v>
      </c>
      <c r="S75" s="188">
        <f t="shared" si="3"/>
        <v>400</v>
      </c>
      <c r="T75" s="177">
        <f t="shared" ca="1" si="19"/>
        <v>2.7142857142857144</v>
      </c>
      <c r="U75" s="209">
        <f t="shared" si="50"/>
        <v>20.646736358899915</v>
      </c>
      <c r="V75" s="179">
        <f t="shared" si="55"/>
        <v>-5.0922249732132184E-2</v>
      </c>
      <c r="W75" s="213">
        <f t="shared" si="56"/>
        <v>0.64354425187507469</v>
      </c>
      <c r="X75" s="214">
        <f t="shared" ca="1" si="57"/>
        <v>0.8428075919507394</v>
      </c>
      <c r="Y75" s="176">
        <f>DANE!W75</f>
        <v>0</v>
      </c>
      <c r="Z75" s="188">
        <f t="shared" si="4"/>
        <v>92</v>
      </c>
      <c r="AA75" s="177">
        <f t="shared" ca="1" si="20"/>
        <v>0</v>
      </c>
      <c r="AB75" s="209"/>
      <c r="AC75" s="179"/>
      <c r="AD75" s="213"/>
      <c r="AE75" s="217"/>
      <c r="AF75" s="176">
        <f>DANE!AA75</f>
        <v>7</v>
      </c>
      <c r="AG75" s="188">
        <f t="shared" si="5"/>
        <v>1216</v>
      </c>
      <c r="AH75" s="177">
        <f t="shared" ca="1" si="21"/>
        <v>11.428571428571429</v>
      </c>
      <c r="AI75" s="209">
        <f t="shared" si="37"/>
        <v>111.83670780000975</v>
      </c>
      <c r="AJ75" s="179">
        <f t="shared" si="39"/>
        <v>-8.5625280793658207E-2</v>
      </c>
      <c r="AK75" s="213">
        <f t="shared" si="40"/>
        <v>0.40062303444439251</v>
      </c>
      <c r="AL75" s="214">
        <f t="shared" ca="1" si="41"/>
        <v>0.53868870520703493</v>
      </c>
      <c r="AM75" s="176">
        <f>DANE!AE75</f>
        <v>24</v>
      </c>
      <c r="AN75" s="188">
        <f t="shared" si="6"/>
        <v>1108</v>
      </c>
      <c r="AO75" s="177">
        <f t="shared" ca="1" si="22"/>
        <v>12.714285714285714</v>
      </c>
      <c r="AP75" s="209">
        <f t="shared" si="49"/>
        <v>105.63416032845706</v>
      </c>
      <c r="AQ75" s="179">
        <f t="shared" si="51"/>
        <v>0.10913820429482067</v>
      </c>
      <c r="AR75" s="213">
        <f t="shared" si="52"/>
        <v>1.7639674300637447</v>
      </c>
      <c r="AS75" s="217">
        <f t="shared" ca="1" si="53"/>
        <v>0.83677281730825503</v>
      </c>
      <c r="AT75" s="176">
        <f>DANE!AI75</f>
        <v>22</v>
      </c>
      <c r="AU75" s="188">
        <f t="shared" si="7"/>
        <v>2902</v>
      </c>
      <c r="AV75" s="177">
        <f t="shared" ca="1" si="23"/>
        <v>27.571428571428573</v>
      </c>
      <c r="AW75" s="209">
        <f t="shared" si="33"/>
        <v>227.89507769779874</v>
      </c>
      <c r="AX75" s="179">
        <f t="shared" si="34"/>
        <v>-5.1270966694056903E-2</v>
      </c>
      <c r="AY75" s="213">
        <f t="shared" si="35"/>
        <v>0.64110323314160167</v>
      </c>
      <c r="AZ75" s="214">
        <f t="shared" ca="1" si="36"/>
        <v>0.7822925811749476</v>
      </c>
      <c r="BA75" s="176">
        <f>DANE!AM75</f>
        <v>8</v>
      </c>
      <c r="BB75" s="188">
        <f t="shared" si="8"/>
        <v>510</v>
      </c>
      <c r="BC75" s="177">
        <f t="shared" ca="1" si="24"/>
        <v>7.2857142857142856</v>
      </c>
      <c r="BD75" s="209">
        <f t="shared" si="77"/>
        <v>54.039107094913447</v>
      </c>
      <c r="BE75" s="179">
        <f t="shared" si="80"/>
        <v>6.084556707235989E-3</v>
      </c>
      <c r="BF75" s="213">
        <f t="shared" si="81"/>
        <v>1.042591896950652</v>
      </c>
      <c r="BG75" s="217">
        <f t="shared" ca="1" si="82"/>
        <v>0.79393088244185983</v>
      </c>
      <c r="BH75" s="176">
        <f>DANE!AQ75</f>
        <v>2</v>
      </c>
      <c r="BI75" s="188">
        <f t="shared" si="9"/>
        <v>373</v>
      </c>
      <c r="BJ75" s="177">
        <f t="shared" ca="1" si="25"/>
        <v>0.7142857142857143</v>
      </c>
      <c r="BK75" s="209">
        <f t="shared" si="61"/>
        <v>15.682781631469322</v>
      </c>
      <c r="BL75" s="179">
        <f t="shared" si="63"/>
        <v>-1.7569335124905688E-2</v>
      </c>
      <c r="BM75" s="213">
        <f t="shared" si="64"/>
        <v>0.87701465412566015</v>
      </c>
      <c r="BN75" s="214">
        <f t="shared" ca="1" si="65"/>
        <v>0.21553795628524572</v>
      </c>
      <c r="BO75" s="176">
        <f>DANE!AU75</f>
        <v>1</v>
      </c>
      <c r="BP75" s="188">
        <f t="shared" si="10"/>
        <v>386</v>
      </c>
      <c r="BQ75" s="177">
        <f t="shared" ca="1" si="26"/>
        <v>0.7142857142857143</v>
      </c>
      <c r="BR75" s="209">
        <f t="shared" si="78"/>
        <v>9.7448575462040044</v>
      </c>
      <c r="BS75" s="179">
        <f t="shared" si="83"/>
        <v>-4.4840353834098144E-2</v>
      </c>
      <c r="BT75" s="213">
        <f t="shared" si="84"/>
        <v>0.68611752316131303</v>
      </c>
      <c r="BU75" s="217">
        <f t="shared" ca="1" si="85"/>
        <v>0.34038059549953659</v>
      </c>
      <c r="BV75" s="176">
        <f>DANE!AY75</f>
        <v>1</v>
      </c>
      <c r="BW75" s="188">
        <f t="shared" si="11"/>
        <v>492</v>
      </c>
      <c r="BX75" s="177">
        <f t="shared" ca="1" si="27"/>
        <v>3.4285714285714284</v>
      </c>
      <c r="BY75" s="209">
        <f t="shared" si="69"/>
        <v>38.842269623218499</v>
      </c>
      <c r="BZ75" s="179">
        <f t="shared" si="71"/>
        <v>-0.12020673457885739</v>
      </c>
      <c r="CA75" s="213">
        <f t="shared" si="72"/>
        <v>0.15855285794799823</v>
      </c>
      <c r="CB75" s="214">
        <f t="shared" ca="1" si="73"/>
        <v>0.39354206357326416</v>
      </c>
      <c r="CC75" s="176">
        <f>DANE!BC75</f>
        <v>302</v>
      </c>
      <c r="CD75" s="188">
        <f t="shared" si="12"/>
        <v>4704</v>
      </c>
      <c r="CE75" s="177">
        <f t="shared" ca="1" si="28"/>
        <v>234.42857142857142</v>
      </c>
      <c r="CF75" s="209">
        <f t="shared" si="45"/>
        <v>1406.5552601339789</v>
      </c>
      <c r="CG75" s="179">
        <f t="shared" si="46"/>
        <v>9.1497037689464086E-2</v>
      </c>
      <c r="CH75" s="213">
        <f t="shared" si="47"/>
        <v>1.6404792638262486</v>
      </c>
      <c r="CI75" s="217">
        <f t="shared" ca="1" si="48"/>
        <v>1.6674432649105184</v>
      </c>
      <c r="CJ75" s="176">
        <f>DANE!BG75</f>
        <v>0</v>
      </c>
      <c r="CK75" s="188">
        <f t="shared" si="13"/>
        <v>337</v>
      </c>
      <c r="CL75" s="177">
        <f t="shared" ca="1" si="29"/>
        <v>4.8571428571428568</v>
      </c>
      <c r="CM75" s="209">
        <f t="shared" si="79"/>
        <v>31.767768545677811</v>
      </c>
      <c r="CN75" s="179">
        <f t="shared" si="86"/>
        <v>-0.14285714285714274</v>
      </c>
      <c r="CO75" s="213">
        <f t="shared" si="87"/>
        <v>7.7715611723760958E-16</v>
      </c>
      <c r="CP75" s="214">
        <f t="shared" ca="1" si="88"/>
        <v>0.94107697095300746</v>
      </c>
      <c r="CQ75" s="176">
        <f>DANE!BK75</f>
        <v>1</v>
      </c>
      <c r="CR75" s="188">
        <f t="shared" si="14"/>
        <v>169</v>
      </c>
      <c r="CS75" s="177">
        <f t="shared" ca="1" si="30"/>
        <v>1.8571428571428572</v>
      </c>
      <c r="CT75" s="209">
        <f t="shared" si="89"/>
        <v>12.31172502944869</v>
      </c>
      <c r="CU75" s="179">
        <f t="shared" si="90"/>
        <v>-6.7082417524676599E-2</v>
      </c>
      <c r="CV75" s="213">
        <f t="shared" si="91"/>
        <v>0.53042307732726379</v>
      </c>
      <c r="CW75" s="217">
        <f t="shared" ca="1" si="92"/>
        <v>1.2156484894225286</v>
      </c>
      <c r="CX75" s="176">
        <f>DANE!BO75</f>
        <v>13</v>
      </c>
      <c r="CY75" s="188">
        <f t="shared" si="15"/>
        <v>1735</v>
      </c>
      <c r="CZ75" s="177">
        <f t="shared" ca="1" si="31"/>
        <v>13.571428571428571</v>
      </c>
      <c r="DA75" s="209">
        <f t="shared" si="54"/>
        <v>140.80199676685922</v>
      </c>
      <c r="DB75" s="179">
        <f t="shared" si="58"/>
        <v>-5.5668699603127599E-2</v>
      </c>
      <c r="DC75" s="213">
        <f t="shared" si="59"/>
        <v>0.61031910277810675</v>
      </c>
      <c r="DD75" s="214">
        <f t="shared" ca="1" si="60"/>
        <v>0.52876373649928132</v>
      </c>
      <c r="DE75" s="176">
        <f>DANE!BS75</f>
        <v>2</v>
      </c>
      <c r="DF75" s="188">
        <f t="shared" si="16"/>
        <v>488</v>
      </c>
      <c r="DG75" s="177">
        <f t="shared" ca="1" si="32"/>
        <v>4</v>
      </c>
      <c r="DH75" s="209">
        <f t="shared" si="70"/>
        <v>42.715516844568562</v>
      </c>
      <c r="DI75" s="179">
        <f t="shared" si="74"/>
        <v>-0.10075315285180896</v>
      </c>
      <c r="DJ75" s="157">
        <f t="shared" si="75"/>
        <v>0.29472793003733733</v>
      </c>
      <c r="DK75" s="225">
        <f t="shared" ca="1" si="76"/>
        <v>0.50179444649580662</v>
      </c>
      <c r="DL75" s="83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</row>
    <row r="76" spans="1:138" x14ac:dyDescent="0.25">
      <c r="A76" s="32">
        <v>43966</v>
      </c>
      <c r="B76" s="33" t="str">
        <f t="shared" ca="1" si="0"/>
        <v/>
      </c>
      <c r="C76" s="51">
        <v>73</v>
      </c>
      <c r="D76" s="176">
        <f>DANE!K76</f>
        <v>16</v>
      </c>
      <c r="E76" s="188">
        <f t="shared" si="1"/>
        <v>2141</v>
      </c>
      <c r="F76" s="178">
        <f t="shared" ca="1" si="17"/>
        <v>38.714285714285715</v>
      </c>
      <c r="G76" s="209">
        <f t="shared" si="38"/>
        <v>261.38946456999247</v>
      </c>
      <c r="H76" s="179">
        <f t="shared" si="42"/>
        <v>-8.69693086409596E-2</v>
      </c>
      <c r="I76" s="213">
        <f t="shared" si="43"/>
        <v>0.39121483951328273</v>
      </c>
      <c r="J76" s="214">
        <f t="shared" ca="1" si="44"/>
        <v>0.90334473120992675</v>
      </c>
      <c r="K76" s="176">
        <f>DANE!O76</f>
        <v>3</v>
      </c>
      <c r="L76" s="188">
        <f t="shared" si="2"/>
        <v>581</v>
      </c>
      <c r="M76" s="177">
        <f t="shared" ca="1" si="18"/>
        <v>1.4285714285714286</v>
      </c>
      <c r="N76" s="209">
        <f t="shared" si="62"/>
        <v>21.508071294177753</v>
      </c>
      <c r="O76" s="179">
        <f t="shared" si="66"/>
        <v>-3.9216195086085176E-3</v>
      </c>
      <c r="P76" s="213">
        <f t="shared" si="67"/>
        <v>0.97254866343974034</v>
      </c>
      <c r="Q76" s="217">
        <f t="shared" ca="1" si="68"/>
        <v>0.34274987465333601</v>
      </c>
      <c r="R76" s="176">
        <f>DANE!S76</f>
        <v>1</v>
      </c>
      <c r="S76" s="188">
        <f t="shared" si="3"/>
        <v>401</v>
      </c>
      <c r="T76" s="177">
        <f t="shared" ca="1" si="19"/>
        <v>2.4285714285714284</v>
      </c>
      <c r="U76" s="209">
        <f t="shared" si="50"/>
        <v>18.697202593342787</v>
      </c>
      <c r="V76" s="179">
        <f t="shared" si="55"/>
        <v>-9.4423337987592795E-2</v>
      </c>
      <c r="W76" s="213">
        <f t="shared" si="56"/>
        <v>0.33903663408685036</v>
      </c>
      <c r="X76" s="214">
        <f t="shared" ca="1" si="57"/>
        <v>0.76808522427792714</v>
      </c>
      <c r="Y76" s="176">
        <f>DANE!W76</f>
        <v>0</v>
      </c>
      <c r="Z76" s="188">
        <f t="shared" si="4"/>
        <v>92</v>
      </c>
      <c r="AA76" s="177">
        <f t="shared" ca="1" si="20"/>
        <v>0</v>
      </c>
      <c r="AB76" s="209"/>
      <c r="AC76" s="179"/>
      <c r="AD76" s="213"/>
      <c r="AE76" s="217"/>
      <c r="AF76" s="176">
        <f>DANE!AA76</f>
        <v>8</v>
      </c>
      <c r="AG76" s="188">
        <f t="shared" si="5"/>
        <v>1224</v>
      </c>
      <c r="AH76" s="177">
        <f t="shared" ca="1" si="21"/>
        <v>11</v>
      </c>
      <c r="AI76" s="209">
        <f t="shared" si="37"/>
        <v>103.86003525715122</v>
      </c>
      <c r="AJ76" s="179">
        <f t="shared" si="39"/>
        <v>-7.1324278939994226E-2</v>
      </c>
      <c r="AK76" s="213">
        <f t="shared" si="40"/>
        <v>0.50073004742004046</v>
      </c>
      <c r="AL76" s="214">
        <f t="shared" ca="1" si="41"/>
        <v>0.54924255477944162</v>
      </c>
      <c r="AM76" s="176">
        <f>DANE!AE76</f>
        <v>9</v>
      </c>
      <c r="AN76" s="188">
        <f t="shared" si="6"/>
        <v>1117</v>
      </c>
      <c r="AO76" s="177">
        <f t="shared" ca="1" si="22"/>
        <v>12</v>
      </c>
      <c r="AP76" s="209">
        <f t="shared" si="49"/>
        <v>99.543565995820344</v>
      </c>
      <c r="AQ76" s="179">
        <f t="shared" si="51"/>
        <v>-5.7657431210687171E-2</v>
      </c>
      <c r="AR76" s="213">
        <f t="shared" si="52"/>
        <v>0.59639798152518986</v>
      </c>
      <c r="AS76" s="217">
        <f t="shared" ca="1" si="53"/>
        <v>0.81234025429366419</v>
      </c>
      <c r="AT76" s="176">
        <f>DANE!AI76</f>
        <v>28</v>
      </c>
      <c r="AU76" s="188">
        <f t="shared" si="7"/>
        <v>2930</v>
      </c>
      <c r="AV76" s="177">
        <f t="shared" ca="1" si="23"/>
        <v>28.428571428571427</v>
      </c>
      <c r="AW76" s="209">
        <f t="shared" si="33"/>
        <v>223.33863802668466</v>
      </c>
      <c r="AX76" s="179">
        <f t="shared" si="34"/>
        <v>-1.9993585281188758E-2</v>
      </c>
      <c r="AY76" s="213">
        <f t="shared" si="35"/>
        <v>0.86004490303167869</v>
      </c>
      <c r="AZ76" s="214">
        <f t="shared" ca="1" si="36"/>
        <v>0.82850212833784109</v>
      </c>
      <c r="BA76" s="176">
        <f>DANE!AM76</f>
        <v>17</v>
      </c>
      <c r="BB76" s="188">
        <f t="shared" si="8"/>
        <v>527</v>
      </c>
      <c r="BC76" s="177">
        <f t="shared" ca="1" si="24"/>
        <v>7.4285714285714288</v>
      </c>
      <c r="BD76" s="209">
        <f t="shared" si="77"/>
        <v>63.31923465278296</v>
      </c>
      <c r="BE76" s="179">
        <f t="shared" si="80"/>
        <v>0.17172984634202118</v>
      </c>
      <c r="BF76" s="213">
        <f t="shared" si="81"/>
        <v>2.2021089243941483</v>
      </c>
      <c r="BG76" s="217">
        <f t="shared" ca="1" si="82"/>
        <v>0.87254001017771521</v>
      </c>
      <c r="BH76" s="176">
        <f>DANE!AQ76</f>
        <v>0</v>
      </c>
      <c r="BI76" s="188">
        <f t="shared" si="9"/>
        <v>373</v>
      </c>
      <c r="BJ76" s="177">
        <f t="shared" ca="1" si="25"/>
        <v>0.42857142857142855</v>
      </c>
      <c r="BK76" s="209">
        <f t="shared" si="61"/>
        <v>13.442384255545134</v>
      </c>
      <c r="BL76" s="179">
        <f t="shared" si="63"/>
        <v>-0.14285714285714277</v>
      </c>
      <c r="BM76" s="213">
        <f t="shared" si="64"/>
        <v>5.5511151231257827E-16</v>
      </c>
      <c r="BN76" s="214">
        <f t="shared" ca="1" si="65"/>
        <v>0.16049013109019819</v>
      </c>
      <c r="BO76" s="176">
        <f>DANE!AU76</f>
        <v>1</v>
      </c>
      <c r="BP76" s="188">
        <f t="shared" si="10"/>
        <v>387</v>
      </c>
      <c r="BQ76" s="177">
        <f t="shared" ca="1" si="26"/>
        <v>0.5714285714285714</v>
      </c>
      <c r="BR76" s="209">
        <f t="shared" si="78"/>
        <v>9.3527350396034326</v>
      </c>
      <c r="BS76" s="179">
        <f t="shared" si="83"/>
        <v>-4.0238916242887363E-2</v>
      </c>
      <c r="BT76" s="213">
        <f t="shared" si="84"/>
        <v>0.71832758629978843</v>
      </c>
      <c r="BU76" s="217">
        <f t="shared" ca="1" si="85"/>
        <v>0.34118544256109856</v>
      </c>
      <c r="BV76" s="176">
        <f>DANE!AY76</f>
        <v>1</v>
      </c>
      <c r="BW76" s="188">
        <f t="shared" si="11"/>
        <v>493</v>
      </c>
      <c r="BX76" s="177">
        <f t="shared" ca="1" si="27"/>
        <v>2.2857142857142856</v>
      </c>
      <c r="BY76" s="209">
        <f t="shared" si="69"/>
        <v>34.293373962758714</v>
      </c>
      <c r="BZ76" s="179">
        <f t="shared" si="71"/>
        <v>-0.11711199434496021</v>
      </c>
      <c r="CA76" s="213">
        <f t="shared" si="72"/>
        <v>0.18021603958527843</v>
      </c>
      <c r="CB76" s="214">
        <f t="shared" ca="1" si="73"/>
        <v>0.29701083879962781</v>
      </c>
      <c r="CC76" s="176">
        <f>DANE!BC76</f>
        <v>293</v>
      </c>
      <c r="CD76" s="188">
        <f t="shared" si="12"/>
        <v>4997</v>
      </c>
      <c r="CE76" s="177">
        <f t="shared" ca="1" si="28"/>
        <v>250.71428571428572</v>
      </c>
      <c r="CF76" s="209">
        <f t="shared" si="45"/>
        <v>1498.6187944005535</v>
      </c>
      <c r="CG76" s="179">
        <f t="shared" si="46"/>
        <v>6.5453193966801743E-2</v>
      </c>
      <c r="CH76" s="213">
        <f t="shared" si="47"/>
        <v>1.4581723577676122</v>
      </c>
      <c r="CI76" s="217">
        <f t="shared" ca="1" si="48"/>
        <v>1.6408294504976868</v>
      </c>
      <c r="CJ76" s="176">
        <f>DANE!BG76</f>
        <v>3</v>
      </c>
      <c r="CK76" s="188">
        <f t="shared" si="13"/>
        <v>340</v>
      </c>
      <c r="CL76" s="177">
        <f t="shared" ca="1" si="29"/>
        <v>4</v>
      </c>
      <c r="CM76" s="209">
        <f t="shared" si="79"/>
        <v>30.229515896295268</v>
      </c>
      <c r="CN76" s="179">
        <f t="shared" si="86"/>
        <v>-4.8421803601683272E-2</v>
      </c>
      <c r="CO76" s="213">
        <f t="shared" si="87"/>
        <v>0.66104737478821707</v>
      </c>
      <c r="CP76" s="214">
        <f t="shared" ca="1" si="88"/>
        <v>0.77966219398432746</v>
      </c>
      <c r="CQ76" s="176">
        <f>DANE!BK76</f>
        <v>1</v>
      </c>
      <c r="CR76" s="188">
        <f t="shared" si="14"/>
        <v>170</v>
      </c>
      <c r="CS76" s="177">
        <f t="shared" ca="1" si="30"/>
        <v>1.8571428571428572</v>
      </c>
      <c r="CT76" s="209">
        <f t="shared" si="89"/>
        <v>11.552907168098878</v>
      </c>
      <c r="CU76" s="179">
        <f t="shared" si="90"/>
        <v>-6.163375640170473E-2</v>
      </c>
      <c r="CV76" s="213">
        <f t="shared" si="91"/>
        <v>0.56856370518806687</v>
      </c>
      <c r="CW76" s="217">
        <f t="shared" ca="1" si="92"/>
        <v>1.2011113417736676</v>
      </c>
      <c r="CX76" s="176">
        <f>DANE!BO76</f>
        <v>17</v>
      </c>
      <c r="CY76" s="188">
        <f t="shared" si="15"/>
        <v>1752</v>
      </c>
      <c r="CZ76" s="177">
        <f t="shared" ca="1" si="31"/>
        <v>13.857142857142858</v>
      </c>
      <c r="DA76" s="209">
        <f t="shared" si="54"/>
        <v>137.68742580016504</v>
      </c>
      <c r="DB76" s="179">
        <f t="shared" si="58"/>
        <v>-2.21202187341938E-2</v>
      </c>
      <c r="DC76" s="213">
        <f t="shared" si="59"/>
        <v>0.84515846886064339</v>
      </c>
      <c r="DD76" s="214">
        <f t="shared" ca="1" si="60"/>
        <v>0.58451836102722055</v>
      </c>
      <c r="DE76" s="176">
        <f>DANE!BS76</f>
        <v>3</v>
      </c>
      <c r="DF76" s="188">
        <f t="shared" si="16"/>
        <v>491</v>
      </c>
      <c r="DG76" s="177">
        <f t="shared" ca="1" si="32"/>
        <v>3.8571428571428572</v>
      </c>
      <c r="DH76" s="209">
        <f t="shared" si="70"/>
        <v>39.613300152487341</v>
      </c>
      <c r="DI76" s="179">
        <f t="shared" si="74"/>
        <v>-7.2625053405520945E-2</v>
      </c>
      <c r="DJ76" s="157">
        <f t="shared" si="75"/>
        <v>0.49162462616135338</v>
      </c>
      <c r="DK76" s="225">
        <f t="shared" ca="1" si="76"/>
        <v>0.51647565172584731</v>
      </c>
      <c r="DL76" s="83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</row>
    <row r="77" spans="1:138" x14ac:dyDescent="0.25">
      <c r="A77" s="61">
        <v>43967</v>
      </c>
      <c r="B77" s="62" t="str">
        <f t="shared" ca="1" si="0"/>
        <v/>
      </c>
      <c r="C77" s="12">
        <v>74</v>
      </c>
      <c r="D77" s="176">
        <f>DANE!K77</f>
        <v>19</v>
      </c>
      <c r="E77" s="198">
        <f t="shared" si="1"/>
        <v>2160</v>
      </c>
      <c r="F77" s="178">
        <f t="shared" ca="1" si="17"/>
        <v>36.714285714285715</v>
      </c>
      <c r="G77" s="211">
        <f t="shared" si="38"/>
        <v>243.04811248856498</v>
      </c>
      <c r="H77" s="200">
        <f t="shared" si="42"/>
        <v>-7.0168673827770936E-2</v>
      </c>
      <c r="I77" s="213">
        <f t="shared" si="43"/>
        <v>0.50881928320560343</v>
      </c>
      <c r="J77" s="214">
        <f t="shared" ca="1" si="44"/>
        <v>0.86465940579558709</v>
      </c>
      <c r="K77" s="176">
        <f>DANE!O77</f>
        <v>1</v>
      </c>
      <c r="L77" s="198">
        <f t="shared" si="2"/>
        <v>582</v>
      </c>
      <c r="M77" s="177">
        <f t="shared" ca="1" si="18"/>
        <v>1.4285714285714286</v>
      </c>
      <c r="N77" s="211">
        <f t="shared" si="62"/>
        <v>19.435489680723791</v>
      </c>
      <c r="O77" s="200">
        <f t="shared" si="66"/>
        <v>-9.6362969282839023E-2</v>
      </c>
      <c r="P77" s="213">
        <f t="shared" si="67"/>
        <v>0.32545921502012676</v>
      </c>
      <c r="Q77" s="217">
        <f t="shared" ca="1" si="68"/>
        <v>0.36613572091267638</v>
      </c>
      <c r="R77" s="176">
        <f>DANE!S77</f>
        <v>0</v>
      </c>
      <c r="S77" s="198">
        <f t="shared" si="3"/>
        <v>401</v>
      </c>
      <c r="T77" s="177">
        <f t="shared" ca="1" si="19"/>
        <v>2.1428571428571428</v>
      </c>
      <c r="U77" s="211">
        <f t="shared" si="50"/>
        <v>16.026173651436675</v>
      </c>
      <c r="V77" s="200">
        <f t="shared" si="55"/>
        <v>-0.14285714285714282</v>
      </c>
      <c r="W77" s="213">
        <f t="shared" si="56"/>
        <v>2.2204460492503131E-16</v>
      </c>
      <c r="X77" s="214">
        <f t="shared" ca="1" si="57"/>
        <v>0.68433107116547764</v>
      </c>
      <c r="Y77" s="176">
        <f>DANE!W77</f>
        <v>0</v>
      </c>
      <c r="Z77" s="198">
        <f t="shared" si="4"/>
        <v>92</v>
      </c>
      <c r="AA77" s="177">
        <f t="shared" ca="1" si="20"/>
        <v>0</v>
      </c>
      <c r="AB77" s="211"/>
      <c r="AC77" s="200"/>
      <c r="AD77" s="213"/>
      <c r="AE77" s="217"/>
      <c r="AF77" s="176">
        <f>DANE!AA77</f>
        <v>7</v>
      </c>
      <c r="AG77" s="198">
        <f t="shared" si="5"/>
        <v>1231</v>
      </c>
      <c r="AH77" s="177">
        <f t="shared" ca="1" si="21"/>
        <v>9.7142857142857135</v>
      </c>
      <c r="AI77" s="211">
        <f t="shared" si="37"/>
        <v>96.022887363272488</v>
      </c>
      <c r="AJ77" s="200">
        <f t="shared" si="39"/>
        <v>-7.545874478546466E-2</v>
      </c>
      <c r="AK77" s="213">
        <f t="shared" si="40"/>
        <v>0.47178878650174738</v>
      </c>
      <c r="AL77" s="214">
        <f t="shared" ca="1" si="41"/>
        <v>0.52003422678097999</v>
      </c>
      <c r="AM77" s="176">
        <f>DANE!AE77</f>
        <v>7</v>
      </c>
      <c r="AN77" s="198">
        <f t="shared" si="6"/>
        <v>1124</v>
      </c>
      <c r="AO77" s="177">
        <f t="shared" ca="1" si="22"/>
        <v>11.571428571428571</v>
      </c>
      <c r="AP77" s="211">
        <f t="shared" si="49"/>
        <v>92.32305656784601</v>
      </c>
      <c r="AQ77" s="200">
        <f t="shared" si="51"/>
        <v>-7.2536174043408397E-2</v>
      </c>
      <c r="AR77" s="213">
        <f t="shared" si="52"/>
        <v>0.49224678169614122</v>
      </c>
      <c r="AS77" s="217">
        <f t="shared" ca="1" si="53"/>
        <v>0.80166124178918141</v>
      </c>
      <c r="AT77" s="176">
        <f>DANE!AI77</f>
        <v>19</v>
      </c>
      <c r="AU77" s="198">
        <f t="shared" si="7"/>
        <v>2949</v>
      </c>
      <c r="AV77" s="177">
        <f t="shared" ca="1" si="23"/>
        <v>26.285714285714285</v>
      </c>
      <c r="AW77" s="211">
        <f t="shared" si="33"/>
        <v>210.43311830858687</v>
      </c>
      <c r="AX77" s="200">
        <f t="shared" si="34"/>
        <v>-5.778453666649401E-2</v>
      </c>
      <c r="AY77" s="213">
        <f t="shared" si="35"/>
        <v>0.59550824333454189</v>
      </c>
      <c r="AZ77" s="214">
        <f t="shared" ca="1" si="36"/>
        <v>0.78671064562845883</v>
      </c>
      <c r="BA77" s="176">
        <f>DANE!AM77</f>
        <v>8</v>
      </c>
      <c r="BB77" s="198">
        <f t="shared" si="8"/>
        <v>535</v>
      </c>
      <c r="BC77" s="177">
        <f t="shared" ca="1" si="24"/>
        <v>8.1428571428571423</v>
      </c>
      <c r="BD77" s="211">
        <f t="shared" si="77"/>
        <v>62.273629702385399</v>
      </c>
      <c r="BE77" s="200">
        <f t="shared" si="80"/>
        <v>-1.6513227870349898E-2</v>
      </c>
      <c r="BF77" s="213">
        <f t="shared" si="81"/>
        <v>0.88440740490755076</v>
      </c>
      <c r="BG77" s="217">
        <f t="shared" ca="1" si="82"/>
        <v>0.95840728953657106</v>
      </c>
      <c r="BH77" s="176">
        <f>DANE!AQ77</f>
        <v>1</v>
      </c>
      <c r="BI77" s="198">
        <f t="shared" si="9"/>
        <v>374</v>
      </c>
      <c r="BJ77" s="177">
        <f t="shared" ca="1" si="25"/>
        <v>0.5714285714285714</v>
      </c>
      <c r="BK77" s="211">
        <f t="shared" si="61"/>
        <v>12.522043647610115</v>
      </c>
      <c r="BL77" s="200">
        <f t="shared" si="63"/>
        <v>-6.8465578013466505E-2</v>
      </c>
      <c r="BM77" s="213">
        <f t="shared" si="64"/>
        <v>0.52074095390573438</v>
      </c>
      <c r="BN77" s="214">
        <f t="shared" ca="1" si="65"/>
        <v>0.23488169593387451</v>
      </c>
      <c r="BO77" s="176">
        <f>DANE!AU77</f>
        <v>0</v>
      </c>
      <c r="BP77" s="198">
        <f t="shared" si="10"/>
        <v>387</v>
      </c>
      <c r="BQ77" s="177">
        <f t="shared" ca="1" si="26"/>
        <v>0.5714285714285714</v>
      </c>
      <c r="BR77" s="211">
        <f t="shared" si="78"/>
        <v>8.0166300339458001</v>
      </c>
      <c r="BS77" s="200">
        <f t="shared" si="83"/>
        <v>-0.14285714285714277</v>
      </c>
      <c r="BT77" s="213">
        <f t="shared" si="84"/>
        <v>5.5511151231257827E-16</v>
      </c>
      <c r="BU77" s="217">
        <f t="shared" ca="1" si="85"/>
        <v>0.34118544256109862</v>
      </c>
      <c r="BV77" s="176">
        <f>DANE!AY77</f>
        <v>7</v>
      </c>
      <c r="BW77" s="198">
        <f t="shared" si="11"/>
        <v>500</v>
      </c>
      <c r="BX77" s="177">
        <f t="shared" ca="1" si="27"/>
        <v>3.1428571428571428</v>
      </c>
      <c r="BY77" s="211">
        <f t="shared" si="69"/>
        <v>36.394320539507476</v>
      </c>
      <c r="BZ77" s="200">
        <f t="shared" si="71"/>
        <v>6.1263921684413684E-2</v>
      </c>
      <c r="CA77" s="213">
        <f t="shared" si="72"/>
        <v>1.4288474517908958</v>
      </c>
      <c r="CB77" s="214">
        <f t="shared" ca="1" si="73"/>
        <v>0.4872601482476297</v>
      </c>
      <c r="CC77" s="176">
        <f>DANE!BC77</f>
        <v>165</v>
      </c>
      <c r="CD77" s="198">
        <f t="shared" si="12"/>
        <v>5162</v>
      </c>
      <c r="CE77" s="177">
        <f t="shared" ca="1" si="28"/>
        <v>252</v>
      </c>
      <c r="CF77" s="211">
        <f t="shared" si="45"/>
        <v>1449.5303952004745</v>
      </c>
      <c r="CG77" s="200">
        <f t="shared" si="46"/>
        <v>-3.2755761093810627E-2</v>
      </c>
      <c r="CH77" s="213">
        <f t="shared" si="47"/>
        <v>0.77070967234332555</v>
      </c>
      <c r="CI77" s="217">
        <f t="shared" ca="1" si="48"/>
        <v>1.5634529899033673</v>
      </c>
      <c r="CJ77" s="176">
        <f>DANE!BG77</f>
        <v>1</v>
      </c>
      <c r="CK77" s="198">
        <f t="shared" si="13"/>
        <v>341</v>
      </c>
      <c r="CL77" s="177">
        <f t="shared" ca="1" si="29"/>
        <v>2.8571428571428572</v>
      </c>
      <c r="CM77" s="211">
        <f t="shared" si="79"/>
        <v>26.911013625395945</v>
      </c>
      <c r="CN77" s="200">
        <f t="shared" si="86"/>
        <v>-0.10977689097912471</v>
      </c>
      <c r="CO77" s="213">
        <f t="shared" si="87"/>
        <v>0.23156176314612698</v>
      </c>
      <c r="CP77" s="214">
        <f t="shared" ca="1" si="88"/>
        <v>0.58286667634140366</v>
      </c>
      <c r="CQ77" s="176">
        <f>DANE!BK77</f>
        <v>0</v>
      </c>
      <c r="CR77" s="198">
        <f t="shared" si="14"/>
        <v>170</v>
      </c>
      <c r="CS77" s="177">
        <f t="shared" ca="1" si="30"/>
        <v>1.4285714285714286</v>
      </c>
      <c r="CT77" s="211">
        <f t="shared" si="89"/>
        <v>9.9024918583704675</v>
      </c>
      <c r="CU77" s="200">
        <f t="shared" si="90"/>
        <v>-0.14285714285714282</v>
      </c>
      <c r="CV77" s="213">
        <f t="shared" si="91"/>
        <v>2.2204460492503131E-16</v>
      </c>
      <c r="CW77" s="217">
        <f t="shared" ca="1" si="92"/>
        <v>0.89963103962372615</v>
      </c>
      <c r="CX77" s="176">
        <f>DANE!BO77</f>
        <v>5</v>
      </c>
      <c r="CY77" s="198">
        <f t="shared" si="15"/>
        <v>1757</v>
      </c>
      <c r="CZ77" s="177">
        <f t="shared" ca="1" si="31"/>
        <v>12.428571428571429</v>
      </c>
      <c r="DA77" s="211">
        <f t="shared" si="54"/>
        <v>123.01779354299862</v>
      </c>
      <c r="DB77" s="200">
        <f t="shared" si="58"/>
        <v>-0.10654300617441598</v>
      </c>
      <c r="DC77" s="213">
        <f t="shared" si="59"/>
        <v>0.2541989567790881</v>
      </c>
      <c r="DD77" s="214">
        <f t="shared" ca="1" si="60"/>
        <v>0.55036234610396262</v>
      </c>
      <c r="DE77" s="176">
        <f>DANE!BS77</f>
        <v>1</v>
      </c>
      <c r="DF77" s="198">
        <f t="shared" si="16"/>
        <v>492</v>
      </c>
      <c r="DG77" s="177">
        <f t="shared" ca="1" si="32"/>
        <v>3.2857142857142856</v>
      </c>
      <c r="DH77" s="209">
        <f t="shared" si="70"/>
        <v>34.954257273560579</v>
      </c>
      <c r="DI77" s="179">
        <f t="shared" si="74"/>
        <v>-0.11761309613165916</v>
      </c>
      <c r="DJ77" s="157">
        <f t="shared" si="75"/>
        <v>0.17670832707838591</v>
      </c>
      <c r="DK77" s="225">
        <f t="shared" ca="1" si="76"/>
        <v>0.46563875023186702</v>
      </c>
      <c r="DL77" s="87"/>
      <c r="DM77" s="75"/>
      <c r="DN77" s="75"/>
      <c r="DO77" s="75"/>
      <c r="DP77" s="75"/>
      <c r="DQ77" s="75"/>
      <c r="DR77" s="75"/>
      <c r="DS77" s="75"/>
      <c r="DT77" s="75"/>
      <c r="DU77" s="75"/>
      <c r="DV77" s="75"/>
      <c r="DW77" s="75"/>
      <c r="DX77" s="75"/>
      <c r="DY77" s="75"/>
      <c r="DZ77" s="75"/>
      <c r="EA77" s="75"/>
      <c r="EB77" s="75"/>
      <c r="EC77" s="75"/>
      <c r="ED77" s="75"/>
      <c r="EE77" s="75"/>
      <c r="EF77" s="75"/>
      <c r="EG77" s="75"/>
      <c r="EH77" s="75"/>
    </row>
    <row r="78" spans="1:138" x14ac:dyDescent="0.25">
      <c r="A78" s="61">
        <v>43968</v>
      </c>
      <c r="B78" s="62" t="str">
        <f t="shared" ca="1" si="0"/>
        <v/>
      </c>
      <c r="C78" s="12">
        <v>75</v>
      </c>
      <c r="D78" s="176">
        <f>DANE!K78</f>
        <v>6</v>
      </c>
      <c r="E78" s="198">
        <f t="shared" si="1"/>
        <v>2166</v>
      </c>
      <c r="F78" s="178">
        <f t="shared" ca="1" si="17"/>
        <v>23.428571428571427</v>
      </c>
      <c r="G78" s="211">
        <f t="shared" si="38"/>
        <v>214.32695356162714</v>
      </c>
      <c r="H78" s="200">
        <f t="shared" si="42"/>
        <v>-0.11817067260001507</v>
      </c>
      <c r="I78" s="213">
        <f t="shared" si="43"/>
        <v>0.17280529179989446</v>
      </c>
      <c r="J78" s="214">
        <f t="shared" ca="1" si="44"/>
        <v>0.54436328563075809</v>
      </c>
      <c r="K78" s="176">
        <f>DANE!O78</f>
        <v>0</v>
      </c>
      <c r="L78" s="198">
        <f t="shared" si="2"/>
        <v>582</v>
      </c>
      <c r="M78" s="177">
        <f t="shared" ca="1" si="18"/>
        <v>1.1428571428571428</v>
      </c>
      <c r="N78" s="211">
        <f t="shared" si="62"/>
        <v>16.658991154906108</v>
      </c>
      <c r="O78" s="200">
        <f t="shared" si="66"/>
        <v>-0.14285714285714277</v>
      </c>
      <c r="P78" s="213">
        <f t="shared" si="67"/>
        <v>5.5511151231257827E-16</v>
      </c>
      <c r="Q78" s="217">
        <f t="shared" ca="1" si="68"/>
        <v>0.31363178175763445</v>
      </c>
      <c r="R78" s="176">
        <f>DANE!S78</f>
        <v>1</v>
      </c>
      <c r="S78" s="198">
        <f t="shared" si="3"/>
        <v>402</v>
      </c>
      <c r="T78" s="177">
        <f t="shared" ca="1" si="19"/>
        <v>2</v>
      </c>
      <c r="U78" s="211">
        <f t="shared" si="50"/>
        <v>14.736720272660008</v>
      </c>
      <c r="V78" s="200">
        <f t="shared" si="55"/>
        <v>-8.045921670523476E-2</v>
      </c>
      <c r="W78" s="213">
        <f t="shared" si="56"/>
        <v>0.43678548306335663</v>
      </c>
      <c r="X78" s="214">
        <f t="shared" ca="1" si="57"/>
        <v>0.65771377864884806</v>
      </c>
      <c r="Y78" s="176">
        <f>DANE!W78</f>
        <v>0</v>
      </c>
      <c r="Z78" s="198">
        <f t="shared" si="4"/>
        <v>92</v>
      </c>
      <c r="AA78" s="177">
        <f t="shared" ca="1" si="20"/>
        <v>0</v>
      </c>
      <c r="AB78" s="211"/>
      <c r="AC78" s="200"/>
      <c r="AD78" s="213"/>
      <c r="AE78" s="217"/>
      <c r="AF78" s="176">
        <f>DANE!AA78</f>
        <v>6</v>
      </c>
      <c r="AG78" s="198">
        <f t="shared" si="5"/>
        <v>1237</v>
      </c>
      <c r="AH78" s="177">
        <f t="shared" ca="1" si="21"/>
        <v>8.8571428571428577</v>
      </c>
      <c r="AI78" s="211">
        <f t="shared" si="37"/>
        <v>88.305332025662139</v>
      </c>
      <c r="AJ78" s="200">
        <f t="shared" si="39"/>
        <v>-8.0372039932661038E-2</v>
      </c>
      <c r="AK78" s="213">
        <f t="shared" si="40"/>
        <v>0.43739572047137265</v>
      </c>
      <c r="AL78" s="214">
        <f t="shared" ca="1" si="41"/>
        <v>0.50655070457797524</v>
      </c>
      <c r="AM78" s="176">
        <f>DANE!AE78</f>
        <v>4</v>
      </c>
      <c r="AN78" s="198">
        <f t="shared" si="6"/>
        <v>1128</v>
      </c>
      <c r="AO78" s="177">
        <f t="shared" ca="1" si="22"/>
        <v>11.571428571428571</v>
      </c>
      <c r="AP78" s="211">
        <f t="shared" si="49"/>
        <v>83.134048486725163</v>
      </c>
      <c r="AQ78" s="200">
        <f t="shared" si="51"/>
        <v>-9.953102099006074E-2</v>
      </c>
      <c r="AR78" s="213">
        <f t="shared" si="52"/>
        <v>0.30328285306957481</v>
      </c>
      <c r="AS78" s="217">
        <f t="shared" ca="1" si="53"/>
        <v>0.81045105298055042</v>
      </c>
      <c r="AT78" s="176">
        <f>DANE!AI78</f>
        <v>21</v>
      </c>
      <c r="AU78" s="198">
        <f t="shared" si="7"/>
        <v>2970</v>
      </c>
      <c r="AV78" s="177">
        <f t="shared" ca="1" si="23"/>
        <v>25.571428571428573</v>
      </c>
      <c r="AW78" s="211">
        <f t="shared" si="33"/>
        <v>201.37124426450305</v>
      </c>
      <c r="AX78" s="200">
        <f t="shared" si="34"/>
        <v>-4.3062965168796083E-2</v>
      </c>
      <c r="AY78" s="213">
        <f t="shared" si="35"/>
        <v>0.69855924381842738</v>
      </c>
      <c r="AZ78" s="214">
        <f t="shared" ca="1" si="36"/>
        <v>0.78791434544331707</v>
      </c>
      <c r="BA78" s="176">
        <f>DANE!AM78</f>
        <v>9</v>
      </c>
      <c r="BB78" s="198">
        <f t="shared" si="8"/>
        <v>544</v>
      </c>
      <c r="BC78" s="177">
        <f t="shared" ca="1" si="24"/>
        <v>7.7142857142857144</v>
      </c>
      <c r="BD78" s="211">
        <f t="shared" si="77"/>
        <v>62.37739688775892</v>
      </c>
      <c r="BE78" s="200">
        <f t="shared" si="80"/>
        <v>1.6663102162093124E-3</v>
      </c>
      <c r="BF78" s="213">
        <f t="shared" si="81"/>
        <v>1.0116641715134651</v>
      </c>
      <c r="BG78" s="217">
        <f t="shared" ca="1" si="82"/>
        <v>0.92255749557629374</v>
      </c>
      <c r="BH78" s="176">
        <f>DANE!AQ78</f>
        <v>0</v>
      </c>
      <c r="BI78" s="198">
        <f t="shared" si="9"/>
        <v>374</v>
      </c>
      <c r="BJ78" s="177">
        <f t="shared" ca="1" si="25"/>
        <v>0.42857142857142855</v>
      </c>
      <c r="BK78" s="211">
        <f t="shared" si="61"/>
        <v>10.7331802693801</v>
      </c>
      <c r="BL78" s="200">
        <f t="shared" si="63"/>
        <v>-0.14285714285714277</v>
      </c>
      <c r="BM78" s="213">
        <f t="shared" si="64"/>
        <v>5.5511151231257827E-16</v>
      </c>
      <c r="BN78" s="214">
        <f t="shared" ca="1" si="65"/>
        <v>0.19967937257591398</v>
      </c>
      <c r="BO78" s="176">
        <f>DANE!AU78</f>
        <v>1</v>
      </c>
      <c r="BP78" s="198">
        <f t="shared" si="10"/>
        <v>388</v>
      </c>
      <c r="BQ78" s="177">
        <f t="shared" ca="1" si="26"/>
        <v>0.5714285714285714</v>
      </c>
      <c r="BR78" s="211">
        <f t="shared" si="78"/>
        <v>7.8713971719535438</v>
      </c>
      <c r="BS78" s="200">
        <f t="shared" si="83"/>
        <v>-1.8116448105660227E-2</v>
      </c>
      <c r="BT78" s="213">
        <f t="shared" si="84"/>
        <v>0.87318486326037836</v>
      </c>
      <c r="BU78" s="217">
        <f t="shared" ca="1" si="85"/>
        <v>0.40399303150468807</v>
      </c>
      <c r="BV78" s="176">
        <f>DANE!AY78</f>
        <v>2</v>
      </c>
      <c r="BW78" s="198">
        <f t="shared" si="11"/>
        <v>502</v>
      </c>
      <c r="BX78" s="177">
        <f t="shared" ca="1" si="27"/>
        <v>3</v>
      </c>
      <c r="BY78" s="211">
        <f t="shared" si="69"/>
        <v>33.195131891006412</v>
      </c>
      <c r="BZ78" s="200">
        <f t="shared" si="71"/>
        <v>-8.7903513544873524E-2</v>
      </c>
      <c r="CA78" s="213">
        <f t="shared" si="72"/>
        <v>0.38467540518588528</v>
      </c>
      <c r="CB78" s="214">
        <f t="shared" ca="1" si="73"/>
        <v>0.49443585891647601</v>
      </c>
      <c r="CC78" s="176">
        <f>DANE!BC78</f>
        <v>180</v>
      </c>
      <c r="CD78" s="198">
        <f t="shared" si="12"/>
        <v>5342</v>
      </c>
      <c r="CE78" s="177">
        <f t="shared" ca="1" si="28"/>
        <v>253.28571428571428</v>
      </c>
      <c r="CF78" s="211">
        <f t="shared" si="45"/>
        <v>1422.4546244575497</v>
      </c>
      <c r="CG78" s="200">
        <f t="shared" si="46"/>
        <v>-1.8678994819684411E-2</v>
      </c>
      <c r="CH78" s="213">
        <f t="shared" si="47"/>
        <v>0.86924703626220912</v>
      </c>
      <c r="CI78" s="217">
        <f t="shared" ca="1" si="48"/>
        <v>1.4909046533256658</v>
      </c>
      <c r="CJ78" s="176">
        <f>DANE!BG78</f>
        <v>0</v>
      </c>
      <c r="CK78" s="198">
        <f t="shared" si="13"/>
        <v>341</v>
      </c>
      <c r="CL78" s="177">
        <f t="shared" ca="1" si="29"/>
        <v>2.2857142857142856</v>
      </c>
      <c r="CM78" s="211">
        <f t="shared" si="79"/>
        <v>23.066583107482241</v>
      </c>
      <c r="CN78" s="200">
        <f t="shared" si="86"/>
        <v>-0.14285714285714277</v>
      </c>
      <c r="CO78" s="213">
        <f t="shared" si="87"/>
        <v>5.5511151231257827E-16</v>
      </c>
      <c r="CP78" s="214">
        <f t="shared" ca="1" si="88"/>
        <v>0.48887839852362797</v>
      </c>
      <c r="CQ78" s="176">
        <f>DANE!BK78</f>
        <v>0</v>
      </c>
      <c r="CR78" s="198">
        <f t="shared" si="14"/>
        <v>170</v>
      </c>
      <c r="CS78" s="177">
        <f t="shared" ca="1" si="30"/>
        <v>1.1428571428571428</v>
      </c>
      <c r="CT78" s="211">
        <f t="shared" si="89"/>
        <v>8.4878501643175444</v>
      </c>
      <c r="CU78" s="200">
        <f t="shared" si="90"/>
        <v>-0.14285714285714279</v>
      </c>
      <c r="CV78" s="213">
        <f t="shared" si="91"/>
        <v>4.4408920985006262E-16</v>
      </c>
      <c r="CW78" s="217">
        <f t="shared" ca="1" si="92"/>
        <v>0.72616060060484833</v>
      </c>
      <c r="CX78" s="176">
        <f>DANE!BO78</f>
        <v>40</v>
      </c>
      <c r="CY78" s="198">
        <f t="shared" si="15"/>
        <v>1797</v>
      </c>
      <c r="CZ78" s="177">
        <f t="shared" ca="1" si="31"/>
        <v>17.857142857142858</v>
      </c>
      <c r="DA78" s="211">
        <f t="shared" si="54"/>
        <v>145.44382303685597</v>
      </c>
      <c r="DB78" s="200">
        <f t="shared" si="58"/>
        <v>0.18229907111786026</v>
      </c>
      <c r="DC78" s="213">
        <f t="shared" si="59"/>
        <v>2.2760934978250216</v>
      </c>
      <c r="DD78" s="214">
        <f t="shared" ca="1" si="60"/>
        <v>0.86538931423451104</v>
      </c>
      <c r="DE78" s="176">
        <f>DANE!BS78</f>
        <v>2</v>
      </c>
      <c r="DF78" s="198">
        <f t="shared" si="16"/>
        <v>494</v>
      </c>
      <c r="DG78" s="177">
        <f t="shared" ca="1" si="32"/>
        <v>3</v>
      </c>
      <c r="DH78" s="209">
        <f t="shared" si="70"/>
        <v>31.960791948766211</v>
      </c>
      <c r="DI78" s="179">
        <f t="shared" si="74"/>
        <v>-8.5639505979680106E-2</v>
      </c>
      <c r="DJ78" s="157">
        <f t="shared" si="75"/>
        <v>0.40052345814223922</v>
      </c>
      <c r="DK78" s="225">
        <f t="shared" ca="1" si="76"/>
        <v>0.45763649213253949</v>
      </c>
      <c r="DL78" s="87"/>
      <c r="DM78" s="8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</row>
    <row r="79" spans="1:138" x14ac:dyDescent="0.25">
      <c r="A79" s="32">
        <v>43969</v>
      </c>
      <c r="B79" s="33" t="str">
        <f t="shared" ca="1" si="0"/>
        <v/>
      </c>
      <c r="C79" s="51">
        <f t="shared" ref="C79:C296" si="93">C78+1</f>
        <v>76</v>
      </c>
      <c r="D79" s="176">
        <f>DANE!K79</f>
        <v>60</v>
      </c>
      <c r="E79" s="188">
        <f t="shared" si="1"/>
        <v>2226</v>
      </c>
      <c r="F79" s="178">
        <f t="shared" ca="1" si="17"/>
        <v>28.857142857142858</v>
      </c>
      <c r="G79" s="209">
        <f t="shared" si="38"/>
        <v>243.70881733853756</v>
      </c>
      <c r="H79" s="179">
        <f t="shared" si="42"/>
        <v>0.13708898152402479</v>
      </c>
      <c r="I79" s="213">
        <f t="shared" si="43"/>
        <v>1.9596228706681735</v>
      </c>
      <c r="J79" s="214">
        <f t="shared" ca="1" si="44"/>
        <v>0.76053669974541882</v>
      </c>
      <c r="K79" s="176">
        <f>DANE!O79</f>
        <v>0</v>
      </c>
      <c r="L79" s="188">
        <f t="shared" si="2"/>
        <v>582</v>
      </c>
      <c r="M79" s="177">
        <f t="shared" ca="1" si="18"/>
        <v>0.7142857142857143</v>
      </c>
      <c r="N79" s="209">
        <f t="shared" si="62"/>
        <v>14.279135275633807</v>
      </c>
      <c r="O79" s="179">
        <f t="shared" si="66"/>
        <v>-0.14285714285714282</v>
      </c>
      <c r="P79" s="213">
        <f t="shared" si="67"/>
        <v>2.2204460492503131E-16</v>
      </c>
      <c r="Q79" s="217">
        <f t="shared" ca="1" si="68"/>
        <v>0.22705322285643739</v>
      </c>
      <c r="R79" s="176">
        <f>DANE!S79</f>
        <v>7</v>
      </c>
      <c r="S79" s="188">
        <f t="shared" si="3"/>
        <v>409</v>
      </c>
      <c r="T79" s="177">
        <f t="shared" ca="1" si="19"/>
        <v>2.4285714285714284</v>
      </c>
      <c r="U79" s="209">
        <f t="shared" si="50"/>
        <v>19.631474519422866</v>
      </c>
      <c r="V79" s="179">
        <f t="shared" si="55"/>
        <v>0.33214678410119164</v>
      </c>
      <c r="W79" s="213">
        <f t="shared" si="56"/>
        <v>3.3250274887083417</v>
      </c>
      <c r="X79" s="214">
        <f t="shared" ca="1" si="57"/>
        <v>0.94455629591419654</v>
      </c>
      <c r="Y79" s="176">
        <f>DANE!W79</f>
        <v>0</v>
      </c>
      <c r="Z79" s="188">
        <f t="shared" si="4"/>
        <v>92</v>
      </c>
      <c r="AA79" s="177">
        <f t="shared" ca="1" si="20"/>
        <v>0</v>
      </c>
      <c r="AB79" s="209"/>
      <c r="AC79" s="179"/>
      <c r="AD79" s="213"/>
      <c r="AE79" s="217"/>
      <c r="AF79" s="176">
        <f>DANE!AA79</f>
        <v>11</v>
      </c>
      <c r="AG79" s="188">
        <f t="shared" si="5"/>
        <v>1248</v>
      </c>
      <c r="AH79" s="177">
        <f t="shared" ca="1" si="21"/>
        <v>9</v>
      </c>
      <c r="AI79" s="209">
        <f t="shared" si="37"/>
        <v>86.690284593424693</v>
      </c>
      <c r="AJ79" s="179">
        <f t="shared" si="39"/>
        <v>-1.8289353487376078E-2</v>
      </c>
      <c r="AK79" s="213">
        <f t="shared" si="40"/>
        <v>0.87197452558836741</v>
      </c>
      <c r="AL79" s="214">
        <f t="shared" ca="1" si="41"/>
        <v>0.56327323771725712</v>
      </c>
      <c r="AM79" s="176">
        <f>DANE!AE79</f>
        <v>5</v>
      </c>
      <c r="AN79" s="188">
        <f t="shared" si="6"/>
        <v>1133</v>
      </c>
      <c r="AO79" s="177">
        <f t="shared" ca="1" si="22"/>
        <v>8.8571428571428577</v>
      </c>
      <c r="AP79" s="209">
        <f t="shared" si="49"/>
        <v>76.257755845764436</v>
      </c>
      <c r="AQ79" s="179">
        <f t="shared" si="51"/>
        <v>-8.2713313812194933E-2</v>
      </c>
      <c r="AR79" s="213">
        <f t="shared" si="52"/>
        <v>0.42100680331463547</v>
      </c>
      <c r="AS79" s="217">
        <f t="shared" ca="1" si="53"/>
        <v>0.6382042739088799</v>
      </c>
      <c r="AT79" s="176">
        <f>DANE!AI79</f>
        <v>33</v>
      </c>
      <c r="AU79" s="188">
        <f t="shared" si="7"/>
        <v>3003</v>
      </c>
      <c r="AV79" s="177">
        <f t="shared" ca="1" si="23"/>
        <v>27.857142857142858</v>
      </c>
      <c r="AW79" s="209">
        <f t="shared" si="33"/>
        <v>205.60392365528833</v>
      </c>
      <c r="AX79" s="179">
        <f t="shared" si="34"/>
        <v>2.1019284090163411E-2</v>
      </c>
      <c r="AY79" s="213">
        <f t="shared" si="35"/>
        <v>1.1471349886311439</v>
      </c>
      <c r="AZ79" s="214">
        <f t="shared" ca="1" si="36"/>
        <v>0.88434203705658554</v>
      </c>
      <c r="BA79" s="176">
        <f>DANE!AM79</f>
        <v>7</v>
      </c>
      <c r="BB79" s="188">
        <f t="shared" si="8"/>
        <v>551</v>
      </c>
      <c r="BC79" s="177">
        <f t="shared" ca="1" si="24"/>
        <v>8</v>
      </c>
      <c r="BD79" s="209">
        <f t="shared" si="77"/>
        <v>60.466340189507648</v>
      </c>
      <c r="BE79" s="179">
        <f t="shared" si="80"/>
        <v>-3.063700624907453E-2</v>
      </c>
      <c r="BF79" s="213">
        <f t="shared" si="81"/>
        <v>0.78554095625647824</v>
      </c>
      <c r="BG79" s="217">
        <f t="shared" ca="1" si="82"/>
        <v>0.96233970153942094</v>
      </c>
      <c r="BH79" s="176">
        <f>DANE!AQ79</f>
        <v>0</v>
      </c>
      <c r="BI79" s="188">
        <f t="shared" si="9"/>
        <v>374</v>
      </c>
      <c r="BJ79" s="177">
        <f t="shared" ca="1" si="25"/>
        <v>0.42857142857142855</v>
      </c>
      <c r="BK79" s="209">
        <f t="shared" si="61"/>
        <v>9.1998688023258008</v>
      </c>
      <c r="BL79" s="179">
        <f t="shared" si="63"/>
        <v>-0.14285714285714274</v>
      </c>
      <c r="BM79" s="213">
        <f t="shared" si="64"/>
        <v>7.7715611723760958E-16</v>
      </c>
      <c r="BN79" s="214">
        <f t="shared" ca="1" si="65"/>
        <v>0.19967937257591403</v>
      </c>
      <c r="BO79" s="176">
        <f>DANE!AU79</f>
        <v>1</v>
      </c>
      <c r="BP79" s="188">
        <f t="shared" si="10"/>
        <v>389</v>
      </c>
      <c r="BQ79" s="177">
        <f t="shared" ca="1" si="26"/>
        <v>0.7142857142857143</v>
      </c>
      <c r="BR79" s="209">
        <f t="shared" si="78"/>
        <v>7.7469118616744668</v>
      </c>
      <c r="BS79" s="179">
        <f t="shared" si="83"/>
        <v>-1.5814893793268212E-2</v>
      </c>
      <c r="BT79" s="213">
        <f t="shared" si="84"/>
        <v>0.88929574344712248</v>
      </c>
      <c r="BU79" s="217">
        <f t="shared" ca="1" si="85"/>
        <v>0.53103528056856253</v>
      </c>
      <c r="BV79" s="176">
        <f>DANE!AY79</f>
        <v>0</v>
      </c>
      <c r="BW79" s="188">
        <f t="shared" si="11"/>
        <v>502</v>
      </c>
      <c r="BX79" s="177">
        <f t="shared" ca="1" si="27"/>
        <v>2.4285714285714284</v>
      </c>
      <c r="BY79" s="209">
        <f t="shared" si="69"/>
        <v>28.452970192291211</v>
      </c>
      <c r="BZ79" s="179">
        <f t="shared" si="71"/>
        <v>-0.14285714285714282</v>
      </c>
      <c r="CA79" s="213">
        <f t="shared" si="72"/>
        <v>2.2204460492503131E-16</v>
      </c>
      <c r="CB79" s="214">
        <f t="shared" ca="1" si="73"/>
        <v>0.42403865594673312</v>
      </c>
      <c r="CC79" s="176">
        <f>DANE!BC79</f>
        <v>205</v>
      </c>
      <c r="CD79" s="188">
        <f t="shared" si="12"/>
        <v>5547</v>
      </c>
      <c r="CE79" s="177">
        <f t="shared" ca="1" si="28"/>
        <v>252.14285714285714</v>
      </c>
      <c r="CF79" s="209">
        <f t="shared" si="45"/>
        <v>1424.246820963614</v>
      </c>
      <c r="CG79" s="179">
        <f t="shared" si="46"/>
        <v>1.2599322855361937E-3</v>
      </c>
      <c r="CH79" s="213">
        <f t="shared" si="47"/>
        <v>1.0088195259987534</v>
      </c>
      <c r="CI79" s="217">
        <f t="shared" ca="1" si="48"/>
        <v>1.40250213557333</v>
      </c>
      <c r="CJ79" s="176">
        <f>DANE!BG79</f>
        <v>11</v>
      </c>
      <c r="CK79" s="188">
        <f t="shared" si="13"/>
        <v>352</v>
      </c>
      <c r="CL79" s="177">
        <f t="shared" ca="1" si="29"/>
        <v>3.8571428571428572</v>
      </c>
      <c r="CM79" s="209">
        <f t="shared" si="79"/>
        <v>30.771356949270494</v>
      </c>
      <c r="CN79" s="179">
        <f t="shared" si="86"/>
        <v>0.3340231973624655</v>
      </c>
      <c r="CO79" s="213">
        <f t="shared" si="87"/>
        <v>3.3381623815372587</v>
      </c>
      <c r="CP79" s="214">
        <f t="shared" ca="1" si="88"/>
        <v>0.96575873874323626</v>
      </c>
      <c r="CQ79" s="176">
        <f>DANE!BK79</f>
        <v>0</v>
      </c>
      <c r="CR79" s="188">
        <f t="shared" si="14"/>
        <v>170</v>
      </c>
      <c r="CS79" s="177">
        <f t="shared" ca="1" si="30"/>
        <v>1.1428571428571428</v>
      </c>
      <c r="CT79" s="209">
        <f t="shared" si="89"/>
        <v>7.2753001408436102</v>
      </c>
      <c r="CU79" s="179">
        <f t="shared" si="90"/>
        <v>-0.14285714285714277</v>
      </c>
      <c r="CV79" s="213">
        <f t="shared" si="91"/>
        <v>5.5511151231257827E-16</v>
      </c>
      <c r="CW79" s="217">
        <f t="shared" ca="1" si="92"/>
        <v>0.72616060060484844</v>
      </c>
      <c r="CX79" s="176">
        <f>DANE!BO79</f>
        <v>13</v>
      </c>
      <c r="CY79" s="188">
        <f t="shared" si="15"/>
        <v>1810</v>
      </c>
      <c r="CZ79" s="177">
        <f t="shared" ca="1" si="31"/>
        <v>15.857142857142858</v>
      </c>
      <c r="DA79" s="209">
        <f t="shared" si="54"/>
        <v>137.66613403159084</v>
      </c>
      <c r="DB79" s="179">
        <f t="shared" si="58"/>
        <v>-5.3475553948373854E-2</v>
      </c>
      <c r="DC79" s="213">
        <f t="shared" si="59"/>
        <v>0.625671122361383</v>
      </c>
      <c r="DD79" s="214">
        <f t="shared" ca="1" si="60"/>
        <v>0.79709856659616729</v>
      </c>
      <c r="DE79" s="176">
        <f>DANE!BS79</f>
        <v>3</v>
      </c>
      <c r="DF79" s="188">
        <f t="shared" si="16"/>
        <v>497</v>
      </c>
      <c r="DG79" s="177">
        <f t="shared" ca="1" si="32"/>
        <v>3.2857142857142856</v>
      </c>
      <c r="DH79" s="209">
        <f t="shared" si="70"/>
        <v>30.394964527513896</v>
      </c>
      <c r="DI79" s="179">
        <f t="shared" si="74"/>
        <v>-4.8992134605499386E-2</v>
      </c>
      <c r="DJ79" s="157">
        <f t="shared" si="75"/>
        <v>0.6570550577615043</v>
      </c>
      <c r="DK79" s="225">
        <f t="shared" ca="1" si="76"/>
        <v>0.5338241020864658</v>
      </c>
      <c r="DL79" s="83"/>
      <c r="DM79" s="89"/>
      <c r="DN79" s="89"/>
      <c r="DO79" s="89"/>
      <c r="DP79" s="89"/>
      <c r="DQ79" s="89"/>
      <c r="DR79" s="89"/>
      <c r="DS79" s="89"/>
      <c r="DT79" s="89"/>
      <c r="DU79" s="89"/>
      <c r="DV79" s="89"/>
      <c r="DW79" s="89"/>
      <c r="DX79" s="89"/>
      <c r="DY79" s="89"/>
      <c r="DZ79" s="89"/>
      <c r="EA79" s="89"/>
      <c r="EB79" s="89"/>
      <c r="EC79" s="89"/>
      <c r="ED79" s="89"/>
      <c r="EE79" s="89"/>
      <c r="EF79" s="89"/>
      <c r="EG79" s="89"/>
      <c r="EH79" s="89"/>
    </row>
    <row r="80" spans="1:138" x14ac:dyDescent="0.25">
      <c r="A80" s="32">
        <v>43970</v>
      </c>
      <c r="B80" s="33" t="str">
        <f t="shared" ca="1" si="0"/>
        <v/>
      </c>
      <c r="C80" s="51">
        <f t="shared" si="93"/>
        <v>77</v>
      </c>
      <c r="D80" s="176">
        <f>DANE!K80</f>
        <v>31</v>
      </c>
      <c r="E80" s="188">
        <f t="shared" si="1"/>
        <v>2257</v>
      </c>
      <c r="F80" s="178">
        <f t="shared" ca="1" si="17"/>
        <v>28.714285714285715</v>
      </c>
      <c r="G80" s="209">
        <f t="shared" si="38"/>
        <v>239.89327200446078</v>
      </c>
      <c r="H80" s="179">
        <f t="shared" si="42"/>
        <v>-1.5656164498868228E-2</v>
      </c>
      <c r="I80" s="213">
        <f t="shared" si="43"/>
        <v>0.8904068485079224</v>
      </c>
      <c r="J80" s="214">
        <f t="shared" ca="1" si="44"/>
        <v>0.78701149958644123</v>
      </c>
      <c r="K80" s="176">
        <f>DANE!O80</f>
        <v>1</v>
      </c>
      <c r="L80" s="188">
        <f t="shared" si="2"/>
        <v>583</v>
      </c>
      <c r="M80" s="177">
        <f t="shared" ca="1" si="18"/>
        <v>0.8571428571428571</v>
      </c>
      <c r="N80" s="209">
        <f t="shared" si="62"/>
        <v>13.239258807686122</v>
      </c>
      <c r="O80" s="179">
        <f t="shared" si="66"/>
        <v>-7.2824890854710986E-2</v>
      </c>
      <c r="P80" s="213">
        <f t="shared" si="67"/>
        <v>0.49022576401702311</v>
      </c>
      <c r="Q80" s="217">
        <f t="shared" ca="1" si="68"/>
        <v>0.29708547485886921</v>
      </c>
      <c r="R80" s="176">
        <f>DANE!S80</f>
        <v>0</v>
      </c>
      <c r="S80" s="188">
        <f t="shared" si="3"/>
        <v>409</v>
      </c>
      <c r="T80" s="177">
        <f t="shared" ca="1" si="19"/>
        <v>1.8571428571428572</v>
      </c>
      <c r="U80" s="209">
        <f t="shared" si="50"/>
        <v>16.826978159505316</v>
      </c>
      <c r="V80" s="179">
        <f t="shared" si="55"/>
        <v>-0.14285714285714277</v>
      </c>
      <c r="W80" s="213">
        <f t="shared" si="56"/>
        <v>5.5511151231257827E-16</v>
      </c>
      <c r="X80" s="214">
        <f t="shared" ca="1" si="57"/>
        <v>0.76454994210627192</v>
      </c>
      <c r="Y80" s="176">
        <f>DANE!W80</f>
        <v>0</v>
      </c>
      <c r="Z80" s="188">
        <f t="shared" si="4"/>
        <v>92</v>
      </c>
      <c r="AA80" s="177">
        <f t="shared" ca="1" si="20"/>
        <v>0</v>
      </c>
      <c r="AB80" s="209"/>
      <c r="AC80" s="179"/>
      <c r="AD80" s="213"/>
      <c r="AE80" s="217"/>
      <c r="AF80" s="176">
        <f>DANE!AA80</f>
        <v>6</v>
      </c>
      <c r="AG80" s="188">
        <f t="shared" si="5"/>
        <v>1254</v>
      </c>
      <c r="AH80" s="177">
        <f t="shared" ca="1" si="21"/>
        <v>8</v>
      </c>
      <c r="AI80" s="209">
        <f t="shared" si="37"/>
        <v>80.305958222935459</v>
      </c>
      <c r="AJ80" s="179">
        <f t="shared" si="39"/>
        <v>-7.3645234877605575E-2</v>
      </c>
      <c r="AK80" s="213">
        <f t="shared" si="40"/>
        <v>0.48448335585676094</v>
      </c>
      <c r="AL80" s="214">
        <f t="shared" ca="1" si="41"/>
        <v>0.53713383055613007</v>
      </c>
      <c r="AM80" s="176">
        <f>DANE!AE80</f>
        <v>15</v>
      </c>
      <c r="AN80" s="188">
        <f t="shared" si="6"/>
        <v>1148</v>
      </c>
      <c r="AO80" s="177">
        <f t="shared" ca="1" si="22"/>
        <v>10.571428571428571</v>
      </c>
      <c r="AP80" s="209">
        <f t="shared" si="49"/>
        <v>80.363790724940955</v>
      </c>
      <c r="AQ80" s="179">
        <f t="shared" si="51"/>
        <v>5.3844160946477419E-2</v>
      </c>
      <c r="AR80" s="213">
        <f t="shared" si="52"/>
        <v>1.3769091266253419</v>
      </c>
      <c r="AS80" s="217">
        <f t="shared" ca="1" si="53"/>
        <v>0.80824386704383389</v>
      </c>
      <c r="AT80" s="176">
        <f>DANE!AI80</f>
        <v>37</v>
      </c>
      <c r="AU80" s="188">
        <f t="shared" si="7"/>
        <v>3040</v>
      </c>
      <c r="AV80" s="177">
        <f t="shared" ca="1" si="23"/>
        <v>30.142857142857142</v>
      </c>
      <c r="AW80" s="209">
        <f t="shared" si="33"/>
        <v>213.23193456167573</v>
      </c>
      <c r="AX80" s="179">
        <f t="shared" si="34"/>
        <v>3.7100512338355866E-2</v>
      </c>
      <c r="AY80" s="213">
        <f t="shared" si="35"/>
        <v>1.2597035863684911</v>
      </c>
      <c r="AZ80" s="214">
        <f t="shared" ca="1" si="36"/>
        <v>0.97418528208568189</v>
      </c>
      <c r="BA80" s="176">
        <f>DANE!AM80</f>
        <v>4</v>
      </c>
      <c r="BB80" s="188">
        <f t="shared" si="8"/>
        <v>555</v>
      </c>
      <c r="BC80" s="177">
        <f t="shared" ca="1" si="24"/>
        <v>8.1428571428571423</v>
      </c>
      <c r="BD80" s="209">
        <f t="shared" si="77"/>
        <v>55.828291591006561</v>
      </c>
      <c r="BE80" s="179">
        <f t="shared" si="80"/>
        <v>-7.6704635735600518E-2</v>
      </c>
      <c r="BF80" s="213">
        <f t="shared" si="81"/>
        <v>0.46306754985079635</v>
      </c>
      <c r="BG80" s="217">
        <f t="shared" ca="1" si="82"/>
        <v>0.98173698420070232</v>
      </c>
      <c r="BH80" s="176">
        <f>DANE!AQ80</f>
        <v>0</v>
      </c>
      <c r="BI80" s="188">
        <f t="shared" si="9"/>
        <v>374</v>
      </c>
      <c r="BJ80" s="177">
        <f t="shared" ca="1" si="25"/>
        <v>0.42857142857142855</v>
      </c>
      <c r="BK80" s="209">
        <f t="shared" si="61"/>
        <v>7.8856018305649727</v>
      </c>
      <c r="BL80" s="179">
        <f t="shared" si="63"/>
        <v>-0.14285714285714279</v>
      </c>
      <c r="BM80" s="213">
        <f t="shared" si="64"/>
        <v>4.4408920985006262E-16</v>
      </c>
      <c r="BN80" s="214">
        <f t="shared" ca="1" si="65"/>
        <v>0.19967937257591398</v>
      </c>
      <c r="BO80" s="176">
        <f>DANE!AU80</f>
        <v>9</v>
      </c>
      <c r="BP80" s="188">
        <f t="shared" si="10"/>
        <v>398</v>
      </c>
      <c r="BQ80" s="177">
        <f t="shared" ca="1" si="26"/>
        <v>1.8571428571428572</v>
      </c>
      <c r="BR80" s="209">
        <f t="shared" si="78"/>
        <v>15.640210167149544</v>
      </c>
      <c r="BS80" s="179">
        <f t="shared" si="83"/>
        <v>1.0188961029135768</v>
      </c>
      <c r="BT80" s="213">
        <f t="shared" si="84"/>
        <v>8.1322727203950382</v>
      </c>
      <c r="BU80" s="217">
        <f t="shared" ca="1" si="85"/>
        <v>1.6141712052233774</v>
      </c>
      <c r="BV80" s="176">
        <f>DANE!AY80</f>
        <v>1</v>
      </c>
      <c r="BW80" s="188">
        <f t="shared" si="11"/>
        <v>503</v>
      </c>
      <c r="BX80" s="177">
        <f t="shared" ca="1" si="27"/>
        <v>2</v>
      </c>
      <c r="BY80" s="209">
        <f t="shared" si="69"/>
        <v>25.388260164821041</v>
      </c>
      <c r="BZ80" s="179">
        <f t="shared" si="71"/>
        <v>-0.10771142719927689</v>
      </c>
      <c r="CA80" s="213">
        <f t="shared" si="72"/>
        <v>0.24602000960506176</v>
      </c>
      <c r="CB80" s="214">
        <f t="shared" ca="1" si="73"/>
        <v>0.38328770040185128</v>
      </c>
      <c r="CC80" s="176">
        <f>DANE!BC80</f>
        <v>263</v>
      </c>
      <c r="CD80" s="188">
        <f t="shared" si="12"/>
        <v>5810</v>
      </c>
      <c r="CE80" s="177">
        <f t="shared" ca="1" si="28"/>
        <v>225</v>
      </c>
      <c r="CF80" s="209">
        <f t="shared" si="45"/>
        <v>1483.7829893973835</v>
      </c>
      <c r="CG80" s="179">
        <f t="shared" si="46"/>
        <v>4.1801861557597603E-2</v>
      </c>
      <c r="CH80" s="213">
        <f t="shared" si="47"/>
        <v>1.2926130309031834</v>
      </c>
      <c r="CI80" s="217">
        <f t="shared" ca="1" si="48"/>
        <v>1.133338490262765</v>
      </c>
      <c r="CJ80" s="176">
        <f>DANE!BG80</f>
        <v>1</v>
      </c>
      <c r="CK80" s="188">
        <f t="shared" si="13"/>
        <v>353</v>
      </c>
      <c r="CL80" s="177">
        <f t="shared" ca="1" si="29"/>
        <v>3.5714285714285716</v>
      </c>
      <c r="CM80" s="209">
        <f t="shared" si="79"/>
        <v>27.375448813660427</v>
      </c>
      <c r="CN80" s="179">
        <f t="shared" si="86"/>
        <v>-0.11035938847963529</v>
      </c>
      <c r="CO80" s="213">
        <f t="shared" si="87"/>
        <v>0.22748428064255288</v>
      </c>
      <c r="CP80" s="214">
        <f t="shared" ca="1" si="88"/>
        <v>0.91179129387778401</v>
      </c>
      <c r="CQ80" s="176">
        <f>DANE!BK80</f>
        <v>4</v>
      </c>
      <c r="CR80" s="188">
        <f t="shared" si="14"/>
        <v>174</v>
      </c>
      <c r="CS80" s="177">
        <f t="shared" ca="1" si="30"/>
        <v>1.4285714285714286</v>
      </c>
      <c r="CT80" s="209">
        <f t="shared" si="89"/>
        <v>10.235971549294524</v>
      </c>
      <c r="CU80" s="179">
        <f t="shared" si="90"/>
        <v>0.40694835280123687</v>
      </c>
      <c r="CV80" s="213">
        <f t="shared" si="91"/>
        <v>3.8486384696086584</v>
      </c>
      <c r="CW80" s="217">
        <f t="shared" ca="1" si="92"/>
        <v>1.0795954695605841</v>
      </c>
      <c r="CX80" s="176">
        <f>DANE!BO80</f>
        <v>5</v>
      </c>
      <c r="CY80" s="188">
        <f t="shared" si="15"/>
        <v>1815</v>
      </c>
      <c r="CZ80" s="177">
        <f t="shared" ca="1" si="31"/>
        <v>15</v>
      </c>
      <c r="DA80" s="209">
        <f t="shared" si="54"/>
        <v>122.9995434556493</v>
      </c>
      <c r="DB80" s="179">
        <f t="shared" si="58"/>
        <v>-0.10653738974449543</v>
      </c>
      <c r="DC80" s="213">
        <f t="shared" si="59"/>
        <v>0.25423827178853198</v>
      </c>
      <c r="DD80" s="214">
        <f t="shared" ca="1" si="60"/>
        <v>0.77011923012881345</v>
      </c>
      <c r="DE80" s="176">
        <f>DANE!BS80</f>
        <v>5</v>
      </c>
      <c r="DF80" s="188">
        <f t="shared" si="16"/>
        <v>502</v>
      </c>
      <c r="DG80" s="177">
        <f t="shared" ca="1" si="32"/>
        <v>3.1428571428571428</v>
      </c>
      <c r="DH80" s="209">
        <f t="shared" si="70"/>
        <v>31.052826737869054</v>
      </c>
      <c r="DI80" s="179">
        <f t="shared" si="74"/>
        <v>2.1643789377008612E-2</v>
      </c>
      <c r="DJ80" s="157">
        <f t="shared" si="75"/>
        <v>1.1515065256390602</v>
      </c>
      <c r="DK80" s="225">
        <f t="shared" ca="1" si="76"/>
        <v>0.57708368316684555</v>
      </c>
      <c r="DL80" s="83"/>
      <c r="DM80" s="89"/>
      <c r="DN80" s="89"/>
      <c r="DO80" s="89"/>
      <c r="DP80" s="89"/>
      <c r="DQ80" s="89"/>
      <c r="DR80" s="89"/>
      <c r="DS80" s="89"/>
      <c r="DT80" s="89"/>
      <c r="DU80" s="89"/>
      <c r="DV80" s="89"/>
      <c r="DW80" s="89"/>
      <c r="DX80" s="89"/>
      <c r="DY80" s="89"/>
      <c r="DZ80" s="89"/>
      <c r="EA80" s="89"/>
      <c r="EB80" s="89"/>
      <c r="EC80" s="89"/>
      <c r="ED80" s="89"/>
      <c r="EE80" s="89"/>
      <c r="EF80" s="89"/>
      <c r="EG80" s="89"/>
      <c r="EH80" s="89"/>
    </row>
    <row r="81" spans="1:138" x14ac:dyDescent="0.25">
      <c r="A81" s="32">
        <v>43971</v>
      </c>
      <c r="B81" s="33" t="str">
        <f t="shared" ca="1" si="0"/>
        <v/>
      </c>
      <c r="C81" s="51">
        <f t="shared" si="93"/>
        <v>78</v>
      </c>
      <c r="D81" s="176">
        <f>DANE!K81</f>
        <v>19</v>
      </c>
      <c r="E81" s="188">
        <f t="shared" si="1"/>
        <v>2276</v>
      </c>
      <c r="F81" s="178">
        <f t="shared" ca="1" si="17"/>
        <v>25.142857142857142</v>
      </c>
      <c r="G81" s="209">
        <f t="shared" si="38"/>
        <v>224.6228045752521</v>
      </c>
      <c r="H81" s="179">
        <f t="shared" si="42"/>
        <v>-6.3655255112468209E-2</v>
      </c>
      <c r="I81" s="213">
        <f t="shared" si="43"/>
        <v>0.55441321421272249</v>
      </c>
      <c r="J81" s="214">
        <f t="shared" ca="1" si="44"/>
        <v>0.72162316642917801</v>
      </c>
      <c r="K81" s="176">
        <f>DANE!O81</f>
        <v>1</v>
      </c>
      <c r="L81" s="188">
        <f t="shared" si="2"/>
        <v>584</v>
      </c>
      <c r="M81" s="177">
        <f t="shared" ca="1" si="18"/>
        <v>1</v>
      </c>
      <c r="N81" s="209">
        <f t="shared" si="62"/>
        <v>12.34793612087382</v>
      </c>
      <c r="O81" s="179">
        <f t="shared" si="66"/>
        <v>-6.7324213519781018E-2</v>
      </c>
      <c r="P81" s="213">
        <f t="shared" si="67"/>
        <v>0.52873050536153288</v>
      </c>
      <c r="Q81" s="217">
        <f t="shared" ca="1" si="68"/>
        <v>0.3726184041962311</v>
      </c>
      <c r="R81" s="176">
        <f>DANE!S81</f>
        <v>2</v>
      </c>
      <c r="S81" s="188">
        <f t="shared" si="3"/>
        <v>411</v>
      </c>
      <c r="T81" s="177">
        <f t="shared" ca="1" si="19"/>
        <v>1.8571428571428572</v>
      </c>
      <c r="U81" s="209">
        <f t="shared" si="50"/>
        <v>16.423124136718844</v>
      </c>
      <c r="V81" s="179">
        <f t="shared" si="55"/>
        <v>-2.4000389075107993E-2</v>
      </c>
      <c r="W81" s="213">
        <f t="shared" si="56"/>
        <v>0.83199727647424404</v>
      </c>
      <c r="X81" s="214">
        <f t="shared" ca="1" si="57"/>
        <v>0.79662730488683831</v>
      </c>
      <c r="Y81" s="176">
        <f>DANE!W81</f>
        <v>0</v>
      </c>
      <c r="Z81" s="188">
        <f t="shared" si="4"/>
        <v>92</v>
      </c>
      <c r="AA81" s="177">
        <f t="shared" ca="1" si="20"/>
        <v>0</v>
      </c>
      <c r="AB81" s="209"/>
      <c r="AC81" s="179"/>
      <c r="AD81" s="213"/>
      <c r="AE81" s="217"/>
      <c r="AF81" s="176">
        <f>DANE!AA81</f>
        <v>16</v>
      </c>
      <c r="AG81" s="188">
        <f t="shared" si="5"/>
        <v>1270</v>
      </c>
      <c r="AH81" s="177">
        <f t="shared" ca="1" si="21"/>
        <v>8.7142857142857135</v>
      </c>
      <c r="AI81" s="209">
        <f t="shared" si="37"/>
        <v>84.833678476801822</v>
      </c>
      <c r="AJ81" s="179">
        <f t="shared" si="39"/>
        <v>5.6380875766366759E-2</v>
      </c>
      <c r="AK81" s="213">
        <f t="shared" si="40"/>
        <v>1.3946661303645673</v>
      </c>
      <c r="AL81" s="214">
        <f t="shared" ca="1" si="41"/>
        <v>0.65166594294960689</v>
      </c>
      <c r="AM81" s="176">
        <f>DANE!AE81</f>
        <v>2</v>
      </c>
      <c r="AN81" s="188">
        <f t="shared" si="6"/>
        <v>1150</v>
      </c>
      <c r="AO81" s="177">
        <f t="shared" ca="1" si="22"/>
        <v>9.4285714285714288</v>
      </c>
      <c r="AP81" s="209">
        <f t="shared" si="49"/>
        <v>70.883249192806545</v>
      </c>
      <c r="AQ81" s="179">
        <f t="shared" si="51"/>
        <v>-0.11797031283134977</v>
      </c>
      <c r="AR81" s="213">
        <f t="shared" si="52"/>
        <v>0.17420781018055154</v>
      </c>
      <c r="AS81" s="217">
        <f t="shared" ca="1" si="53"/>
        <v>0.73257411235359704</v>
      </c>
      <c r="AT81" s="176">
        <f>DANE!AI81</f>
        <v>42</v>
      </c>
      <c r="AU81" s="188">
        <f t="shared" si="7"/>
        <v>3082</v>
      </c>
      <c r="AV81" s="177">
        <f t="shared" ca="1" si="23"/>
        <v>28.857142857142858</v>
      </c>
      <c r="AW81" s="209">
        <f t="shared" si="33"/>
        <v>224.77022962429351</v>
      </c>
      <c r="AX81" s="179">
        <f t="shared" si="34"/>
        <v>5.4111477656178242E-2</v>
      </c>
      <c r="AY81" s="213">
        <f t="shared" si="35"/>
        <v>1.3787803435932477</v>
      </c>
      <c r="AZ81" s="214">
        <f t="shared" ca="1" si="36"/>
        <v>0.94011922027416184</v>
      </c>
      <c r="BA81" s="176">
        <f>DANE!AM81</f>
        <v>13</v>
      </c>
      <c r="BB81" s="188">
        <f t="shared" si="8"/>
        <v>568</v>
      </c>
      <c r="BC81" s="177">
        <f t="shared" ca="1" si="24"/>
        <v>9.4285714285714288</v>
      </c>
      <c r="BD81" s="209">
        <f t="shared" si="77"/>
        <v>60.852821363719912</v>
      </c>
      <c r="BE81" s="179">
        <f t="shared" si="80"/>
        <v>8.9999704979737499E-2</v>
      </c>
      <c r="BF81" s="213">
        <f t="shared" si="81"/>
        <v>1.6299979348581626</v>
      </c>
      <c r="BG81" s="217">
        <f t="shared" ca="1" si="82"/>
        <v>1.1456255483901789</v>
      </c>
      <c r="BH81" s="176">
        <f>DANE!AQ81</f>
        <v>0</v>
      </c>
      <c r="BI81" s="188">
        <f t="shared" si="9"/>
        <v>374</v>
      </c>
      <c r="BJ81" s="177">
        <f t="shared" ca="1" si="25"/>
        <v>0.42857142857142855</v>
      </c>
      <c r="BK81" s="209">
        <f t="shared" si="61"/>
        <v>6.7590872833414055</v>
      </c>
      <c r="BL81" s="179">
        <f t="shared" si="63"/>
        <v>-0.14285714285714282</v>
      </c>
      <c r="BM81" s="213">
        <f t="shared" si="64"/>
        <v>2.2204460492503131E-16</v>
      </c>
      <c r="BN81" s="214">
        <f t="shared" ca="1" si="65"/>
        <v>0.19967937257591387</v>
      </c>
      <c r="BO81" s="176">
        <f>DANE!AU81</f>
        <v>7</v>
      </c>
      <c r="BP81" s="188">
        <f t="shared" si="10"/>
        <v>405</v>
      </c>
      <c r="BQ81" s="177">
        <f t="shared" ca="1" si="26"/>
        <v>2.8571428571428572</v>
      </c>
      <c r="BR81" s="209">
        <f t="shared" si="78"/>
        <v>20.405894428985324</v>
      </c>
      <c r="BS81" s="179">
        <f t="shared" si="83"/>
        <v>0.30470717534509539</v>
      </c>
      <c r="BT81" s="213">
        <f t="shared" si="84"/>
        <v>3.1329502274156678</v>
      </c>
      <c r="BU81" s="217">
        <f t="shared" ca="1" si="85"/>
        <v>2.0617355234256154</v>
      </c>
      <c r="BV81" s="176">
        <f>DANE!AY81</f>
        <v>5</v>
      </c>
      <c r="BW81" s="188">
        <f t="shared" si="11"/>
        <v>508</v>
      </c>
      <c r="BX81" s="177">
        <f t="shared" ca="1" si="27"/>
        <v>2.4285714285714284</v>
      </c>
      <c r="BY81" s="209">
        <f t="shared" si="69"/>
        <v>26.761365855560893</v>
      </c>
      <c r="BZ81" s="179">
        <f t="shared" si="71"/>
        <v>5.4084276820295089E-2</v>
      </c>
      <c r="CA81" s="213">
        <f t="shared" si="72"/>
        <v>1.3785899377420656</v>
      </c>
      <c r="CB81" s="214">
        <f t="shared" ca="1" si="73"/>
        <v>0.5395573859795979</v>
      </c>
      <c r="CC81" s="176">
        <f>DANE!BC81</f>
        <v>275</v>
      </c>
      <c r="CD81" s="188">
        <f t="shared" si="12"/>
        <v>6085</v>
      </c>
      <c r="CE81" s="177">
        <f t="shared" ca="1" si="28"/>
        <v>240.42857142857142</v>
      </c>
      <c r="CF81" s="209">
        <f t="shared" si="45"/>
        <v>1546.8139909120432</v>
      </c>
      <c r="CG81" s="179">
        <f t="shared" si="46"/>
        <v>4.2479932688983583E-2</v>
      </c>
      <c r="CH81" s="213">
        <f t="shared" si="47"/>
        <v>1.2973595288228852</v>
      </c>
      <c r="CI81" s="217">
        <f t="shared" ca="1" si="48"/>
        <v>1.1910572022748884</v>
      </c>
      <c r="CJ81" s="176">
        <f>DANE!BG81</f>
        <v>4</v>
      </c>
      <c r="CK81" s="188">
        <f t="shared" si="13"/>
        <v>357</v>
      </c>
      <c r="CL81" s="177">
        <f t="shared" ca="1" si="29"/>
        <v>2.8571428571428572</v>
      </c>
      <c r="CM81" s="209">
        <f t="shared" si="79"/>
        <v>27.464670411708937</v>
      </c>
      <c r="CN81" s="179">
        <f t="shared" si="86"/>
        <v>3.2591830240236521E-3</v>
      </c>
      <c r="CO81" s="213">
        <f t="shared" si="87"/>
        <v>1.0228142811681655</v>
      </c>
      <c r="CP81" s="214">
        <f t="shared" ca="1" si="88"/>
        <v>0.78301001161176043</v>
      </c>
      <c r="CQ81" s="176">
        <f>DANE!BK81</f>
        <v>0</v>
      </c>
      <c r="CR81" s="188">
        <f t="shared" si="14"/>
        <v>174</v>
      </c>
      <c r="CS81" s="177">
        <f t="shared" ca="1" si="30"/>
        <v>0.8571428571428571</v>
      </c>
      <c r="CT81" s="209">
        <f t="shared" si="89"/>
        <v>8.7736898993953076</v>
      </c>
      <c r="CU81" s="179">
        <f t="shared" si="90"/>
        <v>-0.14285714285714271</v>
      </c>
      <c r="CV81" s="213">
        <f t="shared" si="91"/>
        <v>9.9920072216264089E-16</v>
      </c>
      <c r="CW81" s="217">
        <f t="shared" ca="1" si="92"/>
        <v>0.70680360744628445</v>
      </c>
      <c r="CX81" s="176">
        <f>DANE!BO81</f>
        <v>84</v>
      </c>
      <c r="CY81" s="188">
        <f t="shared" si="15"/>
        <v>1899</v>
      </c>
      <c r="CZ81" s="177">
        <f t="shared" ca="1" si="31"/>
        <v>25.285714285714285</v>
      </c>
      <c r="DA81" s="209">
        <f t="shared" si="54"/>
        <v>189.42818010484228</v>
      </c>
      <c r="DB81" s="179">
        <f t="shared" si="58"/>
        <v>0.54007222126922416</v>
      </c>
      <c r="DC81" s="213">
        <f t="shared" si="59"/>
        <v>4.7805055488845696</v>
      </c>
      <c r="DD81" s="214">
        <f t="shared" ca="1" si="60"/>
        <v>1.3780264241824778</v>
      </c>
      <c r="DE81" s="176">
        <f>DANE!BS81</f>
        <v>1</v>
      </c>
      <c r="DF81" s="188">
        <f t="shared" si="16"/>
        <v>503</v>
      </c>
      <c r="DG81" s="177">
        <f t="shared" ca="1" si="32"/>
        <v>2.4285714285714284</v>
      </c>
      <c r="DH81" s="209">
        <f t="shared" si="70"/>
        <v>27.61670863245919</v>
      </c>
      <c r="DI81" s="179">
        <f t="shared" si="74"/>
        <v>-0.11065395541654519</v>
      </c>
      <c r="DJ81" s="157">
        <f t="shared" si="75"/>
        <v>0.22542231208418362</v>
      </c>
      <c r="DK81" s="225">
        <f t="shared" ca="1" si="76"/>
        <v>0.48536689098629487</v>
      </c>
      <c r="DL81" s="83"/>
      <c r="DM81" s="89"/>
      <c r="DN81" s="89"/>
      <c r="DO81" s="89"/>
      <c r="DP81" s="89"/>
      <c r="DQ81" s="89"/>
      <c r="DR81" s="89"/>
      <c r="DS81" s="89"/>
      <c r="DT81" s="89"/>
      <c r="DU81" s="89"/>
      <c r="DV81" s="89"/>
      <c r="DW81" s="89"/>
      <c r="DX81" s="89"/>
      <c r="DY81" s="89"/>
      <c r="DZ81" s="89"/>
      <c r="EA81" s="89"/>
      <c r="EB81" s="89"/>
      <c r="EC81" s="89"/>
      <c r="ED81" s="89"/>
      <c r="EE81" s="89"/>
      <c r="EF81" s="89"/>
      <c r="EG81" s="89"/>
      <c r="EH81" s="89"/>
    </row>
    <row r="82" spans="1:138" x14ac:dyDescent="0.25">
      <c r="A82" s="32">
        <v>43972</v>
      </c>
      <c r="B82" s="33" t="str">
        <f t="shared" ca="1" si="0"/>
        <v/>
      </c>
      <c r="C82" s="51">
        <f t="shared" si="93"/>
        <v>79</v>
      </c>
      <c r="D82" s="176">
        <f>DANE!K82</f>
        <v>19</v>
      </c>
      <c r="E82" s="188">
        <f t="shared" si="1"/>
        <v>2295</v>
      </c>
      <c r="F82" s="178">
        <f t="shared" ca="1" si="17"/>
        <v>24.285714285714285</v>
      </c>
      <c r="G82" s="209">
        <f t="shared" si="38"/>
        <v>211.53383249307325</v>
      </c>
      <c r="H82" s="179">
        <f t="shared" si="42"/>
        <v>-5.8270895989075089E-2</v>
      </c>
      <c r="I82" s="213">
        <f t="shared" si="43"/>
        <v>0.59210372807647438</v>
      </c>
      <c r="J82" s="214">
        <f t="shared" ca="1" si="44"/>
        <v>0.72419801085486768</v>
      </c>
      <c r="K82" s="176">
        <f>DANE!O82</f>
        <v>3</v>
      </c>
      <c r="L82" s="188">
        <f t="shared" si="2"/>
        <v>587</v>
      </c>
      <c r="M82" s="177">
        <f t="shared" ca="1" si="18"/>
        <v>1.2857142857142858</v>
      </c>
      <c r="N82" s="209">
        <f t="shared" si="62"/>
        <v>13.583945246463275</v>
      </c>
      <c r="O82" s="179">
        <f t="shared" si="66"/>
        <v>0.10009843859655361</v>
      </c>
      <c r="P82" s="213">
        <f t="shared" si="67"/>
        <v>1.7006890701758755</v>
      </c>
      <c r="Q82" s="217">
        <f t="shared" ca="1" si="68"/>
        <v>0.57395045971632841</v>
      </c>
      <c r="R82" s="176">
        <f>DANE!S82</f>
        <v>6</v>
      </c>
      <c r="S82" s="188">
        <f t="shared" si="3"/>
        <v>417</v>
      </c>
      <c r="T82" s="177">
        <f t="shared" ca="1" si="19"/>
        <v>2.4285714285714284</v>
      </c>
      <c r="U82" s="209">
        <f t="shared" si="50"/>
        <v>20.076963545759011</v>
      </c>
      <c r="V82" s="179">
        <f t="shared" si="55"/>
        <v>0.22248138530907816</v>
      </c>
      <c r="W82" s="213">
        <f t="shared" si="56"/>
        <v>2.5573696971635469</v>
      </c>
      <c r="X82" s="214">
        <f t="shared" ca="1" si="57"/>
        <v>1.0700309399280488</v>
      </c>
      <c r="Y82" s="176">
        <f>DANE!W82</f>
        <v>3</v>
      </c>
      <c r="Z82" s="188">
        <f t="shared" si="4"/>
        <v>95</v>
      </c>
      <c r="AA82" s="177">
        <f t="shared" ca="1" si="20"/>
        <v>0.42857142857142855</v>
      </c>
      <c r="AB82" s="209"/>
      <c r="AC82" s="179"/>
      <c r="AD82" s="213"/>
      <c r="AE82" s="217"/>
      <c r="AF82" s="176">
        <f>DANE!AA82</f>
        <v>6</v>
      </c>
      <c r="AG82" s="188">
        <f t="shared" si="5"/>
        <v>1276</v>
      </c>
      <c r="AH82" s="177">
        <f t="shared" ca="1" si="21"/>
        <v>8.5714285714285712</v>
      </c>
      <c r="AI82" s="209">
        <f t="shared" si="37"/>
        <v>78.714581551544427</v>
      </c>
      <c r="AJ82" s="179">
        <f t="shared" si="39"/>
        <v>-7.2130515087008656E-2</v>
      </c>
      <c r="AK82" s="213">
        <f t="shared" si="40"/>
        <v>0.49508639439093938</v>
      </c>
      <c r="AL82" s="214">
        <f t="shared" ca="1" si="41"/>
        <v>0.66516070865625643</v>
      </c>
      <c r="AM82" s="176">
        <f>DANE!AE82</f>
        <v>15</v>
      </c>
      <c r="AN82" s="188">
        <f t="shared" si="6"/>
        <v>1165</v>
      </c>
      <c r="AO82" s="177">
        <f t="shared" ca="1" si="22"/>
        <v>8.1428571428571423</v>
      </c>
      <c r="AP82" s="209">
        <f t="shared" si="49"/>
        <v>75.757070736691333</v>
      </c>
      <c r="AQ82" s="179">
        <f t="shared" si="51"/>
        <v>6.875843869159709E-2</v>
      </c>
      <c r="AR82" s="213">
        <f t="shared" si="52"/>
        <v>1.4813090708411796</v>
      </c>
      <c r="AS82" s="217">
        <f t="shared" ca="1" si="53"/>
        <v>0.69219434675037361</v>
      </c>
      <c r="AT82" s="176">
        <f>DANE!AI82</f>
        <v>46</v>
      </c>
      <c r="AU82" s="188">
        <f t="shared" si="7"/>
        <v>3128</v>
      </c>
      <c r="AV82" s="177">
        <f t="shared" ca="1" si="23"/>
        <v>32.285714285714285</v>
      </c>
      <c r="AW82" s="209">
        <f t="shared" si="33"/>
        <v>238.66019682082302</v>
      </c>
      <c r="AX82" s="179">
        <f t="shared" si="34"/>
        <v>6.1796294018770993E-2</v>
      </c>
      <c r="AY82" s="213">
        <f t="shared" si="35"/>
        <v>1.432574058131397</v>
      </c>
      <c r="AZ82" s="214">
        <f t="shared" ca="1" si="36"/>
        <v>1.0531864809869897</v>
      </c>
      <c r="BA82" s="176">
        <f>DANE!AM82</f>
        <v>8</v>
      </c>
      <c r="BB82" s="188">
        <f t="shared" si="8"/>
        <v>576</v>
      </c>
      <c r="BC82" s="177">
        <f t="shared" ca="1" si="24"/>
        <v>9.4285714285714288</v>
      </c>
      <c r="BD82" s="209">
        <f t="shared" si="77"/>
        <v>60.159561168902783</v>
      </c>
      <c r="BE82" s="179">
        <f t="shared" si="80"/>
        <v>-1.1392408425461202E-2</v>
      </c>
      <c r="BF82" s="213">
        <f t="shared" si="81"/>
        <v>0.92025314102177158</v>
      </c>
      <c r="BG82" s="217">
        <f t="shared" ca="1" si="82"/>
        <v>1.128148583257482</v>
      </c>
      <c r="BH82" s="176">
        <f>DANE!AQ82</f>
        <v>1</v>
      </c>
      <c r="BI82" s="188">
        <f t="shared" si="9"/>
        <v>375</v>
      </c>
      <c r="BJ82" s="177">
        <f t="shared" ca="1" si="25"/>
        <v>0.2857142857142857</v>
      </c>
      <c r="BK82" s="209">
        <f t="shared" si="61"/>
        <v>6.7935033857212055</v>
      </c>
      <c r="BL82" s="179">
        <f t="shared" si="63"/>
        <v>5.091826889796593E-3</v>
      </c>
      <c r="BM82" s="213">
        <f t="shared" si="64"/>
        <v>1.0356427882285761</v>
      </c>
      <c r="BN82" s="214">
        <f t="shared" ca="1" si="65"/>
        <v>0.22234053459061615</v>
      </c>
      <c r="BO82" s="176">
        <f>DANE!AU82</f>
        <v>0</v>
      </c>
      <c r="BP82" s="188">
        <f t="shared" si="10"/>
        <v>405</v>
      </c>
      <c r="BQ82" s="177">
        <f t="shared" ca="1" si="26"/>
        <v>2.7142857142857144</v>
      </c>
      <c r="BR82" s="209">
        <f t="shared" si="78"/>
        <v>17.490766653415992</v>
      </c>
      <c r="BS82" s="179">
        <f t="shared" si="83"/>
        <v>-0.14285714285714282</v>
      </c>
      <c r="BT82" s="213">
        <f t="shared" si="84"/>
        <v>2.2204460492503131E-16</v>
      </c>
      <c r="BU82" s="217">
        <f t="shared" ca="1" si="85"/>
        <v>1.9637187344025708</v>
      </c>
      <c r="BV82" s="176">
        <f>DANE!AY82</f>
        <v>5</v>
      </c>
      <c r="BW82" s="188">
        <f t="shared" si="11"/>
        <v>513</v>
      </c>
      <c r="BX82" s="177">
        <f t="shared" ca="1" si="27"/>
        <v>3</v>
      </c>
      <c r="BY82" s="209">
        <f t="shared" si="69"/>
        <v>27.938313590480767</v>
      </c>
      <c r="BZ82" s="179">
        <f t="shared" si="71"/>
        <v>4.3979359696071342E-2</v>
      </c>
      <c r="CA82" s="213">
        <f t="shared" si="72"/>
        <v>1.3078555178724995</v>
      </c>
      <c r="CB82" s="214">
        <f t="shared" ca="1" si="73"/>
        <v>0.70374348025452682</v>
      </c>
      <c r="CC82" s="176">
        <f>DANE!BC82</f>
        <v>251</v>
      </c>
      <c r="CD82" s="188">
        <f t="shared" si="12"/>
        <v>6336</v>
      </c>
      <c r="CE82" s="177">
        <f t="shared" ca="1" si="28"/>
        <v>233.14285714285714</v>
      </c>
      <c r="CF82" s="209">
        <f t="shared" si="45"/>
        <v>1576.8405636388943</v>
      </c>
      <c r="CG82" s="179">
        <f t="shared" si="46"/>
        <v>1.9411883331328431E-2</v>
      </c>
      <c r="CH82" s="213">
        <f t="shared" si="47"/>
        <v>1.1358831833192991</v>
      </c>
      <c r="CI82" s="217">
        <f t="shared" ca="1" si="48"/>
        <v>1.1189720479167524</v>
      </c>
      <c r="CJ82" s="176">
        <f>DANE!BG82</f>
        <v>4</v>
      </c>
      <c r="CK82" s="188">
        <f t="shared" si="13"/>
        <v>361</v>
      </c>
      <c r="CL82" s="177">
        <f t="shared" ca="1" si="29"/>
        <v>3.4285714285714284</v>
      </c>
      <c r="CM82" s="209">
        <f t="shared" si="79"/>
        <v>27.541146067179092</v>
      </c>
      <c r="CN82" s="179">
        <f t="shared" si="86"/>
        <v>2.7845102207216454E-3</v>
      </c>
      <c r="CO82" s="213">
        <f t="shared" si="87"/>
        <v>1.0194915715450514</v>
      </c>
      <c r="CP82" s="214">
        <f t="shared" ca="1" si="88"/>
        <v>0.92865166468962479</v>
      </c>
      <c r="CQ82" s="176">
        <f>DANE!BK82</f>
        <v>0</v>
      </c>
      <c r="CR82" s="188">
        <f t="shared" si="14"/>
        <v>174</v>
      </c>
      <c r="CS82" s="177">
        <f t="shared" ca="1" si="30"/>
        <v>0.7142857142857143</v>
      </c>
      <c r="CT82" s="209">
        <f t="shared" si="89"/>
        <v>7.5203056280531211</v>
      </c>
      <c r="CU82" s="179">
        <f t="shared" si="90"/>
        <v>-0.14285714285714282</v>
      </c>
      <c r="CV82" s="213">
        <f t="shared" si="91"/>
        <v>2.2204460492503131E-16</v>
      </c>
      <c r="CW82" s="217">
        <f t="shared" ca="1" si="92"/>
        <v>0.63102888211381813</v>
      </c>
      <c r="CX82" s="176">
        <f>DANE!BO82</f>
        <v>26</v>
      </c>
      <c r="CY82" s="188">
        <f t="shared" si="15"/>
        <v>1925</v>
      </c>
      <c r="CZ82" s="177">
        <f t="shared" ca="1" si="31"/>
        <v>27.142857142857142</v>
      </c>
      <c r="DA82" s="209">
        <f t="shared" si="54"/>
        <v>188.36701151843624</v>
      </c>
      <c r="DB82" s="179">
        <f t="shared" si="58"/>
        <v>-5.6019573530121996E-3</v>
      </c>
      <c r="DC82" s="213">
        <f t="shared" si="59"/>
        <v>0.96078629852891462</v>
      </c>
      <c r="DD82" s="214">
        <f t="shared" ca="1" si="60"/>
        <v>1.4280931664325931</v>
      </c>
      <c r="DE82" s="176">
        <f>DANE!BS82</f>
        <v>10</v>
      </c>
      <c r="DF82" s="188">
        <f t="shared" si="16"/>
        <v>513</v>
      </c>
      <c r="DG82" s="177">
        <f t="shared" ca="1" si="32"/>
        <v>3.5714285714285716</v>
      </c>
      <c r="DH82" s="209">
        <f t="shared" si="70"/>
        <v>33.671464542107877</v>
      </c>
      <c r="DI82" s="179">
        <f t="shared" si="74"/>
        <v>0.21924248795282772</v>
      </c>
      <c r="DJ82" s="157">
        <f t="shared" si="75"/>
        <v>2.5346974156697941</v>
      </c>
      <c r="DK82" s="225">
        <f t="shared" ca="1" si="76"/>
        <v>0.80536253179093154</v>
      </c>
      <c r="DL82" s="83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</row>
    <row r="83" spans="1:138" x14ac:dyDescent="0.25">
      <c r="A83" s="32">
        <v>43973</v>
      </c>
      <c r="B83" s="33" t="str">
        <f t="shared" ca="1" si="0"/>
        <v/>
      </c>
      <c r="C83" s="51">
        <f t="shared" si="93"/>
        <v>80</v>
      </c>
      <c r="D83" s="176">
        <f>DANE!K83</f>
        <v>71</v>
      </c>
      <c r="E83" s="188">
        <f t="shared" si="1"/>
        <v>2366</v>
      </c>
      <c r="F83" s="178">
        <f t="shared" ca="1" si="17"/>
        <v>32.142857142857146</v>
      </c>
      <c r="G83" s="209">
        <f t="shared" si="38"/>
        <v>252.31471356549136</v>
      </c>
      <c r="H83" s="179">
        <f t="shared" si="42"/>
        <v>0.19278656558994409</v>
      </c>
      <c r="I83" s="213">
        <f t="shared" si="43"/>
        <v>2.3495059591296084</v>
      </c>
      <c r="J83" s="214">
        <f t="shared" ca="1" si="44"/>
        <v>1.0039538850857712</v>
      </c>
      <c r="K83" s="176">
        <f>DANE!O83</f>
        <v>2</v>
      </c>
      <c r="L83" s="188">
        <f t="shared" si="2"/>
        <v>589</v>
      </c>
      <c r="M83" s="177">
        <f t="shared" ca="1" si="18"/>
        <v>1.1428571428571428</v>
      </c>
      <c r="N83" s="209">
        <f t="shared" si="62"/>
        <v>13.643381639825664</v>
      </c>
      <c r="O83" s="179">
        <f t="shared" si="66"/>
        <v>4.3754882903304171E-3</v>
      </c>
      <c r="P83" s="213">
        <f t="shared" si="67"/>
        <v>1.0306284180323129</v>
      </c>
      <c r="Q83" s="217">
        <f t="shared" ca="1" si="68"/>
        <v>0.58224756751526741</v>
      </c>
      <c r="R83" s="176">
        <f>DANE!S83</f>
        <v>3</v>
      </c>
      <c r="S83" s="188">
        <f t="shared" si="3"/>
        <v>420</v>
      </c>
      <c r="T83" s="177">
        <f t="shared" ca="1" si="19"/>
        <v>2.7142857142857144</v>
      </c>
      <c r="U83" s="209">
        <f t="shared" si="50"/>
        <v>20.208825896364868</v>
      </c>
      <c r="V83" s="179">
        <f t="shared" si="55"/>
        <v>6.5678433048562924E-3</v>
      </c>
      <c r="W83" s="213">
        <f t="shared" si="56"/>
        <v>1.045974903133994</v>
      </c>
      <c r="X83" s="214">
        <f t="shared" ca="1" si="57"/>
        <v>1.1710221212204976</v>
      </c>
      <c r="Y83" s="176">
        <f>DANE!W83</f>
        <v>2</v>
      </c>
      <c r="Z83" s="188">
        <f t="shared" si="4"/>
        <v>97</v>
      </c>
      <c r="AA83" s="177">
        <f t="shared" ca="1" si="20"/>
        <v>0.7142857142857143</v>
      </c>
      <c r="AB83" s="209"/>
      <c r="AC83" s="179"/>
      <c r="AD83" s="213"/>
      <c r="AE83" s="217"/>
      <c r="AF83" s="176">
        <f>DANE!AA83</f>
        <v>33</v>
      </c>
      <c r="AG83" s="188">
        <f t="shared" si="5"/>
        <v>1309</v>
      </c>
      <c r="AH83" s="177">
        <f t="shared" ca="1" si="21"/>
        <v>12.142857142857142</v>
      </c>
      <c r="AI83" s="209">
        <f t="shared" si="37"/>
        <v>100.46964132989523</v>
      </c>
      <c r="AJ83" s="179">
        <f t="shared" si="39"/>
        <v>0.2763790310452835</v>
      </c>
      <c r="AK83" s="213">
        <f t="shared" si="40"/>
        <v>2.9346532173169848</v>
      </c>
      <c r="AL83" s="214">
        <f t="shared" ca="1" si="41"/>
        <v>1.0128640186415343</v>
      </c>
      <c r="AM83" s="176">
        <f>DANE!AE83</f>
        <v>2</v>
      </c>
      <c r="AN83" s="188">
        <f t="shared" si="6"/>
        <v>1167</v>
      </c>
      <c r="AO83" s="177">
        <f t="shared" ca="1" si="22"/>
        <v>7.1428571428571432</v>
      </c>
      <c r="AP83" s="209">
        <f t="shared" si="49"/>
        <v>66.934632060021144</v>
      </c>
      <c r="AQ83" s="179">
        <f t="shared" si="51"/>
        <v>-0.11645696686629183</v>
      </c>
      <c r="AR83" s="213">
        <f t="shared" si="52"/>
        <v>0.18480123193595721</v>
      </c>
      <c r="AS83" s="217">
        <f t="shared" ca="1" si="53"/>
        <v>0.63339481109476892</v>
      </c>
      <c r="AT83" s="176">
        <f>DANE!AI83</f>
        <v>29</v>
      </c>
      <c r="AU83" s="188">
        <f t="shared" si="7"/>
        <v>3157</v>
      </c>
      <c r="AV83" s="177">
        <f t="shared" ca="1" si="23"/>
        <v>32.428571428571431</v>
      </c>
      <c r="AW83" s="209">
        <f t="shared" si="33"/>
        <v>233.5658829892769</v>
      </c>
      <c r="AX83" s="179">
        <f t="shared" si="34"/>
        <v>-2.1345468994860228E-2</v>
      </c>
      <c r="AY83" s="213">
        <f t="shared" si="35"/>
        <v>0.8505817170359784</v>
      </c>
      <c r="AZ83" s="214">
        <f t="shared" ca="1" si="36"/>
        <v>1.0518345972733181</v>
      </c>
      <c r="BA83" s="176">
        <f>DANE!AM83</f>
        <v>10</v>
      </c>
      <c r="BB83" s="188">
        <f t="shared" si="8"/>
        <v>586</v>
      </c>
      <c r="BC83" s="177">
        <f t="shared" ca="1" si="24"/>
        <v>8.4285714285714288</v>
      </c>
      <c r="BD83" s="209">
        <f t="shared" si="77"/>
        <v>61.565338144773818</v>
      </c>
      <c r="BE83" s="179">
        <f t="shared" si="80"/>
        <v>2.336747390700214E-2</v>
      </c>
      <c r="BF83" s="213">
        <f t="shared" si="81"/>
        <v>1.1635723173490149</v>
      </c>
      <c r="BG83" s="217">
        <f t="shared" ca="1" si="82"/>
        <v>0.97978621082246276</v>
      </c>
      <c r="BH83" s="176">
        <f>DANE!AQ83</f>
        <v>1</v>
      </c>
      <c r="BI83" s="188">
        <f t="shared" si="9"/>
        <v>376</v>
      </c>
      <c r="BJ83" s="177">
        <f t="shared" ca="1" si="25"/>
        <v>0.42857142857142855</v>
      </c>
      <c r="BK83" s="209">
        <f t="shared" si="61"/>
        <v>6.8230029020467482</v>
      </c>
      <c r="BL83" s="179">
        <f t="shared" si="63"/>
        <v>4.3423127436052651E-3</v>
      </c>
      <c r="BM83" s="213">
        <f t="shared" si="64"/>
        <v>1.0303961892052369</v>
      </c>
      <c r="BN83" s="214">
        <f t="shared" ca="1" si="65"/>
        <v>0.36953999019136419</v>
      </c>
      <c r="BO83" s="176">
        <f>DANE!AU83</f>
        <v>6</v>
      </c>
      <c r="BP83" s="188">
        <f t="shared" si="10"/>
        <v>411</v>
      </c>
      <c r="BQ83" s="177">
        <f t="shared" ca="1" si="26"/>
        <v>3.4285714285714284</v>
      </c>
      <c r="BR83" s="209">
        <f t="shared" si="78"/>
        <v>20.992085702927994</v>
      </c>
      <c r="BS83" s="179">
        <f t="shared" si="83"/>
        <v>0.20018099371465717</v>
      </c>
      <c r="BT83" s="213">
        <f t="shared" si="84"/>
        <v>2.4012669560026003</v>
      </c>
      <c r="BU83" s="217">
        <f t="shared" ca="1" si="85"/>
        <v>2.2041386443601154</v>
      </c>
      <c r="BV83" s="176">
        <f>DANE!AY83</f>
        <v>4</v>
      </c>
      <c r="BW83" s="188">
        <f t="shared" si="11"/>
        <v>517</v>
      </c>
      <c r="BX83" s="177">
        <f t="shared" ca="1" si="27"/>
        <v>3.4285714285714284</v>
      </c>
      <c r="BY83" s="209">
        <f t="shared" si="69"/>
        <v>27.947125934697802</v>
      </c>
      <c r="BZ83" s="179">
        <f t="shared" si="71"/>
        <v>3.1542147984325088E-4</v>
      </c>
      <c r="CA83" s="213">
        <f t="shared" si="72"/>
        <v>1.0022079503589028</v>
      </c>
      <c r="CB83" s="214">
        <f t="shared" ca="1" si="73"/>
        <v>0.82117089607933025</v>
      </c>
      <c r="CC83" s="176">
        <f>DANE!BC83</f>
        <v>285</v>
      </c>
      <c r="CD83" s="188">
        <f t="shared" si="12"/>
        <v>6621</v>
      </c>
      <c r="CE83" s="177">
        <f t="shared" ca="1" si="28"/>
        <v>232</v>
      </c>
      <c r="CF83" s="209">
        <f t="shared" si="45"/>
        <v>1636.5776259761951</v>
      </c>
      <c r="CG83" s="179">
        <f t="shared" si="46"/>
        <v>3.7884021831252779E-2</v>
      </c>
      <c r="CH83" s="213">
        <f t="shared" si="47"/>
        <v>1.2651881528187694</v>
      </c>
      <c r="CI83" s="217">
        <f t="shared" ca="1" si="48"/>
        <v>1.0914028757812035</v>
      </c>
      <c r="CJ83" s="176">
        <f>DANE!BG83</f>
        <v>5</v>
      </c>
      <c r="CK83" s="188">
        <f t="shared" si="13"/>
        <v>366</v>
      </c>
      <c r="CL83" s="177">
        <f t="shared" ca="1" si="29"/>
        <v>3.7142857142857144</v>
      </c>
      <c r="CM83" s="209">
        <f t="shared" si="79"/>
        <v>28.606696629010653</v>
      </c>
      <c r="CN83" s="179">
        <f t="shared" si="86"/>
        <v>3.8689405271387096E-2</v>
      </c>
      <c r="CO83" s="213">
        <f t="shared" si="87"/>
        <v>1.2708258368997096</v>
      </c>
      <c r="CP83" s="214">
        <f t="shared" ca="1" si="88"/>
        <v>1.0157628735626951</v>
      </c>
      <c r="CQ83" s="176">
        <f>DANE!BK83</f>
        <v>0</v>
      </c>
      <c r="CR83" s="188">
        <f t="shared" si="14"/>
        <v>174</v>
      </c>
      <c r="CS83" s="177">
        <f t="shared" ca="1" si="30"/>
        <v>0.5714285714285714</v>
      </c>
      <c r="CT83" s="209">
        <f t="shared" si="89"/>
        <v>6.4459762526169611</v>
      </c>
      <c r="CU83" s="179">
        <f t="shared" si="90"/>
        <v>-0.14285714285714285</v>
      </c>
      <c r="CV83" s="213">
        <f t="shared" si="91"/>
        <v>0</v>
      </c>
      <c r="CW83" s="217">
        <f t="shared" ca="1" si="92"/>
        <v>0.54980549565838011</v>
      </c>
      <c r="CX83" s="176">
        <f>DANE!BO83</f>
        <v>16</v>
      </c>
      <c r="CY83" s="188">
        <f t="shared" si="15"/>
        <v>1941</v>
      </c>
      <c r="CZ83" s="177">
        <f t="shared" ca="1" si="31"/>
        <v>27</v>
      </c>
      <c r="DA83" s="209">
        <f t="shared" si="54"/>
        <v>177.45743844437393</v>
      </c>
      <c r="DB83" s="179">
        <f t="shared" si="58"/>
        <v>-5.7916579904940223E-2</v>
      </c>
      <c r="DC83" s="213">
        <f t="shared" si="59"/>
        <v>0.59458394066541842</v>
      </c>
      <c r="DD83" s="214">
        <f t="shared" ca="1" si="60"/>
        <v>1.3922968052618465</v>
      </c>
      <c r="DE83" s="176">
        <f>DANE!BS83</f>
        <v>2</v>
      </c>
      <c r="DF83" s="188">
        <f t="shared" si="16"/>
        <v>515</v>
      </c>
      <c r="DG83" s="177">
        <f t="shared" ca="1" si="32"/>
        <v>3.4285714285714284</v>
      </c>
      <c r="DH83" s="209">
        <f t="shared" si="70"/>
        <v>30.861255321806755</v>
      </c>
      <c r="DI83" s="179">
        <f t="shared" si="74"/>
        <v>-8.3459667065767587E-2</v>
      </c>
      <c r="DJ83" s="157">
        <f t="shared" si="75"/>
        <v>0.41578233053962688</v>
      </c>
      <c r="DK83" s="225">
        <f t="shared" ca="1" si="76"/>
        <v>0.79452791813068491</v>
      </c>
      <c r="DL83" s="83"/>
      <c r="DM83" s="89"/>
      <c r="DN83" s="89"/>
      <c r="DO83" s="89"/>
      <c r="DP83" s="89"/>
      <c r="DQ83" s="89"/>
      <c r="DR83" s="89"/>
      <c r="DS83" s="89"/>
      <c r="DT83" s="89"/>
      <c r="DU83" s="89"/>
      <c r="DV83" s="89"/>
      <c r="DW83" s="89"/>
      <c r="DX83" s="89"/>
      <c r="DY83" s="89"/>
      <c r="DZ83" s="89"/>
      <c r="EA83" s="89"/>
      <c r="EB83" s="89"/>
      <c r="EC83" s="89"/>
      <c r="ED83" s="89"/>
      <c r="EE83" s="89"/>
      <c r="EF83" s="89"/>
      <c r="EG83" s="89"/>
      <c r="EH83" s="89"/>
    </row>
    <row r="84" spans="1:138" x14ac:dyDescent="0.25">
      <c r="A84" s="61">
        <v>43974</v>
      </c>
      <c r="B84" s="62" t="str">
        <f t="shared" ca="1" si="0"/>
        <v/>
      </c>
      <c r="C84" s="12">
        <f t="shared" si="93"/>
        <v>81</v>
      </c>
      <c r="D84" s="176">
        <f>DANE!K84</f>
        <v>33</v>
      </c>
      <c r="E84" s="198">
        <f t="shared" si="1"/>
        <v>2399</v>
      </c>
      <c r="F84" s="178">
        <f t="shared" ca="1" si="17"/>
        <v>34.142857142857146</v>
      </c>
      <c r="G84" s="211">
        <f t="shared" si="38"/>
        <v>249.26975448470691</v>
      </c>
      <c r="H84" s="200">
        <f t="shared" si="42"/>
        <v>-1.2068099548202113E-2</v>
      </c>
      <c r="I84" s="213">
        <f t="shared" si="43"/>
        <v>0.91552330316258523</v>
      </c>
      <c r="J84" s="214">
        <f t="shared" ca="1" si="44"/>
        <v>1.06205445936534</v>
      </c>
      <c r="K84" s="176">
        <f>DANE!O84</f>
        <v>1</v>
      </c>
      <c r="L84" s="198">
        <f t="shared" si="2"/>
        <v>590</v>
      </c>
      <c r="M84" s="177">
        <f t="shared" ca="1" si="18"/>
        <v>1.1428571428571428</v>
      </c>
      <c r="N84" s="211">
        <f t="shared" si="62"/>
        <v>12.69432711985057</v>
      </c>
      <c r="O84" s="200">
        <f t="shared" si="66"/>
        <v>-6.9561531373186852E-2</v>
      </c>
      <c r="P84" s="213">
        <f t="shared" si="67"/>
        <v>0.51306928038769195</v>
      </c>
      <c r="Q84" s="217">
        <f t="shared" ca="1" si="68"/>
        <v>0.60904900542491958</v>
      </c>
      <c r="R84" s="176">
        <f>DANE!S84</f>
        <v>1</v>
      </c>
      <c r="S84" s="198">
        <f t="shared" si="3"/>
        <v>421</v>
      </c>
      <c r="T84" s="177">
        <f t="shared" ca="1" si="19"/>
        <v>2.8571428571428572</v>
      </c>
      <c r="U84" s="211">
        <f t="shared" si="50"/>
        <v>18.321850768312746</v>
      </c>
      <c r="V84" s="200">
        <f t="shared" si="55"/>
        <v>-9.3373812893877597E-2</v>
      </c>
      <c r="W84" s="213">
        <f t="shared" si="56"/>
        <v>0.3463833097428568</v>
      </c>
      <c r="X84" s="214">
        <f t="shared" ca="1" si="57"/>
        <v>1.220505451183763</v>
      </c>
      <c r="Y84" s="176">
        <f>DANE!W84</f>
        <v>2</v>
      </c>
      <c r="Z84" s="198">
        <f t="shared" si="4"/>
        <v>99</v>
      </c>
      <c r="AA84" s="177">
        <f t="shared" ca="1" si="20"/>
        <v>1</v>
      </c>
      <c r="AB84" s="211"/>
      <c r="AC84" s="200"/>
      <c r="AD84" s="213"/>
      <c r="AE84" s="217"/>
      <c r="AF84" s="176">
        <f>DANE!AA84</f>
        <v>12</v>
      </c>
      <c r="AG84" s="198">
        <f t="shared" si="5"/>
        <v>1321</v>
      </c>
      <c r="AH84" s="177">
        <f t="shared" ca="1" si="21"/>
        <v>12.857142857142858</v>
      </c>
      <c r="AI84" s="211">
        <f t="shared" si="37"/>
        <v>98.116835425624487</v>
      </c>
      <c r="AJ84" s="200">
        <f t="shared" si="39"/>
        <v>-2.3418078069426227E-2</v>
      </c>
      <c r="AK84" s="213">
        <f t="shared" si="40"/>
        <v>0.83607345351401641</v>
      </c>
      <c r="AL84" s="214">
        <f t="shared" ca="1" si="41"/>
        <v>1.0649046853575725</v>
      </c>
      <c r="AM84" s="176">
        <f>DANE!AE84</f>
        <v>4</v>
      </c>
      <c r="AN84" s="198">
        <f t="shared" si="6"/>
        <v>1171</v>
      </c>
      <c r="AO84" s="177">
        <f t="shared" ca="1" si="22"/>
        <v>6.7142857142857144</v>
      </c>
      <c r="AP84" s="211">
        <f t="shared" si="49"/>
        <v>61.372541765732414</v>
      </c>
      <c r="AQ84" s="200">
        <f t="shared" si="51"/>
        <v>-8.3097346218339294E-2</v>
      </c>
      <c r="AR84" s="213">
        <f t="shared" si="52"/>
        <v>0.41831857647162496</v>
      </c>
      <c r="AS84" s="217">
        <f t="shared" ca="1" si="53"/>
        <v>0.62283363891983801</v>
      </c>
      <c r="AT84" s="176">
        <f>DANE!AI84</f>
        <v>40</v>
      </c>
      <c r="AU84" s="198">
        <f t="shared" si="7"/>
        <v>3197</v>
      </c>
      <c r="AV84" s="177">
        <f t="shared" ca="1" si="23"/>
        <v>35.428571428571431</v>
      </c>
      <c r="AW84" s="211">
        <f t="shared" si="33"/>
        <v>240.19932827652306</v>
      </c>
      <c r="AX84" s="200">
        <f t="shared" si="34"/>
        <v>2.840074587242138E-2</v>
      </c>
      <c r="AY84" s="213">
        <f t="shared" si="35"/>
        <v>1.1988052211069498</v>
      </c>
      <c r="AZ84" s="214">
        <f t="shared" ca="1" si="36"/>
        <v>1.1380198798122336</v>
      </c>
      <c r="BA84" s="176">
        <f>DANE!AM84</f>
        <v>4</v>
      </c>
      <c r="BB84" s="198">
        <f t="shared" si="8"/>
        <v>590</v>
      </c>
      <c r="BC84" s="177">
        <f t="shared" ca="1" si="24"/>
        <v>7.8571428571428568</v>
      </c>
      <c r="BD84" s="211">
        <f t="shared" si="77"/>
        <v>56.770289838377565</v>
      </c>
      <c r="BE84" s="200">
        <f t="shared" si="80"/>
        <v>-7.7885518879478408E-2</v>
      </c>
      <c r="BF84" s="213">
        <f t="shared" si="81"/>
        <v>0.45480136784365111</v>
      </c>
      <c r="BG84" s="217">
        <f t="shared" ca="1" si="82"/>
        <v>0.91841391981333431</v>
      </c>
      <c r="BH84" s="176">
        <f>DANE!AQ84</f>
        <v>1</v>
      </c>
      <c r="BI84" s="198">
        <f t="shared" si="9"/>
        <v>377</v>
      </c>
      <c r="BJ84" s="177">
        <f t="shared" ca="1" si="25"/>
        <v>0.42857142857142855</v>
      </c>
      <c r="BK84" s="211">
        <f t="shared" si="61"/>
        <v>6.8482882017543556</v>
      </c>
      <c r="BL84" s="200">
        <f t="shared" si="63"/>
        <v>3.7058902173443859E-3</v>
      </c>
      <c r="BM84" s="213">
        <f t="shared" si="64"/>
        <v>1.0259412315214107</v>
      </c>
      <c r="BN84" s="214">
        <f t="shared" ca="1" si="65"/>
        <v>0.44171145842217513</v>
      </c>
      <c r="BO84" s="176">
        <f>DANE!AU84</f>
        <v>3</v>
      </c>
      <c r="BP84" s="198">
        <f t="shared" si="10"/>
        <v>414</v>
      </c>
      <c r="BQ84" s="177">
        <f t="shared" ca="1" si="26"/>
        <v>3.8571428571428572</v>
      </c>
      <c r="BR84" s="211">
        <f t="shared" si="78"/>
        <v>20.993216316795426</v>
      </c>
      <c r="BS84" s="200">
        <f t="shared" si="83"/>
        <v>5.3859053522904967E-5</v>
      </c>
      <c r="BT84" s="213">
        <f t="shared" si="84"/>
        <v>1.0003770133746603</v>
      </c>
      <c r="BU84" s="217">
        <f t="shared" ca="1" si="85"/>
        <v>2.3470496462707806</v>
      </c>
      <c r="BV84" s="176">
        <f>DANE!AY84</f>
        <v>10</v>
      </c>
      <c r="BW84" s="198">
        <f t="shared" si="11"/>
        <v>527</v>
      </c>
      <c r="BX84" s="177">
        <f t="shared" ca="1" si="27"/>
        <v>3.8571428571428572</v>
      </c>
      <c r="BY84" s="211">
        <f t="shared" si="69"/>
        <v>33.954679372598122</v>
      </c>
      <c r="BZ84" s="200">
        <f t="shared" si="71"/>
        <v>0.21496140432965352</v>
      </c>
      <c r="CA84" s="213">
        <f t="shared" si="72"/>
        <v>2.5047298303075749</v>
      </c>
      <c r="CB84" s="214">
        <f t="shared" ca="1" si="73"/>
        <v>0.97486837872456999</v>
      </c>
      <c r="CC84" s="176">
        <f>DANE!BC84</f>
        <v>179</v>
      </c>
      <c r="CD84" s="198">
        <f t="shared" si="12"/>
        <v>6800</v>
      </c>
      <c r="CE84" s="177">
        <f t="shared" ca="1" si="28"/>
        <v>234</v>
      </c>
      <c r="CF84" s="211">
        <f t="shared" si="45"/>
        <v>1581.7808222653102</v>
      </c>
      <c r="CG84" s="200">
        <f t="shared" si="46"/>
        <v>-3.3482557039235694E-2</v>
      </c>
      <c r="CH84" s="213">
        <f t="shared" si="47"/>
        <v>0.76562210072535009</v>
      </c>
      <c r="CI84" s="217">
        <f t="shared" ca="1" si="48"/>
        <v>1.0906760798357786</v>
      </c>
      <c r="CJ84" s="176">
        <f>DANE!BG84</f>
        <v>8</v>
      </c>
      <c r="CK84" s="198">
        <f t="shared" si="13"/>
        <v>374</v>
      </c>
      <c r="CL84" s="177">
        <f t="shared" ca="1" si="29"/>
        <v>4.7142857142857144</v>
      </c>
      <c r="CM84" s="211">
        <f t="shared" si="79"/>
        <v>32.520025682009134</v>
      </c>
      <c r="CN84" s="200">
        <f t="shared" si="86"/>
        <v>0.13679765628827945</v>
      </c>
      <c r="CO84" s="213">
        <f t="shared" si="87"/>
        <v>1.9575835940179562</v>
      </c>
      <c r="CP84" s="214">
        <f t="shared" ca="1" si="88"/>
        <v>1.262337420830099</v>
      </c>
      <c r="CQ84" s="176">
        <f>DANE!BK84</f>
        <v>1</v>
      </c>
      <c r="CR84" s="198">
        <f t="shared" si="14"/>
        <v>175</v>
      </c>
      <c r="CS84" s="177">
        <f t="shared" ca="1" si="30"/>
        <v>0.7142857142857143</v>
      </c>
      <c r="CT84" s="211">
        <f t="shared" si="89"/>
        <v>6.5251225022431099</v>
      </c>
      <c r="CU84" s="200">
        <f t="shared" si="90"/>
        <v>1.2278396091517823E-2</v>
      </c>
      <c r="CV84" s="213">
        <f t="shared" si="91"/>
        <v>1.0859487726406247</v>
      </c>
      <c r="CW84" s="217">
        <f t="shared" ca="1" si="92"/>
        <v>0.70494103460704072</v>
      </c>
      <c r="CX84" s="176">
        <f>DANE!BO84</f>
        <v>12</v>
      </c>
      <c r="CY84" s="198">
        <f t="shared" si="15"/>
        <v>1953</v>
      </c>
      <c r="CZ84" s="177">
        <f t="shared" ca="1" si="31"/>
        <v>28</v>
      </c>
      <c r="DA84" s="211">
        <f t="shared" si="54"/>
        <v>164.10637580946337</v>
      </c>
      <c r="DB84" s="200">
        <f t="shared" si="58"/>
        <v>-7.5235294456792279E-2</v>
      </c>
      <c r="DC84" s="213">
        <f t="shared" si="59"/>
        <v>0.47335293880245399</v>
      </c>
      <c r="DD84" s="214">
        <f t="shared" ca="1" si="60"/>
        <v>1.4236045169794704</v>
      </c>
      <c r="DE84" s="176">
        <f>DANE!BS84</f>
        <v>4</v>
      </c>
      <c r="DF84" s="198">
        <f t="shared" si="16"/>
        <v>519</v>
      </c>
      <c r="DG84" s="177">
        <f t="shared" ca="1" si="32"/>
        <v>3.8571428571428572</v>
      </c>
      <c r="DH84" s="209">
        <f t="shared" si="70"/>
        <v>30.45250456154865</v>
      </c>
      <c r="DI84" s="179">
        <f t="shared" si="74"/>
        <v>-1.3244787225789841E-2</v>
      </c>
      <c r="DJ84" s="157">
        <f t="shared" si="75"/>
        <v>0.9072864894194711</v>
      </c>
      <c r="DK84" s="225">
        <f t="shared" ca="1" si="76"/>
        <v>0.89889622703655425</v>
      </c>
      <c r="DL84" s="87"/>
      <c r="DM84" s="88"/>
      <c r="DN84" s="88"/>
      <c r="DO84" s="88"/>
      <c r="DP84" s="88"/>
      <c r="DQ84" s="88"/>
      <c r="DR84" s="88"/>
      <c r="DS84" s="88"/>
      <c r="DT84" s="88"/>
      <c r="DU84" s="88"/>
      <c r="DV84" s="8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</row>
    <row r="85" spans="1:138" x14ac:dyDescent="0.25">
      <c r="A85" s="61">
        <v>43975</v>
      </c>
      <c r="B85" s="62" t="str">
        <f t="shared" ca="1" si="0"/>
        <v/>
      </c>
      <c r="C85" s="12">
        <f t="shared" si="93"/>
        <v>82</v>
      </c>
      <c r="D85" s="176">
        <f>DANE!K85</f>
        <v>19</v>
      </c>
      <c r="E85" s="198">
        <f t="shared" si="1"/>
        <v>2418</v>
      </c>
      <c r="F85" s="178">
        <f t="shared" ca="1" si="17"/>
        <v>36</v>
      </c>
      <c r="G85" s="211">
        <f t="shared" si="38"/>
        <v>232.65978955832023</v>
      </c>
      <c r="H85" s="200">
        <f t="shared" si="42"/>
        <v>-6.6634497878505061E-2</v>
      </c>
      <c r="I85" s="213">
        <f t="shared" si="43"/>
        <v>0.53355851485046457</v>
      </c>
      <c r="J85" s="214">
        <f t="shared" ca="1" si="44"/>
        <v>1.1135906340868502</v>
      </c>
      <c r="K85" s="176">
        <f>DANE!O85</f>
        <v>1</v>
      </c>
      <c r="L85" s="198">
        <f t="shared" si="2"/>
        <v>591</v>
      </c>
      <c r="M85" s="177">
        <f t="shared" ca="1" si="18"/>
        <v>1.2857142857142858</v>
      </c>
      <c r="N85" s="211">
        <f t="shared" si="62"/>
        <v>11.880851817014776</v>
      </c>
      <c r="O85" s="200">
        <f t="shared" si="66"/>
        <v>-6.4081797731817852E-2</v>
      </c>
      <c r="P85" s="213">
        <f t="shared" si="67"/>
        <v>0.55142741587727495</v>
      </c>
      <c r="Q85" s="217">
        <f t="shared" ca="1" si="68"/>
        <v>0.6878243505502446</v>
      </c>
      <c r="R85" s="176">
        <f>DANE!S85</f>
        <v>13</v>
      </c>
      <c r="S85" s="198">
        <f t="shared" si="3"/>
        <v>434</v>
      </c>
      <c r="T85" s="177">
        <f t="shared" ca="1" si="19"/>
        <v>4.5714285714285712</v>
      </c>
      <c r="U85" s="211">
        <f t="shared" si="50"/>
        <v>28.704443515696639</v>
      </c>
      <c r="V85" s="200">
        <f t="shared" si="55"/>
        <v>0.5666781636132725</v>
      </c>
      <c r="W85" s="213">
        <f t="shared" si="56"/>
        <v>4.9667471452929082</v>
      </c>
      <c r="X85" s="214">
        <f t="shared" ca="1" si="57"/>
        <v>1.8676428315022702</v>
      </c>
      <c r="Y85" s="176">
        <f>DANE!W85</f>
        <v>4</v>
      </c>
      <c r="Z85" s="198">
        <f t="shared" si="4"/>
        <v>103</v>
      </c>
      <c r="AA85" s="177">
        <f t="shared" ca="1" si="20"/>
        <v>1.5714285714285714</v>
      </c>
      <c r="AB85" s="224">
        <f>(1-$DQ$2)*Z84+Y85</f>
        <v>88.857142857142861</v>
      </c>
      <c r="AC85" s="200"/>
      <c r="AD85" s="213"/>
      <c r="AE85" s="217"/>
      <c r="AF85" s="176">
        <f>DANE!AA85</f>
        <v>23</v>
      </c>
      <c r="AG85" s="198">
        <f t="shared" si="5"/>
        <v>1344</v>
      </c>
      <c r="AH85" s="177">
        <f t="shared" ca="1" si="21"/>
        <v>15.285714285714286</v>
      </c>
      <c r="AI85" s="211">
        <f t="shared" si="37"/>
        <v>107.10014465053528</v>
      </c>
      <c r="AJ85" s="200">
        <f t="shared" si="39"/>
        <v>9.1557266252440608E-2</v>
      </c>
      <c r="AK85" s="213">
        <f t="shared" si="40"/>
        <v>1.6409008637670843</v>
      </c>
      <c r="AL85" s="214">
        <f t="shared" ca="1" si="41"/>
        <v>1.2368339915426743</v>
      </c>
      <c r="AM85" s="176">
        <f>DANE!AE85</f>
        <v>5</v>
      </c>
      <c r="AN85" s="198">
        <f t="shared" si="6"/>
        <v>1176</v>
      </c>
      <c r="AO85" s="177">
        <f t="shared" ca="1" si="22"/>
        <v>6.8571428571428568</v>
      </c>
      <c r="AP85" s="211">
        <f t="shared" si="49"/>
        <v>57.605035799199214</v>
      </c>
      <c r="AQ85" s="200">
        <f t="shared" si="51"/>
        <v>-6.1387484665606611E-2</v>
      </c>
      <c r="AR85" s="213">
        <f t="shared" si="52"/>
        <v>0.57028760734075368</v>
      </c>
      <c r="AS85" s="217">
        <f t="shared" ca="1" si="53"/>
        <v>0.660977175244292</v>
      </c>
      <c r="AT85" s="176">
        <f>DANE!AI85</f>
        <v>20</v>
      </c>
      <c r="AU85" s="198">
        <f t="shared" si="7"/>
        <v>3217</v>
      </c>
      <c r="AV85" s="177">
        <f t="shared" ca="1" si="23"/>
        <v>35.285714285714285</v>
      </c>
      <c r="AW85" s="211">
        <f t="shared" si="33"/>
        <v>225.88513852273408</v>
      </c>
      <c r="AX85" s="200">
        <f t="shared" si="34"/>
        <v>-5.9592963296342574E-2</v>
      </c>
      <c r="AY85" s="213">
        <f t="shared" si="35"/>
        <v>0.58284925692560197</v>
      </c>
      <c r="AZ85" s="214">
        <f t="shared" ca="1" si="36"/>
        <v>1.1214898816846872</v>
      </c>
      <c r="BA85" s="176">
        <f>DANE!AM85</f>
        <v>3</v>
      </c>
      <c r="BB85" s="198">
        <f t="shared" si="8"/>
        <v>593</v>
      </c>
      <c r="BC85" s="177">
        <f t="shared" ca="1" si="24"/>
        <v>7</v>
      </c>
      <c r="BD85" s="211">
        <f t="shared" si="77"/>
        <v>51.66024843289506</v>
      </c>
      <c r="BE85" s="200">
        <f t="shared" si="80"/>
        <v>-9.0012600253240926E-2</v>
      </c>
      <c r="BF85" s="213">
        <f t="shared" si="81"/>
        <v>0.36991179822731346</v>
      </c>
      <c r="BG85" s="217">
        <f t="shared" ca="1" si="82"/>
        <v>0.82673500934388411</v>
      </c>
      <c r="BH85" s="176">
        <f>DANE!AQ85</f>
        <v>2</v>
      </c>
      <c r="BI85" s="198">
        <f t="shared" si="9"/>
        <v>379</v>
      </c>
      <c r="BJ85" s="177">
        <f t="shared" ca="1" si="25"/>
        <v>0.7142857142857143</v>
      </c>
      <c r="BK85" s="211">
        <f t="shared" si="61"/>
        <v>7.8699613157894479</v>
      </c>
      <c r="BL85" s="200">
        <f t="shared" si="63"/>
        <v>0.14918664108986621</v>
      </c>
      <c r="BM85" s="213">
        <f t="shared" si="64"/>
        <v>2.0443064876290635</v>
      </c>
      <c r="BN85" s="214">
        <f t="shared" ca="1" si="65"/>
        <v>0.7337552423691841</v>
      </c>
      <c r="BO85" s="176">
        <f>DANE!AU85</f>
        <v>4</v>
      </c>
      <c r="BP85" s="198">
        <f t="shared" si="10"/>
        <v>418</v>
      </c>
      <c r="BQ85" s="177">
        <f t="shared" ca="1" si="26"/>
        <v>4.2857142857142856</v>
      </c>
      <c r="BR85" s="211">
        <f t="shared" si="78"/>
        <v>21.994185414396082</v>
      </c>
      <c r="BS85" s="200">
        <f t="shared" si="83"/>
        <v>4.768059750805502E-2</v>
      </c>
      <c r="BT85" s="213">
        <f t="shared" si="84"/>
        <v>1.3337641825563851</v>
      </c>
      <c r="BU85" s="217">
        <f t="shared" ca="1" si="85"/>
        <v>2.4128466918844964</v>
      </c>
      <c r="BV85" s="176">
        <f>DANE!AY85</f>
        <v>6</v>
      </c>
      <c r="BW85" s="198">
        <f t="shared" si="11"/>
        <v>533</v>
      </c>
      <c r="BX85" s="177">
        <f t="shared" ca="1" si="27"/>
        <v>4.4285714285714288</v>
      </c>
      <c r="BY85" s="211">
        <f t="shared" si="69"/>
        <v>35.104010890798392</v>
      </c>
      <c r="BZ85" s="200">
        <f t="shared" si="71"/>
        <v>3.3848987516218343E-2</v>
      </c>
      <c r="CA85" s="213">
        <f t="shared" si="72"/>
        <v>1.2369429126135283</v>
      </c>
      <c r="CB85" s="214">
        <f t="shared" ca="1" si="73"/>
        <v>1.096620879785662</v>
      </c>
      <c r="CC85" s="176">
        <f>DANE!BC85</f>
        <v>185</v>
      </c>
      <c r="CD85" s="198">
        <f t="shared" si="12"/>
        <v>6985</v>
      </c>
      <c r="CE85" s="177">
        <f t="shared" ca="1" si="28"/>
        <v>234.71428571428572</v>
      </c>
      <c r="CF85" s="211">
        <f t="shared" si="45"/>
        <v>1540.8121333702661</v>
      </c>
      <c r="CG85" s="200">
        <f t="shared" si="46"/>
        <v>-2.5900357570634708E-2</v>
      </c>
      <c r="CH85" s="213">
        <f t="shared" si="47"/>
        <v>0.81869749700555705</v>
      </c>
      <c r="CI85" s="217">
        <f t="shared" ca="1" si="48"/>
        <v>1.0834547170848283</v>
      </c>
      <c r="CJ85" s="176">
        <f>DANE!BG85</f>
        <v>7</v>
      </c>
      <c r="CK85" s="198">
        <f t="shared" si="13"/>
        <v>381</v>
      </c>
      <c r="CL85" s="177">
        <f t="shared" ca="1" si="29"/>
        <v>5.7142857142857144</v>
      </c>
      <c r="CM85" s="211">
        <f t="shared" si="79"/>
        <v>34.874307727436403</v>
      </c>
      <c r="CN85" s="200">
        <f t="shared" si="86"/>
        <v>7.2394839673503533E-2</v>
      </c>
      <c r="CO85" s="213">
        <f t="shared" si="87"/>
        <v>1.5067638777145249</v>
      </c>
      <c r="CP85" s="214">
        <f t="shared" ca="1" si="88"/>
        <v>1.4775894033607455</v>
      </c>
      <c r="CQ85" s="176">
        <f>DANE!BK85</f>
        <v>0</v>
      </c>
      <c r="CR85" s="198">
        <f t="shared" si="14"/>
        <v>175</v>
      </c>
      <c r="CS85" s="177">
        <f t="shared" ca="1" si="30"/>
        <v>0.7142857142857143</v>
      </c>
      <c r="CT85" s="211">
        <f t="shared" si="89"/>
        <v>5.5929621447798086</v>
      </c>
      <c r="CU85" s="200">
        <f t="shared" si="90"/>
        <v>-0.14285714285714285</v>
      </c>
      <c r="CV85" s="213">
        <f t="shared" si="91"/>
        <v>0</v>
      </c>
      <c r="CW85" s="217">
        <f t="shared" ca="1" si="92"/>
        <v>0.70494103460704061</v>
      </c>
      <c r="CX85" s="176">
        <f>DANE!BO85</f>
        <v>68</v>
      </c>
      <c r="CY85" s="198">
        <f t="shared" si="15"/>
        <v>2021</v>
      </c>
      <c r="CZ85" s="177">
        <f t="shared" ca="1" si="31"/>
        <v>32</v>
      </c>
      <c r="DA85" s="211">
        <f t="shared" si="54"/>
        <v>208.66260783668289</v>
      </c>
      <c r="DB85" s="200">
        <f t="shared" si="58"/>
        <v>0.27150823243425826</v>
      </c>
      <c r="DC85" s="213">
        <f t="shared" si="59"/>
        <v>2.9005576270398077</v>
      </c>
      <c r="DD85" s="214">
        <f t="shared" ca="1" si="60"/>
        <v>1.5128136782958685</v>
      </c>
      <c r="DE85" s="176">
        <f>DANE!BS85</f>
        <v>1</v>
      </c>
      <c r="DF85" s="198">
        <f t="shared" si="16"/>
        <v>520</v>
      </c>
      <c r="DG85" s="177">
        <f t="shared" ca="1" si="32"/>
        <v>3.7142857142857144</v>
      </c>
      <c r="DH85" s="209">
        <f t="shared" si="70"/>
        <v>27.102146767041702</v>
      </c>
      <c r="DI85" s="179">
        <f t="shared" si="74"/>
        <v>-0.11001912134141281</v>
      </c>
      <c r="DJ85" s="157">
        <f t="shared" si="75"/>
        <v>0.22986615061011029</v>
      </c>
      <c r="DK85" s="225">
        <f t="shared" ca="1" si="76"/>
        <v>0.87451661167482153</v>
      </c>
      <c r="DL85" s="87"/>
      <c r="DM85" s="88"/>
      <c r="DN85" s="88"/>
      <c r="DO85" s="88"/>
      <c r="DP85" s="88"/>
      <c r="DQ85" s="88"/>
      <c r="DR85" s="88"/>
      <c r="DS85" s="88"/>
      <c r="DT85" s="88"/>
      <c r="DU85" s="88"/>
      <c r="DV85" s="8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</row>
    <row r="86" spans="1:138" x14ac:dyDescent="0.25">
      <c r="A86" s="32">
        <v>43976</v>
      </c>
      <c r="B86" s="33" t="str">
        <f t="shared" ca="1" si="0"/>
        <v/>
      </c>
      <c r="C86" s="51">
        <f t="shared" si="93"/>
        <v>83</v>
      </c>
      <c r="D86" s="176">
        <f>DANE!K86</f>
        <v>37</v>
      </c>
      <c r="E86" s="188">
        <f t="shared" si="1"/>
        <v>2455</v>
      </c>
      <c r="F86" s="178">
        <f t="shared" ca="1" si="17"/>
        <v>32.714285714285715</v>
      </c>
      <c r="G86" s="209">
        <f t="shared" si="38"/>
        <v>236.42267676427448</v>
      </c>
      <c r="H86" s="179">
        <f t="shared" si="42"/>
        <v>1.6173345695436658E-2</v>
      </c>
      <c r="I86" s="213">
        <f t="shared" si="43"/>
        <v>1.1132134198680566</v>
      </c>
      <c r="J86" s="214">
        <f t="shared" ca="1" si="44"/>
        <v>0.992674998258262</v>
      </c>
      <c r="K86" s="176">
        <f>DANE!O86</f>
        <v>1</v>
      </c>
      <c r="L86" s="188">
        <f t="shared" si="2"/>
        <v>592</v>
      </c>
      <c r="M86" s="177">
        <f t="shared" ca="1" si="18"/>
        <v>1.4285714285714286</v>
      </c>
      <c r="N86" s="209">
        <f t="shared" si="62"/>
        <v>11.183587271726951</v>
      </c>
      <c r="O86" s="179">
        <f t="shared" si="66"/>
        <v>-5.8688093751767832E-2</v>
      </c>
      <c r="P86" s="213">
        <f t="shared" si="67"/>
        <v>0.58918334373762515</v>
      </c>
      <c r="Q86" s="217">
        <f t="shared" ca="1" si="68"/>
        <v>0.77199339965561964</v>
      </c>
      <c r="R86" s="176">
        <f>DANE!S86</f>
        <v>12</v>
      </c>
      <c r="S86" s="188">
        <f t="shared" si="3"/>
        <v>446</v>
      </c>
      <c r="T86" s="177">
        <f t="shared" ca="1" si="19"/>
        <v>5.2857142857142856</v>
      </c>
      <c r="U86" s="209">
        <f t="shared" si="50"/>
        <v>36.603808727739974</v>
      </c>
      <c r="V86" s="179">
        <f t="shared" si="55"/>
        <v>0.27519659831494986</v>
      </c>
      <c r="W86" s="213">
        <f t="shared" si="56"/>
        <v>2.9263761882046491</v>
      </c>
      <c r="X86" s="214">
        <f t="shared" ca="1" si="57"/>
        <v>1.8106926457160284</v>
      </c>
      <c r="Y86" s="176">
        <f>DANE!W86</f>
        <v>5</v>
      </c>
      <c r="Z86" s="188">
        <f t="shared" si="4"/>
        <v>108</v>
      </c>
      <c r="AA86" s="177">
        <f t="shared" ca="1" si="20"/>
        <v>2.2857142857142856</v>
      </c>
      <c r="AB86" s="209">
        <f t="shared" ref="AB86:AB296" si="94">IF(ISBLANK(Y86),"",(1-$DQ$2)*AB85+Y86)</f>
        <v>81.163265306122454</v>
      </c>
      <c r="AC86" s="179"/>
      <c r="AD86" s="213"/>
      <c r="AE86" s="217"/>
      <c r="AF86" s="176">
        <f>DANE!AA86</f>
        <v>15</v>
      </c>
      <c r="AG86" s="188">
        <f t="shared" si="5"/>
        <v>1359</v>
      </c>
      <c r="AH86" s="177">
        <f t="shared" ca="1" si="21"/>
        <v>15.857142857142858</v>
      </c>
      <c r="AI86" s="209">
        <f t="shared" si="37"/>
        <v>106.80012398617311</v>
      </c>
      <c r="AJ86" s="179">
        <f t="shared" si="39"/>
        <v>-2.8013096092553216E-3</v>
      </c>
      <c r="AK86" s="213">
        <f t="shared" si="40"/>
        <v>0.98039083273521277</v>
      </c>
      <c r="AL86" s="214">
        <f t="shared" ca="1" si="41"/>
        <v>1.2523220354207951</v>
      </c>
      <c r="AM86" s="176">
        <f>DANE!AE86</f>
        <v>0</v>
      </c>
      <c r="AN86" s="188">
        <f t="shared" si="6"/>
        <v>1176</v>
      </c>
      <c r="AO86" s="177">
        <f t="shared" ca="1" si="22"/>
        <v>6.1428571428571432</v>
      </c>
      <c r="AP86" s="209">
        <f t="shared" si="49"/>
        <v>49.37574497074219</v>
      </c>
      <c r="AQ86" s="179">
        <f t="shared" si="51"/>
        <v>-0.14285714285714274</v>
      </c>
      <c r="AR86" s="213">
        <f t="shared" si="52"/>
        <v>7.7715611723760958E-16</v>
      </c>
      <c r="AS86" s="217">
        <f t="shared" ca="1" si="53"/>
        <v>0.60083334619934436</v>
      </c>
      <c r="AT86" s="176">
        <f>DANE!AI86</f>
        <v>66</v>
      </c>
      <c r="AU86" s="188">
        <f t="shared" si="7"/>
        <v>3283</v>
      </c>
      <c r="AV86" s="177">
        <f t="shared" ca="1" si="23"/>
        <v>40</v>
      </c>
      <c r="AW86" s="209">
        <f t="shared" si="33"/>
        <v>259.61583301948633</v>
      </c>
      <c r="AX86" s="179">
        <f t="shared" si="34"/>
        <v>0.14932675393054884</v>
      </c>
      <c r="AY86" s="213">
        <f t="shared" si="35"/>
        <v>2.0452872775138422</v>
      </c>
      <c r="AZ86" s="214">
        <f t="shared" ca="1" si="36"/>
        <v>1.2497973515250727</v>
      </c>
      <c r="BA86" s="176">
        <f>DANE!AM86</f>
        <v>5</v>
      </c>
      <c r="BB86" s="188">
        <f t="shared" si="8"/>
        <v>598</v>
      </c>
      <c r="BC86" s="177">
        <f t="shared" ca="1" si="24"/>
        <v>6.7142857142857144</v>
      </c>
      <c r="BD86" s="209">
        <f t="shared" si="77"/>
        <v>49.280212942481484</v>
      </c>
      <c r="BE86" s="179">
        <f t="shared" si="80"/>
        <v>-4.6070926149438918E-2</v>
      </c>
      <c r="BF86" s="213">
        <f t="shared" si="81"/>
        <v>0.67750351695392763</v>
      </c>
      <c r="BG86" s="217">
        <f t="shared" ca="1" si="82"/>
        <v>0.81130108944351964</v>
      </c>
      <c r="BH86" s="176">
        <f>DANE!AQ86</f>
        <v>0</v>
      </c>
      <c r="BI86" s="188">
        <f t="shared" si="9"/>
        <v>379</v>
      </c>
      <c r="BJ86" s="177">
        <f t="shared" ca="1" si="25"/>
        <v>0.7142857142857143</v>
      </c>
      <c r="BK86" s="209">
        <f t="shared" si="61"/>
        <v>6.7456811278195277</v>
      </c>
      <c r="BL86" s="179">
        <f t="shared" si="63"/>
        <v>-0.14285714285714274</v>
      </c>
      <c r="BM86" s="213">
        <f t="shared" si="64"/>
        <v>7.7715611723760958E-16</v>
      </c>
      <c r="BN86" s="214">
        <f t="shared" ca="1" si="65"/>
        <v>0.73375524236918399</v>
      </c>
      <c r="BO86" s="176">
        <f>DANE!AU86</f>
        <v>5</v>
      </c>
      <c r="BP86" s="188">
        <f t="shared" si="10"/>
        <v>423</v>
      </c>
      <c r="BQ86" s="177">
        <f t="shared" ca="1" si="26"/>
        <v>4.8571428571428568</v>
      </c>
      <c r="BR86" s="209">
        <f t="shared" si="78"/>
        <v>23.852158926625215</v>
      </c>
      <c r="BS86" s="179">
        <f t="shared" si="83"/>
        <v>8.4475668328821793E-2</v>
      </c>
      <c r="BT86" s="213">
        <f t="shared" si="84"/>
        <v>1.5913296783017525</v>
      </c>
      <c r="BU86" s="217">
        <f t="shared" ca="1" si="85"/>
        <v>2.5131372540065868</v>
      </c>
      <c r="BV86" s="176">
        <f>DANE!AY86</f>
        <v>7</v>
      </c>
      <c r="BW86" s="188">
        <f t="shared" si="11"/>
        <v>540</v>
      </c>
      <c r="BX86" s="177">
        <f t="shared" ca="1" si="27"/>
        <v>5.4285714285714288</v>
      </c>
      <c r="BY86" s="209">
        <f t="shared" si="69"/>
        <v>37.089152192112905</v>
      </c>
      <c r="BZ86" s="179">
        <f t="shared" si="71"/>
        <v>5.6550270209575024E-2</v>
      </c>
      <c r="CA86" s="213">
        <f t="shared" si="72"/>
        <v>1.3958518914670253</v>
      </c>
      <c r="CB86" s="214">
        <f t="shared" ca="1" si="73"/>
        <v>1.2960282928523799</v>
      </c>
      <c r="CC86" s="176">
        <f>DANE!BC86</f>
        <v>158</v>
      </c>
      <c r="CD86" s="188">
        <f t="shared" si="12"/>
        <v>7143</v>
      </c>
      <c r="CE86" s="177">
        <f t="shared" ca="1" si="28"/>
        <v>228</v>
      </c>
      <c r="CF86" s="209">
        <f t="shared" si="45"/>
        <v>1478.696114317371</v>
      </c>
      <c r="CG86" s="179">
        <f t="shared" si="46"/>
        <v>-4.031381743926616E-2</v>
      </c>
      <c r="CH86" s="213">
        <f t="shared" si="47"/>
        <v>0.71780327792513687</v>
      </c>
      <c r="CI86" s="217">
        <f t="shared" ca="1" si="48"/>
        <v>1.041880967360026</v>
      </c>
      <c r="CJ86" s="176">
        <f>DANE!BG86</f>
        <v>10</v>
      </c>
      <c r="CK86" s="188">
        <f t="shared" si="13"/>
        <v>391</v>
      </c>
      <c r="CL86" s="177">
        <f t="shared" ca="1" si="29"/>
        <v>5.5714285714285712</v>
      </c>
      <c r="CM86" s="209">
        <f t="shared" si="79"/>
        <v>39.892263766374057</v>
      </c>
      <c r="CN86" s="179">
        <f t="shared" si="86"/>
        <v>0.14388690029794959</v>
      </c>
      <c r="CO86" s="213">
        <f t="shared" si="87"/>
        <v>2.0072083020856475</v>
      </c>
      <c r="CP86" s="214">
        <f t="shared" ca="1" si="88"/>
        <v>1.2874531062962298</v>
      </c>
      <c r="CQ86" s="176">
        <f>DANE!BK86</f>
        <v>0</v>
      </c>
      <c r="CR86" s="188">
        <f t="shared" si="14"/>
        <v>175</v>
      </c>
      <c r="CS86" s="177">
        <f t="shared" ca="1" si="30"/>
        <v>0.7142857142857143</v>
      </c>
      <c r="CT86" s="209">
        <f t="shared" si="89"/>
        <v>4.7939675526684074</v>
      </c>
      <c r="CU86" s="179">
        <f t="shared" si="90"/>
        <v>-0.14285714285714285</v>
      </c>
      <c r="CV86" s="213">
        <f t="shared" si="91"/>
        <v>0</v>
      </c>
      <c r="CW86" s="217">
        <f t="shared" ca="1" si="92"/>
        <v>0.70494103460704061</v>
      </c>
      <c r="CX86" s="176">
        <f>DANE!BO86</f>
        <v>19</v>
      </c>
      <c r="CY86" s="188">
        <f t="shared" si="15"/>
        <v>2040</v>
      </c>
      <c r="CZ86" s="177">
        <f t="shared" ca="1" si="31"/>
        <v>32.857142857142854</v>
      </c>
      <c r="DA86" s="209">
        <f t="shared" si="54"/>
        <v>197.85366386001391</v>
      </c>
      <c r="DB86" s="179">
        <f t="shared" si="58"/>
        <v>-5.1801058602358618E-2</v>
      </c>
      <c r="DC86" s="213">
        <f t="shared" si="59"/>
        <v>0.63739258978348967</v>
      </c>
      <c r="DD86" s="214">
        <f t="shared" ca="1" si="60"/>
        <v>1.5144881736418836</v>
      </c>
      <c r="DE86" s="176">
        <f>DANE!BS86</f>
        <v>1</v>
      </c>
      <c r="DF86" s="188">
        <f t="shared" si="16"/>
        <v>521</v>
      </c>
      <c r="DG86" s="177">
        <f t="shared" ca="1" si="32"/>
        <v>3.4285714285714284</v>
      </c>
      <c r="DH86" s="209">
        <f t="shared" si="70"/>
        <v>24.230411514607177</v>
      </c>
      <c r="DI86" s="179">
        <f t="shared" si="74"/>
        <v>-0.10595969673984561</v>
      </c>
      <c r="DJ86" s="157">
        <f t="shared" si="75"/>
        <v>0.25828212282108076</v>
      </c>
      <c r="DK86" s="225">
        <f t="shared" ca="1" si="76"/>
        <v>0.81754904954047536</v>
      </c>
      <c r="DL86" s="83"/>
      <c r="DM86" s="376"/>
      <c r="DN86" s="372"/>
      <c r="DO86" s="372"/>
      <c r="DP86" s="372"/>
      <c r="DQ86" s="372"/>
      <c r="DR86" s="372"/>
      <c r="DS86" s="372"/>
      <c r="DT86" s="372"/>
      <c r="DU86" s="91"/>
      <c r="DV86" s="91"/>
      <c r="DW86" s="91"/>
      <c r="DX86" s="91"/>
      <c r="DY86" s="91"/>
      <c r="DZ86" s="91"/>
      <c r="EA86" s="91"/>
      <c r="EB86" s="91"/>
      <c r="EC86" s="91"/>
      <c r="ED86" s="91"/>
      <c r="EE86" s="91"/>
      <c r="EF86" s="91"/>
      <c r="EG86" s="91"/>
      <c r="EH86" s="91"/>
    </row>
    <row r="87" spans="1:138" x14ac:dyDescent="0.25">
      <c r="A87" s="32">
        <v>43977</v>
      </c>
      <c r="B87" s="33" t="str">
        <f t="shared" ca="1" si="0"/>
        <v/>
      </c>
      <c r="C87" s="51">
        <f t="shared" si="93"/>
        <v>84</v>
      </c>
      <c r="D87" s="176">
        <f>DANE!K87</f>
        <v>16</v>
      </c>
      <c r="E87" s="188">
        <f t="shared" si="1"/>
        <v>2471</v>
      </c>
      <c r="F87" s="178">
        <f t="shared" ca="1" si="17"/>
        <v>30.571428571428573</v>
      </c>
      <c r="G87" s="209">
        <f t="shared" si="38"/>
        <v>218.64800865509244</v>
      </c>
      <c r="H87" s="179">
        <f t="shared" si="42"/>
        <v>-7.518173955413042E-2</v>
      </c>
      <c r="I87" s="213">
        <f t="shared" si="43"/>
        <v>0.47372782312108708</v>
      </c>
      <c r="J87" s="214">
        <f t="shared" ca="1" si="44"/>
        <v>0.93314942320299987</v>
      </c>
      <c r="K87" s="176">
        <f>DANE!O87</f>
        <v>0</v>
      </c>
      <c r="L87" s="188">
        <f t="shared" si="2"/>
        <v>592</v>
      </c>
      <c r="M87" s="177">
        <f t="shared" ca="1" si="18"/>
        <v>1.2857142857142858</v>
      </c>
      <c r="N87" s="209">
        <f t="shared" si="62"/>
        <v>9.5859319471945312</v>
      </c>
      <c r="O87" s="179">
        <f t="shared" si="66"/>
        <v>-0.14285714285714271</v>
      </c>
      <c r="P87" s="213">
        <f t="shared" si="67"/>
        <v>9.9920072216264089E-16</v>
      </c>
      <c r="Q87" s="217">
        <f t="shared" ca="1" si="68"/>
        <v>0.70196114765318784</v>
      </c>
      <c r="R87" s="176">
        <f>DANE!S87</f>
        <v>3</v>
      </c>
      <c r="S87" s="188">
        <f t="shared" si="3"/>
        <v>449</v>
      </c>
      <c r="T87" s="177">
        <f t="shared" ca="1" si="19"/>
        <v>5.7142857142857144</v>
      </c>
      <c r="U87" s="209">
        <f t="shared" si="50"/>
        <v>34.374693195205694</v>
      </c>
      <c r="V87" s="179">
        <f t="shared" si="55"/>
        <v>-6.0898458658072877E-2</v>
      </c>
      <c r="W87" s="213">
        <f t="shared" si="56"/>
        <v>0.57371078939348985</v>
      </c>
      <c r="X87" s="214">
        <f t="shared" ca="1" si="57"/>
        <v>1.8926513299150984</v>
      </c>
      <c r="Y87" s="176">
        <f>DANE!W87</f>
        <v>3</v>
      </c>
      <c r="Z87" s="188">
        <f t="shared" si="4"/>
        <v>111</v>
      </c>
      <c r="AA87" s="177">
        <f t="shared" ca="1" si="20"/>
        <v>2.7142857142857144</v>
      </c>
      <c r="AB87" s="209">
        <f t="shared" si="94"/>
        <v>72.568513119533534</v>
      </c>
      <c r="AC87" s="179">
        <f t="shared" ref="AC87:AC296" si="95">IF(ISBLANK(Y87),"",(AB87-AB86)/AB86)</f>
        <v>-0.10589460828334349</v>
      </c>
      <c r="AD87" s="213">
        <f t="shared" ref="AD87:AD296" si="96">IF(ISBLANK(Y87),"",1+AC87/$DQ$2)</f>
        <v>0.2587377420165955</v>
      </c>
      <c r="AE87" s="217">
        <f t="shared" ref="AE87:AE296" ca="1" si="97">IF(ISBLANK(Y87),"",AVERAGE((OFFSET(AD87,(-1)*($DU$2-1),0)):AD87))</f>
        <v>0.2587377420165955</v>
      </c>
      <c r="AF87" s="176">
        <f>DANE!AA87</f>
        <v>22</v>
      </c>
      <c r="AG87" s="188">
        <f t="shared" si="5"/>
        <v>1381</v>
      </c>
      <c r="AH87" s="177">
        <f t="shared" ca="1" si="21"/>
        <v>18.142857142857142</v>
      </c>
      <c r="AI87" s="209">
        <f t="shared" si="37"/>
        <v>113.54296341671981</v>
      </c>
      <c r="AJ87" s="179">
        <f t="shared" si="39"/>
        <v>6.3135127365766652E-2</v>
      </c>
      <c r="AK87" s="213">
        <f t="shared" si="40"/>
        <v>1.4419458915603665</v>
      </c>
      <c r="AL87" s="214">
        <f t="shared" ca="1" si="41"/>
        <v>1.3891023976641672</v>
      </c>
      <c r="AM87" s="176">
        <f>DANE!AE87</f>
        <v>3</v>
      </c>
      <c r="AN87" s="188">
        <f t="shared" si="6"/>
        <v>1179</v>
      </c>
      <c r="AO87" s="177">
        <f t="shared" ca="1" si="22"/>
        <v>4.4285714285714288</v>
      </c>
      <c r="AP87" s="209">
        <f t="shared" si="49"/>
        <v>45.322067117779021</v>
      </c>
      <c r="AQ87" s="179">
        <f t="shared" si="51"/>
        <v>-8.2098565912579011E-2</v>
      </c>
      <c r="AR87" s="213">
        <f t="shared" si="52"/>
        <v>0.42531003861194694</v>
      </c>
      <c r="AS87" s="217">
        <f t="shared" ca="1" si="53"/>
        <v>0.46489061934028786</v>
      </c>
      <c r="AT87" s="176">
        <f>DANE!AI87</f>
        <v>76</v>
      </c>
      <c r="AU87" s="188">
        <f t="shared" si="7"/>
        <v>3359</v>
      </c>
      <c r="AV87" s="177">
        <f t="shared" ca="1" si="23"/>
        <v>45.571428571428569</v>
      </c>
      <c r="AW87" s="209">
        <f t="shared" si="33"/>
        <v>298.52785687384545</v>
      </c>
      <c r="AX87" s="179">
        <f t="shared" si="34"/>
        <v>0.14988309226671259</v>
      </c>
      <c r="AY87" s="213">
        <f t="shared" si="35"/>
        <v>2.0491816458669883</v>
      </c>
      <c r="AZ87" s="214">
        <f t="shared" ca="1" si="36"/>
        <v>1.3625799314534295</v>
      </c>
      <c r="BA87" s="176">
        <f>DANE!AM87</f>
        <v>3</v>
      </c>
      <c r="BB87" s="188">
        <f t="shared" si="8"/>
        <v>601</v>
      </c>
      <c r="BC87" s="177">
        <f t="shared" ca="1" si="24"/>
        <v>6.5714285714285712</v>
      </c>
      <c r="BD87" s="209">
        <f t="shared" si="77"/>
        <v>45.240182522126986</v>
      </c>
      <c r="BE87" s="179">
        <f t="shared" si="80"/>
        <v>-8.1980782531721419E-2</v>
      </c>
      <c r="BF87" s="213">
        <f t="shared" si="81"/>
        <v>0.42613452227795001</v>
      </c>
      <c r="BG87" s="217">
        <f t="shared" ca="1" si="82"/>
        <v>0.80602494264739877</v>
      </c>
      <c r="BH87" s="176">
        <f>DANE!AQ87</f>
        <v>0</v>
      </c>
      <c r="BI87" s="188">
        <f t="shared" si="9"/>
        <v>379</v>
      </c>
      <c r="BJ87" s="177">
        <f t="shared" ca="1" si="25"/>
        <v>0.7142857142857143</v>
      </c>
      <c r="BK87" s="209">
        <f t="shared" si="61"/>
        <v>5.7820123952738811</v>
      </c>
      <c r="BL87" s="179">
        <f t="shared" si="63"/>
        <v>-0.14285714285714282</v>
      </c>
      <c r="BM87" s="213">
        <f t="shared" si="64"/>
        <v>2.2204460492503131E-16</v>
      </c>
      <c r="BN87" s="214">
        <f t="shared" ca="1" si="65"/>
        <v>0.73375524236918399</v>
      </c>
      <c r="BO87" s="176">
        <f>DANE!AU87</f>
        <v>7</v>
      </c>
      <c r="BP87" s="188">
        <f t="shared" si="10"/>
        <v>430</v>
      </c>
      <c r="BQ87" s="177">
        <f t="shared" ca="1" si="26"/>
        <v>4.5714285714285712</v>
      </c>
      <c r="BR87" s="209">
        <f t="shared" si="78"/>
        <v>27.444707651393042</v>
      </c>
      <c r="BS87" s="179">
        <f t="shared" si="83"/>
        <v>0.15061733974770761</v>
      </c>
      <c r="BT87" s="213">
        <f t="shared" si="84"/>
        <v>2.0543213782339533</v>
      </c>
      <c r="BU87" s="217">
        <f t="shared" ca="1" si="85"/>
        <v>1.6448584908407169</v>
      </c>
      <c r="BV87" s="176">
        <f>DANE!AY87</f>
        <v>2</v>
      </c>
      <c r="BW87" s="188">
        <f t="shared" si="11"/>
        <v>542</v>
      </c>
      <c r="BX87" s="177">
        <f t="shared" ca="1" si="27"/>
        <v>5.5714285714285712</v>
      </c>
      <c r="BY87" s="209">
        <f t="shared" si="69"/>
        <v>33.790701878953925</v>
      </c>
      <c r="BZ87" s="179">
        <f t="shared" si="71"/>
        <v>-8.8933019985838441E-2</v>
      </c>
      <c r="CA87" s="213">
        <f t="shared" si="72"/>
        <v>0.37746886009913083</v>
      </c>
      <c r="CB87" s="214">
        <f t="shared" ca="1" si="73"/>
        <v>1.3148067000658179</v>
      </c>
      <c r="CC87" s="176">
        <f>DANE!BC87</f>
        <v>274</v>
      </c>
      <c r="CD87" s="188">
        <f t="shared" si="12"/>
        <v>7417</v>
      </c>
      <c r="CE87" s="177">
        <f t="shared" ca="1" si="28"/>
        <v>229.57142857142858</v>
      </c>
      <c r="CF87" s="209">
        <f t="shared" si="45"/>
        <v>1541.4538122720323</v>
      </c>
      <c r="CG87" s="179">
        <f t="shared" si="46"/>
        <v>4.2441240865526302E-2</v>
      </c>
      <c r="CH87" s="213">
        <f t="shared" si="47"/>
        <v>1.2970886860586841</v>
      </c>
      <c r="CI87" s="217">
        <f t="shared" ca="1" si="48"/>
        <v>1.0425203466679547</v>
      </c>
      <c r="CJ87" s="176">
        <f>DANE!BG87</f>
        <v>7</v>
      </c>
      <c r="CK87" s="188">
        <f t="shared" si="13"/>
        <v>398</v>
      </c>
      <c r="CL87" s="177">
        <f t="shared" ca="1" si="29"/>
        <v>6.4285714285714288</v>
      </c>
      <c r="CM87" s="209">
        <f t="shared" si="79"/>
        <v>41.193368942606334</v>
      </c>
      <c r="CN87" s="179">
        <f t="shared" si="86"/>
        <v>3.2615476119683198E-2</v>
      </c>
      <c r="CO87" s="213">
        <f t="shared" si="87"/>
        <v>1.2283083328377824</v>
      </c>
      <c r="CP87" s="214">
        <f t="shared" ca="1" si="88"/>
        <v>1.4304279708955483</v>
      </c>
      <c r="CQ87" s="176">
        <f>DANE!BK87</f>
        <v>4</v>
      </c>
      <c r="CR87" s="188">
        <f t="shared" si="14"/>
        <v>179</v>
      </c>
      <c r="CS87" s="177">
        <f t="shared" ca="1" si="30"/>
        <v>0.7142857142857143</v>
      </c>
      <c r="CT87" s="209">
        <f t="shared" si="89"/>
        <v>8.1091150451443497</v>
      </c>
      <c r="CU87" s="179">
        <f t="shared" si="90"/>
        <v>0.69152480822083839</v>
      </c>
      <c r="CV87" s="213">
        <f t="shared" si="91"/>
        <v>5.8406736575458691</v>
      </c>
      <c r="CW87" s="217">
        <f t="shared" ca="1" si="92"/>
        <v>0.98951749002664202</v>
      </c>
      <c r="CX87" s="176">
        <f>DANE!BO87</f>
        <v>19</v>
      </c>
      <c r="CY87" s="188">
        <f t="shared" si="15"/>
        <v>2059</v>
      </c>
      <c r="CZ87" s="177">
        <f t="shared" ca="1" si="31"/>
        <v>34.857142857142854</v>
      </c>
      <c r="DA87" s="209">
        <f t="shared" si="54"/>
        <v>188.5888547371548</v>
      </c>
      <c r="DB87" s="179">
        <f t="shared" si="58"/>
        <v>-4.6826573448820109E-2</v>
      </c>
      <c r="DC87" s="213">
        <f t="shared" si="59"/>
        <v>0.6722139858582592</v>
      </c>
      <c r="DD87" s="214">
        <f t="shared" ca="1" si="60"/>
        <v>1.5741989899375588</v>
      </c>
      <c r="DE87" s="176">
        <f>DANE!BS87</f>
        <v>4</v>
      </c>
      <c r="DF87" s="188">
        <f t="shared" si="16"/>
        <v>525</v>
      </c>
      <c r="DG87" s="177">
        <f t="shared" ca="1" si="32"/>
        <v>3.2857142857142856</v>
      </c>
      <c r="DH87" s="209">
        <f t="shared" si="70"/>
        <v>24.768924155377583</v>
      </c>
      <c r="DI87" s="179">
        <f t="shared" si="74"/>
        <v>2.2224659306581188E-2</v>
      </c>
      <c r="DJ87" s="157">
        <f t="shared" si="75"/>
        <v>1.1555726151460683</v>
      </c>
      <c r="DK87" s="225">
        <f t="shared" ca="1" si="76"/>
        <v>0.81812991947004787</v>
      </c>
      <c r="DL87" s="83"/>
      <c r="DM87" s="376"/>
      <c r="DN87" s="372"/>
      <c r="DO87" s="372"/>
      <c r="DP87" s="372"/>
      <c r="DQ87" s="372"/>
      <c r="DR87" s="372"/>
      <c r="DS87" s="372"/>
      <c r="DT87" s="372"/>
      <c r="DU87" s="91"/>
      <c r="DV87" s="91"/>
      <c r="DW87" s="91"/>
      <c r="DX87" s="91"/>
      <c r="DY87" s="91"/>
      <c r="DZ87" s="91"/>
      <c r="EA87" s="91"/>
      <c r="EB87" s="91"/>
      <c r="EC87" s="91"/>
      <c r="ED87" s="91"/>
      <c r="EE87" s="91"/>
      <c r="EF87" s="91"/>
      <c r="EG87" s="91"/>
      <c r="EH87" s="91"/>
    </row>
    <row r="88" spans="1:138" x14ac:dyDescent="0.25">
      <c r="A88" s="32">
        <v>43978</v>
      </c>
      <c r="B88" s="33" t="str">
        <f t="shared" ca="1" si="0"/>
        <v/>
      </c>
      <c r="C88" s="51">
        <f t="shared" si="93"/>
        <v>85</v>
      </c>
      <c r="D88" s="176">
        <f>DANE!K88</f>
        <v>41</v>
      </c>
      <c r="E88" s="188">
        <f t="shared" si="1"/>
        <v>2512</v>
      </c>
      <c r="F88" s="178">
        <f t="shared" ca="1" si="17"/>
        <v>33.714285714285715</v>
      </c>
      <c r="G88" s="209">
        <f t="shared" si="38"/>
        <v>228.41257884722211</v>
      </c>
      <c r="H88" s="179">
        <f t="shared" si="42"/>
        <v>4.4658857184164187E-2</v>
      </c>
      <c r="I88" s="213">
        <f t="shared" si="43"/>
        <v>1.3126120002891493</v>
      </c>
      <c r="J88" s="214">
        <f t="shared" ca="1" si="44"/>
        <v>1.0414635354996322</v>
      </c>
      <c r="K88" s="176">
        <f>DANE!O88</f>
        <v>1</v>
      </c>
      <c r="L88" s="188">
        <f t="shared" si="2"/>
        <v>593</v>
      </c>
      <c r="M88" s="177">
        <f t="shared" ca="1" si="18"/>
        <v>1.2857142857142858</v>
      </c>
      <c r="N88" s="209">
        <f t="shared" si="62"/>
        <v>9.2165130975953122</v>
      </c>
      <c r="O88" s="179">
        <f t="shared" si="66"/>
        <v>-3.8537604025796889E-2</v>
      </c>
      <c r="P88" s="213">
        <f t="shared" si="67"/>
        <v>0.73023677181942181</v>
      </c>
      <c r="Q88" s="217">
        <f t="shared" ca="1" si="68"/>
        <v>0.73074775714717177</v>
      </c>
      <c r="R88" s="176">
        <f>DANE!S88</f>
        <v>20</v>
      </c>
      <c r="S88" s="188">
        <f t="shared" si="3"/>
        <v>469</v>
      </c>
      <c r="T88" s="177">
        <f t="shared" ca="1" si="19"/>
        <v>8.2857142857142865</v>
      </c>
      <c r="U88" s="209">
        <f t="shared" si="50"/>
        <v>49.464022738747744</v>
      </c>
      <c r="V88" s="179">
        <f t="shared" si="55"/>
        <v>0.43896623186869893</v>
      </c>
      <c r="W88" s="213">
        <f t="shared" si="56"/>
        <v>4.0727636230808928</v>
      </c>
      <c r="X88" s="214">
        <f t="shared" ca="1" si="57"/>
        <v>2.3556179508589055</v>
      </c>
      <c r="Y88" s="176">
        <f>DANE!W88</f>
        <v>0</v>
      </c>
      <c r="Z88" s="188">
        <f t="shared" si="4"/>
        <v>111</v>
      </c>
      <c r="AA88" s="177">
        <f t="shared" ca="1" si="20"/>
        <v>2.7142857142857144</v>
      </c>
      <c r="AB88" s="209">
        <f t="shared" si="94"/>
        <v>62.201582673885895</v>
      </c>
      <c r="AC88" s="179">
        <f t="shared" si="95"/>
        <v>-0.14285714285714274</v>
      </c>
      <c r="AD88" s="213">
        <f t="shared" si="96"/>
        <v>7.7715611723760958E-16</v>
      </c>
      <c r="AE88" s="217">
        <f t="shared" ca="1" si="97"/>
        <v>0.12936887100829814</v>
      </c>
      <c r="AF88" s="176">
        <f>DANE!AA88</f>
        <v>28</v>
      </c>
      <c r="AG88" s="188">
        <f t="shared" si="5"/>
        <v>1409</v>
      </c>
      <c r="AH88" s="177">
        <f t="shared" ca="1" si="21"/>
        <v>19.857142857142858</v>
      </c>
      <c r="AI88" s="209">
        <f t="shared" si="37"/>
        <v>125.32254007147414</v>
      </c>
      <c r="AJ88" s="179">
        <f t="shared" si="39"/>
        <v>0.103745545300958</v>
      </c>
      <c r="AK88" s="213">
        <f t="shared" si="40"/>
        <v>1.7262188171067061</v>
      </c>
      <c r="AL88" s="214">
        <f t="shared" ca="1" si="41"/>
        <v>1.4364670671987585</v>
      </c>
      <c r="AM88" s="176">
        <f>DANE!AE88</f>
        <v>2</v>
      </c>
      <c r="AN88" s="188">
        <f t="shared" si="6"/>
        <v>1181</v>
      </c>
      <c r="AO88" s="177">
        <f t="shared" ca="1" si="22"/>
        <v>4.4285714285714288</v>
      </c>
      <c r="AP88" s="209">
        <f t="shared" si="49"/>
        <v>40.847486100953446</v>
      </c>
      <c r="AQ88" s="179">
        <f t="shared" si="51"/>
        <v>-9.8728528978994382E-2</v>
      </c>
      <c r="AR88" s="213">
        <f t="shared" si="52"/>
        <v>0.30890029714703926</v>
      </c>
      <c r="AS88" s="217">
        <f t="shared" ca="1" si="53"/>
        <v>0.48413240319264322</v>
      </c>
      <c r="AT88" s="176">
        <f>DANE!AI88</f>
        <v>37</v>
      </c>
      <c r="AU88" s="188">
        <f t="shared" si="7"/>
        <v>3396</v>
      </c>
      <c r="AV88" s="177">
        <f t="shared" ca="1" si="23"/>
        <v>44.857142857142854</v>
      </c>
      <c r="AW88" s="209">
        <f t="shared" si="33"/>
        <v>292.88102017758183</v>
      </c>
      <c r="AX88" s="179">
        <f t="shared" si="34"/>
        <v>-1.8915610607990629E-2</v>
      </c>
      <c r="AY88" s="213">
        <f t="shared" si="35"/>
        <v>0.86759072574406559</v>
      </c>
      <c r="AZ88" s="214">
        <f t="shared" ca="1" si="36"/>
        <v>1.2895528431892604</v>
      </c>
      <c r="BA88" s="176">
        <f>DANE!AM88</f>
        <v>9</v>
      </c>
      <c r="BB88" s="188">
        <f t="shared" si="8"/>
        <v>610</v>
      </c>
      <c r="BC88" s="177">
        <f t="shared" ca="1" si="24"/>
        <v>6</v>
      </c>
      <c r="BD88" s="209">
        <f t="shared" si="77"/>
        <v>47.777299304680277</v>
      </c>
      <c r="BE88" s="179">
        <f t="shared" si="80"/>
        <v>5.6081046563249082E-2</v>
      </c>
      <c r="BF88" s="213">
        <f t="shared" si="81"/>
        <v>1.3925673259427436</v>
      </c>
      <c r="BG88" s="217">
        <f t="shared" ca="1" si="82"/>
        <v>0.77210628423091043</v>
      </c>
      <c r="BH88" s="176">
        <f>DANE!AQ88</f>
        <v>0</v>
      </c>
      <c r="BI88" s="188">
        <f t="shared" si="9"/>
        <v>379</v>
      </c>
      <c r="BJ88" s="177">
        <f t="shared" ca="1" si="25"/>
        <v>0.7142857142857143</v>
      </c>
      <c r="BK88" s="209">
        <f t="shared" si="61"/>
        <v>4.95601062452047</v>
      </c>
      <c r="BL88" s="179">
        <f t="shared" si="63"/>
        <v>-0.14285714285714277</v>
      </c>
      <c r="BM88" s="213">
        <f t="shared" si="64"/>
        <v>5.5511151231257827E-16</v>
      </c>
      <c r="BN88" s="214">
        <f t="shared" ca="1" si="65"/>
        <v>0.7337552423691841</v>
      </c>
      <c r="BO88" s="176">
        <f>DANE!AU88</f>
        <v>9</v>
      </c>
      <c r="BP88" s="188">
        <f t="shared" si="10"/>
        <v>439</v>
      </c>
      <c r="BQ88" s="177">
        <f t="shared" ca="1" si="26"/>
        <v>4.8571428571428568</v>
      </c>
      <c r="BR88" s="209">
        <f t="shared" si="78"/>
        <v>32.524035129765466</v>
      </c>
      <c r="BS88" s="179">
        <f t="shared" si="83"/>
        <v>0.18507493477033291</v>
      </c>
      <c r="BT88" s="213">
        <f t="shared" si="84"/>
        <v>2.2955245433923306</v>
      </c>
      <c r="BU88" s="217">
        <f t="shared" ca="1" si="85"/>
        <v>1.5252262502659548</v>
      </c>
      <c r="BV88" s="176">
        <f>DANE!AY88</f>
        <v>4</v>
      </c>
      <c r="BW88" s="188">
        <f t="shared" si="11"/>
        <v>546</v>
      </c>
      <c r="BX88" s="177">
        <f t="shared" ca="1" si="27"/>
        <v>5.4285714285714288</v>
      </c>
      <c r="BY88" s="209">
        <f t="shared" si="69"/>
        <v>32.963458753389077</v>
      </c>
      <c r="BZ88" s="179">
        <f t="shared" si="71"/>
        <v>-2.4481383326342962E-2</v>
      </c>
      <c r="CA88" s="213">
        <f t="shared" si="72"/>
        <v>0.82863031671559928</v>
      </c>
      <c r="CB88" s="214">
        <f t="shared" ca="1" si="73"/>
        <v>1.2362410399191801</v>
      </c>
      <c r="CC88" s="176">
        <f>DANE!BC88</f>
        <v>176</v>
      </c>
      <c r="CD88" s="188">
        <f t="shared" si="12"/>
        <v>7593</v>
      </c>
      <c r="CE88" s="177">
        <f t="shared" ca="1" si="28"/>
        <v>215.42857142857142</v>
      </c>
      <c r="CF88" s="209">
        <f t="shared" si="45"/>
        <v>1497.2461248045993</v>
      </c>
      <c r="CG88" s="179">
        <f t="shared" si="46"/>
        <v>-2.8679216409522486E-2</v>
      </c>
      <c r="CH88" s="213">
        <f t="shared" si="47"/>
        <v>0.79924548513334259</v>
      </c>
      <c r="CI88" s="217">
        <f t="shared" ca="1" si="48"/>
        <v>0.9713611975694485</v>
      </c>
      <c r="CJ88" s="176">
        <f>DANE!BG88</f>
        <v>9</v>
      </c>
      <c r="CK88" s="188">
        <f t="shared" si="13"/>
        <v>407</v>
      </c>
      <c r="CL88" s="177">
        <f t="shared" ca="1" si="29"/>
        <v>7.1428571428571432</v>
      </c>
      <c r="CM88" s="209">
        <f t="shared" si="79"/>
        <v>44.308601950805432</v>
      </c>
      <c r="CN88" s="179">
        <f t="shared" si="86"/>
        <v>7.562462328680794E-2</v>
      </c>
      <c r="CO88" s="213">
        <f t="shared" si="87"/>
        <v>1.5293723630076557</v>
      </c>
      <c r="CP88" s="214">
        <f t="shared" ca="1" si="88"/>
        <v>1.5027934111583325</v>
      </c>
      <c r="CQ88" s="176">
        <f>DANE!BK88</f>
        <v>0</v>
      </c>
      <c r="CR88" s="188">
        <f t="shared" si="14"/>
        <v>179</v>
      </c>
      <c r="CS88" s="177">
        <f t="shared" ca="1" si="30"/>
        <v>0.7142857142857143</v>
      </c>
      <c r="CT88" s="209">
        <f t="shared" si="89"/>
        <v>6.950670038695157</v>
      </c>
      <c r="CU88" s="179">
        <f t="shared" si="90"/>
        <v>-0.14285714285714285</v>
      </c>
      <c r="CV88" s="213">
        <f t="shared" si="91"/>
        <v>0</v>
      </c>
      <c r="CW88" s="217">
        <f t="shared" ca="1" si="92"/>
        <v>0.98951749002664202</v>
      </c>
      <c r="CX88" s="176">
        <f>DANE!BO88</f>
        <v>59</v>
      </c>
      <c r="CY88" s="188">
        <f t="shared" si="15"/>
        <v>2118</v>
      </c>
      <c r="CZ88" s="177">
        <f t="shared" ca="1" si="31"/>
        <v>31.285714285714285</v>
      </c>
      <c r="DA88" s="209">
        <f t="shared" si="54"/>
        <v>220.64758977470413</v>
      </c>
      <c r="DB88" s="179">
        <f t="shared" si="58"/>
        <v>0.16999273409996099</v>
      </c>
      <c r="DC88" s="213">
        <f t="shared" si="59"/>
        <v>2.1899491386997267</v>
      </c>
      <c r="DD88" s="214">
        <f t="shared" ca="1" si="60"/>
        <v>1.2041195027682956</v>
      </c>
      <c r="DE88" s="176">
        <f>DANE!BS88</f>
        <v>2</v>
      </c>
      <c r="DF88" s="188">
        <f t="shared" si="16"/>
        <v>527</v>
      </c>
      <c r="DG88" s="177">
        <f t="shared" ca="1" si="32"/>
        <v>3.4285714285714284</v>
      </c>
      <c r="DH88" s="209">
        <f t="shared" si="70"/>
        <v>23.230506418895072</v>
      </c>
      <c r="DI88" s="179">
        <f t="shared" si="74"/>
        <v>-6.2110801697800241E-2</v>
      </c>
      <c r="DJ88" s="157">
        <f t="shared" si="75"/>
        <v>0.56522438811539821</v>
      </c>
      <c r="DK88" s="225">
        <f t="shared" ca="1" si="76"/>
        <v>0.86667307318879294</v>
      </c>
      <c r="DL88" s="50"/>
      <c r="DM88" s="50"/>
      <c r="DN88" s="92"/>
      <c r="DO88" s="92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</row>
    <row r="89" spans="1:138" x14ac:dyDescent="0.25">
      <c r="A89" s="32">
        <v>43979</v>
      </c>
      <c r="B89" s="33" t="str">
        <f t="shared" ca="1" si="0"/>
        <v/>
      </c>
      <c r="C89" s="51">
        <f t="shared" si="93"/>
        <v>86</v>
      </c>
      <c r="D89" s="176">
        <f>DANE!K89</f>
        <v>18</v>
      </c>
      <c r="E89" s="188">
        <f t="shared" si="1"/>
        <v>2530</v>
      </c>
      <c r="F89" s="178">
        <f t="shared" ca="1" si="17"/>
        <v>33.571428571428569</v>
      </c>
      <c r="G89" s="209">
        <f t="shared" si="38"/>
        <v>213.78221044047612</v>
      </c>
      <c r="H89" s="179">
        <f t="shared" si="42"/>
        <v>-6.4052376101982431E-2</v>
      </c>
      <c r="I89" s="213">
        <f t="shared" si="43"/>
        <v>0.55163336728612289</v>
      </c>
      <c r="J89" s="214">
        <f t="shared" ca="1" si="44"/>
        <v>1.035682055386725</v>
      </c>
      <c r="K89" s="176">
        <f>DANE!O89</f>
        <v>0</v>
      </c>
      <c r="L89" s="188">
        <f t="shared" si="2"/>
        <v>593</v>
      </c>
      <c r="M89" s="177">
        <f t="shared" ca="1" si="18"/>
        <v>0.8571428571428571</v>
      </c>
      <c r="N89" s="209">
        <f t="shared" si="62"/>
        <v>7.899868369367411</v>
      </c>
      <c r="O89" s="179">
        <f t="shared" si="66"/>
        <v>-0.14285714285714279</v>
      </c>
      <c r="P89" s="213">
        <f t="shared" si="67"/>
        <v>4.4408920985006262E-16</v>
      </c>
      <c r="Q89" s="217">
        <f t="shared" ca="1" si="68"/>
        <v>0.48779217569347544</v>
      </c>
      <c r="R89" s="176">
        <f>DANE!S89</f>
        <v>16</v>
      </c>
      <c r="S89" s="188">
        <f t="shared" si="3"/>
        <v>485</v>
      </c>
      <c r="T89" s="177">
        <f t="shared" ca="1" si="19"/>
        <v>9.7142857142857135</v>
      </c>
      <c r="U89" s="209">
        <f t="shared" si="50"/>
        <v>58.397733776069501</v>
      </c>
      <c r="V89" s="179">
        <f t="shared" si="55"/>
        <v>0.180610280819791</v>
      </c>
      <c r="W89" s="213">
        <f t="shared" si="56"/>
        <v>2.2642719657385371</v>
      </c>
      <c r="X89" s="214">
        <f t="shared" ca="1" si="57"/>
        <v>2.313746846369618</v>
      </c>
      <c r="Y89" s="176">
        <f>DANE!W89</f>
        <v>2</v>
      </c>
      <c r="Z89" s="188">
        <f t="shared" si="4"/>
        <v>113</v>
      </c>
      <c r="AA89" s="177">
        <f t="shared" ca="1" si="20"/>
        <v>2.5714285714285716</v>
      </c>
      <c r="AB89" s="209">
        <f t="shared" si="94"/>
        <v>55.315642291902201</v>
      </c>
      <c r="AC89" s="179">
        <f t="shared" si="95"/>
        <v>-0.11070362016487115</v>
      </c>
      <c r="AD89" s="213">
        <f t="shared" si="96"/>
        <v>0.22507465884590194</v>
      </c>
      <c r="AE89" s="217">
        <f t="shared" ca="1" si="97"/>
        <v>0.16127080028749941</v>
      </c>
      <c r="AF89" s="176">
        <f>DANE!AA89</f>
        <v>46</v>
      </c>
      <c r="AG89" s="188">
        <f t="shared" si="5"/>
        <v>1455</v>
      </c>
      <c r="AH89" s="177">
        <f t="shared" ca="1" si="21"/>
        <v>25.571428571428573</v>
      </c>
      <c r="AI89" s="209">
        <f t="shared" si="37"/>
        <v>153.41932006126353</v>
      </c>
      <c r="AJ89" s="179">
        <f t="shared" si="39"/>
        <v>0.22419574303046522</v>
      </c>
      <c r="AK89" s="213">
        <f t="shared" si="40"/>
        <v>2.5693702012132569</v>
      </c>
      <c r="AL89" s="214">
        <f t="shared" ca="1" si="41"/>
        <v>1.7327933253162324</v>
      </c>
      <c r="AM89" s="176">
        <f>DANE!AE89</f>
        <v>9</v>
      </c>
      <c r="AN89" s="188">
        <f t="shared" si="6"/>
        <v>1190</v>
      </c>
      <c r="AO89" s="177">
        <f t="shared" ca="1" si="22"/>
        <v>3.5714285714285716</v>
      </c>
      <c r="AP89" s="209">
        <f t="shared" si="49"/>
        <v>44.012130943674386</v>
      </c>
      <c r="AQ89" s="179">
        <f t="shared" si="51"/>
        <v>7.7474653762035828E-2</v>
      </c>
      <c r="AR89" s="213">
        <f t="shared" si="52"/>
        <v>1.542322576334251</v>
      </c>
      <c r="AS89" s="217">
        <f t="shared" ca="1" si="53"/>
        <v>0.49284861826308202</v>
      </c>
      <c r="AT89" s="176">
        <f>DANE!AI89</f>
        <v>65</v>
      </c>
      <c r="AU89" s="188">
        <f t="shared" si="7"/>
        <v>3461</v>
      </c>
      <c r="AV89" s="177">
        <f t="shared" ca="1" si="23"/>
        <v>47.571428571428569</v>
      </c>
      <c r="AW89" s="209">
        <f t="shared" si="33"/>
        <v>316.0408744379273</v>
      </c>
      <c r="AX89" s="179">
        <f t="shared" si="34"/>
        <v>7.907598193390275E-2</v>
      </c>
      <c r="AY89" s="213">
        <f t="shared" si="35"/>
        <v>1.5535318735373194</v>
      </c>
      <c r="AZ89" s="214">
        <f t="shared" ca="1" si="36"/>
        <v>1.3068325311043922</v>
      </c>
      <c r="BA89" s="176">
        <f>DANE!AM89</f>
        <v>12</v>
      </c>
      <c r="BB89" s="188">
        <f t="shared" si="8"/>
        <v>622</v>
      </c>
      <c r="BC89" s="177">
        <f t="shared" ca="1" si="24"/>
        <v>6.5714285714285712</v>
      </c>
      <c r="BD89" s="209">
        <f t="shared" si="77"/>
        <v>52.9519708325831</v>
      </c>
      <c r="BE89" s="179">
        <f t="shared" si="80"/>
        <v>0.10830816314885156</v>
      </c>
      <c r="BF89" s="213">
        <f t="shared" si="81"/>
        <v>1.7581571420419611</v>
      </c>
      <c r="BG89" s="217">
        <f t="shared" ca="1" si="82"/>
        <v>0.89180685580522312</v>
      </c>
      <c r="BH89" s="176">
        <f>DANE!AQ89</f>
        <v>2</v>
      </c>
      <c r="BI89" s="188">
        <f t="shared" si="9"/>
        <v>381</v>
      </c>
      <c r="BJ89" s="177">
        <f t="shared" ca="1" si="25"/>
        <v>0.8571428571428571</v>
      </c>
      <c r="BK89" s="209">
        <f t="shared" si="61"/>
        <v>6.248009106731832</v>
      </c>
      <c r="BL89" s="179">
        <f t="shared" si="63"/>
        <v>0.26069324303282182</v>
      </c>
      <c r="BM89" s="213">
        <f t="shared" si="64"/>
        <v>2.8248527012297528</v>
      </c>
      <c r="BN89" s="214">
        <f t="shared" ca="1" si="65"/>
        <v>0.98935665851220933</v>
      </c>
      <c r="BO89" s="176">
        <f>DANE!AU89</f>
        <v>3</v>
      </c>
      <c r="BP89" s="188">
        <f t="shared" si="10"/>
        <v>442</v>
      </c>
      <c r="BQ89" s="177">
        <f t="shared" ca="1" si="26"/>
        <v>5.2857142857142856</v>
      </c>
      <c r="BR89" s="209">
        <f t="shared" si="78"/>
        <v>30.877744396941829</v>
      </c>
      <c r="BS89" s="179">
        <f t="shared" si="83"/>
        <v>-5.0617665558877055E-2</v>
      </c>
      <c r="BT89" s="213">
        <f t="shared" si="84"/>
        <v>0.64567634108786054</v>
      </c>
      <c r="BU89" s="217">
        <f t="shared" ca="1" si="85"/>
        <v>1.6174657275642204</v>
      </c>
      <c r="BV89" s="176">
        <f>DANE!AY89</f>
        <v>2</v>
      </c>
      <c r="BW89" s="188">
        <f t="shared" si="11"/>
        <v>548</v>
      </c>
      <c r="BX89" s="177">
        <f t="shared" ca="1" si="27"/>
        <v>5</v>
      </c>
      <c r="BY89" s="209">
        <f t="shared" si="69"/>
        <v>30.254393217190639</v>
      </c>
      <c r="BZ89" s="179">
        <f t="shared" si="71"/>
        <v>-8.2183898129922731E-2</v>
      </c>
      <c r="CA89" s="213">
        <f t="shared" si="72"/>
        <v>0.42471271309054082</v>
      </c>
      <c r="CB89" s="214">
        <f t="shared" ca="1" si="73"/>
        <v>1.110077782093186</v>
      </c>
      <c r="CC89" s="176">
        <f>DANE!BC89</f>
        <v>138</v>
      </c>
      <c r="CD89" s="188">
        <f t="shared" si="12"/>
        <v>7731</v>
      </c>
      <c r="CE89" s="177">
        <f t="shared" ca="1" si="28"/>
        <v>199.28571428571428</v>
      </c>
      <c r="CF89" s="209">
        <f t="shared" si="45"/>
        <v>1421.3538212610852</v>
      </c>
      <c r="CG89" s="179">
        <f t="shared" si="46"/>
        <v>-5.0687927847145757E-2</v>
      </c>
      <c r="CH89" s="213">
        <f t="shared" si="47"/>
        <v>0.64518450506997971</v>
      </c>
      <c r="CI89" s="217">
        <f t="shared" ca="1" si="48"/>
        <v>0.90126138639097431</v>
      </c>
      <c r="CJ89" s="176">
        <f>DANE!BG89</f>
        <v>24</v>
      </c>
      <c r="CK89" s="188">
        <f t="shared" si="13"/>
        <v>431</v>
      </c>
      <c r="CL89" s="177">
        <f t="shared" ca="1" si="29"/>
        <v>10</v>
      </c>
      <c r="CM89" s="209">
        <f t="shared" si="79"/>
        <v>61.978801672118948</v>
      </c>
      <c r="CN89" s="179">
        <f t="shared" si="86"/>
        <v>0.39879840354548379</v>
      </c>
      <c r="CO89" s="213">
        <f t="shared" si="87"/>
        <v>3.7915888248183869</v>
      </c>
      <c r="CP89" s="214">
        <f t="shared" ca="1" si="88"/>
        <v>1.8988073044830949</v>
      </c>
      <c r="CQ89" s="176">
        <f>DANE!BK89</f>
        <v>0</v>
      </c>
      <c r="CR89" s="188">
        <f t="shared" si="14"/>
        <v>179</v>
      </c>
      <c r="CS89" s="177">
        <f t="shared" ca="1" si="30"/>
        <v>0.7142857142857143</v>
      </c>
      <c r="CT89" s="209">
        <f t="shared" si="89"/>
        <v>5.9577171760244205</v>
      </c>
      <c r="CU89" s="179">
        <f t="shared" si="90"/>
        <v>-0.14285714285714282</v>
      </c>
      <c r="CV89" s="213">
        <f t="shared" si="91"/>
        <v>2.2204460492503131E-16</v>
      </c>
      <c r="CW89" s="217">
        <f t="shared" ca="1" si="92"/>
        <v>0.98951749002664191</v>
      </c>
      <c r="CX89" s="176">
        <f>DANE!BO89</f>
        <v>15</v>
      </c>
      <c r="CY89" s="188">
        <f t="shared" si="15"/>
        <v>2133</v>
      </c>
      <c r="CZ89" s="177">
        <f t="shared" ca="1" si="31"/>
        <v>29.714285714285715</v>
      </c>
      <c r="DA89" s="209">
        <f t="shared" si="54"/>
        <v>204.12650552117498</v>
      </c>
      <c r="DB89" s="179">
        <f t="shared" si="58"/>
        <v>-7.4875434943106695E-2</v>
      </c>
      <c r="DC89" s="213">
        <f t="shared" si="59"/>
        <v>0.47587195539825311</v>
      </c>
      <c r="DD89" s="214">
        <f t="shared" ca="1" si="60"/>
        <v>1.1348460251782011</v>
      </c>
      <c r="DE89" s="176">
        <f>DANE!BS89</f>
        <v>0</v>
      </c>
      <c r="DF89" s="188">
        <f t="shared" si="16"/>
        <v>527</v>
      </c>
      <c r="DG89" s="177">
        <f t="shared" ca="1" si="32"/>
        <v>2</v>
      </c>
      <c r="DH89" s="209">
        <f t="shared" si="70"/>
        <v>19.911862644767204</v>
      </c>
      <c r="DI89" s="179">
        <f t="shared" si="74"/>
        <v>-0.14285714285714285</v>
      </c>
      <c r="DJ89" s="157">
        <f t="shared" si="75"/>
        <v>0</v>
      </c>
      <c r="DK89" s="225">
        <f t="shared" ca="1" si="76"/>
        <v>0.50457344237882229</v>
      </c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</row>
    <row r="90" spans="1:138" x14ac:dyDescent="0.25">
      <c r="A90" s="32">
        <v>43980</v>
      </c>
      <c r="B90" s="33" t="str">
        <f t="shared" ca="1" si="0"/>
        <v/>
      </c>
      <c r="C90" s="51">
        <f t="shared" si="93"/>
        <v>87</v>
      </c>
      <c r="D90" s="176">
        <f>DANE!K90</f>
        <v>26</v>
      </c>
      <c r="E90" s="188">
        <f t="shared" si="1"/>
        <v>2556</v>
      </c>
      <c r="F90" s="178">
        <f t="shared" ca="1" si="17"/>
        <v>27.142857142857142</v>
      </c>
      <c r="G90" s="209">
        <f t="shared" si="38"/>
        <v>209.24189466326527</v>
      </c>
      <c r="H90" s="179">
        <f t="shared" si="42"/>
        <v>-2.1238042996449515E-2</v>
      </c>
      <c r="I90" s="213">
        <f t="shared" si="43"/>
        <v>0.85133369902485345</v>
      </c>
      <c r="J90" s="214">
        <f t="shared" ca="1" si="44"/>
        <v>0.82165744680033137</v>
      </c>
      <c r="K90" s="176">
        <f>DANE!O90</f>
        <v>0</v>
      </c>
      <c r="L90" s="188">
        <f t="shared" si="2"/>
        <v>593</v>
      </c>
      <c r="M90" s="177">
        <f t="shared" ca="1" si="18"/>
        <v>0.5714285714285714</v>
      </c>
      <c r="N90" s="209">
        <f t="shared" si="62"/>
        <v>6.7713157451720667</v>
      </c>
      <c r="O90" s="179">
        <f t="shared" si="66"/>
        <v>-0.14285714285714285</v>
      </c>
      <c r="P90" s="213">
        <f t="shared" si="67"/>
        <v>0</v>
      </c>
      <c r="Q90" s="217">
        <f t="shared" ca="1" si="68"/>
        <v>0.34055954454600218</v>
      </c>
      <c r="R90" s="176">
        <f>DANE!S90</f>
        <v>1</v>
      </c>
      <c r="S90" s="188">
        <f t="shared" si="3"/>
        <v>486</v>
      </c>
      <c r="T90" s="177">
        <f t="shared" ca="1" si="19"/>
        <v>9.4285714285714288</v>
      </c>
      <c r="U90" s="209">
        <f t="shared" si="50"/>
        <v>51.055200379488149</v>
      </c>
      <c r="V90" s="179">
        <f t="shared" si="55"/>
        <v>-0.1257331906874477</v>
      </c>
      <c r="W90" s="213">
        <f t="shared" si="56"/>
        <v>0.11986766518786607</v>
      </c>
      <c r="X90" s="214">
        <f t="shared" ca="1" si="57"/>
        <v>2.1814458123773144</v>
      </c>
      <c r="Y90" s="176">
        <f>DANE!W90</f>
        <v>1</v>
      </c>
      <c r="Z90" s="188">
        <f t="shared" si="4"/>
        <v>114</v>
      </c>
      <c r="AA90" s="177">
        <f t="shared" ca="1" si="20"/>
        <v>2.4285714285714284</v>
      </c>
      <c r="AB90" s="209">
        <f t="shared" si="94"/>
        <v>48.413407678773318</v>
      </c>
      <c r="AC90" s="179">
        <f t="shared" si="95"/>
        <v>-0.12477907382337887</v>
      </c>
      <c r="AD90" s="213">
        <f t="shared" si="96"/>
        <v>0.12654648323634787</v>
      </c>
      <c r="AE90" s="217">
        <f t="shared" ca="1" si="97"/>
        <v>0.15258972102471152</v>
      </c>
      <c r="AF90" s="176">
        <f>DANE!AA90</f>
        <v>30</v>
      </c>
      <c r="AG90" s="188">
        <f t="shared" si="5"/>
        <v>1485</v>
      </c>
      <c r="AH90" s="177">
        <f t="shared" ca="1" si="21"/>
        <v>25.142857142857142</v>
      </c>
      <c r="AI90" s="209">
        <f t="shared" si="37"/>
        <v>161.5022743382259</v>
      </c>
      <c r="AJ90" s="179">
        <f t="shared" si="39"/>
        <v>5.2685374134982976E-2</v>
      </c>
      <c r="AK90" s="213">
        <f t="shared" si="40"/>
        <v>1.3687976189448809</v>
      </c>
      <c r="AL90" s="214">
        <f t="shared" ca="1" si="41"/>
        <v>1.5090996684059321</v>
      </c>
      <c r="AM90" s="176">
        <f>DANE!AE90</f>
        <v>8</v>
      </c>
      <c r="AN90" s="188">
        <f t="shared" si="6"/>
        <v>1198</v>
      </c>
      <c r="AO90" s="177">
        <f t="shared" ca="1" si="22"/>
        <v>4.4285714285714288</v>
      </c>
      <c r="AP90" s="209">
        <f t="shared" si="49"/>
        <v>45.724683666006619</v>
      </c>
      <c r="AQ90" s="179">
        <f t="shared" si="51"/>
        <v>3.8910924911223124E-2</v>
      </c>
      <c r="AR90" s="213">
        <f t="shared" si="52"/>
        <v>1.2723764743785619</v>
      </c>
      <c r="AS90" s="217">
        <f t="shared" ca="1" si="53"/>
        <v>0.64821651004059699</v>
      </c>
      <c r="AT90" s="176">
        <f>DANE!AI90</f>
        <v>33</v>
      </c>
      <c r="AU90" s="188">
        <f t="shared" si="7"/>
        <v>3494</v>
      </c>
      <c r="AV90" s="177">
        <f t="shared" ca="1" si="23"/>
        <v>48.142857142857146</v>
      </c>
      <c r="AW90" s="209">
        <f t="shared" si="33"/>
        <v>303.89217808965196</v>
      </c>
      <c r="AX90" s="179">
        <f t="shared" si="34"/>
        <v>-3.8440269379337602E-2</v>
      </c>
      <c r="AY90" s="213">
        <f t="shared" si="35"/>
        <v>0.73091811434463683</v>
      </c>
      <c r="AZ90" s="214">
        <f t="shared" ca="1" si="36"/>
        <v>1.2897377307199147</v>
      </c>
      <c r="BA90" s="176">
        <f>DANE!AM90</f>
        <v>9</v>
      </c>
      <c r="BB90" s="188">
        <f t="shared" si="8"/>
        <v>631</v>
      </c>
      <c r="BC90" s="177">
        <f t="shared" ca="1" si="24"/>
        <v>6.4285714285714288</v>
      </c>
      <c r="BD90" s="209">
        <f t="shared" si="77"/>
        <v>54.387403570785516</v>
      </c>
      <c r="BE90" s="179">
        <f t="shared" si="80"/>
        <v>2.7108202313012794E-2</v>
      </c>
      <c r="BF90" s="213">
        <f t="shared" si="81"/>
        <v>1.1897574161910895</v>
      </c>
      <c r="BG90" s="217">
        <f t="shared" ca="1" si="82"/>
        <v>0.89554758421123382</v>
      </c>
      <c r="BH90" s="176">
        <f>DANE!AQ90</f>
        <v>2</v>
      </c>
      <c r="BI90" s="188">
        <f t="shared" si="9"/>
        <v>383</v>
      </c>
      <c r="BJ90" s="177">
        <f t="shared" ca="1" si="25"/>
        <v>1</v>
      </c>
      <c r="BK90" s="209">
        <f t="shared" si="61"/>
        <v>7.3554363771987132</v>
      </c>
      <c r="BL90" s="179">
        <f t="shared" si="63"/>
        <v>0.17724482335880384</v>
      </c>
      <c r="BM90" s="213">
        <f t="shared" si="64"/>
        <v>2.2407137635116268</v>
      </c>
      <c r="BN90" s="214">
        <f t="shared" ca="1" si="65"/>
        <v>1.162259169127408</v>
      </c>
      <c r="BO90" s="176">
        <f>DANE!AU90</f>
        <v>3</v>
      </c>
      <c r="BP90" s="188">
        <f t="shared" si="10"/>
        <v>445</v>
      </c>
      <c r="BQ90" s="177">
        <f t="shared" ca="1" si="26"/>
        <v>4.8571428571428568</v>
      </c>
      <c r="BR90" s="209">
        <f t="shared" si="78"/>
        <v>29.466638054521571</v>
      </c>
      <c r="BS90" s="179">
        <f t="shared" si="83"/>
        <v>-4.5699787014235903E-2</v>
      </c>
      <c r="BT90" s="213">
        <f t="shared" si="84"/>
        <v>0.68010149090034866</v>
      </c>
      <c r="BU90" s="217">
        <f t="shared" ca="1" si="85"/>
        <v>1.3715849468353272</v>
      </c>
      <c r="BV90" s="176">
        <f>DANE!AY90</f>
        <v>4</v>
      </c>
      <c r="BW90" s="188">
        <f t="shared" si="11"/>
        <v>552</v>
      </c>
      <c r="BX90" s="177">
        <f t="shared" ca="1" si="27"/>
        <v>5</v>
      </c>
      <c r="BY90" s="209">
        <f t="shared" si="69"/>
        <v>29.932337043306266</v>
      </c>
      <c r="BZ90" s="179">
        <f t="shared" si="71"/>
        <v>-1.0644939119168325E-2</v>
      </c>
      <c r="CA90" s="213">
        <f t="shared" si="72"/>
        <v>0.92548542616582175</v>
      </c>
      <c r="CB90" s="214">
        <f t="shared" ca="1" si="73"/>
        <v>1.0991174214941746</v>
      </c>
      <c r="CC90" s="176">
        <f>DANE!BC90</f>
        <v>191</v>
      </c>
      <c r="CD90" s="188">
        <f t="shared" si="12"/>
        <v>7922</v>
      </c>
      <c r="CE90" s="177">
        <f t="shared" ca="1" si="28"/>
        <v>185.85714285714286</v>
      </c>
      <c r="CF90" s="209">
        <f t="shared" si="45"/>
        <v>1409.3032753666446</v>
      </c>
      <c r="CG90" s="179">
        <f t="shared" si="46"/>
        <v>-8.4782168339680702E-3</v>
      </c>
      <c r="CH90" s="213">
        <f t="shared" si="47"/>
        <v>0.94065248216222352</v>
      </c>
      <c r="CI90" s="217">
        <f t="shared" ca="1" si="48"/>
        <v>0.85489914772575359</v>
      </c>
      <c r="CJ90" s="176">
        <f>DANE!BG90</f>
        <v>7</v>
      </c>
      <c r="CK90" s="188">
        <f t="shared" si="13"/>
        <v>438</v>
      </c>
      <c r="CL90" s="177">
        <f t="shared" ca="1" si="29"/>
        <v>10.285714285714286</v>
      </c>
      <c r="CM90" s="209">
        <f t="shared" si="79"/>
        <v>60.12468714753053</v>
      </c>
      <c r="CN90" s="179">
        <f t="shared" si="86"/>
        <v>-2.9915301273443114E-2</v>
      </c>
      <c r="CO90" s="213">
        <f t="shared" si="87"/>
        <v>0.79059289108589814</v>
      </c>
      <c r="CP90" s="214">
        <f t="shared" ca="1" si="88"/>
        <v>1.8302025979382646</v>
      </c>
      <c r="CQ90" s="176">
        <f>DANE!BK90</f>
        <v>0</v>
      </c>
      <c r="CR90" s="188">
        <f t="shared" si="14"/>
        <v>179</v>
      </c>
      <c r="CS90" s="177">
        <f t="shared" ca="1" si="30"/>
        <v>0.7142857142857143</v>
      </c>
      <c r="CT90" s="209">
        <f t="shared" si="89"/>
        <v>5.1066147223066469</v>
      </c>
      <c r="CU90" s="179">
        <f t="shared" si="90"/>
        <v>-0.14285714285714274</v>
      </c>
      <c r="CV90" s="213">
        <f t="shared" si="91"/>
        <v>7.7715611723760958E-16</v>
      </c>
      <c r="CW90" s="217">
        <f t="shared" ca="1" si="92"/>
        <v>0.98951749002664202</v>
      </c>
      <c r="CX90" s="176">
        <f>DANE!BO90</f>
        <v>13</v>
      </c>
      <c r="CY90" s="188">
        <f t="shared" si="15"/>
        <v>2146</v>
      </c>
      <c r="CZ90" s="177">
        <f t="shared" ca="1" si="31"/>
        <v>29.285714285714285</v>
      </c>
      <c r="DA90" s="209">
        <f t="shared" si="54"/>
        <v>187.96557616100714</v>
      </c>
      <c r="DB90" s="179">
        <f t="shared" si="58"/>
        <v>-7.9171145946509106E-2</v>
      </c>
      <c r="DC90" s="213">
        <f t="shared" si="59"/>
        <v>0.44580197837443625</v>
      </c>
      <c r="DD90" s="214">
        <f t="shared" ca="1" si="60"/>
        <v>1.1135914591366325</v>
      </c>
      <c r="DE90" s="176">
        <f>DANE!BS90</f>
        <v>4</v>
      </c>
      <c r="DF90" s="188">
        <f t="shared" si="16"/>
        <v>531</v>
      </c>
      <c r="DG90" s="177">
        <f t="shared" ca="1" si="32"/>
        <v>2.2857142857142856</v>
      </c>
      <c r="DH90" s="209">
        <f t="shared" si="70"/>
        <v>21.067310838371892</v>
      </c>
      <c r="DI90" s="179">
        <f t="shared" si="74"/>
        <v>5.8028131984344367E-2</v>
      </c>
      <c r="DJ90" s="157">
        <f t="shared" si="75"/>
        <v>1.4061969238904106</v>
      </c>
      <c r="DK90" s="225">
        <f t="shared" ca="1" si="76"/>
        <v>0.64606124142893417</v>
      </c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</row>
    <row r="91" spans="1:138" x14ac:dyDescent="0.25">
      <c r="A91" s="61">
        <v>43981</v>
      </c>
      <c r="B91" s="62" t="str">
        <f t="shared" ca="1" si="0"/>
        <v/>
      </c>
      <c r="C91" s="12">
        <f t="shared" si="93"/>
        <v>88</v>
      </c>
      <c r="D91" s="176">
        <f>DANE!K91</f>
        <v>25</v>
      </c>
      <c r="E91" s="198">
        <f t="shared" si="1"/>
        <v>2581</v>
      </c>
      <c r="F91" s="178">
        <f t="shared" ca="1" si="17"/>
        <v>26</v>
      </c>
      <c r="G91" s="211">
        <f t="shared" si="38"/>
        <v>204.35019542565595</v>
      </c>
      <c r="H91" s="200">
        <f t="shared" si="42"/>
        <v>-2.3378201795971925E-2</v>
      </c>
      <c r="I91" s="213">
        <f t="shared" si="43"/>
        <v>0.83635258742819651</v>
      </c>
      <c r="J91" s="214">
        <f t="shared" ca="1" si="44"/>
        <v>0.81034734455256152</v>
      </c>
      <c r="K91" s="176">
        <f>DANE!O91</f>
        <v>0</v>
      </c>
      <c r="L91" s="198">
        <f t="shared" si="2"/>
        <v>593</v>
      </c>
      <c r="M91" s="177">
        <f t="shared" ca="1" si="18"/>
        <v>0.42857142857142855</v>
      </c>
      <c r="N91" s="211">
        <f t="shared" si="62"/>
        <v>5.8039849244332</v>
      </c>
      <c r="O91" s="200">
        <f t="shared" si="66"/>
        <v>-0.14285714285714285</v>
      </c>
      <c r="P91" s="213">
        <f t="shared" si="67"/>
        <v>0</v>
      </c>
      <c r="Q91" s="217">
        <f t="shared" ca="1" si="68"/>
        <v>0.26726393306204616</v>
      </c>
      <c r="R91" s="176">
        <f>DANE!S91</f>
        <v>0</v>
      </c>
      <c r="S91" s="198">
        <f t="shared" si="3"/>
        <v>486</v>
      </c>
      <c r="T91" s="177">
        <f t="shared" ca="1" si="19"/>
        <v>9.2857142857142865</v>
      </c>
      <c r="U91" s="211">
        <f t="shared" si="50"/>
        <v>43.761600325275559</v>
      </c>
      <c r="V91" s="200">
        <f t="shared" si="55"/>
        <v>-0.14285714285714279</v>
      </c>
      <c r="W91" s="213">
        <f t="shared" si="56"/>
        <v>4.4408920985006262E-16</v>
      </c>
      <c r="X91" s="214">
        <f t="shared" ca="1" si="57"/>
        <v>2.1319624824140488</v>
      </c>
      <c r="Y91" s="176">
        <f>DANE!W91</f>
        <v>2</v>
      </c>
      <c r="Z91" s="198">
        <f t="shared" si="4"/>
        <v>116</v>
      </c>
      <c r="AA91" s="177">
        <f t="shared" ca="1" si="20"/>
        <v>2.4285714285714284</v>
      </c>
      <c r="AB91" s="211">
        <f t="shared" si="94"/>
        <v>43.497206581805706</v>
      </c>
      <c r="AC91" s="200">
        <f t="shared" si="95"/>
        <v>-0.1015462726686579</v>
      </c>
      <c r="AD91" s="213">
        <f t="shared" si="96"/>
        <v>0.2891760913193947</v>
      </c>
      <c r="AE91" s="217">
        <f t="shared" ca="1" si="97"/>
        <v>0.17990699508364816</v>
      </c>
      <c r="AF91" s="176">
        <f>DANE!AA91</f>
        <v>35</v>
      </c>
      <c r="AG91" s="198">
        <f t="shared" si="5"/>
        <v>1520</v>
      </c>
      <c r="AH91" s="177">
        <f t="shared" ca="1" si="21"/>
        <v>28.428571428571427</v>
      </c>
      <c r="AI91" s="211">
        <f t="shared" si="37"/>
        <v>173.4305208613365</v>
      </c>
      <c r="AJ91" s="200">
        <f t="shared" si="39"/>
        <v>7.3858071485296162E-2</v>
      </c>
      <c r="AK91" s="213">
        <f t="shared" si="40"/>
        <v>1.5170065003970732</v>
      </c>
      <c r="AL91" s="214">
        <f t="shared" ca="1" si="41"/>
        <v>1.6063758179606542</v>
      </c>
      <c r="AM91" s="176">
        <f>DANE!AE91</f>
        <v>16</v>
      </c>
      <c r="AN91" s="198">
        <f t="shared" si="6"/>
        <v>1214</v>
      </c>
      <c r="AO91" s="177">
        <f t="shared" ca="1" si="22"/>
        <v>6.1428571428571432</v>
      </c>
      <c r="AP91" s="211">
        <f t="shared" si="49"/>
        <v>55.19258599943425</v>
      </c>
      <c r="AQ91" s="200">
        <f t="shared" si="51"/>
        <v>0.20706326592842919</v>
      </c>
      <c r="AR91" s="213">
        <f t="shared" si="52"/>
        <v>2.4494428614990045</v>
      </c>
      <c r="AS91" s="217">
        <f t="shared" ca="1" si="53"/>
        <v>0.93837712218736535</v>
      </c>
      <c r="AT91" s="176">
        <f>DANE!AI91</f>
        <v>52</v>
      </c>
      <c r="AU91" s="198">
        <f t="shared" si="7"/>
        <v>3546</v>
      </c>
      <c r="AV91" s="177">
        <f t="shared" ca="1" si="23"/>
        <v>49.857142857142854</v>
      </c>
      <c r="AW91" s="211">
        <f t="shared" si="33"/>
        <v>312.4790097911303</v>
      </c>
      <c r="AX91" s="200">
        <f t="shared" si="34"/>
        <v>2.8256178738977313E-2</v>
      </c>
      <c r="AY91" s="213">
        <f t="shared" si="35"/>
        <v>1.1977932511728413</v>
      </c>
      <c r="AZ91" s="214">
        <f t="shared" ca="1" si="36"/>
        <v>1.2895931635864708</v>
      </c>
      <c r="BA91" s="176">
        <f>DANE!AM91</f>
        <v>11</v>
      </c>
      <c r="BB91" s="198">
        <f t="shared" si="8"/>
        <v>642</v>
      </c>
      <c r="BC91" s="177">
        <f t="shared" ca="1" si="24"/>
        <v>7.4285714285714288</v>
      </c>
      <c r="BD91" s="211">
        <f t="shared" si="77"/>
        <v>57.617774489244731</v>
      </c>
      <c r="BE91" s="200">
        <f t="shared" si="80"/>
        <v>5.9395571517858341E-2</v>
      </c>
      <c r="BF91" s="213">
        <f t="shared" si="81"/>
        <v>1.4157690006250085</v>
      </c>
      <c r="BG91" s="217">
        <f t="shared" ca="1" si="82"/>
        <v>1.0328286746085706</v>
      </c>
      <c r="BH91" s="176">
        <f>DANE!AQ91</f>
        <v>0</v>
      </c>
      <c r="BI91" s="198">
        <f t="shared" si="9"/>
        <v>383</v>
      </c>
      <c r="BJ91" s="177">
        <f t="shared" ca="1" si="25"/>
        <v>0.8571428571428571</v>
      </c>
      <c r="BK91" s="211">
        <f t="shared" si="61"/>
        <v>6.3046597518846115</v>
      </c>
      <c r="BL91" s="200">
        <f t="shared" si="63"/>
        <v>-0.14285714285714285</v>
      </c>
      <c r="BM91" s="213">
        <f t="shared" si="64"/>
        <v>0</v>
      </c>
      <c r="BN91" s="214">
        <f t="shared" ca="1" si="65"/>
        <v>1.0156961360529206</v>
      </c>
      <c r="BO91" s="176">
        <f>DANE!AU91</f>
        <v>4</v>
      </c>
      <c r="BP91" s="198">
        <f t="shared" si="10"/>
        <v>449</v>
      </c>
      <c r="BQ91" s="177">
        <f t="shared" ca="1" si="26"/>
        <v>5</v>
      </c>
      <c r="BR91" s="211">
        <f t="shared" si="78"/>
        <v>29.257118332447064</v>
      </c>
      <c r="BS91" s="200">
        <f t="shared" si="83"/>
        <v>-7.110404712164199E-3</v>
      </c>
      <c r="BT91" s="213">
        <f t="shared" si="84"/>
        <v>0.95022716701485055</v>
      </c>
      <c r="BU91" s="217">
        <f t="shared" ca="1" si="85"/>
        <v>1.3644206830696402</v>
      </c>
      <c r="BV91" s="176">
        <f>DANE!AY91</f>
        <v>0</v>
      </c>
      <c r="BW91" s="198">
        <f t="shared" si="11"/>
        <v>552</v>
      </c>
      <c r="BX91" s="177">
        <f t="shared" ca="1" si="27"/>
        <v>3.5714285714285716</v>
      </c>
      <c r="BY91" s="211">
        <f t="shared" si="69"/>
        <v>25.656288894262516</v>
      </c>
      <c r="BZ91" s="200">
        <f t="shared" si="71"/>
        <v>-0.14285714285714277</v>
      </c>
      <c r="CA91" s="213">
        <f t="shared" si="72"/>
        <v>5.5511151231257827E-16</v>
      </c>
      <c r="CB91" s="214">
        <f t="shared" ca="1" si="73"/>
        <v>0.74129887430737817</v>
      </c>
      <c r="CC91" s="176">
        <f>DANE!BC91</f>
        <v>228</v>
      </c>
      <c r="CD91" s="198">
        <f t="shared" si="12"/>
        <v>8150</v>
      </c>
      <c r="CE91" s="177">
        <f t="shared" ca="1" si="28"/>
        <v>192.85714285714286</v>
      </c>
      <c r="CF91" s="211">
        <f t="shared" si="45"/>
        <v>1435.9742360285527</v>
      </c>
      <c r="CG91" s="200">
        <f t="shared" si="46"/>
        <v>1.8924926329266772E-2</v>
      </c>
      <c r="CH91" s="213">
        <f t="shared" si="47"/>
        <v>1.1324744843048675</v>
      </c>
      <c r="CI91" s="217">
        <f t="shared" ca="1" si="48"/>
        <v>0.90730663109425602</v>
      </c>
      <c r="CJ91" s="176">
        <f>DANE!BG91</f>
        <v>34</v>
      </c>
      <c r="CK91" s="198">
        <f t="shared" si="13"/>
        <v>472</v>
      </c>
      <c r="CL91" s="177">
        <f t="shared" ca="1" si="29"/>
        <v>14</v>
      </c>
      <c r="CM91" s="211">
        <f t="shared" si="79"/>
        <v>85.535446126454744</v>
      </c>
      <c r="CN91" s="200">
        <f t="shared" si="86"/>
        <v>0.4226343650915429</v>
      </c>
      <c r="CO91" s="213">
        <f t="shared" si="87"/>
        <v>3.9584405556408004</v>
      </c>
      <c r="CP91" s="214">
        <f t="shared" ca="1" si="88"/>
        <v>2.116039306741528</v>
      </c>
      <c r="CQ91" s="176">
        <f>DANE!BK91</f>
        <v>0</v>
      </c>
      <c r="CR91" s="198">
        <f t="shared" si="14"/>
        <v>179</v>
      </c>
      <c r="CS91" s="177">
        <f t="shared" ca="1" si="30"/>
        <v>0.5714285714285714</v>
      </c>
      <c r="CT91" s="211">
        <f t="shared" si="89"/>
        <v>4.3770983334056979</v>
      </c>
      <c r="CU91" s="200">
        <f t="shared" si="90"/>
        <v>-0.14285714285714277</v>
      </c>
      <c r="CV91" s="213">
        <f t="shared" si="91"/>
        <v>5.5511151231257827E-16</v>
      </c>
      <c r="CW91" s="217">
        <f t="shared" ca="1" si="92"/>
        <v>0.83438195107798152</v>
      </c>
      <c r="CX91" s="176">
        <f>DANE!BO91</f>
        <v>1</v>
      </c>
      <c r="CY91" s="198">
        <f t="shared" si="15"/>
        <v>2147</v>
      </c>
      <c r="CZ91" s="177">
        <f t="shared" ca="1" si="31"/>
        <v>27.714285714285715</v>
      </c>
      <c r="DA91" s="211">
        <f t="shared" si="54"/>
        <v>162.11335099514898</v>
      </c>
      <c r="DB91" s="200">
        <f t="shared" si="58"/>
        <v>-0.1375370197770347</v>
      </c>
      <c r="DC91" s="213">
        <f t="shared" si="59"/>
        <v>3.7240861560757121E-2</v>
      </c>
      <c r="DD91" s="214">
        <f t="shared" ca="1" si="60"/>
        <v>1.0512897338163898</v>
      </c>
      <c r="DE91" s="176">
        <f>DANE!BS91</f>
        <v>4</v>
      </c>
      <c r="DF91" s="198">
        <f t="shared" si="16"/>
        <v>535</v>
      </c>
      <c r="DG91" s="177">
        <f t="shared" ca="1" si="32"/>
        <v>2.2857142857142856</v>
      </c>
      <c r="DH91" s="211">
        <f t="shared" si="70"/>
        <v>22.057695004318767</v>
      </c>
      <c r="DI91" s="200">
        <f t="shared" si="74"/>
        <v>4.7010469136051003E-2</v>
      </c>
      <c r="DJ91" s="157">
        <f t="shared" si="75"/>
        <v>1.3290732839523569</v>
      </c>
      <c r="DK91" s="225">
        <f t="shared" ca="1" si="76"/>
        <v>0.70631649779077499</v>
      </c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</row>
    <row r="92" spans="1:138" x14ac:dyDescent="0.25">
      <c r="A92" s="61">
        <v>43982</v>
      </c>
      <c r="B92" s="62" t="str">
        <f t="shared" ca="1" si="0"/>
        <v/>
      </c>
      <c r="C92" s="12">
        <f t="shared" si="93"/>
        <v>89</v>
      </c>
      <c r="D92" s="176">
        <f>DANE!K92</f>
        <v>13</v>
      </c>
      <c r="E92" s="198">
        <f t="shared" si="1"/>
        <v>2594</v>
      </c>
      <c r="F92" s="178">
        <f t="shared" ca="1" si="17"/>
        <v>25.142857142857142</v>
      </c>
      <c r="G92" s="211">
        <f t="shared" si="38"/>
        <v>188.15731036484797</v>
      </c>
      <c r="H92" s="200">
        <f t="shared" si="42"/>
        <v>-7.9240859188211873E-2</v>
      </c>
      <c r="I92" s="213">
        <f t="shared" si="43"/>
        <v>0.4453139856825169</v>
      </c>
      <c r="J92" s="214">
        <f t="shared" ca="1" si="44"/>
        <v>0.79774098324285458</v>
      </c>
      <c r="K92" s="176">
        <f>DANE!O92</f>
        <v>0</v>
      </c>
      <c r="L92" s="198">
        <f t="shared" si="2"/>
        <v>593</v>
      </c>
      <c r="M92" s="177">
        <f t="shared" ca="1" si="18"/>
        <v>0.2857142857142857</v>
      </c>
      <c r="N92" s="211">
        <f t="shared" si="62"/>
        <v>4.9748442209427433</v>
      </c>
      <c r="O92" s="200">
        <f t="shared" si="66"/>
        <v>-0.14285714285714279</v>
      </c>
      <c r="P92" s="213">
        <f t="shared" si="67"/>
        <v>4.4408920985006262E-16</v>
      </c>
      <c r="Q92" s="217">
        <f t="shared" ca="1" si="68"/>
        <v>0.18848858793672127</v>
      </c>
      <c r="R92" s="176">
        <f>DANE!S92</f>
        <v>7</v>
      </c>
      <c r="S92" s="198">
        <f t="shared" si="3"/>
        <v>493</v>
      </c>
      <c r="T92" s="177">
        <f t="shared" ca="1" si="19"/>
        <v>8.4285714285714288</v>
      </c>
      <c r="U92" s="211">
        <f t="shared" si="50"/>
        <v>44.509943135950479</v>
      </c>
      <c r="V92" s="200">
        <f t="shared" si="55"/>
        <v>1.7100444341901656E-2</v>
      </c>
      <c r="W92" s="213">
        <f t="shared" si="56"/>
        <v>1.1197031103933115</v>
      </c>
      <c r="X92" s="214">
        <f t="shared" ca="1" si="57"/>
        <v>1.5823847631426784</v>
      </c>
      <c r="Y92" s="176">
        <f>DANE!W92</f>
        <v>0</v>
      </c>
      <c r="Z92" s="198">
        <f t="shared" si="4"/>
        <v>116</v>
      </c>
      <c r="AA92" s="177">
        <f t="shared" ca="1" si="20"/>
        <v>1.8571428571428572</v>
      </c>
      <c r="AB92" s="211">
        <f t="shared" si="94"/>
        <v>37.283319927262035</v>
      </c>
      <c r="AC92" s="200">
        <f t="shared" si="95"/>
        <v>-0.14285714285714282</v>
      </c>
      <c r="AD92" s="213">
        <f t="shared" si="96"/>
        <v>2.2204460492503131E-16</v>
      </c>
      <c r="AE92" s="217">
        <f t="shared" ca="1" si="97"/>
        <v>0.14992249590304016</v>
      </c>
      <c r="AF92" s="176">
        <f>DANE!AA92</f>
        <v>30</v>
      </c>
      <c r="AG92" s="198">
        <f t="shared" si="5"/>
        <v>1550</v>
      </c>
      <c r="AH92" s="177">
        <f t="shared" ca="1" si="21"/>
        <v>29.428571428571427</v>
      </c>
      <c r="AI92" s="211">
        <f t="shared" si="37"/>
        <v>178.65473216685987</v>
      </c>
      <c r="AJ92" s="200">
        <f t="shared" si="39"/>
        <v>3.0122790841989686E-2</v>
      </c>
      <c r="AK92" s="213">
        <f t="shared" si="40"/>
        <v>1.2108595358939278</v>
      </c>
      <c r="AL92" s="214">
        <f t="shared" ca="1" si="41"/>
        <v>1.5449413425502034</v>
      </c>
      <c r="AM92" s="176">
        <f>DANE!AE92</f>
        <v>10</v>
      </c>
      <c r="AN92" s="198">
        <f t="shared" si="6"/>
        <v>1224</v>
      </c>
      <c r="AO92" s="177">
        <f t="shared" ca="1" si="22"/>
        <v>6.8571428571428568</v>
      </c>
      <c r="AP92" s="211">
        <f t="shared" si="49"/>
        <v>57.307930856657933</v>
      </c>
      <c r="AQ92" s="200">
        <f t="shared" si="51"/>
        <v>3.8326612513596772E-2</v>
      </c>
      <c r="AR92" s="213">
        <f t="shared" si="52"/>
        <v>1.2682862875951775</v>
      </c>
      <c r="AS92" s="217">
        <f t="shared" ca="1" si="53"/>
        <v>1.0380912193665688</v>
      </c>
      <c r="AT92" s="176">
        <f>DANE!AI92</f>
        <v>35</v>
      </c>
      <c r="AU92" s="198">
        <f t="shared" si="7"/>
        <v>3581</v>
      </c>
      <c r="AV92" s="177">
        <f t="shared" ca="1" si="23"/>
        <v>52</v>
      </c>
      <c r="AW92" s="211">
        <f t="shared" si="33"/>
        <v>302.83915124954029</v>
      </c>
      <c r="AX92" s="200">
        <f t="shared" si="34"/>
        <v>-3.084961946094732E-2</v>
      </c>
      <c r="AY92" s="213">
        <f t="shared" si="35"/>
        <v>0.78405266377336869</v>
      </c>
      <c r="AZ92" s="214">
        <f t="shared" ca="1" si="36"/>
        <v>1.318336507421866</v>
      </c>
      <c r="BA92" s="176">
        <f>DANE!AM92</f>
        <v>1</v>
      </c>
      <c r="BB92" s="198">
        <f t="shared" si="8"/>
        <v>643</v>
      </c>
      <c r="BC92" s="177">
        <f t="shared" ca="1" si="24"/>
        <v>7.1428571428571432</v>
      </c>
      <c r="BD92" s="211">
        <f t="shared" si="77"/>
        <v>50.386663847924062</v>
      </c>
      <c r="BE92" s="200">
        <f t="shared" si="80"/>
        <v>-0.12550138746977238</v>
      </c>
      <c r="BF92" s="213">
        <f t="shared" si="81"/>
        <v>0.12149028771159331</v>
      </c>
      <c r="BG92" s="217">
        <f t="shared" ca="1" si="82"/>
        <v>0.99733988739203916</v>
      </c>
      <c r="BH92" s="176">
        <f>DANE!AQ92</f>
        <v>5</v>
      </c>
      <c r="BI92" s="198">
        <f t="shared" si="9"/>
        <v>388</v>
      </c>
      <c r="BJ92" s="177">
        <f t="shared" ca="1" si="25"/>
        <v>1.2857142857142858</v>
      </c>
      <c r="BK92" s="211">
        <f t="shared" si="61"/>
        <v>10.403994073043954</v>
      </c>
      <c r="BL92" s="200">
        <f t="shared" si="63"/>
        <v>0.65020706627886693</v>
      </c>
      <c r="BM92" s="213">
        <f t="shared" si="64"/>
        <v>5.5514494639520686</v>
      </c>
      <c r="BN92" s="214">
        <f t="shared" ca="1" si="65"/>
        <v>1.5167165612419213</v>
      </c>
      <c r="BO92" s="176">
        <f>DANE!AU92</f>
        <v>1</v>
      </c>
      <c r="BP92" s="198">
        <f t="shared" si="10"/>
        <v>450</v>
      </c>
      <c r="BQ92" s="177">
        <f t="shared" ca="1" si="26"/>
        <v>4.5714285714285712</v>
      </c>
      <c r="BR92" s="211">
        <f t="shared" si="78"/>
        <v>26.077529999240344</v>
      </c>
      <c r="BS92" s="200">
        <f t="shared" si="83"/>
        <v>-0.10867742670611741</v>
      </c>
      <c r="BT92" s="213">
        <f t="shared" si="84"/>
        <v>0.23925801305717809</v>
      </c>
      <c r="BU92" s="217">
        <f t="shared" ca="1" si="85"/>
        <v>1.2080626588554677</v>
      </c>
      <c r="BV92" s="176">
        <f>DANE!AY92</f>
        <v>1</v>
      </c>
      <c r="BW92" s="198">
        <f t="shared" si="11"/>
        <v>553</v>
      </c>
      <c r="BX92" s="177">
        <f t="shared" ca="1" si="27"/>
        <v>2.8571428571428572</v>
      </c>
      <c r="BY92" s="211">
        <f t="shared" si="69"/>
        <v>22.99110476651073</v>
      </c>
      <c r="BZ92" s="200">
        <f t="shared" si="71"/>
        <v>-0.10388034445417388</v>
      </c>
      <c r="CA92" s="213">
        <f t="shared" si="72"/>
        <v>0.27283758882078279</v>
      </c>
      <c r="CB92" s="214">
        <f t="shared" ca="1" si="73"/>
        <v>0.6035695423369859</v>
      </c>
      <c r="CC92" s="176">
        <f>DANE!BC92</f>
        <v>105</v>
      </c>
      <c r="CD92" s="198">
        <f t="shared" si="12"/>
        <v>8255</v>
      </c>
      <c r="CE92" s="177">
        <f t="shared" ca="1" si="28"/>
        <v>181.42857142857142</v>
      </c>
      <c r="CF92" s="211">
        <f t="shared" si="45"/>
        <v>1335.8350594530452</v>
      </c>
      <c r="CG92" s="200">
        <f t="shared" si="46"/>
        <v>-6.9736053797497463E-2</v>
      </c>
      <c r="CH92" s="213">
        <f t="shared" si="47"/>
        <v>0.51184762341751777</v>
      </c>
      <c r="CI92" s="217">
        <f t="shared" ca="1" si="48"/>
        <v>0.86347093486739313</v>
      </c>
      <c r="CJ92" s="176">
        <f>DANE!BG92</f>
        <v>7</v>
      </c>
      <c r="CK92" s="198">
        <f t="shared" si="13"/>
        <v>479</v>
      </c>
      <c r="CL92" s="177">
        <f t="shared" ca="1" si="29"/>
        <v>14</v>
      </c>
      <c r="CM92" s="211">
        <f t="shared" si="79"/>
        <v>80.316096679818358</v>
      </c>
      <c r="CN92" s="200">
        <f t="shared" si="86"/>
        <v>-6.1019725540685812E-2</v>
      </c>
      <c r="CO92" s="213">
        <f t="shared" si="87"/>
        <v>0.5728619212151993</v>
      </c>
      <c r="CP92" s="214">
        <f t="shared" ca="1" si="88"/>
        <v>1.9826247415273386</v>
      </c>
      <c r="CQ92" s="176">
        <f>DANE!BK92</f>
        <v>0</v>
      </c>
      <c r="CR92" s="198">
        <f t="shared" si="14"/>
        <v>179</v>
      </c>
      <c r="CS92" s="177">
        <f t="shared" ca="1" si="30"/>
        <v>0.5714285714285714</v>
      </c>
      <c r="CT92" s="211">
        <f t="shared" si="89"/>
        <v>3.7517985714905984</v>
      </c>
      <c r="CU92" s="200">
        <f t="shared" si="90"/>
        <v>-0.14285714285714282</v>
      </c>
      <c r="CV92" s="213">
        <f t="shared" si="91"/>
        <v>2.2204460492503131E-16</v>
      </c>
      <c r="CW92" s="217">
        <f t="shared" ca="1" si="92"/>
        <v>0.83438195107798152</v>
      </c>
      <c r="CX92" s="176">
        <f>DANE!BO92</f>
        <v>3</v>
      </c>
      <c r="CY92" s="198">
        <f t="shared" si="15"/>
        <v>2150</v>
      </c>
      <c r="CZ92" s="177">
        <f t="shared" ca="1" si="31"/>
        <v>18.428571428571427</v>
      </c>
      <c r="DA92" s="211">
        <f t="shared" si="54"/>
        <v>141.95430085298486</v>
      </c>
      <c r="DB92" s="200">
        <f t="shared" si="58"/>
        <v>-0.12435157263985834</v>
      </c>
      <c r="DC92" s="213">
        <f t="shared" si="59"/>
        <v>0.12953899152099158</v>
      </c>
      <c r="DD92" s="214">
        <f t="shared" ca="1" si="60"/>
        <v>0.65542992874227346</v>
      </c>
      <c r="DE92" s="176">
        <f>DANE!BS92</f>
        <v>1</v>
      </c>
      <c r="DF92" s="198">
        <f t="shared" si="16"/>
        <v>536</v>
      </c>
      <c r="DG92" s="177">
        <f t="shared" ca="1" si="32"/>
        <v>2.2857142857142856</v>
      </c>
      <c r="DH92" s="211">
        <f t="shared" si="70"/>
        <v>19.906595717987514</v>
      </c>
      <c r="DI92" s="200">
        <f t="shared" si="74"/>
        <v>-9.7521490160693572E-2</v>
      </c>
      <c r="DJ92" s="157">
        <f t="shared" si="75"/>
        <v>0.31734956887514498</v>
      </c>
      <c r="DK92" s="225">
        <f t="shared" ca="1" si="76"/>
        <v>0.71881412897149422</v>
      </c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</row>
    <row r="93" spans="1:138" x14ac:dyDescent="0.25">
      <c r="A93" s="32">
        <v>43983</v>
      </c>
      <c r="B93" s="33" t="str">
        <f t="shared" ca="1" si="0"/>
        <v/>
      </c>
      <c r="C93" s="51">
        <f t="shared" si="93"/>
        <v>90</v>
      </c>
      <c r="D93" s="176">
        <f>DANE!K93</f>
        <v>36</v>
      </c>
      <c r="E93" s="188">
        <f t="shared" si="1"/>
        <v>2630</v>
      </c>
      <c r="F93" s="178">
        <f t="shared" ca="1" si="17"/>
        <v>25</v>
      </c>
      <c r="G93" s="209">
        <f t="shared" si="38"/>
        <v>197.27769459844114</v>
      </c>
      <c r="H93" s="179">
        <f t="shared" si="42"/>
        <v>4.8472122693017962E-2</v>
      </c>
      <c r="I93" s="213">
        <f t="shared" si="43"/>
        <v>1.3393048588511258</v>
      </c>
      <c r="J93" s="214">
        <f t="shared" ca="1" si="44"/>
        <v>0.83003976024043591</v>
      </c>
      <c r="K93" s="176">
        <f>DANE!O93</f>
        <v>0</v>
      </c>
      <c r="L93" s="188">
        <f t="shared" si="2"/>
        <v>593</v>
      </c>
      <c r="M93" s="177">
        <f t="shared" ca="1" si="18"/>
        <v>0.14285714285714285</v>
      </c>
      <c r="N93" s="209">
        <f t="shared" si="62"/>
        <v>4.2641521893794945</v>
      </c>
      <c r="O93" s="179">
        <f t="shared" si="66"/>
        <v>-0.14285714285714279</v>
      </c>
      <c r="P93" s="213">
        <f t="shared" si="67"/>
        <v>4.4408920985006262E-16</v>
      </c>
      <c r="Q93" s="217">
        <f t="shared" ca="1" si="68"/>
        <v>0.1043195388313463</v>
      </c>
      <c r="R93" s="176">
        <f>DANE!S93</f>
        <v>2</v>
      </c>
      <c r="S93" s="188">
        <f t="shared" si="3"/>
        <v>495</v>
      </c>
      <c r="T93" s="177">
        <f t="shared" ca="1" si="19"/>
        <v>7</v>
      </c>
      <c r="U93" s="209">
        <f t="shared" si="50"/>
        <v>40.151379830814697</v>
      </c>
      <c r="V93" s="179">
        <f t="shared" si="55"/>
        <v>-9.7923362692759544E-2</v>
      </c>
      <c r="W93" s="213">
        <f t="shared" si="56"/>
        <v>0.31453646115068312</v>
      </c>
      <c r="X93" s="214">
        <f t="shared" ca="1" si="57"/>
        <v>1.2092648021349688</v>
      </c>
      <c r="Y93" s="176">
        <f>DANE!W93</f>
        <v>2</v>
      </c>
      <c r="Z93" s="188">
        <f t="shared" si="4"/>
        <v>118</v>
      </c>
      <c r="AA93" s="177">
        <f t="shared" ca="1" si="20"/>
        <v>1.4285714285714286</v>
      </c>
      <c r="AB93" s="209">
        <f t="shared" si="94"/>
        <v>33.957131366224601</v>
      </c>
      <c r="AC93" s="179">
        <f t="shared" si="95"/>
        <v>-8.9213851328869526E-2</v>
      </c>
      <c r="AD93" s="213">
        <f t="shared" si="96"/>
        <v>0.37550304069791329</v>
      </c>
      <c r="AE93" s="217">
        <f t="shared" ca="1" si="97"/>
        <v>0.18214828801659347</v>
      </c>
      <c r="AF93" s="176">
        <f>DANE!AA93</f>
        <v>52</v>
      </c>
      <c r="AG93" s="188">
        <f t="shared" si="5"/>
        <v>1602</v>
      </c>
      <c r="AH93" s="177">
        <f t="shared" ca="1" si="21"/>
        <v>34.714285714285715</v>
      </c>
      <c r="AI93" s="209">
        <f t="shared" si="37"/>
        <v>205.13262757159418</v>
      </c>
      <c r="AJ93" s="179">
        <f t="shared" si="39"/>
        <v>0.14820707564580207</v>
      </c>
      <c r="AK93" s="213">
        <f t="shared" si="40"/>
        <v>2.0374495295206145</v>
      </c>
      <c r="AL93" s="214">
        <f t="shared" ca="1" si="41"/>
        <v>1.6959497278052607</v>
      </c>
      <c r="AM93" s="176">
        <f>DANE!AE93</f>
        <v>7</v>
      </c>
      <c r="AN93" s="188">
        <f t="shared" si="6"/>
        <v>1231</v>
      </c>
      <c r="AO93" s="177">
        <f t="shared" ca="1" si="22"/>
        <v>7.8571428571428568</v>
      </c>
      <c r="AP93" s="209">
        <f t="shared" si="49"/>
        <v>56.12108359142109</v>
      </c>
      <c r="AQ93" s="179">
        <f t="shared" si="51"/>
        <v>-2.07100003000537E-2</v>
      </c>
      <c r="AR93" s="213">
        <f t="shared" si="52"/>
        <v>0.85502999789962408</v>
      </c>
      <c r="AS93" s="217">
        <f t="shared" ca="1" si="53"/>
        <v>1.160238361923658</v>
      </c>
      <c r="AT93" s="176">
        <f>DANE!AI93</f>
        <v>47</v>
      </c>
      <c r="AU93" s="188">
        <f t="shared" si="7"/>
        <v>3628</v>
      </c>
      <c r="AV93" s="177">
        <f t="shared" ca="1" si="23"/>
        <v>49.285714285714285</v>
      </c>
      <c r="AW93" s="209">
        <f t="shared" si="33"/>
        <v>306.57641535674884</v>
      </c>
      <c r="AX93" s="179">
        <f t="shared" si="34"/>
        <v>1.2340756113561519E-2</v>
      </c>
      <c r="AY93" s="213">
        <f t="shared" si="35"/>
        <v>1.0863852927949307</v>
      </c>
      <c r="AZ93" s="214">
        <f t="shared" ca="1" si="36"/>
        <v>1.1813505096048789</v>
      </c>
      <c r="BA93" s="176">
        <f>DANE!AM93</f>
        <v>9</v>
      </c>
      <c r="BB93" s="188">
        <f t="shared" si="8"/>
        <v>652</v>
      </c>
      <c r="BC93" s="177">
        <f t="shared" ca="1" si="24"/>
        <v>7.7142857142857144</v>
      </c>
      <c r="BD93" s="209">
        <f t="shared" si="77"/>
        <v>52.188569012506342</v>
      </c>
      <c r="BE93" s="179">
        <f t="shared" si="80"/>
        <v>3.5761549326241385E-2</v>
      </c>
      <c r="BF93" s="213">
        <f t="shared" si="81"/>
        <v>1.2503308452836897</v>
      </c>
      <c r="BG93" s="217">
        <f t="shared" ca="1" si="82"/>
        <v>1.0791723628677194</v>
      </c>
      <c r="BH93" s="176">
        <f>DANE!AQ93</f>
        <v>0</v>
      </c>
      <c r="BI93" s="188">
        <f t="shared" si="9"/>
        <v>388</v>
      </c>
      <c r="BJ93" s="177">
        <f t="shared" ca="1" si="25"/>
        <v>1.2857142857142858</v>
      </c>
      <c r="BK93" s="209">
        <f t="shared" si="61"/>
        <v>8.917709205466247</v>
      </c>
      <c r="BL93" s="179">
        <f t="shared" si="63"/>
        <v>-0.14285714285714279</v>
      </c>
      <c r="BM93" s="213">
        <f t="shared" si="64"/>
        <v>4.4408920985006262E-16</v>
      </c>
      <c r="BN93" s="214">
        <f t="shared" ca="1" si="65"/>
        <v>1.5167165612419211</v>
      </c>
      <c r="BO93" s="176">
        <f>DANE!AU93</f>
        <v>8</v>
      </c>
      <c r="BP93" s="188">
        <f t="shared" si="10"/>
        <v>458</v>
      </c>
      <c r="BQ93" s="177">
        <f t="shared" ca="1" si="26"/>
        <v>5</v>
      </c>
      <c r="BR93" s="209">
        <f t="shared" si="78"/>
        <v>30.35216857077744</v>
      </c>
      <c r="BS93" s="179">
        <f t="shared" si="83"/>
        <v>0.16392037787557409</v>
      </c>
      <c r="BT93" s="213">
        <f t="shared" si="84"/>
        <v>2.1474426451290185</v>
      </c>
      <c r="BU93" s="217">
        <f t="shared" ca="1" si="85"/>
        <v>1.28750736840222</v>
      </c>
      <c r="BV93" s="176">
        <f>DANE!AY93</f>
        <v>5</v>
      </c>
      <c r="BW93" s="188">
        <f t="shared" si="11"/>
        <v>558</v>
      </c>
      <c r="BX93" s="177">
        <f t="shared" ca="1" si="27"/>
        <v>2.5714285714285716</v>
      </c>
      <c r="BY93" s="209">
        <f t="shared" si="69"/>
        <v>24.70666122843777</v>
      </c>
      <c r="BZ93" s="179">
        <f t="shared" si="71"/>
        <v>7.4618269950470203E-2</v>
      </c>
      <c r="CA93" s="213">
        <f t="shared" si="72"/>
        <v>1.5223278896532915</v>
      </c>
      <c r="CB93" s="214">
        <f t="shared" ca="1" si="73"/>
        <v>0.62163754207788102</v>
      </c>
      <c r="CC93" s="176">
        <f>DANE!BC93</f>
        <v>196</v>
      </c>
      <c r="CD93" s="188">
        <f t="shared" si="12"/>
        <v>8451</v>
      </c>
      <c r="CE93" s="177">
        <f t="shared" ca="1" si="28"/>
        <v>186.85714285714286</v>
      </c>
      <c r="CF93" s="209">
        <f t="shared" si="45"/>
        <v>1341.0014795311818</v>
      </c>
      <c r="CG93" s="179">
        <f t="shared" si="46"/>
        <v>3.8675583797388165E-3</v>
      </c>
      <c r="CH93" s="213">
        <f t="shared" si="47"/>
        <v>1.0270729086581718</v>
      </c>
      <c r="CI93" s="217">
        <f t="shared" ca="1" si="48"/>
        <v>0.90765231068639807</v>
      </c>
      <c r="CJ93" s="176">
        <f>DANE!BG93</f>
        <v>6</v>
      </c>
      <c r="CK93" s="188">
        <f t="shared" si="13"/>
        <v>485</v>
      </c>
      <c r="CL93" s="177">
        <f t="shared" ca="1" si="29"/>
        <v>13.428571428571429</v>
      </c>
      <c r="CM93" s="209">
        <f t="shared" si="79"/>
        <v>74.842368582701454</v>
      </c>
      <c r="CN93" s="179">
        <f t="shared" si="86"/>
        <v>-6.8152317199104251E-2</v>
      </c>
      <c r="CO93" s="213">
        <f t="shared" si="87"/>
        <v>0.5229337796062703</v>
      </c>
      <c r="CP93" s="214">
        <f t="shared" ca="1" si="88"/>
        <v>1.7705855240302846</v>
      </c>
      <c r="CQ93" s="176">
        <f>DANE!BK93</f>
        <v>0</v>
      </c>
      <c r="CR93" s="188">
        <f t="shared" si="14"/>
        <v>179</v>
      </c>
      <c r="CS93" s="177">
        <f t="shared" ca="1" si="30"/>
        <v>0.5714285714285714</v>
      </c>
      <c r="CT93" s="209">
        <f t="shared" si="89"/>
        <v>3.2158273469919418</v>
      </c>
      <c r="CU93" s="179">
        <f t="shared" si="90"/>
        <v>-0.14285714285714277</v>
      </c>
      <c r="CV93" s="213">
        <f t="shared" si="91"/>
        <v>5.5511151231257827E-16</v>
      </c>
      <c r="CW93" s="217">
        <f t="shared" ca="1" si="92"/>
        <v>0.83438195107798163</v>
      </c>
      <c r="CX93" s="176">
        <f>DANE!BO93</f>
        <v>5</v>
      </c>
      <c r="CY93" s="188">
        <f t="shared" si="15"/>
        <v>2155</v>
      </c>
      <c r="CZ93" s="177">
        <f t="shared" ca="1" si="31"/>
        <v>16.428571428571427</v>
      </c>
      <c r="DA93" s="209">
        <f t="shared" si="54"/>
        <v>126.67511501684417</v>
      </c>
      <c r="DB93" s="179">
        <f t="shared" si="58"/>
        <v>-0.10763453973800055</v>
      </c>
      <c r="DC93" s="213">
        <f t="shared" si="59"/>
        <v>0.24655822183399612</v>
      </c>
      <c r="DD93" s="214">
        <f t="shared" ca="1" si="60"/>
        <v>0.59959644760663156</v>
      </c>
      <c r="DE93" s="176">
        <f>DANE!BS93</f>
        <v>0</v>
      </c>
      <c r="DF93" s="188">
        <f t="shared" si="16"/>
        <v>536</v>
      </c>
      <c r="DG93" s="177">
        <f t="shared" ca="1" si="32"/>
        <v>2.1428571428571428</v>
      </c>
      <c r="DH93" s="209">
        <f t="shared" si="70"/>
        <v>17.062796329703584</v>
      </c>
      <c r="DI93" s="179">
        <f t="shared" si="74"/>
        <v>-0.14285714285714282</v>
      </c>
      <c r="DJ93" s="157">
        <f t="shared" si="75"/>
        <v>2.2204460492503131E-16</v>
      </c>
      <c r="DK93" s="225">
        <f t="shared" ca="1" si="76"/>
        <v>0.68191668285419704</v>
      </c>
      <c r="DL93" s="75"/>
      <c r="DM93" s="75"/>
      <c r="DN93" s="75"/>
      <c r="DO93" s="75"/>
      <c r="DP93" s="75"/>
      <c r="DQ93" s="75"/>
      <c r="DR93" s="75"/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</row>
    <row r="94" spans="1:138" x14ac:dyDescent="0.25">
      <c r="A94" s="32">
        <v>43984</v>
      </c>
      <c r="B94" s="33" t="str">
        <f t="shared" ca="1" si="0"/>
        <v/>
      </c>
      <c r="C94" s="51">
        <f t="shared" si="93"/>
        <v>91</v>
      </c>
      <c r="D94" s="176">
        <f>DANE!K94</f>
        <v>9</v>
      </c>
      <c r="E94" s="188">
        <f t="shared" si="1"/>
        <v>2639</v>
      </c>
      <c r="F94" s="178">
        <f t="shared" ca="1" si="17"/>
        <v>24</v>
      </c>
      <c r="G94" s="209">
        <f t="shared" si="38"/>
        <v>178.09516679866385</v>
      </c>
      <c r="H94" s="179">
        <f t="shared" si="42"/>
        <v>-9.723617177716587E-2</v>
      </c>
      <c r="I94" s="213">
        <f t="shared" si="43"/>
        <v>0.31934679755983886</v>
      </c>
      <c r="J94" s="214">
        <f t="shared" ca="1" si="44"/>
        <v>0.80798532801740053</v>
      </c>
      <c r="K94" s="176">
        <f>DANE!O94</f>
        <v>1</v>
      </c>
      <c r="L94" s="188">
        <f t="shared" si="2"/>
        <v>594</v>
      </c>
      <c r="M94" s="177">
        <f t="shared" ca="1" si="18"/>
        <v>0.2857142857142857</v>
      </c>
      <c r="N94" s="209">
        <f t="shared" si="62"/>
        <v>4.6549875908967095</v>
      </c>
      <c r="O94" s="179">
        <f t="shared" si="66"/>
        <v>9.1656062954471651E-2</v>
      </c>
      <c r="P94" s="213">
        <f t="shared" si="67"/>
        <v>1.6415924406813016</v>
      </c>
      <c r="Q94" s="217">
        <f t="shared" ca="1" si="68"/>
        <v>0.33883274464296065</v>
      </c>
      <c r="R94" s="176">
        <f>DANE!S94</f>
        <v>0</v>
      </c>
      <c r="S94" s="188">
        <f t="shared" si="3"/>
        <v>495</v>
      </c>
      <c r="T94" s="177">
        <f t="shared" ca="1" si="19"/>
        <v>6.5714285714285712</v>
      </c>
      <c r="U94" s="209">
        <f t="shared" si="50"/>
        <v>34.415468426412602</v>
      </c>
      <c r="V94" s="179">
        <f t="shared" si="55"/>
        <v>-0.14285714285714277</v>
      </c>
      <c r="W94" s="213">
        <f t="shared" si="56"/>
        <v>5.5511151231257827E-16</v>
      </c>
      <c r="X94" s="214">
        <f t="shared" ca="1" si="57"/>
        <v>1.1273061179358987</v>
      </c>
      <c r="Y94" s="176">
        <f>DANE!W94</f>
        <v>2</v>
      </c>
      <c r="Z94" s="188">
        <f t="shared" si="4"/>
        <v>120</v>
      </c>
      <c r="AA94" s="177">
        <f t="shared" ca="1" si="20"/>
        <v>1.2857142857142858</v>
      </c>
      <c r="AB94" s="209">
        <f t="shared" si="94"/>
        <v>31.106112599621088</v>
      </c>
      <c r="AC94" s="179">
        <f t="shared" si="95"/>
        <v>-8.3959352627745037E-2</v>
      </c>
      <c r="AD94" s="213">
        <f t="shared" si="96"/>
        <v>0.41228453160578471</v>
      </c>
      <c r="AE94" s="217">
        <f t="shared" ca="1" si="97"/>
        <v>0.20408354367219195</v>
      </c>
      <c r="AF94" s="176">
        <f>DANE!AA94</f>
        <v>8</v>
      </c>
      <c r="AG94" s="188">
        <f t="shared" si="5"/>
        <v>1610</v>
      </c>
      <c r="AH94" s="177">
        <f t="shared" ca="1" si="21"/>
        <v>32.714285714285715</v>
      </c>
      <c r="AI94" s="209">
        <f t="shared" si="37"/>
        <v>183.82796648993789</v>
      </c>
      <c r="AJ94" s="179">
        <f t="shared" si="39"/>
        <v>-0.10385798365606497</v>
      </c>
      <c r="AK94" s="213">
        <f t="shared" si="40"/>
        <v>0.27299411440754517</v>
      </c>
      <c r="AL94" s="214">
        <f t="shared" ca="1" si="41"/>
        <v>1.5289566167834292</v>
      </c>
      <c r="AM94" s="176">
        <f>DANE!AE94</f>
        <v>10</v>
      </c>
      <c r="AN94" s="188">
        <f t="shared" si="6"/>
        <v>1241</v>
      </c>
      <c r="AO94" s="177">
        <f t="shared" ca="1" si="22"/>
        <v>8.8571428571428577</v>
      </c>
      <c r="AP94" s="209">
        <f t="shared" si="49"/>
        <v>58.103785935503794</v>
      </c>
      <c r="AQ94" s="179">
        <f t="shared" si="51"/>
        <v>3.5329010368320611E-2</v>
      </c>
      <c r="AR94" s="213">
        <f t="shared" si="52"/>
        <v>1.2473030725782444</v>
      </c>
      <c r="AS94" s="217">
        <f t="shared" ca="1" si="53"/>
        <v>1.2776659382045576</v>
      </c>
      <c r="AT94" s="176">
        <f>DANE!AI94</f>
        <v>32</v>
      </c>
      <c r="AU94" s="188">
        <f t="shared" si="7"/>
        <v>3660</v>
      </c>
      <c r="AV94" s="177">
        <f t="shared" ca="1" si="23"/>
        <v>43</v>
      </c>
      <c r="AW94" s="209">
        <f t="shared" si="33"/>
        <v>294.77978459149904</v>
      </c>
      <c r="AX94" s="179">
        <f t="shared" si="34"/>
        <v>-3.8478598399432018E-2</v>
      </c>
      <c r="AY94" s="213">
        <f t="shared" si="35"/>
        <v>0.73064981120397587</v>
      </c>
      <c r="AZ94" s="214">
        <f t="shared" ca="1" si="36"/>
        <v>0.99298881893873403</v>
      </c>
      <c r="BA94" s="176">
        <f>DANE!AM94</f>
        <v>14</v>
      </c>
      <c r="BB94" s="188">
        <f t="shared" si="8"/>
        <v>666</v>
      </c>
      <c r="BC94" s="177">
        <f t="shared" ca="1" si="24"/>
        <v>9.2857142857142865</v>
      </c>
      <c r="BD94" s="209">
        <f t="shared" si="77"/>
        <v>58.733059153576868</v>
      </c>
      <c r="BE94" s="179">
        <f t="shared" si="80"/>
        <v>0.12540083518101866</v>
      </c>
      <c r="BF94" s="213">
        <f t="shared" si="81"/>
        <v>1.8778058462671305</v>
      </c>
      <c r="BG94" s="217">
        <f t="shared" ca="1" si="82"/>
        <v>1.2865539805804593</v>
      </c>
      <c r="BH94" s="176">
        <f>DANE!AQ94</f>
        <v>0</v>
      </c>
      <c r="BI94" s="188">
        <f t="shared" si="9"/>
        <v>388</v>
      </c>
      <c r="BJ94" s="177">
        <f t="shared" ca="1" si="25"/>
        <v>1.2857142857142858</v>
      </c>
      <c r="BK94" s="209">
        <f t="shared" si="61"/>
        <v>7.6437507475424979</v>
      </c>
      <c r="BL94" s="179">
        <f t="shared" si="63"/>
        <v>-0.14285714285714279</v>
      </c>
      <c r="BM94" s="213">
        <f t="shared" si="64"/>
        <v>4.4408920985006262E-16</v>
      </c>
      <c r="BN94" s="214">
        <f t="shared" ca="1" si="65"/>
        <v>1.5167165612419211</v>
      </c>
      <c r="BO94" s="176">
        <f>DANE!AU94</f>
        <v>5</v>
      </c>
      <c r="BP94" s="188">
        <f t="shared" si="10"/>
        <v>463</v>
      </c>
      <c r="BQ94" s="177">
        <f t="shared" ca="1" si="26"/>
        <v>4.7142857142857144</v>
      </c>
      <c r="BR94" s="209">
        <f t="shared" si="78"/>
        <v>31.016144489237806</v>
      </c>
      <c r="BS94" s="179">
        <f t="shared" si="83"/>
        <v>2.1875732434473598E-2</v>
      </c>
      <c r="BT94" s="213">
        <f t="shared" si="84"/>
        <v>1.1531301270413152</v>
      </c>
      <c r="BU94" s="217">
        <f t="shared" ca="1" si="85"/>
        <v>1.1587657610889861</v>
      </c>
      <c r="BV94" s="176">
        <f>DANE!AY94</f>
        <v>1</v>
      </c>
      <c r="BW94" s="188">
        <f t="shared" si="11"/>
        <v>559</v>
      </c>
      <c r="BX94" s="177">
        <f t="shared" ca="1" si="27"/>
        <v>2.4285714285714284</v>
      </c>
      <c r="BY94" s="209">
        <f t="shared" si="69"/>
        <v>22.177138195803806</v>
      </c>
      <c r="BZ94" s="179">
        <f t="shared" si="71"/>
        <v>-0.10238222838958272</v>
      </c>
      <c r="CA94" s="213">
        <f t="shared" si="72"/>
        <v>0.28332440127292091</v>
      </c>
      <c r="CB94" s="214">
        <f t="shared" ca="1" si="73"/>
        <v>0.60818833367413672</v>
      </c>
      <c r="CC94" s="176">
        <f>DANE!BC94</f>
        <v>109</v>
      </c>
      <c r="CD94" s="188">
        <f t="shared" si="12"/>
        <v>8560</v>
      </c>
      <c r="CE94" s="177">
        <f t="shared" ca="1" si="28"/>
        <v>163.28571428571428</v>
      </c>
      <c r="CF94" s="209">
        <f t="shared" si="45"/>
        <v>1258.4298395981559</v>
      </c>
      <c r="CG94" s="179">
        <f t="shared" si="46"/>
        <v>-6.1574607629734407E-2</v>
      </c>
      <c r="CH94" s="213">
        <f t="shared" si="47"/>
        <v>0.56897774659185907</v>
      </c>
      <c r="CI94" s="217">
        <f t="shared" ca="1" si="48"/>
        <v>0.80363646219113727</v>
      </c>
      <c r="CJ94" s="176">
        <f>DANE!BG94</f>
        <v>7</v>
      </c>
      <c r="CK94" s="188">
        <f t="shared" si="13"/>
        <v>492</v>
      </c>
      <c r="CL94" s="177">
        <f t="shared" ca="1" si="29"/>
        <v>13.428571428571429</v>
      </c>
      <c r="CM94" s="209">
        <f t="shared" si="79"/>
        <v>71.150601642315536</v>
      </c>
      <c r="CN94" s="179">
        <f t="shared" si="86"/>
        <v>-4.9327232826770893E-2</v>
      </c>
      <c r="CO94" s="213">
        <f t="shared" si="87"/>
        <v>0.65470937021260367</v>
      </c>
      <c r="CP94" s="214">
        <f t="shared" ca="1" si="88"/>
        <v>1.6886428150838309</v>
      </c>
      <c r="CQ94" s="176">
        <f>DANE!BK94</f>
        <v>0</v>
      </c>
      <c r="CR94" s="188">
        <f t="shared" si="14"/>
        <v>179</v>
      </c>
      <c r="CS94" s="177">
        <f t="shared" ca="1" si="30"/>
        <v>0</v>
      </c>
      <c r="CT94" s="209">
        <f t="shared" si="89"/>
        <v>2.7564234402788075</v>
      </c>
      <c r="CU94" s="179">
        <f t="shared" si="90"/>
        <v>-0.14285714285714279</v>
      </c>
      <c r="CV94" s="213">
        <f t="shared" si="91"/>
        <v>4.4408920985006262E-16</v>
      </c>
      <c r="CW94" s="217">
        <f t="shared" ca="1" si="92"/>
        <v>3.9650822308041307E-16</v>
      </c>
      <c r="CX94" s="176">
        <f>DANE!BO94</f>
        <v>33</v>
      </c>
      <c r="CY94" s="188">
        <f t="shared" si="15"/>
        <v>2188</v>
      </c>
      <c r="CZ94" s="177">
        <f t="shared" ca="1" si="31"/>
        <v>18.428571428571427</v>
      </c>
      <c r="DA94" s="209">
        <f t="shared" si="54"/>
        <v>141.57867001443788</v>
      </c>
      <c r="DB94" s="179">
        <f t="shared" si="58"/>
        <v>0.11765179763690725</v>
      </c>
      <c r="DC94" s="213">
        <f t="shared" si="59"/>
        <v>1.8235625834583509</v>
      </c>
      <c r="DD94" s="214">
        <f t="shared" ca="1" si="60"/>
        <v>0.76407481869235894</v>
      </c>
      <c r="DE94" s="176">
        <f>DANE!BS94</f>
        <v>5</v>
      </c>
      <c r="DF94" s="188">
        <f t="shared" si="16"/>
        <v>541</v>
      </c>
      <c r="DG94" s="177">
        <f t="shared" ca="1" si="32"/>
        <v>2.2857142857142856</v>
      </c>
      <c r="DH94" s="209">
        <f t="shared" si="70"/>
        <v>19.625253996888787</v>
      </c>
      <c r="DI94" s="179">
        <f t="shared" si="74"/>
        <v>0.15017806095032482</v>
      </c>
      <c r="DJ94" s="157">
        <f t="shared" si="75"/>
        <v>2.0512464266522739</v>
      </c>
      <c r="DK94" s="225">
        <f t="shared" ca="1" si="76"/>
        <v>0.80987008449794062</v>
      </c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</row>
    <row r="95" spans="1:138" x14ac:dyDescent="0.25">
      <c r="A95" s="32">
        <v>43985</v>
      </c>
      <c r="B95" s="33" t="str">
        <f t="shared" ca="1" si="0"/>
        <v/>
      </c>
      <c r="C95" s="51">
        <f t="shared" si="93"/>
        <v>92</v>
      </c>
      <c r="D95" s="176">
        <f>DANE!K95</f>
        <v>10</v>
      </c>
      <c r="E95" s="188">
        <f t="shared" si="1"/>
        <v>2649</v>
      </c>
      <c r="F95" s="178">
        <f t="shared" ca="1" si="17"/>
        <v>19.571428571428573</v>
      </c>
      <c r="G95" s="209">
        <f t="shared" si="38"/>
        <v>162.65300011314045</v>
      </c>
      <c r="H95" s="179">
        <f t="shared" si="42"/>
        <v>-8.6707387758482718E-2</v>
      </c>
      <c r="I95" s="213">
        <f t="shared" si="43"/>
        <v>0.39304828569062089</v>
      </c>
      <c r="J95" s="214">
        <f t="shared" ca="1" si="44"/>
        <v>0.67661908307475371</v>
      </c>
      <c r="K95" s="176">
        <f>DANE!O95</f>
        <v>1</v>
      </c>
      <c r="L95" s="188">
        <f t="shared" si="2"/>
        <v>595</v>
      </c>
      <c r="M95" s="177">
        <f t="shared" ca="1" si="18"/>
        <v>0.2857142857142857</v>
      </c>
      <c r="N95" s="209">
        <f t="shared" si="62"/>
        <v>4.9899893636257513</v>
      </c>
      <c r="O95" s="179">
        <f t="shared" si="66"/>
        <v>7.1966201023644177E-2</v>
      </c>
      <c r="P95" s="213">
        <f t="shared" si="67"/>
        <v>1.5037634071655093</v>
      </c>
      <c r="Q95" s="217">
        <f t="shared" ca="1" si="68"/>
        <v>0.44933654969240172</v>
      </c>
      <c r="R95" s="176">
        <f>DANE!S95</f>
        <v>8</v>
      </c>
      <c r="S95" s="188">
        <f t="shared" si="3"/>
        <v>503</v>
      </c>
      <c r="T95" s="177">
        <f t="shared" ca="1" si="19"/>
        <v>4.8571428571428568</v>
      </c>
      <c r="U95" s="209">
        <f t="shared" si="50"/>
        <v>37.498972936925085</v>
      </c>
      <c r="V95" s="179">
        <f t="shared" si="55"/>
        <v>8.9596470758654775E-2</v>
      </c>
      <c r="W95" s="213">
        <f t="shared" si="56"/>
        <v>1.6271752953105834</v>
      </c>
      <c r="X95" s="214">
        <f t="shared" ca="1" si="57"/>
        <v>0.7779363568258546</v>
      </c>
      <c r="Y95" s="176">
        <f>DANE!W95</f>
        <v>2</v>
      </c>
      <c r="Z95" s="188">
        <f t="shared" si="4"/>
        <v>122</v>
      </c>
      <c r="AA95" s="177">
        <f t="shared" ca="1" si="20"/>
        <v>1.5714285714285714</v>
      </c>
      <c r="AB95" s="209">
        <f t="shared" si="94"/>
        <v>28.662382228246649</v>
      </c>
      <c r="AC95" s="179">
        <f t="shared" si="95"/>
        <v>-7.856109835480396E-2</v>
      </c>
      <c r="AD95" s="213">
        <f t="shared" si="96"/>
        <v>0.45007231151637228</v>
      </c>
      <c r="AE95" s="217">
        <f t="shared" ca="1" si="97"/>
        <v>0.26837958817453073</v>
      </c>
      <c r="AF95" s="176">
        <f>DANE!AA95</f>
        <v>54</v>
      </c>
      <c r="AG95" s="188">
        <f t="shared" si="5"/>
        <v>1664</v>
      </c>
      <c r="AH95" s="177">
        <f t="shared" ca="1" si="21"/>
        <v>36.428571428571431</v>
      </c>
      <c r="AI95" s="209">
        <f t="shared" si="37"/>
        <v>211.56682841994677</v>
      </c>
      <c r="AJ95" s="179">
        <f t="shared" si="39"/>
        <v>0.15089576662170828</v>
      </c>
      <c r="AK95" s="213">
        <f t="shared" si="40"/>
        <v>2.0562703663519581</v>
      </c>
      <c r="AL95" s="214">
        <f t="shared" ca="1" si="41"/>
        <v>1.5761068381041796</v>
      </c>
      <c r="AM95" s="176">
        <f>DANE!AE95</f>
        <v>16</v>
      </c>
      <c r="AN95" s="188">
        <f t="shared" si="6"/>
        <v>1257</v>
      </c>
      <c r="AO95" s="177">
        <f t="shared" ca="1" si="22"/>
        <v>10.857142857142858</v>
      </c>
      <c r="AP95" s="209">
        <f t="shared" si="49"/>
        <v>65.80324508757468</v>
      </c>
      <c r="AQ95" s="179">
        <f t="shared" si="51"/>
        <v>0.13251217675587301</v>
      </c>
      <c r="AR95" s="213">
        <f t="shared" si="52"/>
        <v>1.9275852372911111</v>
      </c>
      <c r="AS95" s="217">
        <f t="shared" ca="1" si="53"/>
        <v>1.5089066439394252</v>
      </c>
      <c r="AT95" s="176">
        <f>DANE!AI95</f>
        <v>28</v>
      </c>
      <c r="AU95" s="188">
        <f t="shared" si="7"/>
        <v>3688</v>
      </c>
      <c r="AV95" s="177">
        <f t="shared" ca="1" si="23"/>
        <v>41.714285714285715</v>
      </c>
      <c r="AW95" s="209">
        <f t="shared" si="33"/>
        <v>280.66838679271348</v>
      </c>
      <c r="AX95" s="179">
        <f t="shared" si="34"/>
        <v>-4.7870982124303074E-2</v>
      </c>
      <c r="AY95" s="213">
        <f t="shared" si="35"/>
        <v>0.66490312512987848</v>
      </c>
      <c r="AZ95" s="214">
        <f t="shared" ca="1" si="36"/>
        <v>0.96403344742242159</v>
      </c>
      <c r="BA95" s="176">
        <f>DANE!AM95</f>
        <v>19</v>
      </c>
      <c r="BB95" s="188">
        <f t="shared" si="8"/>
        <v>685</v>
      </c>
      <c r="BC95" s="177">
        <f t="shared" ca="1" si="24"/>
        <v>10.714285714285714</v>
      </c>
      <c r="BD95" s="209">
        <f t="shared" si="77"/>
        <v>69.342622131637313</v>
      </c>
      <c r="BE95" s="179">
        <f t="shared" si="80"/>
        <v>0.18064039454029221</v>
      </c>
      <c r="BF95" s="213">
        <f t="shared" si="81"/>
        <v>2.2644827617820456</v>
      </c>
      <c r="BG95" s="217">
        <f t="shared" ca="1" si="82"/>
        <v>1.4111133285575028</v>
      </c>
      <c r="BH95" s="176">
        <f>DANE!AQ95</f>
        <v>1</v>
      </c>
      <c r="BI95" s="188">
        <f t="shared" si="9"/>
        <v>389</v>
      </c>
      <c r="BJ95" s="177">
        <f t="shared" ca="1" si="25"/>
        <v>1.4285714285714286</v>
      </c>
      <c r="BK95" s="209">
        <f t="shared" si="61"/>
        <v>7.5517863550364277</v>
      </c>
      <c r="BL95" s="179">
        <f t="shared" si="63"/>
        <v>-1.2031317548604948E-2</v>
      </c>
      <c r="BM95" s="213">
        <f t="shared" si="64"/>
        <v>0.91578077715976536</v>
      </c>
      <c r="BN95" s="214">
        <f t="shared" ca="1" si="65"/>
        <v>1.647542386550459</v>
      </c>
      <c r="BO95" s="176">
        <f>DANE!AU95</f>
        <v>10</v>
      </c>
      <c r="BP95" s="188">
        <f t="shared" si="10"/>
        <v>473</v>
      </c>
      <c r="BQ95" s="177">
        <f t="shared" ca="1" si="26"/>
        <v>4.8571428571428568</v>
      </c>
      <c r="BR95" s="209">
        <f t="shared" si="78"/>
        <v>36.585266705060974</v>
      </c>
      <c r="BS95" s="179">
        <f t="shared" si="83"/>
        <v>0.17955559298337612</v>
      </c>
      <c r="BT95" s="213">
        <f t="shared" si="84"/>
        <v>2.2568891508836328</v>
      </c>
      <c r="BU95" s="217">
        <f t="shared" ca="1" si="85"/>
        <v>1.1532464193020293</v>
      </c>
      <c r="BV95" s="176">
        <f>DANE!AY95</f>
        <v>0</v>
      </c>
      <c r="BW95" s="188">
        <f t="shared" si="11"/>
        <v>559</v>
      </c>
      <c r="BX95" s="177">
        <f t="shared" ca="1" si="27"/>
        <v>1.8571428571428572</v>
      </c>
      <c r="BY95" s="209">
        <f t="shared" si="69"/>
        <v>19.008975596403264</v>
      </c>
      <c r="BZ95" s="179">
        <f t="shared" si="71"/>
        <v>-0.14285714285714279</v>
      </c>
      <c r="CA95" s="213">
        <f t="shared" si="72"/>
        <v>4.4408920985006262E-16</v>
      </c>
      <c r="CB95" s="214">
        <f t="shared" ca="1" si="73"/>
        <v>0.48981257414333695</v>
      </c>
      <c r="CC95" s="176">
        <f>DANE!BC95</f>
        <v>109</v>
      </c>
      <c r="CD95" s="188">
        <f t="shared" si="12"/>
        <v>8669</v>
      </c>
      <c r="CE95" s="177">
        <f t="shared" ca="1" si="28"/>
        <v>153.71428571428572</v>
      </c>
      <c r="CF95" s="209">
        <f t="shared" si="45"/>
        <v>1187.6541482269909</v>
      </c>
      <c r="CG95" s="179">
        <f t="shared" si="46"/>
        <v>-5.6241269194447337E-2</v>
      </c>
      <c r="CH95" s="213">
        <f t="shared" si="47"/>
        <v>0.60631111563886864</v>
      </c>
      <c r="CI95" s="217">
        <f t="shared" ca="1" si="48"/>
        <v>0.77607440940621253</v>
      </c>
      <c r="CJ95" s="176">
        <f>DANE!BG95</f>
        <v>9</v>
      </c>
      <c r="CK95" s="188">
        <f t="shared" si="13"/>
        <v>501</v>
      </c>
      <c r="CL95" s="177">
        <f t="shared" ca="1" si="29"/>
        <v>13.428571428571429</v>
      </c>
      <c r="CM95" s="209">
        <f t="shared" si="79"/>
        <v>69.986229979127614</v>
      </c>
      <c r="CN95" s="179">
        <f t="shared" si="86"/>
        <v>-1.636488850848216E-2</v>
      </c>
      <c r="CO95" s="213">
        <f t="shared" si="87"/>
        <v>0.88544578044062483</v>
      </c>
      <c r="CP95" s="214">
        <f t="shared" ca="1" si="88"/>
        <v>1.5966533032885406</v>
      </c>
      <c r="CQ95" s="176">
        <f>DANE!BK95</f>
        <v>0</v>
      </c>
      <c r="CR95" s="188">
        <f t="shared" si="14"/>
        <v>179</v>
      </c>
      <c r="CS95" s="177">
        <f t="shared" ca="1" si="30"/>
        <v>0</v>
      </c>
      <c r="CT95" s="209">
        <f t="shared" si="89"/>
        <v>2.3626486630961208</v>
      </c>
      <c r="CU95" s="179">
        <f t="shared" si="90"/>
        <v>-0.14285714285714282</v>
      </c>
      <c r="CV95" s="213">
        <f t="shared" si="91"/>
        <v>2.2204460492503131E-16</v>
      </c>
      <c r="CW95" s="217">
        <f t="shared" ca="1" si="92"/>
        <v>4.282288809268461E-16</v>
      </c>
      <c r="CX95" s="176">
        <f>DANE!BO95</f>
        <v>18</v>
      </c>
      <c r="CY95" s="188">
        <f t="shared" si="15"/>
        <v>2206</v>
      </c>
      <c r="CZ95" s="177">
        <f t="shared" ca="1" si="31"/>
        <v>12.571428571428571</v>
      </c>
      <c r="DA95" s="209">
        <f t="shared" si="54"/>
        <v>139.35314572666104</v>
      </c>
      <c r="DB95" s="179">
        <f t="shared" si="58"/>
        <v>-1.571934732505879E-2</v>
      </c>
      <c r="DC95" s="213">
        <f t="shared" si="59"/>
        <v>0.88996456872458851</v>
      </c>
      <c r="DD95" s="214">
        <f t="shared" ca="1" si="60"/>
        <v>0.578362737267339</v>
      </c>
      <c r="DE95" s="176">
        <f>DANE!BS95</f>
        <v>7</v>
      </c>
      <c r="DF95" s="188">
        <f t="shared" si="16"/>
        <v>548</v>
      </c>
      <c r="DG95" s="177">
        <f t="shared" ca="1" si="32"/>
        <v>3</v>
      </c>
      <c r="DH95" s="209">
        <f t="shared" si="70"/>
        <v>23.821646283047532</v>
      </c>
      <c r="DI95" s="179">
        <f t="shared" si="74"/>
        <v>0.21382613885272531</v>
      </c>
      <c r="DJ95" s="157">
        <f t="shared" si="75"/>
        <v>2.4967829719690773</v>
      </c>
      <c r="DK95" s="225">
        <f t="shared" ca="1" si="76"/>
        <v>1.0858070250484662</v>
      </c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</row>
    <row r="96" spans="1:138" x14ac:dyDescent="0.25">
      <c r="A96" s="32">
        <v>43986</v>
      </c>
      <c r="B96" s="33" t="str">
        <f t="shared" ca="1" si="0"/>
        <v/>
      </c>
      <c r="C96" s="51">
        <f t="shared" si="93"/>
        <v>93</v>
      </c>
      <c r="D96" s="176">
        <f>DANE!K96</f>
        <v>11</v>
      </c>
      <c r="E96" s="188">
        <f t="shared" si="1"/>
        <v>2660</v>
      </c>
      <c r="F96" s="178">
        <f t="shared" ca="1" si="17"/>
        <v>18.571428571428573</v>
      </c>
      <c r="G96" s="209">
        <f t="shared" si="38"/>
        <v>150.41685723983468</v>
      </c>
      <c r="H96" s="179">
        <f t="shared" si="42"/>
        <v>-7.5228510170696997E-2</v>
      </c>
      <c r="I96" s="213">
        <f t="shared" si="43"/>
        <v>0.47340042880512101</v>
      </c>
      <c r="J96" s="214">
        <f t="shared" ca="1" si="44"/>
        <v>0.66544294900603906</v>
      </c>
      <c r="K96" s="176">
        <f>DANE!O96</f>
        <v>4</v>
      </c>
      <c r="L96" s="188">
        <f t="shared" si="2"/>
        <v>599</v>
      </c>
      <c r="M96" s="177">
        <f t="shared" ca="1" si="18"/>
        <v>0.8571428571428571</v>
      </c>
      <c r="N96" s="209">
        <f t="shared" si="62"/>
        <v>8.277133740250644</v>
      </c>
      <c r="O96" s="179">
        <f t="shared" si="66"/>
        <v>0.65874777220696057</v>
      </c>
      <c r="P96" s="213">
        <f t="shared" si="67"/>
        <v>5.611234405448724</v>
      </c>
      <c r="Q96" s="217">
        <f t="shared" ca="1" si="68"/>
        <v>1.2509414647565049</v>
      </c>
      <c r="R96" s="176">
        <f>DANE!S96</f>
        <v>1</v>
      </c>
      <c r="S96" s="188">
        <f t="shared" si="3"/>
        <v>504</v>
      </c>
      <c r="T96" s="177">
        <f t="shared" ca="1" si="19"/>
        <v>2.7142857142857144</v>
      </c>
      <c r="U96" s="209">
        <f t="shared" si="50"/>
        <v>33.141976803078649</v>
      </c>
      <c r="V96" s="179">
        <f t="shared" si="55"/>
        <v>-0.1161897458145079</v>
      </c>
      <c r="W96" s="213">
        <f t="shared" si="56"/>
        <v>0.18667177929844458</v>
      </c>
      <c r="X96" s="214">
        <f t="shared" ca="1" si="57"/>
        <v>0.48113633019155566</v>
      </c>
      <c r="Y96" s="176">
        <f>DANE!W96</f>
        <v>0</v>
      </c>
      <c r="Z96" s="188">
        <f t="shared" si="4"/>
        <v>122</v>
      </c>
      <c r="AA96" s="177">
        <f t="shared" ca="1" si="20"/>
        <v>1.2857142857142858</v>
      </c>
      <c r="AB96" s="209">
        <f t="shared" si="94"/>
        <v>24.567756195639987</v>
      </c>
      <c r="AC96" s="179">
        <f t="shared" si="95"/>
        <v>-0.14285714285714279</v>
      </c>
      <c r="AD96" s="213">
        <f t="shared" si="96"/>
        <v>4.4408920985006262E-16</v>
      </c>
      <c r="AE96" s="217">
        <f t="shared" ca="1" si="97"/>
        <v>0.23622606548225905</v>
      </c>
      <c r="AF96" s="176">
        <f>DANE!AA96</f>
        <v>112</v>
      </c>
      <c r="AG96" s="188">
        <f t="shared" si="5"/>
        <v>1776</v>
      </c>
      <c r="AH96" s="177">
        <f t="shared" ca="1" si="21"/>
        <v>45.857142857142854</v>
      </c>
      <c r="AI96" s="209">
        <f t="shared" si="37"/>
        <v>293.34299578852585</v>
      </c>
      <c r="AJ96" s="179">
        <f t="shared" si="39"/>
        <v>0.38652641332911869</v>
      </c>
      <c r="AK96" s="213">
        <f t="shared" si="40"/>
        <v>3.7056848933038311</v>
      </c>
      <c r="AL96" s="214">
        <f t="shared" ca="1" si="41"/>
        <v>1.7384375084028327</v>
      </c>
      <c r="AM96" s="176">
        <f>DANE!AE96</f>
        <v>21</v>
      </c>
      <c r="AN96" s="188">
        <f t="shared" si="6"/>
        <v>1278</v>
      </c>
      <c r="AO96" s="177">
        <f t="shared" ca="1" si="22"/>
        <v>12.571428571428571</v>
      </c>
      <c r="AP96" s="209">
        <f t="shared" si="49"/>
        <v>77.402781503635453</v>
      </c>
      <c r="AQ96" s="179">
        <f t="shared" si="51"/>
        <v>0.17627605448064837</v>
      </c>
      <c r="AR96" s="213">
        <f t="shared" si="52"/>
        <v>2.2339323813645384</v>
      </c>
      <c r="AS96" s="217">
        <f t="shared" ca="1" si="53"/>
        <v>1.6077080446580376</v>
      </c>
      <c r="AT96" s="176">
        <f>DANE!AI96</f>
        <v>50</v>
      </c>
      <c r="AU96" s="188">
        <f t="shared" si="7"/>
        <v>3738</v>
      </c>
      <c r="AV96" s="177">
        <f t="shared" ca="1" si="23"/>
        <v>39.571428571428569</v>
      </c>
      <c r="AW96" s="209">
        <f t="shared" si="33"/>
        <v>290.572902965183</v>
      </c>
      <c r="AX96" s="179">
        <f t="shared" si="34"/>
        <v>3.5289033744240202E-2</v>
      </c>
      <c r="AY96" s="213">
        <f t="shared" si="35"/>
        <v>1.2470232362096814</v>
      </c>
      <c r="AZ96" s="214">
        <f t="shared" ca="1" si="36"/>
        <v>0.92024649923275903</v>
      </c>
      <c r="BA96" s="176">
        <f>DANE!AM96</f>
        <v>8</v>
      </c>
      <c r="BB96" s="188">
        <f t="shared" si="8"/>
        <v>693</v>
      </c>
      <c r="BC96" s="177">
        <f t="shared" ca="1" si="24"/>
        <v>10.142857142857142</v>
      </c>
      <c r="BD96" s="209">
        <f t="shared" si="77"/>
        <v>67.436533255689127</v>
      </c>
      <c r="BE96" s="179">
        <f t="shared" si="80"/>
        <v>-2.7487983830922071E-2</v>
      </c>
      <c r="BF96" s="213">
        <f t="shared" si="81"/>
        <v>0.8075841131835455</v>
      </c>
      <c r="BG96" s="217">
        <f t="shared" ca="1" si="82"/>
        <v>1.2753171815777289</v>
      </c>
      <c r="BH96" s="176">
        <f>DANE!AQ96</f>
        <v>0</v>
      </c>
      <c r="BI96" s="188">
        <f t="shared" si="9"/>
        <v>389</v>
      </c>
      <c r="BJ96" s="177">
        <f t="shared" ca="1" si="25"/>
        <v>1.1428571428571428</v>
      </c>
      <c r="BK96" s="209">
        <f t="shared" si="61"/>
        <v>6.4729597328883672</v>
      </c>
      <c r="BL96" s="179">
        <f t="shared" si="63"/>
        <v>-0.14285714285714277</v>
      </c>
      <c r="BM96" s="213">
        <f t="shared" si="64"/>
        <v>5.5511151231257827E-16</v>
      </c>
      <c r="BN96" s="214">
        <f t="shared" ca="1" si="65"/>
        <v>1.2439920006604945</v>
      </c>
      <c r="BO96" s="176">
        <f>DANE!AU96</f>
        <v>12</v>
      </c>
      <c r="BP96" s="188">
        <f t="shared" si="10"/>
        <v>485</v>
      </c>
      <c r="BQ96" s="177">
        <f t="shared" ca="1" si="26"/>
        <v>6.1428571428571432</v>
      </c>
      <c r="BR96" s="209">
        <f t="shared" si="78"/>
        <v>43.358800032909407</v>
      </c>
      <c r="BS96" s="179">
        <f t="shared" si="83"/>
        <v>0.18514374604549283</v>
      </c>
      <c r="BT96" s="213">
        <f t="shared" si="84"/>
        <v>2.2960062223184501</v>
      </c>
      <c r="BU96" s="217">
        <f t="shared" ca="1" si="85"/>
        <v>1.3890078309063991</v>
      </c>
      <c r="BV96" s="176">
        <f>DANE!AY96</f>
        <v>1</v>
      </c>
      <c r="BW96" s="188">
        <f t="shared" si="11"/>
        <v>560</v>
      </c>
      <c r="BX96" s="177">
        <f t="shared" ca="1" si="27"/>
        <v>1.7142857142857142</v>
      </c>
      <c r="BY96" s="209">
        <f t="shared" si="69"/>
        <v>17.293407654059941</v>
      </c>
      <c r="BZ96" s="179">
        <f t="shared" si="71"/>
        <v>-9.0250415317905425E-2</v>
      </c>
      <c r="CA96" s="213">
        <f t="shared" si="72"/>
        <v>0.36824709277466194</v>
      </c>
      <c r="CB96" s="214">
        <f t="shared" ca="1" si="73"/>
        <v>0.48174605695535427</v>
      </c>
      <c r="CC96" s="176">
        <f>DANE!BC96</f>
        <v>120</v>
      </c>
      <c r="CD96" s="188">
        <f t="shared" si="12"/>
        <v>8789</v>
      </c>
      <c r="CE96" s="177">
        <f t="shared" ca="1" si="28"/>
        <v>151.14285714285714</v>
      </c>
      <c r="CF96" s="209">
        <f t="shared" si="45"/>
        <v>1137.9892699088493</v>
      </c>
      <c r="CG96" s="179">
        <f t="shared" si="46"/>
        <v>-4.1817627120053893E-2</v>
      </c>
      <c r="CH96" s="213">
        <f t="shared" si="47"/>
        <v>0.70727661015962273</v>
      </c>
      <c r="CI96" s="217">
        <f t="shared" ca="1" si="48"/>
        <v>0.78494471013330447</v>
      </c>
      <c r="CJ96" s="176">
        <f>DANE!BG96</f>
        <v>9</v>
      </c>
      <c r="CK96" s="188">
        <f t="shared" si="13"/>
        <v>510</v>
      </c>
      <c r="CL96" s="177">
        <f t="shared" ca="1" si="29"/>
        <v>11.285714285714286</v>
      </c>
      <c r="CM96" s="209">
        <f t="shared" si="79"/>
        <v>68.988197124966533</v>
      </c>
      <c r="CN96" s="179">
        <f t="shared" si="86"/>
        <v>-1.4260417434382886E-2</v>
      </c>
      <c r="CO96" s="213">
        <f t="shared" si="87"/>
        <v>0.90017707795931978</v>
      </c>
      <c r="CP96" s="214">
        <f t="shared" ca="1" si="88"/>
        <v>1.1835944823086739</v>
      </c>
      <c r="CQ96" s="176">
        <f>DANE!BK96</f>
        <v>0</v>
      </c>
      <c r="CR96" s="188">
        <f t="shared" si="14"/>
        <v>179</v>
      </c>
      <c r="CS96" s="177">
        <f t="shared" ca="1" si="30"/>
        <v>0</v>
      </c>
      <c r="CT96" s="209">
        <f t="shared" si="89"/>
        <v>2.0251274255109606</v>
      </c>
      <c r="CU96" s="179">
        <f t="shared" si="90"/>
        <v>-0.14285714285714288</v>
      </c>
      <c r="CV96" s="213">
        <f t="shared" si="91"/>
        <v>-2.2204460492503131E-16</v>
      </c>
      <c r="CW96" s="217">
        <f t="shared" ca="1" si="92"/>
        <v>3.6478756523397999E-16</v>
      </c>
      <c r="CX96" s="176">
        <f>DANE!BO96</f>
        <v>10</v>
      </c>
      <c r="CY96" s="188">
        <f t="shared" si="15"/>
        <v>2216</v>
      </c>
      <c r="CZ96" s="177">
        <f t="shared" ca="1" si="31"/>
        <v>11.857142857142858</v>
      </c>
      <c r="DA96" s="209">
        <f t="shared" si="54"/>
        <v>129.44555347999517</v>
      </c>
      <c r="DB96" s="179">
        <f t="shared" si="58"/>
        <v>-7.1097011804092711E-2</v>
      </c>
      <c r="DC96" s="213">
        <f t="shared" si="59"/>
        <v>0.50232091737135098</v>
      </c>
      <c r="DD96" s="214">
        <f t="shared" ca="1" si="60"/>
        <v>0.58214116040635311</v>
      </c>
      <c r="DE96" s="176">
        <f>DANE!BS96</f>
        <v>2</v>
      </c>
      <c r="DF96" s="188">
        <f t="shared" si="16"/>
        <v>550</v>
      </c>
      <c r="DG96" s="177">
        <f t="shared" ca="1" si="32"/>
        <v>3.2857142857142856</v>
      </c>
      <c r="DH96" s="209">
        <f t="shared" si="70"/>
        <v>22.418553956897885</v>
      </c>
      <c r="DI96" s="179">
        <f t="shared" si="74"/>
        <v>-5.8899889179705657E-2</v>
      </c>
      <c r="DJ96" s="157">
        <f t="shared" si="75"/>
        <v>0.58770077574206037</v>
      </c>
      <c r="DK96" s="225">
        <f t="shared" ca="1" si="76"/>
        <v>1.1697642787259035</v>
      </c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</row>
    <row r="97" spans="1:138" x14ac:dyDescent="0.25">
      <c r="A97" s="32">
        <v>43987</v>
      </c>
      <c r="B97" s="33" t="str">
        <f t="shared" ca="1" si="0"/>
        <v/>
      </c>
      <c r="C97" s="51">
        <f t="shared" si="93"/>
        <v>94</v>
      </c>
      <c r="D97" s="176">
        <f>DANE!K97</f>
        <v>20</v>
      </c>
      <c r="E97" s="188">
        <f t="shared" si="1"/>
        <v>2680</v>
      </c>
      <c r="F97" s="178">
        <f t="shared" ca="1" si="17"/>
        <v>17.714285714285715</v>
      </c>
      <c r="G97" s="209">
        <f t="shared" si="38"/>
        <v>148.92873477700115</v>
      </c>
      <c r="H97" s="179">
        <f t="shared" si="42"/>
        <v>-9.8933223984381518E-3</v>
      </c>
      <c r="I97" s="213">
        <f t="shared" si="43"/>
        <v>0.93074674321093298</v>
      </c>
      <c r="J97" s="214">
        <f t="shared" ca="1" si="44"/>
        <v>0.67678766960405046</v>
      </c>
      <c r="K97" s="176">
        <f>DANE!O97</f>
        <v>2</v>
      </c>
      <c r="L97" s="188">
        <f t="shared" si="2"/>
        <v>601</v>
      </c>
      <c r="M97" s="177">
        <f t="shared" ca="1" si="18"/>
        <v>1.1428571428571428</v>
      </c>
      <c r="N97" s="209">
        <f t="shared" si="62"/>
        <v>9.0946860630719808</v>
      </c>
      <c r="O97" s="179">
        <f t="shared" si="66"/>
        <v>9.8772394947019435E-2</v>
      </c>
      <c r="P97" s="213">
        <f t="shared" si="67"/>
        <v>1.6914067646291362</v>
      </c>
      <c r="Q97" s="217">
        <f t="shared" ca="1" si="68"/>
        <v>1.4925710025606673</v>
      </c>
      <c r="R97" s="176">
        <f>DANE!S97</f>
        <v>1</v>
      </c>
      <c r="S97" s="188">
        <f t="shared" si="3"/>
        <v>505</v>
      </c>
      <c r="T97" s="177">
        <f t="shared" ca="1" si="19"/>
        <v>2.7142857142857144</v>
      </c>
      <c r="U97" s="209">
        <f t="shared" si="50"/>
        <v>29.407408688353129</v>
      </c>
      <c r="V97" s="179">
        <f t="shared" si="55"/>
        <v>-0.11268392760381768</v>
      </c>
      <c r="W97" s="213">
        <f t="shared" si="56"/>
        <v>0.21121250677327619</v>
      </c>
      <c r="X97" s="214">
        <f t="shared" ca="1" si="57"/>
        <v>0.49418559327518569</v>
      </c>
      <c r="Y97" s="176">
        <f>DANE!W97</f>
        <v>2</v>
      </c>
      <c r="Z97" s="188">
        <f t="shared" si="4"/>
        <v>124</v>
      </c>
      <c r="AA97" s="177">
        <f t="shared" ca="1" si="20"/>
        <v>1.4285714285714286</v>
      </c>
      <c r="AB97" s="209">
        <f t="shared" si="94"/>
        <v>23.05807673911999</v>
      </c>
      <c r="AC97" s="179">
        <f t="shared" si="95"/>
        <v>-6.1449627084296708E-2</v>
      </c>
      <c r="AD97" s="213">
        <f t="shared" si="96"/>
        <v>0.56985261040992308</v>
      </c>
      <c r="AE97" s="217">
        <f t="shared" ca="1" si="97"/>
        <v>0.29955551222134125</v>
      </c>
      <c r="AF97" s="176">
        <f>DANE!AA97</f>
        <v>47</v>
      </c>
      <c r="AG97" s="188">
        <f t="shared" si="5"/>
        <v>1823</v>
      </c>
      <c r="AH97" s="177">
        <f t="shared" ca="1" si="21"/>
        <v>48.285714285714285</v>
      </c>
      <c r="AI97" s="209">
        <f t="shared" si="37"/>
        <v>298.43685353302214</v>
      </c>
      <c r="AJ97" s="179">
        <f t="shared" si="39"/>
        <v>1.7364852127468241E-2</v>
      </c>
      <c r="AK97" s="213">
        <f t="shared" si="40"/>
        <v>1.1215539648922777</v>
      </c>
      <c r="AL97" s="214">
        <f t="shared" ca="1" si="41"/>
        <v>1.7031169863953184</v>
      </c>
      <c r="AM97" s="176">
        <f>DANE!AE97</f>
        <v>27</v>
      </c>
      <c r="AN97" s="188">
        <f t="shared" si="6"/>
        <v>1305</v>
      </c>
      <c r="AO97" s="177">
        <f t="shared" ca="1" si="22"/>
        <v>15.285714285714286</v>
      </c>
      <c r="AP97" s="209">
        <f t="shared" si="49"/>
        <v>93.345241288830394</v>
      </c>
      <c r="AQ97" s="179">
        <f t="shared" si="51"/>
        <v>0.20596753082376187</v>
      </c>
      <c r="AR97" s="213">
        <f t="shared" si="52"/>
        <v>2.4417727157663331</v>
      </c>
      <c r="AS97" s="217">
        <f t="shared" ca="1" si="53"/>
        <v>1.7747646505705761</v>
      </c>
      <c r="AT97" s="176">
        <f>DANE!AI97</f>
        <v>58</v>
      </c>
      <c r="AU97" s="188">
        <f t="shared" si="7"/>
        <v>3796</v>
      </c>
      <c r="AV97" s="177">
        <f t="shared" ca="1" si="23"/>
        <v>43.142857142857146</v>
      </c>
      <c r="AW97" s="209">
        <f t="shared" si="33"/>
        <v>307.06248825587113</v>
      </c>
      <c r="AX97" s="179">
        <f t="shared" si="34"/>
        <v>5.6748530652439878E-2</v>
      </c>
      <c r="AY97" s="213">
        <f t="shared" si="35"/>
        <v>1.3972397145670792</v>
      </c>
      <c r="AZ97" s="214">
        <f t="shared" ca="1" si="36"/>
        <v>1.0154352992645366</v>
      </c>
      <c r="BA97" s="176">
        <f>DANE!AM97</f>
        <v>8</v>
      </c>
      <c r="BB97" s="188">
        <f t="shared" si="8"/>
        <v>701</v>
      </c>
      <c r="BC97" s="177">
        <f t="shared" ca="1" si="24"/>
        <v>10</v>
      </c>
      <c r="BD97" s="209">
        <f t="shared" si="77"/>
        <v>65.802742790590685</v>
      </c>
      <c r="BE97" s="179">
        <f t="shared" si="80"/>
        <v>-2.42270826542023E-2</v>
      </c>
      <c r="BF97" s="213">
        <f t="shared" si="81"/>
        <v>0.83041042142058386</v>
      </c>
      <c r="BG97" s="217">
        <f t="shared" ca="1" si="82"/>
        <v>1.2239818966105138</v>
      </c>
      <c r="BH97" s="176">
        <f>DANE!AQ97</f>
        <v>0</v>
      </c>
      <c r="BI97" s="188">
        <f t="shared" si="9"/>
        <v>389</v>
      </c>
      <c r="BJ97" s="177">
        <f t="shared" ca="1" si="25"/>
        <v>0.8571428571428571</v>
      </c>
      <c r="BK97" s="209">
        <f t="shared" si="61"/>
        <v>5.5482511996186012</v>
      </c>
      <c r="BL97" s="179">
        <f t="shared" si="63"/>
        <v>-0.14285714285714274</v>
      </c>
      <c r="BM97" s="213">
        <f t="shared" si="64"/>
        <v>7.7715611723760958E-16</v>
      </c>
      <c r="BN97" s="214">
        <f t="shared" ca="1" si="65"/>
        <v>0.92389003444454809</v>
      </c>
      <c r="BO97" s="176">
        <f>DANE!AU97</f>
        <v>8</v>
      </c>
      <c r="BP97" s="188">
        <f t="shared" si="10"/>
        <v>493</v>
      </c>
      <c r="BQ97" s="177">
        <f t="shared" ca="1" si="26"/>
        <v>6.8571428571428568</v>
      </c>
      <c r="BR97" s="209">
        <f t="shared" si="78"/>
        <v>45.164685742493781</v>
      </c>
      <c r="BS97" s="179">
        <f t="shared" si="83"/>
        <v>4.1649808302206312E-2</v>
      </c>
      <c r="BT97" s="213">
        <f t="shared" si="84"/>
        <v>1.2915486581154443</v>
      </c>
      <c r="BU97" s="217">
        <f t="shared" ca="1" si="85"/>
        <v>1.4763574262228414</v>
      </c>
      <c r="BV97" s="176">
        <f>DANE!AY97</f>
        <v>4</v>
      </c>
      <c r="BW97" s="188">
        <f t="shared" si="11"/>
        <v>564</v>
      </c>
      <c r="BX97" s="177">
        <f t="shared" ca="1" si="27"/>
        <v>1.7142857142857142</v>
      </c>
      <c r="BY97" s="209">
        <f t="shared" si="69"/>
        <v>18.822920846337091</v>
      </c>
      <c r="BZ97" s="179">
        <f t="shared" si="71"/>
        <v>8.844487002641549E-2</v>
      </c>
      <c r="CA97" s="213">
        <f t="shared" si="72"/>
        <v>1.6191140901849086</v>
      </c>
      <c r="CB97" s="214">
        <f t="shared" ca="1" si="73"/>
        <v>0.58083586610093818</v>
      </c>
      <c r="CC97" s="176">
        <f>DANE!BC97</f>
        <v>177</v>
      </c>
      <c r="CD97" s="188">
        <f t="shared" si="12"/>
        <v>8966</v>
      </c>
      <c r="CE97" s="177">
        <f t="shared" ca="1" si="28"/>
        <v>149.14285714285714</v>
      </c>
      <c r="CF97" s="209">
        <f t="shared" si="45"/>
        <v>1152.4193742075852</v>
      </c>
      <c r="CG97" s="179">
        <f t="shared" si="46"/>
        <v>1.2680351810251836E-2</v>
      </c>
      <c r="CH97" s="213">
        <f t="shared" si="47"/>
        <v>1.0887624626717629</v>
      </c>
      <c r="CI97" s="217">
        <f t="shared" ca="1" si="48"/>
        <v>0.8061032787775243</v>
      </c>
      <c r="CJ97" s="176">
        <f>DANE!BG97</f>
        <v>1</v>
      </c>
      <c r="CK97" s="188">
        <f t="shared" si="13"/>
        <v>511</v>
      </c>
      <c r="CL97" s="177">
        <f t="shared" ca="1" si="29"/>
        <v>10.428571428571429</v>
      </c>
      <c r="CM97" s="209">
        <f t="shared" si="79"/>
        <v>60.13274039282846</v>
      </c>
      <c r="CN97" s="179">
        <f t="shared" si="86"/>
        <v>-0.12836190973503961</v>
      </c>
      <c r="CO97" s="213">
        <f t="shared" si="87"/>
        <v>0.10146663185472271</v>
      </c>
      <c r="CP97" s="214">
        <f t="shared" ca="1" si="88"/>
        <v>1.0851478738470772</v>
      </c>
      <c r="CQ97" s="176">
        <f>DANE!BK97</f>
        <v>1</v>
      </c>
      <c r="CR97" s="188">
        <f t="shared" si="14"/>
        <v>180</v>
      </c>
      <c r="CS97" s="177">
        <f t="shared" ca="1" si="30"/>
        <v>0.14285714285714285</v>
      </c>
      <c r="CT97" s="209">
        <f t="shared" si="89"/>
        <v>2.7358235075808235</v>
      </c>
      <c r="CU97" s="179">
        <f t="shared" si="90"/>
        <v>0.35093894493604366</v>
      </c>
      <c r="CV97" s="213">
        <f t="shared" si="91"/>
        <v>3.4565726145523059</v>
      </c>
      <c r="CW97" s="217">
        <f t="shared" ca="1" si="92"/>
        <v>0.49379608779318679</v>
      </c>
      <c r="CX97" s="176">
        <f>DANE!BO97</f>
        <v>3</v>
      </c>
      <c r="CY97" s="188">
        <f t="shared" si="15"/>
        <v>2219</v>
      </c>
      <c r="CZ97" s="177">
        <f t="shared" ca="1" si="31"/>
        <v>10.428571428571429</v>
      </c>
      <c r="DA97" s="209">
        <f t="shared" si="54"/>
        <v>113.95333155428158</v>
      </c>
      <c r="DB97" s="179">
        <f t="shared" si="58"/>
        <v>-0.11968137575392113</v>
      </c>
      <c r="DC97" s="213">
        <f t="shared" si="59"/>
        <v>0.16223036972255211</v>
      </c>
      <c r="DD97" s="214">
        <f t="shared" ca="1" si="60"/>
        <v>0.54163093059894107</v>
      </c>
      <c r="DE97" s="176">
        <f>DANE!BS97</f>
        <v>3</v>
      </c>
      <c r="DF97" s="188">
        <f t="shared" si="16"/>
        <v>553</v>
      </c>
      <c r="DG97" s="177">
        <f t="shared" ca="1" si="32"/>
        <v>3.1428571428571428</v>
      </c>
      <c r="DH97" s="209">
        <f t="shared" si="70"/>
        <v>22.21590339162676</v>
      </c>
      <c r="DI97" s="179">
        <f t="shared" si="74"/>
        <v>-9.0394128747439354E-3</v>
      </c>
      <c r="DJ97" s="157">
        <f t="shared" si="75"/>
        <v>0.93672410987679244</v>
      </c>
      <c r="DK97" s="225">
        <f t="shared" ca="1" si="76"/>
        <v>1.102696733866815</v>
      </c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</row>
    <row r="98" spans="1:138" x14ac:dyDescent="0.25">
      <c r="A98" s="61">
        <v>43988</v>
      </c>
      <c r="B98" s="62" t="str">
        <f t="shared" ca="1" si="0"/>
        <v/>
      </c>
      <c r="C98" s="12">
        <f t="shared" si="93"/>
        <v>95</v>
      </c>
      <c r="D98" s="176">
        <f>DANE!K98</f>
        <v>20</v>
      </c>
      <c r="E98" s="198">
        <f t="shared" si="1"/>
        <v>2700</v>
      </c>
      <c r="F98" s="178">
        <f t="shared" ca="1" si="17"/>
        <v>17</v>
      </c>
      <c r="G98" s="211">
        <f t="shared" si="38"/>
        <v>147.65320123742958</v>
      </c>
      <c r="H98" s="200">
        <f t="shared" si="42"/>
        <v>-8.5647242050467462E-3</v>
      </c>
      <c r="I98" s="213">
        <f t="shared" si="43"/>
        <v>0.94004693056467281</v>
      </c>
      <c r="J98" s="214">
        <f t="shared" ca="1" si="44"/>
        <v>0.69160114719497556</v>
      </c>
      <c r="K98" s="176">
        <f>DANE!O98</f>
        <v>0</v>
      </c>
      <c r="L98" s="198">
        <f t="shared" si="2"/>
        <v>601</v>
      </c>
      <c r="M98" s="177">
        <f t="shared" ca="1" si="18"/>
        <v>1.1428571428571428</v>
      </c>
      <c r="N98" s="211">
        <f t="shared" si="62"/>
        <v>7.7954451969188412</v>
      </c>
      <c r="O98" s="200">
        <f t="shared" si="66"/>
        <v>-0.14285714285714279</v>
      </c>
      <c r="P98" s="213">
        <f t="shared" si="67"/>
        <v>4.4408920985006262E-16</v>
      </c>
      <c r="Q98" s="217">
        <f t="shared" ca="1" si="68"/>
        <v>1.4925710025606673</v>
      </c>
      <c r="R98" s="176">
        <f>DANE!S98</f>
        <v>3</v>
      </c>
      <c r="S98" s="198">
        <f t="shared" si="3"/>
        <v>508</v>
      </c>
      <c r="T98" s="177">
        <f t="shared" ca="1" si="19"/>
        <v>3.1428571428571428</v>
      </c>
      <c r="U98" s="211">
        <f t="shared" si="50"/>
        <v>28.206350304302685</v>
      </c>
      <c r="V98" s="200">
        <f t="shared" si="55"/>
        <v>-4.0842033950652931E-2</v>
      </c>
      <c r="W98" s="213">
        <f t="shared" si="56"/>
        <v>0.71410576234542944</v>
      </c>
      <c r="X98" s="214">
        <f t="shared" ca="1" si="57"/>
        <v>0.59620070218167542</v>
      </c>
      <c r="Y98" s="176">
        <f>DANE!W98</f>
        <v>0</v>
      </c>
      <c r="Z98" s="198">
        <f t="shared" si="4"/>
        <v>124</v>
      </c>
      <c r="AA98" s="177">
        <f t="shared" ca="1" si="20"/>
        <v>1.1428571428571428</v>
      </c>
      <c r="AB98" s="211">
        <f t="shared" si="94"/>
        <v>19.764065776388563</v>
      </c>
      <c r="AC98" s="200">
        <f t="shared" si="95"/>
        <v>-0.14285714285714285</v>
      </c>
      <c r="AD98" s="213">
        <f t="shared" si="96"/>
        <v>0</v>
      </c>
      <c r="AE98" s="217">
        <f t="shared" ca="1" si="97"/>
        <v>0.2582446420328563</v>
      </c>
      <c r="AF98" s="176">
        <f>DANE!AA98</f>
        <v>62</v>
      </c>
      <c r="AG98" s="198">
        <f t="shared" si="5"/>
        <v>1885</v>
      </c>
      <c r="AH98" s="177">
        <f t="shared" ca="1" si="21"/>
        <v>52.142857142857146</v>
      </c>
      <c r="AI98" s="211">
        <f t="shared" si="37"/>
        <v>317.80301731401903</v>
      </c>
      <c r="AJ98" s="200">
        <f t="shared" si="39"/>
        <v>6.4891998262721309E-2</v>
      </c>
      <c r="AK98" s="213">
        <f t="shared" si="40"/>
        <v>1.4542439878390492</v>
      </c>
      <c r="AL98" s="214">
        <f t="shared" ca="1" si="41"/>
        <v>1.6941509131727435</v>
      </c>
      <c r="AM98" s="176">
        <f>DANE!AE98</f>
        <v>22</v>
      </c>
      <c r="AN98" s="198">
        <f t="shared" si="6"/>
        <v>1327</v>
      </c>
      <c r="AO98" s="177">
        <f t="shared" ca="1" si="22"/>
        <v>16.142857142857142</v>
      </c>
      <c r="AP98" s="211">
        <f t="shared" si="49"/>
        <v>102.01020681899749</v>
      </c>
      <c r="AQ98" s="200">
        <f t="shared" si="51"/>
        <v>9.2827073030491342E-2</v>
      </c>
      <c r="AR98" s="213">
        <f t="shared" si="52"/>
        <v>1.6497895112134393</v>
      </c>
      <c r="AS98" s="217">
        <f t="shared" ca="1" si="53"/>
        <v>1.6605284576726385</v>
      </c>
      <c r="AT98" s="176">
        <f>DANE!AI98</f>
        <v>47</v>
      </c>
      <c r="AU98" s="198">
        <f t="shared" si="7"/>
        <v>3843</v>
      </c>
      <c r="AV98" s="177">
        <f t="shared" ca="1" si="23"/>
        <v>42.428571428571431</v>
      </c>
      <c r="AW98" s="211">
        <f t="shared" si="33"/>
        <v>310.1964185050324</v>
      </c>
      <c r="AX98" s="200">
        <f t="shared" si="34"/>
        <v>1.0206164442169843E-2</v>
      </c>
      <c r="AY98" s="213">
        <f t="shared" si="35"/>
        <v>1.071443151095189</v>
      </c>
      <c r="AZ98" s="214">
        <f t="shared" ca="1" si="36"/>
        <v>0.99738528496772905</v>
      </c>
      <c r="BA98" s="176">
        <f>DANE!AM98</f>
        <v>19</v>
      </c>
      <c r="BB98" s="198">
        <f t="shared" si="8"/>
        <v>720</v>
      </c>
      <c r="BC98" s="177">
        <f t="shared" ca="1" si="24"/>
        <v>11.142857142857142</v>
      </c>
      <c r="BD98" s="211">
        <f t="shared" si="77"/>
        <v>75.402350963363446</v>
      </c>
      <c r="BE98" s="200">
        <f t="shared" si="80"/>
        <v>0.14588462069616703</v>
      </c>
      <c r="BF98" s="213">
        <f t="shared" si="81"/>
        <v>2.0211923448731692</v>
      </c>
      <c r="BG98" s="217">
        <f t="shared" ca="1" si="82"/>
        <v>1.3104709457888224</v>
      </c>
      <c r="BH98" s="176">
        <f>DANE!AQ98</f>
        <v>1</v>
      </c>
      <c r="BI98" s="198">
        <f t="shared" si="9"/>
        <v>390</v>
      </c>
      <c r="BJ98" s="177">
        <f t="shared" ca="1" si="25"/>
        <v>1</v>
      </c>
      <c r="BK98" s="211">
        <f t="shared" si="61"/>
        <v>5.7556438853873733</v>
      </c>
      <c r="BL98" s="200">
        <f t="shared" si="63"/>
        <v>3.7379829843145647E-2</v>
      </c>
      <c r="BM98" s="213">
        <f t="shared" si="64"/>
        <v>1.2616588089020195</v>
      </c>
      <c r="BN98" s="214">
        <f t="shared" ca="1" si="65"/>
        <v>1.1041270071448366</v>
      </c>
      <c r="BO98" s="176">
        <f>DANE!AU98</f>
        <v>4</v>
      </c>
      <c r="BP98" s="198">
        <f t="shared" si="10"/>
        <v>497</v>
      </c>
      <c r="BQ98" s="177">
        <f t="shared" ca="1" si="26"/>
        <v>6.8571428571428568</v>
      </c>
      <c r="BR98" s="211">
        <f t="shared" si="78"/>
        <v>42.712587779280383</v>
      </c>
      <c r="BS98" s="200">
        <f t="shared" si="83"/>
        <v>-5.4292372965772884E-2</v>
      </c>
      <c r="BT98" s="213">
        <f t="shared" si="84"/>
        <v>0.61995338923958987</v>
      </c>
      <c r="BU98" s="217">
        <f t="shared" ca="1" si="85"/>
        <v>1.4291754579692328</v>
      </c>
      <c r="BV98" s="176">
        <f>DANE!AY98</f>
        <v>4</v>
      </c>
      <c r="BW98" s="198">
        <f t="shared" si="11"/>
        <v>568</v>
      </c>
      <c r="BX98" s="177">
        <f t="shared" ca="1" si="27"/>
        <v>2.2857142857142856</v>
      </c>
      <c r="BY98" s="211">
        <f t="shared" si="69"/>
        <v>20.133932154003222</v>
      </c>
      <c r="BZ98" s="200">
        <f t="shared" si="71"/>
        <v>6.9649727498123759E-2</v>
      </c>
      <c r="CA98" s="213">
        <f t="shared" si="72"/>
        <v>1.4875480924868663</v>
      </c>
      <c r="CB98" s="214">
        <f t="shared" ca="1" si="73"/>
        <v>0.79334273645620457</v>
      </c>
      <c r="CC98" s="176">
        <f>DANE!BC98</f>
        <v>351</v>
      </c>
      <c r="CD98" s="198">
        <f t="shared" si="12"/>
        <v>9317</v>
      </c>
      <c r="CE98" s="177">
        <f t="shared" ca="1" si="28"/>
        <v>166.71428571428572</v>
      </c>
      <c r="CF98" s="211">
        <f t="shared" si="45"/>
        <v>1338.7880350350731</v>
      </c>
      <c r="CG98" s="200">
        <f t="shared" si="46"/>
        <v>0.1617194790356912</v>
      </c>
      <c r="CH98" s="213">
        <f t="shared" si="47"/>
        <v>2.1320363532498385</v>
      </c>
      <c r="CI98" s="217">
        <f t="shared" ca="1" si="48"/>
        <v>0.94889783148394879</v>
      </c>
      <c r="CJ98" s="176">
        <f>DANE!BG98</f>
        <v>3</v>
      </c>
      <c r="CK98" s="198">
        <f t="shared" si="13"/>
        <v>514</v>
      </c>
      <c r="CL98" s="177">
        <f t="shared" ca="1" si="29"/>
        <v>6</v>
      </c>
      <c r="CM98" s="211">
        <f t="shared" si="79"/>
        <v>54.542348908138685</v>
      </c>
      <c r="CN98" s="200">
        <f t="shared" si="86"/>
        <v>-9.2967515668993111E-2</v>
      </c>
      <c r="CO98" s="213">
        <f t="shared" si="87"/>
        <v>0.34922739031704819</v>
      </c>
      <c r="CP98" s="214">
        <f t="shared" ca="1" si="88"/>
        <v>0.5695459930865413</v>
      </c>
      <c r="CQ98" s="176">
        <f>DANE!BK98</f>
        <v>0</v>
      </c>
      <c r="CR98" s="198">
        <f t="shared" si="14"/>
        <v>180</v>
      </c>
      <c r="CS98" s="177">
        <f t="shared" ca="1" si="30"/>
        <v>0.14285714285714285</v>
      </c>
      <c r="CT98" s="211">
        <f t="shared" si="89"/>
        <v>2.3449915779264203</v>
      </c>
      <c r="CU98" s="200">
        <f t="shared" si="90"/>
        <v>-0.14285714285714279</v>
      </c>
      <c r="CV98" s="213">
        <f t="shared" si="91"/>
        <v>4.4408920985006262E-16</v>
      </c>
      <c r="CW98" s="217">
        <f t="shared" ca="1" si="92"/>
        <v>0.49379608779318679</v>
      </c>
      <c r="CX98" s="176">
        <f>DANE!BO98</f>
        <v>40</v>
      </c>
      <c r="CY98" s="198">
        <f t="shared" si="15"/>
        <v>2259</v>
      </c>
      <c r="CZ98" s="177">
        <f t="shared" ca="1" si="31"/>
        <v>16</v>
      </c>
      <c r="DA98" s="211">
        <f t="shared" si="54"/>
        <v>137.6742841893842</v>
      </c>
      <c r="DB98" s="200">
        <f t="shared" si="58"/>
        <v>0.20816374836573481</v>
      </c>
      <c r="DC98" s="213">
        <f t="shared" si="59"/>
        <v>2.4571462385601439</v>
      </c>
      <c r="DD98" s="214">
        <f t="shared" ca="1" si="60"/>
        <v>0.88733169874171047</v>
      </c>
      <c r="DE98" s="176">
        <f>DANE!BS98</f>
        <v>0</v>
      </c>
      <c r="DF98" s="198">
        <f t="shared" si="16"/>
        <v>553</v>
      </c>
      <c r="DG98" s="177">
        <f t="shared" ca="1" si="32"/>
        <v>2.5714285714285716</v>
      </c>
      <c r="DH98" s="211">
        <f t="shared" si="70"/>
        <v>19.042202907108653</v>
      </c>
      <c r="DI98" s="200">
        <f t="shared" si="74"/>
        <v>-0.14285714285714282</v>
      </c>
      <c r="DJ98" s="157">
        <f t="shared" si="75"/>
        <v>2.2204460492503131E-16</v>
      </c>
      <c r="DK98" s="225">
        <f t="shared" ca="1" si="76"/>
        <v>0.91282912187362142</v>
      </c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</row>
    <row r="99" spans="1:138" x14ac:dyDescent="0.25">
      <c r="A99" s="61">
        <v>43989</v>
      </c>
      <c r="B99" s="62" t="str">
        <f t="shared" ca="1" si="0"/>
        <v/>
      </c>
      <c r="C99" s="12">
        <f t="shared" si="93"/>
        <v>96</v>
      </c>
      <c r="D99" s="176">
        <f>DANE!K99</f>
        <v>8</v>
      </c>
      <c r="E99" s="198">
        <f t="shared" si="1"/>
        <v>2708</v>
      </c>
      <c r="F99" s="178">
        <f t="shared" ca="1" si="17"/>
        <v>16.285714285714285</v>
      </c>
      <c r="G99" s="211">
        <f t="shared" si="38"/>
        <v>134.55988677493966</v>
      </c>
      <c r="H99" s="200">
        <f t="shared" si="42"/>
        <v>-8.8676129963722164E-2</v>
      </c>
      <c r="I99" s="213">
        <f t="shared" si="43"/>
        <v>0.37926709025394478</v>
      </c>
      <c r="J99" s="214">
        <f t="shared" ca="1" si="44"/>
        <v>0.68216587641946524</v>
      </c>
      <c r="K99" s="176">
        <f>DANE!O99</f>
        <v>0</v>
      </c>
      <c r="L99" s="198">
        <f t="shared" si="2"/>
        <v>601</v>
      </c>
      <c r="M99" s="177">
        <f t="shared" ca="1" si="18"/>
        <v>1.1428571428571428</v>
      </c>
      <c r="N99" s="211">
        <f t="shared" si="62"/>
        <v>6.6818101687875791</v>
      </c>
      <c r="O99" s="200">
        <f t="shared" si="66"/>
        <v>-0.14285714285714274</v>
      </c>
      <c r="P99" s="213">
        <f t="shared" si="67"/>
        <v>7.7715611723760958E-16</v>
      </c>
      <c r="Q99" s="217">
        <f t="shared" ca="1" si="68"/>
        <v>1.4925710025606673</v>
      </c>
      <c r="R99" s="176">
        <f>DANE!S99</f>
        <v>6</v>
      </c>
      <c r="S99" s="198">
        <f t="shared" si="3"/>
        <v>514</v>
      </c>
      <c r="T99" s="177">
        <f t="shared" ca="1" si="19"/>
        <v>3</v>
      </c>
      <c r="U99" s="211">
        <f t="shared" si="50"/>
        <v>30.176871689402304</v>
      </c>
      <c r="V99" s="200">
        <f t="shared" si="55"/>
        <v>6.9860913015712983E-2</v>
      </c>
      <c r="W99" s="213">
        <f t="shared" si="56"/>
        <v>1.489026391109991</v>
      </c>
      <c r="X99" s="214">
        <f t="shared" ca="1" si="57"/>
        <v>0.64896117085548688</v>
      </c>
      <c r="Y99" s="176">
        <f>DANE!W99</f>
        <v>2</v>
      </c>
      <c r="Z99" s="198">
        <f t="shared" si="4"/>
        <v>126</v>
      </c>
      <c r="AA99" s="177">
        <f t="shared" ca="1" si="20"/>
        <v>1.4285714285714286</v>
      </c>
      <c r="AB99" s="211">
        <f t="shared" si="94"/>
        <v>18.940627808333055</v>
      </c>
      <c r="AC99" s="200">
        <f t="shared" si="95"/>
        <v>-4.1663389374024473E-2</v>
      </c>
      <c r="AD99" s="213">
        <f t="shared" si="96"/>
        <v>0.70835627438182869</v>
      </c>
      <c r="AE99" s="217">
        <f t="shared" ca="1" si="97"/>
        <v>0.35943839551597462</v>
      </c>
      <c r="AF99" s="176">
        <f>DANE!AA99</f>
        <v>119</v>
      </c>
      <c r="AG99" s="198">
        <f t="shared" si="5"/>
        <v>2004</v>
      </c>
      <c r="AH99" s="177">
        <f t="shared" ca="1" si="21"/>
        <v>64.857142857142861</v>
      </c>
      <c r="AI99" s="211">
        <f t="shared" si="37"/>
        <v>391.4025862691592</v>
      </c>
      <c r="AJ99" s="200">
        <f t="shared" si="39"/>
        <v>0.23158864121927744</v>
      </c>
      <c r="AK99" s="213">
        <f t="shared" si="40"/>
        <v>2.6211204885349422</v>
      </c>
      <c r="AL99" s="214">
        <f t="shared" ca="1" si="41"/>
        <v>1.8956167635500312</v>
      </c>
      <c r="AM99" s="176">
        <f>DANE!AE99</f>
        <v>32</v>
      </c>
      <c r="AN99" s="198">
        <f t="shared" si="6"/>
        <v>1359</v>
      </c>
      <c r="AO99" s="177">
        <f t="shared" ca="1" si="22"/>
        <v>19.285714285714285</v>
      </c>
      <c r="AP99" s="211">
        <f t="shared" si="49"/>
        <v>119.43732013056928</v>
      </c>
      <c r="AQ99" s="200">
        <f t="shared" si="51"/>
        <v>0.17083695695758863</v>
      </c>
      <c r="AR99" s="213">
        <f t="shared" si="52"/>
        <v>2.1958586987031206</v>
      </c>
      <c r="AS99" s="217">
        <f t="shared" ca="1" si="53"/>
        <v>1.7930388021166301</v>
      </c>
      <c r="AT99" s="176">
        <f>DANE!AI99</f>
        <v>36</v>
      </c>
      <c r="AU99" s="198">
        <f t="shared" si="7"/>
        <v>3879</v>
      </c>
      <c r="AV99" s="177">
        <f t="shared" ca="1" si="23"/>
        <v>42.571428571428569</v>
      </c>
      <c r="AW99" s="211">
        <f t="shared" si="33"/>
        <v>301.88264443288494</v>
      </c>
      <c r="AX99" s="200">
        <f t="shared" si="34"/>
        <v>-2.6801644300778981E-2</v>
      </c>
      <c r="AY99" s="213">
        <f t="shared" si="35"/>
        <v>0.81238848989454715</v>
      </c>
      <c r="AZ99" s="214">
        <f t="shared" ca="1" si="36"/>
        <v>1.0014332601278975</v>
      </c>
      <c r="BA99" s="176">
        <f>DANE!AM99</f>
        <v>8</v>
      </c>
      <c r="BB99" s="198">
        <f t="shared" si="8"/>
        <v>728</v>
      </c>
      <c r="BC99" s="177">
        <f t="shared" ca="1" si="24"/>
        <v>12.142857142857142</v>
      </c>
      <c r="BD99" s="211">
        <f t="shared" si="77"/>
        <v>72.630586540025817</v>
      </c>
      <c r="BE99" s="200">
        <f t="shared" si="80"/>
        <v>-3.6759655208686744E-2</v>
      </c>
      <c r="BF99" s="213">
        <f t="shared" si="81"/>
        <v>0.74268241353919273</v>
      </c>
      <c r="BG99" s="217">
        <f t="shared" ca="1" si="82"/>
        <v>1.3992126780499081</v>
      </c>
      <c r="BH99" s="176">
        <f>DANE!AQ99</f>
        <v>2</v>
      </c>
      <c r="BI99" s="198">
        <f t="shared" si="9"/>
        <v>392</v>
      </c>
      <c r="BJ99" s="177">
        <f t="shared" ca="1" si="25"/>
        <v>0.5714285714285714</v>
      </c>
      <c r="BK99" s="211">
        <f t="shared" si="61"/>
        <v>6.9334090446177488</v>
      </c>
      <c r="BL99" s="200">
        <f t="shared" si="63"/>
        <v>0.20462787182169595</v>
      </c>
      <c r="BM99" s="213">
        <f t="shared" si="64"/>
        <v>2.4323951027518715</v>
      </c>
      <c r="BN99" s="214">
        <f t="shared" ca="1" si="65"/>
        <v>0.65854781268766549</v>
      </c>
      <c r="BO99" s="176">
        <f>DANE!AU99</f>
        <v>21</v>
      </c>
      <c r="BP99" s="198">
        <f t="shared" si="10"/>
        <v>518</v>
      </c>
      <c r="BQ99" s="177">
        <f t="shared" ca="1" si="26"/>
        <v>9.7142857142857135</v>
      </c>
      <c r="BR99" s="211">
        <f t="shared" si="78"/>
        <v>57.610789525097474</v>
      </c>
      <c r="BS99" s="200">
        <f t="shared" si="83"/>
        <v>0.34880119703363227</v>
      </c>
      <c r="BT99" s="213">
        <f t="shared" si="84"/>
        <v>3.4416083792354262</v>
      </c>
      <c r="BU99" s="217">
        <f t="shared" ca="1" si="85"/>
        <v>1.8866540817089825</v>
      </c>
      <c r="BV99" s="176">
        <f>DANE!AY99</f>
        <v>1</v>
      </c>
      <c r="BW99" s="198">
        <f t="shared" si="11"/>
        <v>569</v>
      </c>
      <c r="BX99" s="177">
        <f t="shared" ca="1" si="27"/>
        <v>2.2857142857142856</v>
      </c>
      <c r="BY99" s="211">
        <f t="shared" si="69"/>
        <v>18.257656132002765</v>
      </c>
      <c r="BZ99" s="200">
        <f t="shared" si="71"/>
        <v>-9.3189745929852949E-2</v>
      </c>
      <c r="CA99" s="213">
        <f t="shared" si="72"/>
        <v>0.34767177849102937</v>
      </c>
      <c r="CB99" s="214">
        <f t="shared" ca="1" si="73"/>
        <v>0.80403333498052554</v>
      </c>
      <c r="CC99" s="176">
        <f>DANE!BC99</f>
        <v>325</v>
      </c>
      <c r="CD99" s="198">
        <f t="shared" si="12"/>
        <v>9642</v>
      </c>
      <c r="CE99" s="177">
        <f t="shared" ca="1" si="28"/>
        <v>198.14285714285714</v>
      </c>
      <c r="CF99" s="211">
        <f t="shared" si="45"/>
        <v>1472.5326014586342</v>
      </c>
      <c r="CG99" s="200">
        <f t="shared" si="46"/>
        <v>9.9899732387477819E-2</v>
      </c>
      <c r="CH99" s="213">
        <f t="shared" si="47"/>
        <v>1.6992981267123448</v>
      </c>
      <c r="CI99" s="217">
        <f t="shared" ca="1" si="48"/>
        <v>1.118533617668924</v>
      </c>
      <c r="CJ99" s="176">
        <f>DANE!BG99</f>
        <v>0</v>
      </c>
      <c r="CK99" s="198">
        <f t="shared" si="13"/>
        <v>514</v>
      </c>
      <c r="CL99" s="177">
        <f t="shared" ca="1" si="29"/>
        <v>5</v>
      </c>
      <c r="CM99" s="211">
        <f t="shared" si="79"/>
        <v>46.750584778404587</v>
      </c>
      <c r="CN99" s="200">
        <f t="shared" si="86"/>
        <v>-0.14285714285714285</v>
      </c>
      <c r="CO99" s="213">
        <f t="shared" si="87"/>
        <v>0</v>
      </c>
      <c r="CP99" s="214">
        <f t="shared" ca="1" si="88"/>
        <v>0.48770857577008414</v>
      </c>
      <c r="CQ99" s="176">
        <f>DANE!BK99</f>
        <v>0</v>
      </c>
      <c r="CR99" s="198">
        <f t="shared" si="14"/>
        <v>180</v>
      </c>
      <c r="CS99" s="177">
        <f t="shared" ca="1" si="30"/>
        <v>0.14285714285714285</v>
      </c>
      <c r="CT99" s="211">
        <f t="shared" si="89"/>
        <v>2.0099927810797888</v>
      </c>
      <c r="CU99" s="200">
        <f t="shared" si="90"/>
        <v>-0.14285714285714285</v>
      </c>
      <c r="CV99" s="213">
        <f t="shared" si="91"/>
        <v>0</v>
      </c>
      <c r="CW99" s="217">
        <f t="shared" ca="1" si="92"/>
        <v>0.49379608779318673</v>
      </c>
      <c r="CX99" s="176">
        <f>DANE!BO99</f>
        <v>14</v>
      </c>
      <c r="CY99" s="198">
        <f t="shared" si="15"/>
        <v>2273</v>
      </c>
      <c r="CZ99" s="177">
        <f t="shared" ca="1" si="31"/>
        <v>17.571428571428573</v>
      </c>
      <c r="DA99" s="211">
        <f t="shared" si="54"/>
        <v>132.00652930518646</v>
      </c>
      <c r="DB99" s="200">
        <f t="shared" si="58"/>
        <v>-4.1167854385944676E-2</v>
      </c>
      <c r="DC99" s="213">
        <f t="shared" si="59"/>
        <v>0.71182501929838726</v>
      </c>
      <c r="DD99" s="214">
        <f t="shared" ca="1" si="60"/>
        <v>0.97051541699562416</v>
      </c>
      <c r="DE99" s="176">
        <f>DANE!BS99</f>
        <v>1</v>
      </c>
      <c r="DF99" s="198">
        <f t="shared" si="16"/>
        <v>554</v>
      </c>
      <c r="DG99" s="177">
        <f t="shared" ca="1" si="32"/>
        <v>2.5714285714285716</v>
      </c>
      <c r="DH99" s="211">
        <f t="shared" si="70"/>
        <v>17.321888206093131</v>
      </c>
      <c r="DI99" s="200">
        <f t="shared" si="74"/>
        <v>-9.0342210373848597E-2</v>
      </c>
      <c r="DJ99" s="157">
        <f t="shared" si="75"/>
        <v>0.36760452738305982</v>
      </c>
      <c r="DK99" s="225">
        <f t="shared" ca="1" si="76"/>
        <v>0.92000840166046649</v>
      </c>
      <c r="DL99" s="75"/>
      <c r="DM99" s="75"/>
      <c r="DN99" s="75"/>
      <c r="DO99" s="75"/>
      <c r="DP99" s="75"/>
      <c r="DQ99" s="75"/>
      <c r="DR99" s="75"/>
      <c r="DS99" s="75"/>
      <c r="DT99" s="75"/>
      <c r="DU99" s="75"/>
      <c r="DV99" s="75"/>
      <c r="DW99" s="75"/>
      <c r="DX99" s="75"/>
      <c r="DY99" s="75"/>
      <c r="DZ99" s="75"/>
      <c r="EA99" s="75"/>
      <c r="EB99" s="75"/>
      <c r="EC99" s="75"/>
      <c r="ED99" s="75"/>
      <c r="EE99" s="75"/>
      <c r="EF99" s="75"/>
      <c r="EG99" s="75"/>
      <c r="EH99" s="75"/>
    </row>
    <row r="100" spans="1:138" x14ac:dyDescent="0.25">
      <c r="A100" s="32">
        <v>43990</v>
      </c>
      <c r="B100" s="33" t="str">
        <f t="shared" ca="1" si="0"/>
        <v/>
      </c>
      <c r="C100" s="51">
        <f t="shared" si="93"/>
        <v>97</v>
      </c>
      <c r="D100" s="176">
        <f>DANE!K100</f>
        <v>16</v>
      </c>
      <c r="E100" s="188">
        <f t="shared" si="1"/>
        <v>2724</v>
      </c>
      <c r="F100" s="178">
        <f t="shared" ca="1" si="17"/>
        <v>13.428571428571429</v>
      </c>
      <c r="G100" s="209">
        <f t="shared" si="38"/>
        <v>131.33704580709116</v>
      </c>
      <c r="H100" s="179">
        <f t="shared" si="42"/>
        <v>-2.3950978594675199E-2</v>
      </c>
      <c r="I100" s="213">
        <f t="shared" si="43"/>
        <v>0.83234314983727353</v>
      </c>
      <c r="J100" s="214">
        <f t="shared" ca="1" si="44"/>
        <v>0.60974277513177211</v>
      </c>
      <c r="K100" s="176">
        <f>DANE!O100</f>
        <v>1</v>
      </c>
      <c r="L100" s="188">
        <f t="shared" si="2"/>
        <v>602</v>
      </c>
      <c r="M100" s="177">
        <f t="shared" ca="1" si="18"/>
        <v>1.2857142857142858</v>
      </c>
      <c r="N100" s="209">
        <f t="shared" si="62"/>
        <v>6.7272658589607826</v>
      </c>
      <c r="O100" s="179">
        <f t="shared" si="66"/>
        <v>6.8029005651101095E-3</v>
      </c>
      <c r="P100" s="213">
        <f t="shared" si="67"/>
        <v>1.0476203039557708</v>
      </c>
      <c r="Q100" s="217">
        <f t="shared" ca="1" si="68"/>
        <v>1.6422310459829201</v>
      </c>
      <c r="R100" s="176">
        <f>DANE!S100</f>
        <v>1</v>
      </c>
      <c r="S100" s="188">
        <f t="shared" si="3"/>
        <v>515</v>
      </c>
      <c r="T100" s="177">
        <f t="shared" ca="1" si="19"/>
        <v>2.8571428571428572</v>
      </c>
      <c r="U100" s="209">
        <f t="shared" si="50"/>
        <v>26.86589001948769</v>
      </c>
      <c r="V100" s="179">
        <f t="shared" si="55"/>
        <v>-0.1097191817625478</v>
      </c>
      <c r="W100" s="213">
        <f t="shared" si="56"/>
        <v>0.23196572766216539</v>
      </c>
      <c r="X100" s="214">
        <f t="shared" ca="1" si="57"/>
        <v>0.63716535178569877</v>
      </c>
      <c r="Y100" s="176">
        <f>DANE!W100</f>
        <v>0</v>
      </c>
      <c r="Z100" s="188">
        <f t="shared" si="4"/>
        <v>126</v>
      </c>
      <c r="AA100" s="177">
        <f t="shared" ca="1" si="20"/>
        <v>1.1428571428571428</v>
      </c>
      <c r="AB100" s="209">
        <f t="shared" si="94"/>
        <v>16.23482383571405</v>
      </c>
      <c r="AC100" s="179">
        <f t="shared" si="95"/>
        <v>-0.14285714285714271</v>
      </c>
      <c r="AD100" s="213">
        <f t="shared" si="96"/>
        <v>9.9920072216264089E-16</v>
      </c>
      <c r="AE100" s="217">
        <f t="shared" ca="1" si="97"/>
        <v>0.30579510398770143</v>
      </c>
      <c r="AF100" s="176">
        <f>DANE!AA100</f>
        <v>77</v>
      </c>
      <c r="AG100" s="188">
        <f t="shared" si="5"/>
        <v>2081</v>
      </c>
      <c r="AH100" s="177">
        <f t="shared" ca="1" si="21"/>
        <v>68.428571428571431</v>
      </c>
      <c r="AI100" s="209">
        <f t="shared" si="37"/>
        <v>412.48793108785077</v>
      </c>
      <c r="AJ100" s="179">
        <f t="shared" si="39"/>
        <v>5.3871245511371318E-2</v>
      </c>
      <c r="AK100" s="213">
        <f t="shared" si="40"/>
        <v>1.3770987185795993</v>
      </c>
      <c r="AL100" s="214">
        <f t="shared" ca="1" si="41"/>
        <v>1.8012809334156004</v>
      </c>
      <c r="AM100" s="176">
        <f>DANE!AE100</f>
        <v>30</v>
      </c>
      <c r="AN100" s="188">
        <f t="shared" si="6"/>
        <v>1389</v>
      </c>
      <c r="AO100" s="177">
        <f t="shared" ca="1" si="22"/>
        <v>22.571428571428573</v>
      </c>
      <c r="AP100" s="209">
        <f t="shared" si="49"/>
        <v>132.37484582620226</v>
      </c>
      <c r="AQ100" s="179">
        <f t="shared" si="51"/>
        <v>0.10832062944387599</v>
      </c>
      <c r="AR100" s="213">
        <f t="shared" si="52"/>
        <v>1.7582444061071318</v>
      </c>
      <c r="AS100" s="217">
        <f t="shared" ca="1" si="53"/>
        <v>1.9220694318605598</v>
      </c>
      <c r="AT100" s="176">
        <f>DANE!AI100</f>
        <v>74</v>
      </c>
      <c r="AU100" s="188">
        <f t="shared" si="7"/>
        <v>3953</v>
      </c>
      <c r="AV100" s="177">
        <f t="shared" ca="1" si="23"/>
        <v>46.428571428571431</v>
      </c>
      <c r="AW100" s="209">
        <f t="shared" si="33"/>
        <v>332.75655237104428</v>
      </c>
      <c r="AX100" s="179">
        <f t="shared" si="34"/>
        <v>0.10227122528411292</v>
      </c>
      <c r="AY100" s="213">
        <f t="shared" si="35"/>
        <v>1.7158985769887904</v>
      </c>
      <c r="AZ100" s="214">
        <f t="shared" ca="1" si="36"/>
        <v>1.0913637292984488</v>
      </c>
      <c r="BA100" s="176">
        <f>DANE!AM100</f>
        <v>9</v>
      </c>
      <c r="BB100" s="188">
        <f t="shared" si="8"/>
        <v>737</v>
      </c>
      <c r="BC100" s="177">
        <f t="shared" ca="1" si="24"/>
        <v>12.142857142857142</v>
      </c>
      <c r="BD100" s="209">
        <f t="shared" si="77"/>
        <v>71.254788462879276</v>
      </c>
      <c r="BE100" s="179">
        <f t="shared" si="80"/>
        <v>-1.894240626004522E-2</v>
      </c>
      <c r="BF100" s="213">
        <f t="shared" si="81"/>
        <v>0.86740315617968344</v>
      </c>
      <c r="BG100" s="217">
        <f t="shared" ca="1" si="82"/>
        <v>1.3445087224636214</v>
      </c>
      <c r="BH100" s="176">
        <f>DANE!AQ100</f>
        <v>5</v>
      </c>
      <c r="BI100" s="188">
        <f t="shared" si="9"/>
        <v>397</v>
      </c>
      <c r="BJ100" s="177">
        <f t="shared" ca="1" si="25"/>
        <v>1.2857142857142858</v>
      </c>
      <c r="BK100" s="209">
        <f t="shared" si="61"/>
        <v>10.942922038243786</v>
      </c>
      <c r="BL100" s="179">
        <f t="shared" si="63"/>
        <v>0.5782888284571257</v>
      </c>
      <c r="BM100" s="213">
        <f t="shared" si="64"/>
        <v>5.0480217991998799</v>
      </c>
      <c r="BN100" s="214">
        <f t="shared" ca="1" si="65"/>
        <v>1.3796937840019339</v>
      </c>
      <c r="BO100" s="176">
        <f>DANE!AU100</f>
        <v>6</v>
      </c>
      <c r="BP100" s="188">
        <f t="shared" si="10"/>
        <v>524</v>
      </c>
      <c r="BQ100" s="177">
        <f t="shared" ca="1" si="26"/>
        <v>9.4285714285714288</v>
      </c>
      <c r="BR100" s="209">
        <f t="shared" si="78"/>
        <v>55.380676735797842</v>
      </c>
      <c r="BS100" s="179">
        <f t="shared" si="83"/>
        <v>-3.8709984842823744E-2</v>
      </c>
      <c r="BT100" s="213">
        <f t="shared" si="84"/>
        <v>0.72903010610023378</v>
      </c>
      <c r="BU100" s="217">
        <f t="shared" ca="1" si="85"/>
        <v>1.6840237189905847</v>
      </c>
      <c r="BV100" s="176">
        <f>DANE!AY100</f>
        <v>0</v>
      </c>
      <c r="BW100" s="188">
        <f t="shared" si="11"/>
        <v>569</v>
      </c>
      <c r="BX100" s="177">
        <f t="shared" ca="1" si="27"/>
        <v>1.5714285714285714</v>
      </c>
      <c r="BY100" s="209">
        <f t="shared" si="69"/>
        <v>15.649419541716657</v>
      </c>
      <c r="BZ100" s="179">
        <f t="shared" si="71"/>
        <v>-0.14285714285714277</v>
      </c>
      <c r="CA100" s="213">
        <f t="shared" si="72"/>
        <v>5.5511151231257827E-16</v>
      </c>
      <c r="CB100" s="214">
        <f t="shared" ca="1" si="73"/>
        <v>0.58655792217291258</v>
      </c>
      <c r="CC100" s="176">
        <f>DANE!BC100</f>
        <v>326</v>
      </c>
      <c r="CD100" s="188">
        <f t="shared" si="12"/>
        <v>9968</v>
      </c>
      <c r="CE100" s="177">
        <f t="shared" ca="1" si="28"/>
        <v>216.71428571428572</v>
      </c>
      <c r="CF100" s="209">
        <f t="shared" si="45"/>
        <v>1588.1708012502579</v>
      </c>
      <c r="CG100" s="179">
        <f t="shared" si="46"/>
        <v>7.8530145734686599E-2</v>
      </c>
      <c r="CH100" s="213">
        <f t="shared" si="47"/>
        <v>1.5497110201428064</v>
      </c>
      <c r="CI100" s="217">
        <f t="shared" ca="1" si="48"/>
        <v>1.193196205023872</v>
      </c>
      <c r="CJ100" s="176">
        <f>DANE!BG100</f>
        <v>40</v>
      </c>
      <c r="CK100" s="188">
        <f t="shared" si="13"/>
        <v>554</v>
      </c>
      <c r="CL100" s="177">
        <f t="shared" ca="1" si="29"/>
        <v>9.8571428571428577</v>
      </c>
      <c r="CM100" s="209">
        <f t="shared" si="79"/>
        <v>80.071929810061079</v>
      </c>
      <c r="CN100" s="179">
        <f t="shared" si="86"/>
        <v>0.71274712796851603</v>
      </c>
      <c r="CO100" s="213">
        <f t="shared" si="87"/>
        <v>5.9892298957796122</v>
      </c>
      <c r="CP100" s="214">
        <f t="shared" ca="1" si="88"/>
        <v>1.2686080209377042</v>
      </c>
      <c r="CQ100" s="176">
        <f>DANE!BK100</f>
        <v>1</v>
      </c>
      <c r="CR100" s="188">
        <f t="shared" si="14"/>
        <v>181</v>
      </c>
      <c r="CS100" s="177">
        <f t="shared" ca="1" si="30"/>
        <v>0.2857142857142857</v>
      </c>
      <c r="CT100" s="209">
        <f t="shared" si="89"/>
        <v>2.7228509552112476</v>
      </c>
      <c r="CU100" s="179">
        <f t="shared" si="90"/>
        <v>0.35465708177743011</v>
      </c>
      <c r="CV100" s="213">
        <f t="shared" si="91"/>
        <v>3.4825995724420107</v>
      </c>
      <c r="CW100" s="217">
        <f t="shared" ca="1" si="92"/>
        <v>0.99131031242775969</v>
      </c>
      <c r="CX100" s="176">
        <f>DANE!BO100</f>
        <v>13</v>
      </c>
      <c r="CY100" s="188">
        <f t="shared" si="15"/>
        <v>2286</v>
      </c>
      <c r="CZ100" s="177">
        <f t="shared" ca="1" si="31"/>
        <v>18.714285714285715</v>
      </c>
      <c r="DA100" s="209">
        <f t="shared" si="54"/>
        <v>126.14845369015983</v>
      </c>
      <c r="DB100" s="179">
        <f t="shared" si="58"/>
        <v>-4.4377165628552546E-2</v>
      </c>
      <c r="DC100" s="213">
        <f t="shared" si="59"/>
        <v>0.68935984060013222</v>
      </c>
      <c r="DD100" s="214">
        <f t="shared" ca="1" si="60"/>
        <v>1.0337727911050723</v>
      </c>
      <c r="DE100" s="176">
        <f>DANE!BS100</f>
        <v>0</v>
      </c>
      <c r="DF100" s="188">
        <f t="shared" si="16"/>
        <v>554</v>
      </c>
      <c r="DG100" s="177">
        <f t="shared" ca="1" si="32"/>
        <v>2.5714285714285716</v>
      </c>
      <c r="DH100" s="209">
        <f t="shared" si="70"/>
        <v>14.847332748079827</v>
      </c>
      <c r="DI100" s="179">
        <f t="shared" si="74"/>
        <v>-0.14285714285714285</v>
      </c>
      <c r="DJ100" s="157">
        <f t="shared" si="75"/>
        <v>0</v>
      </c>
      <c r="DK100" s="225">
        <f t="shared" ca="1" si="76"/>
        <v>0.92000840166046616</v>
      </c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</row>
    <row r="101" spans="1:138" x14ac:dyDescent="0.25">
      <c r="A101" s="32">
        <v>43991</v>
      </c>
      <c r="B101" s="33" t="str">
        <f t="shared" ca="1" si="0"/>
        <v/>
      </c>
      <c r="C101" s="51">
        <f t="shared" si="93"/>
        <v>98</v>
      </c>
      <c r="D101" s="176">
        <f>DANE!K101</f>
        <v>12</v>
      </c>
      <c r="E101" s="188">
        <f t="shared" si="1"/>
        <v>2736</v>
      </c>
      <c r="F101" s="178">
        <f t="shared" ca="1" si="17"/>
        <v>13.857142857142858</v>
      </c>
      <c r="G101" s="209">
        <f t="shared" si="38"/>
        <v>124.57461069179243</v>
      </c>
      <c r="H101" s="179">
        <f t="shared" si="42"/>
        <v>-5.148916723185204E-2</v>
      </c>
      <c r="I101" s="213">
        <f t="shared" si="43"/>
        <v>0.63957582937703572</v>
      </c>
      <c r="J101" s="214">
        <f t="shared" ca="1" si="44"/>
        <v>0.65548977967708588</v>
      </c>
      <c r="K101" s="176">
        <f>DANE!O101</f>
        <v>1</v>
      </c>
      <c r="L101" s="188">
        <f t="shared" si="2"/>
        <v>603</v>
      </c>
      <c r="M101" s="177">
        <f t="shared" ca="1" si="18"/>
        <v>1.2857142857142858</v>
      </c>
      <c r="N101" s="209">
        <f t="shared" si="62"/>
        <v>6.7662278791092429</v>
      </c>
      <c r="O101" s="179">
        <f t="shared" si="66"/>
        <v>5.7916575567713907E-3</v>
      </c>
      <c r="P101" s="213">
        <f t="shared" si="67"/>
        <v>1.0405416028973997</v>
      </c>
      <c r="Q101" s="217">
        <f t="shared" ca="1" si="68"/>
        <v>1.5563666405852199</v>
      </c>
      <c r="R101" s="176">
        <f>DANE!S101</f>
        <v>4</v>
      </c>
      <c r="S101" s="188">
        <f t="shared" si="3"/>
        <v>519</v>
      </c>
      <c r="T101" s="177">
        <f t="shared" ca="1" si="19"/>
        <v>3.4285714285714284</v>
      </c>
      <c r="U101" s="209">
        <f t="shared" si="50"/>
        <v>27.027905730989449</v>
      </c>
      <c r="V101" s="179">
        <f t="shared" si="55"/>
        <v>6.0305357977806758E-3</v>
      </c>
      <c r="W101" s="213">
        <f t="shared" si="56"/>
        <v>1.0422137505844646</v>
      </c>
      <c r="X101" s="214">
        <f t="shared" ca="1" si="57"/>
        <v>0.78605303044062202</v>
      </c>
      <c r="Y101" s="176">
        <f>DANE!W101</f>
        <v>3</v>
      </c>
      <c r="Z101" s="188">
        <f t="shared" si="4"/>
        <v>129</v>
      </c>
      <c r="AA101" s="177">
        <f t="shared" ca="1" si="20"/>
        <v>1.2857142857142858</v>
      </c>
      <c r="AB101" s="209">
        <f t="shared" si="94"/>
        <v>16.9155632877549</v>
      </c>
      <c r="AC101" s="179">
        <f t="shared" si="95"/>
        <v>4.1930818525011078E-2</v>
      </c>
      <c r="AD101" s="213">
        <f t="shared" si="96"/>
        <v>1.2935157296750774</v>
      </c>
      <c r="AE101" s="217">
        <f t="shared" ca="1" si="97"/>
        <v>0.43168527514045751</v>
      </c>
      <c r="AF101" s="176">
        <f>DANE!AA101</f>
        <v>45</v>
      </c>
      <c r="AG101" s="188">
        <f t="shared" si="5"/>
        <v>2126</v>
      </c>
      <c r="AH101" s="177">
        <f t="shared" ca="1" si="21"/>
        <v>73.714285714285708</v>
      </c>
      <c r="AI101" s="209">
        <f t="shared" si="37"/>
        <v>398.56108378958641</v>
      </c>
      <c r="AJ101" s="179">
        <f t="shared" si="39"/>
        <v>-3.3763041894426367E-2</v>
      </c>
      <c r="AK101" s="213">
        <f t="shared" si="40"/>
        <v>0.76365870673901548</v>
      </c>
      <c r="AL101" s="214">
        <f t="shared" ca="1" si="41"/>
        <v>1.8713758751772389</v>
      </c>
      <c r="AM101" s="176">
        <f>DANE!AE101</f>
        <v>43</v>
      </c>
      <c r="AN101" s="188">
        <f t="shared" si="6"/>
        <v>1432</v>
      </c>
      <c r="AO101" s="177">
        <f t="shared" ca="1" si="22"/>
        <v>27.285714285714285</v>
      </c>
      <c r="AP101" s="209">
        <f t="shared" si="49"/>
        <v>156.46415356531622</v>
      </c>
      <c r="AQ101" s="179">
        <f t="shared" si="51"/>
        <v>0.18197798523400227</v>
      </c>
      <c r="AR101" s="213">
        <f t="shared" si="52"/>
        <v>2.273845896638016</v>
      </c>
      <c r="AS101" s="217">
        <f t="shared" ca="1" si="53"/>
        <v>2.0687184067262412</v>
      </c>
      <c r="AT101" s="176">
        <f>DANE!AI101</f>
        <v>80</v>
      </c>
      <c r="AU101" s="188">
        <f t="shared" si="7"/>
        <v>4033</v>
      </c>
      <c r="AV101" s="177">
        <f t="shared" ca="1" si="23"/>
        <v>53.285714285714285</v>
      </c>
      <c r="AW101" s="209">
        <f t="shared" si="33"/>
        <v>365.21990203232372</v>
      </c>
      <c r="AX101" s="179">
        <f t="shared" si="34"/>
        <v>9.7558859262013214E-2</v>
      </c>
      <c r="AY101" s="213">
        <f t="shared" si="35"/>
        <v>1.6829120148340926</v>
      </c>
      <c r="AZ101" s="214">
        <f t="shared" ca="1" si="36"/>
        <v>1.227401186959894</v>
      </c>
      <c r="BA101" s="176">
        <f>DANE!AM101</f>
        <v>10</v>
      </c>
      <c r="BB101" s="188">
        <f t="shared" si="8"/>
        <v>747</v>
      </c>
      <c r="BC101" s="177">
        <f t="shared" ca="1" si="24"/>
        <v>11.571428571428571</v>
      </c>
      <c r="BD101" s="209">
        <f t="shared" si="77"/>
        <v>71.075532968182245</v>
      </c>
      <c r="BE101" s="179">
        <f t="shared" si="80"/>
        <v>-2.5156975210222652E-3</v>
      </c>
      <c r="BF101" s="213">
        <f t="shared" si="81"/>
        <v>0.98239011735284409</v>
      </c>
      <c r="BG101" s="217">
        <f t="shared" ca="1" si="82"/>
        <v>1.2165921897615808</v>
      </c>
      <c r="BH101" s="176">
        <f>DANE!AQ101</f>
        <v>11</v>
      </c>
      <c r="BI101" s="188">
        <f t="shared" si="9"/>
        <v>408</v>
      </c>
      <c r="BJ101" s="177">
        <f t="shared" ca="1" si="25"/>
        <v>2.8571428571428572</v>
      </c>
      <c r="BK101" s="209">
        <f t="shared" si="61"/>
        <v>20.379647461351816</v>
      </c>
      <c r="BL101" s="179">
        <f t="shared" si="63"/>
        <v>0.86235882793719654</v>
      </c>
      <c r="BM101" s="213">
        <f t="shared" si="64"/>
        <v>7.0365117955603758</v>
      </c>
      <c r="BN101" s="214">
        <f t="shared" ca="1" si="65"/>
        <v>2.3849097547962734</v>
      </c>
      <c r="BO101" s="176">
        <f>DANE!AU101</f>
        <v>15</v>
      </c>
      <c r="BP101" s="188">
        <f t="shared" si="10"/>
        <v>539</v>
      </c>
      <c r="BQ101" s="177">
        <f t="shared" ca="1" si="26"/>
        <v>10.857142857142858</v>
      </c>
      <c r="BR101" s="209">
        <f t="shared" si="78"/>
        <v>62.469151487826721</v>
      </c>
      <c r="BS101" s="179">
        <f t="shared" si="83"/>
        <v>0.12799545202102811</v>
      </c>
      <c r="BT101" s="213">
        <f t="shared" si="84"/>
        <v>1.8959681641471968</v>
      </c>
      <c r="BU101" s="217">
        <f t="shared" ca="1" si="85"/>
        <v>1.7901434385771393</v>
      </c>
      <c r="BV101" s="176">
        <f>DANE!AY101</f>
        <v>5</v>
      </c>
      <c r="BW101" s="188">
        <f t="shared" si="11"/>
        <v>574</v>
      </c>
      <c r="BX101" s="177">
        <f t="shared" ca="1" si="27"/>
        <v>2.1428571428571428</v>
      </c>
      <c r="BY101" s="209">
        <f t="shared" si="69"/>
        <v>18.413788178614279</v>
      </c>
      <c r="BZ101" s="179">
        <f t="shared" si="71"/>
        <v>0.17664352530959021</v>
      </c>
      <c r="CA101" s="213">
        <f t="shared" si="72"/>
        <v>2.2365046771671313</v>
      </c>
      <c r="CB101" s="214">
        <f t="shared" ca="1" si="73"/>
        <v>0.86558367587208551</v>
      </c>
      <c r="CC101" s="176">
        <f>DANE!BC101</f>
        <v>137</v>
      </c>
      <c r="CD101" s="188">
        <f t="shared" si="12"/>
        <v>10105</v>
      </c>
      <c r="CE101" s="177">
        <f t="shared" ca="1" si="28"/>
        <v>220.71428571428572</v>
      </c>
      <c r="CF101" s="209">
        <f t="shared" si="45"/>
        <v>1498.2892582145068</v>
      </c>
      <c r="CG101" s="179">
        <f t="shared" si="46"/>
        <v>-5.6594380758664929E-2</v>
      </c>
      <c r="CH101" s="213">
        <f t="shared" si="47"/>
        <v>0.60383933468934547</v>
      </c>
      <c r="CI101" s="217">
        <f t="shared" ca="1" si="48"/>
        <v>1.1981764318949413</v>
      </c>
      <c r="CJ101" s="176">
        <f>DANE!BG101</f>
        <v>14</v>
      </c>
      <c r="CK101" s="188">
        <f t="shared" si="13"/>
        <v>568</v>
      </c>
      <c r="CL101" s="177">
        <f t="shared" ca="1" si="29"/>
        <v>10.857142857142858</v>
      </c>
      <c r="CM101" s="209">
        <f t="shared" si="79"/>
        <v>82.633082694338071</v>
      </c>
      <c r="CN101" s="179">
        <f t="shared" si="86"/>
        <v>3.1985652030022418E-2</v>
      </c>
      <c r="CO101" s="213">
        <f t="shared" si="87"/>
        <v>1.2238995642101569</v>
      </c>
      <c r="CP101" s="214">
        <f t="shared" ca="1" si="88"/>
        <v>1.3499209057944979</v>
      </c>
      <c r="CQ101" s="176">
        <f>DANE!BK101</f>
        <v>0</v>
      </c>
      <c r="CR101" s="188">
        <f t="shared" si="14"/>
        <v>181</v>
      </c>
      <c r="CS101" s="177">
        <f t="shared" ca="1" si="30"/>
        <v>0.2857142857142857</v>
      </c>
      <c r="CT101" s="209">
        <f t="shared" si="89"/>
        <v>2.3338722473239266</v>
      </c>
      <c r="CU101" s="179">
        <f t="shared" si="90"/>
        <v>-0.14285714285714282</v>
      </c>
      <c r="CV101" s="213">
        <f t="shared" si="91"/>
        <v>2.2204460492503131E-16</v>
      </c>
      <c r="CW101" s="217">
        <f t="shared" ca="1" si="92"/>
        <v>0.99131031242775958</v>
      </c>
      <c r="CX101" s="176">
        <f>DANE!BO101</f>
        <v>14</v>
      </c>
      <c r="CY101" s="188">
        <f t="shared" si="15"/>
        <v>2300</v>
      </c>
      <c r="CZ101" s="177">
        <f t="shared" ca="1" si="31"/>
        <v>16</v>
      </c>
      <c r="DA101" s="209">
        <f t="shared" si="54"/>
        <v>122.12724602013701</v>
      </c>
      <c r="DB101" s="179">
        <f t="shared" si="58"/>
        <v>-3.187678923040569E-2</v>
      </c>
      <c r="DC101" s="213">
        <f t="shared" si="59"/>
        <v>0.77686247538716013</v>
      </c>
      <c r="DD101" s="214">
        <f t="shared" ca="1" si="60"/>
        <v>0.88424420423775929</v>
      </c>
      <c r="DE101" s="176">
        <f>DANE!BS101</f>
        <v>6</v>
      </c>
      <c r="DF101" s="188">
        <f t="shared" si="16"/>
        <v>560</v>
      </c>
      <c r="DG101" s="177">
        <f t="shared" ca="1" si="32"/>
        <v>2.7142857142857144</v>
      </c>
      <c r="DH101" s="209">
        <f t="shared" si="70"/>
        <v>18.726285212639851</v>
      </c>
      <c r="DI101" s="179">
        <f t="shared" si="74"/>
        <v>0.26125584509862088</v>
      </c>
      <c r="DJ101" s="157">
        <f t="shared" si="75"/>
        <v>2.8287909156903464</v>
      </c>
      <c r="DK101" s="225">
        <f t="shared" ca="1" si="76"/>
        <v>1.0310861858087623</v>
      </c>
      <c r="DL101" s="82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</row>
    <row r="102" spans="1:138" x14ac:dyDescent="0.25">
      <c r="A102" s="32">
        <v>43992</v>
      </c>
      <c r="B102" s="33" t="str">
        <f t="shared" ca="1" si="0"/>
        <v/>
      </c>
      <c r="C102" s="51">
        <f t="shared" si="93"/>
        <v>99</v>
      </c>
      <c r="D102" s="176">
        <f>DANE!K102</f>
        <v>3</v>
      </c>
      <c r="E102" s="188">
        <f t="shared" si="1"/>
        <v>2739</v>
      </c>
      <c r="F102" s="178">
        <f t="shared" ca="1" si="17"/>
        <v>12.857142857142858</v>
      </c>
      <c r="G102" s="209">
        <f t="shared" si="38"/>
        <v>109.77823773582209</v>
      </c>
      <c r="H102" s="179">
        <f t="shared" si="42"/>
        <v>-0.11877518921233279</v>
      </c>
      <c r="I102" s="213">
        <f t="shared" si="43"/>
        <v>0.16857367551367042</v>
      </c>
      <c r="J102" s="214">
        <f t="shared" ca="1" si="44"/>
        <v>0.62342197822323597</v>
      </c>
      <c r="K102" s="176">
        <f>DANE!O102</f>
        <v>3</v>
      </c>
      <c r="L102" s="188">
        <f t="shared" si="2"/>
        <v>606</v>
      </c>
      <c r="M102" s="177">
        <f t="shared" ca="1" si="18"/>
        <v>1.5714285714285714</v>
      </c>
      <c r="N102" s="209">
        <f t="shared" si="62"/>
        <v>8.7996238963793516</v>
      </c>
      <c r="O102" s="179">
        <f t="shared" si="66"/>
        <v>0.30052136191691498</v>
      </c>
      <c r="P102" s="213">
        <f t="shared" si="67"/>
        <v>3.1036495334184049</v>
      </c>
      <c r="Q102" s="217">
        <f t="shared" ca="1" si="68"/>
        <v>1.7849218014784911</v>
      </c>
      <c r="R102" s="176">
        <f>DANE!S102</f>
        <v>1</v>
      </c>
      <c r="S102" s="188">
        <f t="shared" si="3"/>
        <v>520</v>
      </c>
      <c r="T102" s="177">
        <f t="shared" ca="1" si="19"/>
        <v>2.4285714285714284</v>
      </c>
      <c r="U102" s="209">
        <f t="shared" si="50"/>
        <v>24.166776340848102</v>
      </c>
      <c r="V102" s="179">
        <f t="shared" si="55"/>
        <v>-0.10585834576375834</v>
      </c>
      <c r="W102" s="213">
        <f t="shared" si="56"/>
        <v>0.25899157965369157</v>
      </c>
      <c r="X102" s="214">
        <f t="shared" ca="1" si="57"/>
        <v>0.59059821391820899</v>
      </c>
      <c r="Y102" s="176">
        <f>DANE!W102</f>
        <v>0</v>
      </c>
      <c r="Z102" s="188">
        <f t="shared" si="4"/>
        <v>129</v>
      </c>
      <c r="AA102" s="177">
        <f t="shared" ca="1" si="20"/>
        <v>1</v>
      </c>
      <c r="AB102" s="209">
        <f t="shared" si="94"/>
        <v>14.499054246647058</v>
      </c>
      <c r="AC102" s="179">
        <f t="shared" si="95"/>
        <v>-0.14285714285714282</v>
      </c>
      <c r="AD102" s="213">
        <f t="shared" si="96"/>
        <v>2.2204460492503131E-16</v>
      </c>
      <c r="AE102" s="217">
        <f t="shared" ca="1" si="97"/>
        <v>0.36738923063811868</v>
      </c>
      <c r="AF102" s="176">
        <f>DANE!AA102</f>
        <v>38</v>
      </c>
      <c r="AG102" s="188">
        <f t="shared" si="5"/>
        <v>2164</v>
      </c>
      <c r="AH102" s="177">
        <f t="shared" ca="1" si="21"/>
        <v>71.428571428571431</v>
      </c>
      <c r="AI102" s="209">
        <f t="shared" si="37"/>
        <v>379.62378610535978</v>
      </c>
      <c r="AJ102" s="179">
        <f t="shared" si="39"/>
        <v>-4.7514166471466765E-2</v>
      </c>
      <c r="AK102" s="213">
        <f t="shared" si="40"/>
        <v>0.66740083469973266</v>
      </c>
      <c r="AL102" s="214">
        <f t="shared" ca="1" si="41"/>
        <v>1.6729659420840639</v>
      </c>
      <c r="AM102" s="176">
        <f>DANE!AE102</f>
        <v>20</v>
      </c>
      <c r="AN102" s="188">
        <f t="shared" si="6"/>
        <v>1452</v>
      </c>
      <c r="AO102" s="177">
        <f t="shared" ca="1" si="22"/>
        <v>27.857142857142858</v>
      </c>
      <c r="AP102" s="209">
        <f t="shared" si="49"/>
        <v>154.1121316274139</v>
      </c>
      <c r="AQ102" s="179">
        <f t="shared" si="51"/>
        <v>-1.5032337339302872E-2</v>
      </c>
      <c r="AR102" s="213">
        <f t="shared" si="52"/>
        <v>0.89477363862487991</v>
      </c>
      <c r="AS102" s="217">
        <f t="shared" ca="1" si="53"/>
        <v>1.9211738926310653</v>
      </c>
      <c r="AT102" s="176">
        <f>DANE!AI102</f>
        <v>85</v>
      </c>
      <c r="AU102" s="188">
        <f t="shared" si="7"/>
        <v>4118</v>
      </c>
      <c r="AV102" s="177">
        <f t="shared" ca="1" si="23"/>
        <v>61.428571428571431</v>
      </c>
      <c r="AW102" s="209">
        <f t="shared" si="33"/>
        <v>398.04563031342036</v>
      </c>
      <c r="AX102" s="179">
        <f t="shared" si="34"/>
        <v>8.9879352407775989E-2</v>
      </c>
      <c r="AY102" s="213">
        <f t="shared" si="35"/>
        <v>1.6291554668544319</v>
      </c>
      <c r="AZ102" s="214">
        <f t="shared" ca="1" si="36"/>
        <v>1.3651515214919729</v>
      </c>
      <c r="BA102" s="176">
        <f>DANE!AM102</f>
        <v>13</v>
      </c>
      <c r="BB102" s="188">
        <f t="shared" si="8"/>
        <v>760</v>
      </c>
      <c r="BC102" s="177">
        <f t="shared" ca="1" si="24"/>
        <v>10.714285714285714</v>
      </c>
      <c r="BD102" s="209">
        <f t="shared" si="77"/>
        <v>73.921885401299079</v>
      </c>
      <c r="BE102" s="179">
        <f t="shared" si="80"/>
        <v>4.0046867244611949E-2</v>
      </c>
      <c r="BF102" s="213">
        <f t="shared" si="81"/>
        <v>1.2803280707122837</v>
      </c>
      <c r="BG102" s="217">
        <f t="shared" ca="1" si="82"/>
        <v>1.0759986624659006</v>
      </c>
      <c r="BH102" s="176">
        <f>DANE!AQ102</f>
        <v>5</v>
      </c>
      <c r="BI102" s="188">
        <f t="shared" si="9"/>
        <v>413</v>
      </c>
      <c r="BJ102" s="177">
        <f t="shared" ca="1" si="25"/>
        <v>3.4285714285714284</v>
      </c>
      <c r="BK102" s="209">
        <f t="shared" si="61"/>
        <v>22.468269252587273</v>
      </c>
      <c r="BL102" s="179">
        <f t="shared" si="63"/>
        <v>0.10248566837067925</v>
      </c>
      <c r="BM102" s="213">
        <f t="shared" si="64"/>
        <v>1.717399678594755</v>
      </c>
      <c r="BN102" s="214">
        <f t="shared" ca="1" si="65"/>
        <v>2.4994267407155575</v>
      </c>
      <c r="BO102" s="176">
        <f>DANE!AU102</f>
        <v>11</v>
      </c>
      <c r="BP102" s="188">
        <f t="shared" si="10"/>
        <v>550</v>
      </c>
      <c r="BQ102" s="177">
        <f t="shared" ca="1" si="26"/>
        <v>11</v>
      </c>
      <c r="BR102" s="209">
        <f t="shared" si="78"/>
        <v>64.544986989565757</v>
      </c>
      <c r="BS102" s="179">
        <f t="shared" si="83"/>
        <v>3.3229769450983354E-2</v>
      </c>
      <c r="BT102" s="213">
        <f t="shared" si="84"/>
        <v>1.2326083861568835</v>
      </c>
      <c r="BU102" s="217">
        <f t="shared" ca="1" si="85"/>
        <v>1.6438176150447463</v>
      </c>
      <c r="BV102" s="176">
        <f>DANE!AY102</f>
        <v>5</v>
      </c>
      <c r="BW102" s="188">
        <f t="shared" si="11"/>
        <v>579</v>
      </c>
      <c r="BX102" s="177">
        <f t="shared" ca="1" si="27"/>
        <v>2.8571428571428572</v>
      </c>
      <c r="BY102" s="209">
        <f t="shared" si="69"/>
        <v>20.783247010240814</v>
      </c>
      <c r="BZ102" s="179">
        <f t="shared" si="71"/>
        <v>0.12867851029037128</v>
      </c>
      <c r="CA102" s="213">
        <f t="shared" si="72"/>
        <v>1.9007495720325989</v>
      </c>
      <c r="CB102" s="214">
        <f t="shared" ca="1" si="73"/>
        <v>1.1371193290195996</v>
      </c>
      <c r="CC102" s="176">
        <f>DANE!BC102</f>
        <v>76</v>
      </c>
      <c r="CD102" s="188">
        <f t="shared" si="12"/>
        <v>10181</v>
      </c>
      <c r="CE102" s="177">
        <f t="shared" ca="1" si="28"/>
        <v>216</v>
      </c>
      <c r="CF102" s="209">
        <f t="shared" si="45"/>
        <v>1360.2479356124345</v>
      </c>
      <c r="CG102" s="179">
        <f t="shared" si="46"/>
        <v>-9.2132625155822392E-2</v>
      </c>
      <c r="CH102" s="213">
        <f t="shared" si="47"/>
        <v>0.35507162390924318</v>
      </c>
      <c r="CI102" s="217">
        <f t="shared" ca="1" si="48"/>
        <v>1.1622850759335663</v>
      </c>
      <c r="CJ102" s="176">
        <f>DANE!BG102</f>
        <v>11</v>
      </c>
      <c r="CK102" s="188">
        <f t="shared" si="13"/>
        <v>579</v>
      </c>
      <c r="CL102" s="177">
        <f t="shared" ca="1" si="29"/>
        <v>11.142857142857142</v>
      </c>
      <c r="CM102" s="209">
        <f t="shared" si="79"/>
        <v>81.828356595146928</v>
      </c>
      <c r="CN102" s="179">
        <f t="shared" si="86"/>
        <v>-9.7385462692690019E-3</v>
      </c>
      <c r="CO102" s="213">
        <f t="shared" si="87"/>
        <v>0.93183017611511698</v>
      </c>
      <c r="CP102" s="214">
        <f t="shared" ca="1" si="88"/>
        <v>1.3565472480337111</v>
      </c>
      <c r="CQ102" s="176">
        <f>DANE!BK102</f>
        <v>0</v>
      </c>
      <c r="CR102" s="188">
        <f t="shared" si="14"/>
        <v>181</v>
      </c>
      <c r="CS102" s="177">
        <f t="shared" ca="1" si="30"/>
        <v>0.2857142857142857</v>
      </c>
      <c r="CT102" s="209">
        <f t="shared" si="89"/>
        <v>2.0004619262776515</v>
      </c>
      <c r="CU102" s="179">
        <f t="shared" si="90"/>
        <v>-0.14285714285714279</v>
      </c>
      <c r="CV102" s="213">
        <f t="shared" si="91"/>
        <v>4.4408920985006262E-16</v>
      </c>
      <c r="CW102" s="217">
        <f t="shared" ca="1" si="92"/>
        <v>0.99131031242775947</v>
      </c>
      <c r="CX102" s="176">
        <f>DANE!BO102</f>
        <v>6</v>
      </c>
      <c r="CY102" s="188">
        <f t="shared" si="15"/>
        <v>2306</v>
      </c>
      <c r="CZ102" s="177">
        <f t="shared" ca="1" si="31"/>
        <v>14.285714285714286</v>
      </c>
      <c r="DA102" s="209">
        <f t="shared" si="54"/>
        <v>110.68049658868887</v>
      </c>
      <c r="DB102" s="179">
        <f t="shared" si="58"/>
        <v>-9.372805663333092E-2</v>
      </c>
      <c r="DC102" s="213">
        <f t="shared" si="59"/>
        <v>0.34390360356668348</v>
      </c>
      <c r="DD102" s="214">
        <f t="shared" ca="1" si="60"/>
        <v>0.80623549492948732</v>
      </c>
      <c r="DE102" s="176">
        <f>DANE!BS102</f>
        <v>5</v>
      </c>
      <c r="DF102" s="188">
        <f t="shared" si="16"/>
        <v>565</v>
      </c>
      <c r="DG102" s="177">
        <f t="shared" ca="1" si="32"/>
        <v>2.4285714285714284</v>
      </c>
      <c r="DH102" s="209">
        <f t="shared" si="70"/>
        <v>21.051101610834159</v>
      </c>
      <c r="DI102" s="179">
        <f t="shared" si="74"/>
        <v>0.12414722790962862</v>
      </c>
      <c r="DJ102" s="157">
        <f t="shared" si="75"/>
        <v>1.8690305953674002</v>
      </c>
      <c r="DK102" s="225">
        <f t="shared" ca="1" si="76"/>
        <v>0.94140727486566556</v>
      </c>
      <c r="DL102" s="83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</row>
    <row r="103" spans="1:138" x14ac:dyDescent="0.25">
      <c r="A103" s="32">
        <v>43993</v>
      </c>
      <c r="B103" s="33" t="str">
        <f t="shared" ca="1" si="0"/>
        <v/>
      </c>
      <c r="C103" s="51">
        <f t="shared" si="93"/>
        <v>100</v>
      </c>
      <c r="D103" s="176">
        <f>DANE!K103</f>
        <v>10</v>
      </c>
      <c r="E103" s="188">
        <f t="shared" si="1"/>
        <v>2749</v>
      </c>
      <c r="F103" s="178">
        <f t="shared" ca="1" si="17"/>
        <v>12.714285714285714</v>
      </c>
      <c r="G103" s="209">
        <f t="shared" si="38"/>
        <v>104.09563234499036</v>
      </c>
      <c r="H103" s="179">
        <f t="shared" si="42"/>
        <v>-5.1764407117799956E-2</v>
      </c>
      <c r="I103" s="213">
        <f t="shared" si="43"/>
        <v>0.63764915017540025</v>
      </c>
      <c r="J103" s="214">
        <f t="shared" ca="1" si="44"/>
        <v>0.64688608127613301</v>
      </c>
      <c r="K103" s="176">
        <f>DANE!O103</f>
        <v>2</v>
      </c>
      <c r="L103" s="188">
        <f t="shared" si="2"/>
        <v>608</v>
      </c>
      <c r="M103" s="177">
        <f t="shared" ca="1" si="18"/>
        <v>1.2857142857142858</v>
      </c>
      <c r="N103" s="209">
        <f t="shared" si="62"/>
        <v>9.542534768325158</v>
      </c>
      <c r="O103" s="179">
        <f t="shared" si="66"/>
        <v>8.4425298250699179E-2</v>
      </c>
      <c r="P103" s="213">
        <f t="shared" si="67"/>
        <v>1.5909770877548943</v>
      </c>
      <c r="Q103" s="217">
        <f t="shared" ca="1" si="68"/>
        <v>1.2105993275222295</v>
      </c>
      <c r="R103" s="176">
        <f>DANE!S103</f>
        <v>2</v>
      </c>
      <c r="S103" s="188">
        <f t="shared" si="3"/>
        <v>522</v>
      </c>
      <c r="T103" s="177">
        <f t="shared" ca="1" si="19"/>
        <v>2.5714285714285716</v>
      </c>
      <c r="U103" s="209">
        <f t="shared" si="50"/>
        <v>22.714379720726946</v>
      </c>
      <c r="V103" s="179">
        <f t="shared" si="55"/>
        <v>-6.0098897744430668E-2</v>
      </c>
      <c r="W103" s="213">
        <f t="shared" si="56"/>
        <v>0.57930771578898532</v>
      </c>
      <c r="X103" s="214">
        <f t="shared" ca="1" si="57"/>
        <v>0.64668906198828613</v>
      </c>
      <c r="Y103" s="176">
        <f>DANE!W103</f>
        <v>0</v>
      </c>
      <c r="Z103" s="188">
        <f t="shared" si="4"/>
        <v>129</v>
      </c>
      <c r="AA103" s="177">
        <f t="shared" ca="1" si="20"/>
        <v>1</v>
      </c>
      <c r="AB103" s="209">
        <f t="shared" si="94"/>
        <v>12.427760782840336</v>
      </c>
      <c r="AC103" s="179">
        <f t="shared" si="95"/>
        <v>-0.14285714285714279</v>
      </c>
      <c r="AD103" s="213">
        <f t="shared" si="96"/>
        <v>4.4408920985006262E-16</v>
      </c>
      <c r="AE103" s="217">
        <f t="shared" ca="1" si="97"/>
        <v>0.36738923063811862</v>
      </c>
      <c r="AF103" s="176">
        <f>DANE!AA103</f>
        <v>73</v>
      </c>
      <c r="AG103" s="188">
        <f t="shared" si="5"/>
        <v>2237</v>
      </c>
      <c r="AH103" s="177">
        <f t="shared" ca="1" si="21"/>
        <v>65.857142857142861</v>
      </c>
      <c r="AI103" s="209">
        <f t="shared" si="37"/>
        <v>398.39181666173698</v>
      </c>
      <c r="AJ103" s="179">
        <f t="shared" si="39"/>
        <v>4.9438500018458717E-2</v>
      </c>
      <c r="AK103" s="213">
        <f t="shared" si="40"/>
        <v>1.3460695001292111</v>
      </c>
      <c r="AL103" s="214">
        <f t="shared" ca="1" si="41"/>
        <v>1.335878028773404</v>
      </c>
      <c r="AM103" s="176">
        <f>DANE!AE103</f>
        <v>9</v>
      </c>
      <c r="AN103" s="188">
        <f t="shared" si="6"/>
        <v>1461</v>
      </c>
      <c r="AO103" s="177">
        <f t="shared" ca="1" si="22"/>
        <v>26.142857142857142</v>
      </c>
      <c r="AP103" s="209">
        <f t="shared" si="49"/>
        <v>141.09611282349763</v>
      </c>
      <c r="AQ103" s="179">
        <f t="shared" si="51"/>
        <v>-8.4458106357156768E-2</v>
      </c>
      <c r="AR103" s="213">
        <f t="shared" si="52"/>
        <v>0.40879325549990264</v>
      </c>
      <c r="AS103" s="217">
        <f t="shared" ca="1" si="53"/>
        <v>1.6604397317932607</v>
      </c>
      <c r="AT103" s="176">
        <f>DANE!AI103</f>
        <v>54</v>
      </c>
      <c r="AU103" s="188">
        <f t="shared" si="7"/>
        <v>4172</v>
      </c>
      <c r="AV103" s="177">
        <f t="shared" ca="1" si="23"/>
        <v>62</v>
      </c>
      <c r="AW103" s="209">
        <f t="shared" si="33"/>
        <v>395.1819688400746</v>
      </c>
      <c r="AX103" s="179">
        <f t="shared" si="34"/>
        <v>-7.1943045099902648E-3</v>
      </c>
      <c r="AY103" s="213">
        <f t="shared" si="35"/>
        <v>0.9496398684300682</v>
      </c>
      <c r="AZ103" s="214">
        <f t="shared" ca="1" si="36"/>
        <v>1.3226681832377427</v>
      </c>
      <c r="BA103" s="176">
        <f>DANE!AM103</f>
        <v>3</v>
      </c>
      <c r="BB103" s="188">
        <f t="shared" si="8"/>
        <v>763</v>
      </c>
      <c r="BC103" s="177">
        <f t="shared" ca="1" si="24"/>
        <v>10</v>
      </c>
      <c r="BD103" s="209">
        <f t="shared" si="77"/>
        <v>66.361616058256359</v>
      </c>
      <c r="BE103" s="179">
        <f t="shared" si="80"/>
        <v>-0.10227376239121003</v>
      </c>
      <c r="BF103" s="213">
        <f t="shared" si="81"/>
        <v>0.28408366326152978</v>
      </c>
      <c r="BG103" s="217">
        <f t="shared" ca="1" si="82"/>
        <v>1.0012128839056127</v>
      </c>
      <c r="BH103" s="176">
        <f>DANE!AQ103</f>
        <v>2</v>
      </c>
      <c r="BI103" s="188">
        <f t="shared" si="9"/>
        <v>415</v>
      </c>
      <c r="BJ103" s="177">
        <f t="shared" ca="1" si="25"/>
        <v>3.7142857142857144</v>
      </c>
      <c r="BK103" s="209">
        <f t="shared" si="61"/>
        <v>21.258516502217663</v>
      </c>
      <c r="BL103" s="179">
        <f t="shared" si="63"/>
        <v>-5.3842720895393582E-2</v>
      </c>
      <c r="BM103" s="213">
        <f t="shared" si="64"/>
        <v>0.62310095373224494</v>
      </c>
      <c r="BN103" s="214">
        <f t="shared" ca="1" si="65"/>
        <v>2.5884411626773067</v>
      </c>
      <c r="BO103" s="176">
        <f>DANE!AU103</f>
        <v>9</v>
      </c>
      <c r="BP103" s="188">
        <f t="shared" si="10"/>
        <v>559</v>
      </c>
      <c r="BQ103" s="177">
        <f t="shared" ca="1" si="26"/>
        <v>10.571428571428571</v>
      </c>
      <c r="BR103" s="209">
        <f t="shared" si="78"/>
        <v>64.324274562484931</v>
      </c>
      <c r="BS103" s="179">
        <f t="shared" si="83"/>
        <v>-3.4195130772356735E-3</v>
      </c>
      <c r="BT103" s="213">
        <f t="shared" si="84"/>
        <v>0.97606340845935025</v>
      </c>
      <c r="BU103" s="217">
        <f t="shared" ca="1" si="85"/>
        <v>1.4552543559220177</v>
      </c>
      <c r="BV103" s="176">
        <f>DANE!AY103</f>
        <v>0</v>
      </c>
      <c r="BW103" s="188">
        <f t="shared" si="11"/>
        <v>579</v>
      </c>
      <c r="BX103" s="177">
        <f t="shared" ca="1" si="27"/>
        <v>2.7142857142857144</v>
      </c>
      <c r="BY103" s="209">
        <f t="shared" si="69"/>
        <v>17.814211723063558</v>
      </c>
      <c r="BZ103" s="179">
        <f t="shared" si="71"/>
        <v>-0.14285714285714271</v>
      </c>
      <c r="CA103" s="213">
        <f t="shared" si="72"/>
        <v>9.9920072216264089E-16</v>
      </c>
      <c r="CB103" s="214">
        <f t="shared" ca="1" si="73"/>
        <v>1.0845126014803621</v>
      </c>
      <c r="CC103" s="176">
        <f>DANE!BC103</f>
        <v>157</v>
      </c>
      <c r="CD103" s="188">
        <f t="shared" si="12"/>
        <v>10338</v>
      </c>
      <c r="CE103" s="177">
        <f t="shared" ca="1" si="28"/>
        <v>221.28571428571428</v>
      </c>
      <c r="CF103" s="209">
        <f t="shared" si="45"/>
        <v>1322.9268019535155</v>
      </c>
      <c r="CG103" s="179">
        <f t="shared" si="46"/>
        <v>-2.7437008123166667E-2</v>
      </c>
      <c r="CH103" s="213">
        <f t="shared" si="47"/>
        <v>0.80794094313783327</v>
      </c>
      <c r="CI103" s="217">
        <f t="shared" ca="1" si="48"/>
        <v>1.1766656949304537</v>
      </c>
      <c r="CJ103" s="176">
        <f>DANE!BG103</f>
        <v>5</v>
      </c>
      <c r="CK103" s="188">
        <f t="shared" si="13"/>
        <v>584</v>
      </c>
      <c r="CL103" s="177">
        <f t="shared" ca="1" si="29"/>
        <v>10.571428571428571</v>
      </c>
      <c r="CM103" s="209">
        <f t="shared" si="79"/>
        <v>75.138591367268802</v>
      </c>
      <c r="CN103" s="179">
        <f t="shared" si="86"/>
        <v>-8.1753630480156589E-2</v>
      </c>
      <c r="CO103" s="213">
        <f t="shared" si="87"/>
        <v>0.42772458663890389</v>
      </c>
      <c r="CP103" s="214">
        <f t="shared" ca="1" si="88"/>
        <v>1.2890540349879374</v>
      </c>
      <c r="CQ103" s="176">
        <f>DANE!BK103</f>
        <v>4</v>
      </c>
      <c r="CR103" s="188">
        <f t="shared" si="14"/>
        <v>185</v>
      </c>
      <c r="CS103" s="177">
        <f t="shared" ca="1" si="30"/>
        <v>0.8571428571428571</v>
      </c>
      <c r="CT103" s="209">
        <f t="shared" si="89"/>
        <v>5.7146816510951304</v>
      </c>
      <c r="CU103" s="179">
        <f t="shared" si="90"/>
        <v>1.8566810375285137</v>
      </c>
      <c r="CV103" s="213">
        <f t="shared" si="91"/>
        <v>13.996767262699596</v>
      </c>
      <c r="CW103" s="217">
        <f t="shared" ca="1" si="92"/>
        <v>2.990848492813416</v>
      </c>
      <c r="CX103" s="176">
        <f>DANE!BO103</f>
        <v>27</v>
      </c>
      <c r="CY103" s="188">
        <f t="shared" si="15"/>
        <v>2333</v>
      </c>
      <c r="CZ103" s="177">
        <f t="shared" ca="1" si="31"/>
        <v>16.714285714285715</v>
      </c>
      <c r="DA103" s="209">
        <f t="shared" si="54"/>
        <v>121.86899707601904</v>
      </c>
      <c r="DB103" s="179">
        <f t="shared" si="58"/>
        <v>0.10108827509971252</v>
      </c>
      <c r="DC103" s="213">
        <f t="shared" si="59"/>
        <v>1.7076179256979875</v>
      </c>
      <c r="DD103" s="214">
        <f t="shared" ca="1" si="60"/>
        <v>0.9784207818332924</v>
      </c>
      <c r="DE103" s="176">
        <f>DANE!BS103</f>
        <v>2</v>
      </c>
      <c r="DF103" s="188">
        <f t="shared" si="16"/>
        <v>567</v>
      </c>
      <c r="DG103" s="177">
        <f t="shared" ca="1" si="32"/>
        <v>2.4285714285714284</v>
      </c>
      <c r="DH103" s="209">
        <f t="shared" si="70"/>
        <v>20.043801380714996</v>
      </c>
      <c r="DI103" s="179">
        <f t="shared" si="74"/>
        <v>-4.7850238374259071E-2</v>
      </c>
      <c r="DJ103" s="157">
        <f t="shared" si="75"/>
        <v>0.66504833138018649</v>
      </c>
      <c r="DK103" s="225">
        <f t="shared" ca="1" si="76"/>
        <v>0.95245692567111206</v>
      </c>
      <c r="DL103" s="83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</row>
    <row r="104" spans="1:138" x14ac:dyDescent="0.25">
      <c r="A104" s="32">
        <v>43994</v>
      </c>
      <c r="B104" s="33" t="str">
        <f t="shared" ca="1" si="0"/>
        <v/>
      </c>
      <c r="C104" s="51">
        <f t="shared" si="93"/>
        <v>101</v>
      </c>
      <c r="D104" s="176">
        <f>DANE!K104</f>
        <v>1</v>
      </c>
      <c r="E104" s="188">
        <f t="shared" si="1"/>
        <v>2750</v>
      </c>
      <c r="F104" s="178">
        <f t="shared" ca="1" si="17"/>
        <v>10</v>
      </c>
      <c r="G104" s="209">
        <f t="shared" si="38"/>
        <v>90.224827724277461</v>
      </c>
      <c r="H104" s="179">
        <f t="shared" si="42"/>
        <v>-0.13325059186674357</v>
      </c>
      <c r="I104" s="213">
        <f t="shared" si="43"/>
        <v>6.7245856932794945E-2</v>
      </c>
      <c r="J104" s="214">
        <f t="shared" ca="1" si="44"/>
        <v>0.52352881180782762</v>
      </c>
      <c r="K104" s="176">
        <f>DANE!O104</f>
        <v>2</v>
      </c>
      <c r="L104" s="188">
        <f t="shared" si="2"/>
        <v>610</v>
      </c>
      <c r="M104" s="177">
        <f t="shared" ca="1" si="18"/>
        <v>1.2857142857142858</v>
      </c>
      <c r="N104" s="209">
        <f t="shared" si="62"/>
        <v>10.179315515707279</v>
      </c>
      <c r="O104" s="179">
        <f t="shared" si="66"/>
        <v>6.6730775715463708E-2</v>
      </c>
      <c r="P104" s="213">
        <f t="shared" si="67"/>
        <v>1.4671154300082461</v>
      </c>
      <c r="Q104" s="217">
        <f t="shared" ca="1" si="68"/>
        <v>1.178557708290674</v>
      </c>
      <c r="R104" s="176">
        <f>DANE!S104</f>
        <v>2</v>
      </c>
      <c r="S104" s="188">
        <f t="shared" si="3"/>
        <v>524</v>
      </c>
      <c r="T104" s="177">
        <f t="shared" ca="1" si="19"/>
        <v>2.7142857142857144</v>
      </c>
      <c r="U104" s="209">
        <f t="shared" si="50"/>
        <v>21.469468332051669</v>
      </c>
      <c r="V104" s="179">
        <f t="shared" si="55"/>
        <v>-5.480719279951507E-2</v>
      </c>
      <c r="W104" s="213">
        <f t="shared" si="56"/>
        <v>0.61634965040339451</v>
      </c>
      <c r="X104" s="214">
        <f t="shared" ca="1" si="57"/>
        <v>0.70456579679258891</v>
      </c>
      <c r="Y104" s="176">
        <f>DANE!W104</f>
        <v>1</v>
      </c>
      <c r="Z104" s="188">
        <f t="shared" si="4"/>
        <v>130</v>
      </c>
      <c r="AA104" s="177">
        <f t="shared" ca="1" si="20"/>
        <v>0.8571428571428571</v>
      </c>
      <c r="AB104" s="209">
        <f t="shared" si="94"/>
        <v>11.652366385291717</v>
      </c>
      <c r="AC104" s="179">
        <f t="shared" si="95"/>
        <v>-6.2392124462135309E-2</v>
      </c>
      <c r="AD104" s="213">
        <f t="shared" si="96"/>
        <v>0.56325512876505279</v>
      </c>
      <c r="AE104" s="217">
        <f t="shared" ca="1" si="97"/>
        <v>0.36644673326028004</v>
      </c>
      <c r="AF104" s="176">
        <f>DANE!AA104</f>
        <v>90</v>
      </c>
      <c r="AG104" s="188">
        <f t="shared" si="5"/>
        <v>2327</v>
      </c>
      <c r="AH104" s="177">
        <f t="shared" ca="1" si="21"/>
        <v>72</v>
      </c>
      <c r="AI104" s="209">
        <f t="shared" si="37"/>
        <v>431.4786999957746</v>
      </c>
      <c r="AJ104" s="179">
        <f t="shared" si="39"/>
        <v>8.3051111870931685E-2</v>
      </c>
      <c r="AK104" s="213">
        <f t="shared" si="40"/>
        <v>1.581357783096522</v>
      </c>
      <c r="AL104" s="214">
        <f t="shared" ca="1" si="41"/>
        <v>1.4015642885168673</v>
      </c>
      <c r="AM104" s="176">
        <f>DANE!AE104</f>
        <v>13</v>
      </c>
      <c r="AN104" s="188">
        <f t="shared" si="6"/>
        <v>1474</v>
      </c>
      <c r="AO104" s="177">
        <f t="shared" ca="1" si="22"/>
        <v>24.142857142857142</v>
      </c>
      <c r="AP104" s="209">
        <f t="shared" si="49"/>
        <v>133.93952527728368</v>
      </c>
      <c r="AQ104" s="179">
        <f t="shared" si="51"/>
        <v>-5.0721365762686862E-2</v>
      </c>
      <c r="AR104" s="213">
        <f t="shared" si="52"/>
        <v>0.64495043966119192</v>
      </c>
      <c r="AS104" s="217">
        <f t="shared" ca="1" si="53"/>
        <v>1.403750835206812</v>
      </c>
      <c r="AT104" s="176">
        <f>DANE!AI104</f>
        <v>68</v>
      </c>
      <c r="AU104" s="188">
        <f t="shared" si="7"/>
        <v>4240</v>
      </c>
      <c r="AV104" s="177">
        <f t="shared" ca="1" si="23"/>
        <v>63.428571428571431</v>
      </c>
      <c r="AW104" s="209">
        <f t="shared" si="33"/>
        <v>406.72740186292111</v>
      </c>
      <c r="AX104" s="179">
        <f t="shared" si="34"/>
        <v>2.9215485354087113E-2</v>
      </c>
      <c r="AY104" s="213">
        <f t="shared" si="35"/>
        <v>1.2045083974786097</v>
      </c>
      <c r="AZ104" s="214">
        <f t="shared" ca="1" si="36"/>
        <v>1.2951351379393898</v>
      </c>
      <c r="BA104" s="176">
        <f>DANE!AM104</f>
        <v>9</v>
      </c>
      <c r="BB104" s="188">
        <f t="shared" si="8"/>
        <v>772</v>
      </c>
      <c r="BC104" s="177">
        <f t="shared" ca="1" si="24"/>
        <v>10.142857142857142</v>
      </c>
      <c r="BD104" s="209">
        <f t="shared" si="77"/>
        <v>65.881385192791171</v>
      </c>
      <c r="BE104" s="179">
        <f t="shared" si="80"/>
        <v>-7.236575809781539E-3</v>
      </c>
      <c r="BF104" s="213">
        <f t="shared" si="81"/>
        <v>0.9493439693315292</v>
      </c>
      <c r="BG104" s="217">
        <f t="shared" ca="1" si="82"/>
        <v>1.0182033907500332</v>
      </c>
      <c r="BH104" s="176">
        <f>DANE!AQ104</f>
        <v>8</v>
      </c>
      <c r="BI104" s="188">
        <f t="shared" si="9"/>
        <v>423</v>
      </c>
      <c r="BJ104" s="177">
        <f t="shared" ca="1" si="25"/>
        <v>4.8571428571428568</v>
      </c>
      <c r="BK104" s="209">
        <f t="shared" si="61"/>
        <v>26.221585573329428</v>
      </c>
      <c r="BL104" s="179">
        <f t="shared" si="63"/>
        <v>0.23346262523041167</v>
      </c>
      <c r="BM104" s="213">
        <f t="shared" si="64"/>
        <v>2.6342383766128821</v>
      </c>
      <c r="BN104" s="214">
        <f t="shared" ca="1" si="65"/>
        <v>2.9647609307648612</v>
      </c>
      <c r="BO104" s="176">
        <f>DANE!AU104</f>
        <v>17</v>
      </c>
      <c r="BP104" s="188">
        <f t="shared" si="10"/>
        <v>576</v>
      </c>
      <c r="BQ104" s="177">
        <f t="shared" ca="1" si="26"/>
        <v>11.857142857142858</v>
      </c>
      <c r="BR104" s="209">
        <f t="shared" si="78"/>
        <v>72.135092482129949</v>
      </c>
      <c r="BS104" s="179">
        <f t="shared" si="83"/>
        <v>0.12142877588238557</v>
      </c>
      <c r="BT104" s="213">
        <f t="shared" si="84"/>
        <v>1.850001431176699</v>
      </c>
      <c r="BU104" s="217">
        <f t="shared" ca="1" si="85"/>
        <v>1.5350333235021971</v>
      </c>
      <c r="BV104" s="176">
        <f>DANE!AY104</f>
        <v>2</v>
      </c>
      <c r="BW104" s="188">
        <f t="shared" si="11"/>
        <v>581</v>
      </c>
      <c r="BX104" s="177">
        <f t="shared" ca="1" si="27"/>
        <v>2.4285714285714284</v>
      </c>
      <c r="BY104" s="209">
        <f t="shared" si="69"/>
        <v>17.269324334054481</v>
      </c>
      <c r="BZ104" s="179">
        <f t="shared" si="71"/>
        <v>-3.0587229874652622E-2</v>
      </c>
      <c r="CA104" s="213">
        <f t="shared" si="72"/>
        <v>0.78588939087743159</v>
      </c>
      <c r="CB104" s="214">
        <f t="shared" ca="1" si="73"/>
        <v>0.9654805015792941</v>
      </c>
      <c r="CC104" s="176">
        <f>DANE!BC104</f>
        <v>138</v>
      </c>
      <c r="CD104" s="188">
        <f t="shared" si="12"/>
        <v>10476</v>
      </c>
      <c r="CE104" s="177">
        <f t="shared" ca="1" si="28"/>
        <v>215.71428571428572</v>
      </c>
      <c r="CF104" s="209">
        <f t="shared" si="45"/>
        <v>1271.9372588172992</v>
      </c>
      <c r="CG104" s="179">
        <f t="shared" si="46"/>
        <v>-3.8542981411308616E-2</v>
      </c>
      <c r="CH104" s="213">
        <f t="shared" si="47"/>
        <v>0.7301991301208397</v>
      </c>
      <c r="CI104" s="217">
        <f t="shared" ca="1" si="48"/>
        <v>1.1254423617088931</v>
      </c>
      <c r="CJ104" s="176">
        <f>DANE!BG104</f>
        <v>11</v>
      </c>
      <c r="CK104" s="188">
        <f t="shared" si="13"/>
        <v>595</v>
      </c>
      <c r="CL104" s="177">
        <f t="shared" ca="1" si="29"/>
        <v>12</v>
      </c>
      <c r="CM104" s="209">
        <f t="shared" si="79"/>
        <v>75.404506886230408</v>
      </c>
      <c r="CN104" s="179">
        <f t="shared" si="86"/>
        <v>3.5390005870863522E-3</v>
      </c>
      <c r="CO104" s="213">
        <f t="shared" si="87"/>
        <v>1.0247730041096044</v>
      </c>
      <c r="CP104" s="214">
        <f t="shared" ca="1" si="88"/>
        <v>1.4209549453100634</v>
      </c>
      <c r="CQ104" s="176">
        <f>DANE!BK104</f>
        <v>0</v>
      </c>
      <c r="CR104" s="188">
        <f t="shared" si="14"/>
        <v>185</v>
      </c>
      <c r="CS104" s="177">
        <f t="shared" ca="1" si="30"/>
        <v>0.7142857142857143</v>
      </c>
      <c r="CT104" s="209">
        <f t="shared" si="89"/>
        <v>4.8982985580815406</v>
      </c>
      <c r="CU104" s="179">
        <f t="shared" si="90"/>
        <v>-0.14285714285714282</v>
      </c>
      <c r="CV104" s="213">
        <f t="shared" si="91"/>
        <v>2.2204460492503131E-16</v>
      </c>
      <c r="CW104" s="217">
        <f t="shared" ca="1" si="92"/>
        <v>2.4970524050202298</v>
      </c>
      <c r="CX104" s="176">
        <f>DANE!BO104</f>
        <v>12</v>
      </c>
      <c r="CY104" s="188">
        <f t="shared" si="15"/>
        <v>2345</v>
      </c>
      <c r="CZ104" s="177">
        <f t="shared" ca="1" si="31"/>
        <v>18</v>
      </c>
      <c r="DA104" s="209">
        <f t="shared" si="54"/>
        <v>116.45914035087347</v>
      </c>
      <c r="DB104" s="179">
        <f t="shared" si="58"/>
        <v>-4.4390754457190047E-2</v>
      </c>
      <c r="DC104" s="213">
        <f t="shared" si="59"/>
        <v>0.68926471879966966</v>
      </c>
      <c r="DD104" s="214">
        <f t="shared" ca="1" si="60"/>
        <v>1.0537114031300234</v>
      </c>
      <c r="DE104" s="176">
        <f>DANE!BS104</f>
        <v>2</v>
      </c>
      <c r="DF104" s="188">
        <f t="shared" si="16"/>
        <v>569</v>
      </c>
      <c r="DG104" s="177">
        <f t="shared" ca="1" si="32"/>
        <v>2.2857142857142856</v>
      </c>
      <c r="DH104" s="209">
        <f t="shared" si="70"/>
        <v>19.180401183469996</v>
      </c>
      <c r="DI104" s="179">
        <f t="shared" si="74"/>
        <v>-4.3075671168629412E-2</v>
      </c>
      <c r="DJ104" s="157">
        <f t="shared" si="75"/>
        <v>0.69847030181959413</v>
      </c>
      <c r="DK104" s="225">
        <f t="shared" ca="1" si="76"/>
        <v>0.91842066737722661</v>
      </c>
      <c r="DL104" s="83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</row>
    <row r="105" spans="1:138" x14ac:dyDescent="0.25">
      <c r="A105" s="61">
        <v>43995</v>
      </c>
      <c r="B105" s="62" t="str">
        <f t="shared" ca="1" si="0"/>
        <v/>
      </c>
      <c r="C105" s="12">
        <f t="shared" si="93"/>
        <v>102</v>
      </c>
      <c r="D105" s="176">
        <f>DANE!K105</f>
        <v>17</v>
      </c>
      <c r="E105" s="198">
        <f t="shared" si="1"/>
        <v>2767</v>
      </c>
      <c r="F105" s="178">
        <f t="shared" ca="1" si="17"/>
        <v>9.5714285714285712</v>
      </c>
      <c r="G105" s="211">
        <f t="shared" si="38"/>
        <v>94.33556662080926</v>
      </c>
      <c r="H105" s="200">
        <f t="shared" si="42"/>
        <v>4.5561061186994017E-2</v>
      </c>
      <c r="I105" s="213">
        <f t="shared" si="43"/>
        <v>1.318927428308958</v>
      </c>
      <c r="J105" s="214">
        <f t="shared" ca="1" si="44"/>
        <v>0.57765459719986822</v>
      </c>
      <c r="K105" s="176">
        <f>DANE!O105</f>
        <v>4</v>
      </c>
      <c r="L105" s="198">
        <f t="shared" si="2"/>
        <v>614</v>
      </c>
      <c r="M105" s="177">
        <f t="shared" ca="1" si="18"/>
        <v>1.8571428571428572</v>
      </c>
      <c r="N105" s="211">
        <f t="shared" si="62"/>
        <v>12.725127584891954</v>
      </c>
      <c r="O105" s="200">
        <f t="shared" si="66"/>
        <v>0.25009658706976307</v>
      </c>
      <c r="P105" s="213">
        <f t="shared" si="67"/>
        <v>2.7506761094883414</v>
      </c>
      <c r="Q105" s="217">
        <f t="shared" ca="1" si="68"/>
        <v>1.5715114382175794</v>
      </c>
      <c r="R105" s="176">
        <f>DANE!S105</f>
        <v>6</v>
      </c>
      <c r="S105" s="198">
        <f t="shared" si="3"/>
        <v>530</v>
      </c>
      <c r="T105" s="177">
        <f t="shared" ca="1" si="19"/>
        <v>3.1428571428571428</v>
      </c>
      <c r="U105" s="211">
        <f t="shared" si="50"/>
        <v>24.40240142747286</v>
      </c>
      <c r="V105" s="200">
        <f t="shared" si="55"/>
        <v>0.13660948888252761</v>
      </c>
      <c r="W105" s="213">
        <f t="shared" si="56"/>
        <v>1.9562664221776933</v>
      </c>
      <c r="X105" s="214">
        <f t="shared" ca="1" si="57"/>
        <v>0.88201731962576946</v>
      </c>
      <c r="Y105" s="176">
        <f>DANE!W105</f>
        <v>1</v>
      </c>
      <c r="Z105" s="198">
        <f t="shared" si="4"/>
        <v>131</v>
      </c>
      <c r="AA105" s="177">
        <f t="shared" ca="1" si="20"/>
        <v>1</v>
      </c>
      <c r="AB105" s="211">
        <f t="shared" si="94"/>
        <v>10.987742615964329</v>
      </c>
      <c r="AC105" s="200">
        <f t="shared" si="95"/>
        <v>-5.7037664912966891E-2</v>
      </c>
      <c r="AD105" s="213">
        <f t="shared" si="96"/>
        <v>0.60073634560923173</v>
      </c>
      <c r="AE105" s="217">
        <f t="shared" ca="1" si="97"/>
        <v>0.45226621120445604</v>
      </c>
      <c r="AF105" s="176">
        <f>DANE!AA105</f>
        <v>37</v>
      </c>
      <c r="AG105" s="198">
        <f t="shared" si="5"/>
        <v>2364</v>
      </c>
      <c r="AH105" s="177">
        <f t="shared" ca="1" si="21"/>
        <v>68.428571428571431</v>
      </c>
      <c r="AI105" s="211">
        <f t="shared" si="37"/>
        <v>406.83888571066399</v>
      </c>
      <c r="AJ105" s="200">
        <f t="shared" si="39"/>
        <v>-5.7105517109771374E-2</v>
      </c>
      <c r="AK105" s="213">
        <f t="shared" si="40"/>
        <v>0.60026138023160036</v>
      </c>
      <c r="AL105" s="214">
        <f t="shared" ca="1" si="41"/>
        <v>1.2795667731443745</v>
      </c>
      <c r="AM105" s="176">
        <f>DANE!AE105</f>
        <v>18</v>
      </c>
      <c r="AN105" s="198">
        <f t="shared" si="6"/>
        <v>1492</v>
      </c>
      <c r="AO105" s="177">
        <f t="shared" ca="1" si="22"/>
        <v>23.571428571428573</v>
      </c>
      <c r="AP105" s="211">
        <f t="shared" si="49"/>
        <v>132.80530738052886</v>
      </c>
      <c r="AQ105" s="200">
        <f t="shared" si="51"/>
        <v>-8.4681343644211361E-3</v>
      </c>
      <c r="AR105" s="213">
        <f t="shared" si="52"/>
        <v>0.9407230594490521</v>
      </c>
      <c r="AS105" s="217">
        <f t="shared" ca="1" si="53"/>
        <v>1.3024556278118991</v>
      </c>
      <c r="AT105" s="176">
        <f>DANE!AI105</f>
        <v>66</v>
      </c>
      <c r="AU105" s="198">
        <f t="shared" si="7"/>
        <v>4306</v>
      </c>
      <c r="AV105" s="177">
        <f t="shared" ca="1" si="23"/>
        <v>66.142857142857139</v>
      </c>
      <c r="AW105" s="211">
        <f t="shared" si="33"/>
        <v>414.62348731107528</v>
      </c>
      <c r="AX105" s="200">
        <f t="shared" si="34"/>
        <v>1.9413704146777344E-2</v>
      </c>
      <c r="AY105" s="213">
        <f t="shared" si="35"/>
        <v>1.1358959290274413</v>
      </c>
      <c r="AZ105" s="214">
        <f t="shared" ca="1" si="36"/>
        <v>1.3043426776439975</v>
      </c>
      <c r="BA105" s="176">
        <f>DANE!AM105</f>
        <v>18</v>
      </c>
      <c r="BB105" s="198">
        <f t="shared" si="8"/>
        <v>790</v>
      </c>
      <c r="BC105" s="177">
        <f t="shared" ca="1" si="24"/>
        <v>10</v>
      </c>
      <c r="BD105" s="211">
        <f t="shared" si="77"/>
        <v>74.469758736678159</v>
      </c>
      <c r="BE105" s="200">
        <f t="shared" si="80"/>
        <v>0.13036115617111735</v>
      </c>
      <c r="BF105" s="213">
        <f t="shared" si="81"/>
        <v>1.9125280931978215</v>
      </c>
      <c r="BG105" s="217">
        <f t="shared" ca="1" si="82"/>
        <v>1.0026799262249835</v>
      </c>
      <c r="BH105" s="176">
        <f>DANE!AQ105</f>
        <v>16</v>
      </c>
      <c r="BI105" s="198">
        <f t="shared" si="9"/>
        <v>439</v>
      </c>
      <c r="BJ105" s="177">
        <f t="shared" ca="1" si="25"/>
        <v>7</v>
      </c>
      <c r="BK105" s="211">
        <f t="shared" si="61"/>
        <v>38.475644777139507</v>
      </c>
      <c r="BL105" s="200">
        <f t="shared" si="63"/>
        <v>0.46732716332279933</v>
      </c>
      <c r="BM105" s="213">
        <f t="shared" si="64"/>
        <v>4.2712901432595949</v>
      </c>
      <c r="BN105" s="214">
        <f t="shared" ca="1" si="65"/>
        <v>3.3947082642445148</v>
      </c>
      <c r="BO105" s="176">
        <f>DANE!AU105</f>
        <v>9</v>
      </c>
      <c r="BP105" s="198">
        <f t="shared" si="10"/>
        <v>585</v>
      </c>
      <c r="BQ105" s="177">
        <f t="shared" ca="1" si="26"/>
        <v>12.571428571428571</v>
      </c>
      <c r="BR105" s="211">
        <f t="shared" si="78"/>
        <v>70.830079270397107</v>
      </c>
      <c r="BS105" s="200">
        <f t="shared" si="83"/>
        <v>-1.8091239185090573E-2</v>
      </c>
      <c r="BT105" s="213">
        <f t="shared" si="84"/>
        <v>0.87336132570436598</v>
      </c>
      <c r="BU105" s="217">
        <f t="shared" ca="1" si="85"/>
        <v>1.5712344572828791</v>
      </c>
      <c r="BV105" s="176">
        <f>DANE!AY105</f>
        <v>6</v>
      </c>
      <c r="BW105" s="198">
        <f t="shared" si="11"/>
        <v>587</v>
      </c>
      <c r="BX105" s="177">
        <f t="shared" ca="1" si="27"/>
        <v>2.7142857142857144</v>
      </c>
      <c r="BY105" s="211">
        <f t="shared" si="69"/>
        <v>20.802278000618127</v>
      </c>
      <c r="BZ105" s="200">
        <f t="shared" si="71"/>
        <v>0.20457972751121417</v>
      </c>
      <c r="CA105" s="213">
        <f t="shared" si="72"/>
        <v>2.4320580925784991</v>
      </c>
      <c r="CB105" s="214">
        <f t="shared" ca="1" si="73"/>
        <v>1.1004105015923844</v>
      </c>
      <c r="CC105" s="176">
        <f>DANE!BC105</f>
        <v>209</v>
      </c>
      <c r="CD105" s="198">
        <f t="shared" si="12"/>
        <v>10685</v>
      </c>
      <c r="CE105" s="177">
        <f t="shared" ca="1" si="28"/>
        <v>195.42857142857142</v>
      </c>
      <c r="CF105" s="211">
        <f t="shared" si="45"/>
        <v>1299.2319361291136</v>
      </c>
      <c r="CG105" s="200">
        <f t="shared" si="46"/>
        <v>2.145913811597451E-2</v>
      </c>
      <c r="CH105" s="213">
        <f t="shared" si="47"/>
        <v>1.1502139668118216</v>
      </c>
      <c r="CI105" s="217">
        <f t="shared" ca="1" si="48"/>
        <v>0.98518202078917627</v>
      </c>
      <c r="CJ105" s="176">
        <f>DANE!BG105</f>
        <v>2</v>
      </c>
      <c r="CK105" s="198">
        <f t="shared" si="13"/>
        <v>597</v>
      </c>
      <c r="CL105" s="177">
        <f t="shared" ca="1" si="29"/>
        <v>11.857142857142858</v>
      </c>
      <c r="CM105" s="211">
        <f t="shared" si="79"/>
        <v>66.632434473911786</v>
      </c>
      <c r="CN105" s="200">
        <f t="shared" si="86"/>
        <v>-0.11633352931481722</v>
      </c>
      <c r="CO105" s="213">
        <f t="shared" si="87"/>
        <v>0.18566529479627947</v>
      </c>
      <c r="CP105" s="214">
        <f t="shared" ca="1" si="88"/>
        <v>1.3975889316642394</v>
      </c>
      <c r="CQ105" s="176">
        <f>DANE!BK105</f>
        <v>0</v>
      </c>
      <c r="CR105" s="198">
        <f t="shared" si="14"/>
        <v>185</v>
      </c>
      <c r="CS105" s="177">
        <f t="shared" ca="1" si="30"/>
        <v>0.7142857142857143</v>
      </c>
      <c r="CT105" s="211">
        <f t="shared" si="89"/>
        <v>4.1985416212127493</v>
      </c>
      <c r="CU105" s="200">
        <f t="shared" si="90"/>
        <v>-0.14285714285714279</v>
      </c>
      <c r="CV105" s="213">
        <f t="shared" si="91"/>
        <v>4.4408920985006262E-16</v>
      </c>
      <c r="CW105" s="217">
        <f t="shared" ca="1" si="92"/>
        <v>2.4970524050202298</v>
      </c>
      <c r="CX105" s="176">
        <f>DANE!BO105</f>
        <v>24</v>
      </c>
      <c r="CY105" s="198">
        <f t="shared" si="15"/>
        <v>2369</v>
      </c>
      <c r="CZ105" s="177">
        <f t="shared" ca="1" si="31"/>
        <v>15.714285714285714</v>
      </c>
      <c r="DA105" s="211">
        <f t="shared" si="54"/>
        <v>123.82212030074869</v>
      </c>
      <c r="DB105" s="200">
        <f t="shared" si="58"/>
        <v>6.3223718874205151E-2</v>
      </c>
      <c r="DC105" s="213">
        <f t="shared" si="59"/>
        <v>1.442566032119436</v>
      </c>
      <c r="DD105" s="214">
        <f t="shared" ca="1" si="60"/>
        <v>0.90877137363849381</v>
      </c>
      <c r="DE105" s="176">
        <f>DANE!BS105</f>
        <v>7</v>
      </c>
      <c r="DF105" s="198">
        <f t="shared" si="16"/>
        <v>576</v>
      </c>
      <c r="DG105" s="177">
        <f t="shared" ca="1" si="32"/>
        <v>3.2857142857142856</v>
      </c>
      <c r="DH105" s="211">
        <f t="shared" si="70"/>
        <v>23.440343871545711</v>
      </c>
      <c r="DI105" s="200">
        <f t="shared" si="74"/>
        <v>0.2220987270978986</v>
      </c>
      <c r="DJ105" s="157">
        <f t="shared" si="75"/>
        <v>2.5546910896852904</v>
      </c>
      <c r="DK105" s="225">
        <f t="shared" ca="1" si="76"/>
        <v>1.2833765373322681</v>
      </c>
      <c r="DL105" s="87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</row>
    <row r="106" spans="1:138" x14ac:dyDescent="0.25">
      <c r="A106" s="61">
        <v>43996</v>
      </c>
      <c r="B106" s="62" t="str">
        <f t="shared" ca="1" si="0"/>
        <v/>
      </c>
      <c r="C106" s="12">
        <f t="shared" si="93"/>
        <v>103</v>
      </c>
      <c r="D106" s="176">
        <f>DANE!K106</f>
        <v>0</v>
      </c>
      <c r="E106" s="198">
        <f t="shared" si="1"/>
        <v>2767</v>
      </c>
      <c r="F106" s="178">
        <f t="shared" ca="1" si="17"/>
        <v>8.4285714285714288</v>
      </c>
      <c r="G106" s="211">
        <f t="shared" si="38"/>
        <v>80.859057103550796</v>
      </c>
      <c r="H106" s="200">
        <f t="shared" si="42"/>
        <v>-0.14285714285714285</v>
      </c>
      <c r="I106" s="213">
        <f t="shared" si="43"/>
        <v>0</v>
      </c>
      <c r="J106" s="214">
        <f t="shared" ca="1" si="44"/>
        <v>0.52347358430644753</v>
      </c>
      <c r="K106" s="176">
        <f>DANE!O106</f>
        <v>12</v>
      </c>
      <c r="L106" s="198">
        <f t="shared" si="2"/>
        <v>626</v>
      </c>
      <c r="M106" s="177">
        <f t="shared" ca="1" si="18"/>
        <v>3.5714285714285716</v>
      </c>
      <c r="N106" s="211">
        <f t="shared" si="62"/>
        <v>22.907252215621675</v>
      </c>
      <c r="O106" s="200">
        <f t="shared" si="66"/>
        <v>0.80015894243909658</v>
      </c>
      <c r="P106" s="213">
        <f t="shared" si="67"/>
        <v>6.6011125970736764</v>
      </c>
      <c r="Q106" s="217">
        <f t="shared" ca="1" si="68"/>
        <v>2.5145275235138191</v>
      </c>
      <c r="R106" s="176">
        <f>DANE!S106</f>
        <v>13</v>
      </c>
      <c r="S106" s="198">
        <f t="shared" si="3"/>
        <v>543</v>
      </c>
      <c r="T106" s="177">
        <f t="shared" ca="1" si="19"/>
        <v>4.1428571428571432</v>
      </c>
      <c r="U106" s="211">
        <f t="shared" si="50"/>
        <v>33.916344080691026</v>
      </c>
      <c r="V106" s="200">
        <f t="shared" si="55"/>
        <v>0.3898773111119761</v>
      </c>
      <c r="W106" s="213">
        <f t="shared" si="56"/>
        <v>3.7291411777838328</v>
      </c>
      <c r="X106" s="214">
        <f t="shared" ca="1" si="57"/>
        <v>1.2020337177220326</v>
      </c>
      <c r="Y106" s="176">
        <f>DANE!W106</f>
        <v>1</v>
      </c>
      <c r="Z106" s="198">
        <f t="shared" si="4"/>
        <v>132</v>
      </c>
      <c r="AA106" s="177">
        <f t="shared" ca="1" si="20"/>
        <v>0.8571428571428571</v>
      </c>
      <c r="AB106" s="211">
        <f t="shared" si="94"/>
        <v>10.418065099397998</v>
      </c>
      <c r="AC106" s="200">
        <f t="shared" si="95"/>
        <v>-5.1846638247480849E-2</v>
      </c>
      <c r="AD106" s="213">
        <f t="shared" si="96"/>
        <v>0.63707353226763397</v>
      </c>
      <c r="AE106" s="217">
        <f t="shared" ca="1" si="97"/>
        <v>0.4420829623309997</v>
      </c>
      <c r="AF106" s="176">
        <f>DANE!AA106</f>
        <v>39</v>
      </c>
      <c r="AG106" s="198">
        <f t="shared" si="5"/>
        <v>2403</v>
      </c>
      <c r="AH106" s="177">
        <f t="shared" ca="1" si="21"/>
        <v>57</v>
      </c>
      <c r="AI106" s="211">
        <f t="shared" si="37"/>
        <v>387.71904489485485</v>
      </c>
      <c r="AJ106" s="200">
        <f t="shared" si="39"/>
        <v>-4.6996099653578358E-2</v>
      </c>
      <c r="AK106" s="213">
        <f t="shared" si="40"/>
        <v>0.67102730242495146</v>
      </c>
      <c r="AL106" s="214">
        <f t="shared" ca="1" si="41"/>
        <v>1.0009820322715191</v>
      </c>
      <c r="AM106" s="176">
        <f>DANE!AE106</f>
        <v>16</v>
      </c>
      <c r="AN106" s="198">
        <f t="shared" si="6"/>
        <v>1508</v>
      </c>
      <c r="AO106" s="177">
        <f t="shared" ca="1" si="22"/>
        <v>21.285714285714285</v>
      </c>
      <c r="AP106" s="211">
        <f t="shared" si="49"/>
        <v>129.8331206118819</v>
      </c>
      <c r="AQ106" s="200">
        <f t="shared" si="51"/>
        <v>-2.2380030039994683E-2</v>
      </c>
      <c r="AR106" s="213">
        <f t="shared" si="52"/>
        <v>0.8433397897200372</v>
      </c>
      <c r="AS106" s="217">
        <f t="shared" ca="1" si="53"/>
        <v>1.109238640814316</v>
      </c>
      <c r="AT106" s="176">
        <f>DANE!AI106</f>
        <v>52</v>
      </c>
      <c r="AU106" s="198">
        <f t="shared" si="7"/>
        <v>4358</v>
      </c>
      <c r="AV106" s="177">
        <f t="shared" ca="1" si="23"/>
        <v>68.428571428571431</v>
      </c>
      <c r="AW106" s="211">
        <f t="shared" si="33"/>
        <v>407.39156055235026</v>
      </c>
      <c r="AX106" s="200">
        <f t="shared" si="34"/>
        <v>-1.7442154098952917E-2</v>
      </c>
      <c r="AY106" s="213">
        <f t="shared" si="35"/>
        <v>0.87790492130732956</v>
      </c>
      <c r="AZ106" s="214">
        <f t="shared" ca="1" si="36"/>
        <v>1.3137021678458234</v>
      </c>
      <c r="BA106" s="176">
        <f>DANE!AM106</f>
        <v>5</v>
      </c>
      <c r="BB106" s="198">
        <f t="shared" si="8"/>
        <v>795</v>
      </c>
      <c r="BC106" s="177">
        <f t="shared" ca="1" si="24"/>
        <v>9.5714285714285712</v>
      </c>
      <c r="BD106" s="211">
        <f t="shared" si="77"/>
        <v>68.831221774295571</v>
      </c>
      <c r="BE106" s="200">
        <f t="shared" si="80"/>
        <v>-7.5715794680095719E-2</v>
      </c>
      <c r="BF106" s="213">
        <f t="shared" si="81"/>
        <v>0.46998943723932995</v>
      </c>
      <c r="BG106" s="217">
        <f t="shared" ca="1" si="82"/>
        <v>0.96372378675357451</v>
      </c>
      <c r="BH106" s="176">
        <f>DANE!AQ106</f>
        <v>20</v>
      </c>
      <c r="BI106" s="198">
        <f t="shared" si="9"/>
        <v>459</v>
      </c>
      <c r="BJ106" s="177">
        <f t="shared" ca="1" si="25"/>
        <v>9.5714285714285712</v>
      </c>
      <c r="BK106" s="211">
        <f t="shared" si="61"/>
        <v>52.979124094691009</v>
      </c>
      <c r="BL106" s="200">
        <f t="shared" si="63"/>
        <v>0.37695220967859688</v>
      </c>
      <c r="BM106" s="213">
        <f t="shared" si="64"/>
        <v>3.6386654677501782</v>
      </c>
      <c r="BN106" s="214">
        <f t="shared" ca="1" si="65"/>
        <v>3.567032602101416</v>
      </c>
      <c r="BO106" s="176">
        <f>DANE!AU106</f>
        <v>23</v>
      </c>
      <c r="BP106" s="198">
        <f t="shared" si="10"/>
        <v>608</v>
      </c>
      <c r="BQ106" s="177">
        <f t="shared" ca="1" si="26"/>
        <v>12.857142857142858</v>
      </c>
      <c r="BR106" s="211">
        <f t="shared" si="78"/>
        <v>83.711496517483241</v>
      </c>
      <c r="BS106" s="200">
        <f t="shared" si="83"/>
        <v>0.18186365707584101</v>
      </c>
      <c r="BT106" s="213">
        <f t="shared" si="84"/>
        <v>2.2730455995308869</v>
      </c>
      <c r="BU106" s="217">
        <f t="shared" ca="1" si="85"/>
        <v>1.4042969173250879</v>
      </c>
      <c r="BV106" s="176">
        <f>DANE!AY106</f>
        <v>1</v>
      </c>
      <c r="BW106" s="198">
        <f t="shared" si="11"/>
        <v>588</v>
      </c>
      <c r="BX106" s="177">
        <f t="shared" ca="1" si="27"/>
        <v>2.7142857142857144</v>
      </c>
      <c r="BY106" s="211">
        <f t="shared" si="69"/>
        <v>18.830524000529824</v>
      </c>
      <c r="BZ106" s="200">
        <f t="shared" si="71"/>
        <v>-9.4785484552687635E-2</v>
      </c>
      <c r="CA106" s="213">
        <f t="shared" si="72"/>
        <v>0.33650160813118657</v>
      </c>
      <c r="CB106" s="214">
        <f t="shared" ca="1" si="73"/>
        <v>1.0988147629695499</v>
      </c>
      <c r="CC106" s="176">
        <f>DANE!BC106</f>
        <v>160</v>
      </c>
      <c r="CD106" s="198">
        <f t="shared" si="12"/>
        <v>10845</v>
      </c>
      <c r="CE106" s="177">
        <f t="shared" ca="1" si="28"/>
        <v>171.85714285714286</v>
      </c>
      <c r="CF106" s="211">
        <f t="shared" si="45"/>
        <v>1273.6273738249547</v>
      </c>
      <c r="CG106" s="200">
        <f t="shared" si="46"/>
        <v>-1.9707460686691731E-2</v>
      </c>
      <c r="CH106" s="213">
        <f t="shared" si="47"/>
        <v>0.86204777519315789</v>
      </c>
      <c r="CI106" s="217">
        <f t="shared" ca="1" si="48"/>
        <v>0.86557482771500671</v>
      </c>
      <c r="CJ106" s="176">
        <f>DANE!BG106</f>
        <v>13</v>
      </c>
      <c r="CK106" s="198">
        <f t="shared" si="13"/>
        <v>610</v>
      </c>
      <c r="CL106" s="177">
        <f t="shared" ca="1" si="29"/>
        <v>13.714285714285714</v>
      </c>
      <c r="CM106" s="211">
        <f t="shared" si="79"/>
        <v>70.113515263352966</v>
      </c>
      <c r="CN106" s="200">
        <f t="shared" si="86"/>
        <v>5.2243037747691887E-2</v>
      </c>
      <c r="CO106" s="213">
        <f t="shared" si="87"/>
        <v>1.3657012642338433</v>
      </c>
      <c r="CP106" s="214">
        <f t="shared" ca="1" si="88"/>
        <v>1.5926891122690741</v>
      </c>
      <c r="CQ106" s="176">
        <f>DANE!BK106</f>
        <v>1</v>
      </c>
      <c r="CR106" s="198">
        <f t="shared" si="14"/>
        <v>186</v>
      </c>
      <c r="CS106" s="177">
        <f t="shared" ca="1" si="30"/>
        <v>0.8571428571428571</v>
      </c>
      <c r="CT106" s="211">
        <f t="shared" si="89"/>
        <v>4.5987499610395002</v>
      </c>
      <c r="CU106" s="200">
        <f t="shared" si="90"/>
        <v>9.5320798489821959E-2</v>
      </c>
      <c r="CV106" s="213">
        <f t="shared" si="91"/>
        <v>1.6672455894287537</v>
      </c>
      <c r="CW106" s="217">
        <f t="shared" ca="1" si="92"/>
        <v>2.7352303463671945</v>
      </c>
      <c r="CX106" s="176">
        <f>DANE!BO106</f>
        <v>14</v>
      </c>
      <c r="CY106" s="198">
        <f t="shared" si="15"/>
        <v>2383</v>
      </c>
      <c r="CZ106" s="177">
        <f t="shared" ca="1" si="31"/>
        <v>15.714285714285714</v>
      </c>
      <c r="DA106" s="211">
        <f t="shared" si="54"/>
        <v>120.13324597207031</v>
      </c>
      <c r="DB106" s="200">
        <f t="shared" si="58"/>
        <v>-2.97917231567232E-2</v>
      </c>
      <c r="DC106" s="213">
        <f t="shared" si="59"/>
        <v>0.79145793790293761</v>
      </c>
      <c r="DD106" s="214">
        <f t="shared" ca="1" si="60"/>
        <v>0.92014750486771535</v>
      </c>
      <c r="DE106" s="176">
        <f>DANE!BS106</f>
        <v>5</v>
      </c>
      <c r="DF106" s="198">
        <f t="shared" si="16"/>
        <v>581</v>
      </c>
      <c r="DG106" s="177">
        <f t="shared" ca="1" si="32"/>
        <v>3.8571428571428572</v>
      </c>
      <c r="DH106" s="211">
        <f t="shared" si="70"/>
        <v>25.091723318467754</v>
      </c>
      <c r="DI106" s="200">
        <f t="shared" si="74"/>
        <v>7.0450308065943365E-2</v>
      </c>
      <c r="DJ106" s="157">
        <f t="shared" si="75"/>
        <v>1.4931521564616035</v>
      </c>
      <c r="DK106" s="225">
        <f t="shared" ca="1" si="76"/>
        <v>1.4441690557720599</v>
      </c>
      <c r="DL106" s="87"/>
      <c r="DM106" s="75"/>
      <c r="DN106" s="75"/>
      <c r="DO106" s="75"/>
      <c r="DP106" s="75"/>
      <c r="DQ106" s="75"/>
      <c r="DR106" s="75"/>
      <c r="DS106" s="75"/>
      <c r="DT106" s="75"/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</row>
    <row r="107" spans="1:138" x14ac:dyDescent="0.25">
      <c r="A107" s="32">
        <v>43997</v>
      </c>
      <c r="B107" s="33" t="str">
        <f t="shared" ca="1" si="0"/>
        <v/>
      </c>
      <c r="C107" s="51">
        <f t="shared" si="93"/>
        <v>104</v>
      </c>
      <c r="D107" s="176">
        <f>DANE!K107</f>
        <v>0</v>
      </c>
      <c r="E107" s="188">
        <f t="shared" si="1"/>
        <v>2767</v>
      </c>
      <c r="F107" s="178">
        <f t="shared" ca="1" si="17"/>
        <v>6.1428571428571432</v>
      </c>
      <c r="G107" s="209">
        <f t="shared" si="38"/>
        <v>69.30776323161497</v>
      </c>
      <c r="H107" s="179">
        <f t="shared" si="42"/>
        <v>-0.14285714285714282</v>
      </c>
      <c r="I107" s="213">
        <f t="shared" si="43"/>
        <v>2.2204460492503131E-16</v>
      </c>
      <c r="J107" s="214">
        <f t="shared" ca="1" si="44"/>
        <v>0.40456742004397989</v>
      </c>
      <c r="K107" s="176">
        <f>DANE!O107</f>
        <v>0</v>
      </c>
      <c r="L107" s="188">
        <f t="shared" si="2"/>
        <v>626</v>
      </c>
      <c r="M107" s="177">
        <f t="shared" ca="1" si="18"/>
        <v>3.4285714285714284</v>
      </c>
      <c r="N107" s="209">
        <f t="shared" si="62"/>
        <v>19.63478761339001</v>
      </c>
      <c r="O107" s="179">
        <f t="shared" si="66"/>
        <v>-0.14285714285714271</v>
      </c>
      <c r="P107" s="213">
        <f t="shared" si="67"/>
        <v>9.9920072216264089E-16</v>
      </c>
      <c r="Q107" s="217">
        <f t="shared" ca="1" si="68"/>
        <v>2.3648674800915659</v>
      </c>
      <c r="R107" s="176">
        <f>DANE!S107</f>
        <v>1</v>
      </c>
      <c r="S107" s="188">
        <f t="shared" si="3"/>
        <v>544</v>
      </c>
      <c r="T107" s="177">
        <f t="shared" ca="1" si="19"/>
        <v>4.1428571428571432</v>
      </c>
      <c r="U107" s="209">
        <f t="shared" si="50"/>
        <v>30.071152069163738</v>
      </c>
      <c r="V107" s="179">
        <f t="shared" si="55"/>
        <v>-0.11337283294387857</v>
      </c>
      <c r="W107" s="213">
        <f t="shared" si="56"/>
        <v>0.20639016939285004</v>
      </c>
      <c r="X107" s="214">
        <f t="shared" ca="1" si="57"/>
        <v>1.1983800665407018</v>
      </c>
      <c r="Y107" s="176">
        <f>DANE!W107</f>
        <v>1</v>
      </c>
      <c r="Z107" s="188">
        <f t="shared" si="4"/>
        <v>133</v>
      </c>
      <c r="AA107" s="177">
        <f t="shared" ca="1" si="20"/>
        <v>1</v>
      </c>
      <c r="AB107" s="209">
        <f t="shared" si="94"/>
        <v>9.9297700851982853</v>
      </c>
      <c r="AC107" s="179">
        <f t="shared" si="95"/>
        <v>-4.6870029083224705E-2</v>
      </c>
      <c r="AD107" s="213">
        <f t="shared" si="96"/>
        <v>0.67190979641742699</v>
      </c>
      <c r="AE107" s="217">
        <f t="shared" ca="1" si="97"/>
        <v>0.53807007610491764</v>
      </c>
      <c r="AF107" s="176">
        <f>DANE!AA107</f>
        <v>73</v>
      </c>
      <c r="AG107" s="188">
        <f t="shared" si="5"/>
        <v>2476</v>
      </c>
      <c r="AH107" s="177">
        <f t="shared" ca="1" si="21"/>
        <v>56.428571428571431</v>
      </c>
      <c r="AI107" s="209">
        <f t="shared" si="37"/>
        <v>405.33060990987559</v>
      </c>
      <c r="AJ107" s="179">
        <f t="shared" si="39"/>
        <v>4.5423523159139133E-2</v>
      </c>
      <c r="AK107" s="213">
        <f t="shared" si="40"/>
        <v>1.317964662113974</v>
      </c>
      <c r="AL107" s="214">
        <f t="shared" ca="1" si="41"/>
        <v>0.99253430991928682</v>
      </c>
      <c r="AM107" s="176">
        <f>DANE!AE107</f>
        <v>9</v>
      </c>
      <c r="AN107" s="188">
        <f t="shared" si="6"/>
        <v>1517</v>
      </c>
      <c r="AO107" s="177">
        <f t="shared" ca="1" si="22"/>
        <v>18.285714285714285</v>
      </c>
      <c r="AP107" s="209">
        <f t="shared" si="49"/>
        <v>120.28553195304163</v>
      </c>
      <c r="AQ107" s="179">
        <f t="shared" si="51"/>
        <v>-7.353738871748651E-2</v>
      </c>
      <c r="AR107" s="213">
        <f t="shared" si="52"/>
        <v>0.48523827897759442</v>
      </c>
      <c r="AS107" s="217">
        <f t="shared" ca="1" si="53"/>
        <v>0.92738062265295351</v>
      </c>
      <c r="AT107" s="176">
        <f>DANE!AI107</f>
        <v>56</v>
      </c>
      <c r="AU107" s="188">
        <f t="shared" si="7"/>
        <v>4414</v>
      </c>
      <c r="AV107" s="177">
        <f t="shared" ca="1" si="23"/>
        <v>65.857142857142861</v>
      </c>
      <c r="AW107" s="209">
        <f t="shared" si="33"/>
        <v>405.19276618772881</v>
      </c>
      <c r="AX107" s="179">
        <f t="shared" si="34"/>
        <v>-5.3972506490813808E-3</v>
      </c>
      <c r="AY107" s="213">
        <f t="shared" si="35"/>
        <v>0.96221924545643034</v>
      </c>
      <c r="AZ107" s="214">
        <f t="shared" ca="1" si="36"/>
        <v>1.2060336919126289</v>
      </c>
      <c r="BA107" s="176">
        <f>DANE!AM107</f>
        <v>8</v>
      </c>
      <c r="BB107" s="188">
        <f t="shared" si="8"/>
        <v>803</v>
      </c>
      <c r="BC107" s="177">
        <f t="shared" ca="1" si="24"/>
        <v>9.4285714285714288</v>
      </c>
      <c r="BD107" s="209">
        <f t="shared" si="77"/>
        <v>66.998190092253353</v>
      </c>
      <c r="BE107" s="179">
        <f t="shared" si="80"/>
        <v>-2.6630817161039384E-2</v>
      </c>
      <c r="BF107" s="213">
        <f t="shared" si="81"/>
        <v>0.8135842798727243</v>
      </c>
      <c r="BG107" s="217">
        <f t="shared" ca="1" si="82"/>
        <v>0.95603537585258036</v>
      </c>
      <c r="BH107" s="176">
        <f>DANE!AQ107</f>
        <v>14</v>
      </c>
      <c r="BI107" s="188">
        <f t="shared" si="9"/>
        <v>473</v>
      </c>
      <c r="BJ107" s="177">
        <f t="shared" ca="1" si="25"/>
        <v>10.857142857142858</v>
      </c>
      <c r="BK107" s="209">
        <f t="shared" si="61"/>
        <v>59.410677795449438</v>
      </c>
      <c r="BL107" s="179">
        <f t="shared" si="63"/>
        <v>0.12139788663291488</v>
      </c>
      <c r="BM107" s="213">
        <f t="shared" si="64"/>
        <v>1.8497852064304041</v>
      </c>
      <c r="BN107" s="214">
        <f t="shared" ca="1" si="65"/>
        <v>3.110141660277205</v>
      </c>
      <c r="BO107" s="176">
        <f>DANE!AU107</f>
        <v>13</v>
      </c>
      <c r="BP107" s="188">
        <f t="shared" si="10"/>
        <v>621</v>
      </c>
      <c r="BQ107" s="177">
        <f t="shared" ca="1" si="26"/>
        <v>13.857142857142858</v>
      </c>
      <c r="BR107" s="209">
        <f t="shared" si="78"/>
        <v>84.752711300699929</v>
      </c>
      <c r="BS107" s="179">
        <f t="shared" si="83"/>
        <v>1.2438133667807851E-2</v>
      </c>
      <c r="BT107" s="213">
        <f t="shared" si="84"/>
        <v>1.087066935674655</v>
      </c>
      <c r="BU107" s="217">
        <f t="shared" ca="1" si="85"/>
        <v>1.4554450358357194</v>
      </c>
      <c r="BV107" s="176">
        <f>DANE!AY107</f>
        <v>0</v>
      </c>
      <c r="BW107" s="188">
        <f t="shared" si="11"/>
        <v>588</v>
      </c>
      <c r="BX107" s="177">
        <f t="shared" ca="1" si="27"/>
        <v>2.7142857142857144</v>
      </c>
      <c r="BY107" s="209">
        <f t="shared" si="69"/>
        <v>16.14044914331128</v>
      </c>
      <c r="BZ107" s="179">
        <f t="shared" si="71"/>
        <v>-0.14285714285714274</v>
      </c>
      <c r="CA107" s="213">
        <f t="shared" si="72"/>
        <v>7.7715611723760958E-16</v>
      </c>
      <c r="CB107" s="214">
        <f t="shared" ca="1" si="73"/>
        <v>1.0988147629695499</v>
      </c>
      <c r="CC107" s="176">
        <f>DANE!BC107</f>
        <v>188</v>
      </c>
      <c r="CD107" s="188">
        <f t="shared" si="12"/>
        <v>11033</v>
      </c>
      <c r="CE107" s="177">
        <f t="shared" ca="1" si="28"/>
        <v>152.14285714285714</v>
      </c>
      <c r="CF107" s="209">
        <f t="shared" si="45"/>
        <v>1279.6806061356756</v>
      </c>
      <c r="CG107" s="179">
        <f t="shared" si="46"/>
        <v>4.7527498506426047E-3</v>
      </c>
      <c r="CH107" s="213">
        <f t="shared" si="47"/>
        <v>1.0332692489544981</v>
      </c>
      <c r="CI107" s="217">
        <f t="shared" ca="1" si="48"/>
        <v>0.79179743183096285</v>
      </c>
      <c r="CJ107" s="176">
        <f>DANE!BG107</f>
        <v>14</v>
      </c>
      <c r="CK107" s="188">
        <f t="shared" si="13"/>
        <v>624</v>
      </c>
      <c r="CL107" s="177">
        <f t="shared" ca="1" si="29"/>
        <v>10</v>
      </c>
      <c r="CM107" s="209">
        <f t="shared" si="79"/>
        <v>74.097298797159681</v>
      </c>
      <c r="CN107" s="179">
        <f t="shared" si="86"/>
        <v>5.6819052915022858E-2</v>
      </c>
      <c r="CO107" s="213">
        <f t="shared" si="87"/>
        <v>1.39773337040516</v>
      </c>
      <c r="CP107" s="214">
        <f t="shared" ca="1" si="88"/>
        <v>0.93676103721558079</v>
      </c>
      <c r="CQ107" s="176">
        <f>DANE!BK107</f>
        <v>0</v>
      </c>
      <c r="CR107" s="188">
        <f t="shared" si="14"/>
        <v>186</v>
      </c>
      <c r="CS107" s="177">
        <f t="shared" ca="1" si="30"/>
        <v>0.7142857142857143</v>
      </c>
      <c r="CT107" s="209">
        <f t="shared" si="89"/>
        <v>3.9417856808910003</v>
      </c>
      <c r="CU107" s="179">
        <f t="shared" si="90"/>
        <v>-0.14285714285714282</v>
      </c>
      <c r="CV107" s="213">
        <f t="shared" si="91"/>
        <v>2.2204460492503131E-16</v>
      </c>
      <c r="CW107" s="217">
        <f t="shared" ca="1" si="92"/>
        <v>2.2377161217326216</v>
      </c>
      <c r="CX107" s="176">
        <f>DANE!BO107</f>
        <v>17</v>
      </c>
      <c r="CY107" s="188">
        <f t="shared" si="15"/>
        <v>2400</v>
      </c>
      <c r="CZ107" s="177">
        <f t="shared" ca="1" si="31"/>
        <v>16.285714285714285</v>
      </c>
      <c r="DA107" s="209">
        <f t="shared" si="54"/>
        <v>119.97135369034599</v>
      </c>
      <c r="DB107" s="179">
        <f t="shared" si="58"/>
        <v>-1.3476059887864717E-3</v>
      </c>
      <c r="DC107" s="213">
        <f t="shared" si="59"/>
        <v>0.9905667580784947</v>
      </c>
      <c r="DD107" s="214">
        <f t="shared" ca="1" si="60"/>
        <v>0.96317706450748131</v>
      </c>
      <c r="DE107" s="176">
        <f>DANE!BS107</f>
        <v>2</v>
      </c>
      <c r="DF107" s="188">
        <f t="shared" si="16"/>
        <v>583</v>
      </c>
      <c r="DG107" s="177">
        <f t="shared" ca="1" si="32"/>
        <v>4.1428571428571432</v>
      </c>
      <c r="DH107" s="209">
        <f t="shared" si="70"/>
        <v>23.507191415829503</v>
      </c>
      <c r="DI107" s="179">
        <f t="shared" si="74"/>
        <v>-6.3149584527421421E-2</v>
      </c>
      <c r="DJ107" s="157">
        <f t="shared" si="75"/>
        <v>0.55795290830805011</v>
      </c>
      <c r="DK107" s="225">
        <f t="shared" ca="1" si="76"/>
        <v>1.5238766141017812</v>
      </c>
      <c r="DL107" s="87"/>
      <c r="DM107" s="88"/>
      <c r="DN107" s="88"/>
      <c r="DO107" s="88"/>
      <c r="DP107" s="88"/>
      <c r="DQ107" s="88"/>
      <c r="DR107" s="88"/>
      <c r="DS107" s="88"/>
      <c r="DT107" s="88"/>
      <c r="DU107" s="88"/>
      <c r="DV107" s="88"/>
      <c r="DW107" s="88"/>
      <c r="DX107" s="88"/>
      <c r="DY107" s="88"/>
      <c r="DZ107" s="88"/>
      <c r="EA107" s="88"/>
      <c r="EB107" s="88"/>
      <c r="EC107" s="88"/>
      <c r="ED107" s="88"/>
      <c r="EE107" s="88"/>
      <c r="EF107" s="88"/>
      <c r="EG107" s="88"/>
      <c r="EH107" s="88"/>
    </row>
    <row r="108" spans="1:138" x14ac:dyDescent="0.25">
      <c r="A108" s="32">
        <v>43998</v>
      </c>
      <c r="B108" s="33" t="str">
        <f t="shared" ca="1" si="0"/>
        <v/>
      </c>
      <c r="C108" s="51">
        <f t="shared" si="93"/>
        <v>105</v>
      </c>
      <c r="D108" s="176">
        <f>DANE!K108</f>
        <v>11</v>
      </c>
      <c r="E108" s="188">
        <f t="shared" si="1"/>
        <v>2778</v>
      </c>
      <c r="F108" s="178">
        <f t="shared" ca="1" si="17"/>
        <v>6</v>
      </c>
      <c r="G108" s="209">
        <f t="shared" si="38"/>
        <v>70.406654198527121</v>
      </c>
      <c r="H108" s="179">
        <f t="shared" si="42"/>
        <v>1.5855236349784384E-2</v>
      </c>
      <c r="I108" s="213">
        <f t="shared" si="43"/>
        <v>1.1109866544484908</v>
      </c>
      <c r="J108" s="214">
        <f t="shared" ca="1" si="44"/>
        <v>0.4719118236256164</v>
      </c>
      <c r="K108" s="176">
        <f>DANE!O108</f>
        <v>1</v>
      </c>
      <c r="L108" s="188">
        <f t="shared" si="2"/>
        <v>627</v>
      </c>
      <c r="M108" s="177">
        <f t="shared" ca="1" si="18"/>
        <v>3.4285714285714284</v>
      </c>
      <c r="N108" s="209">
        <f t="shared" si="62"/>
        <v>17.829817954334295</v>
      </c>
      <c r="O108" s="179">
        <f t="shared" si="66"/>
        <v>-9.192712926646629E-2</v>
      </c>
      <c r="P108" s="213">
        <f t="shared" si="67"/>
        <v>0.35651009513473597</v>
      </c>
      <c r="Q108" s="217">
        <f t="shared" ca="1" si="68"/>
        <v>2.2671486932683287</v>
      </c>
      <c r="R108" s="176">
        <f>DANE!S108</f>
        <v>9</v>
      </c>
      <c r="S108" s="188">
        <f t="shared" si="3"/>
        <v>553</v>
      </c>
      <c r="T108" s="177">
        <f t="shared" ca="1" si="19"/>
        <v>4.8571428571428568</v>
      </c>
      <c r="U108" s="209">
        <f t="shared" si="50"/>
        <v>34.775273202140347</v>
      </c>
      <c r="V108" s="179">
        <f t="shared" si="55"/>
        <v>0.15643301999727571</v>
      </c>
      <c r="W108" s="213">
        <f t="shared" si="56"/>
        <v>2.09503113998093</v>
      </c>
      <c r="X108" s="214">
        <f t="shared" ca="1" si="57"/>
        <v>1.3487825507401967</v>
      </c>
      <c r="Y108" s="176">
        <f>DANE!W108</f>
        <v>0</v>
      </c>
      <c r="Z108" s="188">
        <f t="shared" si="4"/>
        <v>133</v>
      </c>
      <c r="AA108" s="177">
        <f t="shared" ca="1" si="20"/>
        <v>0.5714285714285714</v>
      </c>
      <c r="AB108" s="209">
        <f t="shared" si="94"/>
        <v>8.5112315015985303</v>
      </c>
      <c r="AC108" s="179">
        <f t="shared" si="95"/>
        <v>-0.14285714285714285</v>
      </c>
      <c r="AD108" s="213">
        <f t="shared" si="96"/>
        <v>0</v>
      </c>
      <c r="AE108" s="217">
        <f t="shared" ca="1" si="97"/>
        <v>0.35328211472276372</v>
      </c>
      <c r="AF108" s="176">
        <f>DANE!AA108</f>
        <v>62</v>
      </c>
      <c r="AG108" s="188">
        <f t="shared" si="5"/>
        <v>2538</v>
      </c>
      <c r="AH108" s="177">
        <f t="shared" ca="1" si="21"/>
        <v>58.857142857142854</v>
      </c>
      <c r="AI108" s="209">
        <f t="shared" si="37"/>
        <v>409.42623706560767</v>
      </c>
      <c r="AJ108" s="179">
        <f t="shared" si="39"/>
        <v>1.010441120309845E-2</v>
      </c>
      <c r="AK108" s="213">
        <f t="shared" si="40"/>
        <v>1.0707308784216891</v>
      </c>
      <c r="AL108" s="214">
        <f t="shared" ca="1" si="41"/>
        <v>1.0364017630168116</v>
      </c>
      <c r="AM108" s="176">
        <f>DANE!AE108</f>
        <v>12</v>
      </c>
      <c r="AN108" s="188">
        <f t="shared" si="6"/>
        <v>1529</v>
      </c>
      <c r="AO108" s="177">
        <f t="shared" ca="1" si="22"/>
        <v>13.857142857142858</v>
      </c>
      <c r="AP108" s="209">
        <f t="shared" si="49"/>
        <v>115.10188453117854</v>
      </c>
      <c r="AQ108" s="179">
        <f t="shared" si="51"/>
        <v>-4.3094521325197567E-2</v>
      </c>
      <c r="AR108" s="213">
        <f t="shared" si="52"/>
        <v>0.69833835072361694</v>
      </c>
      <c r="AS108" s="217">
        <f t="shared" ca="1" si="53"/>
        <v>0.70230811609375365</v>
      </c>
      <c r="AT108" s="176">
        <f>DANE!AI108</f>
        <v>36</v>
      </c>
      <c r="AU108" s="188">
        <f t="shared" si="7"/>
        <v>4450</v>
      </c>
      <c r="AV108" s="177">
        <f t="shared" ca="1" si="23"/>
        <v>59.571428571428569</v>
      </c>
      <c r="AW108" s="209">
        <f t="shared" si="33"/>
        <v>383.3080853037676</v>
      </c>
      <c r="AX108" s="179">
        <f t="shared" si="34"/>
        <v>-5.4010541920242169E-2</v>
      </c>
      <c r="AY108" s="213">
        <f t="shared" si="35"/>
        <v>0.62192620655830477</v>
      </c>
      <c r="AZ108" s="214">
        <f t="shared" ca="1" si="36"/>
        <v>1.0544642907303736</v>
      </c>
      <c r="BA108" s="176">
        <f>DANE!AM108</f>
        <v>8</v>
      </c>
      <c r="BB108" s="188">
        <f t="shared" si="8"/>
        <v>811</v>
      </c>
      <c r="BC108" s="177">
        <f t="shared" ca="1" si="24"/>
        <v>9.1428571428571423</v>
      </c>
      <c r="BD108" s="209">
        <f t="shared" si="77"/>
        <v>65.42702007907431</v>
      </c>
      <c r="BE108" s="179">
        <f t="shared" si="80"/>
        <v>-2.3450932197058086E-2</v>
      </c>
      <c r="BF108" s="213">
        <f t="shared" si="81"/>
        <v>0.83584347462059339</v>
      </c>
      <c r="BG108" s="217">
        <f t="shared" ca="1" si="82"/>
        <v>0.9351001411765445</v>
      </c>
      <c r="BH108" s="176">
        <f>DANE!AQ108</f>
        <v>13</v>
      </c>
      <c r="BI108" s="188">
        <f t="shared" si="9"/>
        <v>486</v>
      </c>
      <c r="BJ108" s="177">
        <f t="shared" ca="1" si="25"/>
        <v>11.142857142857142</v>
      </c>
      <c r="BK108" s="209">
        <f t="shared" si="61"/>
        <v>63.923438110385234</v>
      </c>
      <c r="BL108" s="179">
        <f t="shared" si="63"/>
        <v>7.5958741465182403E-2</v>
      </c>
      <c r="BM108" s="213">
        <f t="shared" si="64"/>
        <v>1.531711190256277</v>
      </c>
      <c r="BN108" s="214">
        <f t="shared" ca="1" si="65"/>
        <v>2.3237415738051905</v>
      </c>
      <c r="BO108" s="176">
        <f>DANE!AU108</f>
        <v>7</v>
      </c>
      <c r="BP108" s="188">
        <f t="shared" si="10"/>
        <v>628</v>
      </c>
      <c r="BQ108" s="177">
        <f t="shared" ca="1" si="26"/>
        <v>12.714285714285714</v>
      </c>
      <c r="BR108" s="209">
        <f t="shared" si="78"/>
        <v>79.645181114885659</v>
      </c>
      <c r="BS108" s="179">
        <f t="shared" si="83"/>
        <v>-6.0263914952442224E-2</v>
      </c>
      <c r="BT108" s="213">
        <f t="shared" si="84"/>
        <v>0.57815259533290442</v>
      </c>
      <c r="BU108" s="217">
        <f t="shared" ca="1" si="85"/>
        <v>1.2671856688622491</v>
      </c>
      <c r="BV108" s="176">
        <f>DANE!AY108</f>
        <v>2</v>
      </c>
      <c r="BW108" s="188">
        <f t="shared" si="11"/>
        <v>590</v>
      </c>
      <c r="BX108" s="177">
        <f t="shared" ca="1" si="27"/>
        <v>2.2857142857142856</v>
      </c>
      <c r="BY108" s="209">
        <f t="shared" si="69"/>
        <v>15.834670694266812</v>
      </c>
      <c r="BZ108" s="179">
        <f t="shared" si="71"/>
        <v>-1.8944853785012813E-2</v>
      </c>
      <c r="CA108" s="213">
        <f t="shared" si="72"/>
        <v>0.86738602350491034</v>
      </c>
      <c r="CB108" s="214">
        <f t="shared" ca="1" si="73"/>
        <v>0.90322638387494691</v>
      </c>
      <c r="CC108" s="176">
        <f>DANE!BC108</f>
        <v>216</v>
      </c>
      <c r="CD108" s="188">
        <f t="shared" si="12"/>
        <v>11249</v>
      </c>
      <c r="CE108" s="177">
        <f t="shared" ca="1" si="28"/>
        <v>163.42857142857142</v>
      </c>
      <c r="CF108" s="209">
        <f t="shared" si="45"/>
        <v>1312.8690909734364</v>
      </c>
      <c r="CG108" s="179">
        <f t="shared" si="46"/>
        <v>2.5934975241972278E-2</v>
      </c>
      <c r="CH108" s="213">
        <f t="shared" si="47"/>
        <v>1.181544826693806</v>
      </c>
      <c r="CI108" s="217">
        <f t="shared" ca="1" si="48"/>
        <v>0.87432678783160001</v>
      </c>
      <c r="CJ108" s="176">
        <f>DANE!BG108</f>
        <v>11</v>
      </c>
      <c r="CK108" s="188">
        <f t="shared" si="13"/>
        <v>635</v>
      </c>
      <c r="CL108" s="177">
        <f t="shared" ca="1" si="29"/>
        <v>9.5714285714285712</v>
      </c>
      <c r="CM108" s="209">
        <f t="shared" si="79"/>
        <v>74.511970397565449</v>
      </c>
      <c r="CN108" s="179">
        <f t="shared" si="86"/>
        <v>5.596311972733658E-3</v>
      </c>
      <c r="CO108" s="213">
        <f t="shared" si="87"/>
        <v>1.0391741838091355</v>
      </c>
      <c r="CP108" s="214">
        <f t="shared" ca="1" si="88"/>
        <v>0.91037169715829214</v>
      </c>
      <c r="CQ108" s="176">
        <f>DANE!BK108</f>
        <v>6</v>
      </c>
      <c r="CR108" s="188">
        <f t="shared" si="14"/>
        <v>192</v>
      </c>
      <c r="CS108" s="177">
        <f t="shared" ca="1" si="30"/>
        <v>1.5714285714285714</v>
      </c>
      <c r="CT108" s="209">
        <f t="shared" si="89"/>
        <v>9.3786734407637145</v>
      </c>
      <c r="CU108" s="179">
        <f t="shared" si="90"/>
        <v>1.3792956289403744</v>
      </c>
      <c r="CV108" s="213">
        <f t="shared" si="91"/>
        <v>10.655069402582621</v>
      </c>
      <c r="CW108" s="217">
        <f t="shared" ca="1" si="92"/>
        <v>3.7598688935301388</v>
      </c>
      <c r="CX108" s="176">
        <f>DANE!BO108</f>
        <v>8</v>
      </c>
      <c r="CY108" s="188">
        <f t="shared" si="15"/>
        <v>2408</v>
      </c>
      <c r="CZ108" s="177">
        <f t="shared" ca="1" si="31"/>
        <v>15.428571428571429</v>
      </c>
      <c r="DA108" s="209">
        <f t="shared" si="54"/>
        <v>110.83258887743943</v>
      </c>
      <c r="DB108" s="179">
        <f t="shared" si="58"/>
        <v>-7.617455777396924E-2</v>
      </c>
      <c r="DC108" s="213">
        <f t="shared" si="59"/>
        <v>0.46677809558221528</v>
      </c>
      <c r="DD108" s="214">
        <f t="shared" ca="1" si="60"/>
        <v>0.91887929596391782</v>
      </c>
      <c r="DE108" s="176">
        <f>DANE!BS108</f>
        <v>5</v>
      </c>
      <c r="DF108" s="188">
        <f t="shared" si="16"/>
        <v>588</v>
      </c>
      <c r="DG108" s="177">
        <f t="shared" ca="1" si="32"/>
        <v>4</v>
      </c>
      <c r="DH108" s="209">
        <f t="shared" si="70"/>
        <v>25.149021213568147</v>
      </c>
      <c r="DI108" s="179">
        <f t="shared" si="74"/>
        <v>6.9843724360582393E-2</v>
      </c>
      <c r="DJ108" s="157">
        <f t="shared" si="75"/>
        <v>1.4889060705240769</v>
      </c>
      <c r="DK108" s="225">
        <f t="shared" ca="1" si="76"/>
        <v>1.3324644933637431</v>
      </c>
      <c r="DL108" s="83"/>
      <c r="DM108" s="89"/>
      <c r="DN108" s="89"/>
      <c r="DO108" s="89"/>
      <c r="DP108" s="89"/>
      <c r="DQ108" s="89"/>
      <c r="DR108" s="89"/>
      <c r="DS108" s="89"/>
      <c r="DT108" s="89"/>
      <c r="DU108" s="89"/>
      <c r="DV108" s="89"/>
      <c r="DW108" s="89"/>
      <c r="DX108" s="89"/>
      <c r="DY108" s="89"/>
      <c r="DZ108" s="89"/>
      <c r="EA108" s="89"/>
      <c r="EB108" s="89"/>
      <c r="EC108" s="89"/>
      <c r="ED108" s="89"/>
      <c r="EE108" s="89"/>
      <c r="EF108" s="89"/>
      <c r="EG108" s="89"/>
      <c r="EH108" s="89"/>
    </row>
    <row r="109" spans="1:138" x14ac:dyDescent="0.25">
      <c r="A109" s="32">
        <v>43999</v>
      </c>
      <c r="B109" s="33" t="str">
        <f t="shared" ca="1" si="0"/>
        <v/>
      </c>
      <c r="C109" s="51">
        <f t="shared" si="93"/>
        <v>106</v>
      </c>
      <c r="D109" s="176">
        <f>DANE!K109</f>
        <v>36</v>
      </c>
      <c r="E109" s="188">
        <f t="shared" si="1"/>
        <v>2814</v>
      </c>
      <c r="F109" s="178">
        <f t="shared" ca="1" si="17"/>
        <v>10.714285714285714</v>
      </c>
      <c r="G109" s="209">
        <f t="shared" si="38"/>
        <v>96.348560741594682</v>
      </c>
      <c r="H109" s="179">
        <f t="shared" si="42"/>
        <v>0.36845816405248605</v>
      </c>
      <c r="I109" s="213">
        <f t="shared" si="43"/>
        <v>3.5792071483674026</v>
      </c>
      <c r="J109" s="214">
        <f t="shared" ca="1" si="44"/>
        <v>0.95914517689043521</v>
      </c>
      <c r="K109" s="176">
        <f>DANE!O109</f>
        <v>3</v>
      </c>
      <c r="L109" s="188">
        <f t="shared" si="2"/>
        <v>630</v>
      </c>
      <c r="M109" s="177">
        <f t="shared" ca="1" si="18"/>
        <v>3.4285714285714284</v>
      </c>
      <c r="N109" s="209">
        <f t="shared" si="62"/>
        <v>18.282701103715112</v>
      </c>
      <c r="O109" s="179">
        <f t="shared" si="66"/>
        <v>2.5400323802561565E-2</v>
      </c>
      <c r="P109" s="213">
        <f t="shared" si="67"/>
        <v>1.1778022666179311</v>
      </c>
      <c r="Q109" s="217">
        <f t="shared" ca="1" si="68"/>
        <v>1.9920276551539753</v>
      </c>
      <c r="R109" s="176">
        <f>DANE!S109</f>
        <v>11</v>
      </c>
      <c r="S109" s="188">
        <f t="shared" si="3"/>
        <v>564</v>
      </c>
      <c r="T109" s="177">
        <f t="shared" ca="1" si="19"/>
        <v>6.2857142857142856</v>
      </c>
      <c r="U109" s="209">
        <f t="shared" si="50"/>
        <v>40.807377030406016</v>
      </c>
      <c r="V109" s="179">
        <f t="shared" si="55"/>
        <v>0.17345956689405403</v>
      </c>
      <c r="W109" s="213">
        <f t="shared" si="56"/>
        <v>2.2142169682583783</v>
      </c>
      <c r="X109" s="214">
        <f t="shared" ca="1" si="57"/>
        <v>1.6281004633980092</v>
      </c>
      <c r="Y109" s="176">
        <f>DANE!W109</f>
        <v>7</v>
      </c>
      <c r="Z109" s="188">
        <f t="shared" si="4"/>
        <v>140</v>
      </c>
      <c r="AA109" s="177">
        <f t="shared" ca="1" si="20"/>
        <v>1.5714285714285714</v>
      </c>
      <c r="AB109" s="209">
        <f t="shared" si="94"/>
        <v>14.295341287084455</v>
      </c>
      <c r="AC109" s="179">
        <f t="shared" si="95"/>
        <v>0.67958553170590952</v>
      </c>
      <c r="AD109" s="213">
        <f t="shared" si="96"/>
        <v>5.7570987219413672</v>
      </c>
      <c r="AE109" s="217">
        <f t="shared" ca="1" si="97"/>
        <v>1.175724789285816</v>
      </c>
      <c r="AF109" s="176">
        <f>DANE!AA109</f>
        <v>64</v>
      </c>
      <c r="AG109" s="188">
        <f t="shared" si="5"/>
        <v>2602</v>
      </c>
      <c r="AH109" s="177">
        <f t="shared" ca="1" si="21"/>
        <v>62.571428571428569</v>
      </c>
      <c r="AI109" s="209">
        <f t="shared" si="37"/>
        <v>414.93677462766374</v>
      </c>
      <c r="AJ109" s="179">
        <f t="shared" si="39"/>
        <v>1.3459170573802399E-2</v>
      </c>
      <c r="AK109" s="213">
        <f t="shared" si="40"/>
        <v>1.0942141940166168</v>
      </c>
      <c r="AL109" s="214">
        <f t="shared" ca="1" si="41"/>
        <v>1.0973751000620808</v>
      </c>
      <c r="AM109" s="176">
        <f>DANE!AE109</f>
        <v>23</v>
      </c>
      <c r="AN109" s="188">
        <f t="shared" si="6"/>
        <v>1552</v>
      </c>
      <c r="AO109" s="177">
        <f t="shared" ca="1" si="22"/>
        <v>14.285714285714286</v>
      </c>
      <c r="AP109" s="209">
        <f t="shared" si="49"/>
        <v>121.65875816958162</v>
      </c>
      <c r="AQ109" s="179">
        <f t="shared" si="51"/>
        <v>5.696582349724226E-2</v>
      </c>
      <c r="AR109" s="213">
        <f t="shared" si="52"/>
        <v>1.3987607644806959</v>
      </c>
      <c r="AS109" s="217">
        <f t="shared" ca="1" si="53"/>
        <v>0.77430627693029874</v>
      </c>
      <c r="AT109" s="176">
        <f>DANE!AI109</f>
        <v>57</v>
      </c>
      <c r="AU109" s="188">
        <f t="shared" si="7"/>
        <v>4507</v>
      </c>
      <c r="AV109" s="177">
        <f t="shared" ca="1" si="23"/>
        <v>55.571428571428569</v>
      </c>
      <c r="AW109" s="209">
        <f t="shared" si="33"/>
        <v>385.5497874032294</v>
      </c>
      <c r="AX109" s="179">
        <f t="shared" si="34"/>
        <v>5.8483037154963193E-3</v>
      </c>
      <c r="AY109" s="213">
        <f t="shared" si="35"/>
        <v>1.0409381260084742</v>
      </c>
      <c r="AZ109" s="214">
        <f t="shared" ca="1" si="36"/>
        <v>0.97043324203809411</v>
      </c>
      <c r="BA109" s="176">
        <f>DANE!AM109</f>
        <v>7</v>
      </c>
      <c r="BB109" s="188">
        <f t="shared" si="8"/>
        <v>818</v>
      </c>
      <c r="BC109" s="177">
        <f t="shared" ca="1" si="24"/>
        <v>8.2857142857142865</v>
      </c>
      <c r="BD109" s="209">
        <f t="shared" si="77"/>
        <v>63.080302924920844</v>
      </c>
      <c r="BE109" s="179">
        <f t="shared" si="80"/>
        <v>-3.5867706512038189E-2</v>
      </c>
      <c r="BF109" s="213">
        <f t="shared" si="81"/>
        <v>0.74892605441573268</v>
      </c>
      <c r="BG109" s="217">
        <f t="shared" ca="1" si="82"/>
        <v>0.85918556741989438</v>
      </c>
      <c r="BH109" s="176">
        <f>DANE!AQ109</f>
        <v>19</v>
      </c>
      <c r="BI109" s="188">
        <f t="shared" si="9"/>
        <v>505</v>
      </c>
      <c r="BJ109" s="177">
        <f t="shared" ca="1" si="25"/>
        <v>13.142857142857142</v>
      </c>
      <c r="BK109" s="209">
        <f t="shared" si="61"/>
        <v>73.791518380330203</v>
      </c>
      <c r="BL109" s="179">
        <f t="shared" si="63"/>
        <v>0.15437342798903309</v>
      </c>
      <c r="BM109" s="213">
        <f t="shared" si="64"/>
        <v>2.0806139959232315</v>
      </c>
      <c r="BN109" s="214">
        <f t="shared" ca="1" si="65"/>
        <v>2.3756293334235443</v>
      </c>
      <c r="BO109" s="176">
        <f>DANE!AU109</f>
        <v>18</v>
      </c>
      <c r="BP109" s="188">
        <f t="shared" si="10"/>
        <v>646</v>
      </c>
      <c r="BQ109" s="177">
        <f t="shared" ca="1" si="26"/>
        <v>13.714285714285714</v>
      </c>
      <c r="BR109" s="209">
        <f t="shared" si="78"/>
        <v>86.267298098473432</v>
      </c>
      <c r="BS109" s="179">
        <f t="shared" si="83"/>
        <v>8.3145231022019761E-2</v>
      </c>
      <c r="BT109" s="213">
        <f t="shared" si="84"/>
        <v>1.5820166171541383</v>
      </c>
      <c r="BU109" s="217">
        <f t="shared" ca="1" si="85"/>
        <v>1.3171011304332858</v>
      </c>
      <c r="BV109" s="176">
        <f>DANE!AY109</f>
        <v>6</v>
      </c>
      <c r="BW109" s="188">
        <f t="shared" si="11"/>
        <v>596</v>
      </c>
      <c r="BX109" s="177">
        <f t="shared" ca="1" si="27"/>
        <v>2.4285714285714284</v>
      </c>
      <c r="BY109" s="209">
        <f t="shared" si="69"/>
        <v>19.572574880800126</v>
      </c>
      <c r="BZ109" s="179">
        <f t="shared" si="71"/>
        <v>0.23605822051523179</v>
      </c>
      <c r="CA109" s="213">
        <f t="shared" si="72"/>
        <v>2.6524075436066226</v>
      </c>
      <c r="CB109" s="214">
        <f t="shared" ca="1" si="73"/>
        <v>1.0106060940998076</v>
      </c>
      <c r="CC109" s="176">
        <f>DANE!BC109</f>
        <v>158</v>
      </c>
      <c r="CD109" s="188">
        <f t="shared" si="12"/>
        <v>11407</v>
      </c>
      <c r="CE109" s="177">
        <f t="shared" ca="1" si="28"/>
        <v>175.14285714285714</v>
      </c>
      <c r="CF109" s="209">
        <f t="shared" si="45"/>
        <v>1283.3163636915169</v>
      </c>
      <c r="CG109" s="179">
        <f t="shared" si="46"/>
        <v>-2.2510033547981086E-2</v>
      </c>
      <c r="CH109" s="213">
        <f t="shared" si="47"/>
        <v>0.84242976516413237</v>
      </c>
      <c r="CI109" s="217">
        <f t="shared" ca="1" si="48"/>
        <v>0.94394937943944135</v>
      </c>
      <c r="CJ109" s="176">
        <f>DANE!BG109</f>
        <v>22</v>
      </c>
      <c r="CK109" s="188">
        <f t="shared" si="13"/>
        <v>657</v>
      </c>
      <c r="CL109" s="177">
        <f t="shared" ca="1" si="29"/>
        <v>11.142857142857142</v>
      </c>
      <c r="CM109" s="209">
        <f t="shared" si="79"/>
        <v>85.867403197913248</v>
      </c>
      <c r="CN109" s="179">
        <f t="shared" si="86"/>
        <v>0.15239743010096024</v>
      </c>
      <c r="CO109" s="213">
        <f t="shared" si="87"/>
        <v>2.0667820107067216</v>
      </c>
      <c r="CP109" s="214">
        <f t="shared" ca="1" si="88"/>
        <v>1.0725076735285211</v>
      </c>
      <c r="CQ109" s="176">
        <f>DANE!BK109</f>
        <v>4</v>
      </c>
      <c r="CR109" s="188">
        <f t="shared" si="14"/>
        <v>196</v>
      </c>
      <c r="CS109" s="177">
        <f t="shared" ca="1" si="30"/>
        <v>2.1428571428571428</v>
      </c>
      <c r="CT109" s="209">
        <f t="shared" si="89"/>
        <v>12.038862949226042</v>
      </c>
      <c r="CU109" s="179">
        <f t="shared" si="90"/>
        <v>0.28364240692079212</v>
      </c>
      <c r="CV109" s="213">
        <f t="shared" si="91"/>
        <v>2.9854968484455449</v>
      </c>
      <c r="CW109" s="217">
        <f t="shared" ca="1" si="92"/>
        <v>4.1863684433080737</v>
      </c>
      <c r="CX109" s="176">
        <f>DANE!BO109</f>
        <v>12</v>
      </c>
      <c r="CY109" s="188">
        <f t="shared" si="15"/>
        <v>2420</v>
      </c>
      <c r="CZ109" s="177">
        <f t="shared" ca="1" si="31"/>
        <v>16.285714285714285</v>
      </c>
      <c r="DA109" s="209">
        <f t="shared" si="54"/>
        <v>106.99936189494809</v>
      </c>
      <c r="DB109" s="179">
        <f t="shared" si="58"/>
        <v>-3.4585738917731021E-2</v>
      </c>
      <c r="DC109" s="213">
        <f t="shared" si="59"/>
        <v>0.75789982757588281</v>
      </c>
      <c r="DD109" s="214">
        <f t="shared" ca="1" si="60"/>
        <v>0.97802161367951768</v>
      </c>
      <c r="DE109" s="176">
        <f>DANE!BS109</f>
        <v>3</v>
      </c>
      <c r="DF109" s="188">
        <f t="shared" si="16"/>
        <v>591</v>
      </c>
      <c r="DG109" s="177">
        <f t="shared" ca="1" si="32"/>
        <v>3.7142857142857144</v>
      </c>
      <c r="DH109" s="209">
        <f t="shared" si="70"/>
        <v>24.556303897344129</v>
      </c>
      <c r="DI109" s="179">
        <f t="shared" si="74"/>
        <v>-2.3568206141726149E-2</v>
      </c>
      <c r="DJ109" s="157">
        <f t="shared" si="75"/>
        <v>0.83502255700791694</v>
      </c>
      <c r="DK109" s="225">
        <f t="shared" ca="1" si="76"/>
        <v>1.1847490593123884</v>
      </c>
      <c r="DL109" s="83"/>
      <c r="DM109" s="89"/>
      <c r="DN109" s="89"/>
      <c r="DO109" s="89"/>
      <c r="DP109" s="89"/>
      <c r="DQ109" s="89"/>
      <c r="DR109" s="89"/>
      <c r="DS109" s="89"/>
      <c r="DT109" s="89"/>
      <c r="DU109" s="89"/>
      <c r="DV109" s="89"/>
      <c r="DW109" s="89"/>
      <c r="DX109" s="89"/>
      <c r="DY109" s="89"/>
      <c r="DZ109" s="89"/>
      <c r="EA109" s="89"/>
      <c r="EB109" s="89"/>
      <c r="EC109" s="89"/>
      <c r="ED109" s="89"/>
      <c r="EE109" s="89"/>
      <c r="EF109" s="89"/>
      <c r="EG109" s="89"/>
      <c r="EH109" s="89"/>
    </row>
    <row r="110" spans="1:138" x14ac:dyDescent="0.25">
      <c r="A110" s="32">
        <v>44000</v>
      </c>
      <c r="B110" s="33" t="str">
        <f t="shared" ca="1" si="0"/>
        <v/>
      </c>
      <c r="C110" s="51">
        <f t="shared" si="93"/>
        <v>107</v>
      </c>
      <c r="D110" s="176">
        <f>DANE!K110</f>
        <v>11</v>
      </c>
      <c r="E110" s="188">
        <f t="shared" si="1"/>
        <v>2825</v>
      </c>
      <c r="F110" s="178">
        <f t="shared" ca="1" si="17"/>
        <v>10.857142857142858</v>
      </c>
      <c r="G110" s="209">
        <f t="shared" si="38"/>
        <v>93.584480635652596</v>
      </c>
      <c r="H110" s="179">
        <f t="shared" si="42"/>
        <v>-2.8688338306944765E-2</v>
      </c>
      <c r="I110" s="213">
        <f t="shared" si="43"/>
        <v>0.79918163185138669</v>
      </c>
      <c r="J110" s="214">
        <f t="shared" ca="1" si="44"/>
        <v>0.98222124570129032</v>
      </c>
      <c r="K110" s="176">
        <f>DANE!O110</f>
        <v>11</v>
      </c>
      <c r="L110" s="188">
        <f t="shared" si="2"/>
        <v>641</v>
      </c>
      <c r="M110" s="177">
        <f t="shared" ca="1" si="18"/>
        <v>4.7142857142857144</v>
      </c>
      <c r="N110" s="209">
        <f t="shared" si="62"/>
        <v>26.670886660327241</v>
      </c>
      <c r="O110" s="179">
        <f t="shared" si="66"/>
        <v>0.45880450098851194</v>
      </c>
      <c r="P110" s="213">
        <f t="shared" si="67"/>
        <v>4.2116315069195842</v>
      </c>
      <c r="Q110" s="217">
        <f t="shared" ca="1" si="68"/>
        <v>2.3664068578917883</v>
      </c>
      <c r="R110" s="176">
        <f>DANE!S110</f>
        <v>6</v>
      </c>
      <c r="S110" s="188">
        <f t="shared" si="3"/>
        <v>570</v>
      </c>
      <c r="T110" s="177">
        <f t="shared" ca="1" si="19"/>
        <v>6.8571428571428568</v>
      </c>
      <c r="U110" s="209">
        <f t="shared" si="50"/>
        <v>40.977751740348019</v>
      </c>
      <c r="V110" s="179">
        <f t="shared" si="55"/>
        <v>4.1750958365948084E-3</v>
      </c>
      <c r="W110" s="213">
        <f t="shared" si="56"/>
        <v>1.0292256708561636</v>
      </c>
      <c r="X110" s="214">
        <f t="shared" ca="1" si="57"/>
        <v>1.6923744569790347</v>
      </c>
      <c r="Y110" s="176">
        <f>DANE!W110</f>
        <v>0</v>
      </c>
      <c r="Z110" s="188">
        <f t="shared" si="4"/>
        <v>140</v>
      </c>
      <c r="AA110" s="177">
        <f t="shared" ca="1" si="20"/>
        <v>1.5714285714285714</v>
      </c>
      <c r="AB110" s="209">
        <f t="shared" si="94"/>
        <v>12.253149674643819</v>
      </c>
      <c r="AC110" s="179">
        <f t="shared" si="95"/>
        <v>-0.14285714285714282</v>
      </c>
      <c r="AD110" s="213">
        <f t="shared" si="96"/>
        <v>2.2204460492503131E-16</v>
      </c>
      <c r="AE110" s="217">
        <f t="shared" ca="1" si="97"/>
        <v>1.175724789285816</v>
      </c>
      <c r="AF110" s="176">
        <f>DANE!AA110</f>
        <v>75</v>
      </c>
      <c r="AG110" s="188">
        <f t="shared" si="5"/>
        <v>2677</v>
      </c>
      <c r="AH110" s="177">
        <f t="shared" ca="1" si="21"/>
        <v>62.857142857142854</v>
      </c>
      <c r="AI110" s="209">
        <f t="shared" si="37"/>
        <v>430.66009253799751</v>
      </c>
      <c r="AJ110" s="179">
        <f t="shared" si="39"/>
        <v>3.7893286090255128E-2</v>
      </c>
      <c r="AK110" s="213">
        <f t="shared" si="40"/>
        <v>1.2652530026317859</v>
      </c>
      <c r="AL110" s="214">
        <f t="shared" ca="1" si="41"/>
        <v>1.0858298861338771</v>
      </c>
      <c r="AM110" s="176">
        <f>DANE!AE110</f>
        <v>12</v>
      </c>
      <c r="AN110" s="188">
        <f t="shared" si="6"/>
        <v>1564</v>
      </c>
      <c r="AO110" s="177">
        <f t="shared" ca="1" si="22"/>
        <v>14.714285714285714</v>
      </c>
      <c r="AP110" s="209">
        <f t="shared" si="49"/>
        <v>116.27893557392711</v>
      </c>
      <c r="AQ110" s="179">
        <f t="shared" si="51"/>
        <v>-4.4220594362433835E-2</v>
      </c>
      <c r="AR110" s="213">
        <f t="shared" si="52"/>
        <v>0.69045583946296318</v>
      </c>
      <c r="AS110" s="217">
        <f t="shared" ca="1" si="53"/>
        <v>0.81454378892502166</v>
      </c>
      <c r="AT110" s="176">
        <f>DANE!AI110</f>
        <v>44</v>
      </c>
      <c r="AU110" s="188">
        <f t="shared" si="7"/>
        <v>4551</v>
      </c>
      <c r="AV110" s="177">
        <f t="shared" ca="1" si="23"/>
        <v>54.142857142857146</v>
      </c>
      <c r="AW110" s="209">
        <f t="shared" si="33"/>
        <v>374.47124634562522</v>
      </c>
      <c r="AX110" s="179">
        <f t="shared" si="34"/>
        <v>-2.87343980455049E-2</v>
      </c>
      <c r="AY110" s="213">
        <f t="shared" si="35"/>
        <v>0.79885921368146573</v>
      </c>
      <c r="AZ110" s="214">
        <f t="shared" ca="1" si="36"/>
        <v>0.94889314850257933</v>
      </c>
      <c r="BA110" s="176">
        <f>DANE!AM110</f>
        <v>6</v>
      </c>
      <c r="BB110" s="188">
        <f t="shared" si="8"/>
        <v>824</v>
      </c>
      <c r="BC110" s="177">
        <f t="shared" ca="1" si="24"/>
        <v>8.7142857142857135</v>
      </c>
      <c r="BD110" s="209">
        <f t="shared" si="77"/>
        <v>60.068831078503585</v>
      </c>
      <c r="BE110" s="179">
        <f t="shared" si="80"/>
        <v>-4.7740288279870167E-2</v>
      </c>
      <c r="BF110" s="213">
        <f t="shared" si="81"/>
        <v>0.66581798204090881</v>
      </c>
      <c r="BG110" s="217">
        <f t="shared" ca="1" si="82"/>
        <v>0.91371904153123418</v>
      </c>
      <c r="BH110" s="176">
        <f>DANE!AQ110</f>
        <v>12</v>
      </c>
      <c r="BI110" s="188">
        <f t="shared" si="9"/>
        <v>517</v>
      </c>
      <c r="BJ110" s="177">
        <f t="shared" ca="1" si="25"/>
        <v>14.571428571428571</v>
      </c>
      <c r="BK110" s="209">
        <f t="shared" si="61"/>
        <v>75.249872897425888</v>
      </c>
      <c r="BL110" s="179">
        <f t="shared" si="63"/>
        <v>1.97631726396949E-2</v>
      </c>
      <c r="BM110" s="213">
        <f t="shared" si="64"/>
        <v>1.1383422084778643</v>
      </c>
      <c r="BN110" s="214">
        <f t="shared" ca="1" si="65"/>
        <v>2.4492352269586339</v>
      </c>
      <c r="BO110" s="176">
        <f>DANE!AU110</f>
        <v>13</v>
      </c>
      <c r="BP110" s="188">
        <f t="shared" si="10"/>
        <v>659</v>
      </c>
      <c r="BQ110" s="177">
        <f t="shared" ca="1" si="26"/>
        <v>14.285714285714286</v>
      </c>
      <c r="BR110" s="209">
        <f t="shared" si="78"/>
        <v>86.943398370120093</v>
      </c>
      <c r="BS110" s="179">
        <f t="shared" si="83"/>
        <v>7.8372719042956191E-3</v>
      </c>
      <c r="BT110" s="213">
        <f t="shared" si="84"/>
        <v>1.0548609033300693</v>
      </c>
      <c r="BU110" s="217">
        <f t="shared" ca="1" si="85"/>
        <v>1.3283579154148171</v>
      </c>
      <c r="BV110" s="176">
        <f>DANE!AY110</f>
        <v>3</v>
      </c>
      <c r="BW110" s="188">
        <f t="shared" si="11"/>
        <v>599</v>
      </c>
      <c r="BX110" s="177">
        <f t="shared" ca="1" si="27"/>
        <v>2.8571428571428572</v>
      </c>
      <c r="BY110" s="209">
        <f t="shared" si="69"/>
        <v>19.776492754971539</v>
      </c>
      <c r="BZ110" s="179">
        <f t="shared" si="71"/>
        <v>1.041855123371877E-2</v>
      </c>
      <c r="CA110" s="213">
        <f t="shared" si="72"/>
        <v>1.0729298586360314</v>
      </c>
      <c r="CB110" s="214">
        <f t="shared" ca="1" si="73"/>
        <v>1.1638817881906689</v>
      </c>
      <c r="CC110" s="176">
        <f>DANE!BC110</f>
        <v>88</v>
      </c>
      <c r="CD110" s="188">
        <f t="shared" si="12"/>
        <v>11495</v>
      </c>
      <c r="CE110" s="177">
        <f t="shared" ca="1" si="28"/>
        <v>165.28571428571428</v>
      </c>
      <c r="CF110" s="209">
        <f t="shared" si="45"/>
        <v>1187.985454592729</v>
      </c>
      <c r="CG110" s="179">
        <f t="shared" si="46"/>
        <v>-7.4284807547037229E-2</v>
      </c>
      <c r="CH110" s="213">
        <f t="shared" si="47"/>
        <v>0.48000634717073931</v>
      </c>
      <c r="CI110" s="217">
        <f t="shared" ca="1" si="48"/>
        <v>0.89710158001557072</v>
      </c>
      <c r="CJ110" s="176">
        <f>DANE!BG110</f>
        <v>18</v>
      </c>
      <c r="CK110" s="188">
        <f t="shared" si="13"/>
        <v>675</v>
      </c>
      <c r="CL110" s="177">
        <f t="shared" ca="1" si="29"/>
        <v>13</v>
      </c>
      <c r="CM110" s="209">
        <f t="shared" si="79"/>
        <v>91.600631312497072</v>
      </c>
      <c r="CN110" s="179">
        <f t="shared" si="86"/>
        <v>6.6768388248209576E-2</v>
      </c>
      <c r="CO110" s="213">
        <f t="shared" si="87"/>
        <v>1.4673787177374671</v>
      </c>
      <c r="CP110" s="214">
        <f t="shared" ca="1" si="88"/>
        <v>1.2210296922568875</v>
      </c>
      <c r="CQ110" s="176">
        <f>DANE!BK110</f>
        <v>6</v>
      </c>
      <c r="CR110" s="188">
        <f t="shared" si="14"/>
        <v>202</v>
      </c>
      <c r="CS110" s="177">
        <f t="shared" ca="1" si="30"/>
        <v>2.4285714285714284</v>
      </c>
      <c r="CT110" s="209">
        <f t="shared" si="89"/>
        <v>16.319025385050892</v>
      </c>
      <c r="CU110" s="179">
        <f t="shared" si="90"/>
        <v>0.35552879486015038</v>
      </c>
      <c r="CV110" s="213">
        <f t="shared" si="91"/>
        <v>3.4887015640210528</v>
      </c>
      <c r="CW110" s="217">
        <f t="shared" ca="1" si="92"/>
        <v>2.6852162006397102</v>
      </c>
      <c r="CX110" s="176">
        <f>DANE!BO110</f>
        <v>9</v>
      </c>
      <c r="CY110" s="188">
        <f t="shared" si="15"/>
        <v>2429</v>
      </c>
      <c r="CZ110" s="177">
        <f t="shared" ca="1" si="31"/>
        <v>13.714285714285714</v>
      </c>
      <c r="DA110" s="209">
        <f t="shared" si="54"/>
        <v>100.71373876709838</v>
      </c>
      <c r="DB110" s="179">
        <f t="shared" si="58"/>
        <v>-5.8744491710342517E-2</v>
      </c>
      <c r="DC110" s="213">
        <f t="shared" si="59"/>
        <v>0.58878855802760244</v>
      </c>
      <c r="DD110" s="214">
        <f t="shared" ca="1" si="60"/>
        <v>0.81818884686946269</v>
      </c>
      <c r="DE110" s="176">
        <f>DANE!BS110</f>
        <v>0</v>
      </c>
      <c r="DF110" s="188">
        <f t="shared" si="16"/>
        <v>591</v>
      </c>
      <c r="DG110" s="177">
        <f t="shared" ca="1" si="32"/>
        <v>3.4285714285714284</v>
      </c>
      <c r="DH110" s="209">
        <f t="shared" si="70"/>
        <v>21.048260483437826</v>
      </c>
      <c r="DI110" s="179">
        <f t="shared" si="74"/>
        <v>-0.14285714285714285</v>
      </c>
      <c r="DJ110" s="157">
        <f t="shared" si="75"/>
        <v>0</v>
      </c>
      <c r="DK110" s="225">
        <f t="shared" ca="1" si="76"/>
        <v>1.0897421548295045</v>
      </c>
      <c r="DL110" s="89"/>
      <c r="DM110" s="89"/>
      <c r="DN110" s="89"/>
      <c r="DO110" s="89"/>
      <c r="DP110" s="89"/>
      <c r="DQ110" s="89"/>
      <c r="DR110" s="89"/>
      <c r="DS110" s="89"/>
      <c r="DT110" s="89"/>
      <c r="DU110" s="89"/>
      <c r="DV110" s="89"/>
      <c r="DW110" s="89"/>
      <c r="DX110" s="89"/>
      <c r="DY110" s="89"/>
      <c r="DZ110" s="89"/>
      <c r="EA110" s="89"/>
      <c r="EB110" s="89"/>
      <c r="EC110" s="89"/>
      <c r="ED110" s="89"/>
      <c r="EE110" s="89"/>
      <c r="EF110" s="89"/>
      <c r="EG110" s="89"/>
      <c r="EH110" s="89"/>
    </row>
    <row r="111" spans="1:138" x14ac:dyDescent="0.25">
      <c r="A111" s="32">
        <v>44001</v>
      </c>
      <c r="B111" s="33" t="str">
        <f t="shared" ca="1" si="0"/>
        <v/>
      </c>
      <c r="C111" s="51">
        <f t="shared" si="93"/>
        <v>108</v>
      </c>
      <c r="D111" s="176">
        <f>DANE!K111</f>
        <v>13</v>
      </c>
      <c r="E111" s="188">
        <f t="shared" si="1"/>
        <v>2838</v>
      </c>
      <c r="F111" s="178">
        <f t="shared" ca="1" si="17"/>
        <v>12.571428571428571</v>
      </c>
      <c r="G111" s="209">
        <f t="shared" si="38"/>
        <v>93.21526911627366</v>
      </c>
      <c r="H111" s="179">
        <f t="shared" si="42"/>
        <v>-3.9452216528974232E-3</v>
      </c>
      <c r="I111" s="213">
        <f t="shared" si="43"/>
        <v>0.97238344842971802</v>
      </c>
      <c r="J111" s="214">
        <f t="shared" ca="1" si="44"/>
        <v>1.1115266159151365</v>
      </c>
      <c r="K111" s="176">
        <f>DANE!O111</f>
        <v>3</v>
      </c>
      <c r="L111" s="188">
        <f t="shared" si="2"/>
        <v>644</v>
      </c>
      <c r="M111" s="177">
        <f t="shared" ca="1" si="18"/>
        <v>4.8571428571428568</v>
      </c>
      <c r="N111" s="209">
        <f t="shared" si="62"/>
        <v>25.860759994566209</v>
      </c>
      <c r="O111" s="179">
        <f t="shared" si="66"/>
        <v>-3.0374943138508036E-2</v>
      </c>
      <c r="P111" s="213">
        <f t="shared" si="67"/>
        <v>0.78737539803044376</v>
      </c>
      <c r="Q111" s="217">
        <f t="shared" ca="1" si="68"/>
        <v>2.2693011390378164</v>
      </c>
      <c r="R111" s="176">
        <f>DANE!S111</f>
        <v>15</v>
      </c>
      <c r="S111" s="188">
        <f t="shared" si="3"/>
        <v>585</v>
      </c>
      <c r="T111" s="177">
        <f t="shared" ca="1" si="19"/>
        <v>8.7142857142857135</v>
      </c>
      <c r="U111" s="209">
        <f t="shared" si="50"/>
        <v>50.123787206012594</v>
      </c>
      <c r="V111" s="179">
        <f t="shared" si="55"/>
        <v>0.22319515047134939</v>
      </c>
      <c r="W111" s="213">
        <f t="shared" si="56"/>
        <v>2.5623660532994457</v>
      </c>
      <c r="X111" s="214">
        <f t="shared" ca="1" si="57"/>
        <v>1.9703768002498994</v>
      </c>
      <c r="Y111" s="176">
        <f>DANE!W111</f>
        <v>0</v>
      </c>
      <c r="Z111" s="188">
        <f t="shared" si="4"/>
        <v>140</v>
      </c>
      <c r="AA111" s="177">
        <f t="shared" ca="1" si="20"/>
        <v>1.4285714285714286</v>
      </c>
      <c r="AB111" s="209">
        <f t="shared" si="94"/>
        <v>10.502699721123275</v>
      </c>
      <c r="AC111" s="179">
        <f t="shared" si="95"/>
        <v>-0.14285714285714274</v>
      </c>
      <c r="AD111" s="213">
        <f t="shared" si="96"/>
        <v>7.7715611723760958E-16</v>
      </c>
      <c r="AE111" s="217">
        <f t="shared" ca="1" si="97"/>
        <v>1.0952597708908087</v>
      </c>
      <c r="AF111" s="176">
        <f>DANE!AA111</f>
        <v>63</v>
      </c>
      <c r="AG111" s="188">
        <f t="shared" si="5"/>
        <v>2740</v>
      </c>
      <c r="AH111" s="177">
        <f t="shared" ca="1" si="21"/>
        <v>59</v>
      </c>
      <c r="AI111" s="209">
        <f t="shared" si="37"/>
        <v>432.13722217542647</v>
      </c>
      <c r="AJ111" s="179">
        <f t="shared" si="39"/>
        <v>3.4299199369131951E-3</v>
      </c>
      <c r="AK111" s="213">
        <f t="shared" si="40"/>
        <v>1.0240094395583923</v>
      </c>
      <c r="AL111" s="214">
        <f t="shared" ca="1" si="41"/>
        <v>1.0062086941998587</v>
      </c>
      <c r="AM111" s="176">
        <f>DANE!AE111</f>
        <v>13</v>
      </c>
      <c r="AN111" s="188">
        <f t="shared" si="6"/>
        <v>1577</v>
      </c>
      <c r="AO111" s="177">
        <f t="shared" ca="1" si="22"/>
        <v>14.714285714285714</v>
      </c>
      <c r="AP111" s="209">
        <f t="shared" si="49"/>
        <v>112.6676590633661</v>
      </c>
      <c r="AQ111" s="179">
        <f t="shared" si="51"/>
        <v>-3.1057013832613362E-2</v>
      </c>
      <c r="AR111" s="213">
        <f t="shared" si="52"/>
        <v>0.7826009031717065</v>
      </c>
      <c r="AS111" s="217">
        <f t="shared" ca="1" si="53"/>
        <v>0.8342081408550952</v>
      </c>
      <c r="AT111" s="176">
        <f>DANE!AI111</f>
        <v>84</v>
      </c>
      <c r="AU111" s="188">
        <f t="shared" si="7"/>
        <v>4635</v>
      </c>
      <c r="AV111" s="177">
        <f t="shared" ca="1" si="23"/>
        <v>56.428571428571431</v>
      </c>
      <c r="AW111" s="209">
        <f t="shared" si="33"/>
        <v>404.97535401053591</v>
      </c>
      <c r="AX111" s="179">
        <f t="shared" si="34"/>
        <v>8.1459145295113944E-2</v>
      </c>
      <c r="AY111" s="213">
        <f t="shared" si="35"/>
        <v>1.5702140170657977</v>
      </c>
      <c r="AZ111" s="214">
        <f t="shared" ca="1" si="36"/>
        <v>1.0011368084436063</v>
      </c>
      <c r="BA111" s="176">
        <f>DANE!AM111</f>
        <v>10</v>
      </c>
      <c r="BB111" s="188">
        <f t="shared" si="8"/>
        <v>834</v>
      </c>
      <c r="BC111" s="177">
        <f t="shared" ca="1" si="24"/>
        <v>8.8571428571428577</v>
      </c>
      <c r="BD111" s="209">
        <f t="shared" si="77"/>
        <v>61.487569495860221</v>
      </c>
      <c r="BE111" s="179">
        <f t="shared" si="80"/>
        <v>2.3618545456669453E-2</v>
      </c>
      <c r="BF111" s="213">
        <f t="shared" si="81"/>
        <v>1.1653298181966862</v>
      </c>
      <c r="BG111" s="217">
        <f t="shared" ca="1" si="82"/>
        <v>0.94457416279768514</v>
      </c>
      <c r="BH111" s="176">
        <f>DANE!AQ111</f>
        <v>13</v>
      </c>
      <c r="BI111" s="188">
        <f t="shared" si="9"/>
        <v>530</v>
      </c>
      <c r="BJ111" s="177">
        <f t="shared" ca="1" si="25"/>
        <v>15.285714285714286</v>
      </c>
      <c r="BK111" s="209">
        <f t="shared" si="61"/>
        <v>77.499891054936484</v>
      </c>
      <c r="BL111" s="179">
        <f t="shared" si="63"/>
        <v>2.9900624026005008E-2</v>
      </c>
      <c r="BM111" s="213">
        <f t="shared" si="64"/>
        <v>1.209304368182035</v>
      </c>
      <c r="BN111" s="214">
        <f t="shared" ca="1" si="65"/>
        <v>2.2456732257542265</v>
      </c>
      <c r="BO111" s="176">
        <f>DANE!AU111</f>
        <v>14</v>
      </c>
      <c r="BP111" s="188">
        <f t="shared" si="10"/>
        <v>673</v>
      </c>
      <c r="BQ111" s="177">
        <f t="shared" ca="1" si="26"/>
        <v>13.857142857142858</v>
      </c>
      <c r="BR111" s="209">
        <f t="shared" si="78"/>
        <v>88.522912888674369</v>
      </c>
      <c r="BS111" s="179">
        <f t="shared" si="83"/>
        <v>1.8167158728144558E-2</v>
      </c>
      <c r="BT111" s="213">
        <f t="shared" si="84"/>
        <v>1.1271701110970118</v>
      </c>
      <c r="BU111" s="217">
        <f t="shared" ca="1" si="85"/>
        <v>1.2250962982605758</v>
      </c>
      <c r="BV111" s="176">
        <f>DANE!AY111</f>
        <v>2</v>
      </c>
      <c r="BW111" s="188">
        <f t="shared" si="11"/>
        <v>601</v>
      </c>
      <c r="BX111" s="177">
        <f t="shared" ca="1" si="27"/>
        <v>2.8571428571428572</v>
      </c>
      <c r="BY111" s="209">
        <f t="shared" si="69"/>
        <v>18.951279504261318</v>
      </c>
      <c r="BZ111" s="179">
        <f t="shared" si="71"/>
        <v>-4.1726976614838499E-2</v>
      </c>
      <c r="CA111" s="213">
        <f t="shared" si="72"/>
        <v>0.7079111636961305</v>
      </c>
      <c r="CB111" s="214">
        <f t="shared" ca="1" si="73"/>
        <v>1.1527420414504828</v>
      </c>
      <c r="CC111" s="176">
        <f>DANE!BC111</f>
        <v>91</v>
      </c>
      <c r="CD111" s="188">
        <f t="shared" si="12"/>
        <v>11586</v>
      </c>
      <c r="CE111" s="177">
        <f t="shared" ca="1" si="28"/>
        <v>158.57142857142858</v>
      </c>
      <c r="CF111" s="209">
        <f t="shared" si="45"/>
        <v>1109.2732467937676</v>
      </c>
      <c r="CG111" s="179">
        <f t="shared" si="46"/>
        <v>-6.6256878394143182E-2</v>
      </c>
      <c r="CH111" s="213">
        <f t="shared" si="47"/>
        <v>0.53620185124099773</v>
      </c>
      <c r="CI111" s="217">
        <f t="shared" ca="1" si="48"/>
        <v>0.86938768303273617</v>
      </c>
      <c r="CJ111" s="176">
        <f>DANE!BG111</f>
        <v>11</v>
      </c>
      <c r="CK111" s="188">
        <f t="shared" si="13"/>
        <v>686</v>
      </c>
      <c r="CL111" s="177">
        <f t="shared" ca="1" si="29"/>
        <v>13</v>
      </c>
      <c r="CM111" s="209">
        <f t="shared" si="79"/>
        <v>89.514826839283216</v>
      </c>
      <c r="CN111" s="179">
        <f t="shared" si="86"/>
        <v>-2.2770634255762919E-2</v>
      </c>
      <c r="CO111" s="213">
        <f t="shared" si="87"/>
        <v>0.8406055602096596</v>
      </c>
      <c r="CP111" s="214">
        <f t="shared" ca="1" si="88"/>
        <v>1.194720057414038</v>
      </c>
      <c r="CQ111" s="176">
        <f>DANE!BK111</f>
        <v>5</v>
      </c>
      <c r="CR111" s="188">
        <f t="shared" si="14"/>
        <v>207</v>
      </c>
      <c r="CS111" s="177">
        <f t="shared" ca="1" si="30"/>
        <v>3.1428571428571428</v>
      </c>
      <c r="CT111" s="209">
        <f t="shared" si="89"/>
        <v>18.987736044329338</v>
      </c>
      <c r="CU111" s="179">
        <f t="shared" si="90"/>
        <v>0.16353370353373731</v>
      </c>
      <c r="CV111" s="213">
        <f t="shared" si="91"/>
        <v>2.1447359247361613</v>
      </c>
      <c r="CW111" s="217">
        <f t="shared" ca="1" si="92"/>
        <v>2.9916070470305902</v>
      </c>
      <c r="CX111" s="176">
        <f>DANE!BO111</f>
        <v>11</v>
      </c>
      <c r="CY111" s="188">
        <f t="shared" si="15"/>
        <v>2440</v>
      </c>
      <c r="CZ111" s="177">
        <f t="shared" ca="1" si="31"/>
        <v>13.571428571428571</v>
      </c>
      <c r="DA111" s="209">
        <f t="shared" si="54"/>
        <v>97.326061800370042</v>
      </c>
      <c r="DB111" s="179">
        <f t="shared" si="58"/>
        <v>-3.3636691559652807E-2</v>
      </c>
      <c r="DC111" s="213">
        <f t="shared" si="59"/>
        <v>0.76454315908243031</v>
      </c>
      <c r="DD111" s="214">
        <f t="shared" ca="1" si="60"/>
        <v>0.82894290976699991</v>
      </c>
      <c r="DE111" s="176">
        <f>DANE!BS111</f>
        <v>4</v>
      </c>
      <c r="DF111" s="188">
        <f t="shared" si="16"/>
        <v>595</v>
      </c>
      <c r="DG111" s="177">
        <f t="shared" ca="1" si="32"/>
        <v>3.7142857142857144</v>
      </c>
      <c r="DH111" s="209">
        <f t="shared" si="70"/>
        <v>22.041366128660997</v>
      </c>
      <c r="DI111" s="179">
        <f t="shared" si="74"/>
        <v>4.7182314472239285E-2</v>
      </c>
      <c r="DJ111" s="157">
        <f t="shared" si="75"/>
        <v>1.330276201305675</v>
      </c>
      <c r="DK111" s="225">
        <f t="shared" ca="1" si="76"/>
        <v>1.180000140470373</v>
      </c>
      <c r="DL111" s="89"/>
      <c r="DM111" s="89"/>
      <c r="DN111" s="89"/>
      <c r="DO111" s="89"/>
      <c r="DP111" s="89"/>
      <c r="DQ111" s="89"/>
      <c r="DR111" s="89"/>
      <c r="DS111" s="89"/>
      <c r="DT111" s="89"/>
      <c r="DU111" s="89"/>
      <c r="DV111" s="89"/>
      <c r="DW111" s="89"/>
      <c r="DX111" s="89"/>
      <c r="DY111" s="89"/>
      <c r="DZ111" s="89"/>
      <c r="EA111" s="89"/>
      <c r="EB111" s="89"/>
      <c r="EC111" s="89"/>
      <c r="ED111" s="89"/>
      <c r="EE111" s="89"/>
      <c r="EF111" s="89"/>
      <c r="EG111" s="89"/>
      <c r="EH111" s="89"/>
    </row>
    <row r="112" spans="1:138" x14ac:dyDescent="0.25">
      <c r="A112" s="61">
        <v>44002</v>
      </c>
      <c r="B112" s="62" t="str">
        <f t="shared" ca="1" si="0"/>
        <v/>
      </c>
      <c r="C112" s="12">
        <f t="shared" si="93"/>
        <v>109</v>
      </c>
      <c r="D112" s="176">
        <f>DANE!K112</f>
        <v>13</v>
      </c>
      <c r="E112" s="198">
        <f t="shared" si="1"/>
        <v>2851</v>
      </c>
      <c r="F112" s="178">
        <f t="shared" ca="1" si="17"/>
        <v>12</v>
      </c>
      <c r="G112" s="211">
        <f t="shared" si="38"/>
        <v>92.898802099663143</v>
      </c>
      <c r="H112" s="200">
        <f t="shared" si="42"/>
        <v>-3.3950126369936911E-3</v>
      </c>
      <c r="I112" s="213">
        <f t="shared" si="43"/>
        <v>0.97623491154104414</v>
      </c>
      <c r="J112" s="214">
        <f t="shared" ca="1" si="44"/>
        <v>1.0625705420911491</v>
      </c>
      <c r="K112" s="176">
        <f>DANE!O112</f>
        <v>5</v>
      </c>
      <c r="L112" s="198">
        <f t="shared" si="2"/>
        <v>649</v>
      </c>
      <c r="M112" s="177">
        <f t="shared" ca="1" si="18"/>
        <v>5</v>
      </c>
      <c r="N112" s="211">
        <f t="shared" si="62"/>
        <v>27.166365709628181</v>
      </c>
      <c r="O112" s="200">
        <f t="shared" si="66"/>
        <v>5.0485976256548624E-2</v>
      </c>
      <c r="P112" s="213">
        <f t="shared" si="67"/>
        <v>1.3534018337958404</v>
      </c>
      <c r="Q112" s="217">
        <f t="shared" ca="1" si="68"/>
        <v>2.0696905282246019</v>
      </c>
      <c r="R112" s="176">
        <f>DANE!S112</f>
        <v>5</v>
      </c>
      <c r="S112" s="198">
        <f t="shared" si="3"/>
        <v>590</v>
      </c>
      <c r="T112" s="177">
        <f t="shared" ca="1" si="19"/>
        <v>8.5714285714285712</v>
      </c>
      <c r="U112" s="211">
        <f t="shared" si="50"/>
        <v>47.963246176582224</v>
      </c>
      <c r="V112" s="200">
        <f t="shared" si="55"/>
        <v>-4.3104105851985625E-2</v>
      </c>
      <c r="W112" s="213">
        <f t="shared" si="56"/>
        <v>0.69827125903610066</v>
      </c>
      <c r="X112" s="214">
        <f t="shared" ca="1" si="57"/>
        <v>1.7906632055153862</v>
      </c>
      <c r="Y112" s="176">
        <f>DANE!W112</f>
        <v>3</v>
      </c>
      <c r="Z112" s="198">
        <f t="shared" si="4"/>
        <v>143</v>
      </c>
      <c r="AA112" s="177">
        <f t="shared" ca="1" si="20"/>
        <v>1.7142857142857142</v>
      </c>
      <c r="AB112" s="211">
        <f t="shared" si="94"/>
        <v>12.002314046677093</v>
      </c>
      <c r="AC112" s="200">
        <f t="shared" si="95"/>
        <v>0.14278369994124068</v>
      </c>
      <c r="AD112" s="213">
        <f t="shared" si="96"/>
        <v>1.9994858995886848</v>
      </c>
      <c r="AE112" s="217">
        <f t="shared" ca="1" si="97"/>
        <v>1.2950811357450163</v>
      </c>
      <c r="AF112" s="176">
        <f>DANE!AA112</f>
        <v>44</v>
      </c>
      <c r="AG112" s="198">
        <f t="shared" si="5"/>
        <v>2784</v>
      </c>
      <c r="AH112" s="177">
        <f t="shared" ca="1" si="21"/>
        <v>60</v>
      </c>
      <c r="AI112" s="211">
        <f t="shared" si="37"/>
        <v>414.40333329322272</v>
      </c>
      <c r="AJ112" s="200">
        <f t="shared" si="39"/>
        <v>-4.103763335389024E-2</v>
      </c>
      <c r="AK112" s="213">
        <f t="shared" si="40"/>
        <v>0.71273656652276829</v>
      </c>
      <c r="AL112" s="214">
        <f t="shared" ca="1" si="41"/>
        <v>1.0222765779557397</v>
      </c>
      <c r="AM112" s="176">
        <f>DANE!AE112</f>
        <v>23</v>
      </c>
      <c r="AN112" s="198">
        <f t="shared" si="6"/>
        <v>1600</v>
      </c>
      <c r="AO112" s="177">
        <f t="shared" ca="1" si="22"/>
        <v>15.428571428571429</v>
      </c>
      <c r="AP112" s="211">
        <f t="shared" si="49"/>
        <v>119.57227919717096</v>
      </c>
      <c r="AQ112" s="200">
        <f t="shared" si="51"/>
        <v>6.1283070858173999E-2</v>
      </c>
      <c r="AR112" s="213">
        <f t="shared" si="52"/>
        <v>1.428981496007218</v>
      </c>
      <c r="AS112" s="217">
        <f t="shared" ca="1" si="53"/>
        <v>0.90395934607769035</v>
      </c>
      <c r="AT112" s="176">
        <f>DANE!AI112</f>
        <v>52</v>
      </c>
      <c r="AU112" s="198">
        <f t="shared" si="7"/>
        <v>4687</v>
      </c>
      <c r="AV112" s="177">
        <f t="shared" ca="1" si="23"/>
        <v>54.428571428571431</v>
      </c>
      <c r="AW112" s="211">
        <f t="shared" si="33"/>
        <v>399.12173200903078</v>
      </c>
      <c r="AX112" s="200">
        <f t="shared" si="34"/>
        <v>-1.4454267262280955E-2</v>
      </c>
      <c r="AY112" s="213">
        <f t="shared" si="35"/>
        <v>0.89882012916403331</v>
      </c>
      <c r="AZ112" s="214">
        <f t="shared" ca="1" si="36"/>
        <v>0.96726883703454791</v>
      </c>
      <c r="BA112" s="176">
        <f>DANE!AM112</f>
        <v>4</v>
      </c>
      <c r="BB112" s="198">
        <f t="shared" si="8"/>
        <v>838</v>
      </c>
      <c r="BC112" s="177">
        <f t="shared" ca="1" si="24"/>
        <v>6.8571428571428568</v>
      </c>
      <c r="BD112" s="211">
        <f t="shared" si="77"/>
        <v>56.703630996451622</v>
      </c>
      <c r="BE112" s="200">
        <f t="shared" si="80"/>
        <v>-7.7803343645428819E-2</v>
      </c>
      <c r="BF112" s="213">
        <f t="shared" si="81"/>
        <v>0.45537659448199819</v>
      </c>
      <c r="BG112" s="217">
        <f t="shared" ca="1" si="82"/>
        <v>0.73640966298113919</v>
      </c>
      <c r="BH112" s="176">
        <f>DANE!AQ112</f>
        <v>7</v>
      </c>
      <c r="BI112" s="198">
        <f t="shared" si="9"/>
        <v>537</v>
      </c>
      <c r="BJ112" s="177">
        <f t="shared" ca="1" si="25"/>
        <v>14</v>
      </c>
      <c r="BK112" s="211">
        <f t="shared" si="61"/>
        <v>73.428478047088419</v>
      </c>
      <c r="BL112" s="200">
        <f t="shared" si="63"/>
        <v>-5.2534435241489666E-2</v>
      </c>
      <c r="BM112" s="213">
        <f t="shared" si="64"/>
        <v>0.63225895330957238</v>
      </c>
      <c r="BN112" s="214">
        <f t="shared" ca="1" si="65"/>
        <v>1.7258116271899375</v>
      </c>
      <c r="BO112" s="176">
        <f>DANE!AU112</f>
        <v>15</v>
      </c>
      <c r="BP112" s="198">
        <f t="shared" si="10"/>
        <v>688</v>
      </c>
      <c r="BQ112" s="177">
        <f t="shared" ca="1" si="26"/>
        <v>14.714285714285714</v>
      </c>
      <c r="BR112" s="211">
        <f t="shared" si="78"/>
        <v>90.876782476006611</v>
      </c>
      <c r="BS112" s="200">
        <f t="shared" si="83"/>
        <v>2.6590512111733678E-2</v>
      </c>
      <c r="BT112" s="213">
        <f t="shared" si="84"/>
        <v>1.1861335847821357</v>
      </c>
      <c r="BU112" s="217">
        <f t="shared" ca="1" si="85"/>
        <v>1.2697780495574003</v>
      </c>
      <c r="BV112" s="176">
        <f>DANE!AY112</f>
        <v>2</v>
      </c>
      <c r="BW112" s="198">
        <f t="shared" si="11"/>
        <v>603</v>
      </c>
      <c r="BX112" s="177">
        <f t="shared" ca="1" si="27"/>
        <v>2.2857142857142856</v>
      </c>
      <c r="BY112" s="211">
        <f t="shared" si="69"/>
        <v>18.243953860795418</v>
      </c>
      <c r="BZ112" s="200">
        <f t="shared" si="71"/>
        <v>-3.7323371401221397E-2</v>
      </c>
      <c r="CA112" s="213">
        <f t="shared" si="72"/>
        <v>0.73873640019145026</v>
      </c>
      <c r="CB112" s="214">
        <f t="shared" ca="1" si="73"/>
        <v>0.91083894253804742</v>
      </c>
      <c r="CC112" s="176">
        <f>DANE!BC112</f>
        <v>114</v>
      </c>
      <c r="CD112" s="198">
        <f t="shared" si="12"/>
        <v>11700</v>
      </c>
      <c r="CE112" s="177">
        <f t="shared" ca="1" si="28"/>
        <v>145</v>
      </c>
      <c r="CF112" s="211">
        <f t="shared" si="45"/>
        <v>1064.8056401089439</v>
      </c>
      <c r="CG112" s="200">
        <f t="shared" si="46"/>
        <v>-4.0087153290095545E-2</v>
      </c>
      <c r="CH112" s="213">
        <f t="shared" si="47"/>
        <v>0.71938992696933113</v>
      </c>
      <c r="CI112" s="217">
        <f t="shared" ca="1" si="48"/>
        <v>0.80784139162666613</v>
      </c>
      <c r="CJ112" s="176">
        <f>DANE!BG112</f>
        <v>11</v>
      </c>
      <c r="CK112" s="198">
        <f t="shared" si="13"/>
        <v>697</v>
      </c>
      <c r="CL112" s="177">
        <f t="shared" ca="1" si="29"/>
        <v>14.285714285714286</v>
      </c>
      <c r="CM112" s="211">
        <f t="shared" si="79"/>
        <v>87.726994433671337</v>
      </c>
      <c r="CN112" s="200">
        <f t="shared" si="86"/>
        <v>-1.9972472368424411E-2</v>
      </c>
      <c r="CO112" s="213">
        <f t="shared" si="87"/>
        <v>0.86019269342102911</v>
      </c>
      <c r="CP112" s="214">
        <f t="shared" ca="1" si="88"/>
        <v>1.2910811143604308</v>
      </c>
      <c r="CQ112" s="176">
        <f>DANE!BK112</f>
        <v>2</v>
      </c>
      <c r="CR112" s="198">
        <f t="shared" si="14"/>
        <v>209</v>
      </c>
      <c r="CS112" s="177">
        <f t="shared" ca="1" si="30"/>
        <v>3.4285714285714284</v>
      </c>
      <c r="CT112" s="211">
        <f t="shared" si="89"/>
        <v>18.275202323710861</v>
      </c>
      <c r="CU112" s="200">
        <f t="shared" si="90"/>
        <v>-3.7525996725200669E-2</v>
      </c>
      <c r="CV112" s="213">
        <f t="shared" si="91"/>
        <v>0.73731802292359527</v>
      </c>
      <c r="CW112" s="217">
        <f t="shared" ca="1" si="92"/>
        <v>3.0969381931625324</v>
      </c>
      <c r="CX112" s="176">
        <f>DANE!BO112</f>
        <v>8</v>
      </c>
      <c r="CY112" s="198">
        <f t="shared" si="15"/>
        <v>2448</v>
      </c>
      <c r="CZ112" s="177">
        <f t="shared" ca="1" si="31"/>
        <v>11.285714285714286</v>
      </c>
      <c r="DA112" s="211">
        <f t="shared" si="54"/>
        <v>91.422338686031466</v>
      </c>
      <c r="DB112" s="200">
        <f t="shared" si="58"/>
        <v>-6.0659221231492685E-2</v>
      </c>
      <c r="DC112" s="213">
        <f t="shared" si="59"/>
        <v>0.5753854513795511</v>
      </c>
      <c r="DD112" s="214">
        <f t="shared" ca="1" si="60"/>
        <v>0.70505996966130202</v>
      </c>
      <c r="DE112" s="176">
        <f>DANE!BS112</f>
        <v>1</v>
      </c>
      <c r="DF112" s="198">
        <f t="shared" si="16"/>
        <v>596</v>
      </c>
      <c r="DG112" s="177">
        <f t="shared" ca="1" si="32"/>
        <v>2.8571428571428572</v>
      </c>
      <c r="DH112" s="211">
        <f t="shared" si="70"/>
        <v>19.892599538852284</v>
      </c>
      <c r="DI112" s="200">
        <f t="shared" si="74"/>
        <v>-9.7487904210012272E-2</v>
      </c>
      <c r="DJ112" s="157">
        <f t="shared" si="75"/>
        <v>0.31758467052991401</v>
      </c>
      <c r="DK112" s="225">
        <f t="shared" ca="1" si="76"/>
        <v>0.8604135091624624</v>
      </c>
      <c r="DL112" s="88"/>
      <c r="DM112" s="88"/>
      <c r="DN112" s="88"/>
      <c r="DO112" s="88"/>
      <c r="DP112" s="88"/>
      <c r="DQ112" s="88"/>
      <c r="DR112" s="88"/>
      <c r="DS112" s="88"/>
      <c r="DT112" s="88"/>
      <c r="DU112" s="88"/>
      <c r="DV112" s="88"/>
      <c r="DW112" s="88"/>
      <c r="DX112" s="8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</row>
    <row r="113" spans="1:138" x14ac:dyDescent="0.25">
      <c r="A113" s="61">
        <v>44003</v>
      </c>
      <c r="B113" s="62" t="str">
        <f t="shared" ca="1" si="0"/>
        <v/>
      </c>
      <c r="C113" s="12">
        <f t="shared" si="93"/>
        <v>110</v>
      </c>
      <c r="D113" s="176">
        <f>DANE!K113</f>
        <v>2</v>
      </c>
      <c r="E113" s="198">
        <f t="shared" si="1"/>
        <v>2853</v>
      </c>
      <c r="F113" s="178">
        <f t="shared" ca="1" si="17"/>
        <v>12.285714285714286</v>
      </c>
      <c r="G113" s="211">
        <f t="shared" si="38"/>
        <v>81.627544656854127</v>
      </c>
      <c r="H113" s="200">
        <f t="shared" si="42"/>
        <v>-0.12132833995767839</v>
      </c>
      <c r="I113" s="213">
        <f t="shared" si="43"/>
        <v>0.15070162029625123</v>
      </c>
      <c r="J113" s="214">
        <f t="shared" ca="1" si="44"/>
        <v>1.0840993449906136</v>
      </c>
      <c r="K113" s="176">
        <f>DANE!O113</f>
        <v>3</v>
      </c>
      <c r="L113" s="198">
        <f t="shared" si="2"/>
        <v>652</v>
      </c>
      <c r="M113" s="177">
        <f t="shared" ca="1" si="18"/>
        <v>3.7142857142857144</v>
      </c>
      <c r="N113" s="211">
        <f t="shared" si="62"/>
        <v>26.285456322538444</v>
      </c>
      <c r="O113" s="200">
        <f t="shared" si="66"/>
        <v>-3.2426471634280071E-2</v>
      </c>
      <c r="P113" s="213">
        <f t="shared" si="67"/>
        <v>0.77301469856003946</v>
      </c>
      <c r="Q113" s="217">
        <f t="shared" ca="1" si="68"/>
        <v>1.2371051141512253</v>
      </c>
      <c r="R113" s="176">
        <f>DANE!S113</f>
        <v>11</v>
      </c>
      <c r="S113" s="198">
        <f t="shared" si="3"/>
        <v>601</v>
      </c>
      <c r="T113" s="177">
        <f t="shared" ca="1" si="19"/>
        <v>8.2857142857142865</v>
      </c>
      <c r="U113" s="211">
        <f t="shared" si="50"/>
        <v>52.11135386564191</v>
      </c>
      <c r="V113" s="200">
        <f t="shared" si="55"/>
        <v>8.648513225706092E-2</v>
      </c>
      <c r="W113" s="213">
        <f t="shared" si="56"/>
        <v>1.6053959257994266</v>
      </c>
      <c r="X113" s="214">
        <f t="shared" ca="1" si="57"/>
        <v>1.4872710266604707</v>
      </c>
      <c r="Y113" s="176">
        <f>DANE!W113</f>
        <v>1</v>
      </c>
      <c r="Z113" s="198">
        <f t="shared" si="4"/>
        <v>144</v>
      </c>
      <c r="AA113" s="177">
        <f t="shared" ca="1" si="20"/>
        <v>1.7142857142857142</v>
      </c>
      <c r="AB113" s="211">
        <f t="shared" si="94"/>
        <v>11.287697754294651</v>
      </c>
      <c r="AC113" s="200">
        <f t="shared" si="95"/>
        <v>-5.9539876194148307E-2</v>
      </c>
      <c r="AD113" s="213">
        <f t="shared" si="96"/>
        <v>0.58322086664096184</v>
      </c>
      <c r="AE113" s="217">
        <f t="shared" ca="1" si="97"/>
        <v>1.2873878977983488</v>
      </c>
      <c r="AF113" s="176">
        <f>DANE!AA113</f>
        <v>43</v>
      </c>
      <c r="AG113" s="198">
        <f t="shared" si="5"/>
        <v>2827</v>
      </c>
      <c r="AH113" s="177">
        <f t="shared" ca="1" si="21"/>
        <v>60.571428571428569</v>
      </c>
      <c r="AI113" s="211">
        <f t="shared" si="37"/>
        <v>398.20285710847662</v>
      </c>
      <c r="AJ113" s="200">
        <f t="shared" si="39"/>
        <v>-3.9093498732267661E-2</v>
      </c>
      <c r="AK113" s="213">
        <f t="shared" si="40"/>
        <v>0.72634550887412641</v>
      </c>
      <c r="AL113" s="214">
        <f t="shared" ca="1" si="41"/>
        <v>1.0301791788770502</v>
      </c>
      <c r="AM113" s="176">
        <f>DANE!AE113</f>
        <v>16</v>
      </c>
      <c r="AN113" s="198">
        <f t="shared" si="6"/>
        <v>1616</v>
      </c>
      <c r="AO113" s="177">
        <f t="shared" ca="1" si="22"/>
        <v>15.428571428571429</v>
      </c>
      <c r="AP113" s="211">
        <f t="shared" si="49"/>
        <v>118.49052502614654</v>
      </c>
      <c r="AQ113" s="200">
        <f t="shared" si="51"/>
        <v>-9.0468641919975064E-3</v>
      </c>
      <c r="AR113" s="213">
        <f t="shared" si="52"/>
        <v>0.93667195065601749</v>
      </c>
      <c r="AS113" s="217">
        <f t="shared" ca="1" si="53"/>
        <v>0.9172925119256875</v>
      </c>
      <c r="AT113" s="176">
        <f>DANE!AI113</f>
        <v>39</v>
      </c>
      <c r="AU113" s="198">
        <f t="shared" si="7"/>
        <v>4726</v>
      </c>
      <c r="AV113" s="177">
        <f t="shared" ca="1" si="23"/>
        <v>52.571428571428569</v>
      </c>
      <c r="AW113" s="211">
        <f t="shared" si="33"/>
        <v>381.10434172202639</v>
      </c>
      <c r="AX113" s="200">
        <f t="shared" si="34"/>
        <v>-4.5142593955762637E-2</v>
      </c>
      <c r="AY113" s="213">
        <f t="shared" si="35"/>
        <v>0.68400184230966155</v>
      </c>
      <c r="AZ113" s="214">
        <f t="shared" ca="1" si="36"/>
        <v>0.93956839717773821</v>
      </c>
      <c r="BA113" s="176">
        <f>DANE!AM113</f>
        <v>14</v>
      </c>
      <c r="BB113" s="198">
        <f t="shared" si="8"/>
        <v>852</v>
      </c>
      <c r="BC113" s="177">
        <f t="shared" ca="1" si="24"/>
        <v>8.1428571428571423</v>
      </c>
      <c r="BD113" s="211">
        <f t="shared" si="77"/>
        <v>62.603112282672825</v>
      </c>
      <c r="BE113" s="200">
        <f t="shared" si="80"/>
        <v>0.10404062636818405</v>
      </c>
      <c r="BF113" s="213">
        <f t="shared" si="81"/>
        <v>1.7282843845772884</v>
      </c>
      <c r="BG113" s="217">
        <f t="shared" ca="1" si="82"/>
        <v>0.91616608402941879</v>
      </c>
      <c r="BH113" s="176">
        <f>DANE!AQ113</f>
        <v>13</v>
      </c>
      <c r="BI113" s="198">
        <f t="shared" si="9"/>
        <v>550</v>
      </c>
      <c r="BJ113" s="177">
        <f t="shared" ca="1" si="25"/>
        <v>13</v>
      </c>
      <c r="BK113" s="211">
        <f t="shared" si="61"/>
        <v>75.938695468932934</v>
      </c>
      <c r="BL113" s="200">
        <f t="shared" si="63"/>
        <v>3.4185883850605704E-2</v>
      </c>
      <c r="BM113" s="213">
        <f t="shared" si="64"/>
        <v>1.2393011869542399</v>
      </c>
      <c r="BN113" s="214">
        <f t="shared" ca="1" si="65"/>
        <v>1.3830453013619461</v>
      </c>
      <c r="BO113" s="176">
        <f>DANE!AU113</f>
        <v>15</v>
      </c>
      <c r="BP113" s="198">
        <f t="shared" si="10"/>
        <v>703</v>
      </c>
      <c r="BQ113" s="177">
        <f t="shared" ca="1" si="26"/>
        <v>13.571428571428571</v>
      </c>
      <c r="BR113" s="211">
        <f t="shared" si="78"/>
        <v>92.89438497943425</v>
      </c>
      <c r="BS113" s="200">
        <f t="shared" si="83"/>
        <v>2.2201517796477103E-2</v>
      </c>
      <c r="BT113" s="213">
        <f t="shared" si="84"/>
        <v>1.1554106245753397</v>
      </c>
      <c r="BU113" s="217">
        <f t="shared" ca="1" si="85"/>
        <v>1.1101159102780362</v>
      </c>
      <c r="BV113" s="176">
        <f>DANE!AY113</f>
        <v>12</v>
      </c>
      <c r="BW113" s="198">
        <f t="shared" si="11"/>
        <v>615</v>
      </c>
      <c r="BX113" s="177">
        <f t="shared" ca="1" si="27"/>
        <v>3.8571428571428572</v>
      </c>
      <c r="BY113" s="211">
        <f t="shared" si="69"/>
        <v>27.637674737824646</v>
      </c>
      <c r="BZ113" s="200">
        <f t="shared" si="71"/>
        <v>0.51489501391556747</v>
      </c>
      <c r="CA113" s="213">
        <f t="shared" si="72"/>
        <v>4.6042650974089723</v>
      </c>
      <c r="CB113" s="214">
        <f t="shared" ca="1" si="73"/>
        <v>1.5205194410063025</v>
      </c>
      <c r="CC113" s="176">
        <f>DANE!BC113</f>
        <v>128</v>
      </c>
      <c r="CD113" s="198">
        <f t="shared" si="12"/>
        <v>11828</v>
      </c>
      <c r="CE113" s="177">
        <f t="shared" ca="1" si="28"/>
        <v>140.42857142857142</v>
      </c>
      <c r="CF113" s="211">
        <f t="shared" si="45"/>
        <v>1040.6905486648091</v>
      </c>
      <c r="CG113" s="200">
        <f t="shared" si="46"/>
        <v>-2.2647411448409972E-2</v>
      </c>
      <c r="CH113" s="213">
        <f t="shared" si="47"/>
        <v>0.84146811986113024</v>
      </c>
      <c r="CI113" s="217">
        <f t="shared" ca="1" si="48"/>
        <v>0.80490144086494786</v>
      </c>
      <c r="CJ113" s="176">
        <f>DANE!BG113</f>
        <v>6</v>
      </c>
      <c r="CK113" s="198">
        <f t="shared" si="13"/>
        <v>703</v>
      </c>
      <c r="CL113" s="177">
        <f t="shared" ca="1" si="29"/>
        <v>13.285714285714286</v>
      </c>
      <c r="CM113" s="211">
        <f t="shared" si="79"/>
        <v>81.194566657432574</v>
      </c>
      <c r="CN113" s="200">
        <f t="shared" si="86"/>
        <v>-7.4463143510265853E-2</v>
      </c>
      <c r="CO113" s="213">
        <f t="shared" si="87"/>
        <v>0.47875799542813902</v>
      </c>
      <c r="CP113" s="214">
        <f t="shared" ca="1" si="88"/>
        <v>1.1643749331024733</v>
      </c>
      <c r="CQ113" s="176">
        <f>DANE!BK113</f>
        <v>0</v>
      </c>
      <c r="CR113" s="198">
        <f t="shared" si="14"/>
        <v>209</v>
      </c>
      <c r="CS113" s="177">
        <f t="shared" ca="1" si="30"/>
        <v>3.2857142857142856</v>
      </c>
      <c r="CT113" s="211">
        <f t="shared" si="89"/>
        <v>15.664459134609311</v>
      </c>
      <c r="CU113" s="200">
        <f t="shared" si="90"/>
        <v>-0.14285714285714277</v>
      </c>
      <c r="CV113" s="213">
        <f t="shared" si="91"/>
        <v>5.5511151231257827E-16</v>
      </c>
      <c r="CW113" s="217">
        <f t="shared" ca="1" si="92"/>
        <v>2.8587602518155677</v>
      </c>
      <c r="CX113" s="176">
        <f>DANE!BO113</f>
        <v>7</v>
      </c>
      <c r="CY113" s="198">
        <f t="shared" si="15"/>
        <v>2455</v>
      </c>
      <c r="CZ113" s="177">
        <f t="shared" ca="1" si="31"/>
        <v>10.285714285714286</v>
      </c>
      <c r="DA113" s="211">
        <f t="shared" si="54"/>
        <v>85.362004588026977</v>
      </c>
      <c r="DB113" s="200">
        <f t="shared" si="58"/>
        <v>-6.6289423188103755E-2</v>
      </c>
      <c r="DC113" s="213">
        <f t="shared" si="59"/>
        <v>0.53597403768327367</v>
      </c>
      <c r="DD113" s="214">
        <f t="shared" ca="1" si="60"/>
        <v>0.66856226962992149</v>
      </c>
      <c r="DE113" s="176">
        <f>DANE!BS113</f>
        <v>1</v>
      </c>
      <c r="DF113" s="198">
        <f t="shared" si="16"/>
        <v>597</v>
      </c>
      <c r="DG113" s="177">
        <f t="shared" ca="1" si="32"/>
        <v>2.2857142857142856</v>
      </c>
      <c r="DH113" s="211">
        <f t="shared" si="70"/>
        <v>18.050799604730532</v>
      </c>
      <c r="DI113" s="200">
        <f t="shared" si="74"/>
        <v>-9.2587192062280665E-2</v>
      </c>
      <c r="DJ113" s="157">
        <f t="shared" si="75"/>
        <v>0.35188965556403529</v>
      </c>
      <c r="DK113" s="225">
        <f t="shared" ca="1" si="76"/>
        <v>0.69737600903423835</v>
      </c>
      <c r="DL113" s="88"/>
      <c r="DM113" s="88"/>
      <c r="DN113" s="88"/>
      <c r="DO113" s="88"/>
      <c r="DP113" s="88"/>
      <c r="DQ113" s="88"/>
      <c r="DR113" s="88"/>
      <c r="DS113" s="88"/>
      <c r="DT113" s="88"/>
      <c r="DU113" s="88"/>
      <c r="DV113" s="88"/>
      <c r="DW113" s="8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</row>
    <row r="114" spans="1:138" x14ac:dyDescent="0.25">
      <c r="A114" s="32">
        <v>44004</v>
      </c>
      <c r="B114" s="33" t="str">
        <f t="shared" ca="1" si="0"/>
        <v/>
      </c>
      <c r="C114" s="51">
        <f t="shared" si="93"/>
        <v>111</v>
      </c>
      <c r="D114" s="176">
        <f>DANE!K114</f>
        <v>4</v>
      </c>
      <c r="E114" s="188">
        <f t="shared" si="1"/>
        <v>2857</v>
      </c>
      <c r="F114" s="178">
        <f t="shared" ca="1" si="17"/>
        <v>12.857142857142858</v>
      </c>
      <c r="G114" s="209">
        <f t="shared" si="38"/>
        <v>73.966466848732111</v>
      </c>
      <c r="H114" s="179">
        <f t="shared" si="42"/>
        <v>-9.3854076345523507E-2</v>
      </c>
      <c r="I114" s="213">
        <f t="shared" si="43"/>
        <v>0.34302146558133539</v>
      </c>
      <c r="J114" s="214">
        <f t="shared" ca="1" si="44"/>
        <v>1.1331024115022328</v>
      </c>
      <c r="K114" s="176">
        <f>DANE!O114</f>
        <v>0</v>
      </c>
      <c r="L114" s="188">
        <f t="shared" si="2"/>
        <v>652</v>
      </c>
      <c r="M114" s="177">
        <f t="shared" ca="1" si="18"/>
        <v>3.7142857142857144</v>
      </c>
      <c r="N114" s="209">
        <f t="shared" si="62"/>
        <v>22.530391133604383</v>
      </c>
      <c r="O114" s="179">
        <f t="shared" si="66"/>
        <v>-0.14285714285714279</v>
      </c>
      <c r="P114" s="213">
        <f t="shared" si="67"/>
        <v>4.4408920985006262E-16</v>
      </c>
      <c r="Q114" s="217">
        <f t="shared" ca="1" si="68"/>
        <v>1.237105114151225</v>
      </c>
      <c r="R114" s="176">
        <f>DANE!S114</f>
        <v>5</v>
      </c>
      <c r="S114" s="188">
        <f t="shared" si="3"/>
        <v>606</v>
      </c>
      <c r="T114" s="177">
        <f t="shared" ca="1" si="19"/>
        <v>8.8571428571428577</v>
      </c>
      <c r="U114" s="209">
        <f t="shared" si="50"/>
        <v>49.666874741978781</v>
      </c>
      <c r="V114" s="179">
        <f t="shared" si="55"/>
        <v>-4.6908762531207703E-2</v>
      </c>
      <c r="W114" s="213">
        <f t="shared" si="56"/>
        <v>0.67163866228154601</v>
      </c>
      <c r="X114" s="214">
        <f t="shared" ca="1" si="57"/>
        <v>1.5537350970731416</v>
      </c>
      <c r="Y114" s="176">
        <f>DANE!W114</f>
        <v>1</v>
      </c>
      <c r="Z114" s="188">
        <f t="shared" si="4"/>
        <v>145</v>
      </c>
      <c r="AA114" s="177">
        <f t="shared" ca="1" si="20"/>
        <v>1.7142857142857142</v>
      </c>
      <c r="AB114" s="209">
        <f t="shared" si="94"/>
        <v>10.675169503681131</v>
      </c>
      <c r="AC114" s="179">
        <f t="shared" si="95"/>
        <v>-5.4265118002514781E-2</v>
      </c>
      <c r="AD114" s="213">
        <f t="shared" si="96"/>
        <v>0.62014417398239652</v>
      </c>
      <c r="AE114" s="217">
        <f t="shared" ca="1" si="97"/>
        <v>1.2799928088790586</v>
      </c>
      <c r="AF114" s="176">
        <f>DANE!AA114</f>
        <v>48</v>
      </c>
      <c r="AG114" s="188">
        <f t="shared" si="5"/>
        <v>2875</v>
      </c>
      <c r="AH114" s="177">
        <f t="shared" ca="1" si="21"/>
        <v>57</v>
      </c>
      <c r="AI114" s="209">
        <f t="shared" si="37"/>
        <v>389.31673466440856</v>
      </c>
      <c r="AJ114" s="179">
        <f t="shared" si="39"/>
        <v>-2.231556676562807E-2</v>
      </c>
      <c r="AK114" s="213">
        <f t="shared" si="40"/>
        <v>0.84379103264060351</v>
      </c>
      <c r="AL114" s="214">
        <f t="shared" ca="1" si="41"/>
        <v>0.96244008895228306</v>
      </c>
      <c r="AM114" s="176">
        <f>DANE!AE114</f>
        <v>6</v>
      </c>
      <c r="AN114" s="188">
        <f t="shared" si="6"/>
        <v>1622</v>
      </c>
      <c r="AO114" s="177">
        <f t="shared" ca="1" si="22"/>
        <v>15</v>
      </c>
      <c r="AP114" s="209">
        <f t="shared" si="49"/>
        <v>107.56330716526847</v>
      </c>
      <c r="AQ114" s="179">
        <f t="shared" si="51"/>
        <v>-9.2220182655675081E-2</v>
      </c>
      <c r="AR114" s="213">
        <f t="shared" si="52"/>
        <v>0.35445872141027435</v>
      </c>
      <c r="AS114" s="217">
        <f t="shared" ca="1" si="53"/>
        <v>0.898609717987499</v>
      </c>
      <c r="AT114" s="176">
        <f>DANE!AI114</f>
        <v>33</v>
      </c>
      <c r="AU114" s="188">
        <f t="shared" si="7"/>
        <v>4759</v>
      </c>
      <c r="AV114" s="177">
        <f t="shared" ca="1" si="23"/>
        <v>49.285714285714285</v>
      </c>
      <c r="AW114" s="209">
        <f t="shared" si="33"/>
        <v>359.66086433316548</v>
      </c>
      <c r="AX114" s="179">
        <f t="shared" si="34"/>
        <v>-5.6266683533355191E-2</v>
      </c>
      <c r="AY114" s="213">
        <f t="shared" si="35"/>
        <v>0.60613321526651365</v>
      </c>
      <c r="AZ114" s="214">
        <f t="shared" ca="1" si="36"/>
        <v>0.88869896429346429</v>
      </c>
      <c r="BA114" s="176">
        <f>DANE!AM114</f>
        <v>0</v>
      </c>
      <c r="BB114" s="188">
        <f t="shared" si="8"/>
        <v>852</v>
      </c>
      <c r="BC114" s="177">
        <f t="shared" ca="1" si="24"/>
        <v>7</v>
      </c>
      <c r="BD114" s="209">
        <f t="shared" si="77"/>
        <v>53.659810528005281</v>
      </c>
      <c r="BE114" s="179">
        <f t="shared" si="80"/>
        <v>-0.14285714285714282</v>
      </c>
      <c r="BF114" s="213">
        <f t="shared" si="81"/>
        <v>2.2204460492503131E-16</v>
      </c>
      <c r="BG114" s="217">
        <f t="shared" ca="1" si="82"/>
        <v>0.79993975833331532</v>
      </c>
      <c r="BH114" s="176">
        <f>DANE!AQ114</f>
        <v>8</v>
      </c>
      <c r="BI114" s="188">
        <f t="shared" si="9"/>
        <v>558</v>
      </c>
      <c r="BJ114" s="177">
        <f t="shared" ca="1" si="25"/>
        <v>12.142857142857142</v>
      </c>
      <c r="BK114" s="209">
        <f t="shared" si="61"/>
        <v>73.090310401942517</v>
      </c>
      <c r="BL114" s="179">
        <f t="shared" si="63"/>
        <v>-3.750900709317178E-2</v>
      </c>
      <c r="BM114" s="213">
        <f t="shared" si="64"/>
        <v>0.73743695034779755</v>
      </c>
      <c r="BN114" s="214">
        <f t="shared" ca="1" si="65"/>
        <v>1.2241384076358595</v>
      </c>
      <c r="BO114" s="176">
        <f>DANE!AU114</f>
        <v>23</v>
      </c>
      <c r="BP114" s="188">
        <f t="shared" si="10"/>
        <v>726</v>
      </c>
      <c r="BQ114" s="177">
        <f t="shared" ca="1" si="26"/>
        <v>15</v>
      </c>
      <c r="BR114" s="209">
        <f t="shared" si="78"/>
        <v>102.6237585538008</v>
      </c>
      <c r="BS114" s="179">
        <f t="shared" si="83"/>
        <v>0.10473586295361684</v>
      </c>
      <c r="BT114" s="213">
        <f t="shared" si="84"/>
        <v>1.7331510406753179</v>
      </c>
      <c r="BU114" s="217">
        <f t="shared" ca="1" si="85"/>
        <v>1.2024136395638454</v>
      </c>
      <c r="BV114" s="176">
        <f>DANE!AY114</f>
        <v>2</v>
      </c>
      <c r="BW114" s="188">
        <f t="shared" si="11"/>
        <v>617</v>
      </c>
      <c r="BX114" s="177">
        <f t="shared" ca="1" si="27"/>
        <v>4.1428571428571432</v>
      </c>
      <c r="BY114" s="209">
        <f t="shared" si="69"/>
        <v>25.689435489563984</v>
      </c>
      <c r="BZ114" s="179">
        <f t="shared" si="71"/>
        <v>-7.0492154884300814E-2</v>
      </c>
      <c r="CA114" s="213">
        <f t="shared" si="72"/>
        <v>0.50655491580989431</v>
      </c>
      <c r="CB114" s="214">
        <f t="shared" ca="1" si="73"/>
        <v>1.5928844289791448</v>
      </c>
      <c r="CC114" s="176">
        <f>DANE!BC114</f>
        <v>130</v>
      </c>
      <c r="CD114" s="188">
        <f t="shared" si="12"/>
        <v>11958</v>
      </c>
      <c r="CE114" s="177">
        <f t="shared" ca="1" si="28"/>
        <v>132.14285714285714</v>
      </c>
      <c r="CF114" s="209">
        <f t="shared" si="45"/>
        <v>1022.0204702841221</v>
      </c>
      <c r="CG114" s="179">
        <f t="shared" si="46"/>
        <v>-1.7940086421117593E-2</v>
      </c>
      <c r="CH114" s="213">
        <f t="shared" si="47"/>
        <v>0.87441939505217681</v>
      </c>
      <c r="CI114" s="217">
        <f t="shared" ca="1" si="48"/>
        <v>0.78220860459318764</v>
      </c>
      <c r="CJ114" s="176">
        <f>DANE!BG114</f>
        <v>15</v>
      </c>
      <c r="CK114" s="188">
        <f t="shared" si="13"/>
        <v>718</v>
      </c>
      <c r="CL114" s="177">
        <f t="shared" ca="1" si="29"/>
        <v>13.428571428571429</v>
      </c>
      <c r="CM114" s="209">
        <f t="shared" si="79"/>
        <v>84.595342849227933</v>
      </c>
      <c r="CN114" s="179">
        <f t="shared" si="86"/>
        <v>4.1884282801133106E-2</v>
      </c>
      <c r="CO114" s="213">
        <f t="shared" si="87"/>
        <v>1.2931899796079318</v>
      </c>
      <c r="CP114" s="214">
        <f t="shared" ca="1" si="88"/>
        <v>1.1494401629885833</v>
      </c>
      <c r="CQ114" s="176">
        <f>DANE!BK114</f>
        <v>2</v>
      </c>
      <c r="CR114" s="188">
        <f t="shared" si="14"/>
        <v>211</v>
      </c>
      <c r="CS114" s="177">
        <f t="shared" ca="1" si="30"/>
        <v>3.5714285714285716</v>
      </c>
      <c r="CT114" s="209">
        <f t="shared" si="89"/>
        <v>15.426679258236554</v>
      </c>
      <c r="CU114" s="179">
        <f t="shared" si="90"/>
        <v>-1.5179577815578866E-2</v>
      </c>
      <c r="CV114" s="213">
        <f t="shared" si="91"/>
        <v>0.89374295529094794</v>
      </c>
      <c r="CW114" s="217">
        <f t="shared" ca="1" si="92"/>
        <v>2.9864378168571313</v>
      </c>
      <c r="CX114" s="176">
        <f>DANE!BO114</f>
        <v>19</v>
      </c>
      <c r="CY114" s="188">
        <f t="shared" si="15"/>
        <v>2474</v>
      </c>
      <c r="CZ114" s="177">
        <f t="shared" ca="1" si="31"/>
        <v>10.571428571428571</v>
      </c>
      <c r="DA114" s="209">
        <f t="shared" si="54"/>
        <v>92.167432504023125</v>
      </c>
      <c r="DB114" s="179">
        <f t="shared" si="58"/>
        <v>7.9724321714800608E-2</v>
      </c>
      <c r="DC114" s="213">
        <f t="shared" si="59"/>
        <v>1.5580702520036043</v>
      </c>
      <c r="DD114" s="214">
        <f t="shared" ca="1" si="60"/>
        <v>0.74963419733350867</v>
      </c>
      <c r="DE114" s="176">
        <f>DANE!BS114</f>
        <v>0</v>
      </c>
      <c r="DF114" s="188">
        <f t="shared" si="16"/>
        <v>597</v>
      </c>
      <c r="DG114" s="177">
        <f t="shared" ca="1" si="32"/>
        <v>2</v>
      </c>
      <c r="DH114" s="209">
        <f t="shared" si="70"/>
        <v>15.472113946911886</v>
      </c>
      <c r="DI114" s="179">
        <f t="shared" si="74"/>
        <v>-0.14285714285714277</v>
      </c>
      <c r="DJ114" s="157">
        <f t="shared" si="75"/>
        <v>5.5511151231257827E-16</v>
      </c>
      <c r="DK114" s="225">
        <f t="shared" ca="1" si="76"/>
        <v>0.61766845070451704</v>
      </c>
      <c r="DL114" s="89"/>
      <c r="DM114" s="89"/>
      <c r="DN114" s="89"/>
      <c r="DO114" s="89"/>
      <c r="DP114" s="89"/>
      <c r="DQ114" s="89"/>
      <c r="DR114" s="89"/>
      <c r="DS114" s="89"/>
      <c r="DT114" s="89"/>
      <c r="DU114" s="89"/>
      <c r="DV114" s="89"/>
      <c r="DW114" s="89"/>
      <c r="DX114" s="89"/>
      <c r="DY114" s="89"/>
      <c r="DZ114" s="89"/>
      <c r="EA114" s="89"/>
      <c r="EB114" s="89"/>
      <c r="EC114" s="89"/>
      <c r="ED114" s="89"/>
      <c r="EE114" s="89"/>
      <c r="EF114" s="89"/>
      <c r="EG114" s="89"/>
      <c r="EH114" s="89"/>
    </row>
    <row r="115" spans="1:138" x14ac:dyDescent="0.25">
      <c r="A115" s="32">
        <v>44005</v>
      </c>
      <c r="B115" s="33" t="str">
        <f t="shared" ca="1" si="0"/>
        <v/>
      </c>
      <c r="C115" s="51">
        <f t="shared" si="93"/>
        <v>112</v>
      </c>
      <c r="D115" s="176">
        <f>DANE!K115</f>
        <v>10</v>
      </c>
      <c r="E115" s="188">
        <f t="shared" si="1"/>
        <v>2867</v>
      </c>
      <c r="F115" s="178">
        <f t="shared" ca="1" si="17"/>
        <v>12.714285714285714</v>
      </c>
      <c r="G115" s="209">
        <f t="shared" si="38"/>
        <v>73.399828727484675</v>
      </c>
      <c r="H115" s="179">
        <f t="shared" si="42"/>
        <v>-7.660743379919184E-3</v>
      </c>
      <c r="I115" s="213">
        <f t="shared" si="43"/>
        <v>0.94637479634056576</v>
      </c>
      <c r="J115" s="214">
        <f t="shared" ca="1" si="44"/>
        <v>1.1095864317725292</v>
      </c>
      <c r="K115" s="176">
        <f>DANE!O115</f>
        <v>0</v>
      </c>
      <c r="L115" s="188">
        <f t="shared" si="2"/>
        <v>652</v>
      </c>
      <c r="M115" s="177">
        <f t="shared" ca="1" si="18"/>
        <v>3.5714285714285716</v>
      </c>
      <c r="N115" s="209">
        <f t="shared" si="62"/>
        <v>19.311763828803759</v>
      </c>
      <c r="O115" s="179">
        <f t="shared" si="66"/>
        <v>-0.14285714285714274</v>
      </c>
      <c r="P115" s="213">
        <f t="shared" si="67"/>
        <v>7.7715611723760958E-16</v>
      </c>
      <c r="Q115" s="217">
        <f t="shared" ca="1" si="68"/>
        <v>1.1861751005605485</v>
      </c>
      <c r="R115" s="176">
        <f>DANE!S115</f>
        <v>4</v>
      </c>
      <c r="S115" s="188">
        <f t="shared" si="3"/>
        <v>610</v>
      </c>
      <c r="T115" s="177">
        <f t="shared" ca="1" si="19"/>
        <v>8.1428571428571423</v>
      </c>
      <c r="U115" s="209">
        <f t="shared" si="50"/>
        <v>46.571606921696102</v>
      </c>
      <c r="V115" s="179">
        <f t="shared" si="55"/>
        <v>-6.2320567508278059E-2</v>
      </c>
      <c r="W115" s="213">
        <f t="shared" si="56"/>
        <v>0.56375602744205355</v>
      </c>
      <c r="X115" s="214">
        <f t="shared" ca="1" si="57"/>
        <v>1.3349815095675877</v>
      </c>
      <c r="Y115" s="176">
        <f>DANE!W115</f>
        <v>0</v>
      </c>
      <c r="Z115" s="188">
        <f t="shared" si="4"/>
        <v>145</v>
      </c>
      <c r="AA115" s="177">
        <f t="shared" ca="1" si="20"/>
        <v>1.7142857142857142</v>
      </c>
      <c r="AB115" s="209">
        <f t="shared" si="94"/>
        <v>9.1501452888695418</v>
      </c>
      <c r="AC115" s="179">
        <f t="shared" si="95"/>
        <v>-0.14285714285714277</v>
      </c>
      <c r="AD115" s="213">
        <f t="shared" si="96"/>
        <v>5.5511151231257827E-16</v>
      </c>
      <c r="AE115" s="217">
        <f t="shared" ca="1" si="97"/>
        <v>1.2799928088790586</v>
      </c>
      <c r="AF115" s="176">
        <f>DANE!AA115</f>
        <v>40</v>
      </c>
      <c r="AG115" s="188">
        <f t="shared" si="5"/>
        <v>2915</v>
      </c>
      <c r="AH115" s="177">
        <f t="shared" ca="1" si="21"/>
        <v>53.857142857142854</v>
      </c>
      <c r="AI115" s="209">
        <f t="shared" si="37"/>
        <v>373.70005828377879</v>
      </c>
      <c r="AJ115" s="179">
        <f t="shared" si="39"/>
        <v>-4.0113036481956937E-2</v>
      </c>
      <c r="AK115" s="213">
        <f t="shared" si="40"/>
        <v>0.71920874462630136</v>
      </c>
      <c r="AL115" s="214">
        <f t="shared" ca="1" si="41"/>
        <v>0.91222264126722774</v>
      </c>
      <c r="AM115" s="176">
        <f>DANE!AE115</f>
        <v>2</v>
      </c>
      <c r="AN115" s="188">
        <f t="shared" si="6"/>
        <v>1624</v>
      </c>
      <c r="AO115" s="177">
        <f t="shared" ca="1" si="22"/>
        <v>13.571428571428571</v>
      </c>
      <c r="AP115" s="209">
        <f t="shared" si="49"/>
        <v>94.19712042737298</v>
      </c>
      <c r="AQ115" s="179">
        <f t="shared" si="51"/>
        <v>-0.12426344159685106</v>
      </c>
      <c r="AR115" s="213">
        <f t="shared" si="52"/>
        <v>0.13015590882204253</v>
      </c>
      <c r="AS115" s="217">
        <f t="shared" ca="1" si="53"/>
        <v>0.81744079771584555</v>
      </c>
      <c r="AT115" s="176">
        <f>DANE!AI115</f>
        <v>40</v>
      </c>
      <c r="AU115" s="188">
        <f t="shared" si="7"/>
        <v>4799</v>
      </c>
      <c r="AV115" s="177">
        <f t="shared" ca="1" si="23"/>
        <v>49.857142857142854</v>
      </c>
      <c r="AW115" s="209">
        <f t="shared" si="33"/>
        <v>348.28074085699899</v>
      </c>
      <c r="AX115" s="179">
        <f t="shared" si="34"/>
        <v>-3.1641261545834222E-2</v>
      </c>
      <c r="AY115" s="213">
        <f t="shared" si="35"/>
        <v>0.77851116917916041</v>
      </c>
      <c r="AZ115" s="214">
        <f t="shared" ca="1" si="36"/>
        <v>0.91106824466787228</v>
      </c>
      <c r="BA115" s="176">
        <f>DANE!AM115</f>
        <v>5</v>
      </c>
      <c r="BB115" s="188">
        <f t="shared" si="8"/>
        <v>857</v>
      </c>
      <c r="BC115" s="177">
        <f t="shared" ca="1" si="24"/>
        <v>6.5714285714285712</v>
      </c>
      <c r="BD115" s="209">
        <f t="shared" si="77"/>
        <v>50.994123309718816</v>
      </c>
      <c r="BE115" s="179">
        <f t="shared" si="80"/>
        <v>-4.9677536913687592E-2</v>
      </c>
      <c r="BF115" s="213">
        <f t="shared" si="81"/>
        <v>0.65225724160418685</v>
      </c>
      <c r="BG115" s="217">
        <f t="shared" ca="1" si="82"/>
        <v>0.7737131536166858</v>
      </c>
      <c r="BH115" s="176">
        <f>DANE!AQ115</f>
        <v>8</v>
      </c>
      <c r="BI115" s="188">
        <f t="shared" si="9"/>
        <v>566</v>
      </c>
      <c r="BJ115" s="177">
        <f t="shared" ca="1" si="25"/>
        <v>11.428571428571429</v>
      </c>
      <c r="BK115" s="209">
        <f t="shared" si="61"/>
        <v>70.648837487379296</v>
      </c>
      <c r="BL115" s="179">
        <f t="shared" si="63"/>
        <v>-3.3403510002036244E-2</v>
      </c>
      <c r="BM115" s="213">
        <f t="shared" si="64"/>
        <v>0.76617542998574628</v>
      </c>
      <c r="BN115" s="214">
        <f t="shared" ca="1" si="65"/>
        <v>1.1147761561686409</v>
      </c>
      <c r="BO115" s="176">
        <f>DANE!AU115</f>
        <v>10</v>
      </c>
      <c r="BP115" s="188">
        <f t="shared" si="10"/>
        <v>736</v>
      </c>
      <c r="BQ115" s="177">
        <f t="shared" ca="1" si="26"/>
        <v>15.428571428571429</v>
      </c>
      <c r="BR115" s="209">
        <f t="shared" si="78"/>
        <v>97.963221617543553</v>
      </c>
      <c r="BS115" s="179">
        <f t="shared" si="83"/>
        <v>-4.5413820366108935E-2</v>
      </c>
      <c r="BT115" s="213">
        <f t="shared" si="84"/>
        <v>0.68210325743723743</v>
      </c>
      <c r="BU115" s="217">
        <f t="shared" ca="1" si="85"/>
        <v>1.2172637341501786</v>
      </c>
      <c r="BV115" s="176">
        <f>DANE!AY115</f>
        <v>19</v>
      </c>
      <c r="BW115" s="188">
        <f t="shared" si="11"/>
        <v>636</v>
      </c>
      <c r="BX115" s="177">
        <f t="shared" ca="1" si="27"/>
        <v>6.5714285714285712</v>
      </c>
      <c r="BY115" s="209">
        <f t="shared" si="69"/>
        <v>41.019516133911992</v>
      </c>
      <c r="BZ115" s="179">
        <f t="shared" si="71"/>
        <v>0.59674649723524154</v>
      </c>
      <c r="CA115" s="213">
        <f t="shared" si="72"/>
        <v>5.1772254806466913</v>
      </c>
      <c r="CB115" s="214">
        <f t="shared" ca="1" si="73"/>
        <v>2.208575779999399</v>
      </c>
      <c r="CC115" s="176">
        <f>DANE!BC115</f>
        <v>129</v>
      </c>
      <c r="CD115" s="188">
        <f t="shared" si="12"/>
        <v>12087</v>
      </c>
      <c r="CE115" s="177">
        <f t="shared" ca="1" si="28"/>
        <v>119.71428571428571</v>
      </c>
      <c r="CF115" s="209">
        <f t="shared" si="45"/>
        <v>1005.017545957819</v>
      </c>
      <c r="CG115" s="179">
        <f t="shared" si="46"/>
        <v>-1.6636579032097313E-2</v>
      </c>
      <c r="CH115" s="213">
        <f t="shared" si="47"/>
        <v>0.88354394677531878</v>
      </c>
      <c r="CI115" s="217">
        <f t="shared" ca="1" si="48"/>
        <v>0.73963705031911808</v>
      </c>
      <c r="CJ115" s="176">
        <f>DANE!BG115</f>
        <v>2</v>
      </c>
      <c r="CK115" s="188">
        <f t="shared" si="13"/>
        <v>720</v>
      </c>
      <c r="CL115" s="177">
        <f t="shared" ca="1" si="29"/>
        <v>12.142857142857142</v>
      </c>
      <c r="CM115" s="209">
        <f t="shared" si="79"/>
        <v>74.510293870766802</v>
      </c>
      <c r="CN115" s="179">
        <f t="shared" si="86"/>
        <v>-0.11921517945066373</v>
      </c>
      <c r="CO115" s="213">
        <f t="shared" si="87"/>
        <v>0.16549374384535387</v>
      </c>
      <c r="CP115" s="214">
        <f t="shared" ca="1" si="88"/>
        <v>1.024628671565186</v>
      </c>
      <c r="CQ115" s="176">
        <f>DANE!BK115</f>
        <v>2</v>
      </c>
      <c r="CR115" s="188">
        <f t="shared" si="14"/>
        <v>213</v>
      </c>
      <c r="CS115" s="177">
        <f t="shared" ca="1" si="30"/>
        <v>3</v>
      </c>
      <c r="CT115" s="209">
        <f t="shared" si="89"/>
        <v>15.222867935631333</v>
      </c>
      <c r="CU115" s="179">
        <f t="shared" si="90"/>
        <v>-1.3211613412938663E-2</v>
      </c>
      <c r="CV115" s="213">
        <f t="shared" si="91"/>
        <v>0.90751870610942931</v>
      </c>
      <c r="CW115" s="217">
        <f t="shared" ca="1" si="92"/>
        <v>1.593930574503819</v>
      </c>
      <c r="CX115" s="176">
        <f>DANE!BO115</f>
        <v>27</v>
      </c>
      <c r="CY115" s="188">
        <f t="shared" si="15"/>
        <v>2501</v>
      </c>
      <c r="CZ115" s="177">
        <f t="shared" ca="1" si="31"/>
        <v>13.285714285714286</v>
      </c>
      <c r="DA115" s="209">
        <f t="shared" si="54"/>
        <v>106.00065643201982</v>
      </c>
      <c r="DB115" s="179">
        <f t="shared" si="58"/>
        <v>0.15008798175421537</v>
      </c>
      <c r="DC115" s="213">
        <f t="shared" si="59"/>
        <v>2.0506158722795078</v>
      </c>
      <c r="DD115" s="214">
        <f t="shared" ca="1" si="60"/>
        <v>0.9758967368616932</v>
      </c>
      <c r="DE115" s="176">
        <f>DANE!BS115</f>
        <v>2</v>
      </c>
      <c r="DF115" s="188">
        <f t="shared" si="16"/>
        <v>599</v>
      </c>
      <c r="DG115" s="177">
        <f t="shared" ca="1" si="32"/>
        <v>1.5714285714285714</v>
      </c>
      <c r="DH115" s="209">
        <f t="shared" si="70"/>
        <v>15.261811954495903</v>
      </c>
      <c r="DI115" s="179">
        <f t="shared" si="74"/>
        <v>-1.3592324432044278E-2</v>
      </c>
      <c r="DJ115" s="157">
        <f t="shared" si="75"/>
        <v>0.90485372897569005</v>
      </c>
      <c r="DK115" s="225">
        <f t="shared" ca="1" si="76"/>
        <v>0.53423240191189025</v>
      </c>
      <c r="DL115" s="89"/>
      <c r="DM115" s="89"/>
      <c r="DN115" s="89"/>
      <c r="DO115" s="89"/>
      <c r="DP115" s="89"/>
      <c r="DQ115" s="89"/>
      <c r="DR115" s="89"/>
      <c r="DS115" s="89"/>
      <c r="DT115" s="89"/>
      <c r="DU115" s="89"/>
      <c r="DV115" s="89"/>
      <c r="DW115" s="89"/>
      <c r="DX115" s="89"/>
      <c r="DY115" s="89"/>
      <c r="DZ115" s="89"/>
      <c r="EA115" s="89"/>
      <c r="EB115" s="89"/>
      <c r="EC115" s="89"/>
      <c r="ED115" s="89"/>
      <c r="EE115" s="89"/>
      <c r="EF115" s="89"/>
      <c r="EG115" s="89"/>
      <c r="EH115" s="89"/>
    </row>
    <row r="116" spans="1:138" x14ac:dyDescent="0.25">
      <c r="A116" s="32">
        <v>44006</v>
      </c>
      <c r="B116" s="33" t="str">
        <f t="shared" ca="1" si="0"/>
        <v/>
      </c>
      <c r="C116" s="51">
        <f t="shared" si="93"/>
        <v>113</v>
      </c>
      <c r="D116" s="176">
        <f>DANE!K116</f>
        <v>11</v>
      </c>
      <c r="E116" s="188">
        <f t="shared" si="1"/>
        <v>2878</v>
      </c>
      <c r="F116" s="178">
        <f t="shared" ca="1" si="17"/>
        <v>9.1428571428571423</v>
      </c>
      <c r="G116" s="209">
        <f t="shared" si="38"/>
        <v>73.91413890927258</v>
      </c>
      <c r="H116" s="179">
        <f t="shared" si="42"/>
        <v>7.006967055705424E-3</v>
      </c>
      <c r="I116" s="213">
        <f t="shared" si="43"/>
        <v>1.049048769389938</v>
      </c>
      <c r="J116" s="214">
        <f t="shared" ca="1" si="44"/>
        <v>0.74813523477574839</v>
      </c>
      <c r="K116" s="176">
        <f>DANE!O116</f>
        <v>1</v>
      </c>
      <c r="L116" s="188">
        <f t="shared" si="2"/>
        <v>653</v>
      </c>
      <c r="M116" s="177">
        <f t="shared" ca="1" si="18"/>
        <v>3.2857142857142856</v>
      </c>
      <c r="N116" s="209">
        <f t="shared" si="62"/>
        <v>17.552940424688938</v>
      </c>
      <c r="O116" s="179">
        <f t="shared" si="66"/>
        <v>-9.1075233712806292E-2</v>
      </c>
      <c r="P116" s="213">
        <f t="shared" si="67"/>
        <v>0.3624733640103559</v>
      </c>
      <c r="Q116" s="217">
        <f t="shared" ca="1" si="68"/>
        <v>1.0696995430451808</v>
      </c>
      <c r="R116" s="176">
        <f>DANE!S116</f>
        <v>4</v>
      </c>
      <c r="S116" s="188">
        <f t="shared" si="3"/>
        <v>614</v>
      </c>
      <c r="T116" s="177">
        <f t="shared" ca="1" si="19"/>
        <v>7.1428571428571432</v>
      </c>
      <c r="U116" s="209">
        <f t="shared" si="50"/>
        <v>43.918520218596662</v>
      </c>
      <c r="V116" s="179">
        <f t="shared" si="55"/>
        <v>-5.6967901227034073E-2</v>
      </c>
      <c r="W116" s="213">
        <f t="shared" si="56"/>
        <v>0.60122469141076151</v>
      </c>
      <c r="X116" s="214">
        <f t="shared" ca="1" si="57"/>
        <v>1.1045540414464996</v>
      </c>
      <c r="Y116" s="176">
        <f>DANE!W116</f>
        <v>0</v>
      </c>
      <c r="Z116" s="188">
        <f t="shared" si="4"/>
        <v>145</v>
      </c>
      <c r="AA116" s="177">
        <f t="shared" ca="1" si="20"/>
        <v>0.7142857142857143</v>
      </c>
      <c r="AB116" s="209">
        <f t="shared" si="94"/>
        <v>7.8429816761738937</v>
      </c>
      <c r="AC116" s="179">
        <f t="shared" si="95"/>
        <v>-0.14285714285714277</v>
      </c>
      <c r="AD116" s="213">
        <f t="shared" si="96"/>
        <v>5.5511151231257827E-16</v>
      </c>
      <c r="AE116" s="217">
        <f t="shared" ca="1" si="97"/>
        <v>0.45755013431600638</v>
      </c>
      <c r="AF116" s="176">
        <f>DANE!AA116</f>
        <v>39</v>
      </c>
      <c r="AG116" s="188">
        <f t="shared" si="5"/>
        <v>2954</v>
      </c>
      <c r="AH116" s="177">
        <f t="shared" ca="1" si="21"/>
        <v>50.285714285714285</v>
      </c>
      <c r="AI116" s="209">
        <f t="shared" si="37"/>
        <v>359.3143356718104</v>
      </c>
      <c r="AJ116" s="179">
        <f t="shared" si="39"/>
        <v>-3.8495371603726701E-2</v>
      </c>
      <c r="AK116" s="213">
        <f t="shared" si="40"/>
        <v>0.73053239877391307</v>
      </c>
      <c r="AL116" s="214">
        <f t="shared" ca="1" si="41"/>
        <v>0.86026809908969859</v>
      </c>
      <c r="AM116" s="176">
        <f>DANE!AE116</f>
        <v>5</v>
      </c>
      <c r="AN116" s="188">
        <f t="shared" si="6"/>
        <v>1629</v>
      </c>
      <c r="AO116" s="177">
        <f t="shared" ca="1" si="22"/>
        <v>11</v>
      </c>
      <c r="AP116" s="209">
        <f t="shared" si="49"/>
        <v>85.740388937748278</v>
      </c>
      <c r="AQ116" s="179">
        <f t="shared" si="51"/>
        <v>-8.9776964001197196E-2</v>
      </c>
      <c r="AR116" s="213">
        <f t="shared" si="52"/>
        <v>0.3715612519916196</v>
      </c>
      <c r="AS116" s="217">
        <f t="shared" ca="1" si="53"/>
        <v>0.67069801021740594</v>
      </c>
      <c r="AT116" s="176">
        <f>DANE!AI116</f>
        <v>33</v>
      </c>
      <c r="AU116" s="188">
        <f t="shared" si="7"/>
        <v>4832</v>
      </c>
      <c r="AV116" s="177">
        <f t="shared" ca="1" si="23"/>
        <v>46.428571428571431</v>
      </c>
      <c r="AW116" s="209">
        <f t="shared" si="33"/>
        <v>331.52634930599913</v>
      </c>
      <c r="AX116" s="179">
        <f t="shared" si="34"/>
        <v>-4.8105994921720525E-2</v>
      </c>
      <c r="AY116" s="213">
        <f t="shared" si="35"/>
        <v>0.66325803554795626</v>
      </c>
      <c r="AZ116" s="214">
        <f t="shared" ca="1" si="36"/>
        <v>0.85711394603065549</v>
      </c>
      <c r="BA116" s="176">
        <f>DANE!AM116</f>
        <v>9</v>
      </c>
      <c r="BB116" s="188">
        <f t="shared" si="8"/>
        <v>866</v>
      </c>
      <c r="BC116" s="177">
        <f t="shared" ca="1" si="24"/>
        <v>6.8571428571428568</v>
      </c>
      <c r="BD116" s="209">
        <f t="shared" si="77"/>
        <v>52.709248551187557</v>
      </c>
      <c r="BE116" s="179">
        <f t="shared" si="80"/>
        <v>3.3633782290004778E-2</v>
      </c>
      <c r="BF116" s="213">
        <f t="shared" si="81"/>
        <v>1.2354364760300334</v>
      </c>
      <c r="BG116" s="217">
        <f t="shared" ca="1" si="82"/>
        <v>0.84321464241872879</v>
      </c>
      <c r="BH116" s="176">
        <f>DANE!AQ116</f>
        <v>12</v>
      </c>
      <c r="BI116" s="188">
        <f t="shared" si="9"/>
        <v>578</v>
      </c>
      <c r="BJ116" s="177">
        <f t="shared" ca="1" si="25"/>
        <v>10.428571428571429</v>
      </c>
      <c r="BK116" s="209">
        <f t="shared" si="61"/>
        <v>72.556146417753695</v>
      </c>
      <c r="BL116" s="179">
        <f t="shared" si="63"/>
        <v>2.6997032056120102E-2</v>
      </c>
      <c r="BM116" s="213">
        <f t="shared" si="64"/>
        <v>1.1889792243928408</v>
      </c>
      <c r="BN116" s="214">
        <f t="shared" ca="1" si="65"/>
        <v>0.98739976023572795</v>
      </c>
      <c r="BO116" s="176">
        <f>DANE!AU116</f>
        <v>13</v>
      </c>
      <c r="BP116" s="188">
        <f t="shared" si="10"/>
        <v>749</v>
      </c>
      <c r="BQ116" s="177">
        <f t="shared" ca="1" si="26"/>
        <v>14.714285714285714</v>
      </c>
      <c r="BR116" s="209">
        <f t="shared" si="78"/>
        <v>96.96847567218019</v>
      </c>
      <c r="BS116" s="179">
        <f t="shared" si="83"/>
        <v>-1.0154279625949138E-2</v>
      </c>
      <c r="BT116" s="213">
        <f t="shared" si="84"/>
        <v>0.92892004261835603</v>
      </c>
      <c r="BU116" s="217">
        <f t="shared" ca="1" si="85"/>
        <v>1.1239642235022096</v>
      </c>
      <c r="BV116" s="176">
        <f>DANE!AY116</f>
        <v>7</v>
      </c>
      <c r="BW116" s="188">
        <f t="shared" si="11"/>
        <v>643</v>
      </c>
      <c r="BX116" s="177">
        <f t="shared" ca="1" si="27"/>
        <v>6.7142857142857144</v>
      </c>
      <c r="BY116" s="209">
        <f t="shared" si="69"/>
        <v>42.159585257638852</v>
      </c>
      <c r="BZ116" s="179">
        <f t="shared" si="71"/>
        <v>2.7793334275445853E-2</v>
      </c>
      <c r="CA116" s="213">
        <f t="shared" si="72"/>
        <v>1.194553339928121</v>
      </c>
      <c r="CB116" s="214">
        <f t="shared" ca="1" si="73"/>
        <v>2.0003108937596132</v>
      </c>
      <c r="CC116" s="176">
        <f>DANE!BC116</f>
        <v>108</v>
      </c>
      <c r="CD116" s="188">
        <f t="shared" si="12"/>
        <v>12195</v>
      </c>
      <c r="CE116" s="177">
        <f t="shared" ca="1" si="28"/>
        <v>112.57142857142857</v>
      </c>
      <c r="CF116" s="209">
        <f t="shared" si="45"/>
        <v>969.44361082098783</v>
      </c>
      <c r="CG116" s="179">
        <f t="shared" si="46"/>
        <v>-3.5396332412214682E-2</v>
      </c>
      <c r="CH116" s="213">
        <f t="shared" si="47"/>
        <v>0.75222567311449717</v>
      </c>
      <c r="CI116" s="217">
        <f t="shared" ca="1" si="48"/>
        <v>0.72675075145488444</v>
      </c>
      <c r="CJ116" s="176">
        <f>DANE!BG116</f>
        <v>21</v>
      </c>
      <c r="CK116" s="188">
        <f t="shared" si="13"/>
        <v>741</v>
      </c>
      <c r="CL116" s="177">
        <f t="shared" ca="1" si="29"/>
        <v>12</v>
      </c>
      <c r="CM116" s="209">
        <f t="shared" si="79"/>
        <v>84.865966174942969</v>
      </c>
      <c r="CN116" s="179">
        <f t="shared" si="86"/>
        <v>0.13898310912767836</v>
      </c>
      <c r="CO116" s="213">
        <f t="shared" si="87"/>
        <v>1.9728817638937486</v>
      </c>
      <c r="CP116" s="214">
        <f t="shared" ca="1" si="88"/>
        <v>1.0112143505919042</v>
      </c>
      <c r="CQ116" s="176">
        <f>DANE!BK116</f>
        <v>10</v>
      </c>
      <c r="CR116" s="188">
        <f t="shared" si="14"/>
        <v>223</v>
      </c>
      <c r="CS116" s="177">
        <f t="shared" ca="1" si="30"/>
        <v>3.8571428571428572</v>
      </c>
      <c r="CT116" s="209">
        <f t="shared" si="89"/>
        <v>23.048172516255427</v>
      </c>
      <c r="CU116" s="179">
        <f t="shared" si="90"/>
        <v>0.51404929831308799</v>
      </c>
      <c r="CV116" s="213">
        <f t="shared" si="91"/>
        <v>4.5983450881916159</v>
      </c>
      <c r="CW116" s="217">
        <f t="shared" ca="1" si="92"/>
        <v>1.8243374658961149</v>
      </c>
      <c r="CX116" s="176">
        <f>DANE!BO116</f>
        <v>17</v>
      </c>
      <c r="CY116" s="188">
        <f t="shared" si="15"/>
        <v>2518</v>
      </c>
      <c r="CZ116" s="177">
        <f t="shared" ca="1" si="31"/>
        <v>14</v>
      </c>
      <c r="DA116" s="209">
        <f t="shared" si="54"/>
        <v>107.85770551315986</v>
      </c>
      <c r="DB116" s="179">
        <f t="shared" si="58"/>
        <v>1.7519222461900442E-2</v>
      </c>
      <c r="DC116" s="213">
        <f t="shared" si="59"/>
        <v>1.1226345572333032</v>
      </c>
      <c r="DD116" s="214">
        <f t="shared" ca="1" si="60"/>
        <v>1.0280016982413247</v>
      </c>
      <c r="DE116" s="176">
        <f>DANE!BS116</f>
        <v>4</v>
      </c>
      <c r="DF116" s="188">
        <f t="shared" si="16"/>
        <v>603</v>
      </c>
      <c r="DG116" s="177">
        <f t="shared" ca="1" si="32"/>
        <v>1.7142857142857142</v>
      </c>
      <c r="DH116" s="209">
        <f t="shared" si="70"/>
        <v>17.081553103853629</v>
      </c>
      <c r="DI116" s="179">
        <f t="shared" si="74"/>
        <v>0.11923493454010603</v>
      </c>
      <c r="DJ116" s="157">
        <f t="shared" si="75"/>
        <v>1.8346445417807422</v>
      </c>
      <c r="DK116" s="225">
        <f t="shared" ca="1" si="76"/>
        <v>0.67703554259372256</v>
      </c>
      <c r="DL116" s="89"/>
      <c r="DM116" s="89"/>
      <c r="DN116" s="89"/>
      <c r="DO116" s="89"/>
      <c r="DP116" s="89"/>
      <c r="DQ116" s="89"/>
      <c r="DR116" s="89"/>
      <c r="DS116" s="89"/>
      <c r="DT116" s="89"/>
      <c r="DU116" s="89"/>
      <c r="DV116" s="89"/>
      <c r="DW116" s="89"/>
      <c r="DX116" s="89"/>
      <c r="DY116" s="89"/>
      <c r="DZ116" s="89"/>
      <c r="EA116" s="89"/>
      <c r="EB116" s="89"/>
      <c r="EC116" s="89"/>
      <c r="ED116" s="89"/>
      <c r="EE116" s="89"/>
      <c r="EF116" s="89"/>
      <c r="EG116" s="89"/>
      <c r="EH116" s="89"/>
    </row>
    <row r="117" spans="1:138" x14ac:dyDescent="0.25">
      <c r="A117" s="32">
        <v>44007</v>
      </c>
      <c r="B117" s="33" t="str">
        <f t="shared" ca="1" si="0"/>
        <v/>
      </c>
      <c r="C117" s="51">
        <f t="shared" si="93"/>
        <v>114</v>
      </c>
      <c r="D117" s="176">
        <f>DANE!K117</f>
        <v>6</v>
      </c>
      <c r="E117" s="188">
        <f t="shared" si="1"/>
        <v>2884</v>
      </c>
      <c r="F117" s="178">
        <f t="shared" ca="1" si="17"/>
        <v>8.4285714285714288</v>
      </c>
      <c r="G117" s="209">
        <f t="shared" si="38"/>
        <v>69.354976207947928</v>
      </c>
      <c r="H117" s="179">
        <f t="shared" si="42"/>
        <v>-6.168187532998104E-2</v>
      </c>
      <c r="I117" s="213">
        <f t="shared" si="43"/>
        <v>0.56822687269013272</v>
      </c>
      <c r="J117" s="214">
        <f t="shared" ca="1" si="44"/>
        <v>0.71514169775271219</v>
      </c>
      <c r="K117" s="176">
        <f>DANE!O117</f>
        <v>8</v>
      </c>
      <c r="L117" s="188">
        <f t="shared" si="2"/>
        <v>661</v>
      </c>
      <c r="M117" s="177">
        <f t="shared" ca="1" si="18"/>
        <v>2.8571428571428572</v>
      </c>
      <c r="N117" s="209">
        <f t="shared" si="62"/>
        <v>23.045377506876235</v>
      </c>
      <c r="O117" s="179">
        <f t="shared" si="66"/>
        <v>0.31290695172997668</v>
      </c>
      <c r="P117" s="213">
        <f t="shared" si="67"/>
        <v>3.1903486621098369</v>
      </c>
      <c r="Q117" s="217">
        <f t="shared" ca="1" si="68"/>
        <v>0.92380199378664529</v>
      </c>
      <c r="R117" s="176">
        <f>DANE!S117</f>
        <v>5</v>
      </c>
      <c r="S117" s="188">
        <f t="shared" si="3"/>
        <v>619</v>
      </c>
      <c r="T117" s="177">
        <f t="shared" ca="1" si="19"/>
        <v>7</v>
      </c>
      <c r="U117" s="209">
        <f t="shared" si="50"/>
        <v>42.644445901654287</v>
      </c>
      <c r="V117" s="179">
        <f t="shared" si="55"/>
        <v>-2.9009955494877691E-2</v>
      </c>
      <c r="W117" s="213">
        <f t="shared" si="56"/>
        <v>0.79693031153585614</v>
      </c>
      <c r="X117" s="214">
        <f t="shared" ca="1" si="57"/>
        <v>1.0713689901150272</v>
      </c>
      <c r="Y117" s="176">
        <f>DANE!W117</f>
        <v>1</v>
      </c>
      <c r="Z117" s="188">
        <f t="shared" si="4"/>
        <v>146</v>
      </c>
      <c r="AA117" s="177">
        <f t="shared" ca="1" si="20"/>
        <v>0.8571428571428571</v>
      </c>
      <c r="AB117" s="209">
        <f t="shared" si="94"/>
        <v>7.722555722434767</v>
      </c>
      <c r="AC117" s="179">
        <f t="shared" si="95"/>
        <v>-1.5354613680275124E-2</v>
      </c>
      <c r="AD117" s="213">
        <f t="shared" si="96"/>
        <v>0.89251770423807408</v>
      </c>
      <c r="AE117" s="217">
        <f t="shared" ca="1" si="97"/>
        <v>0.5850526634928741</v>
      </c>
      <c r="AF117" s="176">
        <f>DANE!AA117</f>
        <v>34</v>
      </c>
      <c r="AG117" s="188">
        <f t="shared" si="5"/>
        <v>2988</v>
      </c>
      <c r="AH117" s="177">
        <f t="shared" ca="1" si="21"/>
        <v>44.428571428571431</v>
      </c>
      <c r="AI117" s="209">
        <f t="shared" si="37"/>
        <v>341.9837162901232</v>
      </c>
      <c r="AJ117" s="179">
        <f t="shared" si="39"/>
        <v>-4.8232474079510694E-2</v>
      </c>
      <c r="AK117" s="213">
        <f t="shared" si="40"/>
        <v>0.6623726814434252</v>
      </c>
      <c r="AL117" s="214">
        <f t="shared" ca="1" si="41"/>
        <v>0.77414233891993278</v>
      </c>
      <c r="AM117" s="176">
        <f>DANE!AE117</f>
        <v>11</v>
      </c>
      <c r="AN117" s="188">
        <f t="shared" si="6"/>
        <v>1640</v>
      </c>
      <c r="AO117" s="177">
        <f t="shared" ca="1" si="22"/>
        <v>10.857142857142858</v>
      </c>
      <c r="AP117" s="209">
        <f t="shared" si="49"/>
        <v>84.49176194664139</v>
      </c>
      <c r="AQ117" s="179">
        <f t="shared" si="51"/>
        <v>-1.4562879951634616E-2</v>
      </c>
      <c r="AR117" s="213">
        <f t="shared" si="52"/>
        <v>0.89805984033855768</v>
      </c>
      <c r="AS117" s="217">
        <f t="shared" ca="1" si="53"/>
        <v>0.70035572462820517</v>
      </c>
      <c r="AT117" s="176">
        <f>DANE!AI117</f>
        <v>25</v>
      </c>
      <c r="AU117" s="188">
        <f t="shared" si="7"/>
        <v>4857</v>
      </c>
      <c r="AV117" s="177">
        <f t="shared" ca="1" si="23"/>
        <v>43.714285714285715</v>
      </c>
      <c r="AW117" s="209">
        <f t="shared" si="33"/>
        <v>309.16544226228501</v>
      </c>
      <c r="AX117" s="179">
        <f t="shared" si="34"/>
        <v>-6.7448355433959745E-2</v>
      </c>
      <c r="AY117" s="213">
        <f t="shared" si="35"/>
        <v>0.52786151196228182</v>
      </c>
      <c r="AZ117" s="214">
        <f t="shared" ca="1" si="36"/>
        <v>0.81839998864220065</v>
      </c>
      <c r="BA117" s="176">
        <f>DANE!AM117</f>
        <v>23</v>
      </c>
      <c r="BB117" s="188">
        <f t="shared" si="8"/>
        <v>889</v>
      </c>
      <c r="BC117" s="177">
        <f t="shared" ca="1" si="24"/>
        <v>9.2857142857142865</v>
      </c>
      <c r="BD117" s="209">
        <f t="shared" si="77"/>
        <v>68.179355901017914</v>
      </c>
      <c r="BE117" s="179">
        <f t="shared" si="80"/>
        <v>0.29349891669972994</v>
      </c>
      <c r="BF117" s="213">
        <f t="shared" si="81"/>
        <v>3.0544924168981096</v>
      </c>
      <c r="BG117" s="217">
        <f t="shared" ca="1" si="82"/>
        <v>1.184453847398329</v>
      </c>
      <c r="BH117" s="176">
        <f>DANE!AQ117</f>
        <v>12</v>
      </c>
      <c r="BI117" s="188">
        <f t="shared" si="9"/>
        <v>590</v>
      </c>
      <c r="BJ117" s="177">
        <f t="shared" ca="1" si="25"/>
        <v>10.428571428571429</v>
      </c>
      <c r="BK117" s="209">
        <f t="shared" si="61"/>
        <v>74.190982643788885</v>
      </c>
      <c r="BL117" s="179">
        <f t="shared" si="63"/>
        <v>2.2532015642373806E-2</v>
      </c>
      <c r="BM117" s="213">
        <f t="shared" si="64"/>
        <v>1.1577241094966166</v>
      </c>
      <c r="BN117" s="214">
        <f t="shared" ca="1" si="65"/>
        <v>0.99016860323840683</v>
      </c>
      <c r="BO117" s="176">
        <f>DANE!AU117</f>
        <v>14</v>
      </c>
      <c r="BP117" s="188">
        <f t="shared" si="10"/>
        <v>763</v>
      </c>
      <c r="BQ117" s="177">
        <f t="shared" ca="1" si="26"/>
        <v>14.857142857142858</v>
      </c>
      <c r="BR117" s="209">
        <f t="shared" si="78"/>
        <v>97.115836290440171</v>
      </c>
      <c r="BS117" s="179">
        <f t="shared" si="83"/>
        <v>1.5196755155578671E-3</v>
      </c>
      <c r="BT117" s="213">
        <f t="shared" si="84"/>
        <v>1.010637728608905</v>
      </c>
      <c r="BU117" s="217">
        <f t="shared" ca="1" si="85"/>
        <v>1.1176466271134717</v>
      </c>
      <c r="BV117" s="176">
        <f>DANE!AY117</f>
        <v>3</v>
      </c>
      <c r="BW117" s="188">
        <f t="shared" si="11"/>
        <v>646</v>
      </c>
      <c r="BX117" s="177">
        <f t="shared" ca="1" si="27"/>
        <v>6.7142857142857144</v>
      </c>
      <c r="BY117" s="209">
        <f t="shared" si="69"/>
        <v>39.136787363690445</v>
      </c>
      <c r="BZ117" s="179">
        <f t="shared" si="71"/>
        <v>-7.1698947593435106E-2</v>
      </c>
      <c r="CA117" s="213">
        <f t="shared" si="72"/>
        <v>0.49810736684595425</v>
      </c>
      <c r="CB117" s="214">
        <f t="shared" ca="1" si="73"/>
        <v>1.9181933949324588</v>
      </c>
      <c r="CC117" s="176">
        <f>DANE!BC117</f>
        <v>125</v>
      </c>
      <c r="CD117" s="188">
        <f t="shared" si="12"/>
        <v>12320</v>
      </c>
      <c r="CE117" s="177">
        <f t="shared" ca="1" si="28"/>
        <v>117.85714285714286</v>
      </c>
      <c r="CF117" s="209">
        <f t="shared" si="45"/>
        <v>955.9516664179896</v>
      </c>
      <c r="CG117" s="179">
        <f t="shared" si="46"/>
        <v>-1.3917203901702311E-2</v>
      </c>
      <c r="CH117" s="213">
        <f t="shared" si="47"/>
        <v>0.90257957268808386</v>
      </c>
      <c r="CI117" s="217">
        <f t="shared" ca="1" si="48"/>
        <v>0.78711835510021932</v>
      </c>
      <c r="CJ117" s="176">
        <f>DANE!BG117</f>
        <v>8</v>
      </c>
      <c r="CK117" s="188">
        <f t="shared" si="13"/>
        <v>749</v>
      </c>
      <c r="CL117" s="177">
        <f t="shared" ca="1" si="29"/>
        <v>10.571428571428571</v>
      </c>
      <c r="CM117" s="209">
        <f t="shared" si="79"/>
        <v>80.74225672137969</v>
      </c>
      <c r="CN117" s="179">
        <f t="shared" si="86"/>
        <v>-4.8590850248056469E-2</v>
      </c>
      <c r="CO117" s="213">
        <f t="shared" si="87"/>
        <v>0.65986404826360467</v>
      </c>
      <c r="CP117" s="214">
        <f t="shared" ca="1" si="88"/>
        <v>0.89585511209563795</v>
      </c>
      <c r="CQ117" s="176">
        <f>DANE!BK117</f>
        <v>4</v>
      </c>
      <c r="CR117" s="188">
        <f t="shared" si="14"/>
        <v>227</v>
      </c>
      <c r="CS117" s="177">
        <f t="shared" ca="1" si="30"/>
        <v>3.5714285714285716</v>
      </c>
      <c r="CT117" s="209">
        <f t="shared" si="89"/>
        <v>23.755576442504655</v>
      </c>
      <c r="CU117" s="179">
        <f t="shared" si="90"/>
        <v>3.0692408508757454E-2</v>
      </c>
      <c r="CV117" s="213">
        <f t="shared" si="91"/>
        <v>1.2148468595613022</v>
      </c>
      <c r="CW117" s="217">
        <f t="shared" ca="1" si="92"/>
        <v>1.4995010795447217</v>
      </c>
      <c r="CX117" s="176">
        <f>DANE!BO117</f>
        <v>9</v>
      </c>
      <c r="CY117" s="188">
        <f t="shared" si="15"/>
        <v>2527</v>
      </c>
      <c r="CZ117" s="177">
        <f t="shared" ca="1" si="31"/>
        <v>14</v>
      </c>
      <c r="DA117" s="209">
        <f t="shared" si="54"/>
        <v>101.44946186842274</v>
      </c>
      <c r="DB117" s="179">
        <f t="shared" si="58"/>
        <v>-5.9413869544584684E-2</v>
      </c>
      <c r="DC117" s="213">
        <f t="shared" si="59"/>
        <v>0.58410291318790719</v>
      </c>
      <c r="DD117" s="214">
        <f t="shared" ca="1" si="60"/>
        <v>1.0273323204070823</v>
      </c>
      <c r="DE117" s="176">
        <f>DANE!BS117</f>
        <v>1</v>
      </c>
      <c r="DF117" s="188">
        <f t="shared" si="16"/>
        <v>604</v>
      </c>
      <c r="DG117" s="177">
        <f t="shared" ca="1" si="32"/>
        <v>1.8571428571428572</v>
      </c>
      <c r="DH117" s="209">
        <f t="shared" si="70"/>
        <v>15.64133123187454</v>
      </c>
      <c r="DI117" s="179">
        <f t="shared" si="74"/>
        <v>-8.4314456842579058E-2</v>
      </c>
      <c r="DJ117" s="157">
        <f t="shared" si="75"/>
        <v>0.40979880210194652</v>
      </c>
      <c r="DK117" s="225">
        <f t="shared" ca="1" si="76"/>
        <v>0.73557822860828637</v>
      </c>
      <c r="DL117" s="89"/>
      <c r="DM117" s="89"/>
      <c r="DN117" s="89"/>
      <c r="DO117" s="89"/>
      <c r="DP117" s="89"/>
      <c r="DQ117" s="89"/>
      <c r="DR117" s="89"/>
      <c r="DS117" s="89"/>
      <c r="DT117" s="89"/>
      <c r="DU117" s="89"/>
      <c r="DV117" s="89"/>
      <c r="DW117" s="89"/>
      <c r="DX117" s="89"/>
      <c r="DY117" s="89"/>
      <c r="DZ117" s="89"/>
      <c r="EA117" s="89"/>
      <c r="EB117" s="89"/>
      <c r="EC117" s="89"/>
      <c r="ED117" s="89"/>
      <c r="EE117" s="89"/>
      <c r="EF117" s="89"/>
      <c r="EG117" s="89"/>
      <c r="EH117" s="89"/>
    </row>
    <row r="118" spans="1:138" x14ac:dyDescent="0.25">
      <c r="A118" s="32">
        <v>44008</v>
      </c>
      <c r="B118" s="33" t="str">
        <f t="shared" ca="1" si="0"/>
        <v/>
      </c>
      <c r="C118" s="51">
        <f t="shared" si="93"/>
        <v>115</v>
      </c>
      <c r="D118" s="176">
        <f>DANE!K118</f>
        <v>18</v>
      </c>
      <c r="E118" s="188">
        <f t="shared" si="1"/>
        <v>2902</v>
      </c>
      <c r="F118" s="178">
        <f t="shared" ca="1" si="17"/>
        <v>9.1428571428571423</v>
      </c>
      <c r="G118" s="209">
        <f t="shared" si="38"/>
        <v>77.447122463955367</v>
      </c>
      <c r="H118" s="179">
        <f t="shared" si="42"/>
        <v>0.11667722632828323</v>
      </c>
      <c r="I118" s="213">
        <f t="shared" si="43"/>
        <v>1.8167405842979827</v>
      </c>
      <c r="J118" s="214">
        <f t="shared" ca="1" si="44"/>
        <v>0.8357641457338929</v>
      </c>
      <c r="K118" s="176">
        <f>DANE!O118</f>
        <v>0</v>
      </c>
      <c r="L118" s="188">
        <f t="shared" si="2"/>
        <v>661</v>
      </c>
      <c r="M118" s="177">
        <f t="shared" ca="1" si="18"/>
        <v>2.4285714285714284</v>
      </c>
      <c r="N118" s="209">
        <f t="shared" si="62"/>
        <v>19.753180720179632</v>
      </c>
      <c r="O118" s="179">
        <f t="shared" si="66"/>
        <v>-0.14285714285714279</v>
      </c>
      <c r="P118" s="213">
        <f t="shared" si="67"/>
        <v>4.4408920985006262E-16</v>
      </c>
      <c r="Q118" s="217">
        <f t="shared" ca="1" si="68"/>
        <v>0.81131979406801058</v>
      </c>
      <c r="R118" s="176">
        <f>DANE!S118</f>
        <v>3</v>
      </c>
      <c r="S118" s="188">
        <f t="shared" si="3"/>
        <v>622</v>
      </c>
      <c r="T118" s="177">
        <f t="shared" ca="1" si="19"/>
        <v>5.2857142857142856</v>
      </c>
      <c r="U118" s="209">
        <f t="shared" si="50"/>
        <v>39.552382201417963</v>
      </c>
      <c r="V118" s="179">
        <f t="shared" si="55"/>
        <v>-7.2508005083878335E-2</v>
      </c>
      <c r="W118" s="213">
        <f t="shared" si="56"/>
        <v>0.49244396441285165</v>
      </c>
      <c r="X118" s="214">
        <f t="shared" ca="1" si="57"/>
        <v>0.77566583455979943</v>
      </c>
      <c r="Y118" s="176">
        <f>DANE!W118</f>
        <v>1</v>
      </c>
      <c r="Z118" s="188">
        <f t="shared" si="4"/>
        <v>147</v>
      </c>
      <c r="AA118" s="177">
        <f t="shared" ca="1" si="20"/>
        <v>1</v>
      </c>
      <c r="AB118" s="209">
        <f t="shared" si="94"/>
        <v>7.6193334763726579</v>
      </c>
      <c r="AC118" s="179">
        <f t="shared" si="95"/>
        <v>-1.3366332309165282E-2</v>
      </c>
      <c r="AD118" s="213">
        <f t="shared" si="96"/>
        <v>0.906435673835843</v>
      </c>
      <c r="AE118" s="217">
        <f t="shared" ca="1" si="97"/>
        <v>0.71454347404085161</v>
      </c>
      <c r="AF118" s="176">
        <f>DANE!AA118</f>
        <v>20</v>
      </c>
      <c r="AG118" s="188">
        <f t="shared" si="5"/>
        <v>3008</v>
      </c>
      <c r="AH118" s="177">
        <f t="shared" ca="1" si="21"/>
        <v>38.285714285714285</v>
      </c>
      <c r="AI118" s="209">
        <f t="shared" si="37"/>
        <v>313.12889967724846</v>
      </c>
      <c r="AJ118" s="179">
        <f t="shared" si="39"/>
        <v>-8.4374826163932465E-2</v>
      </c>
      <c r="AK118" s="213">
        <f t="shared" si="40"/>
        <v>0.40937621685247272</v>
      </c>
      <c r="AL118" s="214">
        <f t="shared" ca="1" si="41"/>
        <v>0.68633759281908724</v>
      </c>
      <c r="AM118" s="176">
        <f>DANE!AE118</f>
        <v>17</v>
      </c>
      <c r="AN118" s="188">
        <f t="shared" si="6"/>
        <v>1657</v>
      </c>
      <c r="AO118" s="177">
        <f t="shared" ca="1" si="22"/>
        <v>11.428571428571429</v>
      </c>
      <c r="AP118" s="209">
        <f t="shared" si="49"/>
        <v>89.421510239978346</v>
      </c>
      <c r="AQ118" s="179">
        <f t="shared" si="51"/>
        <v>5.8345904733886518E-2</v>
      </c>
      <c r="AR118" s="213">
        <f t="shared" si="52"/>
        <v>1.4084213331372055</v>
      </c>
      <c r="AS118" s="217">
        <f t="shared" ca="1" si="53"/>
        <v>0.7897586431947049</v>
      </c>
      <c r="AT118" s="176">
        <f>DANE!AI118</f>
        <v>45</v>
      </c>
      <c r="AU118" s="188">
        <f t="shared" si="7"/>
        <v>4902</v>
      </c>
      <c r="AV118" s="177">
        <f t="shared" ca="1" si="23"/>
        <v>38.142857142857146</v>
      </c>
      <c r="AW118" s="209">
        <f t="shared" si="33"/>
        <v>309.99895051053005</v>
      </c>
      <c r="AX118" s="179">
        <f t="shared" si="34"/>
        <v>2.6959942293224349E-3</v>
      </c>
      <c r="AY118" s="213">
        <f t="shared" si="35"/>
        <v>1.0188719596052571</v>
      </c>
      <c r="AZ118" s="214">
        <f t="shared" ca="1" si="36"/>
        <v>0.73963683757640919</v>
      </c>
      <c r="BA118" s="176">
        <f>DANE!AM118</f>
        <v>3</v>
      </c>
      <c r="BB118" s="188">
        <f t="shared" si="8"/>
        <v>892</v>
      </c>
      <c r="BC118" s="177">
        <f t="shared" ca="1" si="24"/>
        <v>8.2857142857142865</v>
      </c>
      <c r="BD118" s="209">
        <f t="shared" si="77"/>
        <v>61.439447915158219</v>
      </c>
      <c r="BE118" s="179">
        <f t="shared" si="80"/>
        <v>-9.8855553807880261E-2</v>
      </c>
      <c r="BF118" s="213">
        <f t="shared" si="81"/>
        <v>0.30801112334483816</v>
      </c>
      <c r="BG118" s="217">
        <f t="shared" ca="1" si="82"/>
        <v>1.0619797481337792</v>
      </c>
      <c r="BH118" s="176">
        <f>DANE!AQ118</f>
        <v>14</v>
      </c>
      <c r="BI118" s="188">
        <f t="shared" si="9"/>
        <v>604</v>
      </c>
      <c r="BJ118" s="177">
        <f t="shared" ca="1" si="25"/>
        <v>10.571428571428571</v>
      </c>
      <c r="BK118" s="209">
        <f t="shared" si="61"/>
        <v>77.592270837533334</v>
      </c>
      <c r="BL118" s="179">
        <f t="shared" si="63"/>
        <v>4.584503496974774E-2</v>
      </c>
      <c r="BM118" s="213">
        <f t="shared" si="64"/>
        <v>1.3209152447882342</v>
      </c>
      <c r="BN118" s="214">
        <f t="shared" ca="1" si="65"/>
        <v>1.0061130141821495</v>
      </c>
      <c r="BO118" s="176">
        <f>DANE!AU118</f>
        <v>15</v>
      </c>
      <c r="BP118" s="188">
        <f t="shared" si="10"/>
        <v>778</v>
      </c>
      <c r="BQ118" s="177">
        <f t="shared" ca="1" si="26"/>
        <v>15</v>
      </c>
      <c r="BR118" s="209">
        <f t="shared" si="78"/>
        <v>98.242145391805863</v>
      </c>
      <c r="BS118" s="179">
        <f t="shared" si="83"/>
        <v>1.1597584332150397E-2</v>
      </c>
      <c r="BT118" s="213">
        <f t="shared" si="84"/>
        <v>1.0811830903250528</v>
      </c>
      <c r="BU118" s="217">
        <f t="shared" ca="1" si="85"/>
        <v>1.1110770527174776</v>
      </c>
      <c r="BV118" s="176">
        <f>DANE!AY118</f>
        <v>3</v>
      </c>
      <c r="BW118" s="188">
        <f t="shared" si="11"/>
        <v>649</v>
      </c>
      <c r="BX118" s="177">
        <f t="shared" ca="1" si="27"/>
        <v>6.8571428571428568</v>
      </c>
      <c r="BY118" s="209">
        <f t="shared" si="69"/>
        <v>36.545817740306099</v>
      </c>
      <c r="BZ118" s="179">
        <f t="shared" si="71"/>
        <v>-6.6202920523521169E-2</v>
      </c>
      <c r="CA118" s="213">
        <f t="shared" si="72"/>
        <v>0.53657955633535181</v>
      </c>
      <c r="CB118" s="214">
        <f t="shared" ca="1" si="73"/>
        <v>1.8937174510237764</v>
      </c>
      <c r="CC118" s="176">
        <f>DANE!BC118</f>
        <v>96</v>
      </c>
      <c r="CD118" s="188">
        <f t="shared" si="12"/>
        <v>12416</v>
      </c>
      <c r="CE118" s="177">
        <f t="shared" ca="1" si="28"/>
        <v>118.57142857142857</v>
      </c>
      <c r="CF118" s="209">
        <f t="shared" si="45"/>
        <v>915.38714264399118</v>
      </c>
      <c r="CG118" s="179">
        <f t="shared" si="46"/>
        <v>-4.2433655590555341E-2</v>
      </c>
      <c r="CH118" s="213">
        <f t="shared" si="47"/>
        <v>0.70296441086611261</v>
      </c>
      <c r="CI118" s="217">
        <f t="shared" ca="1" si="48"/>
        <v>0.81094157790380716</v>
      </c>
      <c r="CJ118" s="176">
        <f>DANE!BG118</f>
        <v>2</v>
      </c>
      <c r="CK118" s="188">
        <f t="shared" si="13"/>
        <v>751</v>
      </c>
      <c r="CL118" s="177">
        <f t="shared" ca="1" si="29"/>
        <v>9.2857142857142865</v>
      </c>
      <c r="CM118" s="209">
        <f t="shared" si="79"/>
        <v>71.20764861832545</v>
      </c>
      <c r="CN118" s="179">
        <f t="shared" si="86"/>
        <v>-0.11808696573784984</v>
      </c>
      <c r="CO118" s="213">
        <f t="shared" si="87"/>
        <v>0.17339123983505111</v>
      </c>
      <c r="CP118" s="214">
        <f t="shared" ca="1" si="88"/>
        <v>0.8005387806135511</v>
      </c>
      <c r="CQ118" s="176">
        <f>DANE!BK118</f>
        <v>9</v>
      </c>
      <c r="CR118" s="188">
        <f t="shared" si="14"/>
        <v>236</v>
      </c>
      <c r="CS118" s="177">
        <f t="shared" ca="1" si="30"/>
        <v>4.1428571428571432</v>
      </c>
      <c r="CT118" s="209">
        <f t="shared" si="89"/>
        <v>29.361922665003991</v>
      </c>
      <c r="CU118" s="179">
        <f t="shared" si="90"/>
        <v>0.23600127052560949</v>
      </c>
      <c r="CV118" s="213">
        <f t="shared" si="91"/>
        <v>2.6520088936792665</v>
      </c>
      <c r="CW118" s="217">
        <f t="shared" ca="1" si="92"/>
        <v>1.5719686465365938</v>
      </c>
      <c r="CX118" s="176">
        <f>DANE!BO118</f>
        <v>35</v>
      </c>
      <c r="CY118" s="188">
        <f t="shared" si="15"/>
        <v>2562</v>
      </c>
      <c r="CZ118" s="177">
        <f t="shared" ca="1" si="31"/>
        <v>17.428571428571427</v>
      </c>
      <c r="DA118" s="209">
        <f t="shared" si="54"/>
        <v>121.95668160150521</v>
      </c>
      <c r="DB118" s="179">
        <f t="shared" si="58"/>
        <v>0.20214222289005124</v>
      </c>
      <c r="DC118" s="213">
        <f t="shared" si="59"/>
        <v>2.4149955602303588</v>
      </c>
      <c r="DD118" s="214">
        <f t="shared" ca="1" si="60"/>
        <v>1.2631112348567866</v>
      </c>
      <c r="DE118" s="176">
        <f>DANE!BS118</f>
        <v>4</v>
      </c>
      <c r="DF118" s="188">
        <f t="shared" si="16"/>
        <v>608</v>
      </c>
      <c r="DG118" s="177">
        <f t="shared" ca="1" si="32"/>
        <v>1.8571428571428572</v>
      </c>
      <c r="DH118" s="209">
        <f t="shared" si="70"/>
        <v>17.40685534160675</v>
      </c>
      <c r="DI118" s="179">
        <f t="shared" si="74"/>
        <v>0.11287556561262212</v>
      </c>
      <c r="DJ118" s="157">
        <f t="shared" si="75"/>
        <v>1.7901289592883549</v>
      </c>
      <c r="DK118" s="225">
        <f t="shared" ca="1" si="76"/>
        <v>0.80127147974866908</v>
      </c>
      <c r="DL118" s="89"/>
      <c r="DM118" s="89"/>
      <c r="DN118" s="89"/>
      <c r="DO118" s="89"/>
      <c r="DP118" s="89"/>
      <c r="DQ118" s="89"/>
      <c r="DR118" s="89"/>
      <c r="DS118" s="89"/>
      <c r="DT118" s="89"/>
      <c r="DU118" s="89"/>
      <c r="DV118" s="89"/>
      <c r="DW118" s="89"/>
      <c r="DX118" s="89"/>
      <c r="DY118" s="89"/>
      <c r="DZ118" s="89"/>
      <c r="EA118" s="89"/>
      <c r="EB118" s="89"/>
      <c r="EC118" s="89"/>
      <c r="ED118" s="89"/>
      <c r="EE118" s="89"/>
      <c r="EF118" s="89"/>
      <c r="EG118" s="89"/>
      <c r="EH118" s="89"/>
    </row>
    <row r="119" spans="1:138" x14ac:dyDescent="0.25">
      <c r="A119" s="61">
        <v>44009</v>
      </c>
      <c r="B119" s="62" t="str">
        <f t="shared" ca="1" si="0"/>
        <v/>
      </c>
      <c r="C119" s="12">
        <f t="shared" si="93"/>
        <v>116</v>
      </c>
      <c r="D119" s="176">
        <f>DANE!K119</f>
        <v>6</v>
      </c>
      <c r="E119" s="198">
        <f t="shared" si="1"/>
        <v>2908</v>
      </c>
      <c r="F119" s="178">
        <f t="shared" ca="1" si="17"/>
        <v>8.1428571428571423</v>
      </c>
      <c r="G119" s="211">
        <f t="shared" si="38"/>
        <v>72.383247826247455</v>
      </c>
      <c r="H119" s="200">
        <f t="shared" si="42"/>
        <v>-6.5384929440918699E-2</v>
      </c>
      <c r="I119" s="213">
        <f t="shared" si="43"/>
        <v>0.54230549391356908</v>
      </c>
      <c r="J119" s="214">
        <f t="shared" ca="1" si="44"/>
        <v>0.77377422892996794</v>
      </c>
      <c r="K119" s="176">
        <f>DANE!O119</f>
        <v>5</v>
      </c>
      <c r="L119" s="198">
        <f t="shared" si="2"/>
        <v>666</v>
      </c>
      <c r="M119" s="177">
        <f t="shared" ca="1" si="18"/>
        <v>2.4285714285714284</v>
      </c>
      <c r="N119" s="211">
        <f t="shared" si="62"/>
        <v>21.931297760153971</v>
      </c>
      <c r="O119" s="200">
        <f t="shared" si="66"/>
        <v>0.1102666487402304</v>
      </c>
      <c r="P119" s="213">
        <f t="shared" si="67"/>
        <v>1.7718665411816128</v>
      </c>
      <c r="Q119" s="217">
        <f t="shared" ca="1" si="68"/>
        <v>0.87110046655169227</v>
      </c>
      <c r="R119" s="176">
        <f>DANE!S119</f>
        <v>10</v>
      </c>
      <c r="S119" s="198">
        <f t="shared" si="3"/>
        <v>632</v>
      </c>
      <c r="T119" s="177">
        <f t="shared" ca="1" si="19"/>
        <v>6</v>
      </c>
      <c r="U119" s="211">
        <f t="shared" si="50"/>
        <v>43.902041886929688</v>
      </c>
      <c r="V119" s="200">
        <f t="shared" si="55"/>
        <v>0.10997212919720897</v>
      </c>
      <c r="W119" s="213">
        <f t="shared" si="56"/>
        <v>1.7698049043804629</v>
      </c>
      <c r="X119" s="214">
        <f t="shared" ca="1" si="57"/>
        <v>0.92874206960899408</v>
      </c>
      <c r="Y119" s="176">
        <f>DANE!W119</f>
        <v>2</v>
      </c>
      <c r="Z119" s="198">
        <f t="shared" si="4"/>
        <v>149</v>
      </c>
      <c r="AA119" s="177">
        <f t="shared" ca="1" si="20"/>
        <v>0.8571428571428571</v>
      </c>
      <c r="AB119" s="211">
        <f t="shared" si="94"/>
        <v>8.530857265462279</v>
      </c>
      <c r="AC119" s="200">
        <f t="shared" si="95"/>
        <v>0.11963300883420198</v>
      </c>
      <c r="AD119" s="213">
        <f t="shared" si="96"/>
        <v>1.8374310618394141</v>
      </c>
      <c r="AE119" s="217">
        <f t="shared" ca="1" si="97"/>
        <v>0.69139278293381301</v>
      </c>
      <c r="AF119" s="176">
        <f>DANE!AA119</f>
        <v>49</v>
      </c>
      <c r="AG119" s="198">
        <f t="shared" si="5"/>
        <v>3057</v>
      </c>
      <c r="AH119" s="177">
        <f t="shared" ca="1" si="21"/>
        <v>39</v>
      </c>
      <c r="AI119" s="211">
        <f t="shared" si="37"/>
        <v>317.39619972335583</v>
      </c>
      <c r="AJ119" s="200">
        <f t="shared" si="39"/>
        <v>1.3627934216566457E-2</v>
      </c>
      <c r="AK119" s="213">
        <f t="shared" si="40"/>
        <v>1.0953955395159651</v>
      </c>
      <c r="AL119" s="214">
        <f t="shared" ca="1" si="41"/>
        <v>0.74100316038954384</v>
      </c>
      <c r="AM119" s="176">
        <f>DANE!AE119</f>
        <v>10</v>
      </c>
      <c r="AN119" s="198">
        <f t="shared" si="6"/>
        <v>1667</v>
      </c>
      <c r="AO119" s="177">
        <f t="shared" ca="1" si="22"/>
        <v>9.5714285714285712</v>
      </c>
      <c r="AP119" s="211">
        <f t="shared" si="49"/>
        <v>86.647008777124299</v>
      </c>
      <c r="AQ119" s="200">
        <f t="shared" si="51"/>
        <v>-3.1027226619279688E-2</v>
      </c>
      <c r="AR119" s="213">
        <f t="shared" si="52"/>
        <v>0.7828094136650422</v>
      </c>
      <c r="AS119" s="217">
        <f t="shared" ca="1" si="53"/>
        <v>0.69744834571725123</v>
      </c>
      <c r="AT119" s="176">
        <f>DANE!AI119</f>
        <v>41</v>
      </c>
      <c r="AU119" s="198">
        <f t="shared" si="7"/>
        <v>4943</v>
      </c>
      <c r="AV119" s="177">
        <f t="shared" ca="1" si="23"/>
        <v>36.571428571428569</v>
      </c>
      <c r="AW119" s="211">
        <f t="shared" si="33"/>
        <v>306.7133861518829</v>
      </c>
      <c r="AX119" s="200">
        <f t="shared" si="34"/>
        <v>-1.0598630586446278E-2</v>
      </c>
      <c r="AY119" s="213">
        <f t="shared" si="35"/>
        <v>0.92580958589487605</v>
      </c>
      <c r="AZ119" s="214">
        <f t="shared" ca="1" si="36"/>
        <v>0.74349247425224385</v>
      </c>
      <c r="BA119" s="176">
        <f>DANE!AM119</f>
        <v>21</v>
      </c>
      <c r="BB119" s="198">
        <f t="shared" si="8"/>
        <v>913</v>
      </c>
      <c r="BC119" s="177">
        <f t="shared" ca="1" si="24"/>
        <v>10.714285714285714</v>
      </c>
      <c r="BD119" s="211">
        <f t="shared" si="77"/>
        <v>73.662383927278483</v>
      </c>
      <c r="BE119" s="200">
        <f t="shared" si="80"/>
        <v>0.19894280347373769</v>
      </c>
      <c r="BF119" s="213">
        <f t="shared" si="81"/>
        <v>2.3925996243161638</v>
      </c>
      <c r="BG119" s="217">
        <f t="shared" ca="1" si="82"/>
        <v>1.3387258952529457</v>
      </c>
      <c r="BH119" s="176">
        <f>DANE!AQ119</f>
        <v>18</v>
      </c>
      <c r="BI119" s="198">
        <f t="shared" si="9"/>
        <v>622</v>
      </c>
      <c r="BJ119" s="177">
        <f t="shared" ca="1" si="25"/>
        <v>12.142857142857142</v>
      </c>
      <c r="BK119" s="211">
        <f t="shared" si="61"/>
        <v>84.507660717885713</v>
      </c>
      <c r="BL119" s="200">
        <f t="shared" si="63"/>
        <v>8.9124726028861512E-2</v>
      </c>
      <c r="BM119" s="213">
        <f t="shared" si="64"/>
        <v>1.6238730822020306</v>
      </c>
      <c r="BN119" s="214">
        <f t="shared" ca="1" si="65"/>
        <v>1.1477721754525008</v>
      </c>
      <c r="BO119" s="176">
        <f>DANE!AU119</f>
        <v>9</v>
      </c>
      <c r="BP119" s="198">
        <f t="shared" si="10"/>
        <v>787</v>
      </c>
      <c r="BQ119" s="177">
        <f t="shared" ca="1" si="26"/>
        <v>14.142857142857142</v>
      </c>
      <c r="BR119" s="211">
        <f t="shared" si="78"/>
        <v>93.207553192976462</v>
      </c>
      <c r="BS119" s="200">
        <f t="shared" si="83"/>
        <v>-5.1246765619283027E-2</v>
      </c>
      <c r="BT119" s="213">
        <f t="shared" si="84"/>
        <v>0.64127264066501877</v>
      </c>
      <c r="BU119" s="217">
        <f t="shared" ca="1" si="85"/>
        <v>1.033239774986461</v>
      </c>
      <c r="BV119" s="176">
        <f>DANE!AY119</f>
        <v>4</v>
      </c>
      <c r="BW119" s="198">
        <f t="shared" si="11"/>
        <v>653</v>
      </c>
      <c r="BX119" s="177">
        <f t="shared" ca="1" si="27"/>
        <v>7.1428571428571432</v>
      </c>
      <c r="BY119" s="211">
        <f t="shared" si="69"/>
        <v>35.324986634548083</v>
      </c>
      <c r="BZ119" s="200">
        <f t="shared" si="71"/>
        <v>-3.3405494287560324E-2</v>
      </c>
      <c r="CA119" s="213">
        <f t="shared" si="72"/>
        <v>0.7661615399870777</v>
      </c>
      <c r="CB119" s="214">
        <f t="shared" ca="1" si="73"/>
        <v>1.8976353281374372</v>
      </c>
      <c r="CC119" s="176">
        <f>DANE!BC119</f>
        <v>81</v>
      </c>
      <c r="CD119" s="198">
        <f t="shared" si="12"/>
        <v>12497</v>
      </c>
      <c r="CE119" s="177">
        <f t="shared" ca="1" si="28"/>
        <v>113.85714285714286</v>
      </c>
      <c r="CF119" s="211">
        <f t="shared" si="45"/>
        <v>865.61755083770674</v>
      </c>
      <c r="CG119" s="200">
        <f t="shared" si="46"/>
        <v>-5.4369992200819707E-2</v>
      </c>
      <c r="CH119" s="213">
        <f t="shared" si="47"/>
        <v>0.61941005459426202</v>
      </c>
      <c r="CI119" s="217">
        <f t="shared" ca="1" si="48"/>
        <v>0.79665873899308315</v>
      </c>
      <c r="CJ119" s="176">
        <f>DANE!BG119</f>
        <v>14</v>
      </c>
      <c r="CK119" s="198">
        <f t="shared" si="13"/>
        <v>765</v>
      </c>
      <c r="CL119" s="177">
        <f t="shared" ca="1" si="29"/>
        <v>9.7142857142857135</v>
      </c>
      <c r="CM119" s="211">
        <f t="shared" si="79"/>
        <v>75.0351273871361</v>
      </c>
      <c r="CN119" s="200">
        <f t="shared" si="86"/>
        <v>5.3750950116693501E-2</v>
      </c>
      <c r="CO119" s="213">
        <f t="shared" si="87"/>
        <v>1.3762566508168546</v>
      </c>
      <c r="CP119" s="214">
        <f t="shared" ca="1" si="88"/>
        <v>0.87426220309866909</v>
      </c>
      <c r="CQ119" s="176">
        <f>DANE!BK119</f>
        <v>0</v>
      </c>
      <c r="CR119" s="198">
        <f t="shared" si="14"/>
        <v>236</v>
      </c>
      <c r="CS119" s="177">
        <f t="shared" ca="1" si="30"/>
        <v>3.8571428571428572</v>
      </c>
      <c r="CT119" s="211">
        <f t="shared" si="89"/>
        <v>25.167362284289137</v>
      </c>
      <c r="CU119" s="200">
        <f t="shared" si="90"/>
        <v>-0.14285714285714279</v>
      </c>
      <c r="CV119" s="213">
        <f t="shared" si="91"/>
        <v>4.4408920985006262E-16</v>
      </c>
      <c r="CW119" s="217">
        <f t="shared" ca="1" si="92"/>
        <v>1.4666375004046517</v>
      </c>
      <c r="CX119" s="176">
        <f>DANE!BO119</f>
        <v>48</v>
      </c>
      <c r="CY119" s="198">
        <f t="shared" si="15"/>
        <v>2610</v>
      </c>
      <c r="CZ119" s="177">
        <f t="shared" ca="1" si="31"/>
        <v>23.142857142857142</v>
      </c>
      <c r="DA119" s="211">
        <f t="shared" si="54"/>
        <v>152.5342985155759</v>
      </c>
      <c r="DB119" s="200">
        <f t="shared" si="58"/>
        <v>0.25072522892991944</v>
      </c>
      <c r="DC119" s="213">
        <f t="shared" si="59"/>
        <v>2.755076602509436</v>
      </c>
      <c r="DD119" s="214">
        <f t="shared" ca="1" si="60"/>
        <v>1.5744956850181988</v>
      </c>
      <c r="DE119" s="176">
        <f>DANE!BS119</f>
        <v>1</v>
      </c>
      <c r="DF119" s="198">
        <f t="shared" si="16"/>
        <v>609</v>
      </c>
      <c r="DG119" s="177">
        <f t="shared" ca="1" si="32"/>
        <v>1.8571428571428572</v>
      </c>
      <c r="DH119" s="211">
        <f t="shared" si="70"/>
        <v>15.920161721377216</v>
      </c>
      <c r="DI119" s="200">
        <f t="shared" si="74"/>
        <v>-8.5408512396605241E-2</v>
      </c>
      <c r="DJ119" s="157">
        <f t="shared" si="75"/>
        <v>0.40214041322376326</v>
      </c>
      <c r="DK119" s="225">
        <f t="shared" ca="1" si="76"/>
        <v>0.81335087156207619</v>
      </c>
      <c r="DL119" s="88"/>
      <c r="DM119" s="88"/>
      <c r="DN119" s="88"/>
      <c r="DO119" s="88"/>
      <c r="DP119" s="88"/>
      <c r="DQ119" s="88"/>
      <c r="DR119" s="88"/>
      <c r="DS119" s="88"/>
      <c r="DT119" s="88"/>
      <c r="DU119" s="88"/>
      <c r="DV119" s="88"/>
      <c r="DW119" s="88"/>
      <c r="DX119" s="88"/>
      <c r="DY119" s="88"/>
      <c r="DZ119" s="88"/>
      <c r="EA119" s="88"/>
      <c r="EB119" s="88"/>
      <c r="EC119" s="88"/>
      <c r="ED119" s="88"/>
      <c r="EE119" s="88"/>
      <c r="EF119" s="88"/>
      <c r="EG119" s="88"/>
      <c r="EH119" s="88"/>
    </row>
    <row r="120" spans="1:138" x14ac:dyDescent="0.25">
      <c r="A120" s="61">
        <v>44010</v>
      </c>
      <c r="B120" s="62" t="str">
        <f t="shared" ca="1" si="0"/>
        <v/>
      </c>
      <c r="C120" s="12">
        <f t="shared" si="93"/>
        <v>117</v>
      </c>
      <c r="D120" s="176">
        <f>DANE!K120</f>
        <v>2</v>
      </c>
      <c r="E120" s="198">
        <f t="shared" si="1"/>
        <v>2910</v>
      </c>
      <c r="F120" s="178">
        <f t="shared" ca="1" si="17"/>
        <v>8.1428571428571423</v>
      </c>
      <c r="G120" s="211">
        <f t="shared" si="38"/>
        <v>64.04278385106926</v>
      </c>
      <c r="H120" s="200">
        <f t="shared" si="42"/>
        <v>-0.11522644017299531</v>
      </c>
      <c r="I120" s="213">
        <f t="shared" si="43"/>
        <v>0.19341491878903272</v>
      </c>
      <c r="J120" s="214">
        <f t="shared" ca="1" si="44"/>
        <v>0.77987612871465106</v>
      </c>
      <c r="K120" s="176">
        <f>DANE!O120</f>
        <v>3</v>
      </c>
      <c r="L120" s="198">
        <f t="shared" si="2"/>
        <v>669</v>
      </c>
      <c r="M120" s="177">
        <f t="shared" ca="1" si="18"/>
        <v>2.4285714285714284</v>
      </c>
      <c r="N120" s="211">
        <f t="shared" si="62"/>
        <v>21.79825522298912</v>
      </c>
      <c r="O120" s="200">
        <f t="shared" si="66"/>
        <v>-6.0663321714855461E-3</v>
      </c>
      <c r="P120" s="213">
        <f t="shared" si="67"/>
        <v>0.95753567479960122</v>
      </c>
      <c r="Q120" s="217">
        <f t="shared" ca="1" si="68"/>
        <v>0.89746060601448696</v>
      </c>
      <c r="R120" s="176">
        <f>DANE!S120</f>
        <v>10</v>
      </c>
      <c r="S120" s="198">
        <f t="shared" si="3"/>
        <v>642</v>
      </c>
      <c r="T120" s="177">
        <f t="shared" ca="1" si="19"/>
        <v>5.8571428571428568</v>
      </c>
      <c r="U120" s="211">
        <f t="shared" si="50"/>
        <v>47.63032161736831</v>
      </c>
      <c r="V120" s="200">
        <f t="shared" si="55"/>
        <v>8.492269539628379E-2</v>
      </c>
      <c r="W120" s="213">
        <f t="shared" si="56"/>
        <v>1.5944588677739866</v>
      </c>
      <c r="X120" s="214">
        <f t="shared" ca="1" si="57"/>
        <v>0.92717963274821691</v>
      </c>
      <c r="Y120" s="176">
        <f>DANE!W120</f>
        <v>0</v>
      </c>
      <c r="Z120" s="198">
        <f t="shared" si="4"/>
        <v>149</v>
      </c>
      <c r="AA120" s="177">
        <f t="shared" ca="1" si="20"/>
        <v>0.7142857142857143</v>
      </c>
      <c r="AB120" s="211">
        <f t="shared" si="94"/>
        <v>7.3121633703962399</v>
      </c>
      <c r="AC120" s="200">
        <f t="shared" si="95"/>
        <v>-0.14285714285714277</v>
      </c>
      <c r="AD120" s="213">
        <f t="shared" si="96"/>
        <v>5.5511151231257827E-16</v>
      </c>
      <c r="AE120" s="217">
        <f t="shared" ca="1" si="97"/>
        <v>0.60807551627081846</v>
      </c>
      <c r="AF120" s="176">
        <f>DANE!AA120</f>
        <v>26</v>
      </c>
      <c r="AG120" s="198">
        <f t="shared" si="5"/>
        <v>3083</v>
      </c>
      <c r="AH120" s="177">
        <f t="shared" ca="1" si="21"/>
        <v>36.571428571428569</v>
      </c>
      <c r="AI120" s="211">
        <f t="shared" si="37"/>
        <v>298.05388547716217</v>
      </c>
      <c r="AJ120" s="200">
        <f t="shared" si="39"/>
        <v>-6.0940598101213966E-2</v>
      </c>
      <c r="AK120" s="213">
        <f t="shared" si="40"/>
        <v>0.57341581329150215</v>
      </c>
      <c r="AL120" s="214">
        <f t="shared" ca="1" si="41"/>
        <v>0.71915606102059759</v>
      </c>
      <c r="AM120" s="176">
        <f>DANE!AE120</f>
        <v>18</v>
      </c>
      <c r="AN120" s="198">
        <f t="shared" si="6"/>
        <v>1685</v>
      </c>
      <c r="AO120" s="177">
        <f t="shared" ca="1" si="22"/>
        <v>9.8571428571428577</v>
      </c>
      <c r="AP120" s="211">
        <f t="shared" si="49"/>
        <v>92.268864666106552</v>
      </c>
      <c r="AQ120" s="200">
        <f t="shared" si="51"/>
        <v>6.4882284666547899E-2</v>
      </c>
      <c r="AR120" s="213">
        <f t="shared" si="52"/>
        <v>1.4541759926658353</v>
      </c>
      <c r="AS120" s="217">
        <f t="shared" ca="1" si="53"/>
        <v>0.77137749457579674</v>
      </c>
      <c r="AT120" s="176">
        <f>DANE!AI120</f>
        <v>32</v>
      </c>
      <c r="AU120" s="198">
        <f t="shared" si="7"/>
        <v>4975</v>
      </c>
      <c r="AV120" s="177">
        <f t="shared" ca="1" si="23"/>
        <v>35.571428571428569</v>
      </c>
      <c r="AW120" s="211">
        <f t="shared" si="33"/>
        <v>294.89718813018538</v>
      </c>
      <c r="AX120" s="200">
        <f t="shared" si="34"/>
        <v>-3.8525211338008562E-2</v>
      </c>
      <c r="AY120" s="213">
        <f t="shared" si="35"/>
        <v>0.73032352063394002</v>
      </c>
      <c r="AZ120" s="214">
        <f t="shared" ca="1" si="36"/>
        <v>0.75010985686999798</v>
      </c>
      <c r="BA120" s="176">
        <f>DANE!AM120</f>
        <v>19</v>
      </c>
      <c r="BB120" s="198">
        <f t="shared" si="8"/>
        <v>932</v>
      </c>
      <c r="BC120" s="177">
        <f t="shared" ca="1" si="24"/>
        <v>11.428571428571429</v>
      </c>
      <c r="BD120" s="211">
        <f t="shared" si="77"/>
        <v>82.139186223381557</v>
      </c>
      <c r="BE120" s="200">
        <f t="shared" si="80"/>
        <v>0.11507640459303631</v>
      </c>
      <c r="BF120" s="213">
        <f t="shared" si="81"/>
        <v>1.8055348321512543</v>
      </c>
      <c r="BG120" s="217">
        <f t="shared" ca="1" si="82"/>
        <v>1.3497616734777982</v>
      </c>
      <c r="BH120" s="176">
        <f>DANE!AQ120</f>
        <v>14</v>
      </c>
      <c r="BI120" s="198">
        <f t="shared" si="9"/>
        <v>636</v>
      </c>
      <c r="BJ120" s="177">
        <f t="shared" ca="1" si="25"/>
        <v>12.285714285714286</v>
      </c>
      <c r="BK120" s="211">
        <f t="shared" si="61"/>
        <v>86.435137758187764</v>
      </c>
      <c r="BL120" s="200">
        <f t="shared" si="63"/>
        <v>2.2808311387728524E-2</v>
      </c>
      <c r="BM120" s="213">
        <f t="shared" si="64"/>
        <v>1.1596581797140997</v>
      </c>
      <c r="BN120" s="214">
        <f t="shared" ca="1" si="65"/>
        <v>1.1363946029896237</v>
      </c>
      <c r="BO120" s="176">
        <f>DANE!AU120</f>
        <v>19</v>
      </c>
      <c r="BP120" s="198">
        <f t="shared" si="10"/>
        <v>806</v>
      </c>
      <c r="BQ120" s="177">
        <f t="shared" ca="1" si="26"/>
        <v>14.714285714285714</v>
      </c>
      <c r="BR120" s="211">
        <f t="shared" si="78"/>
        <v>98.892188451122692</v>
      </c>
      <c r="BS120" s="200">
        <f t="shared" si="83"/>
        <v>6.0988997816269125E-2</v>
      </c>
      <c r="BT120" s="213">
        <f t="shared" si="84"/>
        <v>1.426922984713884</v>
      </c>
      <c r="BU120" s="217">
        <f t="shared" ca="1" si="85"/>
        <v>1.0720272550062531</v>
      </c>
      <c r="BV120" s="176">
        <f>DANE!AY120</f>
        <v>4</v>
      </c>
      <c r="BW120" s="198">
        <f t="shared" si="11"/>
        <v>657</v>
      </c>
      <c r="BX120" s="177">
        <f t="shared" ca="1" si="27"/>
        <v>6</v>
      </c>
      <c r="BY120" s="211">
        <f t="shared" si="69"/>
        <v>34.278559972469786</v>
      </c>
      <c r="BZ120" s="200">
        <f t="shared" si="71"/>
        <v>-2.9622846652541515E-2</v>
      </c>
      <c r="CA120" s="213">
        <f t="shared" si="72"/>
        <v>0.79264007343220944</v>
      </c>
      <c r="CB120" s="214">
        <f t="shared" ca="1" si="73"/>
        <v>1.3531174675693287</v>
      </c>
      <c r="CC120" s="176">
        <f>DANE!BC120</f>
        <v>30</v>
      </c>
      <c r="CD120" s="198">
        <f t="shared" si="12"/>
        <v>12527</v>
      </c>
      <c r="CE120" s="177">
        <f t="shared" ca="1" si="28"/>
        <v>99.857142857142861</v>
      </c>
      <c r="CF120" s="211">
        <f t="shared" si="45"/>
        <v>771.95790071803435</v>
      </c>
      <c r="CG120" s="200">
        <f t="shared" si="46"/>
        <v>-0.10819980490117452</v>
      </c>
      <c r="CH120" s="213">
        <f t="shared" si="47"/>
        <v>0.24260136569177826</v>
      </c>
      <c r="CI120" s="217">
        <f t="shared" ca="1" si="48"/>
        <v>0.71110634554031849</v>
      </c>
      <c r="CJ120" s="176">
        <f>DANE!BG120</f>
        <v>10</v>
      </c>
      <c r="CK120" s="198">
        <f t="shared" si="13"/>
        <v>775</v>
      </c>
      <c r="CL120" s="177">
        <f t="shared" ca="1" si="29"/>
        <v>10.285714285714286</v>
      </c>
      <c r="CM120" s="211">
        <f t="shared" si="79"/>
        <v>74.315823474688088</v>
      </c>
      <c r="CN120" s="200">
        <f t="shared" si="86"/>
        <v>-9.5862289769541795E-3</v>
      </c>
      <c r="CO120" s="213">
        <f t="shared" si="87"/>
        <v>0.93289639716132078</v>
      </c>
      <c r="CP120" s="214">
        <f t="shared" ca="1" si="88"/>
        <v>0.93913911763198077</v>
      </c>
      <c r="CQ120" s="176">
        <f>DANE!BK120</f>
        <v>4</v>
      </c>
      <c r="CR120" s="198">
        <f t="shared" si="14"/>
        <v>240</v>
      </c>
      <c r="CS120" s="177">
        <f t="shared" ca="1" si="30"/>
        <v>4.4285714285714288</v>
      </c>
      <c r="CT120" s="211">
        <f t="shared" si="89"/>
        <v>25.572024815104974</v>
      </c>
      <c r="CU120" s="200">
        <f t="shared" si="90"/>
        <v>1.6078861433502324E-2</v>
      </c>
      <c r="CV120" s="213">
        <f t="shared" si="91"/>
        <v>1.1125520300345162</v>
      </c>
      <c r="CW120" s="217">
        <f t="shared" ca="1" si="92"/>
        <v>1.6255735046952968</v>
      </c>
      <c r="CX120" s="176">
        <f>DANE!BO120</f>
        <v>2</v>
      </c>
      <c r="CY120" s="198">
        <f t="shared" si="15"/>
        <v>2612</v>
      </c>
      <c r="CZ120" s="177">
        <f t="shared" ca="1" si="31"/>
        <v>22.428571428571427</v>
      </c>
      <c r="DA120" s="211">
        <f t="shared" si="54"/>
        <v>132.7436844419222</v>
      </c>
      <c r="DB120" s="200">
        <f t="shared" si="58"/>
        <v>-0.12974533771257224</v>
      </c>
      <c r="DC120" s="213">
        <f t="shared" si="59"/>
        <v>9.1782636011994323E-2</v>
      </c>
      <c r="DD120" s="214">
        <f t="shared" ca="1" si="60"/>
        <v>1.51103977049373</v>
      </c>
      <c r="DE120" s="176">
        <f>DANE!BS120</f>
        <v>0</v>
      </c>
      <c r="DF120" s="198">
        <f t="shared" si="16"/>
        <v>609</v>
      </c>
      <c r="DG120" s="177">
        <f t="shared" ca="1" si="32"/>
        <v>1.7142857142857142</v>
      </c>
      <c r="DH120" s="211">
        <f t="shared" si="70"/>
        <v>13.645852904037614</v>
      </c>
      <c r="DI120" s="200">
        <f t="shared" si="74"/>
        <v>-0.14285714285714282</v>
      </c>
      <c r="DJ120" s="157">
        <f t="shared" si="75"/>
        <v>2.2204460492503131E-16</v>
      </c>
      <c r="DK120" s="225">
        <f t="shared" ca="1" si="76"/>
        <v>0.7630809207672139</v>
      </c>
      <c r="DL120" s="88"/>
      <c r="DM120" s="88"/>
      <c r="DN120" s="88"/>
      <c r="DO120" s="88"/>
      <c r="DP120" s="88"/>
      <c r="DQ120" s="88"/>
      <c r="DR120" s="88"/>
      <c r="DS120" s="88"/>
      <c r="DT120" s="88"/>
      <c r="DU120" s="88"/>
      <c r="DV120" s="88"/>
      <c r="DW120" s="88"/>
      <c r="DX120" s="88"/>
      <c r="DY120" s="88"/>
      <c r="DZ120" s="88"/>
      <c r="EA120" s="88"/>
      <c r="EB120" s="88"/>
      <c r="EC120" s="88"/>
      <c r="ED120" s="88"/>
      <c r="EE120" s="88"/>
      <c r="EF120" s="88"/>
      <c r="EG120" s="88"/>
      <c r="EH120" s="88"/>
    </row>
    <row r="121" spans="1:138" x14ac:dyDescent="0.25">
      <c r="A121" s="32">
        <v>44011</v>
      </c>
      <c r="B121" s="33" t="str">
        <f t="shared" ca="1" si="0"/>
        <v/>
      </c>
      <c r="C121" s="51">
        <f t="shared" si="93"/>
        <v>118</v>
      </c>
      <c r="D121" s="176">
        <f>DANE!K121</f>
        <v>3</v>
      </c>
      <c r="E121" s="188">
        <f t="shared" si="1"/>
        <v>2913</v>
      </c>
      <c r="F121" s="178">
        <f t="shared" ca="1" si="17"/>
        <v>8</v>
      </c>
      <c r="G121" s="209">
        <f t="shared" si="38"/>
        <v>57.893814729487943</v>
      </c>
      <c r="H121" s="179">
        <f t="shared" si="42"/>
        <v>-9.6013457751628534E-2</v>
      </c>
      <c r="I121" s="213">
        <f t="shared" si="43"/>
        <v>0.32790579573860024</v>
      </c>
      <c r="J121" s="214">
        <f t="shared" ca="1" si="44"/>
        <v>0.77771674730854612</v>
      </c>
      <c r="K121" s="176">
        <f>DANE!O121</f>
        <v>0</v>
      </c>
      <c r="L121" s="188">
        <f t="shared" si="2"/>
        <v>669</v>
      </c>
      <c r="M121" s="177">
        <f t="shared" ca="1" si="18"/>
        <v>2.4285714285714284</v>
      </c>
      <c r="N121" s="209">
        <f t="shared" si="62"/>
        <v>18.684218762562104</v>
      </c>
      <c r="O121" s="179">
        <f t="shared" si="66"/>
        <v>-0.14285714285714282</v>
      </c>
      <c r="P121" s="213">
        <f t="shared" si="67"/>
        <v>2.2204460492503131E-16</v>
      </c>
      <c r="Q121" s="217">
        <f t="shared" ca="1" si="68"/>
        <v>0.89746060601448685</v>
      </c>
      <c r="R121" s="176">
        <f>DANE!S121</f>
        <v>9</v>
      </c>
      <c r="S121" s="188">
        <f t="shared" si="3"/>
        <v>651</v>
      </c>
      <c r="T121" s="177">
        <f t="shared" ca="1" si="19"/>
        <v>6.4285714285714288</v>
      </c>
      <c r="U121" s="209">
        <f t="shared" si="50"/>
        <v>49.82598995774427</v>
      </c>
      <c r="V121" s="179">
        <f t="shared" si="55"/>
        <v>4.6098121234925973E-2</v>
      </c>
      <c r="W121" s="213">
        <f t="shared" si="56"/>
        <v>1.3226868486444818</v>
      </c>
      <c r="X121" s="214">
        <f t="shared" ca="1" si="57"/>
        <v>1.0201865165143507</v>
      </c>
      <c r="Y121" s="176">
        <f>DANE!W121</f>
        <v>0</v>
      </c>
      <c r="Z121" s="188">
        <f t="shared" si="4"/>
        <v>149</v>
      </c>
      <c r="AA121" s="177">
        <f t="shared" ca="1" si="20"/>
        <v>0.5714285714285714</v>
      </c>
      <c r="AB121" s="209">
        <f t="shared" si="94"/>
        <v>6.2675686031967777</v>
      </c>
      <c r="AC121" s="179">
        <f t="shared" si="95"/>
        <v>-0.14285714285714277</v>
      </c>
      <c r="AD121" s="213">
        <f t="shared" si="96"/>
        <v>5.5511151231257827E-16</v>
      </c>
      <c r="AE121" s="217">
        <f t="shared" ca="1" si="97"/>
        <v>0.51948349141619043</v>
      </c>
      <c r="AF121" s="176">
        <f>DANE!AA121</f>
        <v>21</v>
      </c>
      <c r="AG121" s="188">
        <f t="shared" si="5"/>
        <v>3104</v>
      </c>
      <c r="AH121" s="177">
        <f t="shared" ca="1" si="21"/>
        <v>32.714285714285715</v>
      </c>
      <c r="AI121" s="209">
        <f t="shared" si="37"/>
        <v>276.47475898042472</v>
      </c>
      <c r="AJ121" s="179">
        <f t="shared" si="39"/>
        <v>-7.2400084508849341E-2</v>
      </c>
      <c r="AK121" s="213">
        <f t="shared" si="40"/>
        <v>0.49319940843805454</v>
      </c>
      <c r="AL121" s="214">
        <f t="shared" ca="1" si="41"/>
        <v>0.66907154327737639</v>
      </c>
      <c r="AM121" s="176">
        <f>DANE!AE121</f>
        <v>16</v>
      </c>
      <c r="AN121" s="188">
        <f t="shared" si="6"/>
        <v>1701</v>
      </c>
      <c r="AO121" s="177">
        <f t="shared" ca="1" si="22"/>
        <v>11.285714285714286</v>
      </c>
      <c r="AP121" s="209">
        <f t="shared" si="49"/>
        <v>95.087598285234193</v>
      </c>
      <c r="AQ121" s="179">
        <f t="shared" si="51"/>
        <v>3.0549130839832007E-2</v>
      </c>
      <c r="AR121" s="213">
        <f t="shared" si="52"/>
        <v>1.2138439158788241</v>
      </c>
      <c r="AS121" s="217">
        <f t="shared" ca="1" si="53"/>
        <v>0.89414680807130387</v>
      </c>
      <c r="AT121" s="176">
        <f>DANE!AI121</f>
        <v>27</v>
      </c>
      <c r="AU121" s="188">
        <f t="shared" si="7"/>
        <v>5002</v>
      </c>
      <c r="AV121" s="177">
        <f t="shared" ca="1" si="23"/>
        <v>34.714285714285715</v>
      </c>
      <c r="AW121" s="209">
        <f t="shared" si="33"/>
        <v>279.76901839730181</v>
      </c>
      <c r="AX121" s="179">
        <f t="shared" si="34"/>
        <v>-5.1299810041610473E-2</v>
      </c>
      <c r="AY121" s="213">
        <f t="shared" si="35"/>
        <v>0.64090132970872671</v>
      </c>
      <c r="AZ121" s="214">
        <f t="shared" ca="1" si="36"/>
        <v>0.7550767303617425</v>
      </c>
      <c r="BA121" s="176">
        <f>DANE!AM121</f>
        <v>8</v>
      </c>
      <c r="BB121" s="188">
        <f t="shared" si="8"/>
        <v>940</v>
      </c>
      <c r="BC121" s="177">
        <f t="shared" ca="1" si="24"/>
        <v>12.571428571428571</v>
      </c>
      <c r="BD121" s="209">
        <f t="shared" si="77"/>
        <v>78.405016762898484</v>
      </c>
      <c r="BE121" s="179">
        <f t="shared" si="80"/>
        <v>-4.5461485950540295E-2</v>
      </c>
      <c r="BF121" s="213">
        <f t="shared" si="81"/>
        <v>0.68176959834621798</v>
      </c>
      <c r="BG121" s="217">
        <f t="shared" ca="1" si="82"/>
        <v>1.4471573303844008</v>
      </c>
      <c r="BH121" s="176">
        <f>DANE!AQ121</f>
        <v>12</v>
      </c>
      <c r="BI121" s="188">
        <f t="shared" si="9"/>
        <v>648</v>
      </c>
      <c r="BJ121" s="177">
        <f t="shared" ca="1" si="25"/>
        <v>12.857142857142858</v>
      </c>
      <c r="BK121" s="209">
        <f t="shared" si="61"/>
        <v>86.087260935589512</v>
      </c>
      <c r="BL121" s="179">
        <f t="shared" si="63"/>
        <v>-4.0247153139441674E-3</v>
      </c>
      <c r="BM121" s="213">
        <f t="shared" si="64"/>
        <v>0.97182699280239082</v>
      </c>
      <c r="BN121" s="214">
        <f t="shared" ca="1" si="65"/>
        <v>1.1698788947688514</v>
      </c>
      <c r="BO121" s="176">
        <f>DANE!AU121</f>
        <v>17</v>
      </c>
      <c r="BP121" s="188">
        <f t="shared" si="10"/>
        <v>823</v>
      </c>
      <c r="BQ121" s="177">
        <f t="shared" ca="1" si="26"/>
        <v>13.857142857142858</v>
      </c>
      <c r="BR121" s="209">
        <f t="shared" si="78"/>
        <v>101.76473295810517</v>
      </c>
      <c r="BS121" s="179">
        <f t="shared" si="83"/>
        <v>2.904723367915181E-2</v>
      </c>
      <c r="BT121" s="213">
        <f t="shared" si="84"/>
        <v>1.2033306357540627</v>
      </c>
      <c r="BU121" s="217">
        <f t="shared" ca="1" si="85"/>
        <v>0.99633862573178811</v>
      </c>
      <c r="BV121" s="176">
        <f>DANE!AY121</f>
        <v>9</v>
      </c>
      <c r="BW121" s="188">
        <f t="shared" si="11"/>
        <v>666</v>
      </c>
      <c r="BX121" s="177">
        <f t="shared" ca="1" si="27"/>
        <v>7</v>
      </c>
      <c r="BY121" s="209">
        <f t="shared" si="69"/>
        <v>38.381622833545535</v>
      </c>
      <c r="BZ121" s="179">
        <f t="shared" si="71"/>
        <v>0.11969764378582562</v>
      </c>
      <c r="CA121" s="213">
        <f t="shared" si="72"/>
        <v>1.8378835065007793</v>
      </c>
      <c r="CB121" s="214">
        <f t="shared" ca="1" si="73"/>
        <v>1.5433072662394551</v>
      </c>
      <c r="CC121" s="176">
        <f>DANE!BC121</f>
        <v>78</v>
      </c>
      <c r="CD121" s="188">
        <f t="shared" si="12"/>
        <v>12605</v>
      </c>
      <c r="CE121" s="177">
        <f t="shared" ca="1" si="28"/>
        <v>92.428571428571431</v>
      </c>
      <c r="CF121" s="209">
        <f t="shared" si="45"/>
        <v>739.67820061545808</v>
      </c>
      <c r="CG121" s="179">
        <f t="shared" si="46"/>
        <v>-4.1815363341124435E-2</v>
      </c>
      <c r="CH121" s="213">
        <f t="shared" si="47"/>
        <v>0.70729245661212892</v>
      </c>
      <c r="CI121" s="217">
        <f t="shared" ca="1" si="48"/>
        <v>0.68723106862031169</v>
      </c>
      <c r="CJ121" s="176">
        <f>DANE!BG121</f>
        <v>14</v>
      </c>
      <c r="CK121" s="188">
        <f t="shared" si="13"/>
        <v>789</v>
      </c>
      <c r="CL121" s="177">
        <f t="shared" ca="1" si="29"/>
        <v>10.142857142857142</v>
      </c>
      <c r="CM121" s="209">
        <f t="shared" si="79"/>
        <v>77.699277264018363</v>
      </c>
      <c r="CN121" s="179">
        <f t="shared" si="86"/>
        <v>4.5528040074570078E-2</v>
      </c>
      <c r="CO121" s="213">
        <f t="shared" si="87"/>
        <v>1.3186962805219906</v>
      </c>
      <c r="CP121" s="214">
        <f t="shared" ca="1" si="88"/>
        <v>0.94278287490541768</v>
      </c>
      <c r="CQ121" s="176">
        <f>DANE!BK121</f>
        <v>2</v>
      </c>
      <c r="CR121" s="188">
        <f t="shared" si="14"/>
        <v>242</v>
      </c>
      <c r="CS121" s="177">
        <f t="shared" ca="1" si="30"/>
        <v>4.4285714285714288</v>
      </c>
      <c r="CT121" s="209">
        <f t="shared" si="89"/>
        <v>23.918878412947123</v>
      </c>
      <c r="CU121" s="179">
        <f t="shared" si="90"/>
        <v>-6.4646675971523584E-2</v>
      </c>
      <c r="CV121" s="213">
        <f t="shared" si="91"/>
        <v>0.54747326819933484</v>
      </c>
      <c r="CW121" s="217">
        <f t="shared" ca="1" si="92"/>
        <v>1.5761064065393522</v>
      </c>
      <c r="CX121" s="176">
        <f>DANE!BO121</f>
        <v>31</v>
      </c>
      <c r="CY121" s="188">
        <f t="shared" si="15"/>
        <v>2643</v>
      </c>
      <c r="CZ121" s="177">
        <f t="shared" ca="1" si="31"/>
        <v>24.142857142857142</v>
      </c>
      <c r="DA121" s="209">
        <f t="shared" si="54"/>
        <v>144.78030095021904</v>
      </c>
      <c r="DB121" s="179">
        <f t="shared" si="58"/>
        <v>9.0675624673979022E-2</v>
      </c>
      <c r="DC121" s="213">
        <f t="shared" si="59"/>
        <v>1.6347293727178531</v>
      </c>
      <c r="DD121" s="214">
        <f t="shared" ca="1" si="60"/>
        <v>1.5219910734529087</v>
      </c>
      <c r="DE121" s="176">
        <f>DANE!BS121</f>
        <v>0</v>
      </c>
      <c r="DF121" s="188">
        <f t="shared" si="16"/>
        <v>609</v>
      </c>
      <c r="DG121" s="177">
        <f t="shared" ca="1" si="32"/>
        <v>1.7142857142857142</v>
      </c>
      <c r="DH121" s="209">
        <f t="shared" si="70"/>
        <v>11.696445346317956</v>
      </c>
      <c r="DI121" s="179">
        <f t="shared" si="74"/>
        <v>-0.14285714285714277</v>
      </c>
      <c r="DJ121" s="157">
        <f t="shared" si="75"/>
        <v>5.5511151231257827E-16</v>
      </c>
      <c r="DK121" s="225">
        <f t="shared" ca="1" si="76"/>
        <v>0.7630809207672139</v>
      </c>
      <c r="DL121" s="89"/>
      <c r="DM121" s="89"/>
      <c r="DN121" s="89"/>
      <c r="DO121" s="89"/>
      <c r="DP121" s="89"/>
      <c r="DQ121" s="89"/>
      <c r="DR121" s="89"/>
      <c r="DS121" s="89"/>
      <c r="DT121" s="89"/>
      <c r="DU121" s="89"/>
      <c r="DV121" s="89"/>
      <c r="DW121" s="89"/>
      <c r="DX121" s="89"/>
      <c r="DY121" s="89"/>
      <c r="DZ121" s="89"/>
      <c r="EA121" s="89"/>
      <c r="EB121" s="89"/>
      <c r="EC121" s="89"/>
      <c r="ED121" s="89"/>
      <c r="EE121" s="89"/>
      <c r="EF121" s="89"/>
      <c r="EG121" s="89"/>
      <c r="EH121" s="89"/>
    </row>
    <row r="122" spans="1:138" x14ac:dyDescent="0.25">
      <c r="A122" s="32">
        <v>44012</v>
      </c>
      <c r="B122" s="33" t="str">
        <f t="shared" ca="1" si="0"/>
        <v/>
      </c>
      <c r="C122" s="51">
        <f t="shared" si="93"/>
        <v>119</v>
      </c>
      <c r="D122" s="176">
        <f>DANE!K122</f>
        <v>6</v>
      </c>
      <c r="E122" s="188">
        <f t="shared" si="1"/>
        <v>2919</v>
      </c>
      <c r="F122" s="178">
        <f t="shared" ca="1" si="17"/>
        <v>7.4285714285714288</v>
      </c>
      <c r="G122" s="209">
        <f t="shared" si="38"/>
        <v>55.623269768132523</v>
      </c>
      <c r="H122" s="179">
        <f t="shared" si="42"/>
        <v>-3.9219128536695437E-2</v>
      </c>
      <c r="I122" s="213">
        <f t="shared" si="43"/>
        <v>0.72546610024313196</v>
      </c>
      <c r="J122" s="214">
        <f t="shared" ca="1" si="44"/>
        <v>0.74615836215176956</v>
      </c>
      <c r="K122" s="176">
        <f>DANE!O122</f>
        <v>3</v>
      </c>
      <c r="L122" s="188">
        <f t="shared" si="2"/>
        <v>672</v>
      </c>
      <c r="M122" s="177">
        <f t="shared" ca="1" si="18"/>
        <v>2.8571428571428572</v>
      </c>
      <c r="N122" s="209">
        <f t="shared" si="62"/>
        <v>19.01504465362466</v>
      </c>
      <c r="O122" s="179">
        <f t="shared" si="66"/>
        <v>1.7706166646123719E-2</v>
      </c>
      <c r="P122" s="213">
        <f t="shared" si="67"/>
        <v>1.1239431665228661</v>
      </c>
      <c r="Q122" s="217">
        <f t="shared" ca="1" si="68"/>
        <v>1.0580239155177533</v>
      </c>
      <c r="R122" s="176">
        <f>DANE!S122</f>
        <v>0</v>
      </c>
      <c r="S122" s="188">
        <f t="shared" si="3"/>
        <v>651</v>
      </c>
      <c r="T122" s="177">
        <f t="shared" ca="1" si="19"/>
        <v>5.8571428571428568</v>
      </c>
      <c r="U122" s="209">
        <f t="shared" si="50"/>
        <v>42.707991392352234</v>
      </c>
      <c r="V122" s="179">
        <f t="shared" si="55"/>
        <v>-0.14285714285714279</v>
      </c>
      <c r="W122" s="213">
        <f t="shared" si="56"/>
        <v>4.4408920985006262E-16</v>
      </c>
      <c r="X122" s="214">
        <f t="shared" ca="1" si="57"/>
        <v>0.93964994116548595</v>
      </c>
      <c r="Y122" s="176">
        <f>DANE!W122</f>
        <v>2</v>
      </c>
      <c r="Z122" s="188">
        <f t="shared" si="4"/>
        <v>151</v>
      </c>
      <c r="AA122" s="177">
        <f t="shared" ca="1" si="20"/>
        <v>0.8571428571428571</v>
      </c>
      <c r="AB122" s="209">
        <f t="shared" si="94"/>
        <v>7.3722016598829523</v>
      </c>
      <c r="AC122" s="179">
        <f t="shared" si="95"/>
        <v>0.17624586607999085</v>
      </c>
      <c r="AD122" s="213">
        <f t="shared" si="96"/>
        <v>2.233721062559936</v>
      </c>
      <c r="AE122" s="217">
        <f t="shared" ca="1" si="97"/>
        <v>0.83858650035332416</v>
      </c>
      <c r="AF122" s="176">
        <f>DANE!AA122</f>
        <v>17</v>
      </c>
      <c r="AG122" s="188">
        <f t="shared" si="5"/>
        <v>3121</v>
      </c>
      <c r="AH122" s="177">
        <f t="shared" ca="1" si="21"/>
        <v>29.428571428571427</v>
      </c>
      <c r="AI122" s="209">
        <f t="shared" si="37"/>
        <v>253.97836484036407</v>
      </c>
      <c r="AJ122" s="179">
        <f t="shared" si="39"/>
        <v>-8.1368708749479268E-2</v>
      </c>
      <c r="AK122" s="213">
        <f t="shared" si="40"/>
        <v>0.43041903875364507</v>
      </c>
      <c r="AL122" s="214">
        <f t="shared" ca="1" si="41"/>
        <v>0.62781587100985414</v>
      </c>
      <c r="AM122" s="176">
        <f>DANE!AE122</f>
        <v>44</v>
      </c>
      <c r="AN122" s="188">
        <f t="shared" si="6"/>
        <v>1745</v>
      </c>
      <c r="AO122" s="177">
        <f t="shared" ca="1" si="22"/>
        <v>17.285714285714285</v>
      </c>
      <c r="AP122" s="209">
        <f t="shared" si="49"/>
        <v>125.50365567305789</v>
      </c>
      <c r="AQ122" s="179">
        <f t="shared" si="51"/>
        <v>0.31987407334218998</v>
      </c>
      <c r="AR122" s="213">
        <f t="shared" si="52"/>
        <v>3.2391185133953302</v>
      </c>
      <c r="AS122" s="217">
        <f t="shared" ca="1" si="53"/>
        <v>1.3382843230103449</v>
      </c>
      <c r="AT122" s="176">
        <f>DANE!AI122</f>
        <v>21</v>
      </c>
      <c r="AU122" s="188">
        <f t="shared" si="7"/>
        <v>5023</v>
      </c>
      <c r="AV122" s="177">
        <f t="shared" ca="1" si="23"/>
        <v>32</v>
      </c>
      <c r="AW122" s="209">
        <f t="shared" si="33"/>
        <v>260.80201576911588</v>
      </c>
      <c r="AX122" s="179">
        <f t="shared" si="34"/>
        <v>-6.7795221704108635E-2</v>
      </c>
      <c r="AY122" s="213">
        <f t="shared" si="35"/>
        <v>0.52543344807123948</v>
      </c>
      <c r="AZ122" s="214">
        <f t="shared" ca="1" si="36"/>
        <v>0.71892277020346806</v>
      </c>
      <c r="BA122" s="176">
        <f>DANE!AM122</f>
        <v>1</v>
      </c>
      <c r="BB122" s="188">
        <f t="shared" si="8"/>
        <v>941</v>
      </c>
      <c r="BC122" s="177">
        <f t="shared" ca="1" si="24"/>
        <v>12</v>
      </c>
      <c r="BD122" s="209">
        <f t="shared" si="77"/>
        <v>68.204300082484423</v>
      </c>
      <c r="BE122" s="179">
        <f t="shared" si="80"/>
        <v>-0.13010285695444268</v>
      </c>
      <c r="BF122" s="213">
        <f t="shared" si="81"/>
        <v>8.9280001318901236E-2</v>
      </c>
      <c r="BG122" s="217">
        <f t="shared" ca="1" si="82"/>
        <v>1.3667320103436453</v>
      </c>
      <c r="BH122" s="176">
        <f>DANE!AQ122</f>
        <v>2</v>
      </c>
      <c r="BI122" s="188">
        <f t="shared" si="9"/>
        <v>650</v>
      </c>
      <c r="BJ122" s="177">
        <f t="shared" ca="1" si="25"/>
        <v>12</v>
      </c>
      <c r="BK122" s="209">
        <f t="shared" si="61"/>
        <v>75.789080801933878</v>
      </c>
      <c r="BL122" s="179">
        <f t="shared" si="63"/>
        <v>-0.11962490177682308</v>
      </c>
      <c r="BM122" s="213">
        <f t="shared" si="64"/>
        <v>0.16262568756223839</v>
      </c>
      <c r="BN122" s="214">
        <f t="shared" ca="1" si="65"/>
        <v>1.0836575029940645</v>
      </c>
      <c r="BO122" s="176">
        <f>DANE!AU122</f>
        <v>20</v>
      </c>
      <c r="BP122" s="188">
        <f t="shared" si="10"/>
        <v>843</v>
      </c>
      <c r="BQ122" s="177">
        <f t="shared" ca="1" si="26"/>
        <v>15.285714285714286</v>
      </c>
      <c r="BR122" s="209">
        <f t="shared" si="78"/>
        <v>107.22691396409016</v>
      </c>
      <c r="BS122" s="179">
        <f t="shared" si="83"/>
        <v>5.3674596760684035E-2</v>
      </c>
      <c r="BT122" s="213">
        <f t="shared" si="84"/>
        <v>1.3757221773247883</v>
      </c>
      <c r="BU122" s="217">
        <f t="shared" ca="1" si="85"/>
        <v>1.0954270428585811</v>
      </c>
      <c r="BV122" s="176">
        <f>DANE!AY122</f>
        <v>1</v>
      </c>
      <c r="BW122" s="188">
        <f t="shared" si="11"/>
        <v>667</v>
      </c>
      <c r="BX122" s="177">
        <f t="shared" ca="1" si="27"/>
        <v>4.4285714285714288</v>
      </c>
      <c r="BY122" s="209">
        <f t="shared" si="69"/>
        <v>33.898533857324743</v>
      </c>
      <c r="BZ122" s="179">
        <f t="shared" si="71"/>
        <v>-0.11680300740964429</v>
      </c>
      <c r="CA122" s="213">
        <f t="shared" si="72"/>
        <v>0.18237894813248989</v>
      </c>
      <c r="CB122" s="214">
        <f t="shared" ca="1" si="73"/>
        <v>0.82975776159456893</v>
      </c>
      <c r="CC122" s="176">
        <f>DANE!BC122</f>
        <v>84</v>
      </c>
      <c r="CD122" s="188">
        <f t="shared" si="12"/>
        <v>12689</v>
      </c>
      <c r="CE122" s="177">
        <f t="shared" ca="1" si="28"/>
        <v>86</v>
      </c>
      <c r="CF122" s="209">
        <f t="shared" si="45"/>
        <v>718.00988624182128</v>
      </c>
      <c r="CG122" s="179">
        <f t="shared" si="46"/>
        <v>-2.9294244923816094E-2</v>
      </c>
      <c r="CH122" s="213">
        <f t="shared" si="47"/>
        <v>0.79494028553328733</v>
      </c>
      <c r="CI122" s="217">
        <f t="shared" ca="1" si="48"/>
        <v>0.6745734027285929</v>
      </c>
      <c r="CJ122" s="176">
        <f>DANE!BG122</f>
        <v>8</v>
      </c>
      <c r="CK122" s="188">
        <f t="shared" si="13"/>
        <v>797</v>
      </c>
      <c r="CL122" s="177">
        <f t="shared" ca="1" si="29"/>
        <v>11</v>
      </c>
      <c r="CM122" s="209">
        <f t="shared" si="79"/>
        <v>74.599380512015742</v>
      </c>
      <c r="CN122" s="179">
        <f t="shared" si="86"/>
        <v>-3.9896082192236136E-2</v>
      </c>
      <c r="CO122" s="213">
        <f t="shared" si="87"/>
        <v>0.72072742465434703</v>
      </c>
      <c r="CP122" s="214">
        <f t="shared" ca="1" si="88"/>
        <v>1.0221019721638454</v>
      </c>
      <c r="CQ122" s="176">
        <f>DANE!BK122</f>
        <v>2</v>
      </c>
      <c r="CR122" s="188">
        <f t="shared" si="14"/>
        <v>244</v>
      </c>
      <c r="CS122" s="177">
        <f t="shared" ca="1" si="30"/>
        <v>4.4285714285714288</v>
      </c>
      <c r="CT122" s="209">
        <f t="shared" si="89"/>
        <v>22.501895782526105</v>
      </c>
      <c r="CU122" s="179">
        <f t="shared" si="90"/>
        <v>-5.9241182046981547E-2</v>
      </c>
      <c r="CV122" s="213">
        <f t="shared" si="91"/>
        <v>0.5853117256711291</v>
      </c>
      <c r="CW122" s="217">
        <f t="shared" ca="1" si="92"/>
        <v>1.5300768379053091</v>
      </c>
      <c r="CX122" s="176">
        <f>DANE!BO122</f>
        <v>26</v>
      </c>
      <c r="CY122" s="188">
        <f t="shared" si="15"/>
        <v>2669</v>
      </c>
      <c r="CZ122" s="177">
        <f t="shared" ca="1" si="31"/>
        <v>24</v>
      </c>
      <c r="DA122" s="209">
        <f t="shared" si="54"/>
        <v>150.09740081447347</v>
      </c>
      <c r="DB122" s="179">
        <f t="shared" si="58"/>
        <v>3.6725299155737016E-2</v>
      </c>
      <c r="DC122" s="213">
        <f t="shared" si="59"/>
        <v>1.257077094090159</v>
      </c>
      <c r="DD122" s="214">
        <f t="shared" ca="1" si="60"/>
        <v>1.4086283908544301</v>
      </c>
      <c r="DE122" s="176">
        <f>DANE!BS122</f>
        <v>2</v>
      </c>
      <c r="DF122" s="188">
        <f t="shared" si="16"/>
        <v>611</v>
      </c>
      <c r="DG122" s="177">
        <f t="shared" ca="1" si="32"/>
        <v>1.7142857142857142</v>
      </c>
      <c r="DH122" s="209">
        <f t="shared" si="70"/>
        <v>12.02552458255825</v>
      </c>
      <c r="DI122" s="179">
        <f t="shared" si="74"/>
        <v>2.8134978320048958E-2</v>
      </c>
      <c r="DJ122" s="157">
        <f t="shared" si="75"/>
        <v>1.1969448482403426</v>
      </c>
      <c r="DK122" s="225">
        <f t="shared" ca="1" si="76"/>
        <v>0.80480822351930725</v>
      </c>
      <c r="DL122" s="89"/>
      <c r="DM122" s="89"/>
      <c r="DN122" s="89"/>
      <c r="DO122" s="89"/>
      <c r="DP122" s="89"/>
      <c r="DQ122" s="89"/>
      <c r="DR122" s="89"/>
      <c r="DS122" s="89"/>
      <c r="DT122" s="89"/>
      <c r="DU122" s="89"/>
      <c r="DV122" s="89"/>
      <c r="DW122" s="89"/>
      <c r="DX122" s="89"/>
      <c r="DY122" s="89"/>
      <c r="DZ122" s="89"/>
      <c r="EA122" s="89"/>
      <c r="EB122" s="89"/>
      <c r="EC122" s="89"/>
      <c r="ED122" s="89"/>
      <c r="EE122" s="89"/>
      <c r="EF122" s="89"/>
      <c r="EG122" s="89"/>
      <c r="EH122" s="89"/>
    </row>
    <row r="123" spans="1:138" x14ac:dyDescent="0.25">
      <c r="A123" s="32">
        <v>44013</v>
      </c>
      <c r="B123" s="33" t="str">
        <f t="shared" ca="1" si="0"/>
        <v/>
      </c>
      <c r="C123" s="51">
        <f t="shared" si="93"/>
        <v>120</v>
      </c>
      <c r="D123" s="176">
        <f>DANE!K123</f>
        <v>5</v>
      </c>
      <c r="E123" s="188">
        <f t="shared" si="1"/>
        <v>2924</v>
      </c>
      <c r="F123" s="178">
        <f t="shared" ca="1" si="17"/>
        <v>6.5714285714285712</v>
      </c>
      <c r="G123" s="209">
        <f t="shared" si="38"/>
        <v>52.67708837268502</v>
      </c>
      <c r="H123" s="179">
        <f t="shared" si="42"/>
        <v>-5.29667063394288E-2</v>
      </c>
      <c r="I123" s="213">
        <f t="shared" si="43"/>
        <v>0.62923305562399845</v>
      </c>
      <c r="J123" s="214">
        <f t="shared" ca="1" si="44"/>
        <v>0.68618468875663552</v>
      </c>
      <c r="K123" s="176">
        <f>DANE!O123</f>
        <v>4</v>
      </c>
      <c r="L123" s="188">
        <f t="shared" si="2"/>
        <v>676</v>
      </c>
      <c r="M123" s="177">
        <f t="shared" ca="1" si="18"/>
        <v>3.2857142857142856</v>
      </c>
      <c r="N123" s="209">
        <f t="shared" si="62"/>
        <v>20.298609703106852</v>
      </c>
      <c r="O123" s="179">
        <f t="shared" si="66"/>
        <v>6.7502605061593585E-2</v>
      </c>
      <c r="P123" s="213">
        <f t="shared" si="67"/>
        <v>1.472518235431155</v>
      </c>
      <c r="Q123" s="217">
        <f t="shared" ca="1" si="68"/>
        <v>1.2166017542921532</v>
      </c>
      <c r="R123" s="176">
        <f>DANE!S123</f>
        <v>7</v>
      </c>
      <c r="S123" s="188">
        <f t="shared" si="3"/>
        <v>658</v>
      </c>
      <c r="T123" s="177">
        <f t="shared" ca="1" si="19"/>
        <v>6.2857142857142856</v>
      </c>
      <c r="U123" s="209">
        <f t="shared" si="50"/>
        <v>43.606849764873346</v>
      </c>
      <c r="V123" s="179">
        <f t="shared" si="55"/>
        <v>2.1046608450007109E-2</v>
      </c>
      <c r="W123" s="213">
        <f t="shared" si="56"/>
        <v>1.1473262591500497</v>
      </c>
      <c r="X123" s="214">
        <f t="shared" ca="1" si="57"/>
        <v>1.017664450842527</v>
      </c>
      <c r="Y123" s="176">
        <f>DANE!W123</f>
        <v>0</v>
      </c>
      <c r="Z123" s="188">
        <f t="shared" si="4"/>
        <v>151</v>
      </c>
      <c r="AA123" s="177">
        <f t="shared" ca="1" si="20"/>
        <v>0.8571428571428571</v>
      </c>
      <c r="AB123" s="209">
        <f t="shared" si="94"/>
        <v>6.3190299941853878</v>
      </c>
      <c r="AC123" s="179">
        <f t="shared" si="95"/>
        <v>-0.14285714285714285</v>
      </c>
      <c r="AD123" s="213">
        <f t="shared" si="96"/>
        <v>0</v>
      </c>
      <c r="AE123" s="217">
        <f t="shared" ca="1" si="97"/>
        <v>0.83858650035332405</v>
      </c>
      <c r="AF123" s="176">
        <f>DANE!AA123</f>
        <v>10</v>
      </c>
      <c r="AG123" s="188">
        <f t="shared" si="5"/>
        <v>3131</v>
      </c>
      <c r="AH123" s="177">
        <f t="shared" ca="1" si="21"/>
        <v>25.285714285714285</v>
      </c>
      <c r="AI123" s="209">
        <f t="shared" si="37"/>
        <v>227.69574129174063</v>
      </c>
      <c r="AJ123" s="179">
        <f t="shared" si="39"/>
        <v>-0.10348371037487053</v>
      </c>
      <c r="AK123" s="213">
        <f t="shared" si="40"/>
        <v>0.27561402737590623</v>
      </c>
      <c r="AL123" s="214">
        <f t="shared" ca="1" si="41"/>
        <v>0.56282753223871018</v>
      </c>
      <c r="AM123" s="176">
        <f>DANE!AE123</f>
        <v>18</v>
      </c>
      <c r="AN123" s="188">
        <f t="shared" si="6"/>
        <v>1763</v>
      </c>
      <c r="AO123" s="177">
        <f t="shared" ca="1" si="22"/>
        <v>19.142857142857142</v>
      </c>
      <c r="AP123" s="209">
        <f t="shared" si="49"/>
        <v>125.5745620054782</v>
      </c>
      <c r="AQ123" s="179">
        <f t="shared" si="51"/>
        <v>5.6497423951554898E-4</v>
      </c>
      <c r="AR123" s="213">
        <f t="shared" si="52"/>
        <v>1.0039548196766088</v>
      </c>
      <c r="AS123" s="217">
        <f t="shared" ca="1" si="53"/>
        <v>1.4286262612510578</v>
      </c>
      <c r="AT123" s="176">
        <f>DANE!AI123</f>
        <v>20</v>
      </c>
      <c r="AU123" s="188">
        <f t="shared" si="7"/>
        <v>5043</v>
      </c>
      <c r="AV123" s="177">
        <f t="shared" ca="1" si="23"/>
        <v>30.142857142857142</v>
      </c>
      <c r="AW123" s="209">
        <f t="shared" si="33"/>
        <v>243.54458494495648</v>
      </c>
      <c r="AX123" s="179">
        <f t="shared" si="34"/>
        <v>-6.6170619016369656E-2</v>
      </c>
      <c r="AY123" s="213">
        <f t="shared" si="35"/>
        <v>0.53680566688541242</v>
      </c>
      <c r="AZ123" s="214">
        <f t="shared" ca="1" si="36"/>
        <v>0.70085814610881891</v>
      </c>
      <c r="BA123" s="176">
        <f>DANE!AM123</f>
        <v>7</v>
      </c>
      <c r="BB123" s="188">
        <f t="shared" si="8"/>
        <v>948</v>
      </c>
      <c r="BC123" s="177">
        <f t="shared" ca="1" si="24"/>
        <v>11.714285714285714</v>
      </c>
      <c r="BD123" s="209">
        <f t="shared" si="77"/>
        <v>65.460828642129513</v>
      </c>
      <c r="BE123" s="179">
        <f t="shared" si="80"/>
        <v>-4.0224317778161052E-2</v>
      </c>
      <c r="BF123" s="213">
        <f t="shared" si="81"/>
        <v>0.71842977555287257</v>
      </c>
      <c r="BG123" s="217">
        <f t="shared" ca="1" si="82"/>
        <v>1.2928739102754796</v>
      </c>
      <c r="BH123" s="176">
        <f>DANE!AQ123</f>
        <v>20</v>
      </c>
      <c r="BI123" s="188">
        <f t="shared" si="9"/>
        <v>670</v>
      </c>
      <c r="BJ123" s="177">
        <f t="shared" ca="1" si="25"/>
        <v>13.142857142857142</v>
      </c>
      <c r="BK123" s="209">
        <f t="shared" si="61"/>
        <v>84.962069258800469</v>
      </c>
      <c r="BL123" s="179">
        <f t="shared" si="63"/>
        <v>0.12103311400278294</v>
      </c>
      <c r="BM123" s="213">
        <f t="shared" si="64"/>
        <v>1.8472317980194806</v>
      </c>
      <c r="BN123" s="214">
        <f t="shared" ca="1" si="65"/>
        <v>1.1776935849407271</v>
      </c>
      <c r="BO123" s="176">
        <f>DANE!AU123</f>
        <v>5</v>
      </c>
      <c r="BP123" s="188">
        <f t="shared" si="10"/>
        <v>848</v>
      </c>
      <c r="BQ123" s="177">
        <f t="shared" ca="1" si="26"/>
        <v>14.142857142857142</v>
      </c>
      <c r="BR123" s="209">
        <f t="shared" si="78"/>
        <v>96.908783397791566</v>
      </c>
      <c r="BS123" s="179">
        <f t="shared" si="83"/>
        <v>-9.6227058905696855E-2</v>
      </c>
      <c r="BT123" s="213">
        <f t="shared" si="84"/>
        <v>0.32641058766012199</v>
      </c>
      <c r="BU123" s="217">
        <f t="shared" ca="1" si="85"/>
        <v>1.0093542635788335</v>
      </c>
      <c r="BV123" s="176">
        <f>DANE!AY123</f>
        <v>0</v>
      </c>
      <c r="BW123" s="188">
        <f t="shared" si="11"/>
        <v>667</v>
      </c>
      <c r="BX123" s="177">
        <f t="shared" ca="1" si="27"/>
        <v>3.4285714285714284</v>
      </c>
      <c r="BY123" s="209">
        <f t="shared" si="69"/>
        <v>29.05588616342121</v>
      </c>
      <c r="BZ123" s="179">
        <f t="shared" si="71"/>
        <v>-0.14285714285714282</v>
      </c>
      <c r="CA123" s="213">
        <f t="shared" si="72"/>
        <v>2.2204460492503131E-16</v>
      </c>
      <c r="CB123" s="214">
        <f t="shared" ca="1" si="73"/>
        <v>0.65910728446198041</v>
      </c>
      <c r="CC123" s="176">
        <f>DANE!BC123</f>
        <v>169</v>
      </c>
      <c r="CD123" s="188">
        <f t="shared" si="12"/>
        <v>12858</v>
      </c>
      <c r="CE123" s="177">
        <f t="shared" ca="1" si="28"/>
        <v>94.714285714285708</v>
      </c>
      <c r="CF123" s="209">
        <f t="shared" si="45"/>
        <v>784.43704535013262</v>
      </c>
      <c r="CG123" s="179">
        <f t="shared" si="46"/>
        <v>9.2515660830245289E-2</v>
      </c>
      <c r="CH123" s="213">
        <f t="shared" si="47"/>
        <v>1.6476096258117172</v>
      </c>
      <c r="CI123" s="217">
        <f t="shared" ca="1" si="48"/>
        <v>0.80248539597105284</v>
      </c>
      <c r="CJ123" s="176">
        <f>DANE!BG123</f>
        <v>4</v>
      </c>
      <c r="CK123" s="188">
        <f t="shared" si="13"/>
        <v>801</v>
      </c>
      <c r="CL123" s="177">
        <f t="shared" ca="1" si="29"/>
        <v>8.5714285714285712</v>
      </c>
      <c r="CM123" s="209">
        <f t="shared" si="79"/>
        <v>67.942326153156358</v>
      </c>
      <c r="CN123" s="179">
        <f t="shared" si="86"/>
        <v>-8.92373946428031E-2</v>
      </c>
      <c r="CO123" s="213">
        <f t="shared" si="87"/>
        <v>0.37533823750037831</v>
      </c>
      <c r="CP123" s="214">
        <f t="shared" ca="1" si="88"/>
        <v>0.79388146839336393</v>
      </c>
      <c r="CQ123" s="176">
        <f>DANE!BK123</f>
        <v>6</v>
      </c>
      <c r="CR123" s="188">
        <f t="shared" si="14"/>
        <v>250</v>
      </c>
      <c r="CS123" s="177">
        <f t="shared" ca="1" si="30"/>
        <v>3.8571428571428572</v>
      </c>
      <c r="CT123" s="209">
        <f t="shared" si="89"/>
        <v>25.287339242165235</v>
      </c>
      <c r="CU123" s="179">
        <f t="shared" si="90"/>
        <v>0.12378705716885291</v>
      </c>
      <c r="CV123" s="213">
        <f t="shared" si="91"/>
        <v>1.8665094001819704</v>
      </c>
      <c r="CW123" s="217">
        <f t="shared" ca="1" si="92"/>
        <v>1.1398145967610742</v>
      </c>
      <c r="CX123" s="176">
        <f>DANE!BO123</f>
        <v>107</v>
      </c>
      <c r="CY123" s="188">
        <f t="shared" si="15"/>
        <v>2776</v>
      </c>
      <c r="CZ123" s="177">
        <f t="shared" ca="1" si="31"/>
        <v>36.857142857142854</v>
      </c>
      <c r="DA123" s="209">
        <f t="shared" si="54"/>
        <v>235.6549149838344</v>
      </c>
      <c r="DB123" s="179">
        <f t="shared" si="58"/>
        <v>0.57001329606708862</v>
      </c>
      <c r="DC123" s="213">
        <f t="shared" si="59"/>
        <v>4.9900930724696204</v>
      </c>
      <c r="DD123" s="214">
        <f t="shared" ca="1" si="60"/>
        <v>1.9611224644596186</v>
      </c>
      <c r="DE123" s="176">
        <f>DANE!BS123</f>
        <v>0</v>
      </c>
      <c r="DF123" s="188">
        <f t="shared" si="16"/>
        <v>611</v>
      </c>
      <c r="DG123" s="177">
        <f t="shared" ca="1" si="32"/>
        <v>1.1428571428571428</v>
      </c>
      <c r="DH123" s="209">
        <f t="shared" si="70"/>
        <v>10.307592499335643</v>
      </c>
      <c r="DI123" s="179">
        <f t="shared" si="74"/>
        <v>-0.14285714285714285</v>
      </c>
      <c r="DJ123" s="157">
        <f t="shared" si="75"/>
        <v>0</v>
      </c>
      <c r="DK123" s="225">
        <f t="shared" ca="1" si="76"/>
        <v>0.54271614612205832</v>
      </c>
      <c r="DL123" s="89"/>
      <c r="DM123" s="89"/>
      <c r="DN123" s="89"/>
      <c r="DO123" s="89"/>
      <c r="DP123" s="89"/>
      <c r="DQ123" s="89"/>
      <c r="DR123" s="89"/>
      <c r="DS123" s="89"/>
      <c r="DT123" s="89"/>
      <c r="DU123" s="89"/>
      <c r="DV123" s="89"/>
      <c r="DW123" s="89"/>
      <c r="DX123" s="89"/>
      <c r="DY123" s="89"/>
      <c r="DZ123" s="89"/>
      <c r="EA123" s="89"/>
      <c r="EB123" s="89"/>
      <c r="EC123" s="89"/>
      <c r="ED123" s="89"/>
      <c r="EE123" s="89"/>
      <c r="EF123" s="89"/>
      <c r="EG123" s="89"/>
      <c r="EH123" s="89"/>
    </row>
    <row r="124" spans="1:138" x14ac:dyDescent="0.25">
      <c r="A124" s="32">
        <v>44014</v>
      </c>
      <c r="B124" s="33" t="str">
        <f t="shared" ca="1" si="0"/>
        <v/>
      </c>
      <c r="C124" s="51">
        <f t="shared" si="93"/>
        <v>121</v>
      </c>
      <c r="D124" s="176">
        <f>DANE!K124</f>
        <v>6</v>
      </c>
      <c r="E124" s="188">
        <f t="shared" si="1"/>
        <v>2930</v>
      </c>
      <c r="F124" s="178">
        <f t="shared" ca="1" si="17"/>
        <v>6.5714285714285712</v>
      </c>
      <c r="G124" s="209">
        <f t="shared" si="38"/>
        <v>51.151790033730023</v>
      </c>
      <c r="H124" s="179">
        <f t="shared" si="42"/>
        <v>-2.8955631111645102E-2</v>
      </c>
      <c r="I124" s="213">
        <f t="shared" si="43"/>
        <v>0.79731058221848428</v>
      </c>
      <c r="J124" s="214">
        <f t="shared" ca="1" si="44"/>
        <v>0.71891093297497133</v>
      </c>
      <c r="K124" s="176">
        <f>DANE!O124</f>
        <v>2</v>
      </c>
      <c r="L124" s="188">
        <f t="shared" si="2"/>
        <v>678</v>
      </c>
      <c r="M124" s="177">
        <f t="shared" ca="1" si="18"/>
        <v>2.4285714285714284</v>
      </c>
      <c r="N124" s="209">
        <f t="shared" si="62"/>
        <v>19.398808316948731</v>
      </c>
      <c r="O124" s="179">
        <f t="shared" si="66"/>
        <v>-4.432822736723685E-2</v>
      </c>
      <c r="P124" s="213">
        <f t="shared" si="67"/>
        <v>0.68970240842934205</v>
      </c>
      <c r="Q124" s="217">
        <f t="shared" ca="1" si="68"/>
        <v>0.85936657519493964</v>
      </c>
      <c r="R124" s="176">
        <f>DANE!S124</f>
        <v>6</v>
      </c>
      <c r="S124" s="188">
        <f t="shared" si="3"/>
        <v>664</v>
      </c>
      <c r="T124" s="177">
        <f t="shared" ca="1" si="19"/>
        <v>6.4285714285714288</v>
      </c>
      <c r="U124" s="209">
        <f t="shared" si="50"/>
        <v>43.377299798462872</v>
      </c>
      <c r="V124" s="179">
        <f t="shared" si="55"/>
        <v>-5.2640804747006373E-3</v>
      </c>
      <c r="W124" s="213">
        <f t="shared" si="56"/>
        <v>0.96315143667709557</v>
      </c>
      <c r="X124" s="214">
        <f t="shared" ca="1" si="57"/>
        <v>1.0414103258627041</v>
      </c>
      <c r="Y124" s="176">
        <f>DANE!W124</f>
        <v>0</v>
      </c>
      <c r="Z124" s="188">
        <f t="shared" si="4"/>
        <v>151</v>
      </c>
      <c r="AA124" s="177">
        <f t="shared" ca="1" si="20"/>
        <v>0.7142857142857143</v>
      </c>
      <c r="AB124" s="209">
        <f t="shared" si="94"/>
        <v>5.4163114235874756</v>
      </c>
      <c r="AC124" s="179">
        <f t="shared" si="95"/>
        <v>-0.14285714285714279</v>
      </c>
      <c r="AD124" s="213">
        <f t="shared" si="96"/>
        <v>4.4408920985006262E-16</v>
      </c>
      <c r="AE124" s="217">
        <f t="shared" ca="1" si="97"/>
        <v>0.71108397117645639</v>
      </c>
      <c r="AF124" s="176">
        <f>DANE!AA124</f>
        <v>52</v>
      </c>
      <c r="AG124" s="188">
        <f t="shared" si="5"/>
        <v>3183</v>
      </c>
      <c r="AH124" s="177">
        <f t="shared" ca="1" si="21"/>
        <v>27.857142857142858</v>
      </c>
      <c r="AI124" s="209">
        <f t="shared" si="37"/>
        <v>247.16777825006341</v>
      </c>
      <c r="AJ124" s="179">
        <f t="shared" si="39"/>
        <v>8.5517791627792286E-2</v>
      </c>
      <c r="AK124" s="213">
        <f t="shared" si="40"/>
        <v>1.5986245413945461</v>
      </c>
      <c r="AL124" s="214">
        <f t="shared" ca="1" si="41"/>
        <v>0.69657779794601316</v>
      </c>
      <c r="AM124" s="176">
        <f>DANE!AE124</f>
        <v>29</v>
      </c>
      <c r="AN124" s="188">
        <f t="shared" si="6"/>
        <v>1792</v>
      </c>
      <c r="AO124" s="177">
        <f t="shared" ca="1" si="22"/>
        <v>21.714285714285715</v>
      </c>
      <c r="AP124" s="209">
        <f t="shared" si="49"/>
        <v>136.63533886183848</v>
      </c>
      <c r="AQ124" s="179">
        <f t="shared" si="51"/>
        <v>8.8081349277393861E-2</v>
      </c>
      <c r="AR124" s="213">
        <f t="shared" si="52"/>
        <v>1.6165694449417569</v>
      </c>
      <c r="AS124" s="217">
        <f t="shared" ca="1" si="53"/>
        <v>1.5312704904800862</v>
      </c>
      <c r="AT124" s="176">
        <f>DANE!AI124</f>
        <v>45</v>
      </c>
      <c r="AU124" s="188">
        <f t="shared" si="7"/>
        <v>5088</v>
      </c>
      <c r="AV124" s="177">
        <f t="shared" ca="1" si="23"/>
        <v>33</v>
      </c>
      <c r="AW124" s="209">
        <f t="shared" si="33"/>
        <v>253.75250138139128</v>
      </c>
      <c r="AX124" s="179">
        <f t="shared" si="34"/>
        <v>4.1913953614455816E-2</v>
      </c>
      <c r="AY124" s="213">
        <f t="shared" si="35"/>
        <v>1.2933976753011907</v>
      </c>
      <c r="AZ124" s="214">
        <f t="shared" ca="1" si="36"/>
        <v>0.81022045515723451</v>
      </c>
      <c r="BA124" s="176">
        <f>DANE!AM124</f>
        <v>7</v>
      </c>
      <c r="BB124" s="188">
        <f t="shared" si="8"/>
        <v>955</v>
      </c>
      <c r="BC124" s="177">
        <f t="shared" ca="1" si="24"/>
        <v>9.4285714285714288</v>
      </c>
      <c r="BD124" s="209">
        <f t="shared" si="77"/>
        <v>63.10928169325387</v>
      </c>
      <c r="BE124" s="179">
        <f t="shared" si="80"/>
        <v>-3.5922963360751389E-2</v>
      </c>
      <c r="BF124" s="213">
        <f t="shared" si="81"/>
        <v>0.74853925647474018</v>
      </c>
      <c r="BG124" s="217">
        <f t="shared" ca="1" si="82"/>
        <v>0.96345203021499837</v>
      </c>
      <c r="BH124" s="176">
        <f>DANE!AQ124</f>
        <v>13</v>
      </c>
      <c r="BI124" s="188">
        <f t="shared" si="9"/>
        <v>683</v>
      </c>
      <c r="BJ124" s="177">
        <f t="shared" ca="1" si="25"/>
        <v>13.285714285714286</v>
      </c>
      <c r="BK124" s="209">
        <f t="shared" si="61"/>
        <v>85.824630793257555</v>
      </c>
      <c r="BL124" s="179">
        <f t="shared" si="63"/>
        <v>1.0152313167298959E-2</v>
      </c>
      <c r="BM124" s="213">
        <f t="shared" si="64"/>
        <v>1.0710661921710927</v>
      </c>
      <c r="BN124" s="214">
        <f t="shared" ca="1" si="65"/>
        <v>1.1653138824656524</v>
      </c>
      <c r="BO124" s="176">
        <f>DANE!AU124</f>
        <v>6</v>
      </c>
      <c r="BP124" s="188">
        <f t="shared" si="10"/>
        <v>854</v>
      </c>
      <c r="BQ124" s="177">
        <f t="shared" ca="1" si="26"/>
        <v>13</v>
      </c>
      <c r="BR124" s="209">
        <f t="shared" si="78"/>
        <v>89.064671483821343</v>
      </c>
      <c r="BS124" s="179">
        <f t="shared" si="83"/>
        <v>-8.0943250332342745E-2</v>
      </c>
      <c r="BT124" s="213">
        <f t="shared" si="84"/>
        <v>0.43339724767360077</v>
      </c>
      <c r="BU124" s="217">
        <f t="shared" ca="1" si="85"/>
        <v>0.9268913377309328</v>
      </c>
      <c r="BV124" s="176">
        <f>DANE!AY124</f>
        <v>10</v>
      </c>
      <c r="BW124" s="188">
        <f t="shared" si="11"/>
        <v>677</v>
      </c>
      <c r="BX124" s="177">
        <f t="shared" ca="1" si="27"/>
        <v>4.4285714285714288</v>
      </c>
      <c r="BY124" s="209">
        <f t="shared" si="69"/>
        <v>34.905045282932463</v>
      </c>
      <c r="BZ124" s="179">
        <f t="shared" si="71"/>
        <v>0.20130720111626904</v>
      </c>
      <c r="CA124" s="213">
        <f t="shared" si="72"/>
        <v>2.4091504078138835</v>
      </c>
      <c r="CB124" s="214">
        <f t="shared" ca="1" si="73"/>
        <v>0.93211343317168449</v>
      </c>
      <c r="CC124" s="176">
        <f>DANE!BC124</f>
        <v>148</v>
      </c>
      <c r="CD124" s="188">
        <f t="shared" si="12"/>
        <v>13006</v>
      </c>
      <c r="CE124" s="177">
        <f t="shared" ca="1" si="28"/>
        <v>98</v>
      </c>
      <c r="CF124" s="209">
        <f t="shared" si="45"/>
        <v>820.37461030011377</v>
      </c>
      <c r="CG124" s="179">
        <f t="shared" si="46"/>
        <v>4.5813191973793715E-2</v>
      </c>
      <c r="CH124" s="213">
        <f t="shared" si="47"/>
        <v>1.3206923438165561</v>
      </c>
      <c r="CI124" s="217">
        <f t="shared" ca="1" si="48"/>
        <v>0.86221579184654895</v>
      </c>
      <c r="CJ124" s="176">
        <f>DANE!BG124</f>
        <v>7</v>
      </c>
      <c r="CK124" s="188">
        <f t="shared" si="13"/>
        <v>808</v>
      </c>
      <c r="CL124" s="177">
        <f t="shared" ca="1" si="29"/>
        <v>8.4285714285714288</v>
      </c>
      <c r="CM124" s="209">
        <f t="shared" si="79"/>
        <v>65.236279559848313</v>
      </c>
      <c r="CN124" s="179">
        <f t="shared" si="86"/>
        <v>-3.9828583248799052E-2</v>
      </c>
      <c r="CO124" s="213">
        <f t="shared" si="87"/>
        <v>0.7211999172584066</v>
      </c>
      <c r="CP124" s="214">
        <f t="shared" ca="1" si="88"/>
        <v>0.80264373539262135</v>
      </c>
      <c r="CQ124" s="176">
        <f>DANE!BK124</f>
        <v>12</v>
      </c>
      <c r="CR124" s="188">
        <f t="shared" si="14"/>
        <v>262</v>
      </c>
      <c r="CS124" s="177">
        <f t="shared" ca="1" si="30"/>
        <v>5</v>
      </c>
      <c r="CT124" s="209">
        <f t="shared" si="89"/>
        <v>33.6748622075702</v>
      </c>
      <c r="CU124" s="179">
        <f t="shared" si="90"/>
        <v>0.3316886322076637</v>
      </c>
      <c r="CV124" s="213">
        <f t="shared" si="91"/>
        <v>3.3218204254536459</v>
      </c>
      <c r="CW124" s="217">
        <f t="shared" ca="1" si="92"/>
        <v>1.4408108204599805</v>
      </c>
      <c r="CX124" s="176">
        <f>DANE!BO124</f>
        <v>28</v>
      </c>
      <c r="CY124" s="188">
        <f t="shared" si="15"/>
        <v>2804</v>
      </c>
      <c r="CZ124" s="177">
        <f t="shared" ca="1" si="31"/>
        <v>39.571428571428569</v>
      </c>
      <c r="DA124" s="209">
        <f t="shared" si="54"/>
        <v>229.98992712900093</v>
      </c>
      <c r="DB124" s="179">
        <f t="shared" si="58"/>
        <v>-2.4039336736185111E-2</v>
      </c>
      <c r="DC124" s="213">
        <f t="shared" si="59"/>
        <v>0.83172464284670422</v>
      </c>
      <c r="DD124" s="214">
        <f t="shared" ca="1" si="60"/>
        <v>1.996496997268018</v>
      </c>
      <c r="DE124" s="176">
        <f>DANE!BS124</f>
        <v>0</v>
      </c>
      <c r="DF124" s="188">
        <f t="shared" si="16"/>
        <v>611</v>
      </c>
      <c r="DG124" s="177">
        <f t="shared" ca="1" si="32"/>
        <v>1</v>
      </c>
      <c r="DH124" s="209">
        <f t="shared" si="70"/>
        <v>8.8350792851448379</v>
      </c>
      <c r="DI124" s="179">
        <f t="shared" si="74"/>
        <v>-0.14285714285714274</v>
      </c>
      <c r="DJ124" s="157">
        <f t="shared" si="75"/>
        <v>7.7715611723760958E-16</v>
      </c>
      <c r="DK124" s="225">
        <f t="shared" ca="1" si="76"/>
        <v>0.48417346010749462</v>
      </c>
      <c r="DL124" s="89"/>
      <c r="DM124" s="89"/>
      <c r="DN124" s="89"/>
      <c r="DO124" s="89"/>
      <c r="DP124" s="89"/>
      <c r="DQ124" s="89"/>
      <c r="DR124" s="89"/>
      <c r="DS124" s="89"/>
      <c r="DT124" s="89"/>
      <c r="DU124" s="89"/>
      <c r="DV124" s="89"/>
      <c r="DW124" s="89"/>
      <c r="DX124" s="89"/>
      <c r="DY124" s="89"/>
      <c r="DZ124" s="89"/>
      <c r="EA124" s="89"/>
      <c r="EB124" s="89"/>
      <c r="EC124" s="89"/>
      <c r="ED124" s="89"/>
      <c r="EE124" s="89"/>
      <c r="EF124" s="89"/>
      <c r="EG124" s="89"/>
      <c r="EH124" s="89"/>
    </row>
    <row r="125" spans="1:138" x14ac:dyDescent="0.25">
      <c r="A125" s="32">
        <v>44015</v>
      </c>
      <c r="B125" s="33" t="str">
        <f t="shared" ca="1" si="0"/>
        <v/>
      </c>
      <c r="C125" s="51">
        <f t="shared" si="93"/>
        <v>122</v>
      </c>
      <c r="D125" s="176">
        <f>DANE!K125</f>
        <v>3</v>
      </c>
      <c r="E125" s="188">
        <f t="shared" si="1"/>
        <v>2933</v>
      </c>
      <c r="F125" s="178">
        <f t="shared" ca="1" si="17"/>
        <v>4.4285714285714288</v>
      </c>
      <c r="G125" s="209">
        <f t="shared" si="38"/>
        <v>46.844391457482878</v>
      </c>
      <c r="H125" s="179">
        <f t="shared" si="42"/>
        <v>-8.4208168930291621E-2</v>
      </c>
      <c r="I125" s="213">
        <f t="shared" si="43"/>
        <v>0.41054281748795862</v>
      </c>
      <c r="J125" s="214">
        <f t="shared" ca="1" si="44"/>
        <v>0.51802553771639648</v>
      </c>
      <c r="K125" s="176">
        <f>DANE!O125</f>
        <v>1</v>
      </c>
      <c r="L125" s="188">
        <f t="shared" si="2"/>
        <v>679</v>
      </c>
      <c r="M125" s="177">
        <f t="shared" ca="1" si="18"/>
        <v>2.5714285714285716</v>
      </c>
      <c r="N125" s="209">
        <f t="shared" si="62"/>
        <v>17.627549985956055</v>
      </c>
      <c r="O125" s="179">
        <f t="shared" si="66"/>
        <v>-9.1307584571838296E-2</v>
      </c>
      <c r="P125" s="213">
        <f t="shared" si="67"/>
        <v>0.36084690799713193</v>
      </c>
      <c r="Q125" s="217">
        <f t="shared" ca="1" si="68"/>
        <v>0.91091613348024425</v>
      </c>
      <c r="R125" s="176">
        <f>DANE!S125</f>
        <v>4</v>
      </c>
      <c r="S125" s="188">
        <f t="shared" si="3"/>
        <v>668</v>
      </c>
      <c r="T125" s="177">
        <f t="shared" ca="1" si="19"/>
        <v>6.5714285714285712</v>
      </c>
      <c r="U125" s="209">
        <f t="shared" si="50"/>
        <v>41.180542684396748</v>
      </c>
      <c r="V125" s="179">
        <f t="shared" si="55"/>
        <v>-5.0643011996426027E-2</v>
      </c>
      <c r="W125" s="213">
        <f t="shared" si="56"/>
        <v>0.64549891602501774</v>
      </c>
      <c r="X125" s="214">
        <f t="shared" ca="1" si="57"/>
        <v>1.0632753189501563</v>
      </c>
      <c r="Y125" s="176">
        <f>DANE!W125</f>
        <v>0</v>
      </c>
      <c r="Z125" s="188">
        <f t="shared" si="4"/>
        <v>151</v>
      </c>
      <c r="AA125" s="177">
        <f t="shared" ca="1" si="20"/>
        <v>0.5714285714285714</v>
      </c>
      <c r="AB125" s="209">
        <f t="shared" si="94"/>
        <v>4.6425526487892652</v>
      </c>
      <c r="AC125" s="179">
        <f t="shared" si="95"/>
        <v>-0.14285714285714279</v>
      </c>
      <c r="AD125" s="213">
        <f t="shared" si="96"/>
        <v>4.4408920985006262E-16</v>
      </c>
      <c r="AE125" s="217">
        <f t="shared" ca="1" si="97"/>
        <v>0.58159316062847866</v>
      </c>
      <c r="AF125" s="176">
        <f>DANE!AA125</f>
        <v>24</v>
      </c>
      <c r="AG125" s="188">
        <f t="shared" si="5"/>
        <v>3207</v>
      </c>
      <c r="AH125" s="177">
        <f t="shared" ca="1" si="21"/>
        <v>28.428571428571427</v>
      </c>
      <c r="AI125" s="209">
        <f t="shared" si="37"/>
        <v>235.85809564291151</v>
      </c>
      <c r="AJ125" s="179">
        <f t="shared" si="39"/>
        <v>-4.5757107529241621E-2</v>
      </c>
      <c r="AK125" s="213">
        <f t="shared" si="40"/>
        <v>0.67970024729530865</v>
      </c>
      <c r="AL125" s="214">
        <f t="shared" ca="1" si="41"/>
        <v>0.73519551658070392</v>
      </c>
      <c r="AM125" s="176">
        <f>DANE!AE125</f>
        <v>13</v>
      </c>
      <c r="AN125" s="188">
        <f t="shared" si="6"/>
        <v>1805</v>
      </c>
      <c r="AO125" s="177">
        <f t="shared" ca="1" si="22"/>
        <v>21.142857142857142</v>
      </c>
      <c r="AP125" s="209">
        <f t="shared" si="49"/>
        <v>130.11600473871869</v>
      </c>
      <c r="AQ125" s="179">
        <f t="shared" si="51"/>
        <v>-4.7713382038829237E-2</v>
      </c>
      <c r="AR125" s="213">
        <f t="shared" si="52"/>
        <v>0.6660063257281954</v>
      </c>
      <c r="AS125" s="217">
        <f t="shared" ca="1" si="53"/>
        <v>1.4252112037073705</v>
      </c>
      <c r="AT125" s="176">
        <f>DANE!AI125</f>
        <v>36</v>
      </c>
      <c r="AU125" s="188">
        <f t="shared" si="7"/>
        <v>5124</v>
      </c>
      <c r="AV125" s="177">
        <f t="shared" ca="1" si="23"/>
        <v>31.714285714285715</v>
      </c>
      <c r="AW125" s="209">
        <f t="shared" si="33"/>
        <v>253.50214404119254</v>
      </c>
      <c r="AX125" s="179">
        <f t="shared" si="34"/>
        <v>-9.8662018634629463E-4</v>
      </c>
      <c r="AY125" s="213">
        <f t="shared" si="35"/>
        <v>0.99309365869557598</v>
      </c>
      <c r="AZ125" s="214">
        <f t="shared" ca="1" si="36"/>
        <v>0.80653784074156598</v>
      </c>
      <c r="BA125" s="176">
        <f>DANE!AM125</f>
        <v>9</v>
      </c>
      <c r="BB125" s="188">
        <f t="shared" si="8"/>
        <v>964</v>
      </c>
      <c r="BC125" s="177">
        <f t="shared" ca="1" si="24"/>
        <v>10.285714285714286</v>
      </c>
      <c r="BD125" s="209">
        <f t="shared" si="77"/>
        <v>63.093670022789034</v>
      </c>
      <c r="BE125" s="179">
        <f t="shared" si="80"/>
        <v>-2.4737518865635094E-4</v>
      </c>
      <c r="BF125" s="213">
        <f t="shared" si="81"/>
        <v>0.99826837367940557</v>
      </c>
      <c r="BG125" s="217">
        <f t="shared" ca="1" si="82"/>
        <v>1.0620602088342221</v>
      </c>
      <c r="BH125" s="176">
        <f>DANE!AQ125</f>
        <v>12</v>
      </c>
      <c r="BI125" s="188">
        <f t="shared" si="9"/>
        <v>695</v>
      </c>
      <c r="BJ125" s="177">
        <f t="shared" ca="1" si="25"/>
        <v>13</v>
      </c>
      <c r="BK125" s="209">
        <f t="shared" si="61"/>
        <v>85.563969251363631</v>
      </c>
      <c r="BL125" s="179">
        <f t="shared" si="63"/>
        <v>-3.0371414299681667E-3</v>
      </c>
      <c r="BM125" s="213">
        <f t="shared" si="64"/>
        <v>0.97874000999022281</v>
      </c>
      <c r="BN125" s="214">
        <f t="shared" ca="1" si="65"/>
        <v>1.1164317060659366</v>
      </c>
      <c r="BO125" s="176">
        <f>DANE!AU125</f>
        <v>7</v>
      </c>
      <c r="BP125" s="188">
        <f t="shared" si="10"/>
        <v>861</v>
      </c>
      <c r="BQ125" s="177">
        <f t="shared" ca="1" si="26"/>
        <v>11.857142857142858</v>
      </c>
      <c r="BR125" s="209">
        <f t="shared" si="78"/>
        <v>83.341146986132586</v>
      </c>
      <c r="BS125" s="179">
        <f t="shared" si="83"/>
        <v>-6.426256788841847E-2</v>
      </c>
      <c r="BT125" s="213">
        <f t="shared" si="84"/>
        <v>0.55016202478107068</v>
      </c>
      <c r="BU125" s="217">
        <f t="shared" ca="1" si="85"/>
        <v>0.85103118551036394</v>
      </c>
      <c r="BV125" s="176">
        <f>DANE!AY125</f>
        <v>4</v>
      </c>
      <c r="BW125" s="188">
        <f t="shared" si="11"/>
        <v>681</v>
      </c>
      <c r="BX125" s="177">
        <f t="shared" ca="1" si="27"/>
        <v>4.5714285714285712</v>
      </c>
      <c r="BY125" s="209">
        <f t="shared" si="69"/>
        <v>33.918610242513537</v>
      </c>
      <c r="BZ125" s="179">
        <f t="shared" si="71"/>
        <v>-2.8260528884094097E-2</v>
      </c>
      <c r="CA125" s="213">
        <f t="shared" si="72"/>
        <v>0.80217629781134137</v>
      </c>
      <c r="CB125" s="214">
        <f t="shared" ca="1" si="73"/>
        <v>0.97005582481111152</v>
      </c>
      <c r="CC125" s="176">
        <f>DANE!BC125</f>
        <v>80</v>
      </c>
      <c r="CD125" s="188">
        <f t="shared" si="12"/>
        <v>13086</v>
      </c>
      <c r="CE125" s="177">
        <f t="shared" ca="1" si="28"/>
        <v>95.714285714285708</v>
      </c>
      <c r="CF125" s="209">
        <f t="shared" si="45"/>
        <v>783.1782374000976</v>
      </c>
      <c r="CG125" s="179">
        <f t="shared" si="46"/>
        <v>-4.5340716829850206E-2</v>
      </c>
      <c r="CH125" s="213">
        <f t="shared" si="47"/>
        <v>0.68261498219104855</v>
      </c>
      <c r="CI125" s="217">
        <f t="shared" ca="1" si="48"/>
        <v>0.8593087306072541</v>
      </c>
      <c r="CJ125" s="176">
        <f>DANE!BG125</f>
        <v>13</v>
      </c>
      <c r="CK125" s="188">
        <f t="shared" si="13"/>
        <v>821</v>
      </c>
      <c r="CL125" s="177">
        <f t="shared" ca="1" si="29"/>
        <v>10</v>
      </c>
      <c r="CM125" s="209">
        <f t="shared" si="79"/>
        <v>68.916811051298566</v>
      </c>
      <c r="CN125" s="179">
        <f t="shared" si="86"/>
        <v>5.6418476287779448E-2</v>
      </c>
      <c r="CO125" s="213">
        <f t="shared" si="87"/>
        <v>1.3949293340144562</v>
      </c>
      <c r="CP125" s="214">
        <f t="shared" ca="1" si="88"/>
        <v>0.97714917741825069</v>
      </c>
      <c r="CQ125" s="176">
        <f>DANE!BK125</f>
        <v>5</v>
      </c>
      <c r="CR125" s="188">
        <f t="shared" si="14"/>
        <v>267</v>
      </c>
      <c r="CS125" s="177">
        <f t="shared" ca="1" si="30"/>
        <v>4.4285714285714288</v>
      </c>
      <c r="CT125" s="209">
        <f t="shared" si="89"/>
        <v>33.864167606488749</v>
      </c>
      <c r="CU125" s="179">
        <f t="shared" si="90"/>
        <v>5.6215641730522816E-3</v>
      </c>
      <c r="CV125" s="213">
        <f t="shared" si="91"/>
        <v>1.0393509492113659</v>
      </c>
      <c r="CW125" s="217">
        <f t="shared" ca="1" si="92"/>
        <v>1.2104311141074233</v>
      </c>
      <c r="CX125" s="176">
        <f>DANE!BO125</f>
        <v>46</v>
      </c>
      <c r="CY125" s="188">
        <f t="shared" si="15"/>
        <v>2850</v>
      </c>
      <c r="CZ125" s="177">
        <f t="shared" ca="1" si="31"/>
        <v>41.142857142857146</v>
      </c>
      <c r="DA125" s="209">
        <f t="shared" si="54"/>
        <v>243.13422325342938</v>
      </c>
      <c r="DB125" s="179">
        <f t="shared" si="58"/>
        <v>5.7151616544736057E-2</v>
      </c>
      <c r="DC125" s="213">
        <f t="shared" si="59"/>
        <v>1.4000613158131525</v>
      </c>
      <c r="DD125" s="214">
        <f t="shared" ca="1" si="60"/>
        <v>1.8515063909227027</v>
      </c>
      <c r="DE125" s="176">
        <f>DANE!BS125</f>
        <v>2</v>
      </c>
      <c r="DF125" s="188">
        <f t="shared" si="16"/>
        <v>613</v>
      </c>
      <c r="DG125" s="177">
        <f t="shared" ca="1" si="32"/>
        <v>0.7142857142857143</v>
      </c>
      <c r="DH125" s="209">
        <f t="shared" si="70"/>
        <v>9.5729251015527197</v>
      </c>
      <c r="DI125" s="179">
        <f t="shared" si="74"/>
        <v>8.3513208268372205E-2</v>
      </c>
      <c r="DJ125" s="157">
        <f t="shared" si="75"/>
        <v>1.5845924578786055</v>
      </c>
      <c r="DK125" s="225">
        <f t="shared" ca="1" si="76"/>
        <v>0.45481110276324471</v>
      </c>
      <c r="DL125" s="89"/>
      <c r="DM125" s="89"/>
      <c r="DN125" s="89"/>
      <c r="DO125" s="89"/>
      <c r="DP125" s="89"/>
      <c r="DQ125" s="89"/>
      <c r="DR125" s="89"/>
      <c r="DS125" s="89"/>
      <c r="DT125" s="89"/>
      <c r="DU125" s="89"/>
      <c r="DV125" s="89"/>
      <c r="DW125" s="89"/>
      <c r="DX125" s="89"/>
      <c r="DY125" s="89"/>
      <c r="DZ125" s="89"/>
      <c r="EA125" s="89"/>
      <c r="EB125" s="89"/>
      <c r="EC125" s="89"/>
      <c r="ED125" s="89"/>
      <c r="EE125" s="89"/>
      <c r="EF125" s="89"/>
      <c r="EG125" s="89"/>
      <c r="EH125" s="89"/>
    </row>
    <row r="126" spans="1:138" x14ac:dyDescent="0.25">
      <c r="A126" s="61">
        <v>44016</v>
      </c>
      <c r="B126" s="62" t="str">
        <f t="shared" ca="1" si="0"/>
        <v/>
      </c>
      <c r="C126" s="12">
        <f t="shared" si="93"/>
        <v>123</v>
      </c>
      <c r="D126" s="176">
        <f>DANE!K126</f>
        <v>3</v>
      </c>
      <c r="E126" s="198">
        <f t="shared" si="1"/>
        <v>2936</v>
      </c>
      <c r="F126" s="178">
        <f t="shared" ca="1" si="17"/>
        <v>4</v>
      </c>
      <c r="G126" s="211">
        <f t="shared" si="38"/>
        <v>43.152335534985326</v>
      </c>
      <c r="H126" s="200">
        <f t="shared" si="42"/>
        <v>-7.8815324687237162E-2</v>
      </c>
      <c r="I126" s="213">
        <f t="shared" si="43"/>
        <v>0.44829272718933988</v>
      </c>
      <c r="J126" s="214">
        <f t="shared" ca="1" si="44"/>
        <v>0.50459514247007797</v>
      </c>
      <c r="K126" s="176">
        <f>DANE!O126</f>
        <v>0</v>
      </c>
      <c r="L126" s="198">
        <f t="shared" si="2"/>
        <v>679</v>
      </c>
      <c r="M126" s="177">
        <f t="shared" ca="1" si="18"/>
        <v>1.8571428571428572</v>
      </c>
      <c r="N126" s="211">
        <f t="shared" si="62"/>
        <v>15.109328559390905</v>
      </c>
      <c r="O126" s="200">
        <f t="shared" si="66"/>
        <v>-0.14285714285714282</v>
      </c>
      <c r="P126" s="213">
        <f t="shared" si="67"/>
        <v>2.2204460492503131E-16</v>
      </c>
      <c r="Q126" s="217">
        <f t="shared" ca="1" si="68"/>
        <v>0.65779234188287095</v>
      </c>
      <c r="R126" s="176">
        <f>DANE!S126</f>
        <v>10</v>
      </c>
      <c r="S126" s="198">
        <f t="shared" si="3"/>
        <v>678</v>
      </c>
      <c r="T126" s="177">
        <f t="shared" ca="1" si="19"/>
        <v>6.5714285714285712</v>
      </c>
      <c r="U126" s="211">
        <f t="shared" si="50"/>
        <v>45.297608015197213</v>
      </c>
      <c r="V126" s="200">
        <f t="shared" si="55"/>
        <v>9.9975985317950045E-2</v>
      </c>
      <c r="W126" s="213">
        <f t="shared" si="56"/>
        <v>1.6998318972256503</v>
      </c>
      <c r="X126" s="214">
        <f t="shared" ca="1" si="57"/>
        <v>1.0532791750708974</v>
      </c>
      <c r="Y126" s="176">
        <f>DANE!W126</f>
        <v>0</v>
      </c>
      <c r="Z126" s="198">
        <f t="shared" si="4"/>
        <v>151</v>
      </c>
      <c r="AA126" s="177">
        <f t="shared" ca="1" si="20"/>
        <v>0.2857142857142857</v>
      </c>
      <c r="AB126" s="211">
        <f t="shared" si="94"/>
        <v>3.9793308418193707</v>
      </c>
      <c r="AC126" s="200">
        <f t="shared" si="95"/>
        <v>-0.14285714285714274</v>
      </c>
      <c r="AD126" s="213">
        <f t="shared" si="96"/>
        <v>7.7715611723760958E-16</v>
      </c>
      <c r="AE126" s="217">
        <f t="shared" ca="1" si="97"/>
        <v>0.31910300893713411</v>
      </c>
      <c r="AF126" s="176">
        <f>DANE!AA126</f>
        <v>21</v>
      </c>
      <c r="AG126" s="198">
        <f t="shared" si="5"/>
        <v>3228</v>
      </c>
      <c r="AH126" s="177">
        <f t="shared" ca="1" si="21"/>
        <v>24.428571428571427</v>
      </c>
      <c r="AI126" s="211">
        <f t="shared" si="37"/>
        <v>223.16408197963844</v>
      </c>
      <c r="AJ126" s="200">
        <f t="shared" si="39"/>
        <v>-5.3820555231191933E-2</v>
      </c>
      <c r="AK126" s="213">
        <f t="shared" si="40"/>
        <v>0.62325611338165643</v>
      </c>
      <c r="AL126" s="214">
        <f t="shared" ca="1" si="41"/>
        <v>0.66774702713294565</v>
      </c>
      <c r="AM126" s="176">
        <f>DANE!AE126</f>
        <v>29</v>
      </c>
      <c r="AN126" s="198">
        <f t="shared" si="6"/>
        <v>1834</v>
      </c>
      <c r="AO126" s="177">
        <f t="shared" ca="1" si="22"/>
        <v>23.857142857142858</v>
      </c>
      <c r="AP126" s="211">
        <f t="shared" si="49"/>
        <v>140.52800406175888</v>
      </c>
      <c r="AQ126" s="200">
        <f t="shared" si="51"/>
        <v>8.0020896306708444E-2</v>
      </c>
      <c r="AR126" s="213">
        <f t="shared" si="52"/>
        <v>1.5601462741469592</v>
      </c>
      <c r="AS126" s="217">
        <f t="shared" ca="1" si="53"/>
        <v>1.5362593266333584</v>
      </c>
      <c r="AT126" s="176">
        <f>DANE!AI126</f>
        <v>28</v>
      </c>
      <c r="AU126" s="198">
        <f t="shared" si="7"/>
        <v>5152</v>
      </c>
      <c r="AV126" s="177">
        <f t="shared" ca="1" si="23"/>
        <v>29.857142857142858</v>
      </c>
      <c r="AW126" s="211">
        <f t="shared" si="33"/>
        <v>245.2875520353079</v>
      </c>
      <c r="AX126" s="200">
        <f t="shared" si="34"/>
        <v>-3.2404428124086476E-2</v>
      </c>
      <c r="AY126" s="213">
        <f t="shared" si="35"/>
        <v>0.77316900313139469</v>
      </c>
      <c r="AZ126" s="214">
        <f t="shared" ca="1" si="36"/>
        <v>0.78473204320392576</v>
      </c>
      <c r="BA126" s="176">
        <f>DANE!AM126</f>
        <v>3</v>
      </c>
      <c r="BB126" s="198">
        <f t="shared" si="8"/>
        <v>967</v>
      </c>
      <c r="BC126" s="177">
        <f t="shared" ca="1" si="24"/>
        <v>7.7142857142857144</v>
      </c>
      <c r="BD126" s="211">
        <f t="shared" si="77"/>
        <v>57.080288590962034</v>
      </c>
      <c r="BE126" s="200">
        <f t="shared" si="80"/>
        <v>-9.5308791351890049E-2</v>
      </c>
      <c r="BF126" s="213">
        <f t="shared" si="81"/>
        <v>0.33283846053676958</v>
      </c>
      <c r="BG126" s="217">
        <f t="shared" ca="1" si="82"/>
        <v>0.76780861400859446</v>
      </c>
      <c r="BH126" s="176">
        <f>DANE!AQ126</f>
        <v>40</v>
      </c>
      <c r="BI126" s="198">
        <f t="shared" si="9"/>
        <v>735</v>
      </c>
      <c r="BJ126" s="177">
        <f t="shared" ca="1" si="25"/>
        <v>16.142857142857142</v>
      </c>
      <c r="BK126" s="211">
        <f t="shared" si="61"/>
        <v>113.34054507259741</v>
      </c>
      <c r="BL126" s="200">
        <f t="shared" si="63"/>
        <v>0.32462935116571984</v>
      </c>
      <c r="BM126" s="213">
        <f t="shared" si="64"/>
        <v>3.2724054581600388</v>
      </c>
      <c r="BN126" s="214">
        <f t="shared" ca="1" si="65"/>
        <v>1.351936331202795</v>
      </c>
      <c r="BO126" s="176">
        <f>DANE!AU126</f>
        <v>13</v>
      </c>
      <c r="BP126" s="198">
        <f t="shared" si="10"/>
        <v>874</v>
      </c>
      <c r="BQ126" s="177">
        <f t="shared" ca="1" si="26"/>
        <v>12.428571428571429</v>
      </c>
      <c r="BR126" s="211">
        <f t="shared" si="78"/>
        <v>84.435268845256502</v>
      </c>
      <c r="BS126" s="200">
        <f t="shared" si="83"/>
        <v>1.312823135618677E-2</v>
      </c>
      <c r="BT126" s="213">
        <f t="shared" si="84"/>
        <v>1.0918976194933074</v>
      </c>
      <c r="BU126" s="217">
        <f t="shared" ca="1" si="85"/>
        <v>0.91540618248583372</v>
      </c>
      <c r="BV126" s="176">
        <f>DANE!AY126</f>
        <v>4</v>
      </c>
      <c r="BW126" s="198">
        <f t="shared" si="11"/>
        <v>685</v>
      </c>
      <c r="BX126" s="177">
        <f t="shared" ca="1" si="27"/>
        <v>4.5714285714285712</v>
      </c>
      <c r="BY126" s="211">
        <f t="shared" si="69"/>
        <v>33.073094493583035</v>
      </c>
      <c r="BZ126" s="200">
        <f t="shared" si="71"/>
        <v>-2.4927782797855735E-2</v>
      </c>
      <c r="CA126" s="213">
        <f t="shared" si="72"/>
        <v>0.82550552041500991</v>
      </c>
      <c r="CB126" s="214">
        <f t="shared" ca="1" si="73"/>
        <v>0.97853353630081608</v>
      </c>
      <c r="CC126" s="176">
        <f>DANE!BC126</f>
        <v>93</v>
      </c>
      <c r="CD126" s="198">
        <f t="shared" si="12"/>
        <v>13179</v>
      </c>
      <c r="CE126" s="177">
        <f t="shared" ca="1" si="28"/>
        <v>97.428571428571431</v>
      </c>
      <c r="CF126" s="211">
        <f t="shared" si="45"/>
        <v>764.29563205722661</v>
      </c>
      <c r="CG126" s="200">
        <f t="shared" si="46"/>
        <v>-2.4110227329037164E-2</v>
      </c>
      <c r="CH126" s="213">
        <f t="shared" si="47"/>
        <v>0.83122840869673986</v>
      </c>
      <c r="CI126" s="217">
        <f t="shared" ca="1" si="48"/>
        <v>0.88956849547903649</v>
      </c>
      <c r="CJ126" s="176">
        <f>DANE!BG126</f>
        <v>2</v>
      </c>
      <c r="CK126" s="198">
        <f t="shared" si="13"/>
        <v>823</v>
      </c>
      <c r="CL126" s="177">
        <f t="shared" ca="1" si="29"/>
        <v>8.2857142857142865</v>
      </c>
      <c r="CM126" s="211">
        <f t="shared" si="79"/>
        <v>61.071552329684486</v>
      </c>
      <c r="CN126" s="200">
        <f t="shared" si="86"/>
        <v>-0.11383664742952809</v>
      </c>
      <c r="CO126" s="213">
        <f t="shared" si="87"/>
        <v>0.20314346799330329</v>
      </c>
      <c r="CP126" s="214">
        <f t="shared" ca="1" si="88"/>
        <v>0.80956157987202904</v>
      </c>
      <c r="CQ126" s="176">
        <f>DANE!BK126</f>
        <v>4</v>
      </c>
      <c r="CR126" s="198">
        <f t="shared" si="14"/>
        <v>271</v>
      </c>
      <c r="CS126" s="177">
        <f t="shared" ca="1" si="30"/>
        <v>5</v>
      </c>
      <c r="CT126" s="211">
        <f t="shared" si="89"/>
        <v>33.026429376990357</v>
      </c>
      <c r="CU126" s="200">
        <f t="shared" si="90"/>
        <v>-2.4738190503695471E-2</v>
      </c>
      <c r="CV126" s="213">
        <f t="shared" si="91"/>
        <v>0.82683266647413167</v>
      </c>
      <c r="CW126" s="217">
        <f t="shared" ca="1" si="92"/>
        <v>1.3285500664608707</v>
      </c>
      <c r="CX126" s="176">
        <f>DANE!BO126</f>
        <v>57</v>
      </c>
      <c r="CY126" s="198">
        <f t="shared" si="15"/>
        <v>2907</v>
      </c>
      <c r="CZ126" s="177">
        <f t="shared" ca="1" si="31"/>
        <v>42.428571428571431</v>
      </c>
      <c r="DA126" s="211">
        <f t="shared" si="54"/>
        <v>265.40076278865376</v>
      </c>
      <c r="DB126" s="200">
        <f t="shared" si="58"/>
        <v>9.1581264197492254E-2</v>
      </c>
      <c r="DC126" s="213">
        <f t="shared" si="59"/>
        <v>1.6410688493824459</v>
      </c>
      <c r="DD126" s="214">
        <f t="shared" ca="1" si="60"/>
        <v>1.6923624261902754</v>
      </c>
      <c r="DE126" s="176">
        <f>DANE!BS126</f>
        <v>7</v>
      </c>
      <c r="DF126" s="198">
        <f t="shared" si="16"/>
        <v>620</v>
      </c>
      <c r="DG126" s="177">
        <f t="shared" ca="1" si="32"/>
        <v>1.5714285714285714</v>
      </c>
      <c r="DH126" s="211">
        <f t="shared" si="70"/>
        <v>15.205364372759474</v>
      </c>
      <c r="DI126" s="200">
        <f t="shared" si="74"/>
        <v>0.5883718102310419</v>
      </c>
      <c r="DJ126" s="157">
        <f t="shared" si="75"/>
        <v>5.1186026716172934</v>
      </c>
      <c r="DK126" s="225">
        <f t="shared" ca="1" si="76"/>
        <v>1.128591425390892</v>
      </c>
      <c r="DL126" s="88"/>
      <c r="DM126" s="88"/>
      <c r="DN126" s="88"/>
      <c r="DO126" s="88"/>
      <c r="DP126" s="88"/>
      <c r="DQ126" s="88"/>
      <c r="DR126" s="88"/>
      <c r="DS126" s="88"/>
      <c r="DT126" s="88"/>
      <c r="DU126" s="88"/>
      <c r="DV126" s="88"/>
      <c r="DW126" s="88"/>
      <c r="DX126" s="88"/>
      <c r="DY126" s="88"/>
      <c r="DZ126" s="88"/>
      <c r="EA126" s="88"/>
      <c r="EB126" s="88"/>
      <c r="EC126" s="88"/>
      <c r="ED126" s="88"/>
      <c r="EE126" s="88"/>
      <c r="EF126" s="88"/>
      <c r="EG126" s="88"/>
      <c r="EH126" s="88"/>
    </row>
    <row r="127" spans="1:138" x14ac:dyDescent="0.25">
      <c r="A127" s="61">
        <v>44017</v>
      </c>
      <c r="B127" s="62" t="str">
        <f t="shared" ca="1" si="0"/>
        <v/>
      </c>
      <c r="C127" s="12">
        <f t="shared" si="93"/>
        <v>124</v>
      </c>
      <c r="D127" s="176">
        <f>DANE!K127</f>
        <v>0</v>
      </c>
      <c r="E127" s="198">
        <f t="shared" si="1"/>
        <v>2936</v>
      </c>
      <c r="F127" s="178">
        <f t="shared" ca="1" si="17"/>
        <v>3.7142857142857144</v>
      </c>
      <c r="G127" s="211">
        <f t="shared" si="38"/>
        <v>36.987716172844571</v>
      </c>
      <c r="H127" s="200">
        <f t="shared" si="42"/>
        <v>-0.14285714285714271</v>
      </c>
      <c r="I127" s="213">
        <f t="shared" si="43"/>
        <v>9.9920072216264089E-16</v>
      </c>
      <c r="J127" s="214">
        <f t="shared" ca="1" si="44"/>
        <v>0.47696443978593062</v>
      </c>
      <c r="K127" s="176">
        <f>DANE!O127</f>
        <v>2</v>
      </c>
      <c r="L127" s="198">
        <f t="shared" si="2"/>
        <v>681</v>
      </c>
      <c r="M127" s="177">
        <f t="shared" ca="1" si="18"/>
        <v>1.7142857142857142</v>
      </c>
      <c r="N127" s="211">
        <f t="shared" si="62"/>
        <v>14.95085305090649</v>
      </c>
      <c r="O127" s="200">
        <f t="shared" si="66"/>
        <v>-1.0488587091179336E-2</v>
      </c>
      <c r="P127" s="213">
        <f t="shared" si="67"/>
        <v>0.9265798903617446</v>
      </c>
      <c r="Q127" s="217">
        <f t="shared" ca="1" si="68"/>
        <v>0.65337008696317711</v>
      </c>
      <c r="R127" s="176">
        <f>DANE!S127</f>
        <v>14</v>
      </c>
      <c r="S127" s="198">
        <f t="shared" si="3"/>
        <v>692</v>
      </c>
      <c r="T127" s="177">
        <f t="shared" ca="1" si="19"/>
        <v>7.1428571428571432</v>
      </c>
      <c r="U127" s="211">
        <f t="shared" si="50"/>
        <v>52.826521155883327</v>
      </c>
      <c r="V127" s="200">
        <f t="shared" si="55"/>
        <v>0.16620994950020732</v>
      </c>
      <c r="W127" s="213">
        <f t="shared" si="56"/>
        <v>2.1634696465014516</v>
      </c>
      <c r="X127" s="214">
        <f t="shared" ca="1" si="57"/>
        <v>1.134566429174821</v>
      </c>
      <c r="Y127" s="176">
        <f>DANE!W127</f>
        <v>0</v>
      </c>
      <c r="Z127" s="198">
        <f t="shared" si="4"/>
        <v>151</v>
      </c>
      <c r="AA127" s="177">
        <f t="shared" ca="1" si="20"/>
        <v>0.2857142857142857</v>
      </c>
      <c r="AB127" s="211">
        <f t="shared" si="94"/>
        <v>3.4108550072737467</v>
      </c>
      <c r="AC127" s="200">
        <f t="shared" si="95"/>
        <v>-0.14285714285714277</v>
      </c>
      <c r="AD127" s="213">
        <f t="shared" si="96"/>
        <v>5.5511151231257827E-16</v>
      </c>
      <c r="AE127" s="217">
        <f t="shared" ca="1" si="97"/>
        <v>0.31910300893713411</v>
      </c>
      <c r="AF127" s="176">
        <f>DANE!AA127</f>
        <v>16</v>
      </c>
      <c r="AG127" s="198">
        <f t="shared" si="5"/>
        <v>3244</v>
      </c>
      <c r="AH127" s="177">
        <f t="shared" ca="1" si="21"/>
        <v>23</v>
      </c>
      <c r="AI127" s="211">
        <f t="shared" si="37"/>
        <v>207.28349883969011</v>
      </c>
      <c r="AJ127" s="200">
        <f t="shared" si="39"/>
        <v>-7.1161017485767614E-2</v>
      </c>
      <c r="AK127" s="213">
        <f t="shared" si="40"/>
        <v>0.50187287759962662</v>
      </c>
      <c r="AL127" s="214">
        <f t="shared" ca="1" si="41"/>
        <v>0.65752660774839189</v>
      </c>
      <c r="AM127" s="176">
        <f>DANE!AE127</f>
        <v>17</v>
      </c>
      <c r="AN127" s="198">
        <f t="shared" si="6"/>
        <v>1851</v>
      </c>
      <c r="AO127" s="177">
        <f t="shared" ca="1" si="22"/>
        <v>23.714285714285715</v>
      </c>
      <c r="AP127" s="211">
        <f t="shared" si="49"/>
        <v>137.45257491007905</v>
      </c>
      <c r="AQ127" s="200">
        <f t="shared" si="51"/>
        <v>-2.1884813437813049E-2</v>
      </c>
      <c r="AR127" s="213">
        <f t="shared" si="52"/>
        <v>0.84680630593530859</v>
      </c>
      <c r="AS127" s="217">
        <f t="shared" ca="1" si="53"/>
        <v>1.4494922285289975</v>
      </c>
      <c r="AT127" s="176">
        <f>DANE!AI127</f>
        <v>17</v>
      </c>
      <c r="AU127" s="198">
        <f t="shared" si="7"/>
        <v>5169</v>
      </c>
      <c r="AV127" s="177">
        <f t="shared" ca="1" si="23"/>
        <v>27.714285714285715</v>
      </c>
      <c r="AW127" s="211">
        <f t="shared" si="33"/>
        <v>227.24647317312107</v>
      </c>
      <c r="AX127" s="200">
        <f t="shared" si="34"/>
        <v>-7.3550731427210386E-2</v>
      </c>
      <c r="AY127" s="213">
        <f t="shared" si="35"/>
        <v>0.48514488000952727</v>
      </c>
      <c r="AZ127" s="214">
        <f t="shared" ca="1" si="36"/>
        <v>0.74970652311472386</v>
      </c>
      <c r="BA127" s="176">
        <f>DANE!AM127</f>
        <v>5</v>
      </c>
      <c r="BB127" s="198">
        <f t="shared" si="8"/>
        <v>972</v>
      </c>
      <c r="BC127" s="177">
        <f t="shared" ca="1" si="24"/>
        <v>5.7142857142857144</v>
      </c>
      <c r="BD127" s="211">
        <f t="shared" si="77"/>
        <v>53.925961649396037</v>
      </c>
      <c r="BE127" s="200">
        <f t="shared" si="80"/>
        <v>-5.5261229742020732E-2</v>
      </c>
      <c r="BF127" s="213">
        <f t="shared" si="81"/>
        <v>0.61317139180585478</v>
      </c>
      <c r="BG127" s="217">
        <f t="shared" ca="1" si="82"/>
        <v>0.59747097967353746</v>
      </c>
      <c r="BH127" s="176">
        <f>DANE!AQ127</f>
        <v>27</v>
      </c>
      <c r="BI127" s="198">
        <f t="shared" si="9"/>
        <v>762</v>
      </c>
      <c r="BJ127" s="177">
        <f t="shared" ca="1" si="25"/>
        <v>18</v>
      </c>
      <c r="BK127" s="211">
        <f t="shared" si="61"/>
        <v>124.14903863365492</v>
      </c>
      <c r="BL127" s="200">
        <f t="shared" si="63"/>
        <v>9.5362992600171559E-2</v>
      </c>
      <c r="BM127" s="213">
        <f t="shared" si="64"/>
        <v>1.6675409482012009</v>
      </c>
      <c r="BN127" s="214">
        <f t="shared" ca="1" si="65"/>
        <v>1.4244910124152379</v>
      </c>
      <c r="BO127" s="176">
        <f>DANE!AU127</f>
        <v>2</v>
      </c>
      <c r="BP127" s="198">
        <f t="shared" si="10"/>
        <v>876</v>
      </c>
      <c r="BQ127" s="177">
        <f t="shared" ca="1" si="26"/>
        <v>10</v>
      </c>
      <c r="BR127" s="211">
        <f t="shared" si="78"/>
        <v>74.373087581648434</v>
      </c>
      <c r="BS127" s="200">
        <f t="shared" si="83"/>
        <v>-0.11917035856247353</v>
      </c>
      <c r="BT127" s="213">
        <f t="shared" si="84"/>
        <v>0.16580749006268525</v>
      </c>
      <c r="BU127" s="217">
        <f t="shared" ca="1" si="85"/>
        <v>0.73524682610709113</v>
      </c>
      <c r="BV127" s="176">
        <f>DANE!AY127</f>
        <v>2</v>
      </c>
      <c r="BW127" s="198">
        <f t="shared" si="11"/>
        <v>687</v>
      </c>
      <c r="BX127" s="177">
        <f t="shared" ca="1" si="27"/>
        <v>4.2857142857142856</v>
      </c>
      <c r="BY127" s="211">
        <f t="shared" si="69"/>
        <v>30.348366708785459</v>
      </c>
      <c r="BZ127" s="200">
        <f t="shared" si="71"/>
        <v>-8.2385027059570667E-2</v>
      </c>
      <c r="CA127" s="213">
        <f t="shared" si="72"/>
        <v>0.42330481058300529</v>
      </c>
      <c r="CB127" s="214">
        <f t="shared" ca="1" si="73"/>
        <v>0.92577135589378712</v>
      </c>
      <c r="CC127" s="176">
        <f>DANE!BC127</f>
        <v>87</v>
      </c>
      <c r="CD127" s="198">
        <f t="shared" si="12"/>
        <v>13266</v>
      </c>
      <c r="CE127" s="177">
        <f t="shared" ca="1" si="28"/>
        <v>105.57142857142857</v>
      </c>
      <c r="CF127" s="211">
        <f t="shared" si="45"/>
        <v>742.1105417633371</v>
      </c>
      <c r="CG127" s="200">
        <f t="shared" si="46"/>
        <v>-2.9026844277749854E-2</v>
      </c>
      <c r="CH127" s="213">
        <f t="shared" si="47"/>
        <v>0.79681209005575104</v>
      </c>
      <c r="CI127" s="217">
        <f t="shared" ca="1" si="48"/>
        <v>0.96874145610246132</v>
      </c>
      <c r="CJ127" s="176">
        <f>DANE!BG127</f>
        <v>5</v>
      </c>
      <c r="CK127" s="198">
        <f t="shared" si="13"/>
        <v>828</v>
      </c>
      <c r="CL127" s="177">
        <f t="shared" ca="1" si="29"/>
        <v>7.5714285714285712</v>
      </c>
      <c r="CM127" s="211">
        <f t="shared" si="79"/>
        <v>57.34704485401528</v>
      </c>
      <c r="CN127" s="200">
        <f t="shared" si="86"/>
        <v>-6.0985963735833669E-2</v>
      </c>
      <c r="CO127" s="213">
        <f t="shared" si="87"/>
        <v>0.57309825384916424</v>
      </c>
      <c r="CP127" s="214">
        <f t="shared" ca="1" si="88"/>
        <v>0.75816184511314944</v>
      </c>
      <c r="CQ127" s="176">
        <f>DANE!BK127</f>
        <v>1</v>
      </c>
      <c r="CR127" s="198">
        <f t="shared" si="14"/>
        <v>272</v>
      </c>
      <c r="CS127" s="177">
        <f t="shared" ca="1" si="30"/>
        <v>4.5714285714285712</v>
      </c>
      <c r="CT127" s="211">
        <f t="shared" si="89"/>
        <v>29.308368037420308</v>
      </c>
      <c r="CU127" s="200">
        <f t="shared" si="90"/>
        <v>-0.11257836253290029</v>
      </c>
      <c r="CV127" s="213">
        <f t="shared" si="91"/>
        <v>0.21195146226969785</v>
      </c>
      <c r="CW127" s="217">
        <f t="shared" ca="1" si="92"/>
        <v>1.1998928424944679</v>
      </c>
      <c r="CX127" s="176">
        <f>DANE!BO127</f>
        <v>35</v>
      </c>
      <c r="CY127" s="198">
        <f t="shared" si="15"/>
        <v>2942</v>
      </c>
      <c r="CZ127" s="177">
        <f t="shared" ca="1" si="31"/>
        <v>47.142857142857146</v>
      </c>
      <c r="DA127" s="211">
        <f t="shared" si="54"/>
        <v>262.48636810456037</v>
      </c>
      <c r="DB127" s="200">
        <f t="shared" si="58"/>
        <v>-1.0981108921733623E-2</v>
      </c>
      <c r="DC127" s="213">
        <f t="shared" si="59"/>
        <v>0.92313223754786466</v>
      </c>
      <c r="DD127" s="214">
        <f t="shared" ca="1" si="60"/>
        <v>1.8111266549811145</v>
      </c>
      <c r="DE127" s="176">
        <f>DANE!BS127</f>
        <v>1</v>
      </c>
      <c r="DF127" s="198">
        <f t="shared" si="16"/>
        <v>621</v>
      </c>
      <c r="DG127" s="177">
        <f t="shared" ca="1" si="32"/>
        <v>1.7142857142857142</v>
      </c>
      <c r="DH127" s="211">
        <f t="shared" si="70"/>
        <v>14.033169462365265</v>
      </c>
      <c r="DI127" s="200">
        <f t="shared" si="74"/>
        <v>-7.7090879354013056E-2</v>
      </c>
      <c r="DJ127" s="157">
        <f t="shared" si="75"/>
        <v>0.46036384452190859</v>
      </c>
      <c r="DK127" s="225">
        <f t="shared" ca="1" si="76"/>
        <v>1.1943576888940217</v>
      </c>
      <c r="DL127" s="88"/>
      <c r="DM127" s="88"/>
      <c r="DN127" s="88"/>
      <c r="DO127" s="88"/>
      <c r="DP127" s="88"/>
      <c r="DQ127" s="88"/>
      <c r="DR127" s="88"/>
      <c r="DS127" s="88"/>
      <c r="DT127" s="88"/>
      <c r="DU127" s="88"/>
      <c r="DV127" s="88"/>
      <c r="DW127" s="88"/>
      <c r="DX127" s="88"/>
      <c r="DY127" s="88"/>
      <c r="DZ127" s="88"/>
      <c r="EA127" s="88"/>
      <c r="EB127" s="88"/>
      <c r="EC127" s="88"/>
      <c r="ED127" s="88"/>
      <c r="EE127" s="88"/>
      <c r="EF127" s="88"/>
      <c r="EG127" s="88"/>
      <c r="EH127" s="88"/>
    </row>
    <row r="128" spans="1:138" x14ac:dyDescent="0.25">
      <c r="A128" s="32">
        <v>44018</v>
      </c>
      <c r="B128" s="33" t="str">
        <f t="shared" ca="1" si="0"/>
        <v/>
      </c>
      <c r="C128" s="51">
        <f t="shared" si="93"/>
        <v>125</v>
      </c>
      <c r="D128" s="176">
        <f>DANE!K128</f>
        <v>5</v>
      </c>
      <c r="E128" s="188">
        <f t="shared" si="1"/>
        <v>2941</v>
      </c>
      <c r="F128" s="178">
        <f t="shared" ca="1" si="17"/>
        <v>4</v>
      </c>
      <c r="G128" s="209">
        <f t="shared" si="38"/>
        <v>36.703756719581065</v>
      </c>
      <c r="H128" s="179">
        <f t="shared" si="42"/>
        <v>-7.6771285887605534E-3</v>
      </c>
      <c r="I128" s="213">
        <f t="shared" si="43"/>
        <v>0.9462600998786761</v>
      </c>
      <c r="J128" s="214">
        <f t="shared" ca="1" si="44"/>
        <v>0.56530076894879855</v>
      </c>
      <c r="K128" s="176">
        <f>DANE!O128</f>
        <v>3</v>
      </c>
      <c r="L128" s="188">
        <f t="shared" si="2"/>
        <v>684</v>
      </c>
      <c r="M128" s="177">
        <f t="shared" ca="1" si="18"/>
        <v>2.1428571428571428</v>
      </c>
      <c r="N128" s="209">
        <f t="shared" si="62"/>
        <v>15.815016900776993</v>
      </c>
      <c r="O128" s="179">
        <f t="shared" si="66"/>
        <v>5.7800303897583089E-2</v>
      </c>
      <c r="P128" s="213">
        <f t="shared" si="67"/>
        <v>1.4046021272830815</v>
      </c>
      <c r="Q128" s="217">
        <f t="shared" ca="1" si="68"/>
        <v>0.85402753371790296</v>
      </c>
      <c r="R128" s="176">
        <f>DANE!S128</f>
        <v>26</v>
      </c>
      <c r="S128" s="188">
        <f t="shared" si="3"/>
        <v>718</v>
      </c>
      <c r="T128" s="177">
        <f t="shared" ca="1" si="19"/>
        <v>9.5714285714285712</v>
      </c>
      <c r="U128" s="209">
        <f t="shared" si="50"/>
        <v>71.279875276471429</v>
      </c>
      <c r="V128" s="179">
        <f t="shared" si="55"/>
        <v>0.34931988169606998</v>
      </c>
      <c r="W128" s="213">
        <f t="shared" si="56"/>
        <v>3.44523917187249</v>
      </c>
      <c r="X128" s="214">
        <f t="shared" ca="1" si="57"/>
        <v>1.437788189635965</v>
      </c>
      <c r="Y128" s="176">
        <f>DANE!W128</f>
        <v>1</v>
      </c>
      <c r="Z128" s="188">
        <f t="shared" si="4"/>
        <v>152</v>
      </c>
      <c r="AA128" s="177">
        <f t="shared" ca="1" si="20"/>
        <v>0.42857142857142855</v>
      </c>
      <c r="AB128" s="209">
        <f t="shared" si="94"/>
        <v>3.9235900062346403</v>
      </c>
      <c r="AC128" s="179">
        <f t="shared" si="95"/>
        <v>0.15032447813450628</v>
      </c>
      <c r="AD128" s="213">
        <f t="shared" si="96"/>
        <v>2.0522713469415441</v>
      </c>
      <c r="AE128" s="217">
        <f t="shared" ca="1" si="97"/>
        <v>0.61228462992878308</v>
      </c>
      <c r="AF128" s="176">
        <f>DANE!AA128</f>
        <v>31</v>
      </c>
      <c r="AG128" s="188">
        <f t="shared" si="5"/>
        <v>3275</v>
      </c>
      <c r="AH128" s="177">
        <f t="shared" ca="1" si="21"/>
        <v>24.428571428571427</v>
      </c>
      <c r="AI128" s="209">
        <f t="shared" si="37"/>
        <v>208.67157043402011</v>
      </c>
      <c r="AJ128" s="179">
        <f t="shared" si="39"/>
        <v>6.6964886356125899E-3</v>
      </c>
      <c r="AK128" s="213">
        <f t="shared" si="40"/>
        <v>1.0468754204492881</v>
      </c>
      <c r="AL128" s="214">
        <f t="shared" ca="1" si="41"/>
        <v>0.73662318089285395</v>
      </c>
      <c r="AM128" s="176">
        <f>DANE!AE128</f>
        <v>12</v>
      </c>
      <c r="AN128" s="188">
        <f t="shared" si="6"/>
        <v>1863</v>
      </c>
      <c r="AO128" s="177">
        <f t="shared" ca="1" si="22"/>
        <v>23.142857142857142</v>
      </c>
      <c r="AP128" s="209">
        <f t="shared" si="49"/>
        <v>129.81649278006776</v>
      </c>
      <c r="AQ128" s="179">
        <f t="shared" si="51"/>
        <v>-5.5554303984532732E-2</v>
      </c>
      <c r="AR128" s="213">
        <f t="shared" si="52"/>
        <v>0.6111198721082709</v>
      </c>
      <c r="AS128" s="217">
        <f t="shared" ca="1" si="53"/>
        <v>1.3633887937046327</v>
      </c>
      <c r="AT128" s="176">
        <f>DANE!AI128</f>
        <v>39</v>
      </c>
      <c r="AU128" s="188">
        <f t="shared" si="7"/>
        <v>5208</v>
      </c>
      <c r="AV128" s="177">
        <f t="shared" ca="1" si="23"/>
        <v>29.428571428571427</v>
      </c>
      <c r="AW128" s="209">
        <f t="shared" si="33"/>
        <v>233.78269129124666</v>
      </c>
      <c r="AX128" s="179">
        <f t="shared" si="34"/>
        <v>2.8762682328390472E-2</v>
      </c>
      <c r="AY128" s="213">
        <f t="shared" si="35"/>
        <v>1.2013387762987333</v>
      </c>
      <c r="AZ128" s="214">
        <f t="shared" ca="1" si="36"/>
        <v>0.82976901548472493</v>
      </c>
      <c r="BA128" s="176">
        <f>DANE!AM128</f>
        <v>1</v>
      </c>
      <c r="BB128" s="188">
        <f t="shared" si="8"/>
        <v>973</v>
      </c>
      <c r="BC128" s="177">
        <f t="shared" ca="1" si="24"/>
        <v>4.7142857142857144</v>
      </c>
      <c r="BD128" s="209">
        <f t="shared" si="77"/>
        <v>47.222252842339465</v>
      </c>
      <c r="BE128" s="179">
        <f t="shared" si="80"/>
        <v>-0.12431319909770495</v>
      </c>
      <c r="BF128" s="213">
        <f t="shared" si="81"/>
        <v>0.12980760631606525</v>
      </c>
      <c r="BG128" s="217">
        <f t="shared" ca="1" si="82"/>
        <v>0.51861926652637269</v>
      </c>
      <c r="BH128" s="176">
        <f>DANE!AQ128</f>
        <v>13</v>
      </c>
      <c r="BI128" s="188">
        <f t="shared" si="9"/>
        <v>775</v>
      </c>
      <c r="BJ128" s="177">
        <f t="shared" ca="1" si="25"/>
        <v>18.142857142857142</v>
      </c>
      <c r="BK128" s="209">
        <f t="shared" si="61"/>
        <v>119.41346168598994</v>
      </c>
      <c r="BL128" s="179">
        <f t="shared" si="63"/>
        <v>-3.8144290119224794E-2</v>
      </c>
      <c r="BM128" s="213">
        <f t="shared" si="64"/>
        <v>0.73298996916542647</v>
      </c>
      <c r="BN128" s="214">
        <f t="shared" ca="1" si="65"/>
        <v>1.3903714376099572</v>
      </c>
      <c r="BO128" s="176">
        <f>DANE!AU128</f>
        <v>4</v>
      </c>
      <c r="BP128" s="188">
        <f t="shared" si="10"/>
        <v>880</v>
      </c>
      <c r="BQ128" s="177">
        <f t="shared" ca="1" si="26"/>
        <v>8.1428571428571423</v>
      </c>
      <c r="BR128" s="209">
        <f t="shared" si="78"/>
        <v>67.748360784270091</v>
      </c>
      <c r="BS128" s="179">
        <f t="shared" si="83"/>
        <v>-8.9074247322401004E-2</v>
      </c>
      <c r="BT128" s="213">
        <f t="shared" si="84"/>
        <v>0.37648026874319296</v>
      </c>
      <c r="BU128" s="217">
        <f t="shared" ca="1" si="85"/>
        <v>0.61712534510553829</v>
      </c>
      <c r="BV128" s="176">
        <f>DANE!AY128</f>
        <v>1</v>
      </c>
      <c r="BW128" s="188">
        <f t="shared" si="11"/>
        <v>688</v>
      </c>
      <c r="BX128" s="177">
        <f t="shared" ca="1" si="27"/>
        <v>3.1428571428571428</v>
      </c>
      <c r="BY128" s="209">
        <f t="shared" si="69"/>
        <v>27.012885750387539</v>
      </c>
      <c r="BZ128" s="179">
        <f t="shared" si="71"/>
        <v>-0.1099064404488147</v>
      </c>
      <c r="CA128" s="213">
        <f t="shared" si="72"/>
        <v>0.23065491685829709</v>
      </c>
      <c r="CB128" s="214">
        <f t="shared" ca="1" si="73"/>
        <v>0.69616727165914682</v>
      </c>
      <c r="CC128" s="176">
        <f>DANE!BC128</f>
        <v>49</v>
      </c>
      <c r="CD128" s="188">
        <f t="shared" si="12"/>
        <v>13315</v>
      </c>
      <c r="CE128" s="177">
        <f t="shared" ca="1" si="28"/>
        <v>101.42857142857143</v>
      </c>
      <c r="CF128" s="209">
        <f t="shared" si="45"/>
        <v>685.0947500828604</v>
      </c>
      <c r="CG128" s="179">
        <f t="shared" si="46"/>
        <v>-7.6829243720215643E-2</v>
      </c>
      <c r="CH128" s="213">
        <f t="shared" si="47"/>
        <v>0.46219529395849046</v>
      </c>
      <c r="CI128" s="217">
        <f t="shared" ca="1" si="48"/>
        <v>0.93372757572337017</v>
      </c>
      <c r="CJ128" s="176">
        <f>DANE!BG128</f>
        <v>10</v>
      </c>
      <c r="CK128" s="188">
        <f t="shared" si="13"/>
        <v>838</v>
      </c>
      <c r="CL128" s="177">
        <f t="shared" ca="1" si="29"/>
        <v>7</v>
      </c>
      <c r="CM128" s="209">
        <f t="shared" si="79"/>
        <v>59.154609874870246</v>
      </c>
      <c r="CN128" s="179">
        <f t="shared" si="86"/>
        <v>3.1519758785415519E-2</v>
      </c>
      <c r="CO128" s="213">
        <f t="shared" si="87"/>
        <v>1.2206383114979087</v>
      </c>
      <c r="CP128" s="214">
        <f t="shared" ca="1" si="88"/>
        <v>0.744153563823995</v>
      </c>
      <c r="CQ128" s="176">
        <f>DANE!BK128</f>
        <v>2</v>
      </c>
      <c r="CR128" s="188">
        <f t="shared" si="14"/>
        <v>274</v>
      </c>
      <c r="CS128" s="177">
        <f t="shared" ca="1" si="30"/>
        <v>4.5714285714285712</v>
      </c>
      <c r="CT128" s="209">
        <f t="shared" si="89"/>
        <v>27.121458317788839</v>
      </c>
      <c r="CU128" s="179">
        <f t="shared" si="90"/>
        <v>-7.4617246406871535E-2</v>
      </c>
      <c r="CV128" s="213">
        <f t="shared" si="91"/>
        <v>0.47767927515189923</v>
      </c>
      <c r="CW128" s="217">
        <f t="shared" ca="1" si="92"/>
        <v>1.18992227205912</v>
      </c>
      <c r="CX128" s="176">
        <f>DANE!BO128</f>
        <v>8</v>
      </c>
      <c r="CY128" s="188">
        <f t="shared" si="15"/>
        <v>2950</v>
      </c>
      <c r="CZ128" s="177">
        <f t="shared" ca="1" si="31"/>
        <v>43.857142857142854</v>
      </c>
      <c r="DA128" s="209">
        <f t="shared" si="54"/>
        <v>232.98831551819461</v>
      </c>
      <c r="DB128" s="179">
        <f t="shared" si="58"/>
        <v>-0.11237936963878951</v>
      </c>
      <c r="DC128" s="213">
        <f t="shared" si="59"/>
        <v>0.21334441252847336</v>
      </c>
      <c r="DD128" s="214">
        <f t="shared" ca="1" si="60"/>
        <v>1.6080716606683456</v>
      </c>
      <c r="DE128" s="176">
        <f>DANE!BS128</f>
        <v>0</v>
      </c>
      <c r="DF128" s="188">
        <f t="shared" si="16"/>
        <v>621</v>
      </c>
      <c r="DG128" s="177">
        <f t="shared" ca="1" si="32"/>
        <v>1.7142857142857142</v>
      </c>
      <c r="DH128" s="209">
        <f t="shared" si="70"/>
        <v>12.028430967741658</v>
      </c>
      <c r="DI128" s="179">
        <f t="shared" si="74"/>
        <v>-0.14285714285714274</v>
      </c>
      <c r="DJ128" s="157">
        <f t="shared" si="75"/>
        <v>7.7715611723760958E-16</v>
      </c>
      <c r="DK128" s="225">
        <f t="shared" ca="1" si="76"/>
        <v>1.1943576888940215</v>
      </c>
      <c r="DL128" s="89"/>
      <c r="DM128" s="89"/>
      <c r="DN128" s="89"/>
      <c r="DO128" s="89"/>
      <c r="DP128" s="89"/>
      <c r="DQ128" s="89"/>
      <c r="DR128" s="89"/>
      <c r="DS128" s="89"/>
      <c r="DT128" s="89"/>
      <c r="DU128" s="89"/>
      <c r="DV128" s="89"/>
      <c r="DW128" s="89"/>
      <c r="DX128" s="89"/>
      <c r="DY128" s="89"/>
      <c r="DZ128" s="89"/>
      <c r="EA128" s="89"/>
      <c r="EB128" s="89"/>
      <c r="EC128" s="89"/>
      <c r="ED128" s="89"/>
      <c r="EE128" s="89"/>
      <c r="EF128" s="89"/>
      <c r="EG128" s="89"/>
      <c r="EH128" s="89"/>
    </row>
    <row r="129" spans="1:138" x14ac:dyDescent="0.25">
      <c r="A129" s="32">
        <v>44019</v>
      </c>
      <c r="B129" s="33" t="str">
        <f t="shared" ca="1" si="0"/>
        <v/>
      </c>
      <c r="C129" s="51">
        <f t="shared" si="93"/>
        <v>126</v>
      </c>
      <c r="D129" s="176">
        <f>DANE!K129</f>
        <v>9</v>
      </c>
      <c r="E129" s="188">
        <f t="shared" si="1"/>
        <v>2950</v>
      </c>
      <c r="F129" s="178">
        <f t="shared" ca="1" si="17"/>
        <v>4.4285714285714288</v>
      </c>
      <c r="G129" s="209">
        <f t="shared" si="38"/>
        <v>40.460362902498062</v>
      </c>
      <c r="H129" s="179">
        <f t="shared" si="42"/>
        <v>0.10234936471538041</v>
      </c>
      <c r="I129" s="213">
        <f t="shared" si="43"/>
        <v>1.716445553007663</v>
      </c>
      <c r="J129" s="214">
        <f t="shared" ca="1" si="44"/>
        <v>0.70686926220087443</v>
      </c>
      <c r="K129" s="176">
        <f>DANE!O129</f>
        <v>1</v>
      </c>
      <c r="L129" s="188">
        <f t="shared" si="2"/>
        <v>685</v>
      </c>
      <c r="M129" s="177">
        <f t="shared" ca="1" si="18"/>
        <v>1.8571428571428572</v>
      </c>
      <c r="N129" s="209">
        <f t="shared" si="62"/>
        <v>14.555728772094566</v>
      </c>
      <c r="O129" s="179">
        <f t="shared" si="66"/>
        <v>-7.9626100723329443E-2</v>
      </c>
      <c r="P129" s="213">
        <f t="shared" si="67"/>
        <v>0.44261729493669388</v>
      </c>
      <c r="Q129" s="217">
        <f t="shared" ca="1" si="68"/>
        <v>0.75669526634844986</v>
      </c>
      <c r="R129" s="176">
        <f>DANE!S129</f>
        <v>15</v>
      </c>
      <c r="S129" s="188">
        <f t="shared" si="3"/>
        <v>733</v>
      </c>
      <c r="T129" s="177">
        <f t="shared" ca="1" si="19"/>
        <v>11.714285714285714</v>
      </c>
      <c r="U129" s="209">
        <f t="shared" si="50"/>
        <v>76.097035951261233</v>
      </c>
      <c r="V129" s="179">
        <f t="shared" si="55"/>
        <v>6.7580935798577171E-2</v>
      </c>
      <c r="W129" s="213">
        <f t="shared" si="56"/>
        <v>1.4730665505900402</v>
      </c>
      <c r="X129" s="214">
        <f t="shared" ca="1" si="57"/>
        <v>1.6482262682916851</v>
      </c>
      <c r="Y129" s="176">
        <f>DANE!W129</f>
        <v>0</v>
      </c>
      <c r="Z129" s="188">
        <f t="shared" si="4"/>
        <v>152</v>
      </c>
      <c r="AA129" s="177">
        <f t="shared" ca="1" si="20"/>
        <v>0.14285714285714285</v>
      </c>
      <c r="AB129" s="209">
        <f t="shared" si="94"/>
        <v>3.3630771482011204</v>
      </c>
      <c r="AC129" s="179">
        <f t="shared" si="95"/>
        <v>-0.14285714285714282</v>
      </c>
      <c r="AD129" s="213">
        <f t="shared" si="96"/>
        <v>2.2204460492503131E-16</v>
      </c>
      <c r="AE129" s="217">
        <f t="shared" ca="1" si="97"/>
        <v>0.29318162099164952</v>
      </c>
      <c r="AF129" s="176">
        <f>DANE!AA129</f>
        <v>9</v>
      </c>
      <c r="AG129" s="188">
        <f t="shared" si="5"/>
        <v>3284</v>
      </c>
      <c r="AH129" s="177">
        <f t="shared" ca="1" si="21"/>
        <v>23.285714285714285</v>
      </c>
      <c r="AI129" s="209">
        <f t="shared" si="37"/>
        <v>187.86134608630297</v>
      </c>
      <c r="AJ129" s="179">
        <f t="shared" si="39"/>
        <v>-9.9727166017074306E-2</v>
      </c>
      <c r="AK129" s="213">
        <f t="shared" si="40"/>
        <v>0.30190983788047987</v>
      </c>
      <c r="AL129" s="214">
        <f t="shared" ca="1" si="41"/>
        <v>0.71826472362525884</v>
      </c>
      <c r="AM129" s="176">
        <f>DANE!AE129</f>
        <v>21</v>
      </c>
      <c r="AN129" s="188">
        <f t="shared" si="6"/>
        <v>1884</v>
      </c>
      <c r="AO129" s="177">
        <f t="shared" ca="1" si="22"/>
        <v>19.857142857142858</v>
      </c>
      <c r="AP129" s="209">
        <f t="shared" si="49"/>
        <v>132.27127952577237</v>
      </c>
      <c r="AQ129" s="179">
        <f t="shared" si="51"/>
        <v>1.8909667740473125E-2</v>
      </c>
      <c r="AR129" s="213">
        <f t="shared" si="52"/>
        <v>1.132367674183312</v>
      </c>
      <c r="AS129" s="217">
        <f t="shared" ca="1" si="53"/>
        <v>1.0624243881029158</v>
      </c>
      <c r="AT129" s="176">
        <f>DANE!AI129</f>
        <v>6</v>
      </c>
      <c r="AU129" s="188">
        <f t="shared" si="7"/>
        <v>5214</v>
      </c>
      <c r="AV129" s="177">
        <f t="shared" ca="1" si="23"/>
        <v>27.285714285714285</v>
      </c>
      <c r="AW129" s="209">
        <f t="shared" si="33"/>
        <v>206.38516396392572</v>
      </c>
      <c r="AX129" s="179">
        <f t="shared" si="34"/>
        <v>-0.11719228303856372</v>
      </c>
      <c r="AY129" s="213">
        <f t="shared" si="35"/>
        <v>0.17965401873005393</v>
      </c>
      <c r="AZ129" s="214">
        <f t="shared" ca="1" si="36"/>
        <v>0.78037195415026983</v>
      </c>
      <c r="BA129" s="176">
        <f>DANE!AM129</f>
        <v>3</v>
      </c>
      <c r="BB129" s="188">
        <f t="shared" si="8"/>
        <v>976</v>
      </c>
      <c r="BC129" s="177">
        <f t="shared" ca="1" si="24"/>
        <v>5</v>
      </c>
      <c r="BD129" s="209">
        <f t="shared" si="77"/>
        <v>43.476216722005262</v>
      </c>
      <c r="BE129" s="179">
        <f t="shared" si="80"/>
        <v>-7.932777228653326E-2</v>
      </c>
      <c r="BF129" s="213">
        <f t="shared" si="81"/>
        <v>0.44470559399426712</v>
      </c>
      <c r="BG129" s="217">
        <f t="shared" ca="1" si="82"/>
        <v>0.56939435119428217</v>
      </c>
      <c r="BH129" s="176">
        <f>DANE!AQ129</f>
        <v>17</v>
      </c>
      <c r="BI129" s="188">
        <f t="shared" si="9"/>
        <v>792</v>
      </c>
      <c r="BJ129" s="177">
        <f t="shared" ca="1" si="25"/>
        <v>20.285714285714285</v>
      </c>
      <c r="BK129" s="209">
        <f t="shared" si="61"/>
        <v>119.35439573084854</v>
      </c>
      <c r="BL129" s="179">
        <f t="shared" si="63"/>
        <v>-4.9463397432298196E-4</v>
      </c>
      <c r="BM129" s="213">
        <f t="shared" si="64"/>
        <v>0.9965375621797391</v>
      </c>
      <c r="BN129" s="214">
        <f t="shared" ca="1" si="65"/>
        <v>1.5095017054124575</v>
      </c>
      <c r="BO129" s="176">
        <f>DANE!AU129</f>
        <v>2</v>
      </c>
      <c r="BP129" s="188">
        <f t="shared" si="10"/>
        <v>882</v>
      </c>
      <c r="BQ129" s="177">
        <f t="shared" ca="1" si="26"/>
        <v>5.5714285714285712</v>
      </c>
      <c r="BR129" s="209">
        <f t="shared" si="78"/>
        <v>60.070023529374367</v>
      </c>
      <c r="BS129" s="179">
        <f t="shared" si="83"/>
        <v>-0.1133361333914147</v>
      </c>
      <c r="BT129" s="213">
        <f t="shared" si="84"/>
        <v>0.2066470662600971</v>
      </c>
      <c r="BU129" s="217">
        <f t="shared" ca="1" si="85"/>
        <v>0.45011461495343946</v>
      </c>
      <c r="BV129" s="176">
        <f>DANE!AY129</f>
        <v>2</v>
      </c>
      <c r="BW129" s="188">
        <f t="shared" si="11"/>
        <v>690</v>
      </c>
      <c r="BX129" s="177">
        <f t="shared" ca="1" si="27"/>
        <v>3.2857142857142856</v>
      </c>
      <c r="BY129" s="209">
        <f t="shared" si="69"/>
        <v>25.153902071760751</v>
      </c>
      <c r="BZ129" s="179">
        <f t="shared" si="71"/>
        <v>-6.8818403772359607E-2</v>
      </c>
      <c r="CA129" s="213">
        <f t="shared" si="72"/>
        <v>0.51827117359348274</v>
      </c>
      <c r="CB129" s="214">
        <f t="shared" ca="1" si="73"/>
        <v>0.74415187529643134</v>
      </c>
      <c r="CC129" s="176">
        <f>DANE!BC129</f>
        <v>91</v>
      </c>
      <c r="CD129" s="188">
        <f t="shared" si="12"/>
        <v>13406</v>
      </c>
      <c r="CE129" s="177">
        <f t="shared" ca="1" si="28"/>
        <v>102.42857142857143</v>
      </c>
      <c r="CF129" s="209">
        <f t="shared" si="45"/>
        <v>678.22407149959463</v>
      </c>
      <c r="CG129" s="179">
        <f t="shared" si="46"/>
        <v>-1.0028800516183756E-2</v>
      </c>
      <c r="CH129" s="213">
        <f t="shared" si="47"/>
        <v>0.92979839638671369</v>
      </c>
      <c r="CI129" s="217">
        <f t="shared" ca="1" si="48"/>
        <v>0.95299302013100251</v>
      </c>
      <c r="CJ129" s="176">
        <f>DANE!BG129</f>
        <v>4</v>
      </c>
      <c r="CK129" s="188">
        <f t="shared" si="13"/>
        <v>842</v>
      </c>
      <c r="CL129" s="177">
        <f t="shared" ca="1" si="29"/>
        <v>6.4285714285714288</v>
      </c>
      <c r="CM129" s="209">
        <f t="shared" si="79"/>
        <v>54.703951321317355</v>
      </c>
      <c r="CN129" s="179">
        <f t="shared" si="86"/>
        <v>-7.5237729789231475E-2</v>
      </c>
      <c r="CO129" s="213">
        <f t="shared" si="87"/>
        <v>0.47333589147537969</v>
      </c>
      <c r="CP129" s="214">
        <f t="shared" ca="1" si="88"/>
        <v>0.70881191622699957</v>
      </c>
      <c r="CQ129" s="176">
        <f>DANE!BK129</f>
        <v>1</v>
      </c>
      <c r="CR129" s="188">
        <f t="shared" si="14"/>
        <v>275</v>
      </c>
      <c r="CS129" s="177">
        <f t="shared" ca="1" si="30"/>
        <v>4.4285714285714288</v>
      </c>
      <c r="CT129" s="209">
        <f t="shared" si="89"/>
        <v>24.246964272390436</v>
      </c>
      <c r="CU129" s="179">
        <f t="shared" si="90"/>
        <v>-0.10598596918046388</v>
      </c>
      <c r="CV129" s="213">
        <f t="shared" si="91"/>
        <v>0.25809821573675285</v>
      </c>
      <c r="CW129" s="217">
        <f t="shared" ca="1" si="92"/>
        <v>1.1431774849256378</v>
      </c>
      <c r="CX129" s="176">
        <f>DANE!BO129</f>
        <v>75</v>
      </c>
      <c r="CY129" s="188">
        <f t="shared" si="15"/>
        <v>3025</v>
      </c>
      <c r="CZ129" s="177">
        <f t="shared" ca="1" si="31"/>
        <v>50.857142857142854</v>
      </c>
      <c r="DA129" s="209">
        <f t="shared" si="54"/>
        <v>274.70427044416681</v>
      </c>
      <c r="DB129" s="179">
        <f t="shared" si="58"/>
        <v>0.17904741202661084</v>
      </c>
      <c r="DC129" s="213">
        <f t="shared" si="59"/>
        <v>2.2533318841862759</v>
      </c>
      <c r="DD129" s="214">
        <f t="shared" ca="1" si="60"/>
        <v>1.7503937735392194</v>
      </c>
      <c r="DE129" s="176">
        <f>DANE!BS129</f>
        <v>1</v>
      </c>
      <c r="DF129" s="188">
        <f t="shared" si="16"/>
        <v>622</v>
      </c>
      <c r="DG129" s="177">
        <f t="shared" ca="1" si="32"/>
        <v>1.5714285714285714</v>
      </c>
      <c r="DH129" s="209">
        <f t="shared" si="70"/>
        <v>11.310083686635707</v>
      </c>
      <c r="DI129" s="179">
        <f t="shared" si="74"/>
        <v>-5.9720780127719399E-2</v>
      </c>
      <c r="DJ129" s="157">
        <f t="shared" si="75"/>
        <v>0.58195453910596417</v>
      </c>
      <c r="DK129" s="225">
        <f t="shared" ca="1" si="76"/>
        <v>1.1065019304462533</v>
      </c>
      <c r="DL129" s="89"/>
      <c r="DM129" s="89"/>
      <c r="DN129" s="89"/>
      <c r="DO129" s="89"/>
      <c r="DP129" s="89"/>
      <c r="DQ129" s="89"/>
      <c r="DR129" s="89"/>
      <c r="DS129" s="89"/>
      <c r="DT129" s="89"/>
      <c r="DU129" s="89"/>
      <c r="DV129" s="89"/>
      <c r="DW129" s="89"/>
      <c r="DX129" s="89"/>
      <c r="DY129" s="89"/>
      <c r="DZ129" s="89"/>
      <c r="EA129" s="89"/>
      <c r="EB129" s="89"/>
      <c r="EC129" s="89"/>
      <c r="ED129" s="89"/>
      <c r="EE129" s="89"/>
      <c r="EF129" s="89"/>
      <c r="EG129" s="89"/>
      <c r="EH129" s="89"/>
    </row>
    <row r="130" spans="1:138" x14ac:dyDescent="0.25">
      <c r="A130" s="32">
        <v>44020</v>
      </c>
      <c r="B130" s="33" t="str">
        <f t="shared" ca="1" si="0"/>
        <v/>
      </c>
      <c r="C130" s="51">
        <f t="shared" si="93"/>
        <v>127</v>
      </c>
      <c r="D130" s="176">
        <f>DANE!K130</f>
        <v>2</v>
      </c>
      <c r="E130" s="188">
        <f t="shared" si="1"/>
        <v>2952</v>
      </c>
      <c r="F130" s="178">
        <f t="shared" ca="1" si="17"/>
        <v>4</v>
      </c>
      <c r="G130" s="209">
        <f t="shared" si="38"/>
        <v>36.680311059284058</v>
      </c>
      <c r="H130" s="179">
        <f t="shared" si="42"/>
        <v>-9.3426048904287504E-2</v>
      </c>
      <c r="I130" s="213">
        <f t="shared" si="43"/>
        <v>0.34601765766998749</v>
      </c>
      <c r="J130" s="214">
        <f t="shared" ca="1" si="44"/>
        <v>0.66640991963601581</v>
      </c>
      <c r="K130" s="176">
        <f>DANE!O130</f>
        <v>5</v>
      </c>
      <c r="L130" s="188">
        <f t="shared" si="2"/>
        <v>690</v>
      </c>
      <c r="M130" s="177">
        <f t="shared" ca="1" si="18"/>
        <v>2</v>
      </c>
      <c r="N130" s="209">
        <f t="shared" si="62"/>
        <v>17.476338947509632</v>
      </c>
      <c r="O130" s="179">
        <f t="shared" si="66"/>
        <v>0.20065021965882579</v>
      </c>
      <c r="P130" s="213">
        <f t="shared" si="67"/>
        <v>2.4045515376117805</v>
      </c>
      <c r="Q130" s="217">
        <f t="shared" ca="1" si="68"/>
        <v>0.8898428809456822</v>
      </c>
      <c r="R130" s="176">
        <f>DANE!S130</f>
        <v>10</v>
      </c>
      <c r="S130" s="188">
        <f t="shared" si="3"/>
        <v>743</v>
      </c>
      <c r="T130" s="177">
        <f t="shared" ca="1" si="19"/>
        <v>12.142857142857142</v>
      </c>
      <c r="U130" s="209">
        <f t="shared" si="50"/>
        <v>75.226030815366769</v>
      </c>
      <c r="V130" s="179">
        <f t="shared" si="55"/>
        <v>-1.1445979794171311E-2</v>
      </c>
      <c r="W130" s="213">
        <f t="shared" si="56"/>
        <v>0.91987814144080082</v>
      </c>
      <c r="X130" s="214">
        <f t="shared" ca="1" si="57"/>
        <v>1.6157336800475066</v>
      </c>
      <c r="Y130" s="176">
        <f>DANE!W130</f>
        <v>0</v>
      </c>
      <c r="Z130" s="188">
        <f t="shared" si="4"/>
        <v>152</v>
      </c>
      <c r="AA130" s="177">
        <f t="shared" ca="1" si="20"/>
        <v>0.14285714285714285</v>
      </c>
      <c r="AB130" s="209">
        <f t="shared" si="94"/>
        <v>2.8826375556009607</v>
      </c>
      <c r="AC130" s="179">
        <f t="shared" si="95"/>
        <v>-0.14285714285714274</v>
      </c>
      <c r="AD130" s="213">
        <f t="shared" si="96"/>
        <v>7.7715611723760958E-16</v>
      </c>
      <c r="AE130" s="217">
        <f t="shared" ca="1" si="97"/>
        <v>0.29318162099164968</v>
      </c>
      <c r="AF130" s="176">
        <f>DANE!AA130</f>
        <v>32</v>
      </c>
      <c r="AG130" s="188">
        <f t="shared" si="5"/>
        <v>3316</v>
      </c>
      <c r="AH130" s="177">
        <f t="shared" ca="1" si="21"/>
        <v>26.428571428571427</v>
      </c>
      <c r="AI130" s="209">
        <f t="shared" si="37"/>
        <v>193.02401093111683</v>
      </c>
      <c r="AJ130" s="179">
        <f t="shared" si="39"/>
        <v>2.7481251211955798E-2</v>
      </c>
      <c r="AK130" s="213">
        <f t="shared" si="40"/>
        <v>1.1923687584836906</v>
      </c>
      <c r="AL130" s="214">
        <f t="shared" ca="1" si="41"/>
        <v>0.84922968521208531</v>
      </c>
      <c r="AM130" s="176">
        <f>DANE!AE130</f>
        <v>28</v>
      </c>
      <c r="AN130" s="188">
        <f t="shared" si="6"/>
        <v>1912</v>
      </c>
      <c r="AO130" s="177">
        <f t="shared" ca="1" si="22"/>
        <v>21.285714285714285</v>
      </c>
      <c r="AP130" s="209">
        <f t="shared" si="49"/>
        <v>141.37538245066204</v>
      </c>
      <c r="AQ130" s="179">
        <f t="shared" si="51"/>
        <v>6.8829022880328203E-2</v>
      </c>
      <c r="AR130" s="213">
        <f t="shared" si="52"/>
        <v>1.4818031601622974</v>
      </c>
      <c r="AS130" s="217">
        <f t="shared" ca="1" si="53"/>
        <v>1.1306884367437284</v>
      </c>
      <c r="AT130" s="176">
        <f>DANE!AI130</f>
        <v>37</v>
      </c>
      <c r="AU130" s="188">
        <f t="shared" si="7"/>
        <v>5251</v>
      </c>
      <c r="AV130" s="177">
        <f t="shared" ca="1" si="23"/>
        <v>29.714285714285715</v>
      </c>
      <c r="AW130" s="209">
        <f t="shared" si="33"/>
        <v>213.90156911193634</v>
      </c>
      <c r="AX130" s="179">
        <f t="shared" si="34"/>
        <v>3.6419309429259264E-2</v>
      </c>
      <c r="AY130" s="213">
        <f t="shared" si="35"/>
        <v>1.2549351660048149</v>
      </c>
      <c r="AZ130" s="214">
        <f t="shared" ca="1" si="36"/>
        <v>0.88296188259589869</v>
      </c>
      <c r="BA130" s="176">
        <f>DANE!AM130</f>
        <v>4</v>
      </c>
      <c r="BB130" s="188">
        <f t="shared" si="8"/>
        <v>980</v>
      </c>
      <c r="BC130" s="177">
        <f t="shared" ca="1" si="24"/>
        <v>4.5714285714285712</v>
      </c>
      <c r="BD130" s="209">
        <f t="shared" si="77"/>
        <v>41.265328618861659</v>
      </c>
      <c r="BE130" s="179">
        <f t="shared" si="80"/>
        <v>-5.0852817237535139E-2</v>
      </c>
      <c r="BF130" s="213">
        <f t="shared" si="81"/>
        <v>0.64403027933725399</v>
      </c>
      <c r="BG130" s="217">
        <f t="shared" ca="1" si="82"/>
        <v>0.55876585173490811</v>
      </c>
      <c r="BH130" s="176">
        <f>DANE!AQ130</f>
        <v>27</v>
      </c>
      <c r="BI130" s="188">
        <f t="shared" si="9"/>
        <v>819</v>
      </c>
      <c r="BJ130" s="177">
        <f t="shared" ca="1" si="25"/>
        <v>21.285714285714285</v>
      </c>
      <c r="BK130" s="209">
        <f t="shared" si="61"/>
        <v>129.30376776929876</v>
      </c>
      <c r="BL130" s="179">
        <f t="shared" si="63"/>
        <v>8.3359912951062681E-2</v>
      </c>
      <c r="BM130" s="213">
        <f t="shared" si="64"/>
        <v>1.5835193906574387</v>
      </c>
      <c r="BN130" s="214">
        <f t="shared" ca="1" si="65"/>
        <v>1.4718285043607371</v>
      </c>
      <c r="BO130" s="176">
        <f>DANE!AU130</f>
        <v>7</v>
      </c>
      <c r="BP130" s="188">
        <f t="shared" si="10"/>
        <v>889</v>
      </c>
      <c r="BQ130" s="177">
        <f t="shared" ca="1" si="26"/>
        <v>5.8571428571428568</v>
      </c>
      <c r="BR130" s="209">
        <f t="shared" si="78"/>
        <v>58.488591596606604</v>
      </c>
      <c r="BS130" s="179">
        <f t="shared" si="83"/>
        <v>-2.6326474335313689E-2</v>
      </c>
      <c r="BT130" s="213">
        <f t="shared" si="84"/>
        <v>0.8157146796528042</v>
      </c>
      <c r="BU130" s="217">
        <f t="shared" ca="1" si="85"/>
        <v>0.52001519952382258</v>
      </c>
      <c r="BV130" s="176">
        <f>DANE!AY130</f>
        <v>3</v>
      </c>
      <c r="BW130" s="188">
        <f t="shared" si="11"/>
        <v>693</v>
      </c>
      <c r="BX130" s="177">
        <f t="shared" ca="1" si="27"/>
        <v>3.7142857142857144</v>
      </c>
      <c r="BY130" s="209">
        <f t="shared" si="69"/>
        <v>24.560487490080646</v>
      </c>
      <c r="BZ130" s="179">
        <f t="shared" si="71"/>
        <v>-2.3591352943458672E-2</v>
      </c>
      <c r="CA130" s="213">
        <f t="shared" si="72"/>
        <v>0.83486052939578925</v>
      </c>
      <c r="CB130" s="214">
        <f t="shared" ca="1" si="73"/>
        <v>0.86341766521011554</v>
      </c>
      <c r="CC130" s="176">
        <f>DANE!BC130</f>
        <v>96</v>
      </c>
      <c r="CD130" s="188">
        <f t="shared" si="12"/>
        <v>13502</v>
      </c>
      <c r="CE130" s="177">
        <f t="shared" ca="1" si="28"/>
        <v>92</v>
      </c>
      <c r="CF130" s="209">
        <f t="shared" si="45"/>
        <v>677.334918428224</v>
      </c>
      <c r="CG130" s="179">
        <f t="shared" si="46"/>
        <v>-1.3110019368741328E-3</v>
      </c>
      <c r="CH130" s="213">
        <f t="shared" si="47"/>
        <v>0.99082298644188105</v>
      </c>
      <c r="CI130" s="217">
        <f t="shared" ca="1" si="48"/>
        <v>0.8591663573638828</v>
      </c>
      <c r="CJ130" s="176">
        <f>DANE!BG130</f>
        <v>3</v>
      </c>
      <c r="CK130" s="188">
        <f t="shared" si="13"/>
        <v>845</v>
      </c>
      <c r="CL130" s="177">
        <f t="shared" ca="1" si="29"/>
        <v>6.2857142857142856</v>
      </c>
      <c r="CM130" s="209">
        <f t="shared" si="79"/>
        <v>49.889101132557734</v>
      </c>
      <c r="CN130" s="179">
        <f t="shared" si="86"/>
        <v>-8.801649739117369E-2</v>
      </c>
      <c r="CO130" s="213">
        <f t="shared" si="87"/>
        <v>0.38388451826178416</v>
      </c>
      <c r="CP130" s="214">
        <f t="shared" ca="1" si="88"/>
        <v>0.71003281347862901</v>
      </c>
      <c r="CQ130" s="176">
        <f>DANE!BK130</f>
        <v>0</v>
      </c>
      <c r="CR130" s="188">
        <f t="shared" si="14"/>
        <v>275</v>
      </c>
      <c r="CS130" s="177">
        <f t="shared" ca="1" si="30"/>
        <v>3.5714285714285716</v>
      </c>
      <c r="CT130" s="209">
        <f t="shared" si="89"/>
        <v>20.783112233477517</v>
      </c>
      <c r="CU130" s="179">
        <f t="shared" si="90"/>
        <v>-0.14285714285714282</v>
      </c>
      <c r="CV130" s="213">
        <f t="shared" si="91"/>
        <v>2.2204460492503131E-16</v>
      </c>
      <c r="CW130" s="217">
        <f t="shared" ca="1" si="92"/>
        <v>0.87653328489964188</v>
      </c>
      <c r="CX130" s="176">
        <f>DANE!BO130</f>
        <v>23</v>
      </c>
      <c r="CY130" s="188">
        <f t="shared" si="15"/>
        <v>3048</v>
      </c>
      <c r="CZ130" s="177">
        <f t="shared" ca="1" si="31"/>
        <v>38.857142857142854</v>
      </c>
      <c r="DA130" s="209">
        <f t="shared" si="54"/>
        <v>258.46080323785725</v>
      </c>
      <c r="DB130" s="179">
        <f t="shared" si="58"/>
        <v>-5.9130741506295652E-2</v>
      </c>
      <c r="DC130" s="213">
        <f t="shared" si="59"/>
        <v>0.58608480945593033</v>
      </c>
      <c r="DD130" s="214">
        <f t="shared" ca="1" si="60"/>
        <v>1.1212497359658353</v>
      </c>
      <c r="DE130" s="176">
        <f>DANE!BS130</f>
        <v>0</v>
      </c>
      <c r="DF130" s="188">
        <f t="shared" si="16"/>
        <v>622</v>
      </c>
      <c r="DG130" s="177">
        <f t="shared" ca="1" si="32"/>
        <v>1.5714285714285714</v>
      </c>
      <c r="DH130" s="209">
        <f t="shared" si="70"/>
        <v>9.6943574456877499</v>
      </c>
      <c r="DI130" s="179">
        <f t="shared" si="74"/>
        <v>-0.14285714285714277</v>
      </c>
      <c r="DJ130" s="157">
        <f t="shared" si="75"/>
        <v>5.5511151231257827E-16</v>
      </c>
      <c r="DK130" s="225">
        <f t="shared" ca="1" si="76"/>
        <v>1.1065019304462533</v>
      </c>
      <c r="DL130" s="89"/>
      <c r="DM130" s="89"/>
      <c r="DN130" s="89"/>
      <c r="DO130" s="89"/>
      <c r="DP130" s="89"/>
      <c r="DQ130" s="89"/>
      <c r="DR130" s="89"/>
      <c r="DS130" s="89"/>
      <c r="DT130" s="89"/>
      <c r="DU130" s="89"/>
      <c r="DV130" s="89"/>
      <c r="DW130" s="89"/>
      <c r="DX130" s="89"/>
      <c r="DY130" s="89"/>
      <c r="DZ130" s="89"/>
      <c r="EA130" s="89"/>
      <c r="EB130" s="89"/>
      <c r="EC130" s="89"/>
      <c r="ED130" s="89"/>
      <c r="EE130" s="89"/>
      <c r="EF130" s="89"/>
      <c r="EG130" s="89"/>
      <c r="EH130" s="89"/>
    </row>
    <row r="131" spans="1:138" x14ac:dyDescent="0.25">
      <c r="A131" s="32">
        <v>44021</v>
      </c>
      <c r="B131" s="33" t="str">
        <f t="shared" ca="1" si="0"/>
        <v/>
      </c>
      <c r="C131" s="51">
        <f t="shared" si="93"/>
        <v>128</v>
      </c>
      <c r="D131" s="176">
        <f>DANE!K131</f>
        <v>5</v>
      </c>
      <c r="E131" s="188">
        <f t="shared" si="1"/>
        <v>2957</v>
      </c>
      <c r="F131" s="178">
        <f t="shared" ca="1" si="17"/>
        <v>3.8571428571428572</v>
      </c>
      <c r="G131" s="209">
        <f t="shared" si="38"/>
        <v>36.440266622243485</v>
      </c>
      <c r="H131" s="179">
        <f t="shared" si="42"/>
        <v>-6.5442312267364657E-3</v>
      </c>
      <c r="I131" s="213">
        <f t="shared" si="43"/>
        <v>0.95419038141284473</v>
      </c>
      <c r="J131" s="214">
        <f t="shared" ca="1" si="44"/>
        <v>0.6888213195209244</v>
      </c>
      <c r="K131" s="176">
        <f>DANE!O131</f>
        <v>3</v>
      </c>
      <c r="L131" s="188">
        <f t="shared" si="2"/>
        <v>693</v>
      </c>
      <c r="M131" s="177">
        <f t="shared" ca="1" si="18"/>
        <v>2.1428571428571428</v>
      </c>
      <c r="N131" s="209">
        <f t="shared" si="62"/>
        <v>17.979719097865399</v>
      </c>
      <c r="O131" s="179">
        <f t="shared" si="66"/>
        <v>2.8803524117246435E-2</v>
      </c>
      <c r="P131" s="213">
        <f t="shared" si="67"/>
        <v>1.2016246688207251</v>
      </c>
      <c r="Q131" s="217">
        <f t="shared" ca="1" si="68"/>
        <v>0.96297463243016534</v>
      </c>
      <c r="R131" s="176">
        <f>DANE!S131</f>
        <v>4</v>
      </c>
      <c r="S131" s="188">
        <f t="shared" si="3"/>
        <v>747</v>
      </c>
      <c r="T131" s="177">
        <f t="shared" ca="1" si="19"/>
        <v>11.857142857142858</v>
      </c>
      <c r="U131" s="209">
        <f t="shared" si="50"/>
        <v>68.479454984600096</v>
      </c>
      <c r="V131" s="179">
        <f t="shared" si="55"/>
        <v>-8.9684059595345797E-2</v>
      </c>
      <c r="W131" s="213">
        <f t="shared" si="56"/>
        <v>0.37221158283257938</v>
      </c>
      <c r="X131" s="214">
        <f t="shared" ca="1" si="57"/>
        <v>1.5313137009268616</v>
      </c>
      <c r="Y131" s="176">
        <f>DANE!W131</f>
        <v>3</v>
      </c>
      <c r="Z131" s="188">
        <f t="shared" si="4"/>
        <v>155</v>
      </c>
      <c r="AA131" s="177">
        <f t="shared" ca="1" si="20"/>
        <v>0.5714285714285714</v>
      </c>
      <c r="AB131" s="209">
        <f t="shared" si="94"/>
        <v>5.4708321905151092</v>
      </c>
      <c r="AC131" s="179">
        <f t="shared" si="95"/>
        <v>0.89785641968248486</v>
      </c>
      <c r="AD131" s="213">
        <f t="shared" si="96"/>
        <v>7.2849949377773946</v>
      </c>
      <c r="AE131" s="217">
        <f t="shared" ca="1" si="97"/>
        <v>1.3338951835312773</v>
      </c>
      <c r="AF131" s="176">
        <f>DANE!AA131</f>
        <v>22</v>
      </c>
      <c r="AG131" s="188">
        <f t="shared" si="5"/>
        <v>3338</v>
      </c>
      <c r="AH131" s="177">
        <f t="shared" ca="1" si="21"/>
        <v>22.142857142857142</v>
      </c>
      <c r="AI131" s="209">
        <f t="shared" si="37"/>
        <v>187.44915222667157</v>
      </c>
      <c r="AJ131" s="179">
        <f t="shared" si="39"/>
        <v>-2.8881685120690628E-2</v>
      </c>
      <c r="AK131" s="213">
        <f t="shared" si="40"/>
        <v>0.79782820415516564</v>
      </c>
      <c r="AL131" s="214">
        <f t="shared" ca="1" si="41"/>
        <v>0.73483020846360236</v>
      </c>
      <c r="AM131" s="176">
        <f>DANE!AE131</f>
        <v>35</v>
      </c>
      <c r="AN131" s="188">
        <f t="shared" si="6"/>
        <v>1947</v>
      </c>
      <c r="AO131" s="177">
        <f t="shared" ca="1" si="22"/>
        <v>22.142857142857142</v>
      </c>
      <c r="AP131" s="209">
        <f t="shared" si="49"/>
        <v>156.17889924342461</v>
      </c>
      <c r="AQ131" s="179">
        <f t="shared" si="51"/>
        <v>0.10471071084761717</v>
      </c>
      <c r="AR131" s="213">
        <f t="shared" si="52"/>
        <v>1.7329749759333202</v>
      </c>
      <c r="AS131" s="217">
        <f t="shared" ca="1" si="53"/>
        <v>1.1473177983139522</v>
      </c>
      <c r="AT131" s="176">
        <f>DANE!AI131</f>
        <v>50</v>
      </c>
      <c r="AU131" s="188">
        <f t="shared" si="7"/>
        <v>5301</v>
      </c>
      <c r="AV131" s="177">
        <f t="shared" ca="1" si="23"/>
        <v>30.428571428571427</v>
      </c>
      <c r="AW131" s="209">
        <f t="shared" si="33"/>
        <v>233.34420209594543</v>
      </c>
      <c r="AX131" s="179">
        <f t="shared" si="34"/>
        <v>9.0895233095904096E-2</v>
      </c>
      <c r="AY131" s="213">
        <f t="shared" si="35"/>
        <v>1.6362666316713286</v>
      </c>
      <c r="AZ131" s="214">
        <f t="shared" ca="1" si="36"/>
        <v>0.93194316207734695</v>
      </c>
      <c r="BA131" s="176">
        <f>DANE!AM131</f>
        <v>6</v>
      </c>
      <c r="BB131" s="188">
        <f t="shared" si="8"/>
        <v>986</v>
      </c>
      <c r="BC131" s="177">
        <f t="shared" ca="1" si="24"/>
        <v>4.4285714285714288</v>
      </c>
      <c r="BD131" s="209">
        <f t="shared" si="77"/>
        <v>41.370281673309997</v>
      </c>
      <c r="BE131" s="179">
        <f t="shared" si="80"/>
        <v>2.5433713473534598E-3</v>
      </c>
      <c r="BF131" s="213">
        <f t="shared" si="81"/>
        <v>1.0178035994314742</v>
      </c>
      <c r="BG131" s="217">
        <f t="shared" ca="1" si="82"/>
        <v>0.5972321864430129</v>
      </c>
      <c r="BH131" s="176">
        <f>DANE!AQ131</f>
        <v>7</v>
      </c>
      <c r="BI131" s="188">
        <f t="shared" si="9"/>
        <v>826</v>
      </c>
      <c r="BJ131" s="177">
        <f t="shared" ca="1" si="25"/>
        <v>20.428571428571427</v>
      </c>
      <c r="BK131" s="209">
        <f t="shared" si="61"/>
        <v>117.83180094511323</v>
      </c>
      <c r="BL131" s="179">
        <f t="shared" si="63"/>
        <v>-8.8721056022540559E-2</v>
      </c>
      <c r="BM131" s="213">
        <f t="shared" si="64"/>
        <v>0.37895260784221607</v>
      </c>
      <c r="BN131" s="214">
        <f t="shared" ca="1" si="65"/>
        <v>1.3729551351708977</v>
      </c>
      <c r="BO131" s="176">
        <f>DANE!AU131</f>
        <v>6</v>
      </c>
      <c r="BP131" s="188">
        <f t="shared" si="10"/>
        <v>895</v>
      </c>
      <c r="BQ131" s="177">
        <f t="shared" ca="1" si="26"/>
        <v>5.8571428571428568</v>
      </c>
      <c r="BR131" s="209">
        <f t="shared" si="78"/>
        <v>56.133078511377093</v>
      </c>
      <c r="BS131" s="179">
        <f t="shared" si="83"/>
        <v>-4.0273034807802983E-2</v>
      </c>
      <c r="BT131" s="213">
        <f t="shared" si="84"/>
        <v>0.71808875634537905</v>
      </c>
      <c r="BU131" s="217">
        <f t="shared" ca="1" si="85"/>
        <v>0.56068541504836233</v>
      </c>
      <c r="BV131" s="176">
        <f>DANE!AY131</f>
        <v>0</v>
      </c>
      <c r="BW131" s="188">
        <f t="shared" si="11"/>
        <v>693</v>
      </c>
      <c r="BX131" s="177">
        <f t="shared" ca="1" si="27"/>
        <v>2.2857142857142856</v>
      </c>
      <c r="BY131" s="209">
        <f t="shared" si="69"/>
        <v>21.051846420069126</v>
      </c>
      <c r="BZ131" s="179">
        <f t="shared" si="71"/>
        <v>-0.14285714285714285</v>
      </c>
      <c r="CA131" s="213">
        <f t="shared" si="72"/>
        <v>0</v>
      </c>
      <c r="CB131" s="214">
        <f t="shared" ca="1" si="73"/>
        <v>0.51925332123670365</v>
      </c>
      <c r="CC131" s="176">
        <f>DANE!BC131</f>
        <v>84</v>
      </c>
      <c r="CD131" s="188">
        <f t="shared" si="12"/>
        <v>13586</v>
      </c>
      <c r="CE131" s="177">
        <f t="shared" ca="1" si="28"/>
        <v>82.857142857142861</v>
      </c>
      <c r="CF131" s="209">
        <f t="shared" si="45"/>
        <v>664.5727872241921</v>
      </c>
      <c r="CG131" s="179">
        <f t="shared" si="46"/>
        <v>-1.8841685046515556E-2</v>
      </c>
      <c r="CH131" s="213">
        <f t="shared" si="47"/>
        <v>0.86810820467439109</v>
      </c>
      <c r="CI131" s="217">
        <f t="shared" ca="1" si="48"/>
        <v>0.79451148034357366</v>
      </c>
      <c r="CJ131" s="176">
        <f>DANE!BG131</f>
        <v>5</v>
      </c>
      <c r="CK131" s="188">
        <f t="shared" si="13"/>
        <v>850</v>
      </c>
      <c r="CL131" s="177">
        <f t="shared" ca="1" si="29"/>
        <v>6</v>
      </c>
      <c r="CM131" s="209">
        <f t="shared" si="79"/>
        <v>47.762086685049489</v>
      </c>
      <c r="CN131" s="179">
        <f t="shared" si="86"/>
        <v>-4.263485208636382E-2</v>
      </c>
      <c r="CO131" s="213">
        <f t="shared" si="87"/>
        <v>0.7015560353954533</v>
      </c>
      <c r="CP131" s="214">
        <f t="shared" ca="1" si="88"/>
        <v>0.70722654464106427</v>
      </c>
      <c r="CQ131" s="176">
        <f>DANE!BK131</f>
        <v>3</v>
      </c>
      <c r="CR131" s="188">
        <f t="shared" si="14"/>
        <v>278</v>
      </c>
      <c r="CS131" s="177">
        <f t="shared" ca="1" si="30"/>
        <v>2.2857142857142856</v>
      </c>
      <c r="CT131" s="209">
        <f t="shared" si="89"/>
        <v>20.814096200123586</v>
      </c>
      <c r="CU131" s="179">
        <f t="shared" si="90"/>
        <v>1.4908241988974037E-3</v>
      </c>
      <c r="CV131" s="213">
        <f t="shared" si="91"/>
        <v>1.0104357693922819</v>
      </c>
      <c r="CW131" s="217">
        <f t="shared" ca="1" si="92"/>
        <v>0.54633547689087558</v>
      </c>
      <c r="CX131" s="176">
        <f>DANE!BO131</f>
        <v>28</v>
      </c>
      <c r="CY131" s="188">
        <f t="shared" si="15"/>
        <v>3076</v>
      </c>
      <c r="CZ131" s="177">
        <f t="shared" ca="1" si="31"/>
        <v>38.857142857142854</v>
      </c>
      <c r="DA131" s="209">
        <f t="shared" si="54"/>
        <v>249.53783134673481</v>
      </c>
      <c r="DB131" s="179">
        <f t="shared" si="58"/>
        <v>-3.4523501356260887E-2</v>
      </c>
      <c r="DC131" s="213">
        <f t="shared" si="59"/>
        <v>0.75833549050617377</v>
      </c>
      <c r="DD131" s="214">
        <f t="shared" ca="1" si="60"/>
        <v>1.1107655713457594</v>
      </c>
      <c r="DE131" s="176">
        <f>DANE!BS131</f>
        <v>1</v>
      </c>
      <c r="DF131" s="188">
        <f t="shared" si="16"/>
        <v>623</v>
      </c>
      <c r="DG131" s="177">
        <f t="shared" ca="1" si="32"/>
        <v>1.7142857142857142</v>
      </c>
      <c r="DH131" s="209">
        <f t="shared" si="70"/>
        <v>9.3094492391609283</v>
      </c>
      <c r="DI131" s="179">
        <f t="shared" si="74"/>
        <v>-3.9704354691195834E-2</v>
      </c>
      <c r="DJ131" s="157">
        <f t="shared" si="75"/>
        <v>0.72206951716162915</v>
      </c>
      <c r="DK131" s="225">
        <f t="shared" ca="1" si="76"/>
        <v>1.2096547186122002</v>
      </c>
      <c r="DL131" s="89"/>
      <c r="DM131" s="89"/>
      <c r="DN131" s="89"/>
      <c r="DO131" s="89"/>
      <c r="DP131" s="89"/>
      <c r="DQ131" s="89"/>
      <c r="DR131" s="89"/>
      <c r="DS131" s="89"/>
      <c r="DT131" s="89"/>
      <c r="DU131" s="89"/>
      <c r="DV131" s="89"/>
      <c r="DW131" s="89"/>
      <c r="DX131" s="89"/>
      <c r="DY131" s="89"/>
      <c r="DZ131" s="89"/>
      <c r="EA131" s="89"/>
      <c r="EB131" s="89"/>
      <c r="EC131" s="89"/>
      <c r="ED131" s="89"/>
      <c r="EE131" s="89"/>
      <c r="EF131" s="89"/>
      <c r="EG131" s="89"/>
      <c r="EH131" s="89"/>
    </row>
    <row r="132" spans="1:138" x14ac:dyDescent="0.25">
      <c r="A132" s="32">
        <v>44022</v>
      </c>
      <c r="B132" s="33" t="str">
        <f t="shared" ca="1" si="0"/>
        <v/>
      </c>
      <c r="C132" s="51">
        <f t="shared" si="93"/>
        <v>129</v>
      </c>
      <c r="D132" s="176">
        <f>DANE!K132</f>
        <v>13</v>
      </c>
      <c r="E132" s="188">
        <f t="shared" si="1"/>
        <v>2970</v>
      </c>
      <c r="F132" s="178">
        <f t="shared" ca="1" si="17"/>
        <v>5.2857142857142856</v>
      </c>
      <c r="G132" s="209">
        <f t="shared" si="38"/>
        <v>44.234514247637279</v>
      </c>
      <c r="H132" s="179">
        <f t="shared" si="42"/>
        <v>0.21389107017773881</v>
      </c>
      <c r="I132" s="213">
        <f t="shared" si="43"/>
        <v>2.4972374912441717</v>
      </c>
      <c r="J132" s="214">
        <f t="shared" ca="1" si="44"/>
        <v>0.98692055862895489</v>
      </c>
      <c r="K132" s="176">
        <f>DANE!O132</f>
        <v>1</v>
      </c>
      <c r="L132" s="188">
        <f t="shared" si="2"/>
        <v>694</v>
      </c>
      <c r="M132" s="177">
        <f t="shared" ca="1" si="18"/>
        <v>2.1428571428571428</v>
      </c>
      <c r="N132" s="209">
        <f t="shared" si="62"/>
        <v>16.411187798170342</v>
      </c>
      <c r="O132" s="179">
        <f t="shared" si="66"/>
        <v>-8.7238921317812843E-2</v>
      </c>
      <c r="P132" s="213">
        <f t="shared" si="67"/>
        <v>0.38932755077531012</v>
      </c>
      <c r="Q132" s="217">
        <f t="shared" ca="1" si="68"/>
        <v>0.9670432956841909</v>
      </c>
      <c r="R132" s="176">
        <f>DANE!S132</f>
        <v>13</v>
      </c>
      <c r="S132" s="188">
        <f t="shared" si="3"/>
        <v>760</v>
      </c>
      <c r="T132" s="177">
        <f t="shared" ca="1" si="19"/>
        <v>13.142857142857142</v>
      </c>
      <c r="U132" s="209">
        <f t="shared" si="50"/>
        <v>71.696675701085809</v>
      </c>
      <c r="V132" s="179">
        <f t="shared" si="55"/>
        <v>4.6980816614402274E-2</v>
      </c>
      <c r="W132" s="213">
        <f t="shared" si="56"/>
        <v>1.328865716300816</v>
      </c>
      <c r="X132" s="214">
        <f t="shared" ca="1" si="57"/>
        <v>1.6289375295376896</v>
      </c>
      <c r="Y132" s="176">
        <f>DANE!W132</f>
        <v>25</v>
      </c>
      <c r="Z132" s="188">
        <f t="shared" si="4"/>
        <v>180</v>
      </c>
      <c r="AA132" s="177">
        <f t="shared" ca="1" si="20"/>
        <v>4.1428571428571432</v>
      </c>
      <c r="AB132" s="209">
        <f t="shared" si="94"/>
        <v>29.689284734727238</v>
      </c>
      <c r="AC132" s="179">
        <f t="shared" si="95"/>
        <v>4.4268315497229365</v>
      </c>
      <c r="AD132" s="213">
        <f t="shared" si="96"/>
        <v>31.987820848060558</v>
      </c>
      <c r="AE132" s="217">
        <f t="shared" ca="1" si="97"/>
        <v>5.903583876111357</v>
      </c>
      <c r="AF132" s="176">
        <f>DANE!AA132</f>
        <v>16</v>
      </c>
      <c r="AG132" s="188">
        <f t="shared" si="5"/>
        <v>3354</v>
      </c>
      <c r="AH132" s="177">
        <f t="shared" ca="1" si="21"/>
        <v>21</v>
      </c>
      <c r="AI132" s="209">
        <f t="shared" si="37"/>
        <v>176.67070190857564</v>
      </c>
      <c r="AJ132" s="179">
        <f t="shared" si="39"/>
        <v>-5.7500661859820897E-2</v>
      </c>
      <c r="AK132" s="213">
        <f t="shared" si="40"/>
        <v>0.59749536698125372</v>
      </c>
      <c r="AL132" s="214">
        <f t="shared" ca="1" si="41"/>
        <v>0.72308665413302298</v>
      </c>
      <c r="AM132" s="176">
        <f>DANE!AE132</f>
        <v>19</v>
      </c>
      <c r="AN132" s="188">
        <f t="shared" si="6"/>
        <v>1966</v>
      </c>
      <c r="AO132" s="177">
        <f t="shared" ca="1" si="22"/>
        <v>23</v>
      </c>
      <c r="AP132" s="209">
        <f t="shared" si="49"/>
        <v>152.86762792293538</v>
      </c>
      <c r="AQ132" s="179">
        <f t="shared" si="51"/>
        <v>-2.1201784213680429E-2</v>
      </c>
      <c r="AR132" s="213">
        <f t="shared" si="52"/>
        <v>0.85158751050423698</v>
      </c>
      <c r="AS132" s="217">
        <f t="shared" ca="1" si="53"/>
        <v>1.1738293961391009</v>
      </c>
      <c r="AT132" s="176">
        <f>DANE!AI132</f>
        <v>23</v>
      </c>
      <c r="AU132" s="188">
        <f t="shared" si="7"/>
        <v>5324</v>
      </c>
      <c r="AV132" s="177">
        <f t="shared" ca="1" si="23"/>
        <v>28.571428571428573</v>
      </c>
      <c r="AW132" s="209">
        <f t="shared" si="33"/>
        <v>223.00931608223897</v>
      </c>
      <c r="AX132" s="179">
        <f t="shared" si="34"/>
        <v>-4.42903055695252E-2</v>
      </c>
      <c r="AY132" s="213">
        <f t="shared" si="35"/>
        <v>0.68996786101332352</v>
      </c>
      <c r="AZ132" s="214">
        <f t="shared" ca="1" si="36"/>
        <v>0.8886394766941681</v>
      </c>
      <c r="BA132" s="176">
        <f>DANE!AM132</f>
        <v>9</v>
      </c>
      <c r="BB132" s="188">
        <f t="shared" si="8"/>
        <v>995</v>
      </c>
      <c r="BC132" s="177">
        <f t="shared" ca="1" si="24"/>
        <v>4.4285714285714288</v>
      </c>
      <c r="BD132" s="209">
        <f t="shared" si="77"/>
        <v>44.460241434265711</v>
      </c>
      <c r="BE132" s="179">
        <f t="shared" si="80"/>
        <v>7.4690324454551635E-2</v>
      </c>
      <c r="BF132" s="213">
        <f t="shared" si="81"/>
        <v>1.5228322711818616</v>
      </c>
      <c r="BG132" s="217">
        <f t="shared" ca="1" si="82"/>
        <v>0.67216988608622097</v>
      </c>
      <c r="BH132" s="176">
        <f>DANE!AQ132</f>
        <v>16</v>
      </c>
      <c r="BI132" s="188">
        <f t="shared" si="9"/>
        <v>842</v>
      </c>
      <c r="BJ132" s="177">
        <f t="shared" ca="1" si="25"/>
        <v>21</v>
      </c>
      <c r="BK132" s="209">
        <f t="shared" si="61"/>
        <v>116.99868652438278</v>
      </c>
      <c r="BL132" s="179">
        <f t="shared" si="63"/>
        <v>-7.070369917527808E-3</v>
      </c>
      <c r="BM132" s="213">
        <f t="shared" si="64"/>
        <v>0.95050741057730537</v>
      </c>
      <c r="BN132" s="214">
        <f t="shared" ca="1" si="65"/>
        <v>1.3689219066833378</v>
      </c>
      <c r="BO132" s="176">
        <f>DANE!AU132</f>
        <v>2</v>
      </c>
      <c r="BP132" s="188">
        <f t="shared" si="10"/>
        <v>897</v>
      </c>
      <c r="BQ132" s="177">
        <f t="shared" ca="1" si="26"/>
        <v>5.1428571428571432</v>
      </c>
      <c r="BR132" s="209">
        <f t="shared" si="78"/>
        <v>50.114067295466086</v>
      </c>
      <c r="BS132" s="179">
        <f t="shared" si="83"/>
        <v>-0.1072275274318167</v>
      </c>
      <c r="BT132" s="213">
        <f t="shared" si="84"/>
        <v>0.24940730797728305</v>
      </c>
      <c r="BU132" s="217">
        <f t="shared" ca="1" si="85"/>
        <v>0.51772045550496415</v>
      </c>
      <c r="BV132" s="176">
        <f>DANE!AY132</f>
        <v>9</v>
      </c>
      <c r="BW132" s="188">
        <f t="shared" si="11"/>
        <v>702</v>
      </c>
      <c r="BX132" s="177">
        <f t="shared" ca="1" si="27"/>
        <v>3</v>
      </c>
      <c r="BY132" s="209">
        <f t="shared" si="69"/>
        <v>27.04443978863068</v>
      </c>
      <c r="BZ132" s="179">
        <f t="shared" si="71"/>
        <v>0.28465880136996918</v>
      </c>
      <c r="CA132" s="213">
        <f t="shared" si="72"/>
        <v>2.9926116095897841</v>
      </c>
      <c r="CB132" s="214">
        <f t="shared" ca="1" si="73"/>
        <v>0.83217265149076691</v>
      </c>
      <c r="CC132" s="176">
        <f>DANE!BC132</f>
        <v>88</v>
      </c>
      <c r="CD132" s="188">
        <f t="shared" si="12"/>
        <v>13674</v>
      </c>
      <c r="CE132" s="177">
        <f t="shared" ca="1" si="28"/>
        <v>84</v>
      </c>
      <c r="CF132" s="209">
        <f t="shared" si="45"/>
        <v>657.63381762073618</v>
      </c>
      <c r="CG132" s="179">
        <f t="shared" si="46"/>
        <v>-1.0441248478498219E-2</v>
      </c>
      <c r="CH132" s="213">
        <f t="shared" si="47"/>
        <v>0.92691126065051244</v>
      </c>
      <c r="CI132" s="217">
        <f t="shared" ca="1" si="48"/>
        <v>0.82941094869492549</v>
      </c>
      <c r="CJ132" s="176">
        <f>DANE!BG132</f>
        <v>4</v>
      </c>
      <c r="CK132" s="188">
        <f t="shared" si="13"/>
        <v>854</v>
      </c>
      <c r="CL132" s="177">
        <f t="shared" ca="1" si="29"/>
        <v>4.7142857142857144</v>
      </c>
      <c r="CM132" s="209">
        <f t="shared" si="79"/>
        <v>44.938931444328134</v>
      </c>
      <c r="CN132" s="179">
        <f t="shared" si="86"/>
        <v>-5.9108708112727011E-2</v>
      </c>
      <c r="CO132" s="213">
        <f t="shared" si="87"/>
        <v>0.58623904321091092</v>
      </c>
      <c r="CP132" s="214">
        <f t="shared" ca="1" si="88"/>
        <v>0.5916993602405578</v>
      </c>
      <c r="CQ132" s="176">
        <f>DANE!BK132</f>
        <v>2</v>
      </c>
      <c r="CR132" s="188">
        <f t="shared" si="14"/>
        <v>280</v>
      </c>
      <c r="CS132" s="177">
        <f t="shared" ca="1" si="30"/>
        <v>1.8571428571428572</v>
      </c>
      <c r="CT132" s="209">
        <f t="shared" si="89"/>
        <v>19.840653885820217</v>
      </c>
      <c r="CU132" s="179">
        <f t="shared" si="90"/>
        <v>-4.6768416218696519E-2</v>
      </c>
      <c r="CV132" s="213">
        <f t="shared" si="91"/>
        <v>0.67262108646912433</v>
      </c>
      <c r="CW132" s="217">
        <f t="shared" ca="1" si="92"/>
        <v>0.49394549649912683</v>
      </c>
      <c r="CX132" s="176">
        <f>DANE!BO132</f>
        <v>17</v>
      </c>
      <c r="CY132" s="188">
        <f t="shared" si="15"/>
        <v>3093</v>
      </c>
      <c r="CZ132" s="177">
        <f t="shared" ca="1" si="31"/>
        <v>34.714285714285715</v>
      </c>
      <c r="DA132" s="209">
        <f t="shared" si="54"/>
        <v>230.8895697257727</v>
      </c>
      <c r="DB132" s="179">
        <f t="shared" si="58"/>
        <v>-7.4731200156381072E-2</v>
      </c>
      <c r="DC132" s="213">
        <f t="shared" si="59"/>
        <v>0.47688159890533244</v>
      </c>
      <c r="DD132" s="214">
        <f t="shared" ca="1" si="60"/>
        <v>0.97888275464464236</v>
      </c>
      <c r="DE132" s="176">
        <f>DANE!BS132</f>
        <v>8</v>
      </c>
      <c r="DF132" s="188">
        <f t="shared" si="16"/>
        <v>631</v>
      </c>
      <c r="DG132" s="177">
        <f t="shared" ca="1" si="32"/>
        <v>2.5714285714285716</v>
      </c>
      <c r="DH132" s="209">
        <f t="shared" si="70"/>
        <v>15.979527919280796</v>
      </c>
      <c r="DI132" s="179">
        <f t="shared" si="74"/>
        <v>0.71648477893425311</v>
      </c>
      <c r="DJ132" s="157">
        <f t="shared" si="75"/>
        <v>6.0153934525397723</v>
      </c>
      <c r="DK132" s="225">
        <f t="shared" ca="1" si="76"/>
        <v>1.8426262892780814</v>
      </c>
      <c r="DL132" s="89"/>
      <c r="DM132" s="89"/>
      <c r="DN132" s="89"/>
      <c r="DO132" s="89"/>
      <c r="DP132" s="89"/>
      <c r="DQ132" s="89"/>
      <c r="DR132" s="89"/>
      <c r="DS132" s="89"/>
      <c r="DT132" s="89"/>
      <c r="DU132" s="89"/>
      <c r="DV132" s="89"/>
      <c r="DW132" s="89"/>
      <c r="DX132" s="89"/>
      <c r="DY132" s="89"/>
      <c r="DZ132" s="89"/>
      <c r="EA132" s="89"/>
      <c r="EB132" s="89"/>
      <c r="EC132" s="89"/>
      <c r="ED132" s="89"/>
      <c r="EE132" s="89"/>
      <c r="EF132" s="89"/>
      <c r="EG132" s="89"/>
      <c r="EH132" s="89"/>
    </row>
    <row r="133" spans="1:138" x14ac:dyDescent="0.25">
      <c r="A133" s="61">
        <v>44023</v>
      </c>
      <c r="B133" s="62" t="str">
        <f t="shared" ca="1" si="0"/>
        <v/>
      </c>
      <c r="C133" s="12">
        <f t="shared" si="93"/>
        <v>130</v>
      </c>
      <c r="D133" s="176">
        <f>DANE!K133</f>
        <v>2</v>
      </c>
      <c r="E133" s="198">
        <f t="shared" si="1"/>
        <v>2972</v>
      </c>
      <c r="F133" s="178">
        <f t="shared" ca="1" si="17"/>
        <v>5.1428571428571432</v>
      </c>
      <c r="G133" s="211">
        <f t="shared" si="38"/>
        <v>39.915297926546245</v>
      </c>
      <c r="H133" s="200">
        <f t="shared" si="42"/>
        <v>-9.764357978276518E-2</v>
      </c>
      <c r="I133" s="213">
        <f t="shared" si="43"/>
        <v>0.31649494152064372</v>
      </c>
      <c r="J133" s="214">
        <f t="shared" ca="1" si="44"/>
        <v>0.9680923035334269</v>
      </c>
      <c r="K133" s="176">
        <f>DANE!O133</f>
        <v>2</v>
      </c>
      <c r="L133" s="198">
        <f t="shared" si="2"/>
        <v>696</v>
      </c>
      <c r="M133" s="177">
        <f t="shared" ca="1" si="18"/>
        <v>2.4285714285714284</v>
      </c>
      <c r="N133" s="211">
        <f t="shared" si="62"/>
        <v>16.066732398431725</v>
      </c>
      <c r="O133" s="200">
        <f t="shared" si="66"/>
        <v>-2.098905965703592E-2</v>
      </c>
      <c r="P133" s="213">
        <f t="shared" si="67"/>
        <v>0.85307658240074857</v>
      </c>
      <c r="Q133" s="217">
        <f t="shared" ca="1" si="68"/>
        <v>1.0889113788842979</v>
      </c>
      <c r="R133" s="176">
        <f>DANE!S133</f>
        <v>14</v>
      </c>
      <c r="S133" s="198">
        <f t="shared" si="3"/>
        <v>774</v>
      </c>
      <c r="T133" s="177">
        <f t="shared" ca="1" si="19"/>
        <v>13.714285714285714</v>
      </c>
      <c r="U133" s="211">
        <f t="shared" si="50"/>
        <v>75.45429345807355</v>
      </c>
      <c r="V133" s="200">
        <f t="shared" si="55"/>
        <v>5.2409930031537495E-2</v>
      </c>
      <c r="W133" s="213">
        <f t="shared" si="56"/>
        <v>1.3668695102207624</v>
      </c>
      <c r="X133" s="214">
        <f t="shared" ca="1" si="57"/>
        <v>1.5813714742512772</v>
      </c>
      <c r="Y133" s="176">
        <f>DANE!W133</f>
        <v>6</v>
      </c>
      <c r="Z133" s="198">
        <f t="shared" si="4"/>
        <v>186</v>
      </c>
      <c r="AA133" s="177">
        <f t="shared" ca="1" si="20"/>
        <v>5</v>
      </c>
      <c r="AB133" s="211">
        <f t="shared" si="94"/>
        <v>31.447958344051919</v>
      </c>
      <c r="AC133" s="200">
        <f t="shared" si="95"/>
        <v>5.9235970992173474E-2</v>
      </c>
      <c r="AD133" s="213">
        <f t="shared" si="96"/>
        <v>1.4146517969452144</v>
      </c>
      <c r="AE133" s="217">
        <f t="shared" ca="1" si="97"/>
        <v>6.1056769899606733</v>
      </c>
      <c r="AF133" s="176">
        <f>DANE!AA133</f>
        <v>34</v>
      </c>
      <c r="AG133" s="198">
        <f t="shared" si="5"/>
        <v>3388</v>
      </c>
      <c r="AH133" s="177">
        <f t="shared" ca="1" si="21"/>
        <v>22.857142857142858</v>
      </c>
      <c r="AI133" s="211">
        <f t="shared" si="37"/>
        <v>185.43203020735055</v>
      </c>
      <c r="AJ133" s="200">
        <f t="shared" si="39"/>
        <v>4.9591291618396156E-2</v>
      </c>
      <c r="AK133" s="213">
        <f t="shared" si="40"/>
        <v>1.3471390413287732</v>
      </c>
      <c r="AL133" s="214">
        <f t="shared" ca="1" si="41"/>
        <v>0.82649850098261113</v>
      </c>
      <c r="AM133" s="176">
        <f>DANE!AE133</f>
        <v>53</v>
      </c>
      <c r="AN133" s="198">
        <f t="shared" si="6"/>
        <v>2019</v>
      </c>
      <c r="AO133" s="177">
        <f t="shared" ca="1" si="22"/>
        <v>26.428571428571427</v>
      </c>
      <c r="AP133" s="211">
        <f t="shared" si="49"/>
        <v>184.02939536251606</v>
      </c>
      <c r="AQ133" s="200">
        <f t="shared" si="51"/>
        <v>0.2038480472483693</v>
      </c>
      <c r="AR133" s="213">
        <f t="shared" si="52"/>
        <v>2.4269363307385854</v>
      </c>
      <c r="AS133" s="217">
        <f t="shared" ca="1" si="53"/>
        <v>1.2976565470807617</v>
      </c>
      <c r="AT133" s="176">
        <f>DANE!AI133</f>
        <v>45</v>
      </c>
      <c r="AU133" s="198">
        <f t="shared" si="7"/>
        <v>5369</v>
      </c>
      <c r="AV133" s="177">
        <f t="shared" ca="1" si="23"/>
        <v>31</v>
      </c>
      <c r="AW133" s="211">
        <f t="shared" si="33"/>
        <v>236.15084235620483</v>
      </c>
      <c r="AX133" s="200">
        <f t="shared" si="34"/>
        <v>5.8928149302604364E-2</v>
      </c>
      <c r="AY133" s="213">
        <f t="shared" si="35"/>
        <v>1.4124970451182306</v>
      </c>
      <c r="AZ133" s="214">
        <f t="shared" ca="1" si="36"/>
        <v>0.97997205412085897</v>
      </c>
      <c r="BA133" s="176">
        <f>DANE!AM133</f>
        <v>8</v>
      </c>
      <c r="BB133" s="198">
        <f t="shared" si="8"/>
        <v>1003</v>
      </c>
      <c r="BC133" s="177">
        <f t="shared" ca="1" si="24"/>
        <v>5.1428571428571432</v>
      </c>
      <c r="BD133" s="211">
        <f t="shared" si="77"/>
        <v>46.108778372227754</v>
      </c>
      <c r="BE133" s="200">
        <f t="shared" si="80"/>
        <v>3.7078902065779323E-2</v>
      </c>
      <c r="BF133" s="213">
        <f t="shared" si="81"/>
        <v>1.2595523144604552</v>
      </c>
      <c r="BG133" s="217">
        <f t="shared" ca="1" si="82"/>
        <v>0.80455757950389029</v>
      </c>
      <c r="BH133" s="176">
        <f>DANE!AQ133</f>
        <v>9</v>
      </c>
      <c r="BI133" s="198">
        <f t="shared" si="9"/>
        <v>851</v>
      </c>
      <c r="BJ133" s="177">
        <f t="shared" ca="1" si="25"/>
        <v>16.571428571428573</v>
      </c>
      <c r="BK133" s="211">
        <f t="shared" si="61"/>
        <v>109.28458844947096</v>
      </c>
      <c r="BL133" s="200">
        <f t="shared" si="63"/>
        <v>-6.5933202363807591E-2</v>
      </c>
      <c r="BM133" s="213">
        <f t="shared" si="64"/>
        <v>0.53846758345334678</v>
      </c>
      <c r="BN133" s="214">
        <f t="shared" ca="1" si="65"/>
        <v>0.97835935315381051</v>
      </c>
      <c r="BO133" s="176">
        <f>DANE!AU133</f>
        <v>2</v>
      </c>
      <c r="BP133" s="198">
        <f t="shared" si="10"/>
        <v>899</v>
      </c>
      <c r="BQ133" s="177">
        <f t="shared" ca="1" si="26"/>
        <v>3.5714285714285716</v>
      </c>
      <c r="BR133" s="211">
        <f t="shared" si="78"/>
        <v>44.954914824685218</v>
      </c>
      <c r="BS133" s="200">
        <f t="shared" si="83"/>
        <v>-0.10294818898580251</v>
      </c>
      <c r="BT133" s="213">
        <f t="shared" si="84"/>
        <v>0.27936267709938245</v>
      </c>
      <c r="BU133" s="217">
        <f t="shared" ca="1" si="85"/>
        <v>0.40164403516297487</v>
      </c>
      <c r="BV133" s="176">
        <f>DANE!AY133</f>
        <v>4</v>
      </c>
      <c r="BW133" s="198">
        <f t="shared" si="11"/>
        <v>706</v>
      </c>
      <c r="BX133" s="177">
        <f t="shared" ca="1" si="27"/>
        <v>3</v>
      </c>
      <c r="BY133" s="211">
        <f t="shared" si="69"/>
        <v>27.180948390254869</v>
      </c>
      <c r="BZ133" s="200">
        <f t="shared" si="71"/>
        <v>5.0475662535844814E-3</v>
      </c>
      <c r="CA133" s="213">
        <f t="shared" si="72"/>
        <v>1.0353329637750914</v>
      </c>
      <c r="CB133" s="214">
        <f t="shared" ca="1" si="73"/>
        <v>0.86214800054220719</v>
      </c>
      <c r="CC133" s="176">
        <f>DANE!BC133</f>
        <v>77</v>
      </c>
      <c r="CD133" s="198">
        <f t="shared" si="12"/>
        <v>13751</v>
      </c>
      <c r="CE133" s="177">
        <f t="shared" ca="1" si="28"/>
        <v>81.714285714285708</v>
      </c>
      <c r="CF133" s="211">
        <f t="shared" si="45"/>
        <v>640.68612938920251</v>
      </c>
      <c r="CG133" s="200">
        <f t="shared" si="46"/>
        <v>-2.5770706702476137E-2</v>
      </c>
      <c r="CH133" s="213">
        <f t="shared" si="47"/>
        <v>0.81960505308266707</v>
      </c>
      <c r="CI133" s="217">
        <f t="shared" ca="1" si="48"/>
        <v>0.82775046932148677</v>
      </c>
      <c r="CJ133" s="176">
        <f>DANE!BG133</f>
        <v>0</v>
      </c>
      <c r="CK133" s="198">
        <f t="shared" si="13"/>
        <v>854</v>
      </c>
      <c r="CL133" s="177">
        <f t="shared" ca="1" si="29"/>
        <v>4.4285714285714288</v>
      </c>
      <c r="CM133" s="211">
        <f t="shared" si="79"/>
        <v>38.519084095138403</v>
      </c>
      <c r="CN133" s="200">
        <f t="shared" si="86"/>
        <v>-0.14285714285714279</v>
      </c>
      <c r="CO133" s="213">
        <f t="shared" si="87"/>
        <v>4.4408920985006262E-16</v>
      </c>
      <c r="CP133" s="214">
        <f t="shared" ca="1" si="88"/>
        <v>0.56267886481294305</v>
      </c>
      <c r="CQ133" s="176">
        <f>DANE!BK133</f>
        <v>2</v>
      </c>
      <c r="CR133" s="198">
        <f t="shared" si="14"/>
        <v>282</v>
      </c>
      <c r="CS133" s="177">
        <f t="shared" ca="1" si="30"/>
        <v>1.5714285714285714</v>
      </c>
      <c r="CT133" s="211">
        <f t="shared" si="89"/>
        <v>19.006274759274472</v>
      </c>
      <c r="CU133" s="200">
        <f t="shared" si="90"/>
        <v>-4.2054013509205034E-2</v>
      </c>
      <c r="CV133" s="213">
        <f t="shared" si="91"/>
        <v>0.7056219054355648</v>
      </c>
      <c r="CW133" s="217">
        <f t="shared" ca="1" si="92"/>
        <v>0.47662967349361729</v>
      </c>
      <c r="CX133" s="176">
        <f>DANE!BO133</f>
        <v>43</v>
      </c>
      <c r="CY133" s="198">
        <f t="shared" si="15"/>
        <v>3136</v>
      </c>
      <c r="CZ133" s="177">
        <f t="shared" ca="1" si="31"/>
        <v>32.714285714285715</v>
      </c>
      <c r="DA133" s="211">
        <f t="shared" si="54"/>
        <v>240.90534547923377</v>
      </c>
      <c r="DB133" s="200">
        <f t="shared" si="58"/>
        <v>4.3379074097443196E-2</v>
      </c>
      <c r="DC133" s="213">
        <f t="shared" si="59"/>
        <v>1.3036535186821023</v>
      </c>
      <c r="DD133" s="214">
        <f t="shared" ca="1" si="60"/>
        <v>0.93068056454459325</v>
      </c>
      <c r="DE133" s="176">
        <f>DANE!BS133</f>
        <v>4</v>
      </c>
      <c r="DF133" s="198">
        <f t="shared" si="16"/>
        <v>635</v>
      </c>
      <c r="DG133" s="177">
        <f t="shared" ca="1" si="32"/>
        <v>2.1428571428571428</v>
      </c>
      <c r="DH133" s="211">
        <f t="shared" si="70"/>
        <v>17.696738216526398</v>
      </c>
      <c r="DI133" s="200">
        <f t="shared" si="74"/>
        <v>0.10746314321173575</v>
      </c>
      <c r="DJ133" s="157">
        <f t="shared" si="75"/>
        <v>1.7522420024821503</v>
      </c>
      <c r="DK133" s="225">
        <f t="shared" ca="1" si="76"/>
        <v>1.361717622258775</v>
      </c>
      <c r="DL133" s="88"/>
      <c r="DM133" s="88"/>
      <c r="DN133" s="88"/>
      <c r="DO133" s="88"/>
      <c r="DP133" s="88"/>
      <c r="DQ133" s="88"/>
      <c r="DR133" s="88"/>
      <c r="DS133" s="88"/>
      <c r="DT133" s="88"/>
      <c r="DU133" s="88"/>
      <c r="DV133" s="88"/>
      <c r="DW133" s="88"/>
      <c r="DX133" s="88"/>
      <c r="DY133" s="88"/>
      <c r="DZ133" s="88"/>
      <c r="EA133" s="88"/>
      <c r="EB133" s="88"/>
      <c r="EC133" s="88"/>
      <c r="ED133" s="88"/>
      <c r="EE133" s="88"/>
      <c r="EF133" s="88"/>
      <c r="EG133" s="88"/>
      <c r="EH133" s="88"/>
    </row>
    <row r="134" spans="1:138" x14ac:dyDescent="0.25">
      <c r="A134" s="61">
        <v>44024</v>
      </c>
      <c r="B134" s="62" t="str">
        <f t="shared" ca="1" si="0"/>
        <v/>
      </c>
      <c r="C134" s="12">
        <f t="shared" si="93"/>
        <v>131</v>
      </c>
      <c r="D134" s="176">
        <f>DANE!K134</f>
        <v>2</v>
      </c>
      <c r="E134" s="198">
        <f t="shared" si="1"/>
        <v>2974</v>
      </c>
      <c r="F134" s="178">
        <f t="shared" ca="1" si="17"/>
        <v>5.4285714285714288</v>
      </c>
      <c r="G134" s="211">
        <f t="shared" si="38"/>
        <v>36.213112508468214</v>
      </c>
      <c r="H134" s="200">
        <f t="shared" si="42"/>
        <v>-9.2751040588271272E-2</v>
      </c>
      <c r="I134" s="213">
        <f t="shared" si="43"/>
        <v>0.35074271588210104</v>
      </c>
      <c r="J134" s="214">
        <f t="shared" ca="1" si="44"/>
        <v>1.0181984058022981</v>
      </c>
      <c r="K134" s="176">
        <f>DANE!O134</f>
        <v>0</v>
      </c>
      <c r="L134" s="198">
        <f t="shared" si="2"/>
        <v>696</v>
      </c>
      <c r="M134" s="177">
        <f t="shared" ca="1" si="18"/>
        <v>2.1428571428571428</v>
      </c>
      <c r="N134" s="211">
        <f t="shared" si="62"/>
        <v>13.77148491294148</v>
      </c>
      <c r="O134" s="200">
        <f t="shared" si="66"/>
        <v>-0.14285714285714277</v>
      </c>
      <c r="P134" s="213">
        <f t="shared" si="67"/>
        <v>5.5511151231257827E-16</v>
      </c>
      <c r="Q134" s="217">
        <f t="shared" ca="1" si="68"/>
        <v>0.95654282311833438</v>
      </c>
      <c r="R134" s="176">
        <f>DANE!S134</f>
        <v>40</v>
      </c>
      <c r="S134" s="198">
        <f t="shared" si="3"/>
        <v>814</v>
      </c>
      <c r="T134" s="177">
        <f t="shared" ca="1" si="19"/>
        <v>17.428571428571427</v>
      </c>
      <c r="U134" s="211">
        <f t="shared" si="50"/>
        <v>104.67510867834876</v>
      </c>
      <c r="V134" s="200">
        <f t="shared" si="55"/>
        <v>0.38726510952636334</v>
      </c>
      <c r="W134" s="213">
        <f t="shared" si="56"/>
        <v>3.7108557666845434</v>
      </c>
      <c r="X134" s="214">
        <f t="shared" ca="1" si="57"/>
        <v>1.8024266342774333</v>
      </c>
      <c r="Y134" s="176">
        <f>DANE!W134</f>
        <v>48</v>
      </c>
      <c r="Z134" s="198">
        <f t="shared" si="4"/>
        <v>234</v>
      </c>
      <c r="AA134" s="177">
        <f t="shared" ca="1" si="20"/>
        <v>11.857142857142858</v>
      </c>
      <c r="AB134" s="211">
        <f t="shared" si="94"/>
        <v>74.955392866330214</v>
      </c>
      <c r="AC134" s="200">
        <f t="shared" si="95"/>
        <v>1.3834740572437609</v>
      </c>
      <c r="AD134" s="213">
        <f t="shared" si="96"/>
        <v>10.684318400706328</v>
      </c>
      <c r="AE134" s="217">
        <f t="shared" ca="1" si="97"/>
        <v>7.632008190061577</v>
      </c>
      <c r="AF134" s="176">
        <f>DANE!AA134</f>
        <v>29</v>
      </c>
      <c r="AG134" s="198">
        <f t="shared" si="5"/>
        <v>3417</v>
      </c>
      <c r="AH134" s="177">
        <f t="shared" ca="1" si="21"/>
        <v>24.714285714285715</v>
      </c>
      <c r="AI134" s="211">
        <f t="shared" si="37"/>
        <v>187.94174017772906</v>
      </c>
      <c r="AJ134" s="200">
        <f t="shared" si="39"/>
        <v>1.35343929933364E-2</v>
      </c>
      <c r="AK134" s="213">
        <f t="shared" si="40"/>
        <v>1.0947407509533549</v>
      </c>
      <c r="AL134" s="214">
        <f t="shared" ca="1" si="41"/>
        <v>0.91119391146171502</v>
      </c>
      <c r="AM134" s="176">
        <f>DANE!AE134</f>
        <v>29</v>
      </c>
      <c r="AN134" s="198">
        <f t="shared" si="6"/>
        <v>2048</v>
      </c>
      <c r="AO134" s="177">
        <f t="shared" ca="1" si="22"/>
        <v>28.142857142857142</v>
      </c>
      <c r="AP134" s="211">
        <f t="shared" si="49"/>
        <v>186.73948173929949</v>
      </c>
      <c r="AQ134" s="200">
        <f t="shared" si="51"/>
        <v>1.4726377660725824E-2</v>
      </c>
      <c r="AR134" s="213">
        <f t="shared" si="52"/>
        <v>1.1030846436250807</v>
      </c>
      <c r="AS134" s="217">
        <f t="shared" ca="1" si="53"/>
        <v>1.3342677381793007</v>
      </c>
      <c r="AT134" s="176">
        <f>DANE!AI134</f>
        <v>8</v>
      </c>
      <c r="AU134" s="198">
        <f t="shared" si="7"/>
        <v>5377</v>
      </c>
      <c r="AV134" s="177">
        <f t="shared" ca="1" si="23"/>
        <v>29.714285714285715</v>
      </c>
      <c r="AW134" s="211">
        <f t="shared" si="33"/>
        <v>210.41500773388987</v>
      </c>
      <c r="AX134" s="200">
        <f t="shared" si="34"/>
        <v>-0.10898049045912608</v>
      </c>
      <c r="AY134" s="213">
        <f t="shared" si="35"/>
        <v>0.23713656678611739</v>
      </c>
      <c r="AZ134" s="214">
        <f t="shared" ca="1" si="36"/>
        <v>0.94454229508894338</v>
      </c>
      <c r="BA134" s="176">
        <f>DANE!AM134</f>
        <v>6</v>
      </c>
      <c r="BB134" s="198">
        <f t="shared" si="8"/>
        <v>1009</v>
      </c>
      <c r="BC134" s="177">
        <f t="shared" ca="1" si="24"/>
        <v>5.2857142857142856</v>
      </c>
      <c r="BD134" s="211">
        <f t="shared" si="77"/>
        <v>45.521810033338078</v>
      </c>
      <c r="BE134" s="200">
        <f t="shared" si="80"/>
        <v>-1.273007786394139E-2</v>
      </c>
      <c r="BF134" s="213">
        <f t="shared" si="81"/>
        <v>0.91088945495241025</v>
      </c>
      <c r="BG134" s="217">
        <f t="shared" ca="1" si="82"/>
        <v>0.84708873138196961</v>
      </c>
      <c r="BH134" s="176">
        <f>DANE!AQ134</f>
        <v>46</v>
      </c>
      <c r="BI134" s="198">
        <f t="shared" si="9"/>
        <v>897</v>
      </c>
      <c r="BJ134" s="177">
        <f t="shared" ca="1" si="25"/>
        <v>19.285714285714285</v>
      </c>
      <c r="BK134" s="211">
        <f t="shared" si="61"/>
        <v>139.67250438526082</v>
      </c>
      <c r="BL134" s="200">
        <f t="shared" si="63"/>
        <v>0.27806222603693181</v>
      </c>
      <c r="BM134" s="213">
        <f t="shared" si="64"/>
        <v>2.9464355822585229</v>
      </c>
      <c r="BN134" s="214">
        <f t="shared" ca="1" si="65"/>
        <v>1.1610585865905707</v>
      </c>
      <c r="BO134" s="176">
        <f>DANE!AU134</f>
        <v>3</v>
      </c>
      <c r="BP134" s="198">
        <f t="shared" si="10"/>
        <v>902</v>
      </c>
      <c r="BQ134" s="177">
        <f t="shared" ca="1" si="26"/>
        <v>3.7142857142857144</v>
      </c>
      <c r="BR134" s="211">
        <f t="shared" si="78"/>
        <v>41.532784135444473</v>
      </c>
      <c r="BS134" s="200">
        <f t="shared" si="83"/>
        <v>-7.6123616351768009E-2</v>
      </c>
      <c r="BT134" s="213">
        <f t="shared" si="84"/>
        <v>0.46713468553762394</v>
      </c>
      <c r="BU134" s="217">
        <f t="shared" ca="1" si="85"/>
        <v>0.44469077737368029</v>
      </c>
      <c r="BV134" s="176">
        <f>DANE!AY134</f>
        <v>5</v>
      </c>
      <c r="BW134" s="198">
        <f t="shared" si="11"/>
        <v>711</v>
      </c>
      <c r="BX134" s="177">
        <f t="shared" ca="1" si="27"/>
        <v>3.4285714285714284</v>
      </c>
      <c r="BY134" s="211">
        <f t="shared" si="69"/>
        <v>28.297955763075603</v>
      </c>
      <c r="BZ134" s="200">
        <f t="shared" si="71"/>
        <v>4.109523173301826E-2</v>
      </c>
      <c r="CA134" s="213">
        <f t="shared" si="72"/>
        <v>1.2876666221311277</v>
      </c>
      <c r="CB134" s="214">
        <f t="shared" ca="1" si="73"/>
        <v>0.98562825933479614</v>
      </c>
      <c r="CC134" s="176">
        <f>DANE!BC134</f>
        <v>57</v>
      </c>
      <c r="CD134" s="198">
        <f t="shared" si="12"/>
        <v>13808</v>
      </c>
      <c r="CE134" s="177">
        <f t="shared" ca="1" si="28"/>
        <v>77.428571428571431</v>
      </c>
      <c r="CF134" s="211">
        <f t="shared" si="45"/>
        <v>606.15953947645937</v>
      </c>
      <c r="CG134" s="200">
        <f t="shared" si="46"/>
        <v>-5.389002247584012E-2</v>
      </c>
      <c r="CH134" s="213">
        <f t="shared" si="47"/>
        <v>0.62276984266911906</v>
      </c>
      <c r="CI134" s="217">
        <f t="shared" ca="1" si="48"/>
        <v>0.80288729112339652</v>
      </c>
      <c r="CJ134" s="176">
        <f>DANE!BG134</f>
        <v>3</v>
      </c>
      <c r="CK134" s="198">
        <f t="shared" si="13"/>
        <v>857</v>
      </c>
      <c r="CL134" s="177">
        <f t="shared" ca="1" si="29"/>
        <v>4.1428571428571432</v>
      </c>
      <c r="CM134" s="211">
        <f t="shared" si="79"/>
        <v>36.016357795832917</v>
      </c>
      <c r="CN134" s="200">
        <f t="shared" si="86"/>
        <v>-6.4973671054171359E-2</v>
      </c>
      <c r="CO134" s="213">
        <f t="shared" si="87"/>
        <v>0.54518430262080053</v>
      </c>
      <c r="CP134" s="214">
        <f t="shared" ca="1" si="88"/>
        <v>0.55869115749460541</v>
      </c>
      <c r="CQ134" s="176">
        <f>DANE!BK134</f>
        <v>0</v>
      </c>
      <c r="CR134" s="198">
        <f t="shared" si="14"/>
        <v>282</v>
      </c>
      <c r="CS134" s="177">
        <f t="shared" ca="1" si="30"/>
        <v>1.4285714285714286</v>
      </c>
      <c r="CT134" s="211">
        <f t="shared" si="89"/>
        <v>16.291092650806693</v>
      </c>
      <c r="CU134" s="200">
        <f t="shared" si="90"/>
        <v>-0.14285714285714271</v>
      </c>
      <c r="CV134" s="213">
        <f t="shared" si="91"/>
        <v>9.9920072216264089E-16</v>
      </c>
      <c r="CW134" s="217">
        <f t="shared" ca="1" si="92"/>
        <v>0.44635089316937482</v>
      </c>
      <c r="CX134" s="176">
        <f>DANE!BO134</f>
        <v>94</v>
      </c>
      <c r="CY134" s="198">
        <f t="shared" si="15"/>
        <v>3230</v>
      </c>
      <c r="CZ134" s="177">
        <f t="shared" ca="1" si="31"/>
        <v>41.142857142857146</v>
      </c>
      <c r="DA134" s="211">
        <f t="shared" si="54"/>
        <v>300.49029612505751</v>
      </c>
      <c r="DB134" s="200">
        <f t="shared" si="58"/>
        <v>0.24733760277212283</v>
      </c>
      <c r="DC134" s="213">
        <f t="shared" si="59"/>
        <v>2.7313632194048596</v>
      </c>
      <c r="DD134" s="214">
        <f t="shared" ca="1" si="60"/>
        <v>1.1889992762384496</v>
      </c>
      <c r="DE134" s="176">
        <f>DANE!BS134</f>
        <v>0</v>
      </c>
      <c r="DF134" s="198">
        <f t="shared" si="16"/>
        <v>635</v>
      </c>
      <c r="DG134" s="177">
        <f t="shared" ca="1" si="32"/>
        <v>2</v>
      </c>
      <c r="DH134" s="211">
        <f t="shared" si="70"/>
        <v>15.168632757022628</v>
      </c>
      <c r="DI134" s="200">
        <f t="shared" si="74"/>
        <v>-0.14285714285714279</v>
      </c>
      <c r="DJ134" s="157">
        <f t="shared" si="75"/>
        <v>4.4408920985006262E-16</v>
      </c>
      <c r="DK134" s="225">
        <f t="shared" ca="1" si="76"/>
        <v>1.2959513587556455</v>
      </c>
      <c r="DL134" s="88"/>
      <c r="DM134" s="88"/>
      <c r="DN134" s="88"/>
      <c r="DO134" s="88"/>
      <c r="DP134" s="88"/>
      <c r="DQ134" s="88"/>
      <c r="DR134" s="88"/>
      <c r="DS134" s="88"/>
      <c r="DT134" s="88"/>
      <c r="DU134" s="88"/>
      <c r="DV134" s="88"/>
      <c r="DW134" s="88"/>
      <c r="DX134" s="88"/>
      <c r="DY134" s="88"/>
      <c r="DZ134" s="88"/>
      <c r="EA134" s="88"/>
      <c r="EB134" s="88"/>
      <c r="EC134" s="88"/>
      <c r="ED134" s="88"/>
      <c r="EE134" s="88"/>
      <c r="EF134" s="88"/>
      <c r="EG134" s="88"/>
      <c r="EH134" s="88"/>
    </row>
    <row r="135" spans="1:138" x14ac:dyDescent="0.25">
      <c r="A135" s="32">
        <v>44025</v>
      </c>
      <c r="B135" s="33" t="str">
        <f t="shared" ca="1" si="0"/>
        <v/>
      </c>
      <c r="C135" s="51">
        <f t="shared" si="93"/>
        <v>132</v>
      </c>
      <c r="D135" s="176">
        <f>DANE!K135</f>
        <v>1</v>
      </c>
      <c r="E135" s="188">
        <f t="shared" si="1"/>
        <v>2975</v>
      </c>
      <c r="F135" s="178">
        <f t="shared" ca="1" si="17"/>
        <v>4.8571428571428568</v>
      </c>
      <c r="G135" s="209">
        <f t="shared" si="38"/>
        <v>32.039810721544185</v>
      </c>
      <c r="H135" s="179">
        <f t="shared" si="42"/>
        <v>-0.11524283602930092</v>
      </c>
      <c r="I135" s="213">
        <f t="shared" si="43"/>
        <v>0.19330014779489346</v>
      </c>
      <c r="J135" s="214">
        <f t="shared" ca="1" si="44"/>
        <v>0.91063269836175798</v>
      </c>
      <c r="K135" s="176">
        <f>DANE!O135</f>
        <v>0</v>
      </c>
      <c r="L135" s="188">
        <f t="shared" si="2"/>
        <v>696</v>
      </c>
      <c r="M135" s="177">
        <f t="shared" ca="1" si="18"/>
        <v>1.7142857142857142</v>
      </c>
      <c r="N135" s="209">
        <f t="shared" si="62"/>
        <v>11.804129925378412</v>
      </c>
      <c r="O135" s="179">
        <f t="shared" si="66"/>
        <v>-0.14285714285714282</v>
      </c>
      <c r="P135" s="213">
        <f t="shared" si="67"/>
        <v>2.2204460492503131E-16</v>
      </c>
      <c r="Q135" s="217">
        <f t="shared" ca="1" si="68"/>
        <v>0.75588537636360853</v>
      </c>
      <c r="R135" s="176">
        <f>DANE!S135</f>
        <v>8</v>
      </c>
      <c r="S135" s="188">
        <f t="shared" si="3"/>
        <v>822</v>
      </c>
      <c r="T135" s="177">
        <f t="shared" ca="1" si="19"/>
        <v>14.857142857142858</v>
      </c>
      <c r="U135" s="209">
        <f t="shared" si="50"/>
        <v>97.721521724298952</v>
      </c>
      <c r="V135" s="179">
        <f t="shared" si="55"/>
        <v>-6.6430186143079759E-2</v>
      </c>
      <c r="W135" s="213">
        <f t="shared" si="56"/>
        <v>0.53498869699844165</v>
      </c>
      <c r="X135" s="214">
        <f t="shared" ca="1" si="57"/>
        <v>1.3866765664382836</v>
      </c>
      <c r="Y135" s="176">
        <f>DANE!W135</f>
        <v>5</v>
      </c>
      <c r="Z135" s="188">
        <f t="shared" si="4"/>
        <v>239</v>
      </c>
      <c r="AA135" s="177">
        <f t="shared" ca="1" si="20"/>
        <v>12.428571428571429</v>
      </c>
      <c r="AB135" s="209">
        <f t="shared" si="94"/>
        <v>69.24747959971161</v>
      </c>
      <c r="AC135" s="179">
        <f t="shared" si="95"/>
        <v>-7.6150801808185647E-2</v>
      </c>
      <c r="AD135" s="213">
        <f t="shared" si="96"/>
        <v>0.46694438734270038</v>
      </c>
      <c r="AE135" s="217">
        <f t="shared" ca="1" si="97"/>
        <v>7.405532910118886</v>
      </c>
      <c r="AF135" s="176">
        <f>DANE!AA135</f>
        <v>18</v>
      </c>
      <c r="AG135" s="188">
        <f t="shared" si="5"/>
        <v>3435</v>
      </c>
      <c r="AH135" s="177">
        <f t="shared" ca="1" si="21"/>
        <v>22.857142857142858</v>
      </c>
      <c r="AI135" s="209">
        <f t="shared" si="37"/>
        <v>179.09292015233922</v>
      </c>
      <c r="AJ135" s="179">
        <f t="shared" si="39"/>
        <v>-4.7082782233589318E-2</v>
      </c>
      <c r="AK135" s="213">
        <f t="shared" si="40"/>
        <v>0.67042052436487476</v>
      </c>
      <c r="AL135" s="214">
        <f t="shared" ca="1" si="41"/>
        <v>0.85741464059251327</v>
      </c>
      <c r="AM135" s="176">
        <f>DANE!AE135</f>
        <v>38</v>
      </c>
      <c r="AN135" s="188">
        <f t="shared" si="6"/>
        <v>2086</v>
      </c>
      <c r="AO135" s="177">
        <f t="shared" ca="1" si="22"/>
        <v>31.857142857142858</v>
      </c>
      <c r="AP135" s="209">
        <f t="shared" si="49"/>
        <v>198.06241291939958</v>
      </c>
      <c r="AQ135" s="179">
        <f t="shared" si="51"/>
        <v>6.0634907383472533E-2</v>
      </c>
      <c r="AR135" s="213">
        <f t="shared" si="52"/>
        <v>1.4244443516843077</v>
      </c>
      <c r="AS135" s="217">
        <f t="shared" ca="1" si="53"/>
        <v>1.4504569495473056</v>
      </c>
      <c r="AT135" s="176">
        <f>DANE!AI135</f>
        <v>72</v>
      </c>
      <c r="AU135" s="188">
        <f t="shared" si="7"/>
        <v>5449</v>
      </c>
      <c r="AV135" s="177">
        <f t="shared" ca="1" si="23"/>
        <v>34.428571428571431</v>
      </c>
      <c r="AW135" s="209">
        <f t="shared" si="33"/>
        <v>252.35572091476274</v>
      </c>
      <c r="AX135" s="179">
        <f t="shared" si="34"/>
        <v>0.19932377273162449</v>
      </c>
      <c r="AY135" s="213">
        <f t="shared" si="35"/>
        <v>2.3952664091213718</v>
      </c>
      <c r="AZ135" s="214">
        <f t="shared" ca="1" si="36"/>
        <v>1.1151033854921772</v>
      </c>
      <c r="BA135" s="176">
        <f>DANE!AM135</f>
        <v>1</v>
      </c>
      <c r="BB135" s="188">
        <f t="shared" si="8"/>
        <v>1010</v>
      </c>
      <c r="BC135" s="177">
        <f t="shared" ca="1" si="24"/>
        <v>5.2857142857142856</v>
      </c>
      <c r="BD135" s="209">
        <f t="shared" si="77"/>
        <v>40.018694314289782</v>
      </c>
      <c r="BE135" s="179">
        <f t="shared" si="80"/>
        <v>-0.12088965080733977</v>
      </c>
      <c r="BF135" s="213">
        <f t="shared" si="81"/>
        <v>0.15377244434862158</v>
      </c>
      <c r="BG135" s="217">
        <f t="shared" ca="1" si="82"/>
        <v>0.85051227967233489</v>
      </c>
      <c r="BH135" s="176">
        <f>DANE!AQ135</f>
        <v>62</v>
      </c>
      <c r="BI135" s="188">
        <f t="shared" si="9"/>
        <v>959</v>
      </c>
      <c r="BJ135" s="177">
        <f t="shared" ca="1" si="25"/>
        <v>26.285714285714285</v>
      </c>
      <c r="BK135" s="209">
        <f t="shared" si="61"/>
        <v>181.71928947308072</v>
      </c>
      <c r="BL135" s="179">
        <f t="shared" si="63"/>
        <v>0.30103838456165721</v>
      </c>
      <c r="BM135" s="213">
        <f t="shared" si="64"/>
        <v>3.1072686919316008</v>
      </c>
      <c r="BN135" s="214">
        <f t="shared" ca="1" si="65"/>
        <v>1.5002412612714531</v>
      </c>
      <c r="BO135" s="176">
        <f>DANE!AU135</f>
        <v>0</v>
      </c>
      <c r="BP135" s="188">
        <f t="shared" si="10"/>
        <v>902</v>
      </c>
      <c r="BQ135" s="177">
        <f t="shared" ca="1" si="26"/>
        <v>3.1428571428571428</v>
      </c>
      <c r="BR135" s="209">
        <f t="shared" si="78"/>
        <v>35.599529258952408</v>
      </c>
      <c r="BS135" s="179">
        <f t="shared" si="83"/>
        <v>-0.14285714285714279</v>
      </c>
      <c r="BT135" s="213">
        <f t="shared" si="84"/>
        <v>4.4408920985006262E-16</v>
      </c>
      <c r="BU135" s="217">
        <f t="shared" ca="1" si="85"/>
        <v>0.39090788183893854</v>
      </c>
      <c r="BV135" s="176">
        <f>DANE!AY135</f>
        <v>2</v>
      </c>
      <c r="BW135" s="188">
        <f t="shared" si="11"/>
        <v>713</v>
      </c>
      <c r="BX135" s="177">
        <f t="shared" ca="1" si="27"/>
        <v>3.5714285714285716</v>
      </c>
      <c r="BY135" s="209">
        <f t="shared" si="69"/>
        <v>26.255390654064804</v>
      </c>
      <c r="BZ135" s="179">
        <f t="shared" si="71"/>
        <v>-7.2180659483397233E-2</v>
      </c>
      <c r="CA135" s="213">
        <f t="shared" si="72"/>
        <v>0.49473538361621938</v>
      </c>
      <c r="CB135" s="214">
        <f t="shared" ca="1" si="73"/>
        <v>1.0233540403002135</v>
      </c>
      <c r="CC135" s="176">
        <f>DANE!BC135</f>
        <v>65</v>
      </c>
      <c r="CD135" s="188">
        <f t="shared" si="12"/>
        <v>13873</v>
      </c>
      <c r="CE135" s="177">
        <f t="shared" ca="1" si="28"/>
        <v>79.714285714285708</v>
      </c>
      <c r="CF135" s="209">
        <f t="shared" si="45"/>
        <v>584.56531955125092</v>
      </c>
      <c r="CG135" s="179">
        <f t="shared" si="46"/>
        <v>-3.5624647504284762E-2</v>
      </c>
      <c r="CH135" s="213">
        <f t="shared" si="47"/>
        <v>0.75062746747000664</v>
      </c>
      <c r="CI135" s="217">
        <f t="shared" ca="1" si="48"/>
        <v>0.84409188733932727</v>
      </c>
      <c r="CJ135" s="176">
        <f>DANE!BG135</f>
        <v>3</v>
      </c>
      <c r="CK135" s="188">
        <f t="shared" si="13"/>
        <v>860</v>
      </c>
      <c r="CL135" s="177">
        <f t="shared" ca="1" si="29"/>
        <v>3.1428571428571428</v>
      </c>
      <c r="CM135" s="209">
        <f t="shared" si="79"/>
        <v>33.871163824999641</v>
      </c>
      <c r="CN135" s="179">
        <f t="shared" si="86"/>
        <v>-5.9561657594413231E-2</v>
      </c>
      <c r="CO135" s="213">
        <f t="shared" si="87"/>
        <v>0.58306839683910738</v>
      </c>
      <c r="CP135" s="214">
        <f t="shared" ca="1" si="88"/>
        <v>0.46760974111477666</v>
      </c>
      <c r="CQ135" s="176">
        <f>DANE!BK135</f>
        <v>2</v>
      </c>
      <c r="CR135" s="188">
        <f t="shared" si="14"/>
        <v>284</v>
      </c>
      <c r="CS135" s="177">
        <f t="shared" ca="1" si="30"/>
        <v>1.4285714285714286</v>
      </c>
      <c r="CT135" s="209">
        <f t="shared" si="89"/>
        <v>15.963793700691452</v>
      </c>
      <c r="CU135" s="179">
        <f t="shared" si="90"/>
        <v>-2.0090669001200087E-2</v>
      </c>
      <c r="CV135" s="213">
        <f t="shared" si="91"/>
        <v>0.85936531699159935</v>
      </c>
      <c r="CW135" s="217">
        <f t="shared" ca="1" si="92"/>
        <v>0.50087747057504639</v>
      </c>
      <c r="CX135" s="176">
        <f>DANE!BO135</f>
        <v>20</v>
      </c>
      <c r="CY135" s="188">
        <f t="shared" si="15"/>
        <v>3250</v>
      </c>
      <c r="CZ135" s="177">
        <f t="shared" ca="1" si="31"/>
        <v>42.857142857142854</v>
      </c>
      <c r="DA135" s="209">
        <f t="shared" si="54"/>
        <v>277.56311096433501</v>
      </c>
      <c r="DB135" s="179">
        <f t="shared" si="58"/>
        <v>-7.6299253108595255E-2</v>
      </c>
      <c r="DC135" s="213">
        <f t="shared" si="59"/>
        <v>0.46590522823983316</v>
      </c>
      <c r="DD135" s="214">
        <f t="shared" ca="1" si="60"/>
        <v>1.2250793927686439</v>
      </c>
      <c r="DE135" s="176">
        <f>DANE!BS135</f>
        <v>2</v>
      </c>
      <c r="DF135" s="188">
        <f t="shared" si="16"/>
        <v>637</v>
      </c>
      <c r="DG135" s="177">
        <f t="shared" ca="1" si="32"/>
        <v>2.2857142857142856</v>
      </c>
      <c r="DH135" s="209">
        <f t="shared" si="70"/>
        <v>15.001685220305111</v>
      </c>
      <c r="DI135" s="179">
        <f t="shared" si="74"/>
        <v>-1.1006103146654749E-2</v>
      </c>
      <c r="DJ135" s="157">
        <f t="shared" si="75"/>
        <v>0.92295727797341676</v>
      </c>
      <c r="DK135" s="225">
        <f t="shared" ca="1" si="76"/>
        <v>1.4278023984661332</v>
      </c>
      <c r="DL135" s="89"/>
      <c r="DM135" s="89"/>
      <c r="DN135" s="89"/>
      <c r="DO135" s="89"/>
      <c r="DP135" s="89"/>
      <c r="DQ135" s="89"/>
      <c r="DR135" s="89"/>
      <c r="DS135" s="89"/>
      <c r="DT135" s="89"/>
      <c r="DU135" s="89"/>
      <c r="DV135" s="89"/>
      <c r="DW135" s="89"/>
      <c r="DX135" s="89"/>
      <c r="DY135" s="89"/>
      <c r="DZ135" s="89"/>
      <c r="EA135" s="89"/>
      <c r="EB135" s="89"/>
      <c r="EC135" s="89"/>
      <c r="ED135" s="89"/>
      <c r="EE135" s="89"/>
      <c r="EF135" s="89"/>
      <c r="EG135" s="89"/>
      <c r="EH135" s="89"/>
    </row>
    <row r="136" spans="1:138" x14ac:dyDescent="0.25">
      <c r="A136" s="32">
        <v>44026</v>
      </c>
      <c r="B136" s="33" t="str">
        <f t="shared" ca="1" si="0"/>
        <v/>
      </c>
      <c r="C136" s="51">
        <f t="shared" si="93"/>
        <v>133</v>
      </c>
      <c r="D136" s="176">
        <f>DANE!K136</f>
        <v>8</v>
      </c>
      <c r="E136" s="188">
        <f t="shared" si="1"/>
        <v>2983</v>
      </c>
      <c r="F136" s="178">
        <f t="shared" ca="1" si="17"/>
        <v>4.7142857142857144</v>
      </c>
      <c r="G136" s="209">
        <f t="shared" si="38"/>
        <v>35.462694904180736</v>
      </c>
      <c r="H136" s="179">
        <f t="shared" si="42"/>
        <v>0.10683222233691093</v>
      </c>
      <c r="I136" s="213">
        <f t="shared" si="43"/>
        <v>1.7478255563583764</v>
      </c>
      <c r="J136" s="214">
        <f t="shared" ca="1" si="44"/>
        <v>0.91511555598328853</v>
      </c>
      <c r="K136" s="176">
        <f>DANE!O136</f>
        <v>6</v>
      </c>
      <c r="L136" s="188">
        <f t="shared" si="2"/>
        <v>702</v>
      </c>
      <c r="M136" s="177">
        <f t="shared" ca="1" si="18"/>
        <v>2.4285714285714284</v>
      </c>
      <c r="N136" s="209">
        <f t="shared" si="62"/>
        <v>16.117825650324356</v>
      </c>
      <c r="O136" s="179">
        <f t="shared" si="66"/>
        <v>0.36543953279196539</v>
      </c>
      <c r="P136" s="213">
        <f t="shared" si="67"/>
        <v>3.5580767295437581</v>
      </c>
      <c r="Q136" s="217">
        <f t="shared" ca="1" si="68"/>
        <v>1.2009510098789031</v>
      </c>
      <c r="R136" s="176">
        <f>DANE!S136</f>
        <v>12</v>
      </c>
      <c r="S136" s="188">
        <f t="shared" si="3"/>
        <v>834</v>
      </c>
      <c r="T136" s="177">
        <f t="shared" ca="1" si="19"/>
        <v>14.428571428571429</v>
      </c>
      <c r="U136" s="209">
        <f t="shared" si="50"/>
        <v>95.761304335113394</v>
      </c>
      <c r="V136" s="179">
        <f t="shared" si="55"/>
        <v>-2.0059218835293071E-2</v>
      </c>
      <c r="W136" s="213">
        <f t="shared" si="56"/>
        <v>0.85958546815294845</v>
      </c>
      <c r="X136" s="214">
        <f t="shared" ca="1" si="57"/>
        <v>1.2990364118044133</v>
      </c>
      <c r="Y136" s="176">
        <f>DANE!W136</f>
        <v>6</v>
      </c>
      <c r="Z136" s="188">
        <f t="shared" si="4"/>
        <v>245</v>
      </c>
      <c r="AA136" s="177">
        <f t="shared" ca="1" si="20"/>
        <v>13.285714285714286</v>
      </c>
      <c r="AB136" s="209">
        <f t="shared" si="94"/>
        <v>65.354982514038525</v>
      </c>
      <c r="AC136" s="179">
        <f t="shared" si="95"/>
        <v>-5.6211390048762092E-2</v>
      </c>
      <c r="AD136" s="213">
        <f t="shared" si="96"/>
        <v>0.60652026965866535</v>
      </c>
      <c r="AE136" s="217">
        <f t="shared" ca="1" si="97"/>
        <v>7.4921786629272669</v>
      </c>
      <c r="AF136" s="176">
        <f>DANE!AA136</f>
        <v>19</v>
      </c>
      <c r="AG136" s="188">
        <f t="shared" si="5"/>
        <v>3454</v>
      </c>
      <c r="AH136" s="177">
        <f t="shared" ca="1" si="21"/>
        <v>24.285714285714285</v>
      </c>
      <c r="AI136" s="209">
        <f t="shared" si="37"/>
        <v>172.50821727343362</v>
      </c>
      <c r="AJ136" s="179">
        <f t="shared" si="39"/>
        <v>-3.6766963614779144E-2</v>
      </c>
      <c r="AK136" s="213">
        <f t="shared" si="40"/>
        <v>0.74263125469654589</v>
      </c>
      <c r="AL136" s="214">
        <f t="shared" ca="1" si="41"/>
        <v>0.92037484299480832</v>
      </c>
      <c r="AM136" s="176">
        <f>DANE!AE136</f>
        <v>44</v>
      </c>
      <c r="AN136" s="188">
        <f t="shared" si="6"/>
        <v>2130</v>
      </c>
      <c r="AO136" s="177">
        <f t="shared" ca="1" si="22"/>
        <v>35.142857142857146</v>
      </c>
      <c r="AP136" s="209">
        <f t="shared" si="49"/>
        <v>213.7677825023425</v>
      </c>
      <c r="AQ136" s="179">
        <f t="shared" si="51"/>
        <v>7.9295053268558013E-2</v>
      </c>
      <c r="AR136" s="213">
        <f t="shared" si="52"/>
        <v>1.555065372879906</v>
      </c>
      <c r="AS136" s="217">
        <f t="shared" ca="1" si="53"/>
        <v>1.5108423350753903</v>
      </c>
      <c r="AT136" s="176">
        <f>DANE!AI136</f>
        <v>28</v>
      </c>
      <c r="AU136" s="188">
        <f t="shared" si="7"/>
        <v>5477</v>
      </c>
      <c r="AV136" s="177">
        <f t="shared" ca="1" si="23"/>
        <v>37.571428571428569</v>
      </c>
      <c r="AW136" s="209">
        <f t="shared" si="33"/>
        <v>244.30490364122522</v>
      </c>
      <c r="AX136" s="179">
        <f t="shared" si="34"/>
        <v>-3.1902654096186762E-2</v>
      </c>
      <c r="AY136" s="213">
        <f t="shared" si="35"/>
        <v>0.7766814213266926</v>
      </c>
      <c r="AZ136" s="214">
        <f t="shared" ca="1" si="36"/>
        <v>1.2003930144345543</v>
      </c>
      <c r="BA136" s="176">
        <f>DANE!AM136</f>
        <v>2</v>
      </c>
      <c r="BB136" s="188">
        <f t="shared" si="8"/>
        <v>1012</v>
      </c>
      <c r="BC136" s="177">
        <f t="shared" ca="1" si="24"/>
        <v>5.1428571428571432</v>
      </c>
      <c r="BD136" s="209">
        <f t="shared" si="77"/>
        <v>36.301737983676958</v>
      </c>
      <c r="BE136" s="179">
        <f t="shared" si="80"/>
        <v>-9.288049983393841E-2</v>
      </c>
      <c r="BF136" s="213">
        <f t="shared" si="81"/>
        <v>0.34983650116243115</v>
      </c>
      <c r="BG136" s="217">
        <f t="shared" ca="1" si="82"/>
        <v>0.83695955212492978</v>
      </c>
      <c r="BH136" s="176">
        <f>DANE!AQ136</f>
        <v>12</v>
      </c>
      <c r="BI136" s="188">
        <f t="shared" si="9"/>
        <v>971</v>
      </c>
      <c r="BJ136" s="177">
        <f t="shared" ca="1" si="25"/>
        <v>25.571428571428573</v>
      </c>
      <c r="BK136" s="209">
        <f t="shared" si="61"/>
        <v>167.75939097692634</v>
      </c>
      <c r="BL136" s="179">
        <f t="shared" si="63"/>
        <v>-7.6821225400082543E-2</v>
      </c>
      <c r="BM136" s="213">
        <f t="shared" si="64"/>
        <v>0.46225142219942217</v>
      </c>
      <c r="BN136" s="214">
        <f t="shared" ca="1" si="65"/>
        <v>1.4239146698456933</v>
      </c>
      <c r="BO136" s="176">
        <f>DANE!AU136</f>
        <v>1</v>
      </c>
      <c r="BP136" s="188">
        <f t="shared" si="10"/>
        <v>903</v>
      </c>
      <c r="BQ136" s="177">
        <f t="shared" ca="1" si="26"/>
        <v>3</v>
      </c>
      <c r="BR136" s="209">
        <f t="shared" si="78"/>
        <v>31.513882221959211</v>
      </c>
      <c r="BS136" s="179">
        <f t="shared" si="83"/>
        <v>-0.11476688377742404</v>
      </c>
      <c r="BT136" s="213">
        <f t="shared" si="84"/>
        <v>0.19663181355803161</v>
      </c>
      <c r="BU136" s="217">
        <f t="shared" ca="1" si="85"/>
        <v>0.38947713145292917</v>
      </c>
      <c r="BV136" s="176">
        <f>DANE!AY136</f>
        <v>2</v>
      </c>
      <c r="BW136" s="188">
        <f t="shared" si="11"/>
        <v>715</v>
      </c>
      <c r="BX136" s="177">
        <f t="shared" ca="1" si="27"/>
        <v>3.5714285714285716</v>
      </c>
      <c r="BY136" s="209">
        <f t="shared" si="69"/>
        <v>24.504620560626975</v>
      </c>
      <c r="BZ136" s="179">
        <f t="shared" si="71"/>
        <v>-6.6682309797084616E-2</v>
      </c>
      <c r="CA136" s="213">
        <f t="shared" si="72"/>
        <v>0.53322383142040763</v>
      </c>
      <c r="CB136" s="214">
        <f t="shared" ca="1" si="73"/>
        <v>1.0254901342754885</v>
      </c>
      <c r="CC136" s="176">
        <f>DANE!BC136</f>
        <v>72</v>
      </c>
      <c r="CD136" s="188">
        <f t="shared" si="12"/>
        <v>13945</v>
      </c>
      <c r="CE136" s="177">
        <f t="shared" ca="1" si="28"/>
        <v>77</v>
      </c>
      <c r="CF136" s="209">
        <f t="shared" si="45"/>
        <v>573.05598818678652</v>
      </c>
      <c r="CG136" s="179">
        <f t="shared" si="46"/>
        <v>-1.9688700269286735E-2</v>
      </c>
      <c r="CH136" s="213">
        <f t="shared" si="47"/>
        <v>0.86217909811499283</v>
      </c>
      <c r="CI136" s="217">
        <f t="shared" ca="1" si="48"/>
        <v>0.83443198758622439</v>
      </c>
      <c r="CJ136" s="176">
        <f>DANE!BG136</f>
        <v>2</v>
      </c>
      <c r="CK136" s="188">
        <f t="shared" si="13"/>
        <v>862</v>
      </c>
      <c r="CL136" s="177">
        <f t="shared" ca="1" si="29"/>
        <v>2.8571428571428572</v>
      </c>
      <c r="CM136" s="209">
        <f t="shared" si="79"/>
        <v>31.03242613571398</v>
      </c>
      <c r="CN136" s="179">
        <f t="shared" si="86"/>
        <v>-8.3809865641240378E-2</v>
      </c>
      <c r="CO136" s="213">
        <f t="shared" si="87"/>
        <v>0.41333094051131736</v>
      </c>
      <c r="CP136" s="214">
        <f t="shared" ca="1" si="88"/>
        <v>0.45903760526276771</v>
      </c>
      <c r="CQ136" s="176">
        <f>DANE!BK136</f>
        <v>0</v>
      </c>
      <c r="CR136" s="188">
        <f t="shared" si="14"/>
        <v>284</v>
      </c>
      <c r="CS136" s="177">
        <f t="shared" ca="1" si="30"/>
        <v>1.2857142857142858</v>
      </c>
      <c r="CT136" s="209">
        <f t="shared" si="89"/>
        <v>13.683251743449818</v>
      </c>
      <c r="CU136" s="179">
        <f t="shared" si="90"/>
        <v>-0.14285714285714277</v>
      </c>
      <c r="CV136" s="213">
        <f t="shared" si="91"/>
        <v>5.5511151231257827E-16</v>
      </c>
      <c r="CW136" s="217">
        <f t="shared" ca="1" si="92"/>
        <v>0.46400629689836742</v>
      </c>
      <c r="CX136" s="176">
        <f>DANE!BO136</f>
        <v>52</v>
      </c>
      <c r="CY136" s="188">
        <f t="shared" si="15"/>
        <v>3302</v>
      </c>
      <c r="CZ136" s="177">
        <f t="shared" ca="1" si="31"/>
        <v>39.571428571428569</v>
      </c>
      <c r="DA136" s="209">
        <f t="shared" si="54"/>
        <v>289.91123796943003</v>
      </c>
      <c r="DB136" s="179">
        <f t="shared" si="58"/>
        <v>4.4487637287945206E-2</v>
      </c>
      <c r="DC136" s="213">
        <f t="shared" si="59"/>
        <v>1.3114134610156165</v>
      </c>
      <c r="DD136" s="214">
        <f t="shared" ca="1" si="60"/>
        <v>1.0905196180299783</v>
      </c>
      <c r="DE136" s="176">
        <f>DANE!BS136</f>
        <v>1</v>
      </c>
      <c r="DF136" s="188">
        <f t="shared" si="16"/>
        <v>638</v>
      </c>
      <c r="DG136" s="177">
        <f t="shared" ca="1" si="32"/>
        <v>2.2857142857142856</v>
      </c>
      <c r="DH136" s="209">
        <f t="shared" si="70"/>
        <v>13.858587331690096</v>
      </c>
      <c r="DI136" s="179">
        <f t="shared" si="74"/>
        <v>-7.6197965217121549E-2</v>
      </c>
      <c r="DJ136" s="157">
        <f t="shared" si="75"/>
        <v>0.46661424348014913</v>
      </c>
      <c r="DK136" s="225">
        <f t="shared" ca="1" si="76"/>
        <v>1.4113252133767313</v>
      </c>
      <c r="DL136" s="89"/>
      <c r="DM136" s="89"/>
      <c r="DN136" s="89"/>
      <c r="DO136" s="89"/>
      <c r="DP136" s="89"/>
      <c r="DQ136" s="89"/>
      <c r="DR136" s="89"/>
      <c r="DS136" s="89"/>
      <c r="DT136" s="89"/>
      <c r="DU136" s="89"/>
      <c r="DV136" s="89"/>
      <c r="DW136" s="89"/>
      <c r="DX136" s="89"/>
      <c r="DY136" s="89"/>
      <c r="DZ136" s="89"/>
      <c r="EA136" s="89"/>
      <c r="EB136" s="89"/>
      <c r="EC136" s="89"/>
      <c r="ED136" s="89"/>
      <c r="EE136" s="89"/>
      <c r="EF136" s="89"/>
      <c r="EG136" s="89"/>
      <c r="EH136" s="89"/>
    </row>
    <row r="137" spans="1:138" x14ac:dyDescent="0.25">
      <c r="A137" s="32">
        <v>44027</v>
      </c>
      <c r="B137" s="33" t="str">
        <f t="shared" ca="1" si="0"/>
        <v/>
      </c>
      <c r="C137" s="51">
        <f t="shared" si="93"/>
        <v>134</v>
      </c>
      <c r="D137" s="176">
        <f>DANE!K137</f>
        <v>8</v>
      </c>
      <c r="E137" s="188">
        <f t="shared" si="1"/>
        <v>2991</v>
      </c>
      <c r="F137" s="178">
        <f t="shared" ca="1" si="17"/>
        <v>5.5714285714285712</v>
      </c>
      <c r="G137" s="209">
        <f t="shared" si="38"/>
        <v>38.39659563215492</v>
      </c>
      <c r="H137" s="179">
        <f t="shared" si="42"/>
        <v>8.2732029697728998E-2</v>
      </c>
      <c r="I137" s="213">
        <f t="shared" si="43"/>
        <v>1.579124207884103</v>
      </c>
      <c r="J137" s="214">
        <f t="shared" ca="1" si="44"/>
        <v>1.0912736345853049</v>
      </c>
      <c r="K137" s="176">
        <f>DANE!O137</f>
        <v>5</v>
      </c>
      <c r="L137" s="188">
        <f t="shared" si="2"/>
        <v>707</v>
      </c>
      <c r="M137" s="177">
        <f t="shared" ca="1" si="18"/>
        <v>2.4285714285714284</v>
      </c>
      <c r="N137" s="209">
        <f t="shared" si="62"/>
        <v>18.815279128849447</v>
      </c>
      <c r="O137" s="179">
        <f t="shared" si="66"/>
        <v>0.16735839790342982</v>
      </c>
      <c r="P137" s="213">
        <f t="shared" si="67"/>
        <v>2.1715087853240087</v>
      </c>
      <c r="Q137" s="217">
        <f t="shared" ca="1" si="68"/>
        <v>1.1676591881235072</v>
      </c>
      <c r="R137" s="176">
        <f>DANE!S137</f>
        <v>11</v>
      </c>
      <c r="S137" s="188">
        <f t="shared" si="3"/>
        <v>845</v>
      </c>
      <c r="T137" s="177">
        <f t="shared" ca="1" si="19"/>
        <v>14.571428571428571</v>
      </c>
      <c r="U137" s="209">
        <f t="shared" si="50"/>
        <v>93.081118001525766</v>
      </c>
      <c r="V137" s="179">
        <f t="shared" si="55"/>
        <v>-2.7988197865480274E-2</v>
      </c>
      <c r="W137" s="213">
        <f t="shared" si="56"/>
        <v>0.80408261494163802</v>
      </c>
      <c r="X137" s="214">
        <f t="shared" ca="1" si="57"/>
        <v>1.2824941937331042</v>
      </c>
      <c r="Y137" s="176">
        <f>DANE!W137</f>
        <v>12</v>
      </c>
      <c r="Z137" s="188">
        <f t="shared" si="4"/>
        <v>257</v>
      </c>
      <c r="AA137" s="177">
        <f t="shared" ca="1" si="20"/>
        <v>15</v>
      </c>
      <c r="AB137" s="209">
        <f t="shared" si="94"/>
        <v>68.018556440604456</v>
      </c>
      <c r="AC137" s="179">
        <f t="shared" si="95"/>
        <v>4.0755483730621211E-2</v>
      </c>
      <c r="AD137" s="213">
        <f t="shared" si="96"/>
        <v>1.2852883861143485</v>
      </c>
      <c r="AE137" s="217">
        <f t="shared" ca="1" si="97"/>
        <v>7.6757912895150282</v>
      </c>
      <c r="AF137" s="176">
        <f>DANE!AA137</f>
        <v>31</v>
      </c>
      <c r="AG137" s="188">
        <f t="shared" si="5"/>
        <v>3485</v>
      </c>
      <c r="AH137" s="177">
        <f t="shared" ca="1" si="21"/>
        <v>24.142857142857142</v>
      </c>
      <c r="AI137" s="209">
        <f t="shared" si="37"/>
        <v>178.86418623437169</v>
      </c>
      <c r="AJ137" s="179">
        <f t="shared" si="39"/>
        <v>3.6844441739627753E-2</v>
      </c>
      <c r="AK137" s="213">
        <f t="shared" si="40"/>
        <v>1.2579110921773942</v>
      </c>
      <c r="AL137" s="214">
        <f t="shared" ca="1" si="41"/>
        <v>0.92973803352248041</v>
      </c>
      <c r="AM137" s="176">
        <f>DANE!AE137</f>
        <v>43</v>
      </c>
      <c r="AN137" s="188">
        <f t="shared" si="6"/>
        <v>2173</v>
      </c>
      <c r="AO137" s="177">
        <f t="shared" ca="1" si="22"/>
        <v>37.285714285714285</v>
      </c>
      <c r="AP137" s="209">
        <f t="shared" si="49"/>
        <v>226.22952785915072</v>
      </c>
      <c r="AQ137" s="179">
        <f t="shared" si="51"/>
        <v>5.8295713277896143E-2</v>
      </c>
      <c r="AR137" s="213">
        <f t="shared" si="52"/>
        <v>1.4080699929452729</v>
      </c>
      <c r="AS137" s="217">
        <f t="shared" ca="1" si="53"/>
        <v>1.5003090254729585</v>
      </c>
      <c r="AT137" s="176">
        <f>DANE!AI137</f>
        <v>22</v>
      </c>
      <c r="AU137" s="188">
        <f t="shared" si="7"/>
        <v>5499</v>
      </c>
      <c r="AV137" s="177">
        <f t="shared" ca="1" si="23"/>
        <v>35.428571428571431</v>
      </c>
      <c r="AW137" s="209">
        <f t="shared" si="33"/>
        <v>231.40420312105022</v>
      </c>
      <c r="AX137" s="179">
        <f t="shared" si="34"/>
        <v>-5.2805737125605851E-2</v>
      </c>
      <c r="AY137" s="213">
        <f t="shared" si="35"/>
        <v>0.63035984012075907</v>
      </c>
      <c r="AZ137" s="214">
        <f t="shared" ca="1" si="36"/>
        <v>1.1111679678796891</v>
      </c>
      <c r="BA137" s="176">
        <f>DANE!AM137</f>
        <v>3</v>
      </c>
      <c r="BB137" s="188">
        <f t="shared" si="8"/>
        <v>1015</v>
      </c>
      <c r="BC137" s="177">
        <f t="shared" ca="1" si="24"/>
        <v>5</v>
      </c>
      <c r="BD137" s="209">
        <f t="shared" si="77"/>
        <v>34.115775414580256</v>
      </c>
      <c r="BE137" s="179">
        <f t="shared" si="80"/>
        <v>-6.021647145598423E-2</v>
      </c>
      <c r="BF137" s="213">
        <f t="shared" si="81"/>
        <v>0.57848469980811035</v>
      </c>
      <c r="BG137" s="217">
        <f t="shared" ca="1" si="82"/>
        <v>0.82759589790648069</v>
      </c>
      <c r="BH137" s="176">
        <f>DANE!AQ137</f>
        <v>9</v>
      </c>
      <c r="BI137" s="188">
        <f t="shared" si="9"/>
        <v>980</v>
      </c>
      <c r="BJ137" s="177">
        <f t="shared" ca="1" si="25"/>
        <v>23</v>
      </c>
      <c r="BK137" s="209">
        <f t="shared" si="61"/>
        <v>152.7937636945083</v>
      </c>
      <c r="BL137" s="179">
        <f t="shared" si="63"/>
        <v>-8.920887942706239E-2</v>
      </c>
      <c r="BM137" s="213">
        <f t="shared" si="64"/>
        <v>0.37553784401056323</v>
      </c>
      <c r="BN137" s="214">
        <f t="shared" ca="1" si="65"/>
        <v>1.2513458774675681</v>
      </c>
      <c r="BO137" s="176">
        <f>DANE!AU137</f>
        <v>1</v>
      </c>
      <c r="BP137" s="188">
        <f t="shared" si="10"/>
        <v>904</v>
      </c>
      <c r="BQ137" s="177">
        <f t="shared" ca="1" si="26"/>
        <v>2.1428571428571428</v>
      </c>
      <c r="BR137" s="209">
        <f t="shared" si="78"/>
        <v>28.011899047393612</v>
      </c>
      <c r="BS137" s="179">
        <f t="shared" si="83"/>
        <v>-0.11112509559756427</v>
      </c>
      <c r="BT137" s="213">
        <f t="shared" si="84"/>
        <v>0.22212433081705008</v>
      </c>
      <c r="BU137" s="217">
        <f t="shared" ca="1" si="85"/>
        <v>0.30467851019067865</v>
      </c>
      <c r="BV137" s="176">
        <f>DANE!AY137</f>
        <v>0</v>
      </c>
      <c r="BW137" s="188">
        <f t="shared" si="11"/>
        <v>715</v>
      </c>
      <c r="BX137" s="177">
        <f t="shared" ca="1" si="27"/>
        <v>3.1428571428571428</v>
      </c>
      <c r="BY137" s="209">
        <f t="shared" si="69"/>
        <v>21.003960480537408</v>
      </c>
      <c r="BZ137" s="179">
        <f t="shared" si="71"/>
        <v>-0.14285714285714282</v>
      </c>
      <c r="CA137" s="213">
        <f t="shared" si="72"/>
        <v>2.2204460492503131E-16</v>
      </c>
      <c r="CB137" s="214">
        <f t="shared" ca="1" si="73"/>
        <v>0.90622434436180421</v>
      </c>
      <c r="CC137" s="176">
        <f>DANE!BC137</f>
        <v>90</v>
      </c>
      <c r="CD137" s="188">
        <f t="shared" si="12"/>
        <v>14035</v>
      </c>
      <c r="CE137" s="177">
        <f t="shared" ca="1" si="28"/>
        <v>76.142857142857139</v>
      </c>
      <c r="CF137" s="209">
        <f t="shared" si="45"/>
        <v>581.19084701724569</v>
      </c>
      <c r="CG137" s="179">
        <f t="shared" si="46"/>
        <v>1.4195574251302691E-2</v>
      </c>
      <c r="CH137" s="213">
        <f t="shared" si="47"/>
        <v>1.0993690197591188</v>
      </c>
      <c r="CI137" s="217">
        <f t="shared" ca="1" si="48"/>
        <v>0.84993856377440113</v>
      </c>
      <c r="CJ137" s="176">
        <f>DANE!BG137</f>
        <v>3</v>
      </c>
      <c r="CK137" s="188">
        <f t="shared" si="13"/>
        <v>865</v>
      </c>
      <c r="CL137" s="177">
        <f t="shared" ca="1" si="29"/>
        <v>2.8571428571428572</v>
      </c>
      <c r="CM137" s="209">
        <f t="shared" si="79"/>
        <v>29.599222402040557</v>
      </c>
      <c r="CN137" s="179">
        <f t="shared" si="86"/>
        <v>-4.618406976643074E-2</v>
      </c>
      <c r="CO137" s="213">
        <f t="shared" si="87"/>
        <v>0.67671151163498489</v>
      </c>
      <c r="CP137" s="214">
        <f t="shared" ca="1" si="88"/>
        <v>0.50087003288751064</v>
      </c>
      <c r="CQ137" s="176">
        <f>DANE!BK137</f>
        <v>2</v>
      </c>
      <c r="CR137" s="188">
        <f t="shared" si="14"/>
        <v>286</v>
      </c>
      <c r="CS137" s="177">
        <f t="shared" ca="1" si="30"/>
        <v>1.5714285714285714</v>
      </c>
      <c r="CT137" s="209">
        <f t="shared" si="89"/>
        <v>13.728501494385558</v>
      </c>
      <c r="CU137" s="179">
        <f t="shared" si="90"/>
        <v>3.3069442691063137E-3</v>
      </c>
      <c r="CV137" s="213">
        <f t="shared" si="91"/>
        <v>1.0231486098837441</v>
      </c>
      <c r="CW137" s="217">
        <f t="shared" ca="1" si="92"/>
        <v>0.61017038402461654</v>
      </c>
      <c r="CX137" s="176">
        <f>DANE!BO137</f>
        <v>20</v>
      </c>
      <c r="CY137" s="188">
        <f t="shared" si="15"/>
        <v>3322</v>
      </c>
      <c r="CZ137" s="177">
        <f t="shared" ca="1" si="31"/>
        <v>39.142857142857146</v>
      </c>
      <c r="DA137" s="209">
        <f t="shared" si="54"/>
        <v>268.49534683094004</v>
      </c>
      <c r="DB137" s="179">
        <f t="shared" si="58"/>
        <v>-7.387051046551088E-2</v>
      </c>
      <c r="DC137" s="213">
        <f t="shared" si="59"/>
        <v>0.48290642674142381</v>
      </c>
      <c r="DD137" s="214">
        <f t="shared" ca="1" si="60"/>
        <v>1.0757798490707631</v>
      </c>
      <c r="DE137" s="176">
        <f>DANE!BS137</f>
        <v>4</v>
      </c>
      <c r="DF137" s="188">
        <f t="shared" si="16"/>
        <v>642</v>
      </c>
      <c r="DG137" s="177">
        <f t="shared" ca="1" si="32"/>
        <v>2.8571428571428572</v>
      </c>
      <c r="DH137" s="209">
        <f t="shared" si="70"/>
        <v>15.878789141448655</v>
      </c>
      <c r="DI137" s="179">
        <f t="shared" si="74"/>
        <v>0.14577256407217007</v>
      </c>
      <c r="DJ137" s="157">
        <f t="shared" si="75"/>
        <v>2.0204079485051905</v>
      </c>
      <c r="DK137" s="225">
        <f t="shared" ca="1" si="76"/>
        <v>1.6999549203060442</v>
      </c>
      <c r="DL137" s="89"/>
      <c r="DM137" s="89"/>
      <c r="DN137" s="89"/>
      <c r="DO137" s="89"/>
      <c r="DP137" s="89"/>
      <c r="DQ137" s="89"/>
      <c r="DR137" s="89"/>
      <c r="DS137" s="89"/>
      <c r="DT137" s="89"/>
      <c r="DU137" s="89"/>
      <c r="DV137" s="89"/>
      <c r="DW137" s="89"/>
      <c r="DX137" s="89"/>
      <c r="DY137" s="89"/>
      <c r="DZ137" s="89"/>
      <c r="EA137" s="89"/>
      <c r="EB137" s="89"/>
      <c r="EC137" s="89"/>
      <c r="ED137" s="89"/>
      <c r="EE137" s="89"/>
      <c r="EF137" s="89"/>
      <c r="EG137" s="89"/>
      <c r="EH137" s="89"/>
    </row>
    <row r="138" spans="1:138" x14ac:dyDescent="0.25">
      <c r="A138" s="32">
        <v>44028</v>
      </c>
      <c r="B138" s="33" t="str">
        <f t="shared" ca="1" si="0"/>
        <v/>
      </c>
      <c r="C138" s="51">
        <f t="shared" si="93"/>
        <v>135</v>
      </c>
      <c r="D138" s="176">
        <f>DANE!K138</f>
        <v>26</v>
      </c>
      <c r="E138" s="188">
        <f t="shared" si="1"/>
        <v>3017</v>
      </c>
      <c r="F138" s="178">
        <f t="shared" ca="1" si="17"/>
        <v>8.5714285714285712</v>
      </c>
      <c r="G138" s="209">
        <f t="shared" si="38"/>
        <v>58.911367684704217</v>
      </c>
      <c r="H138" s="179">
        <f t="shared" si="42"/>
        <v>0.53428622290069294</v>
      </c>
      <c r="I138" s="213">
        <f t="shared" si="43"/>
        <v>4.7400035603048511</v>
      </c>
      <c r="J138" s="214">
        <f t="shared" ca="1" si="44"/>
        <v>1.6321040887127345</v>
      </c>
      <c r="K138" s="176">
        <f>DANE!O138</f>
        <v>6</v>
      </c>
      <c r="L138" s="188">
        <f t="shared" si="2"/>
        <v>713</v>
      </c>
      <c r="M138" s="177">
        <f t="shared" ca="1" si="18"/>
        <v>2.8571428571428572</v>
      </c>
      <c r="N138" s="209">
        <f t="shared" si="62"/>
        <v>22.127382110442383</v>
      </c>
      <c r="O138" s="179">
        <f t="shared" si="66"/>
        <v>0.17603262534194841</v>
      </c>
      <c r="P138" s="213">
        <f t="shared" si="67"/>
        <v>2.2322283773936391</v>
      </c>
      <c r="Q138" s="217">
        <f t="shared" ca="1" si="68"/>
        <v>1.3148882893482094</v>
      </c>
      <c r="R138" s="176">
        <f>DANE!S138</f>
        <v>4</v>
      </c>
      <c r="S138" s="188">
        <f t="shared" si="3"/>
        <v>849</v>
      </c>
      <c r="T138" s="177">
        <f t="shared" ca="1" si="19"/>
        <v>14.571428571428571</v>
      </c>
      <c r="U138" s="209">
        <f t="shared" si="50"/>
        <v>83.78381542987924</v>
      </c>
      <c r="V138" s="179">
        <f t="shared" si="55"/>
        <v>-9.9883873026687608E-2</v>
      </c>
      <c r="W138" s="213">
        <f t="shared" si="56"/>
        <v>0.30081288881318669</v>
      </c>
      <c r="X138" s="214">
        <f t="shared" ca="1" si="57"/>
        <v>1.2722943803017623</v>
      </c>
      <c r="Y138" s="176">
        <f>DANE!W138</f>
        <v>4</v>
      </c>
      <c r="Z138" s="188">
        <f t="shared" si="4"/>
        <v>261</v>
      </c>
      <c r="AA138" s="177">
        <f t="shared" ca="1" si="20"/>
        <v>15.142857142857142</v>
      </c>
      <c r="AB138" s="209">
        <f t="shared" si="94"/>
        <v>62.301619806232395</v>
      </c>
      <c r="AC138" s="179">
        <f t="shared" si="95"/>
        <v>-8.4049661350343946E-2</v>
      </c>
      <c r="AD138" s="213">
        <f t="shared" si="96"/>
        <v>0.41165237054759229</v>
      </c>
      <c r="AE138" s="217">
        <f t="shared" ca="1" si="97"/>
        <v>6.6938852084822011</v>
      </c>
      <c r="AF138" s="176">
        <f>DANE!AA138</f>
        <v>38</v>
      </c>
      <c r="AG138" s="188">
        <f t="shared" si="5"/>
        <v>3523</v>
      </c>
      <c r="AH138" s="177">
        <f t="shared" ca="1" si="21"/>
        <v>26.428571428571427</v>
      </c>
      <c r="AI138" s="209">
        <f t="shared" si="37"/>
        <v>191.31215962946146</v>
      </c>
      <c r="AJ138" s="179">
        <f t="shared" si="39"/>
        <v>6.9594554713031165E-2</v>
      </c>
      <c r="AK138" s="213">
        <f t="shared" si="40"/>
        <v>1.4871618829912181</v>
      </c>
      <c r="AL138" s="214">
        <f t="shared" ca="1" si="41"/>
        <v>1.0282142733562021</v>
      </c>
      <c r="AM138" s="176">
        <f>DANE!AE138</f>
        <v>60</v>
      </c>
      <c r="AN138" s="188">
        <f t="shared" si="6"/>
        <v>2233</v>
      </c>
      <c r="AO138" s="177">
        <f t="shared" ca="1" si="22"/>
        <v>40.857142857142854</v>
      </c>
      <c r="AP138" s="209">
        <f t="shared" si="49"/>
        <v>253.91102387927205</v>
      </c>
      <c r="AQ138" s="179">
        <f t="shared" si="51"/>
        <v>0.12236022539619885</v>
      </c>
      <c r="AR138" s="213">
        <f t="shared" si="52"/>
        <v>1.8565215777733921</v>
      </c>
      <c r="AS138" s="217">
        <f t="shared" ca="1" si="53"/>
        <v>1.5179585400215403</v>
      </c>
      <c r="AT138" s="176">
        <f>DANE!AI138</f>
        <v>37</v>
      </c>
      <c r="AU138" s="188">
        <f t="shared" si="7"/>
        <v>5536</v>
      </c>
      <c r="AV138" s="177">
        <f t="shared" ca="1" si="23"/>
        <v>33.571428571428569</v>
      </c>
      <c r="AW138" s="209">
        <f t="shared" si="33"/>
        <v>235.34645981804306</v>
      </c>
      <c r="AX138" s="179">
        <f t="shared" si="34"/>
        <v>1.7036236351033789E-2</v>
      </c>
      <c r="AY138" s="213">
        <f t="shared" si="35"/>
        <v>1.1192536544572365</v>
      </c>
      <c r="AZ138" s="214">
        <f t="shared" ca="1" si="36"/>
        <v>1.0373089711348187</v>
      </c>
      <c r="BA138" s="176">
        <f>DANE!AM138</f>
        <v>4</v>
      </c>
      <c r="BB138" s="188">
        <f t="shared" si="8"/>
        <v>1019</v>
      </c>
      <c r="BC138" s="177">
        <f t="shared" ca="1" si="24"/>
        <v>4.7142857142857144</v>
      </c>
      <c r="BD138" s="209">
        <f t="shared" si="77"/>
        <v>33.242093212497366</v>
      </c>
      <c r="BE138" s="179">
        <f t="shared" si="80"/>
        <v>-2.5609331503263999E-2</v>
      </c>
      <c r="BF138" s="213">
        <f t="shared" si="81"/>
        <v>0.82073467947715195</v>
      </c>
      <c r="BG138" s="217">
        <f t="shared" ca="1" si="82"/>
        <v>0.79944319505586314</v>
      </c>
      <c r="BH138" s="176">
        <f>DANE!AQ138</f>
        <v>36</v>
      </c>
      <c r="BI138" s="188">
        <f t="shared" si="9"/>
        <v>1016</v>
      </c>
      <c r="BJ138" s="177">
        <f t="shared" ca="1" si="25"/>
        <v>27.142857142857142</v>
      </c>
      <c r="BK138" s="209">
        <f t="shared" si="61"/>
        <v>166.9660831667214</v>
      </c>
      <c r="BL138" s="179">
        <f t="shared" si="63"/>
        <v>9.2754567526387097E-2</v>
      </c>
      <c r="BM138" s="213">
        <f t="shared" si="64"/>
        <v>1.6492819726847097</v>
      </c>
      <c r="BN138" s="214">
        <f t="shared" ca="1" si="65"/>
        <v>1.432821501016496</v>
      </c>
      <c r="BO138" s="176">
        <f>DANE!AU138</f>
        <v>0</v>
      </c>
      <c r="BP138" s="188">
        <f t="shared" si="10"/>
        <v>904</v>
      </c>
      <c r="BQ138" s="177">
        <f t="shared" ca="1" si="26"/>
        <v>1.2857142857142858</v>
      </c>
      <c r="BR138" s="209">
        <f t="shared" si="78"/>
        <v>24.010199183480239</v>
      </c>
      <c r="BS138" s="179">
        <f t="shared" si="83"/>
        <v>-0.14285714285714285</v>
      </c>
      <c r="BT138" s="213">
        <f t="shared" si="84"/>
        <v>0</v>
      </c>
      <c r="BU138" s="217">
        <f t="shared" ca="1" si="85"/>
        <v>0.20209440214133881</v>
      </c>
      <c r="BV138" s="176">
        <f>DANE!AY138</f>
        <v>3</v>
      </c>
      <c r="BW138" s="188">
        <f t="shared" si="11"/>
        <v>718</v>
      </c>
      <c r="BX138" s="177">
        <f t="shared" ca="1" si="27"/>
        <v>3.5714285714285716</v>
      </c>
      <c r="BY138" s="209">
        <f t="shared" si="69"/>
        <v>21.003394697603493</v>
      </c>
      <c r="BZ138" s="179">
        <f t="shared" si="71"/>
        <v>-2.6936964313907521E-5</v>
      </c>
      <c r="CA138" s="213">
        <f t="shared" si="72"/>
        <v>0.9998114412498027</v>
      </c>
      <c r="CB138" s="214">
        <f t="shared" ca="1" si="73"/>
        <v>1.0490545502546331</v>
      </c>
      <c r="CC138" s="176">
        <f>DANE!BC138</f>
        <v>89</v>
      </c>
      <c r="CD138" s="188">
        <f t="shared" si="12"/>
        <v>14124</v>
      </c>
      <c r="CE138" s="177">
        <f t="shared" ca="1" si="28"/>
        <v>76.857142857142861</v>
      </c>
      <c r="CF138" s="209">
        <f t="shared" si="45"/>
        <v>587.16358315763921</v>
      </c>
      <c r="CG138" s="179">
        <f t="shared" si="46"/>
        <v>1.0276720927465488E-2</v>
      </c>
      <c r="CH138" s="213">
        <f t="shared" si="47"/>
        <v>1.0719370464922584</v>
      </c>
      <c r="CI138" s="217">
        <f t="shared" ca="1" si="48"/>
        <v>0.87905696974838221</v>
      </c>
      <c r="CJ138" s="176">
        <f>DANE!BG138</f>
        <v>3</v>
      </c>
      <c r="CK138" s="188">
        <f t="shared" si="13"/>
        <v>868</v>
      </c>
      <c r="CL138" s="177">
        <f t="shared" ca="1" si="29"/>
        <v>2.5714285714285716</v>
      </c>
      <c r="CM138" s="209">
        <f t="shared" si="79"/>
        <v>28.370762058891909</v>
      </c>
      <c r="CN138" s="179">
        <f t="shared" si="86"/>
        <v>-4.1503128915439273E-2</v>
      </c>
      <c r="CO138" s="213">
        <f t="shared" si="87"/>
        <v>0.70947809759192504</v>
      </c>
      <c r="CP138" s="214">
        <f t="shared" ca="1" si="88"/>
        <v>0.50200175605843522</v>
      </c>
      <c r="CQ138" s="176">
        <f>DANE!BK138</f>
        <v>0</v>
      </c>
      <c r="CR138" s="188">
        <f t="shared" si="14"/>
        <v>286</v>
      </c>
      <c r="CS138" s="177">
        <f t="shared" ca="1" si="30"/>
        <v>1.1428571428571428</v>
      </c>
      <c r="CT138" s="209">
        <f t="shared" si="89"/>
        <v>11.767286995187622</v>
      </c>
      <c r="CU138" s="179">
        <f t="shared" si="90"/>
        <v>-0.14285714285714282</v>
      </c>
      <c r="CV138" s="213">
        <f t="shared" si="91"/>
        <v>2.2204460492503131E-16</v>
      </c>
      <c r="CW138" s="217">
        <f t="shared" ca="1" si="92"/>
        <v>0.46582241696857629</v>
      </c>
      <c r="CX138" s="176">
        <f>DANE!BO138</f>
        <v>20</v>
      </c>
      <c r="CY138" s="188">
        <f t="shared" si="15"/>
        <v>3342</v>
      </c>
      <c r="CZ138" s="177">
        <f t="shared" ca="1" si="31"/>
        <v>38</v>
      </c>
      <c r="DA138" s="209">
        <f t="shared" si="54"/>
        <v>250.13886871223434</v>
      </c>
      <c r="DB138" s="179">
        <f t="shared" si="58"/>
        <v>-6.8367956224820461E-2</v>
      </c>
      <c r="DC138" s="213">
        <f t="shared" si="59"/>
        <v>0.5214243064262567</v>
      </c>
      <c r="DD138" s="214">
        <f t="shared" ca="1" si="60"/>
        <v>1.0419353942022036</v>
      </c>
      <c r="DE138" s="176">
        <f>DANE!BS138</f>
        <v>3</v>
      </c>
      <c r="DF138" s="188">
        <f t="shared" si="16"/>
        <v>645</v>
      </c>
      <c r="DG138" s="177">
        <f t="shared" ca="1" si="32"/>
        <v>3.1428571428571428</v>
      </c>
      <c r="DH138" s="209">
        <f t="shared" si="70"/>
        <v>16.610390692670279</v>
      </c>
      <c r="DI138" s="179">
        <f t="shared" si="74"/>
        <v>4.6074139829208584E-2</v>
      </c>
      <c r="DJ138" s="157">
        <f t="shared" si="75"/>
        <v>1.3225189788044602</v>
      </c>
      <c r="DK138" s="225">
        <f t="shared" ca="1" si="76"/>
        <v>1.7857334148264488</v>
      </c>
      <c r="DL138" s="89"/>
      <c r="DM138" s="89"/>
      <c r="DN138" s="89"/>
      <c r="DO138" s="89"/>
      <c r="DP138" s="89"/>
      <c r="DQ138" s="89"/>
      <c r="DR138" s="89"/>
      <c r="DS138" s="89"/>
      <c r="DT138" s="89"/>
      <c r="DU138" s="89"/>
      <c r="DV138" s="89"/>
      <c r="DW138" s="89"/>
      <c r="DX138" s="89"/>
      <c r="DY138" s="89"/>
      <c r="DZ138" s="89"/>
      <c r="EA138" s="89"/>
      <c r="EB138" s="89"/>
      <c r="EC138" s="89"/>
      <c r="ED138" s="89"/>
      <c r="EE138" s="89"/>
      <c r="EF138" s="89"/>
      <c r="EG138" s="89"/>
      <c r="EH138" s="89"/>
    </row>
    <row r="139" spans="1:138" x14ac:dyDescent="0.25">
      <c r="A139" s="32">
        <v>44029</v>
      </c>
      <c r="B139" s="33" t="str">
        <f t="shared" ca="1" si="0"/>
        <v/>
      </c>
      <c r="C139" s="51">
        <f t="shared" si="93"/>
        <v>136</v>
      </c>
      <c r="D139" s="176">
        <f>DANE!K139</f>
        <v>8</v>
      </c>
      <c r="E139" s="188">
        <f t="shared" si="1"/>
        <v>3025</v>
      </c>
      <c r="F139" s="178">
        <f t="shared" ca="1" si="17"/>
        <v>7.8571428571428568</v>
      </c>
      <c r="G139" s="209">
        <f t="shared" si="38"/>
        <v>58.495458015460763</v>
      </c>
      <c r="H139" s="179">
        <f t="shared" si="42"/>
        <v>-7.0599221438792286E-3</v>
      </c>
      <c r="I139" s="213">
        <f t="shared" si="43"/>
        <v>0.95058054499284539</v>
      </c>
      <c r="J139" s="214">
        <f t="shared" ca="1" si="44"/>
        <v>1.4111530963911163</v>
      </c>
      <c r="K139" s="176">
        <f>DANE!O139</f>
        <v>0</v>
      </c>
      <c r="L139" s="188">
        <f t="shared" si="2"/>
        <v>713</v>
      </c>
      <c r="M139" s="177">
        <f t="shared" ca="1" si="18"/>
        <v>2.7142857142857144</v>
      </c>
      <c r="N139" s="209">
        <f t="shared" si="62"/>
        <v>18.96632752323633</v>
      </c>
      <c r="O139" s="179">
        <f t="shared" si="66"/>
        <v>-0.14285714285714277</v>
      </c>
      <c r="P139" s="213">
        <f t="shared" si="67"/>
        <v>5.5511151231257827E-16</v>
      </c>
      <c r="Q139" s="217">
        <f t="shared" ca="1" si="68"/>
        <v>1.2592700678088793</v>
      </c>
      <c r="R139" s="176">
        <f>DANE!S139</f>
        <v>11</v>
      </c>
      <c r="S139" s="188">
        <f t="shared" si="3"/>
        <v>860</v>
      </c>
      <c r="T139" s="177">
        <f t="shared" ca="1" si="19"/>
        <v>14.285714285714286</v>
      </c>
      <c r="U139" s="209">
        <f t="shared" si="50"/>
        <v>82.814698939896502</v>
      </c>
      <c r="V139" s="179">
        <f t="shared" si="55"/>
        <v>-1.1566869866338519E-2</v>
      </c>
      <c r="W139" s="213">
        <f t="shared" si="56"/>
        <v>0.91903191093563041</v>
      </c>
      <c r="X139" s="214">
        <f t="shared" ca="1" si="57"/>
        <v>1.2137466938210213</v>
      </c>
      <c r="Y139" s="176">
        <f>DANE!W139</f>
        <v>17</v>
      </c>
      <c r="Z139" s="188">
        <f t="shared" si="4"/>
        <v>278</v>
      </c>
      <c r="AA139" s="177">
        <f t="shared" ca="1" si="20"/>
        <v>14</v>
      </c>
      <c r="AB139" s="209">
        <f t="shared" si="94"/>
        <v>70.401388405342061</v>
      </c>
      <c r="AC139" s="179">
        <f t="shared" si="95"/>
        <v>0.13000895681847743</v>
      </c>
      <c r="AD139" s="213">
        <f t="shared" si="96"/>
        <v>1.9100626977293422</v>
      </c>
      <c r="AE139" s="217">
        <f t="shared" ca="1" si="97"/>
        <v>2.3970626155777417</v>
      </c>
      <c r="AF139" s="176">
        <f>DANE!AA139</f>
        <v>30</v>
      </c>
      <c r="AG139" s="188">
        <f t="shared" si="5"/>
        <v>3553</v>
      </c>
      <c r="AH139" s="177">
        <f t="shared" ca="1" si="21"/>
        <v>28.428571428571427</v>
      </c>
      <c r="AI139" s="209">
        <f t="shared" si="37"/>
        <v>193.98185111096697</v>
      </c>
      <c r="AJ139" s="179">
        <f t="shared" si="39"/>
        <v>1.3954635641959402E-2</v>
      </c>
      <c r="AK139" s="213">
        <f t="shared" si="40"/>
        <v>1.0976824494937159</v>
      </c>
      <c r="AL139" s="214">
        <f t="shared" ca="1" si="41"/>
        <v>1.0996695708579824</v>
      </c>
      <c r="AM139" s="176">
        <f>DANE!AE139</f>
        <v>70</v>
      </c>
      <c r="AN139" s="188">
        <f t="shared" si="6"/>
        <v>2303</v>
      </c>
      <c r="AO139" s="177">
        <f t="shared" ca="1" si="22"/>
        <v>48.142857142857146</v>
      </c>
      <c r="AP139" s="209">
        <f t="shared" si="49"/>
        <v>287.63802046794751</v>
      </c>
      <c r="AQ139" s="179">
        <f t="shared" si="51"/>
        <v>0.13282998143755961</v>
      </c>
      <c r="AR139" s="213">
        <f t="shared" si="52"/>
        <v>1.9298098700629174</v>
      </c>
      <c r="AS139" s="217">
        <f t="shared" ca="1" si="53"/>
        <v>1.6719903056727803</v>
      </c>
      <c r="AT139" s="176">
        <f>DANE!AI139</f>
        <v>36</v>
      </c>
      <c r="AU139" s="188">
        <f t="shared" si="7"/>
        <v>5572</v>
      </c>
      <c r="AV139" s="177">
        <f t="shared" ca="1" si="23"/>
        <v>35.428571428571431</v>
      </c>
      <c r="AW139" s="209">
        <f t="shared" si="33"/>
        <v>237.72553698689407</v>
      </c>
      <c r="AX139" s="179">
        <f t="shared" si="34"/>
        <v>1.0108829215830922E-2</v>
      </c>
      <c r="AY139" s="213">
        <f t="shared" si="35"/>
        <v>1.0707618045108165</v>
      </c>
      <c r="AZ139" s="214">
        <f t="shared" ca="1" si="36"/>
        <v>1.091708105920175</v>
      </c>
      <c r="BA139" s="176">
        <f>DANE!AM139</f>
        <v>4</v>
      </c>
      <c r="BB139" s="188">
        <f t="shared" si="8"/>
        <v>1023</v>
      </c>
      <c r="BC139" s="177">
        <f t="shared" ca="1" si="24"/>
        <v>4</v>
      </c>
      <c r="BD139" s="209">
        <f t="shared" si="77"/>
        <v>32.493222753569171</v>
      </c>
      <c r="BE139" s="179">
        <f t="shared" si="80"/>
        <v>-2.2527776880387824E-2</v>
      </c>
      <c r="BF139" s="213">
        <f t="shared" si="81"/>
        <v>0.84230556183728522</v>
      </c>
      <c r="BG139" s="217">
        <f t="shared" ca="1" si="82"/>
        <v>0.70222509372092368</v>
      </c>
      <c r="BH139" s="176">
        <f>DANE!AQ139</f>
        <v>18</v>
      </c>
      <c r="BI139" s="188">
        <f t="shared" si="9"/>
        <v>1034</v>
      </c>
      <c r="BJ139" s="177">
        <f t="shared" ca="1" si="25"/>
        <v>27.428571428571427</v>
      </c>
      <c r="BK139" s="209">
        <f t="shared" si="61"/>
        <v>161.11378557147549</v>
      </c>
      <c r="BL139" s="179">
        <f t="shared" si="63"/>
        <v>-3.5050816814108252E-2</v>
      </c>
      <c r="BM139" s="213">
        <f t="shared" si="64"/>
        <v>0.75464428230124225</v>
      </c>
      <c r="BN139" s="214">
        <f t="shared" ca="1" si="65"/>
        <v>1.4048410541199154</v>
      </c>
      <c r="BO139" s="176">
        <f>DANE!AU139</f>
        <v>4</v>
      </c>
      <c r="BP139" s="188">
        <f t="shared" si="10"/>
        <v>908</v>
      </c>
      <c r="BQ139" s="177">
        <f t="shared" ca="1" si="26"/>
        <v>1.5714285714285714</v>
      </c>
      <c r="BR139" s="209">
        <f t="shared" si="78"/>
        <v>24.58017072869735</v>
      </c>
      <c r="BS139" s="179">
        <f t="shared" si="83"/>
        <v>2.373872623302806E-2</v>
      </c>
      <c r="BT139" s="213">
        <f t="shared" si="84"/>
        <v>1.1661710836311965</v>
      </c>
      <c r="BU139" s="217">
        <f t="shared" ca="1" si="85"/>
        <v>0.3330606558061836</v>
      </c>
      <c r="BV139" s="176">
        <f>DANE!AY139</f>
        <v>8</v>
      </c>
      <c r="BW139" s="188">
        <f t="shared" si="11"/>
        <v>726</v>
      </c>
      <c r="BX139" s="177">
        <f t="shared" ca="1" si="27"/>
        <v>3.4285714285714284</v>
      </c>
      <c r="BY139" s="209">
        <f t="shared" si="69"/>
        <v>26.002909740802995</v>
      </c>
      <c r="BZ139" s="179">
        <f t="shared" si="71"/>
        <v>0.23803366623253291</v>
      </c>
      <c r="CA139" s="213">
        <f t="shared" si="72"/>
        <v>2.6662356636277305</v>
      </c>
      <c r="CB139" s="214">
        <f t="shared" ca="1" si="73"/>
        <v>1.0024294151171971</v>
      </c>
      <c r="CC139" s="176">
        <f>DANE!BC139</f>
        <v>86</v>
      </c>
      <c r="CD139" s="188">
        <f t="shared" si="12"/>
        <v>14210</v>
      </c>
      <c r="CE139" s="177">
        <f t="shared" ca="1" si="28"/>
        <v>76.571428571428569</v>
      </c>
      <c r="CF139" s="209">
        <f t="shared" si="45"/>
        <v>589.28307127797643</v>
      </c>
      <c r="CG139" s="179">
        <f t="shared" si="46"/>
        <v>3.6097063597491401E-3</v>
      </c>
      <c r="CH139" s="213">
        <f t="shared" si="47"/>
        <v>1.025267944518244</v>
      </c>
      <c r="CI139" s="217">
        <f t="shared" ca="1" si="48"/>
        <v>0.89310792458662946</v>
      </c>
      <c r="CJ139" s="176">
        <f>DANE!BG139</f>
        <v>10</v>
      </c>
      <c r="CK139" s="188">
        <f t="shared" si="13"/>
        <v>878</v>
      </c>
      <c r="CL139" s="177">
        <f t="shared" ca="1" si="29"/>
        <v>3.4285714285714284</v>
      </c>
      <c r="CM139" s="209">
        <f t="shared" si="79"/>
        <v>34.317796050478776</v>
      </c>
      <c r="CN139" s="179">
        <f t="shared" si="86"/>
        <v>0.20961840853065697</v>
      </c>
      <c r="CO139" s="213">
        <f t="shared" si="87"/>
        <v>2.4673288597145988</v>
      </c>
      <c r="CP139" s="214">
        <f t="shared" ca="1" si="88"/>
        <v>0.77072887270181922</v>
      </c>
      <c r="CQ139" s="176">
        <f>DANE!BK139</f>
        <v>5</v>
      </c>
      <c r="CR139" s="188">
        <f t="shared" si="14"/>
        <v>291</v>
      </c>
      <c r="CS139" s="177">
        <f t="shared" ca="1" si="30"/>
        <v>1.5714285714285714</v>
      </c>
      <c r="CT139" s="209">
        <f t="shared" si="89"/>
        <v>15.086245995875105</v>
      </c>
      <c r="CU139" s="179">
        <f t="shared" si="90"/>
        <v>0.28204963489416152</v>
      </c>
      <c r="CV139" s="213">
        <f t="shared" si="91"/>
        <v>2.9743474442591307</v>
      </c>
      <c r="CW139" s="217">
        <f t="shared" ca="1" si="92"/>
        <v>0.79464046808143429</v>
      </c>
      <c r="CX139" s="176">
        <f>DANE!BO139</f>
        <v>46</v>
      </c>
      <c r="CY139" s="188">
        <f t="shared" si="15"/>
        <v>3388</v>
      </c>
      <c r="CZ139" s="177">
        <f t="shared" ca="1" si="31"/>
        <v>42.142857142857146</v>
      </c>
      <c r="DA139" s="209">
        <f t="shared" si="54"/>
        <v>260.4047446104866</v>
      </c>
      <c r="DB139" s="179">
        <f t="shared" si="58"/>
        <v>4.1040706512758589E-2</v>
      </c>
      <c r="DC139" s="213">
        <f t="shared" si="59"/>
        <v>1.2872849455893101</v>
      </c>
      <c r="DD139" s="214">
        <f t="shared" ca="1" si="60"/>
        <v>1.157707300871343</v>
      </c>
      <c r="DE139" s="176">
        <f>DANE!BS139</f>
        <v>0</v>
      </c>
      <c r="DF139" s="188">
        <f t="shared" si="16"/>
        <v>645</v>
      </c>
      <c r="DG139" s="177">
        <f t="shared" ca="1" si="32"/>
        <v>2</v>
      </c>
      <c r="DH139" s="209">
        <f t="shared" si="70"/>
        <v>14.237477736574526</v>
      </c>
      <c r="DI139" s="179">
        <f t="shared" si="74"/>
        <v>-0.14285714285714279</v>
      </c>
      <c r="DJ139" s="157">
        <f t="shared" si="75"/>
        <v>4.4408920985006262E-16</v>
      </c>
      <c r="DK139" s="225">
        <f t="shared" ca="1" si="76"/>
        <v>0.92639149303505242</v>
      </c>
      <c r="DL139" s="89"/>
      <c r="DM139" s="89"/>
      <c r="DN139" s="89"/>
      <c r="DO139" s="89"/>
      <c r="DP139" s="89"/>
      <c r="DQ139" s="89"/>
      <c r="DR139" s="89"/>
      <c r="DS139" s="89"/>
      <c r="DT139" s="89"/>
      <c r="DU139" s="89"/>
      <c r="DV139" s="89"/>
      <c r="DW139" s="89"/>
      <c r="DX139" s="89"/>
      <c r="DY139" s="89"/>
      <c r="DZ139" s="89"/>
      <c r="EA139" s="89"/>
      <c r="EB139" s="89"/>
      <c r="EC139" s="89"/>
      <c r="ED139" s="89"/>
      <c r="EE139" s="89"/>
      <c r="EF139" s="89"/>
      <c r="EG139" s="89"/>
      <c r="EH139" s="89"/>
    </row>
    <row r="140" spans="1:138" x14ac:dyDescent="0.25">
      <c r="A140" s="61">
        <v>44030</v>
      </c>
      <c r="B140" s="62" t="str">
        <f t="shared" ca="1" si="0"/>
        <v/>
      </c>
      <c r="C140" s="12">
        <f t="shared" si="93"/>
        <v>137</v>
      </c>
      <c r="D140" s="176">
        <f>DANE!K140</f>
        <v>17</v>
      </c>
      <c r="E140" s="198">
        <f t="shared" si="1"/>
        <v>3042</v>
      </c>
      <c r="F140" s="178">
        <f t="shared" ca="1" si="17"/>
        <v>10</v>
      </c>
      <c r="G140" s="211">
        <f t="shared" si="38"/>
        <v>67.138964013252092</v>
      </c>
      <c r="H140" s="200">
        <f t="shared" si="42"/>
        <v>0.14776371176556632</v>
      </c>
      <c r="I140" s="213">
        <f t="shared" si="43"/>
        <v>2.034345982358964</v>
      </c>
      <c r="J140" s="214">
        <f t="shared" ca="1" si="44"/>
        <v>1.6565603879394479</v>
      </c>
      <c r="K140" s="176">
        <f>DANE!O140</f>
        <v>4</v>
      </c>
      <c r="L140" s="198">
        <f t="shared" si="2"/>
        <v>717</v>
      </c>
      <c r="M140" s="177">
        <f t="shared" ca="1" si="18"/>
        <v>3</v>
      </c>
      <c r="N140" s="211">
        <f t="shared" si="62"/>
        <v>20.256852162773999</v>
      </c>
      <c r="O140" s="200">
        <f t="shared" si="66"/>
        <v>6.8042937566938064E-2</v>
      </c>
      <c r="P140" s="213">
        <f t="shared" si="67"/>
        <v>1.4763005629685666</v>
      </c>
      <c r="Q140" s="217">
        <f t="shared" ca="1" si="68"/>
        <v>1.3483020650328537</v>
      </c>
      <c r="R140" s="176">
        <f>DANE!S140</f>
        <v>15</v>
      </c>
      <c r="S140" s="198">
        <f t="shared" si="3"/>
        <v>875</v>
      </c>
      <c r="T140" s="177">
        <f t="shared" ca="1" si="19"/>
        <v>14.428571428571429</v>
      </c>
      <c r="U140" s="211">
        <f t="shared" si="50"/>
        <v>85.98402766276844</v>
      </c>
      <c r="V140" s="200">
        <f t="shared" si="55"/>
        <v>3.8270123099428358E-2</v>
      </c>
      <c r="W140" s="213">
        <f t="shared" si="56"/>
        <v>1.2678908616959985</v>
      </c>
      <c r="X140" s="214">
        <f t="shared" ca="1" si="57"/>
        <v>1.1996068868889125</v>
      </c>
      <c r="Y140" s="176">
        <f>DANE!W140</f>
        <v>6</v>
      </c>
      <c r="Z140" s="198">
        <f t="shared" si="4"/>
        <v>284</v>
      </c>
      <c r="AA140" s="177">
        <f t="shared" ca="1" si="20"/>
        <v>14</v>
      </c>
      <c r="AB140" s="211">
        <f t="shared" si="94"/>
        <v>66.344047204578914</v>
      </c>
      <c r="AC140" s="200">
        <f t="shared" si="95"/>
        <v>-5.7631550920596276E-2</v>
      </c>
      <c r="AD140" s="213">
        <f t="shared" si="96"/>
        <v>0.59657914355582609</v>
      </c>
      <c r="AE140" s="217">
        <f t="shared" ca="1" si="97"/>
        <v>2.2801950936649718</v>
      </c>
      <c r="AF140" s="176">
        <f>DANE!AA140</f>
        <v>22</v>
      </c>
      <c r="AG140" s="198">
        <f t="shared" si="5"/>
        <v>3575</v>
      </c>
      <c r="AH140" s="177">
        <f t="shared" ca="1" si="21"/>
        <v>26.714285714285715</v>
      </c>
      <c r="AI140" s="211">
        <f t="shared" si="37"/>
        <v>188.27015809511457</v>
      </c>
      <c r="AJ140" s="200">
        <f t="shared" si="39"/>
        <v>-2.944447113552412E-2</v>
      </c>
      <c r="AK140" s="213">
        <f t="shared" si="40"/>
        <v>0.79388870205133122</v>
      </c>
      <c r="AL140" s="214">
        <f t="shared" ca="1" si="41"/>
        <v>1.020633808104062</v>
      </c>
      <c r="AM140" s="176">
        <f>DANE!AE140</f>
        <v>76</v>
      </c>
      <c r="AN140" s="198">
        <f t="shared" si="6"/>
        <v>2379</v>
      </c>
      <c r="AO140" s="177">
        <f t="shared" ca="1" si="22"/>
        <v>51.428571428571431</v>
      </c>
      <c r="AP140" s="211">
        <f t="shared" si="49"/>
        <v>322.5468746868122</v>
      </c>
      <c r="AQ140" s="200">
        <f t="shared" si="51"/>
        <v>0.12136383834818772</v>
      </c>
      <c r="AR140" s="213">
        <f t="shared" si="52"/>
        <v>1.8495468684373142</v>
      </c>
      <c r="AS140" s="217">
        <f t="shared" ca="1" si="53"/>
        <v>1.5895060967725989</v>
      </c>
      <c r="AT140" s="176">
        <f>DANE!AI140</f>
        <v>31</v>
      </c>
      <c r="AU140" s="198">
        <f t="shared" si="7"/>
        <v>5603</v>
      </c>
      <c r="AV140" s="177">
        <f t="shared" ca="1" si="23"/>
        <v>33.428571428571431</v>
      </c>
      <c r="AW140" s="211">
        <f t="shared" si="33"/>
        <v>234.76474598876635</v>
      </c>
      <c r="AX140" s="200">
        <f t="shared" si="34"/>
        <v>-1.2454661100590764E-2</v>
      </c>
      <c r="AY140" s="213">
        <f t="shared" si="35"/>
        <v>0.91281737229586468</v>
      </c>
      <c r="AZ140" s="214">
        <f t="shared" ca="1" si="36"/>
        <v>1.0203252955169797</v>
      </c>
      <c r="BA140" s="176">
        <f>DANE!AM140</f>
        <v>5</v>
      </c>
      <c r="BB140" s="198">
        <f t="shared" si="8"/>
        <v>1028</v>
      </c>
      <c r="BC140" s="177">
        <f t="shared" ca="1" si="24"/>
        <v>3.5714285714285716</v>
      </c>
      <c r="BD140" s="211">
        <f t="shared" si="77"/>
        <v>32.851333788773573</v>
      </c>
      <c r="BE140" s="200">
        <f t="shared" si="80"/>
        <v>1.1021099320321064E-2</v>
      </c>
      <c r="BF140" s="213">
        <f t="shared" si="81"/>
        <v>1.0771476952422474</v>
      </c>
      <c r="BG140" s="217">
        <f t="shared" ca="1" si="82"/>
        <v>0.67616729097546546</v>
      </c>
      <c r="BH140" s="176">
        <f>DANE!AQ140</f>
        <v>25</v>
      </c>
      <c r="BI140" s="198">
        <f t="shared" si="9"/>
        <v>1059</v>
      </c>
      <c r="BJ140" s="177">
        <f t="shared" ca="1" si="25"/>
        <v>29.714285714285715</v>
      </c>
      <c r="BK140" s="211">
        <f t="shared" si="61"/>
        <v>163.09753048983615</v>
      </c>
      <c r="BL140" s="200">
        <f t="shared" si="63"/>
        <v>1.2312695101317699E-2</v>
      </c>
      <c r="BM140" s="213">
        <f t="shared" si="64"/>
        <v>1.0861888657092238</v>
      </c>
      <c r="BN140" s="214">
        <f t="shared" ca="1" si="65"/>
        <v>1.4830869515850407</v>
      </c>
      <c r="BO140" s="176">
        <f>DANE!AU140</f>
        <v>3</v>
      </c>
      <c r="BP140" s="198">
        <f t="shared" si="10"/>
        <v>911</v>
      </c>
      <c r="BQ140" s="177">
        <f t="shared" ca="1" si="26"/>
        <v>1.7142857142857142</v>
      </c>
      <c r="BR140" s="211">
        <f t="shared" si="78"/>
        <v>24.068717767454874</v>
      </c>
      <c r="BS140" s="200">
        <f t="shared" si="83"/>
        <v>-2.0807543075579811E-2</v>
      </c>
      <c r="BT140" s="213">
        <f t="shared" si="84"/>
        <v>0.85434719847094132</v>
      </c>
      <c r="BU140" s="217">
        <f t="shared" ca="1" si="85"/>
        <v>0.41520130171640623</v>
      </c>
      <c r="BV140" s="176">
        <f>DANE!AY140</f>
        <v>15</v>
      </c>
      <c r="BW140" s="198">
        <f t="shared" si="11"/>
        <v>741</v>
      </c>
      <c r="BX140" s="177">
        <f t="shared" ca="1" si="27"/>
        <v>5</v>
      </c>
      <c r="BY140" s="211">
        <f t="shared" si="69"/>
        <v>37.288208349259712</v>
      </c>
      <c r="BZ140" s="200">
        <f t="shared" si="71"/>
        <v>0.43400137603631955</v>
      </c>
      <c r="CA140" s="213">
        <f t="shared" si="72"/>
        <v>4.0380096322542371</v>
      </c>
      <c r="CB140" s="214">
        <f t="shared" ca="1" si="73"/>
        <v>1.4313832248999321</v>
      </c>
      <c r="CC140" s="176">
        <f>DANE!BC140</f>
        <v>101</v>
      </c>
      <c r="CD140" s="198">
        <f t="shared" si="12"/>
        <v>14311</v>
      </c>
      <c r="CE140" s="177">
        <f t="shared" ca="1" si="28"/>
        <v>80</v>
      </c>
      <c r="CF140" s="211">
        <f t="shared" si="45"/>
        <v>606.09977538112275</v>
      </c>
      <c r="CG140" s="200">
        <f t="shared" si="46"/>
        <v>2.8537565259894513E-2</v>
      </c>
      <c r="CH140" s="213">
        <f t="shared" si="47"/>
        <v>1.1997629568192616</v>
      </c>
      <c r="CI140" s="217">
        <f t="shared" ca="1" si="48"/>
        <v>0.94741619654900033</v>
      </c>
      <c r="CJ140" s="176">
        <f>DANE!BG140</f>
        <v>0</v>
      </c>
      <c r="CK140" s="198">
        <f t="shared" si="13"/>
        <v>878</v>
      </c>
      <c r="CL140" s="177">
        <f t="shared" ca="1" si="29"/>
        <v>3.4285714285714284</v>
      </c>
      <c r="CM140" s="211">
        <f t="shared" si="79"/>
        <v>29.415253757553238</v>
      </c>
      <c r="CN140" s="200">
        <f t="shared" si="86"/>
        <v>-0.14285714285714282</v>
      </c>
      <c r="CO140" s="213">
        <f t="shared" si="87"/>
        <v>2.2204460492503131E-16</v>
      </c>
      <c r="CP140" s="214">
        <f t="shared" ca="1" si="88"/>
        <v>0.77072887270181922</v>
      </c>
      <c r="CQ140" s="176">
        <f>DANE!BK140</f>
        <v>1</v>
      </c>
      <c r="CR140" s="198">
        <f t="shared" si="14"/>
        <v>292</v>
      </c>
      <c r="CS140" s="177">
        <f t="shared" ca="1" si="30"/>
        <v>1.4285714285714286</v>
      </c>
      <c r="CT140" s="211">
        <f t="shared" si="89"/>
        <v>13.931067996464376</v>
      </c>
      <c r="CU140" s="200">
        <f t="shared" si="90"/>
        <v>-7.6571600365430759E-2</v>
      </c>
      <c r="CV140" s="213">
        <f t="shared" si="91"/>
        <v>0.46399879744198469</v>
      </c>
      <c r="CW140" s="217">
        <f t="shared" ca="1" si="92"/>
        <v>0.76012288122520866</v>
      </c>
      <c r="CX140" s="176">
        <f>DANE!BO140</f>
        <v>10</v>
      </c>
      <c r="CY140" s="198">
        <f t="shared" si="15"/>
        <v>3398</v>
      </c>
      <c r="CZ140" s="177">
        <f t="shared" ca="1" si="31"/>
        <v>37.428571428571431</v>
      </c>
      <c r="DA140" s="211">
        <f t="shared" si="54"/>
        <v>233.20406680898853</v>
      </c>
      <c r="DB140" s="200">
        <f t="shared" si="58"/>
        <v>-0.10445538479794154</v>
      </c>
      <c r="DC140" s="213">
        <f t="shared" si="59"/>
        <v>0.26881230641440912</v>
      </c>
      <c r="DD140" s="214">
        <f t="shared" ca="1" si="60"/>
        <v>1.0098728419759584</v>
      </c>
      <c r="DE140" s="176">
        <f>DANE!BS140</f>
        <v>8</v>
      </c>
      <c r="DF140" s="198">
        <f t="shared" si="16"/>
        <v>653</v>
      </c>
      <c r="DG140" s="177">
        <f t="shared" ca="1" si="32"/>
        <v>2.5714285714285716</v>
      </c>
      <c r="DH140" s="211">
        <f t="shared" si="70"/>
        <v>20.203552345635309</v>
      </c>
      <c r="DI140" s="200">
        <f t="shared" si="74"/>
        <v>0.41904013614255486</v>
      </c>
      <c r="DJ140" s="157">
        <f t="shared" si="75"/>
        <v>3.9332809529978841</v>
      </c>
      <c r="DK140" s="225">
        <f t="shared" ca="1" si="76"/>
        <v>1.2379684859658713</v>
      </c>
      <c r="DL140" s="88"/>
      <c r="DM140" s="8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88"/>
      <c r="DZ140" s="88"/>
      <c r="EA140" s="88"/>
      <c r="EB140" s="88"/>
      <c r="EC140" s="88"/>
      <c r="ED140" s="88"/>
      <c r="EE140" s="88"/>
      <c r="EF140" s="88"/>
      <c r="EG140" s="88"/>
      <c r="EH140" s="88"/>
    </row>
    <row r="141" spans="1:138" x14ac:dyDescent="0.25">
      <c r="A141" s="61">
        <v>44031</v>
      </c>
      <c r="B141" s="62" t="str">
        <f t="shared" ca="1" si="0"/>
        <v/>
      </c>
      <c r="C141" s="12">
        <f t="shared" si="93"/>
        <v>138</v>
      </c>
      <c r="D141" s="176">
        <f>DANE!K141</f>
        <v>9</v>
      </c>
      <c r="E141" s="198">
        <f t="shared" si="1"/>
        <v>3051</v>
      </c>
      <c r="F141" s="178">
        <f t="shared" ca="1" si="17"/>
        <v>11</v>
      </c>
      <c r="G141" s="211">
        <f t="shared" si="38"/>
        <v>66.547683439930367</v>
      </c>
      <c r="H141" s="200">
        <f t="shared" si="42"/>
        <v>-8.8068170549223355E-3</v>
      </c>
      <c r="I141" s="213">
        <f t="shared" si="43"/>
        <v>0.93835228061554365</v>
      </c>
      <c r="J141" s="214">
        <f t="shared" ca="1" si="44"/>
        <v>1.7405046114727969</v>
      </c>
      <c r="K141" s="176">
        <f>DANE!O141</f>
        <v>3</v>
      </c>
      <c r="L141" s="198">
        <f t="shared" si="2"/>
        <v>720</v>
      </c>
      <c r="M141" s="177">
        <f t="shared" ca="1" si="18"/>
        <v>3.4285714285714284</v>
      </c>
      <c r="N141" s="211">
        <f t="shared" si="62"/>
        <v>20.363016139520571</v>
      </c>
      <c r="O141" s="200">
        <f t="shared" si="66"/>
        <v>5.240892113616228E-3</v>
      </c>
      <c r="P141" s="213">
        <f t="shared" si="67"/>
        <v>1.0366862447953136</v>
      </c>
      <c r="Q141" s="217">
        <f t="shared" ca="1" si="68"/>
        <v>1.4964001000036125</v>
      </c>
      <c r="R141" s="176">
        <f>DANE!S141</f>
        <v>7</v>
      </c>
      <c r="S141" s="198">
        <f t="shared" si="3"/>
        <v>882</v>
      </c>
      <c r="T141" s="177">
        <f t="shared" ca="1" si="19"/>
        <v>9.7142857142857135</v>
      </c>
      <c r="U141" s="211">
        <f t="shared" si="50"/>
        <v>80.700595139515812</v>
      </c>
      <c r="V141" s="200">
        <f t="shared" si="55"/>
        <v>-6.1446674072705529E-2</v>
      </c>
      <c r="W141" s="213">
        <f t="shared" si="56"/>
        <v>0.5698732814910612</v>
      </c>
      <c r="X141" s="214">
        <f t="shared" ca="1" si="57"/>
        <v>0.75089510328984355</v>
      </c>
      <c r="Y141" s="176">
        <f>DANE!W141</f>
        <v>25</v>
      </c>
      <c r="Z141" s="198">
        <f t="shared" si="4"/>
        <v>309</v>
      </c>
      <c r="AA141" s="177">
        <f t="shared" ca="1" si="20"/>
        <v>10.714285714285714</v>
      </c>
      <c r="AB141" s="211">
        <f t="shared" si="94"/>
        <v>81.86632617535335</v>
      </c>
      <c r="AC141" s="200">
        <f t="shared" si="95"/>
        <v>0.23396641635247006</v>
      </c>
      <c r="AD141" s="213">
        <f t="shared" si="96"/>
        <v>2.6377649144672906</v>
      </c>
      <c r="AE141" s="217">
        <f t="shared" ca="1" si="97"/>
        <v>1.130687452773681</v>
      </c>
      <c r="AF141" s="176">
        <f>DANE!AA141</f>
        <v>36</v>
      </c>
      <c r="AG141" s="198">
        <f t="shared" si="5"/>
        <v>3611</v>
      </c>
      <c r="AH141" s="177">
        <f t="shared" ca="1" si="21"/>
        <v>27.714285714285715</v>
      </c>
      <c r="AI141" s="211">
        <f t="shared" si="37"/>
        <v>197.37442122438392</v>
      </c>
      <c r="AJ141" s="200">
        <f t="shared" si="39"/>
        <v>4.8357441356531174E-2</v>
      </c>
      <c r="AK141" s="213">
        <f t="shared" si="40"/>
        <v>1.3385020894957183</v>
      </c>
      <c r="AL141" s="214">
        <f t="shared" ca="1" si="41"/>
        <v>1.0554568564672568</v>
      </c>
      <c r="AM141" s="176">
        <f>DANE!AE141</f>
        <v>115</v>
      </c>
      <c r="AN141" s="198">
        <f t="shared" si="6"/>
        <v>2494</v>
      </c>
      <c r="AO141" s="177">
        <f t="shared" ca="1" si="22"/>
        <v>63.714285714285715</v>
      </c>
      <c r="AP141" s="211">
        <f t="shared" si="49"/>
        <v>391.46874973155332</v>
      </c>
      <c r="AQ141" s="200">
        <f t="shared" si="51"/>
        <v>0.21368018249026019</v>
      </c>
      <c r="AR141" s="213">
        <f t="shared" si="52"/>
        <v>2.4957612774318214</v>
      </c>
      <c r="AS141" s="217">
        <f t="shared" ca="1" si="53"/>
        <v>1.7884599016021332</v>
      </c>
      <c r="AT141" s="176">
        <f>DANE!AI141</f>
        <v>47</v>
      </c>
      <c r="AU141" s="198">
        <f t="shared" si="7"/>
        <v>5650</v>
      </c>
      <c r="AV141" s="177">
        <f t="shared" ca="1" si="23"/>
        <v>39</v>
      </c>
      <c r="AW141" s="211">
        <f t="shared" si="33"/>
        <v>248.22692513322832</v>
      </c>
      <c r="AX141" s="200">
        <f t="shared" si="34"/>
        <v>5.7343273956074074E-2</v>
      </c>
      <c r="AY141" s="213">
        <f t="shared" si="35"/>
        <v>1.4014029176925185</v>
      </c>
      <c r="AZ141" s="214">
        <f t="shared" ca="1" si="36"/>
        <v>1.1866490599321797</v>
      </c>
      <c r="BA141" s="176">
        <f>DANE!AM141</f>
        <v>8</v>
      </c>
      <c r="BB141" s="198">
        <f t="shared" si="8"/>
        <v>1036</v>
      </c>
      <c r="BC141" s="177">
        <f t="shared" ca="1" si="24"/>
        <v>3.8571428571428572</v>
      </c>
      <c r="BD141" s="211">
        <f t="shared" si="77"/>
        <v>36.158286104663063</v>
      </c>
      <c r="BE141" s="200">
        <f t="shared" si="80"/>
        <v>0.10066417202882608</v>
      </c>
      <c r="BF141" s="213">
        <f t="shared" si="81"/>
        <v>1.7046492042017825</v>
      </c>
      <c r="BG141" s="217">
        <f t="shared" ca="1" si="82"/>
        <v>0.78956154086823283</v>
      </c>
      <c r="BH141" s="176">
        <f>DANE!AQ141</f>
        <v>17</v>
      </c>
      <c r="BI141" s="198">
        <f t="shared" si="9"/>
        <v>1076</v>
      </c>
      <c r="BJ141" s="177">
        <f t="shared" ca="1" si="25"/>
        <v>25.571428571428573</v>
      </c>
      <c r="BK141" s="211">
        <f t="shared" si="61"/>
        <v>156.79788327700243</v>
      </c>
      <c r="BL141" s="200">
        <f t="shared" si="63"/>
        <v>-3.8625031255309521E-2</v>
      </c>
      <c r="BM141" s="213">
        <f t="shared" si="64"/>
        <v>0.72962478121283336</v>
      </c>
      <c r="BN141" s="214">
        <f t="shared" ca="1" si="65"/>
        <v>1.1663996942927994</v>
      </c>
      <c r="BO141" s="176">
        <f>DANE!AU141</f>
        <v>0</v>
      </c>
      <c r="BP141" s="198">
        <f t="shared" si="10"/>
        <v>911</v>
      </c>
      <c r="BQ141" s="177">
        <f t="shared" ca="1" si="26"/>
        <v>1.2857142857142858</v>
      </c>
      <c r="BR141" s="211">
        <f t="shared" si="78"/>
        <v>20.630329514961321</v>
      </c>
      <c r="BS141" s="200">
        <f t="shared" si="83"/>
        <v>-0.14285714285714285</v>
      </c>
      <c r="BT141" s="213">
        <f t="shared" si="84"/>
        <v>0</v>
      </c>
      <c r="BU141" s="217">
        <f t="shared" ca="1" si="85"/>
        <v>0.34846777521103139</v>
      </c>
      <c r="BV141" s="176">
        <f>DANE!AY141</f>
        <v>4</v>
      </c>
      <c r="BW141" s="198">
        <f t="shared" si="11"/>
        <v>745</v>
      </c>
      <c r="BX141" s="177">
        <f t="shared" ca="1" si="27"/>
        <v>4.8571428571428568</v>
      </c>
      <c r="BY141" s="211">
        <f t="shared" si="69"/>
        <v>35.961321442222612</v>
      </c>
      <c r="BZ141" s="200">
        <f t="shared" si="71"/>
        <v>-3.5584624892910484E-2</v>
      </c>
      <c r="CA141" s="213">
        <f t="shared" si="72"/>
        <v>0.75090762574962655</v>
      </c>
      <c r="CB141" s="214">
        <f t="shared" ca="1" si="73"/>
        <v>1.3547033682740035</v>
      </c>
      <c r="CC141" s="176">
        <f>DANE!BC141</f>
        <v>55</v>
      </c>
      <c r="CD141" s="198">
        <f t="shared" si="12"/>
        <v>14366</v>
      </c>
      <c r="CE141" s="177">
        <f t="shared" ca="1" si="28"/>
        <v>79.714285714285708</v>
      </c>
      <c r="CF141" s="211">
        <f t="shared" si="45"/>
        <v>574.51409318381957</v>
      </c>
      <c r="CG141" s="200">
        <f t="shared" si="46"/>
        <v>-5.21130075942393E-2</v>
      </c>
      <c r="CH141" s="213">
        <f t="shared" si="47"/>
        <v>0.63520894684032481</v>
      </c>
      <c r="CI141" s="217">
        <f t="shared" ca="1" si="48"/>
        <v>0.94919321143060098</v>
      </c>
      <c r="CJ141" s="176">
        <f>DANE!BG141</f>
        <v>6</v>
      </c>
      <c r="CK141" s="198">
        <f t="shared" si="13"/>
        <v>884</v>
      </c>
      <c r="CL141" s="177">
        <f t="shared" ca="1" si="29"/>
        <v>3.8571428571428572</v>
      </c>
      <c r="CM141" s="211">
        <f t="shared" si="79"/>
        <v>31.21307464933135</v>
      </c>
      <c r="CN141" s="200">
        <f t="shared" si="86"/>
        <v>6.1118659950926607E-2</v>
      </c>
      <c r="CO141" s="213">
        <f t="shared" si="87"/>
        <v>1.4278306196564863</v>
      </c>
      <c r="CP141" s="214">
        <f t="shared" ca="1" si="88"/>
        <v>0.8968212037069172</v>
      </c>
      <c r="CQ141" s="176">
        <f>DANE!BK141</f>
        <v>2</v>
      </c>
      <c r="CR141" s="198">
        <f t="shared" si="14"/>
        <v>294</v>
      </c>
      <c r="CS141" s="177">
        <f t="shared" ca="1" si="30"/>
        <v>1.7142857142857142</v>
      </c>
      <c r="CT141" s="211">
        <f t="shared" si="89"/>
        <v>13.940915425540895</v>
      </c>
      <c r="CU141" s="200">
        <f t="shared" si="90"/>
        <v>7.0686820845452343E-4</v>
      </c>
      <c r="CV141" s="213">
        <f t="shared" si="91"/>
        <v>1.0049480774591817</v>
      </c>
      <c r="CW141" s="217">
        <f t="shared" ca="1" si="92"/>
        <v>0.9036868922908059</v>
      </c>
      <c r="CX141" s="176">
        <f>DANE!BO141</f>
        <v>21</v>
      </c>
      <c r="CY141" s="198">
        <f t="shared" si="15"/>
        <v>3419</v>
      </c>
      <c r="CZ141" s="177">
        <f t="shared" ca="1" si="31"/>
        <v>27</v>
      </c>
      <c r="DA141" s="211">
        <f t="shared" si="54"/>
        <v>220.88920012199017</v>
      </c>
      <c r="DB141" s="200">
        <f t="shared" si="58"/>
        <v>-5.2807255274347972E-2</v>
      </c>
      <c r="DC141" s="213">
        <f t="shared" si="59"/>
        <v>0.63034921307956415</v>
      </c>
      <c r="DD141" s="214">
        <f t="shared" ca="1" si="60"/>
        <v>0.70972798392948777</v>
      </c>
      <c r="DE141" s="176">
        <f>DANE!BS141</f>
        <v>3</v>
      </c>
      <c r="DF141" s="198">
        <f t="shared" si="16"/>
        <v>656</v>
      </c>
      <c r="DG141" s="177">
        <f t="shared" ca="1" si="32"/>
        <v>3</v>
      </c>
      <c r="DH141" s="211">
        <f t="shared" si="70"/>
        <v>20.317330581973124</v>
      </c>
      <c r="DI141" s="200">
        <f t="shared" si="74"/>
        <v>5.6315955922669808E-3</v>
      </c>
      <c r="DJ141" s="157">
        <f t="shared" si="75"/>
        <v>1.0394211691458688</v>
      </c>
      <c r="DK141" s="225">
        <f t="shared" ca="1" si="76"/>
        <v>1.3864572244152811</v>
      </c>
      <c r="DL141" s="88"/>
      <c r="DM141" s="88"/>
      <c r="DN141" s="88"/>
      <c r="DO141" s="88"/>
      <c r="DP141" s="88"/>
      <c r="DQ141" s="88"/>
      <c r="DR141" s="88"/>
      <c r="DS141" s="88"/>
      <c r="DT141" s="88"/>
      <c r="DU141" s="88"/>
      <c r="DV141" s="88"/>
      <c r="DW141" s="88"/>
      <c r="DX141" s="88"/>
      <c r="DY141" s="88"/>
      <c r="DZ141" s="88"/>
      <c r="EA141" s="88"/>
      <c r="EB141" s="88"/>
      <c r="EC141" s="88"/>
      <c r="ED141" s="88"/>
      <c r="EE141" s="88"/>
      <c r="EF141" s="88"/>
      <c r="EG141" s="88"/>
      <c r="EH141" s="88"/>
    </row>
    <row r="142" spans="1:138" x14ac:dyDescent="0.25">
      <c r="A142" s="32">
        <v>44032</v>
      </c>
      <c r="B142" s="33" t="str">
        <f t="shared" ca="1" si="0"/>
        <v/>
      </c>
      <c r="C142" s="51">
        <f t="shared" si="93"/>
        <v>139</v>
      </c>
      <c r="D142" s="176">
        <f>DANE!K142</f>
        <v>22</v>
      </c>
      <c r="E142" s="188">
        <f t="shared" si="1"/>
        <v>3073</v>
      </c>
      <c r="F142" s="178">
        <f t="shared" ca="1" si="17"/>
        <v>14</v>
      </c>
      <c r="G142" s="209">
        <f t="shared" si="38"/>
        <v>79.04087151994031</v>
      </c>
      <c r="H142" s="179">
        <f t="shared" si="42"/>
        <v>0.1877328771524705</v>
      </c>
      <c r="I142" s="213">
        <f t="shared" si="43"/>
        <v>2.3141301400672933</v>
      </c>
      <c r="J142" s="214">
        <f t="shared" ca="1" si="44"/>
        <v>2.0434803246545683</v>
      </c>
      <c r="K142" s="176">
        <f>DANE!O142</f>
        <v>4</v>
      </c>
      <c r="L142" s="188">
        <f t="shared" si="2"/>
        <v>724</v>
      </c>
      <c r="M142" s="177">
        <f t="shared" ca="1" si="18"/>
        <v>4</v>
      </c>
      <c r="N142" s="209">
        <f t="shared" si="62"/>
        <v>21.454013833874775</v>
      </c>
      <c r="O142" s="179">
        <f t="shared" si="66"/>
        <v>5.3577411463952743E-2</v>
      </c>
      <c r="P142" s="213">
        <f t="shared" si="67"/>
        <v>1.3750418802476692</v>
      </c>
      <c r="Q142" s="217">
        <f t="shared" ca="1" si="68"/>
        <v>1.6928346543247081</v>
      </c>
      <c r="R142" s="176">
        <f>DANE!S142</f>
        <v>0</v>
      </c>
      <c r="S142" s="188">
        <f t="shared" si="3"/>
        <v>882</v>
      </c>
      <c r="T142" s="177">
        <f t="shared" ca="1" si="19"/>
        <v>8.5714285714285712</v>
      </c>
      <c r="U142" s="209">
        <f t="shared" si="50"/>
        <v>69.171938691013565</v>
      </c>
      <c r="V142" s="179">
        <f t="shared" si="55"/>
        <v>-0.14285714285714271</v>
      </c>
      <c r="W142" s="213">
        <f t="shared" si="56"/>
        <v>9.9920072216264089E-16</v>
      </c>
      <c r="X142" s="214">
        <f t="shared" ca="1" si="57"/>
        <v>0.67446814657578058</v>
      </c>
      <c r="Y142" s="176">
        <f>DANE!W142</f>
        <v>10</v>
      </c>
      <c r="Z142" s="188">
        <f t="shared" si="4"/>
        <v>319</v>
      </c>
      <c r="AA142" s="177">
        <f t="shared" ca="1" si="20"/>
        <v>11.428571428571429</v>
      </c>
      <c r="AB142" s="209">
        <f t="shared" si="94"/>
        <v>80.171136721731443</v>
      </c>
      <c r="AC142" s="179">
        <f t="shared" si="95"/>
        <v>-2.0706797688599104E-2</v>
      </c>
      <c r="AD142" s="213">
        <f t="shared" si="96"/>
        <v>0.85505241617980632</v>
      </c>
      <c r="AE142" s="217">
        <f t="shared" ca="1" si="97"/>
        <v>1.1861314568932673</v>
      </c>
      <c r="AF142" s="176">
        <f>DANE!AA142</f>
        <v>16</v>
      </c>
      <c r="AG142" s="188">
        <f t="shared" si="5"/>
        <v>3627</v>
      </c>
      <c r="AH142" s="177">
        <f t="shared" ca="1" si="21"/>
        <v>27.428571428571427</v>
      </c>
      <c r="AI142" s="209">
        <f t="shared" si="37"/>
        <v>185.17807533518624</v>
      </c>
      <c r="AJ142" s="179">
        <f t="shared" si="39"/>
        <v>-6.1792940612767369E-2</v>
      </c>
      <c r="AK142" s="213">
        <f t="shared" si="40"/>
        <v>0.56744941571062846</v>
      </c>
      <c r="AL142" s="214">
        <f t="shared" ca="1" si="41"/>
        <v>1.0407466980880788</v>
      </c>
      <c r="AM142" s="176">
        <f>DANE!AE142</f>
        <v>40</v>
      </c>
      <c r="AN142" s="188">
        <f t="shared" si="6"/>
        <v>2534</v>
      </c>
      <c r="AO142" s="177">
        <f t="shared" ca="1" si="22"/>
        <v>64</v>
      </c>
      <c r="AP142" s="209">
        <f t="shared" si="49"/>
        <v>375.54464262704573</v>
      </c>
      <c r="AQ142" s="179">
        <f t="shared" si="51"/>
        <v>-4.0677850059365958E-2</v>
      </c>
      <c r="AR142" s="213">
        <f t="shared" si="52"/>
        <v>0.71525504958443831</v>
      </c>
      <c r="AS142" s="217">
        <f t="shared" ca="1" si="53"/>
        <v>1.6871471441592949</v>
      </c>
      <c r="AT142" s="176">
        <f>DANE!AI142</f>
        <v>54</v>
      </c>
      <c r="AU142" s="188">
        <f t="shared" si="7"/>
        <v>5704</v>
      </c>
      <c r="AV142" s="177">
        <f t="shared" ca="1" si="23"/>
        <v>36.428571428571431</v>
      </c>
      <c r="AW142" s="209">
        <f t="shared" si="33"/>
        <v>266.76593582848147</v>
      </c>
      <c r="AX142" s="179">
        <f t="shared" si="34"/>
        <v>7.4685736389406177E-2</v>
      </c>
      <c r="AY142" s="213">
        <f t="shared" si="35"/>
        <v>1.5228001547258434</v>
      </c>
      <c r="AZ142" s="214">
        <f t="shared" ca="1" si="36"/>
        <v>1.0620110235899616</v>
      </c>
      <c r="BA142" s="176">
        <f>DANE!AM142</f>
        <v>4</v>
      </c>
      <c r="BB142" s="188">
        <f t="shared" si="8"/>
        <v>1040</v>
      </c>
      <c r="BC142" s="177">
        <f t="shared" ca="1" si="24"/>
        <v>4.2857142857142856</v>
      </c>
      <c r="BD142" s="209">
        <f t="shared" si="77"/>
        <v>34.99281666113977</v>
      </c>
      <c r="BE142" s="179">
        <f t="shared" si="80"/>
        <v>-3.2232430490475895E-2</v>
      </c>
      <c r="BF142" s="213">
        <f t="shared" si="81"/>
        <v>0.77437298656666875</v>
      </c>
      <c r="BG142" s="217">
        <f t="shared" ca="1" si="82"/>
        <v>0.87821876118509667</v>
      </c>
      <c r="BH142" s="176">
        <f>DANE!AQ142</f>
        <v>22</v>
      </c>
      <c r="BI142" s="188">
        <f t="shared" si="9"/>
        <v>1098</v>
      </c>
      <c r="BJ142" s="177">
        <f t="shared" ca="1" si="25"/>
        <v>19.857142857142858</v>
      </c>
      <c r="BK142" s="209">
        <f t="shared" si="61"/>
        <v>156.39818566600209</v>
      </c>
      <c r="BL142" s="179">
        <f t="shared" si="63"/>
        <v>-2.5491263188433502E-3</v>
      </c>
      <c r="BM142" s="213">
        <f t="shared" si="64"/>
        <v>0.98215611576809658</v>
      </c>
      <c r="BN142" s="214">
        <f t="shared" ca="1" si="65"/>
        <v>0.86281218341229859</v>
      </c>
      <c r="BO142" s="176">
        <f>DANE!AU142</f>
        <v>4</v>
      </c>
      <c r="BP142" s="188">
        <f t="shared" si="10"/>
        <v>915</v>
      </c>
      <c r="BQ142" s="177">
        <f t="shared" ca="1" si="26"/>
        <v>1.8571428571428572</v>
      </c>
      <c r="BR142" s="209">
        <f t="shared" si="78"/>
        <v>21.683139584252562</v>
      </c>
      <c r="BS142" s="179">
        <f t="shared" si="83"/>
        <v>5.1032149948343382E-2</v>
      </c>
      <c r="BT142" s="213">
        <f t="shared" si="84"/>
        <v>1.3572250496384037</v>
      </c>
      <c r="BU142" s="217">
        <f t="shared" ca="1" si="85"/>
        <v>0.54235706801651762</v>
      </c>
      <c r="BV142" s="176">
        <f>DANE!AY142</f>
        <v>1</v>
      </c>
      <c r="BW142" s="188">
        <f t="shared" si="11"/>
        <v>746</v>
      </c>
      <c r="BX142" s="177">
        <f t="shared" ca="1" si="27"/>
        <v>4.7142857142857144</v>
      </c>
      <c r="BY142" s="209">
        <f t="shared" si="69"/>
        <v>31.823989807619384</v>
      </c>
      <c r="BZ142" s="179">
        <f t="shared" si="71"/>
        <v>-0.11504948841355808</v>
      </c>
      <c r="CA142" s="213">
        <f t="shared" si="72"/>
        <v>0.19465358110509334</v>
      </c>
      <c r="CB142" s="214">
        <f t="shared" ca="1" si="73"/>
        <v>1.3118345393438424</v>
      </c>
      <c r="CC142" s="176">
        <f>DANE!BC142</f>
        <v>55</v>
      </c>
      <c r="CD142" s="188">
        <f t="shared" si="12"/>
        <v>14421</v>
      </c>
      <c r="CE142" s="177">
        <f t="shared" ca="1" si="28"/>
        <v>78.285714285714292</v>
      </c>
      <c r="CF142" s="209">
        <f t="shared" si="45"/>
        <v>547.44065130041679</v>
      </c>
      <c r="CG142" s="179">
        <f t="shared" si="46"/>
        <v>-4.7124069199709698E-2</v>
      </c>
      <c r="CH142" s="213">
        <f t="shared" si="47"/>
        <v>0.6701315156020321</v>
      </c>
      <c r="CI142" s="217">
        <f t="shared" ca="1" si="48"/>
        <v>0.93769378973517614</v>
      </c>
      <c r="CJ142" s="176">
        <f>DANE!BG142</f>
        <v>5</v>
      </c>
      <c r="CK142" s="188">
        <f t="shared" si="13"/>
        <v>889</v>
      </c>
      <c r="CL142" s="177">
        <f t="shared" ca="1" si="29"/>
        <v>4.1428571428571432</v>
      </c>
      <c r="CM142" s="209">
        <f t="shared" si="79"/>
        <v>31.754063985141158</v>
      </c>
      <c r="CN142" s="179">
        <f t="shared" si="86"/>
        <v>1.7332138595368952E-2</v>
      </c>
      <c r="CO142" s="213">
        <f t="shared" si="87"/>
        <v>1.1213249701675827</v>
      </c>
      <c r="CP142" s="214">
        <f t="shared" ca="1" si="88"/>
        <v>0.9737149998966993</v>
      </c>
      <c r="CQ142" s="176">
        <f>DANE!BK142</f>
        <v>4</v>
      </c>
      <c r="CR142" s="188">
        <f t="shared" si="14"/>
        <v>298</v>
      </c>
      <c r="CS142" s="177">
        <f t="shared" ca="1" si="30"/>
        <v>2</v>
      </c>
      <c r="CT142" s="209">
        <f t="shared" si="89"/>
        <v>15.949356079035054</v>
      </c>
      <c r="CU142" s="179">
        <f t="shared" si="90"/>
        <v>0.14406806096926256</v>
      </c>
      <c r="CV142" s="213">
        <f t="shared" si="91"/>
        <v>2.0084764267848381</v>
      </c>
      <c r="CW142" s="217">
        <f t="shared" ca="1" si="92"/>
        <v>1.0678456222612687</v>
      </c>
      <c r="CX142" s="176">
        <f>DANE!BO142</f>
        <v>34</v>
      </c>
      <c r="CY142" s="188">
        <f t="shared" si="15"/>
        <v>3453</v>
      </c>
      <c r="CZ142" s="177">
        <f t="shared" ca="1" si="31"/>
        <v>29</v>
      </c>
      <c r="DA142" s="209">
        <f t="shared" si="54"/>
        <v>223.333600104563</v>
      </c>
      <c r="DB142" s="179">
        <f t="shared" si="58"/>
        <v>1.1066181511920308E-2</v>
      </c>
      <c r="DC142" s="213">
        <f t="shared" si="59"/>
        <v>1.0774632705834422</v>
      </c>
      <c r="DD142" s="214">
        <f t="shared" ca="1" si="60"/>
        <v>0.79709341855000326</v>
      </c>
      <c r="DE142" s="176">
        <f>DANE!BS142</f>
        <v>4</v>
      </c>
      <c r="DF142" s="188">
        <f t="shared" si="16"/>
        <v>660</v>
      </c>
      <c r="DG142" s="177">
        <f t="shared" ca="1" si="32"/>
        <v>3.2857142857142856</v>
      </c>
      <c r="DH142" s="209">
        <f t="shared" si="70"/>
        <v>21.414854784548393</v>
      </c>
      <c r="DI142" s="179">
        <f t="shared" si="74"/>
        <v>5.4019114280153734E-2</v>
      </c>
      <c r="DJ142" s="157">
        <f t="shared" si="75"/>
        <v>1.3781337999610761</v>
      </c>
      <c r="DK142" s="225">
        <f t="shared" ca="1" si="76"/>
        <v>1.4514824418420902</v>
      </c>
      <c r="DL142" s="89"/>
      <c r="DM142" s="89"/>
      <c r="DN142" s="89"/>
      <c r="DO142" s="89"/>
      <c r="DP142" s="89"/>
      <c r="DQ142" s="89"/>
      <c r="DR142" s="89"/>
      <c r="DS142" s="89"/>
      <c r="DT142" s="89"/>
      <c r="DU142" s="89"/>
      <c r="DV142" s="89"/>
      <c r="DW142" s="89"/>
      <c r="DX142" s="89"/>
      <c r="DY142" s="89"/>
      <c r="DZ142" s="89"/>
      <c r="EA142" s="89"/>
      <c r="EB142" s="89"/>
      <c r="EC142" s="89"/>
      <c r="ED142" s="89"/>
      <c r="EE142" s="89"/>
      <c r="EF142" s="89"/>
      <c r="EG142" s="89"/>
      <c r="EH142" s="89"/>
    </row>
    <row r="143" spans="1:138" x14ac:dyDescent="0.25">
      <c r="A143" s="32">
        <v>44033</v>
      </c>
      <c r="B143" s="33" t="str">
        <f t="shared" ca="1" si="0"/>
        <v/>
      </c>
      <c r="C143" s="51">
        <f t="shared" si="93"/>
        <v>140</v>
      </c>
      <c r="D143" s="176">
        <f>DANE!K143</f>
        <v>3</v>
      </c>
      <c r="E143" s="188">
        <f t="shared" si="1"/>
        <v>3076</v>
      </c>
      <c r="F143" s="178">
        <f t="shared" ca="1" si="17"/>
        <v>13.285714285714286</v>
      </c>
      <c r="G143" s="209">
        <f t="shared" si="38"/>
        <v>70.749318445663121</v>
      </c>
      <c r="H143" s="179">
        <f t="shared" si="42"/>
        <v>-0.10490209577440462</v>
      </c>
      <c r="I143" s="213">
        <f t="shared" si="43"/>
        <v>0.26568532957916757</v>
      </c>
      <c r="J143" s="214">
        <f t="shared" ca="1" si="44"/>
        <v>1.8317460065432523</v>
      </c>
      <c r="K143" s="176">
        <f>DANE!O143</f>
        <v>0</v>
      </c>
      <c r="L143" s="188">
        <f t="shared" si="2"/>
        <v>724</v>
      </c>
      <c r="M143" s="177">
        <f t="shared" ca="1" si="18"/>
        <v>3.1428571428571428</v>
      </c>
      <c r="N143" s="209">
        <f t="shared" si="62"/>
        <v>18.389154714749807</v>
      </c>
      <c r="O143" s="179">
        <f t="shared" si="66"/>
        <v>-0.14285714285714285</v>
      </c>
      <c r="P143" s="213">
        <f t="shared" si="67"/>
        <v>0</v>
      </c>
      <c r="Q143" s="217">
        <f t="shared" ca="1" si="68"/>
        <v>1.1845379786755996</v>
      </c>
      <c r="R143" s="176">
        <f>DANE!S143</f>
        <v>2</v>
      </c>
      <c r="S143" s="188">
        <f t="shared" si="3"/>
        <v>884</v>
      </c>
      <c r="T143" s="177">
        <f t="shared" ca="1" si="19"/>
        <v>7.1428571428571432</v>
      </c>
      <c r="U143" s="209">
        <f t="shared" si="50"/>
        <v>61.290233163725915</v>
      </c>
      <c r="V143" s="179">
        <f t="shared" si="55"/>
        <v>-0.11394368404931808</v>
      </c>
      <c r="W143" s="213">
        <f t="shared" si="56"/>
        <v>0.20239421165477334</v>
      </c>
      <c r="X143" s="214">
        <f t="shared" ca="1" si="57"/>
        <v>0.58058368136175553</v>
      </c>
      <c r="Y143" s="176">
        <f>DANE!W143</f>
        <v>9</v>
      </c>
      <c r="Z143" s="188">
        <f t="shared" si="4"/>
        <v>328</v>
      </c>
      <c r="AA143" s="177">
        <f t="shared" ca="1" si="20"/>
        <v>11.857142857142858</v>
      </c>
      <c r="AB143" s="209">
        <f t="shared" si="94"/>
        <v>77.718117190055523</v>
      </c>
      <c r="AC143" s="179">
        <f t="shared" si="95"/>
        <v>-3.0597290146829079E-2</v>
      </c>
      <c r="AD143" s="213">
        <f t="shared" si="96"/>
        <v>0.78581896897219639</v>
      </c>
      <c r="AE143" s="217">
        <f t="shared" ca="1" si="97"/>
        <v>1.2117455567952002</v>
      </c>
      <c r="AF143" s="176">
        <f>DANE!AA143</f>
        <v>27</v>
      </c>
      <c r="AG143" s="188">
        <f t="shared" si="5"/>
        <v>3654</v>
      </c>
      <c r="AH143" s="177">
        <f t="shared" ca="1" si="21"/>
        <v>28.571428571428573</v>
      </c>
      <c r="AI143" s="209">
        <f t="shared" si="37"/>
        <v>185.72406457301679</v>
      </c>
      <c r="AJ143" s="179">
        <f t="shared" si="39"/>
        <v>2.9484550848812552E-3</v>
      </c>
      <c r="AK143" s="213">
        <f t="shared" si="40"/>
        <v>1.0206391855941688</v>
      </c>
      <c r="AL143" s="214">
        <f t="shared" ca="1" si="41"/>
        <v>1.0804621167877391</v>
      </c>
      <c r="AM143" s="176">
        <f>DANE!AE143</f>
        <v>62</v>
      </c>
      <c r="AN143" s="188">
        <f t="shared" si="6"/>
        <v>2596</v>
      </c>
      <c r="AO143" s="177">
        <f t="shared" ca="1" si="22"/>
        <v>66.571428571428569</v>
      </c>
      <c r="AP143" s="209">
        <f t="shared" si="49"/>
        <v>383.89540796603922</v>
      </c>
      <c r="AQ143" s="179">
        <f t="shared" si="51"/>
        <v>2.2236411843282896E-2</v>
      </c>
      <c r="AR143" s="213">
        <f t="shared" si="52"/>
        <v>1.1556548829029802</v>
      </c>
      <c r="AS143" s="217">
        <f t="shared" ca="1" si="53"/>
        <v>1.6300885027340197</v>
      </c>
      <c r="AT143" s="176">
        <f>DANE!AI143</f>
        <v>59</v>
      </c>
      <c r="AU143" s="188">
        <f t="shared" si="7"/>
        <v>5763</v>
      </c>
      <c r="AV143" s="177">
        <f t="shared" ca="1" si="23"/>
        <v>40.857142857142854</v>
      </c>
      <c r="AW143" s="209">
        <f t="shared" si="33"/>
        <v>287.6565164244127</v>
      </c>
      <c r="AX143" s="179">
        <f t="shared" si="34"/>
        <v>7.8310525408922263E-2</v>
      </c>
      <c r="AY143" s="213">
        <f t="shared" si="35"/>
        <v>1.5481736778624557</v>
      </c>
      <c r="AZ143" s="214">
        <f t="shared" ca="1" si="36"/>
        <v>1.1722242030950707</v>
      </c>
      <c r="BA143" s="176">
        <f>DANE!AM143</f>
        <v>4</v>
      </c>
      <c r="BB143" s="188">
        <f t="shared" si="8"/>
        <v>1044</v>
      </c>
      <c r="BC143" s="177">
        <f t="shared" ca="1" si="24"/>
        <v>4.5714285714285712</v>
      </c>
      <c r="BD143" s="209">
        <f t="shared" si="77"/>
        <v>33.993842852405521</v>
      </c>
      <c r="BE143" s="179">
        <f t="shared" si="80"/>
        <v>-2.8547967956052803E-2</v>
      </c>
      <c r="BF143" s="213">
        <f t="shared" si="81"/>
        <v>0.80016422430763035</v>
      </c>
      <c r="BG143" s="217">
        <f t="shared" ca="1" si="82"/>
        <v>0.94255129306298235</v>
      </c>
      <c r="BH143" s="176">
        <f>DANE!AQ143</f>
        <v>8</v>
      </c>
      <c r="BI143" s="188">
        <f t="shared" si="9"/>
        <v>1106</v>
      </c>
      <c r="BJ143" s="177">
        <f t="shared" ca="1" si="25"/>
        <v>19.285714285714285</v>
      </c>
      <c r="BK143" s="209">
        <f t="shared" si="61"/>
        <v>142.05558771371608</v>
      </c>
      <c r="BL143" s="179">
        <f t="shared" si="63"/>
        <v>-9.1705654328468431E-2</v>
      </c>
      <c r="BM143" s="213">
        <f t="shared" si="64"/>
        <v>0.358060419700721</v>
      </c>
      <c r="BN143" s="214">
        <f t="shared" ca="1" si="65"/>
        <v>0.84792775448391289</v>
      </c>
      <c r="BO143" s="176">
        <f>DANE!AU143</f>
        <v>2</v>
      </c>
      <c r="BP143" s="188">
        <f t="shared" si="10"/>
        <v>917</v>
      </c>
      <c r="BQ143" s="177">
        <f t="shared" ca="1" si="26"/>
        <v>2</v>
      </c>
      <c r="BR143" s="209">
        <f t="shared" si="78"/>
        <v>20.585548215073626</v>
      </c>
      <c r="BS143" s="179">
        <f t="shared" si="83"/>
        <v>-5.0619577709865617E-2</v>
      </c>
      <c r="BT143" s="213">
        <f t="shared" si="84"/>
        <v>0.64566295603094059</v>
      </c>
      <c r="BU143" s="217">
        <f t="shared" ca="1" si="85"/>
        <v>0.60650437408407598</v>
      </c>
      <c r="BV143" s="176">
        <f>DANE!AY143</f>
        <v>15</v>
      </c>
      <c r="BW143" s="188">
        <f t="shared" si="11"/>
        <v>761</v>
      </c>
      <c r="BX143" s="177">
        <f t="shared" ca="1" si="27"/>
        <v>6.5714285714285712</v>
      </c>
      <c r="BY143" s="209">
        <f t="shared" si="69"/>
        <v>42.277705549388045</v>
      </c>
      <c r="BZ143" s="179">
        <f t="shared" si="71"/>
        <v>0.32848539120842118</v>
      </c>
      <c r="CA143" s="213">
        <f t="shared" si="72"/>
        <v>3.2993977384589486</v>
      </c>
      <c r="CB143" s="214">
        <f t="shared" ca="1" si="73"/>
        <v>1.7070022403493483</v>
      </c>
      <c r="CC143" s="176">
        <f>DANE!BC143</f>
        <v>140</v>
      </c>
      <c r="CD143" s="188">
        <f t="shared" si="12"/>
        <v>14561</v>
      </c>
      <c r="CE143" s="177">
        <f t="shared" ca="1" si="28"/>
        <v>88</v>
      </c>
      <c r="CF143" s="209">
        <f t="shared" si="45"/>
        <v>609.23484397178584</v>
      </c>
      <c r="CG143" s="179">
        <f t="shared" si="46"/>
        <v>0.11287834128609221</v>
      </c>
      <c r="CH143" s="213">
        <f t="shared" si="47"/>
        <v>1.7901483890026455</v>
      </c>
      <c r="CI143" s="217">
        <f t="shared" ca="1" si="48"/>
        <v>1.070260831290555</v>
      </c>
      <c r="CJ143" s="176">
        <f>DANE!BG143</f>
        <v>29</v>
      </c>
      <c r="CK143" s="188">
        <f t="shared" si="13"/>
        <v>918</v>
      </c>
      <c r="CL143" s="177">
        <f t="shared" ca="1" si="29"/>
        <v>8</v>
      </c>
      <c r="CM143" s="209">
        <f t="shared" si="79"/>
        <v>56.217769130120999</v>
      </c>
      <c r="CN143" s="179">
        <f t="shared" si="86"/>
        <v>0.77041178591903281</v>
      </c>
      <c r="CO143" s="213">
        <f t="shared" si="87"/>
        <v>6.3928825014332302</v>
      </c>
      <c r="CP143" s="214">
        <f t="shared" ca="1" si="88"/>
        <v>1.8279366514569726</v>
      </c>
      <c r="CQ143" s="176">
        <f>DANE!BK143</f>
        <v>9</v>
      </c>
      <c r="CR143" s="188">
        <f t="shared" si="14"/>
        <v>307</v>
      </c>
      <c r="CS143" s="177">
        <f t="shared" ca="1" si="30"/>
        <v>3.2857142857142856</v>
      </c>
      <c r="CT143" s="209">
        <f t="shared" si="89"/>
        <v>22.670876639172903</v>
      </c>
      <c r="CU143" s="179">
        <f t="shared" si="90"/>
        <v>0.42142896094551957</v>
      </c>
      <c r="CV143" s="213">
        <f t="shared" si="91"/>
        <v>3.9500027266186373</v>
      </c>
      <c r="CW143" s="217">
        <f t="shared" ca="1" si="92"/>
        <v>1.6321317260639308</v>
      </c>
      <c r="CX143" s="176">
        <f>DANE!BO143</f>
        <v>23</v>
      </c>
      <c r="CY143" s="188">
        <f t="shared" si="15"/>
        <v>3476</v>
      </c>
      <c r="CZ143" s="177">
        <f t="shared" ca="1" si="31"/>
        <v>24.857142857142858</v>
      </c>
      <c r="DA143" s="209">
        <f t="shared" si="54"/>
        <v>214.42880008962544</v>
      </c>
      <c r="DB143" s="179">
        <f t="shared" si="58"/>
        <v>-3.987219124560034E-2</v>
      </c>
      <c r="DC143" s="213">
        <f t="shared" si="59"/>
        <v>0.7208946612807976</v>
      </c>
      <c r="DD143" s="214">
        <f t="shared" ca="1" si="60"/>
        <v>0.71273359001645764</v>
      </c>
      <c r="DE143" s="176">
        <f>DANE!BS143</f>
        <v>7</v>
      </c>
      <c r="DF143" s="188">
        <f t="shared" si="16"/>
        <v>667</v>
      </c>
      <c r="DG143" s="177">
        <f t="shared" ca="1" si="32"/>
        <v>4.1428571428571432</v>
      </c>
      <c r="DH143" s="209">
        <f t="shared" si="70"/>
        <v>25.355589815327196</v>
      </c>
      <c r="DI143" s="179">
        <f t="shared" si="74"/>
        <v>0.18401876036171813</v>
      </c>
      <c r="DJ143" s="157">
        <f t="shared" si="75"/>
        <v>2.2881313225320268</v>
      </c>
      <c r="DK143" s="225">
        <f t="shared" ca="1" si="76"/>
        <v>1.7116991674209296</v>
      </c>
      <c r="DL143" s="89"/>
      <c r="DM143" s="89"/>
      <c r="DN143" s="89"/>
      <c r="DO143" s="89"/>
      <c r="DP143" s="89"/>
      <c r="DQ143" s="89"/>
      <c r="DR143" s="89"/>
      <c r="DS143" s="89"/>
      <c r="DT143" s="89"/>
      <c r="DU143" s="89"/>
      <c r="DV143" s="89"/>
      <c r="DW143" s="89"/>
      <c r="DX143" s="89"/>
      <c r="DY143" s="89"/>
      <c r="DZ143" s="89"/>
      <c r="EA143" s="89"/>
      <c r="EB143" s="89"/>
      <c r="EC143" s="89"/>
      <c r="ED143" s="89"/>
      <c r="EE143" s="89"/>
      <c r="EF143" s="89"/>
      <c r="EG143" s="89"/>
      <c r="EH143" s="89"/>
    </row>
    <row r="144" spans="1:138" x14ac:dyDescent="0.25">
      <c r="A144" s="32">
        <v>44034</v>
      </c>
      <c r="B144" s="33" t="str">
        <f t="shared" ca="1" si="0"/>
        <v/>
      </c>
      <c r="C144" s="51">
        <f t="shared" si="93"/>
        <v>141</v>
      </c>
      <c r="D144" s="176">
        <f>DANE!K144</f>
        <v>18</v>
      </c>
      <c r="E144" s="188">
        <f t="shared" si="1"/>
        <v>3094</v>
      </c>
      <c r="F144" s="178">
        <f t="shared" ca="1" si="17"/>
        <v>14.714285714285714</v>
      </c>
      <c r="G144" s="209">
        <f t="shared" si="38"/>
        <v>78.642272953425532</v>
      </c>
      <c r="H144" s="179">
        <f t="shared" si="42"/>
        <v>0.1115622691662303</v>
      </c>
      <c r="I144" s="213">
        <f t="shared" si="43"/>
        <v>1.780935884163612</v>
      </c>
      <c r="J144" s="214">
        <f t="shared" ca="1" si="44"/>
        <v>1.8605762460117536</v>
      </c>
      <c r="K144" s="176">
        <f>DANE!O144</f>
        <v>2</v>
      </c>
      <c r="L144" s="188">
        <f t="shared" si="2"/>
        <v>726</v>
      </c>
      <c r="M144" s="177">
        <f t="shared" ca="1" si="18"/>
        <v>2.7142857142857144</v>
      </c>
      <c r="N144" s="209">
        <f t="shared" si="62"/>
        <v>17.762132612642695</v>
      </c>
      <c r="O144" s="179">
        <f t="shared" si="66"/>
        <v>-3.4097385759889354E-2</v>
      </c>
      <c r="P144" s="213">
        <f t="shared" si="67"/>
        <v>0.76131829968077458</v>
      </c>
      <c r="Q144" s="217">
        <f t="shared" ca="1" si="68"/>
        <v>0.98308219501228045</v>
      </c>
      <c r="R144" s="176">
        <f>DANE!S144</f>
        <v>7</v>
      </c>
      <c r="S144" s="188">
        <f t="shared" si="3"/>
        <v>891</v>
      </c>
      <c r="T144" s="177">
        <f t="shared" ca="1" si="19"/>
        <v>6.5714285714285712</v>
      </c>
      <c r="U144" s="209">
        <f t="shared" si="50"/>
        <v>59.534485568907932</v>
      </c>
      <c r="V144" s="179">
        <f t="shared" si="55"/>
        <v>-2.8646449918501966E-2</v>
      </c>
      <c r="W144" s="213">
        <f t="shared" si="56"/>
        <v>0.79947485057048628</v>
      </c>
      <c r="X144" s="214">
        <f t="shared" ca="1" si="57"/>
        <v>0.57992542930873392</v>
      </c>
      <c r="Y144" s="176">
        <f>DANE!W144</f>
        <v>4</v>
      </c>
      <c r="Z144" s="188">
        <f t="shared" si="4"/>
        <v>332</v>
      </c>
      <c r="AA144" s="177">
        <f t="shared" ca="1" si="20"/>
        <v>10.714285714285714</v>
      </c>
      <c r="AB144" s="209">
        <f t="shared" si="94"/>
        <v>70.615529020047589</v>
      </c>
      <c r="AC144" s="179">
        <f t="shared" si="95"/>
        <v>-9.1389092103697417E-2</v>
      </c>
      <c r="AD144" s="213">
        <f t="shared" si="96"/>
        <v>0.36027635527411805</v>
      </c>
      <c r="AE144" s="217">
        <f t="shared" ca="1" si="97"/>
        <v>1.0796009809608818</v>
      </c>
      <c r="AF144" s="176">
        <f>DANE!AA144</f>
        <v>33</v>
      </c>
      <c r="AG144" s="188">
        <f t="shared" si="5"/>
        <v>3687</v>
      </c>
      <c r="AH144" s="177">
        <f t="shared" ca="1" si="21"/>
        <v>28.857142857142858</v>
      </c>
      <c r="AI144" s="209">
        <f t="shared" si="37"/>
        <v>192.19205534830013</v>
      </c>
      <c r="AJ144" s="179">
        <f t="shared" si="39"/>
        <v>3.4825808869482666E-2</v>
      </c>
      <c r="AK144" s="213">
        <f t="shared" si="40"/>
        <v>1.2437806620863787</v>
      </c>
      <c r="AL144" s="214">
        <f t="shared" ca="1" si="41"/>
        <v>1.0784434839175943</v>
      </c>
      <c r="AM144" s="176">
        <f>DANE!AE144</f>
        <v>50</v>
      </c>
      <c r="AN144" s="188">
        <f t="shared" si="6"/>
        <v>2646</v>
      </c>
      <c r="AO144" s="177">
        <f t="shared" ca="1" si="22"/>
        <v>67.571428571428569</v>
      </c>
      <c r="AP144" s="209">
        <f t="shared" si="49"/>
        <v>379.05320682803364</v>
      </c>
      <c r="AQ144" s="179">
        <f t="shared" si="51"/>
        <v>-1.2613334354949973E-2</v>
      </c>
      <c r="AR144" s="213">
        <f t="shared" si="52"/>
        <v>0.91170665951535024</v>
      </c>
      <c r="AS144" s="217">
        <f t="shared" ca="1" si="53"/>
        <v>1.5591794551011735</v>
      </c>
      <c r="AT144" s="176">
        <f>DANE!AI144</f>
        <v>46</v>
      </c>
      <c r="AU144" s="188">
        <f t="shared" si="7"/>
        <v>5809</v>
      </c>
      <c r="AV144" s="177">
        <f t="shared" ca="1" si="23"/>
        <v>44.285714285714285</v>
      </c>
      <c r="AW144" s="209">
        <f t="shared" si="33"/>
        <v>292.5627283637823</v>
      </c>
      <c r="AX144" s="179">
        <f t="shared" si="34"/>
        <v>1.7055799744619377E-2</v>
      </c>
      <c r="AY144" s="213">
        <f t="shared" si="35"/>
        <v>1.1193905982123356</v>
      </c>
      <c r="AZ144" s="214">
        <f t="shared" ca="1" si="36"/>
        <v>1.2420857399652958</v>
      </c>
      <c r="BA144" s="176">
        <f>DANE!AM144</f>
        <v>20</v>
      </c>
      <c r="BB144" s="188">
        <f t="shared" si="8"/>
        <v>1064</v>
      </c>
      <c r="BC144" s="177">
        <f t="shared" ca="1" si="24"/>
        <v>7</v>
      </c>
      <c r="BD144" s="209">
        <f t="shared" si="77"/>
        <v>49.137579587776159</v>
      </c>
      <c r="BE144" s="179">
        <f t="shared" si="80"/>
        <v>0.44548469559978021</v>
      </c>
      <c r="BF144" s="213">
        <f t="shared" si="81"/>
        <v>4.1183928691984617</v>
      </c>
      <c r="BG144" s="217">
        <f t="shared" ca="1" si="82"/>
        <v>1.448252460118747</v>
      </c>
      <c r="BH144" s="176">
        <f>DANE!AQ144</f>
        <v>17</v>
      </c>
      <c r="BI144" s="188">
        <f t="shared" si="9"/>
        <v>1123</v>
      </c>
      <c r="BJ144" s="177">
        <f t="shared" ca="1" si="25"/>
        <v>20.428571428571427</v>
      </c>
      <c r="BK144" s="209">
        <f t="shared" si="61"/>
        <v>138.76193232604237</v>
      </c>
      <c r="BL144" s="179">
        <f t="shared" si="63"/>
        <v>-2.3185679920675818E-2</v>
      </c>
      <c r="BM144" s="213">
        <f t="shared" si="64"/>
        <v>0.83770024055526926</v>
      </c>
      <c r="BN144" s="214">
        <f t="shared" ca="1" si="65"/>
        <v>0.91395095399029924</v>
      </c>
      <c r="BO144" s="176">
        <f>DANE!AU144</f>
        <v>5</v>
      </c>
      <c r="BP144" s="188">
        <f t="shared" si="10"/>
        <v>922</v>
      </c>
      <c r="BQ144" s="177">
        <f t="shared" ca="1" si="26"/>
        <v>2.5714285714285716</v>
      </c>
      <c r="BR144" s="209">
        <f t="shared" si="78"/>
        <v>22.644755612920253</v>
      </c>
      <c r="BS144" s="179">
        <f t="shared" si="83"/>
        <v>0.10003170070247568</v>
      </c>
      <c r="BT144" s="213">
        <f t="shared" si="84"/>
        <v>1.7002219049173297</v>
      </c>
      <c r="BU144" s="217">
        <f t="shared" ca="1" si="85"/>
        <v>0.8176611703841159</v>
      </c>
      <c r="BV144" s="176">
        <f>DANE!AY144</f>
        <v>13</v>
      </c>
      <c r="BW144" s="188">
        <f t="shared" si="11"/>
        <v>774</v>
      </c>
      <c r="BX144" s="177">
        <f t="shared" ca="1" si="27"/>
        <v>8.4285714285714288</v>
      </c>
      <c r="BY144" s="209">
        <f t="shared" si="69"/>
        <v>49.238033328046896</v>
      </c>
      <c r="BZ144" s="179">
        <f t="shared" si="71"/>
        <v>0.16463352701408837</v>
      </c>
      <c r="CA144" s="213">
        <f t="shared" si="72"/>
        <v>2.1524346890986186</v>
      </c>
      <c r="CB144" s="214">
        <f t="shared" ca="1" si="73"/>
        <v>2.0144929102205795</v>
      </c>
      <c r="CC144" s="176">
        <f>DANE!BC144</f>
        <v>113</v>
      </c>
      <c r="CD144" s="188">
        <f t="shared" si="12"/>
        <v>14674</v>
      </c>
      <c r="CE144" s="177">
        <f t="shared" ca="1" si="28"/>
        <v>91.285714285714292</v>
      </c>
      <c r="CF144" s="209">
        <f t="shared" si="45"/>
        <v>635.20129483295932</v>
      </c>
      <c r="CG144" s="179">
        <f t="shared" si="46"/>
        <v>4.262141457945897E-2</v>
      </c>
      <c r="CH144" s="213">
        <f t="shared" si="47"/>
        <v>1.2983499020562128</v>
      </c>
      <c r="CI144" s="217">
        <f t="shared" ca="1" si="48"/>
        <v>1.0986866716187114</v>
      </c>
      <c r="CJ144" s="176">
        <f>DANE!BG144</f>
        <v>7</v>
      </c>
      <c r="CK144" s="188">
        <f t="shared" si="13"/>
        <v>925</v>
      </c>
      <c r="CL144" s="177">
        <f t="shared" ca="1" si="29"/>
        <v>8.5714285714285712</v>
      </c>
      <c r="CM144" s="209">
        <f t="shared" si="79"/>
        <v>55.186659254389433</v>
      </c>
      <c r="CN144" s="179">
        <f t="shared" si="86"/>
        <v>-1.8341351705809798E-2</v>
      </c>
      <c r="CO144" s="213">
        <f t="shared" si="87"/>
        <v>0.87161053805933142</v>
      </c>
      <c r="CP144" s="214">
        <f t="shared" ca="1" si="88"/>
        <v>1.8557793695175935</v>
      </c>
      <c r="CQ144" s="176">
        <f>DANE!BK144</f>
        <v>17</v>
      </c>
      <c r="CR144" s="188">
        <f t="shared" si="14"/>
        <v>324</v>
      </c>
      <c r="CS144" s="177">
        <f t="shared" ca="1" si="30"/>
        <v>5.4285714285714288</v>
      </c>
      <c r="CT144" s="209">
        <f t="shared" si="89"/>
        <v>36.432179976433915</v>
      </c>
      <c r="CU144" s="179">
        <f t="shared" si="90"/>
        <v>0.60700358245004604</v>
      </c>
      <c r="CV144" s="213">
        <f t="shared" si="91"/>
        <v>5.2490250771503222</v>
      </c>
      <c r="CW144" s="217">
        <f t="shared" ca="1" si="92"/>
        <v>2.2358283642448704</v>
      </c>
      <c r="CX144" s="176">
        <f>DANE!BO144</f>
        <v>22</v>
      </c>
      <c r="CY144" s="188">
        <f t="shared" si="15"/>
        <v>3498</v>
      </c>
      <c r="CZ144" s="177">
        <f t="shared" ca="1" si="31"/>
        <v>25.142857142857142</v>
      </c>
      <c r="DA144" s="209">
        <f t="shared" si="54"/>
        <v>205.79611436253612</v>
      </c>
      <c r="DB144" s="179">
        <f t="shared" si="58"/>
        <v>-4.0258984443699235E-2</v>
      </c>
      <c r="DC144" s="213">
        <f t="shared" si="59"/>
        <v>0.71818710889410542</v>
      </c>
      <c r="DD144" s="214">
        <f t="shared" ca="1" si="60"/>
        <v>0.74634511603826936</v>
      </c>
      <c r="DE144" s="176">
        <f>DANE!BS144</f>
        <v>6</v>
      </c>
      <c r="DF144" s="188">
        <f t="shared" si="16"/>
        <v>673</v>
      </c>
      <c r="DG144" s="177">
        <f t="shared" ca="1" si="32"/>
        <v>4.4285714285714288</v>
      </c>
      <c r="DH144" s="209">
        <f t="shared" si="70"/>
        <v>27.733362698851884</v>
      </c>
      <c r="DI144" s="179">
        <f t="shared" si="74"/>
        <v>9.3777068521882653E-2</v>
      </c>
      <c r="DJ144" s="157">
        <f t="shared" si="75"/>
        <v>1.6564394796531787</v>
      </c>
      <c r="DK144" s="225">
        <f t="shared" ca="1" si="76"/>
        <v>1.6597036718706419</v>
      </c>
      <c r="DL144" s="89"/>
      <c r="DM144" s="89"/>
      <c r="DN144" s="89"/>
      <c r="DO144" s="89"/>
      <c r="DP144" s="89"/>
      <c r="DQ144" s="89"/>
      <c r="DR144" s="89"/>
      <c r="DS144" s="89"/>
      <c r="DT144" s="89"/>
      <c r="DU144" s="89"/>
      <c r="DV144" s="89"/>
      <c r="DW144" s="89"/>
      <c r="DX144" s="89"/>
      <c r="DY144" s="89"/>
      <c r="DZ144" s="89"/>
      <c r="EA144" s="89"/>
      <c r="EB144" s="89"/>
      <c r="EC144" s="89"/>
      <c r="ED144" s="89"/>
      <c r="EE144" s="89"/>
      <c r="EF144" s="89"/>
      <c r="EG144" s="89"/>
      <c r="EH144" s="89"/>
    </row>
    <row r="145" spans="1:138" x14ac:dyDescent="0.25">
      <c r="A145" s="32">
        <v>44035</v>
      </c>
      <c r="B145" s="33" t="str">
        <f t="shared" ca="1" si="0"/>
        <v/>
      </c>
      <c r="C145" s="51">
        <f t="shared" si="93"/>
        <v>142</v>
      </c>
      <c r="D145" s="176">
        <f>DANE!K145</f>
        <v>7</v>
      </c>
      <c r="E145" s="188">
        <f t="shared" si="1"/>
        <v>3101</v>
      </c>
      <c r="F145" s="178">
        <f t="shared" ca="1" si="17"/>
        <v>12</v>
      </c>
      <c r="G145" s="209">
        <f t="shared" si="38"/>
        <v>74.407662531507597</v>
      </c>
      <c r="H145" s="179">
        <f t="shared" si="42"/>
        <v>-5.3846490734389213E-2</v>
      </c>
      <c r="I145" s="213">
        <f t="shared" si="43"/>
        <v>0.62307456485927548</v>
      </c>
      <c r="J145" s="214">
        <f t="shared" ca="1" si="44"/>
        <v>1.2724435323766716</v>
      </c>
      <c r="K145" s="176">
        <f>DANE!O145</f>
        <v>1</v>
      </c>
      <c r="L145" s="188">
        <f t="shared" si="2"/>
        <v>727</v>
      </c>
      <c r="M145" s="177">
        <f t="shared" ca="1" si="18"/>
        <v>2</v>
      </c>
      <c r="N145" s="209">
        <f t="shared" si="62"/>
        <v>16.224685096550882</v>
      </c>
      <c r="O145" s="179">
        <f t="shared" si="66"/>
        <v>-8.6557596974447301E-2</v>
      </c>
      <c r="P145" s="213">
        <f t="shared" si="67"/>
        <v>0.39409682117886891</v>
      </c>
      <c r="Q145" s="217">
        <f t="shared" ca="1" si="68"/>
        <v>0.72049197269588472</v>
      </c>
      <c r="R145" s="176">
        <f>DANE!S145</f>
        <v>1</v>
      </c>
      <c r="S145" s="188">
        <f t="shared" si="3"/>
        <v>892</v>
      </c>
      <c r="T145" s="177">
        <f t="shared" ca="1" si="19"/>
        <v>6.1428571428571432</v>
      </c>
      <c r="U145" s="209">
        <f t="shared" si="50"/>
        <v>52.029559059063949</v>
      </c>
      <c r="V145" s="179">
        <f t="shared" si="55"/>
        <v>-0.12606015552376679</v>
      </c>
      <c r="W145" s="213">
        <f t="shared" si="56"/>
        <v>0.11757891133363241</v>
      </c>
      <c r="X145" s="214">
        <f t="shared" ca="1" si="57"/>
        <v>0.55374914681165477</v>
      </c>
      <c r="Y145" s="176">
        <f>DANE!W145</f>
        <v>9</v>
      </c>
      <c r="Z145" s="188">
        <f t="shared" si="4"/>
        <v>341</v>
      </c>
      <c r="AA145" s="177">
        <f t="shared" ca="1" si="20"/>
        <v>11.428571428571429</v>
      </c>
      <c r="AB145" s="209">
        <f t="shared" si="94"/>
        <v>69.527596302897933</v>
      </c>
      <c r="AC145" s="179">
        <f t="shared" si="95"/>
        <v>-1.5406423094852038E-2</v>
      </c>
      <c r="AD145" s="213">
        <f t="shared" si="96"/>
        <v>0.89215503833603571</v>
      </c>
      <c r="AE145" s="217">
        <f t="shared" ca="1" si="97"/>
        <v>1.1482442192163738</v>
      </c>
      <c r="AF145" s="176">
        <f>DANE!AA145</f>
        <v>33</v>
      </c>
      <c r="AG145" s="188">
        <f t="shared" si="5"/>
        <v>3720</v>
      </c>
      <c r="AH145" s="177">
        <f t="shared" ca="1" si="21"/>
        <v>28.142857142857142</v>
      </c>
      <c r="AI145" s="209">
        <f t="shared" si="37"/>
        <v>197.73604744140013</v>
      </c>
      <c r="AJ145" s="179">
        <f t="shared" si="39"/>
        <v>2.8846104398295234E-2</v>
      </c>
      <c r="AK145" s="213">
        <f t="shared" si="40"/>
        <v>1.2019227307880667</v>
      </c>
      <c r="AL145" s="214">
        <f t="shared" ca="1" si="41"/>
        <v>1.0376950336028583</v>
      </c>
      <c r="AM145" s="176">
        <f>DANE!AE145</f>
        <v>75</v>
      </c>
      <c r="AN145" s="188">
        <f t="shared" si="6"/>
        <v>2721</v>
      </c>
      <c r="AO145" s="177">
        <f t="shared" ca="1" si="22"/>
        <v>69.714285714285708</v>
      </c>
      <c r="AP145" s="209">
        <f t="shared" si="49"/>
        <v>399.90274870974315</v>
      </c>
      <c r="AQ145" s="179">
        <f t="shared" si="51"/>
        <v>5.5004261950930798E-2</v>
      </c>
      <c r="AR145" s="213">
        <f t="shared" si="52"/>
        <v>1.3850298336565157</v>
      </c>
      <c r="AS145" s="217">
        <f t="shared" ca="1" si="53"/>
        <v>1.4918234916559054</v>
      </c>
      <c r="AT145" s="176">
        <f>DANE!AI145</f>
        <v>104</v>
      </c>
      <c r="AU145" s="188">
        <f t="shared" si="7"/>
        <v>5913</v>
      </c>
      <c r="AV145" s="177">
        <f t="shared" ca="1" si="23"/>
        <v>53.857142857142854</v>
      </c>
      <c r="AW145" s="209">
        <f t="shared" si="33"/>
        <v>354.76805288324198</v>
      </c>
      <c r="AX145" s="179">
        <f t="shared" si="34"/>
        <v>0.21262217804487896</v>
      </c>
      <c r="AY145" s="213">
        <f t="shared" si="35"/>
        <v>2.4883552463141525</v>
      </c>
      <c r="AZ145" s="214">
        <f t="shared" ca="1" si="36"/>
        <v>1.4376716816591413</v>
      </c>
      <c r="BA145" s="176">
        <f>DANE!AM145</f>
        <v>21</v>
      </c>
      <c r="BB145" s="188">
        <f t="shared" si="8"/>
        <v>1085</v>
      </c>
      <c r="BC145" s="177">
        <f t="shared" ca="1" si="24"/>
        <v>9.4285714285714288</v>
      </c>
      <c r="BD145" s="209">
        <f t="shared" si="77"/>
        <v>63.117925360950998</v>
      </c>
      <c r="BE145" s="179">
        <f t="shared" si="80"/>
        <v>0.28451433486261291</v>
      </c>
      <c r="BF145" s="213">
        <f t="shared" si="81"/>
        <v>2.9916003440382903</v>
      </c>
      <c r="BG145" s="217">
        <f t="shared" ca="1" si="82"/>
        <v>1.7583761264846238</v>
      </c>
      <c r="BH145" s="176">
        <f>DANE!AQ145</f>
        <v>20</v>
      </c>
      <c r="BI145" s="188">
        <f t="shared" si="9"/>
        <v>1143</v>
      </c>
      <c r="BJ145" s="177">
        <f t="shared" ca="1" si="25"/>
        <v>18.142857142857142</v>
      </c>
      <c r="BK145" s="209">
        <f t="shared" si="61"/>
        <v>138.93879913660777</v>
      </c>
      <c r="BL145" s="179">
        <f t="shared" si="63"/>
        <v>1.274606137292932E-3</v>
      </c>
      <c r="BM145" s="213">
        <f t="shared" si="64"/>
        <v>1.0089222429610505</v>
      </c>
      <c r="BN145" s="214">
        <f t="shared" ca="1" si="65"/>
        <v>0.82247099260120515</v>
      </c>
      <c r="BO145" s="176">
        <f>DANE!AU145</f>
        <v>2</v>
      </c>
      <c r="BP145" s="188">
        <f t="shared" si="10"/>
        <v>924</v>
      </c>
      <c r="BQ145" s="177">
        <f t="shared" ca="1" si="26"/>
        <v>2.8571428571428572</v>
      </c>
      <c r="BR145" s="209">
        <f t="shared" si="78"/>
        <v>21.409790525360219</v>
      </c>
      <c r="BS145" s="179">
        <f t="shared" si="83"/>
        <v>-5.4536472314826383E-2</v>
      </c>
      <c r="BT145" s="213">
        <f t="shared" si="84"/>
        <v>0.61824469379621527</v>
      </c>
      <c r="BU145" s="217">
        <f t="shared" ca="1" si="85"/>
        <v>0.9059818409264323</v>
      </c>
      <c r="BV145" s="176">
        <f>DANE!AY145</f>
        <v>4</v>
      </c>
      <c r="BW145" s="188">
        <f t="shared" si="11"/>
        <v>778</v>
      </c>
      <c r="BX145" s="177">
        <f t="shared" ca="1" si="27"/>
        <v>8.5714285714285712</v>
      </c>
      <c r="BY145" s="209">
        <f t="shared" si="69"/>
        <v>46.204028566897343</v>
      </c>
      <c r="BZ145" s="179">
        <f t="shared" si="71"/>
        <v>-6.1619129686508581E-2</v>
      </c>
      <c r="CA145" s="213">
        <f t="shared" si="72"/>
        <v>0.56866609219443998</v>
      </c>
      <c r="CB145" s="214">
        <f t="shared" ca="1" si="73"/>
        <v>1.952900717498385</v>
      </c>
      <c r="CC145" s="176">
        <f>DANE!BC145</f>
        <v>110</v>
      </c>
      <c r="CD145" s="188">
        <f t="shared" si="12"/>
        <v>14784</v>
      </c>
      <c r="CE145" s="177">
        <f t="shared" ca="1" si="28"/>
        <v>94.285714285714292</v>
      </c>
      <c r="CF145" s="209">
        <f t="shared" si="45"/>
        <v>654.45825271396518</v>
      </c>
      <c r="CG145" s="179">
        <f t="shared" si="46"/>
        <v>3.0316307661290138E-2</v>
      </c>
      <c r="CH145" s="213">
        <f t="shared" si="47"/>
        <v>1.212214153629031</v>
      </c>
      <c r="CI145" s="217">
        <f t="shared" ca="1" si="48"/>
        <v>1.1187262583525359</v>
      </c>
      <c r="CJ145" s="176">
        <f>DANE!BG145</f>
        <v>4</v>
      </c>
      <c r="CK145" s="188">
        <f t="shared" si="13"/>
        <v>929</v>
      </c>
      <c r="CL145" s="177">
        <f t="shared" ca="1" si="29"/>
        <v>8.7142857142857135</v>
      </c>
      <c r="CM145" s="209">
        <f t="shared" si="79"/>
        <v>51.302850789476658</v>
      </c>
      <c r="CN145" s="179">
        <f t="shared" si="86"/>
        <v>-7.0375857451524665E-2</v>
      </c>
      <c r="CO145" s="213">
        <f t="shared" si="87"/>
        <v>0.50736899783932732</v>
      </c>
      <c r="CP145" s="214">
        <f t="shared" ca="1" si="88"/>
        <v>1.8269066409815078</v>
      </c>
      <c r="CQ145" s="176">
        <f>DANE!BK145</f>
        <v>2</v>
      </c>
      <c r="CR145" s="188">
        <f t="shared" si="14"/>
        <v>326</v>
      </c>
      <c r="CS145" s="177">
        <f t="shared" ca="1" si="30"/>
        <v>5.7142857142857144</v>
      </c>
      <c r="CT145" s="209">
        <f t="shared" si="89"/>
        <v>33.227582836943355</v>
      </c>
      <c r="CU145" s="179">
        <f t="shared" si="90"/>
        <v>-8.7960620022283775E-2</v>
      </c>
      <c r="CV145" s="213">
        <f t="shared" si="91"/>
        <v>0.38427565984401357</v>
      </c>
      <c r="CW145" s="217">
        <f t="shared" ca="1" si="92"/>
        <v>2.2907248870797297</v>
      </c>
      <c r="CX145" s="176">
        <f>DANE!BO145</f>
        <v>15</v>
      </c>
      <c r="CY145" s="188">
        <f t="shared" si="15"/>
        <v>3513</v>
      </c>
      <c r="CZ145" s="177">
        <f t="shared" ca="1" si="31"/>
        <v>24.428571428571427</v>
      </c>
      <c r="DA145" s="209">
        <f t="shared" si="54"/>
        <v>191.39666945360239</v>
      </c>
      <c r="DB145" s="179">
        <f t="shared" si="58"/>
        <v>-6.9969469314504512E-2</v>
      </c>
      <c r="DC145" s="213">
        <f t="shared" si="59"/>
        <v>0.51021371479846844</v>
      </c>
      <c r="DD145" s="214">
        <f t="shared" ca="1" si="60"/>
        <v>0.74474360294858521</v>
      </c>
      <c r="DE145" s="176">
        <f>DANE!BS145</f>
        <v>10</v>
      </c>
      <c r="DF145" s="188">
        <f t="shared" si="16"/>
        <v>683</v>
      </c>
      <c r="DG145" s="177">
        <f t="shared" ca="1" si="32"/>
        <v>5.4285714285714288</v>
      </c>
      <c r="DH145" s="209">
        <f t="shared" si="70"/>
        <v>33.771453741873046</v>
      </c>
      <c r="DI145" s="179">
        <f t="shared" si="74"/>
        <v>0.21771939842228827</v>
      </c>
      <c r="DJ145" s="157">
        <f t="shared" si="75"/>
        <v>2.5240357889560179</v>
      </c>
      <c r="DK145" s="225">
        <f t="shared" ca="1" si="76"/>
        <v>1.8313489304637218</v>
      </c>
      <c r="DL145" s="89"/>
      <c r="DM145" s="89"/>
      <c r="DN145" s="89"/>
      <c r="DO145" s="89"/>
      <c r="DP145" s="89"/>
      <c r="DQ145" s="89"/>
      <c r="DR145" s="89"/>
      <c r="DS145" s="89"/>
      <c r="DT145" s="89"/>
      <c r="DU145" s="89"/>
      <c r="DV145" s="89"/>
      <c r="DW145" s="89"/>
      <c r="DX145" s="89"/>
      <c r="DY145" s="89"/>
      <c r="DZ145" s="89"/>
      <c r="EA145" s="89"/>
      <c r="EB145" s="89"/>
      <c r="EC145" s="89"/>
      <c r="ED145" s="89"/>
      <c r="EE145" s="89"/>
      <c r="EF145" s="89"/>
      <c r="EG145" s="89"/>
      <c r="EH145" s="89"/>
    </row>
    <row r="146" spans="1:138" x14ac:dyDescent="0.25">
      <c r="A146" s="32">
        <v>44036</v>
      </c>
      <c r="B146" s="33" t="str">
        <f t="shared" ca="1" si="0"/>
        <v/>
      </c>
      <c r="C146" s="51">
        <f t="shared" si="93"/>
        <v>143</v>
      </c>
      <c r="D146" s="176">
        <f>DANE!K146</f>
        <v>29</v>
      </c>
      <c r="E146" s="188">
        <f t="shared" si="1"/>
        <v>3130</v>
      </c>
      <c r="F146" s="178">
        <f t="shared" ca="1" si="17"/>
        <v>15</v>
      </c>
      <c r="G146" s="209">
        <f t="shared" si="38"/>
        <v>92.777996455577949</v>
      </c>
      <c r="H146" s="179">
        <f t="shared" si="42"/>
        <v>0.24688766316629707</v>
      </c>
      <c r="I146" s="213">
        <f t="shared" si="43"/>
        <v>2.7282136421640795</v>
      </c>
      <c r="J146" s="214">
        <f t="shared" ca="1" si="44"/>
        <v>1.5263911176868479</v>
      </c>
      <c r="K146" s="176">
        <f>DANE!O146</f>
        <v>9</v>
      </c>
      <c r="L146" s="188">
        <f t="shared" si="2"/>
        <v>736</v>
      </c>
      <c r="M146" s="177">
        <f t="shared" ca="1" si="18"/>
        <v>3.2857142857142856</v>
      </c>
      <c r="N146" s="209">
        <f t="shared" si="62"/>
        <v>22.906872939900758</v>
      </c>
      <c r="O146" s="179">
        <f t="shared" si="66"/>
        <v>0.41185316100652125</v>
      </c>
      <c r="P146" s="213">
        <f t="shared" si="67"/>
        <v>3.8829721270456488</v>
      </c>
      <c r="Q146" s="217">
        <f t="shared" ca="1" si="68"/>
        <v>1.2752022765595488</v>
      </c>
      <c r="R146" s="176">
        <f>DANE!S146</f>
        <v>7</v>
      </c>
      <c r="S146" s="188">
        <f t="shared" si="3"/>
        <v>899</v>
      </c>
      <c r="T146" s="177">
        <f t="shared" ca="1" si="19"/>
        <v>5.5714285714285712</v>
      </c>
      <c r="U146" s="209">
        <f t="shared" si="50"/>
        <v>51.596764907769099</v>
      </c>
      <c r="V146" s="179">
        <f t="shared" si="55"/>
        <v>-8.3182360012611679E-3</v>
      </c>
      <c r="W146" s="213">
        <f t="shared" si="56"/>
        <v>0.94177234799117182</v>
      </c>
      <c r="X146" s="214">
        <f t="shared" ca="1" si="57"/>
        <v>0.556997780676732</v>
      </c>
      <c r="Y146" s="176">
        <f>DANE!W146</f>
        <v>9</v>
      </c>
      <c r="Z146" s="188">
        <f t="shared" si="4"/>
        <v>350</v>
      </c>
      <c r="AA146" s="177">
        <f t="shared" ca="1" si="20"/>
        <v>10.285714285714286</v>
      </c>
      <c r="AB146" s="209">
        <f t="shared" si="94"/>
        <v>68.595082545341086</v>
      </c>
      <c r="AC146" s="179">
        <f t="shared" si="95"/>
        <v>-1.3412138591622505E-2</v>
      </c>
      <c r="AD146" s="213">
        <f t="shared" si="96"/>
        <v>0.90611502985864245</v>
      </c>
      <c r="AE146" s="217">
        <f t="shared" ca="1" si="97"/>
        <v>1.0048231238062737</v>
      </c>
      <c r="AF146" s="176">
        <f>DANE!AA146</f>
        <v>29</v>
      </c>
      <c r="AG146" s="188">
        <f t="shared" si="5"/>
        <v>3749</v>
      </c>
      <c r="AH146" s="177">
        <f t="shared" ca="1" si="21"/>
        <v>28</v>
      </c>
      <c r="AI146" s="209">
        <f t="shared" si="37"/>
        <v>198.48804066405728</v>
      </c>
      <c r="AJ146" s="179">
        <f t="shared" si="39"/>
        <v>3.8030153448880108E-3</v>
      </c>
      <c r="AK146" s="213">
        <f t="shared" si="40"/>
        <v>1.026621107414216</v>
      </c>
      <c r="AL146" s="214">
        <f t="shared" ca="1" si="41"/>
        <v>1.0275434133057868</v>
      </c>
      <c r="AM146" s="176">
        <f>DANE!AE146</f>
        <v>99</v>
      </c>
      <c r="AN146" s="188">
        <f t="shared" si="6"/>
        <v>2820</v>
      </c>
      <c r="AO146" s="177">
        <f t="shared" ca="1" si="22"/>
        <v>73.857142857142861</v>
      </c>
      <c r="AP146" s="209">
        <f t="shared" si="49"/>
        <v>441.77378460835132</v>
      </c>
      <c r="AQ146" s="179">
        <f t="shared" si="51"/>
        <v>0.10470304601231673</v>
      </c>
      <c r="AR146" s="213">
        <f t="shared" si="52"/>
        <v>1.732921322086217</v>
      </c>
      <c r="AS146" s="217">
        <f t="shared" ca="1" si="53"/>
        <v>1.4636965562306623</v>
      </c>
      <c r="AT146" s="176">
        <f>DANE!AI146</f>
        <v>32</v>
      </c>
      <c r="AU146" s="188">
        <f t="shared" si="7"/>
        <v>5945</v>
      </c>
      <c r="AV146" s="177">
        <f t="shared" ca="1" si="23"/>
        <v>53.285714285714285</v>
      </c>
      <c r="AW146" s="209">
        <f t="shared" si="33"/>
        <v>336.0869024713503</v>
      </c>
      <c r="AX146" s="179">
        <f t="shared" si="34"/>
        <v>-5.265736376223213E-2</v>
      </c>
      <c r="AY146" s="213">
        <f t="shared" si="35"/>
        <v>0.63139845366437508</v>
      </c>
      <c r="AZ146" s="214">
        <f t="shared" ca="1" si="36"/>
        <v>1.3749054886810779</v>
      </c>
      <c r="BA146" s="176">
        <f>DANE!AM146</f>
        <v>8</v>
      </c>
      <c r="BB146" s="188">
        <f t="shared" si="8"/>
        <v>1093</v>
      </c>
      <c r="BC146" s="177">
        <f t="shared" ca="1" si="24"/>
        <v>10</v>
      </c>
      <c r="BD146" s="209">
        <f t="shared" si="77"/>
        <v>62.101078880815145</v>
      </c>
      <c r="BE146" s="179">
        <f t="shared" si="80"/>
        <v>-1.6110264624840533E-2</v>
      </c>
      <c r="BF146" s="213">
        <f t="shared" si="81"/>
        <v>0.88722814762611624</v>
      </c>
      <c r="BG146" s="217">
        <f t="shared" ca="1" si="82"/>
        <v>1.764793638740171</v>
      </c>
      <c r="BH146" s="176">
        <f>DANE!AQ146</f>
        <v>7</v>
      </c>
      <c r="BI146" s="188">
        <f t="shared" si="9"/>
        <v>1150</v>
      </c>
      <c r="BJ146" s="177">
        <f t="shared" ca="1" si="25"/>
        <v>16.571428571428573</v>
      </c>
      <c r="BK146" s="209">
        <f t="shared" si="61"/>
        <v>126.09039925994952</v>
      </c>
      <c r="BL146" s="179">
        <f t="shared" si="63"/>
        <v>-9.2475247781761888E-2</v>
      </c>
      <c r="BM146" s="213">
        <f t="shared" si="64"/>
        <v>0.35267326552766676</v>
      </c>
      <c r="BN146" s="214">
        <f t="shared" ca="1" si="65"/>
        <v>0.76504656163355167</v>
      </c>
      <c r="BO146" s="176">
        <f>DANE!AU146</f>
        <v>5</v>
      </c>
      <c r="BP146" s="188">
        <f t="shared" si="10"/>
        <v>929</v>
      </c>
      <c r="BQ146" s="177">
        <f t="shared" ca="1" si="26"/>
        <v>3</v>
      </c>
      <c r="BR146" s="209">
        <f t="shared" si="78"/>
        <v>23.351249021737331</v>
      </c>
      <c r="BS146" s="179">
        <f t="shared" si="83"/>
        <v>9.0680873036913925E-2</v>
      </c>
      <c r="BT146" s="213">
        <f t="shared" si="84"/>
        <v>1.6347661112583975</v>
      </c>
      <c r="BU146" s="217">
        <f t="shared" ca="1" si="85"/>
        <v>0.97292398773031807</v>
      </c>
      <c r="BV146" s="176">
        <f>DANE!AY146</f>
        <v>9</v>
      </c>
      <c r="BW146" s="188">
        <f t="shared" si="11"/>
        <v>787</v>
      </c>
      <c r="BX146" s="177">
        <f t="shared" ca="1" si="27"/>
        <v>8.7142857142857135</v>
      </c>
      <c r="BY146" s="209">
        <f t="shared" si="69"/>
        <v>48.60345305734058</v>
      </c>
      <c r="BZ146" s="179">
        <f t="shared" si="71"/>
        <v>5.1931066724391517E-2</v>
      </c>
      <c r="CA146" s="213">
        <f t="shared" si="72"/>
        <v>1.3635174670707406</v>
      </c>
      <c r="CB146" s="214">
        <f t="shared" ca="1" si="73"/>
        <v>1.7667981179902434</v>
      </c>
      <c r="CC146" s="176">
        <f>DANE!BC146</f>
        <v>184</v>
      </c>
      <c r="CD146" s="188">
        <f t="shared" si="12"/>
        <v>14968</v>
      </c>
      <c r="CE146" s="177">
        <f t="shared" ca="1" si="28"/>
        <v>108.28571428571429</v>
      </c>
      <c r="CF146" s="209">
        <f t="shared" si="45"/>
        <v>744.96421661197019</v>
      </c>
      <c r="CG146" s="179">
        <f t="shared" si="46"/>
        <v>0.13829142427754085</v>
      </c>
      <c r="CH146" s="213">
        <f t="shared" si="47"/>
        <v>1.968039969942786</v>
      </c>
      <c r="CI146" s="217">
        <f t="shared" ca="1" si="48"/>
        <v>1.2534079762703276</v>
      </c>
      <c r="CJ146" s="176">
        <f>DANE!BG146</f>
        <v>8</v>
      </c>
      <c r="CK146" s="188">
        <f t="shared" si="13"/>
        <v>937</v>
      </c>
      <c r="CL146" s="177">
        <f t="shared" ca="1" si="29"/>
        <v>8.4285714285714288</v>
      </c>
      <c r="CM146" s="209">
        <f t="shared" si="79"/>
        <v>51.973872105265713</v>
      </c>
      <c r="CN146" s="179">
        <f t="shared" si="86"/>
        <v>1.3079610693421666E-2</v>
      </c>
      <c r="CO146" s="213">
        <f t="shared" si="87"/>
        <v>1.0915572748539517</v>
      </c>
      <c r="CP146" s="214">
        <f t="shared" ca="1" si="88"/>
        <v>1.6303678431442725</v>
      </c>
      <c r="CQ146" s="176">
        <f>DANE!BK146</f>
        <v>6</v>
      </c>
      <c r="CR146" s="188">
        <f t="shared" si="14"/>
        <v>332</v>
      </c>
      <c r="CS146" s="177">
        <f t="shared" ca="1" si="30"/>
        <v>5.8571428571428568</v>
      </c>
      <c r="CT146" s="209">
        <f t="shared" si="89"/>
        <v>34.48078528880859</v>
      </c>
      <c r="CU146" s="179">
        <f t="shared" si="90"/>
        <v>3.771572726234812E-2</v>
      </c>
      <c r="CV146" s="213">
        <f t="shared" si="91"/>
        <v>1.2640100908364369</v>
      </c>
      <c r="CW146" s="217">
        <f t="shared" ca="1" si="92"/>
        <v>2.0463909794479163</v>
      </c>
      <c r="CX146" s="176">
        <f>DANE!BO146</f>
        <v>13</v>
      </c>
      <c r="CY146" s="188">
        <f t="shared" si="15"/>
        <v>3526</v>
      </c>
      <c r="CZ146" s="177">
        <f t="shared" ca="1" si="31"/>
        <v>19.714285714285715</v>
      </c>
      <c r="DA146" s="209">
        <f t="shared" si="54"/>
        <v>177.05428810308777</v>
      </c>
      <c r="DB146" s="179">
        <f t="shared" si="58"/>
        <v>-7.4935375790284781E-2</v>
      </c>
      <c r="DC146" s="213">
        <f t="shared" si="59"/>
        <v>0.47545236946800651</v>
      </c>
      <c r="DD146" s="214">
        <f t="shared" ca="1" si="60"/>
        <v>0.62876752064554187</v>
      </c>
      <c r="DE146" s="176">
        <f>DANE!BS146</f>
        <v>4</v>
      </c>
      <c r="DF146" s="188">
        <f t="shared" si="16"/>
        <v>687</v>
      </c>
      <c r="DG146" s="177">
        <f t="shared" ca="1" si="32"/>
        <v>6</v>
      </c>
      <c r="DH146" s="209">
        <f t="shared" si="70"/>
        <v>32.946960350176894</v>
      </c>
      <c r="DI146" s="179">
        <f t="shared" si="74"/>
        <v>-2.441391472212126E-2</v>
      </c>
      <c r="DJ146" s="157">
        <f t="shared" si="75"/>
        <v>0.8291025969451512</v>
      </c>
      <c r="DK146" s="225">
        <f t="shared" ca="1" si="76"/>
        <v>1.9497921585987434</v>
      </c>
      <c r="DL146" s="89"/>
      <c r="DM146" s="89"/>
      <c r="DN146" s="89"/>
      <c r="DO146" s="89"/>
      <c r="DP146" s="89"/>
      <c r="DQ146" s="89"/>
      <c r="DR146" s="89"/>
      <c r="DS146" s="89"/>
      <c r="DT146" s="89"/>
      <c r="DU146" s="89"/>
      <c r="DV146" s="89"/>
      <c r="DW146" s="89"/>
      <c r="DX146" s="89"/>
      <c r="DY146" s="89"/>
      <c r="DZ146" s="89"/>
      <c r="EA146" s="89"/>
      <c r="EB146" s="89"/>
      <c r="EC146" s="89"/>
      <c r="ED146" s="89"/>
      <c r="EE146" s="89"/>
      <c r="EF146" s="89"/>
      <c r="EG146" s="89"/>
      <c r="EH146" s="89"/>
    </row>
    <row r="147" spans="1:138" x14ac:dyDescent="0.25">
      <c r="A147" s="61">
        <v>44037</v>
      </c>
      <c r="B147" s="62" t="str">
        <f t="shared" ca="1" si="0"/>
        <v/>
      </c>
      <c r="C147" s="12">
        <f t="shared" si="93"/>
        <v>144</v>
      </c>
      <c r="D147" s="176">
        <f>DANE!K147</f>
        <v>21</v>
      </c>
      <c r="E147" s="198">
        <f t="shared" si="1"/>
        <v>3151</v>
      </c>
      <c r="F147" s="178">
        <f t="shared" ca="1" si="17"/>
        <v>15.571428571428571</v>
      </c>
      <c r="G147" s="211">
        <f t="shared" si="38"/>
        <v>100.52399696192396</v>
      </c>
      <c r="H147" s="200">
        <f t="shared" si="42"/>
        <v>8.3489629031327353E-2</v>
      </c>
      <c r="I147" s="213">
        <f t="shared" si="43"/>
        <v>1.5844274032192915</v>
      </c>
      <c r="J147" s="214">
        <f t="shared" ca="1" si="44"/>
        <v>1.4621170349526089</v>
      </c>
      <c r="K147" s="176">
        <f>DANE!O147</f>
        <v>3</v>
      </c>
      <c r="L147" s="198">
        <f t="shared" si="2"/>
        <v>739</v>
      </c>
      <c r="M147" s="177">
        <f t="shared" ca="1" si="18"/>
        <v>3.1428571428571428</v>
      </c>
      <c r="N147" s="211">
        <f t="shared" si="62"/>
        <v>22.634462519914937</v>
      </c>
      <c r="O147" s="200">
        <f t="shared" si="66"/>
        <v>-1.1892082376347316E-2</v>
      </c>
      <c r="P147" s="213">
        <f t="shared" si="67"/>
        <v>0.91675542336556881</v>
      </c>
      <c r="Q147" s="217">
        <f t="shared" ca="1" si="68"/>
        <v>1.1952672566162634</v>
      </c>
      <c r="R147" s="176">
        <f>DANE!S147</f>
        <v>12</v>
      </c>
      <c r="S147" s="198">
        <f t="shared" si="3"/>
        <v>911</v>
      </c>
      <c r="T147" s="177">
        <f t="shared" ca="1" si="19"/>
        <v>5.1428571428571432</v>
      </c>
      <c r="U147" s="211">
        <f t="shared" si="50"/>
        <v>56.225798492373514</v>
      </c>
      <c r="V147" s="200">
        <f t="shared" si="55"/>
        <v>8.9715577960729959E-2</v>
      </c>
      <c r="W147" s="213">
        <f t="shared" si="56"/>
        <v>1.6280090457251097</v>
      </c>
      <c r="X147" s="214">
        <f t="shared" ca="1" si="57"/>
        <v>0.6084432355380337</v>
      </c>
      <c r="Y147" s="176">
        <f>DANE!W147</f>
        <v>7</v>
      </c>
      <c r="Z147" s="198">
        <f t="shared" si="4"/>
        <v>357</v>
      </c>
      <c r="AA147" s="177">
        <f t="shared" ca="1" si="20"/>
        <v>10.428571428571429</v>
      </c>
      <c r="AB147" s="211">
        <f t="shared" si="94"/>
        <v>65.795785038863784</v>
      </c>
      <c r="AC147" s="200">
        <f t="shared" si="95"/>
        <v>-4.0809011413128295E-2</v>
      </c>
      <c r="AD147" s="213">
        <f t="shared" si="96"/>
        <v>0.7143369201081019</v>
      </c>
      <c r="AE147" s="217">
        <f t="shared" ca="1" si="97"/>
        <v>1.0216456633137416</v>
      </c>
      <c r="AF147" s="176">
        <f>DANE!AA147</f>
        <v>32</v>
      </c>
      <c r="AG147" s="198">
        <f t="shared" si="5"/>
        <v>3781</v>
      </c>
      <c r="AH147" s="177">
        <f t="shared" ca="1" si="21"/>
        <v>29.428571428571427</v>
      </c>
      <c r="AI147" s="211">
        <f t="shared" si="37"/>
        <v>202.13260628347768</v>
      </c>
      <c r="AJ147" s="200">
        <f t="shared" si="39"/>
        <v>1.8361638349732434E-2</v>
      </c>
      <c r="AK147" s="213">
        <f t="shared" si="40"/>
        <v>1.1285314684481271</v>
      </c>
      <c r="AL147" s="214">
        <f t="shared" ca="1" si="41"/>
        <v>1.0753495227910432</v>
      </c>
      <c r="AM147" s="176">
        <f>DANE!AE147</f>
        <v>142</v>
      </c>
      <c r="AN147" s="198">
        <f t="shared" si="6"/>
        <v>2962</v>
      </c>
      <c r="AO147" s="177">
        <f t="shared" ca="1" si="22"/>
        <v>83.285714285714292</v>
      </c>
      <c r="AP147" s="211">
        <f t="shared" si="49"/>
        <v>520.66324395001539</v>
      </c>
      <c r="AQ147" s="200">
        <f t="shared" si="51"/>
        <v>0.1785743339469599</v>
      </c>
      <c r="AR147" s="213">
        <f t="shared" si="52"/>
        <v>2.2500203376287193</v>
      </c>
      <c r="AS147" s="217">
        <f t="shared" ca="1" si="53"/>
        <v>1.5209070518294345</v>
      </c>
      <c r="AT147" s="176">
        <f>DANE!AI147</f>
        <v>62</v>
      </c>
      <c r="AU147" s="198">
        <f t="shared" si="7"/>
        <v>6007</v>
      </c>
      <c r="AV147" s="177">
        <f t="shared" ca="1" si="23"/>
        <v>57.714285714285715</v>
      </c>
      <c r="AW147" s="211">
        <f t="shared" si="33"/>
        <v>350.07448783258599</v>
      </c>
      <c r="AX147" s="200">
        <f t="shared" si="34"/>
        <v>4.1618954081163749E-2</v>
      </c>
      <c r="AY147" s="213">
        <f t="shared" si="35"/>
        <v>1.2913326785681463</v>
      </c>
      <c r="AZ147" s="214">
        <f t="shared" ca="1" si="36"/>
        <v>1.4289791038628326</v>
      </c>
      <c r="BA147" s="176">
        <f>DANE!AM147</f>
        <v>20</v>
      </c>
      <c r="BB147" s="198">
        <f t="shared" si="8"/>
        <v>1113</v>
      </c>
      <c r="BC147" s="177">
        <f t="shared" ca="1" si="24"/>
        <v>12.142857142857142</v>
      </c>
      <c r="BD147" s="211">
        <f t="shared" si="77"/>
        <v>73.229496183555852</v>
      </c>
      <c r="BE147" s="200">
        <f t="shared" si="80"/>
        <v>0.17919845360655406</v>
      </c>
      <c r="BF147" s="213">
        <f t="shared" si="81"/>
        <v>2.2543891752458785</v>
      </c>
      <c r="BG147" s="217">
        <f t="shared" ca="1" si="82"/>
        <v>1.9329709930264041</v>
      </c>
      <c r="BH147" s="176">
        <f>DANE!AQ147</f>
        <v>21</v>
      </c>
      <c r="BI147" s="198">
        <f t="shared" si="9"/>
        <v>1171</v>
      </c>
      <c r="BJ147" s="177">
        <f t="shared" ca="1" si="25"/>
        <v>16</v>
      </c>
      <c r="BK147" s="211">
        <f t="shared" si="61"/>
        <v>129.07748507995674</v>
      </c>
      <c r="BL147" s="200">
        <f t="shared" si="63"/>
        <v>2.3690033797490091E-2</v>
      </c>
      <c r="BM147" s="213">
        <f t="shared" si="64"/>
        <v>1.1658302365824307</v>
      </c>
      <c r="BN147" s="214">
        <f t="shared" ca="1" si="65"/>
        <v>0.77642390032972397</v>
      </c>
      <c r="BO147" s="176">
        <f>DANE!AU147</f>
        <v>9</v>
      </c>
      <c r="BP147" s="198">
        <f t="shared" si="10"/>
        <v>938</v>
      </c>
      <c r="BQ147" s="177">
        <f t="shared" ca="1" si="26"/>
        <v>3.8571428571428572</v>
      </c>
      <c r="BR147" s="211">
        <f t="shared" si="78"/>
        <v>29.015356304346284</v>
      </c>
      <c r="BS147" s="200">
        <f t="shared" si="83"/>
        <v>0.24256121277865347</v>
      </c>
      <c r="BT147" s="213">
        <f t="shared" si="84"/>
        <v>2.6979284894505744</v>
      </c>
      <c r="BU147" s="217">
        <f t="shared" ca="1" si="85"/>
        <v>1.2362927435845517</v>
      </c>
      <c r="BV147" s="176">
        <f>DANE!AY147</f>
        <v>23</v>
      </c>
      <c r="BW147" s="198">
        <f t="shared" si="11"/>
        <v>810</v>
      </c>
      <c r="BX147" s="177">
        <f t="shared" ca="1" si="27"/>
        <v>9.8571428571428577</v>
      </c>
      <c r="BY147" s="211">
        <f t="shared" si="69"/>
        <v>64.660102620577646</v>
      </c>
      <c r="BZ147" s="200">
        <f t="shared" si="71"/>
        <v>0.330360263586499</v>
      </c>
      <c r="CA147" s="213">
        <f t="shared" si="72"/>
        <v>3.312521845105493</v>
      </c>
      <c r="CB147" s="214">
        <f t="shared" ca="1" si="73"/>
        <v>1.663157005540423</v>
      </c>
      <c r="CC147" s="176">
        <f>DANE!BC147</f>
        <v>188</v>
      </c>
      <c r="CD147" s="198">
        <f t="shared" si="12"/>
        <v>15156</v>
      </c>
      <c r="CE147" s="177">
        <f t="shared" ca="1" si="28"/>
        <v>120.71428571428571</v>
      </c>
      <c r="CF147" s="211">
        <f t="shared" si="45"/>
        <v>826.54075709597453</v>
      </c>
      <c r="CG147" s="200">
        <f t="shared" si="46"/>
        <v>0.10950397168740139</v>
      </c>
      <c r="CH147" s="213">
        <f t="shared" si="47"/>
        <v>1.7665278018118098</v>
      </c>
      <c r="CI147" s="217">
        <f t="shared" ca="1" si="48"/>
        <v>1.3343743826978347</v>
      </c>
      <c r="CJ147" s="176">
        <f>DANE!BG147</f>
        <v>7</v>
      </c>
      <c r="CK147" s="198">
        <f t="shared" si="13"/>
        <v>944</v>
      </c>
      <c r="CL147" s="177">
        <f t="shared" ca="1" si="29"/>
        <v>9.4285714285714288</v>
      </c>
      <c r="CM147" s="211">
        <f t="shared" si="79"/>
        <v>51.549033233084899</v>
      </c>
      <c r="CN147" s="200">
        <f t="shared" si="86"/>
        <v>-8.1740854581772004E-3</v>
      </c>
      <c r="CO147" s="213">
        <f t="shared" si="87"/>
        <v>0.9427814017927596</v>
      </c>
      <c r="CP147" s="214">
        <f t="shared" ca="1" si="88"/>
        <v>1.7650509005432382</v>
      </c>
      <c r="CQ147" s="176">
        <f>DANE!BK147</f>
        <v>2</v>
      </c>
      <c r="CR147" s="198">
        <f t="shared" si="14"/>
        <v>334</v>
      </c>
      <c r="CS147" s="177">
        <f t="shared" ca="1" si="30"/>
        <v>6</v>
      </c>
      <c r="CT147" s="211">
        <f t="shared" si="89"/>
        <v>31.554958818978793</v>
      </c>
      <c r="CU147" s="200">
        <f t="shared" si="90"/>
        <v>-8.4853823522964569E-2</v>
      </c>
      <c r="CV147" s="213">
        <f t="shared" si="91"/>
        <v>0.406023235339248</v>
      </c>
      <c r="CW147" s="217">
        <f t="shared" ca="1" si="92"/>
        <v>2.0381087562903821</v>
      </c>
      <c r="CX147" s="176">
        <f>DANE!BO147</f>
        <v>34</v>
      </c>
      <c r="CY147" s="198">
        <f t="shared" si="15"/>
        <v>3560</v>
      </c>
      <c r="CZ147" s="177">
        <f t="shared" ca="1" si="31"/>
        <v>23.142857142857142</v>
      </c>
      <c r="DA147" s="211">
        <f t="shared" si="54"/>
        <v>185.76081837407526</v>
      </c>
      <c r="DB147" s="200">
        <f t="shared" si="58"/>
        <v>4.9174354172762037E-2</v>
      </c>
      <c r="DC147" s="213">
        <f t="shared" si="59"/>
        <v>1.3442204792093344</v>
      </c>
      <c r="DD147" s="214">
        <f t="shared" ca="1" si="60"/>
        <v>0.78239725961624551</v>
      </c>
      <c r="DE147" s="176">
        <f>DANE!BS147</f>
        <v>1</v>
      </c>
      <c r="DF147" s="198">
        <f t="shared" si="16"/>
        <v>688</v>
      </c>
      <c r="DG147" s="177">
        <f t="shared" ca="1" si="32"/>
        <v>5</v>
      </c>
      <c r="DH147" s="211">
        <f t="shared" si="70"/>
        <v>29.240251728723056</v>
      </c>
      <c r="DI147" s="200">
        <f t="shared" si="74"/>
        <v>-0.11250532923392846</v>
      </c>
      <c r="DJ147" s="157">
        <f t="shared" si="75"/>
        <v>0.21246269536250073</v>
      </c>
      <c r="DK147" s="225">
        <f t="shared" ca="1" si="76"/>
        <v>1.4182466932222602</v>
      </c>
      <c r="DL147" s="88"/>
      <c r="DM147" s="88"/>
      <c r="DN147" s="88"/>
      <c r="DO147" s="88"/>
      <c r="DP147" s="8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</row>
    <row r="148" spans="1:138" x14ac:dyDescent="0.25">
      <c r="A148" s="61">
        <v>44038</v>
      </c>
      <c r="B148" s="62" t="str">
        <f t="shared" ca="1" si="0"/>
        <v/>
      </c>
      <c r="C148" s="12">
        <f t="shared" si="93"/>
        <v>145</v>
      </c>
      <c r="D148" s="176">
        <f>DANE!K148</f>
        <v>10</v>
      </c>
      <c r="E148" s="198">
        <f t="shared" si="1"/>
        <v>3161</v>
      </c>
      <c r="F148" s="178">
        <f t="shared" ca="1" si="17"/>
        <v>15.714285714285714</v>
      </c>
      <c r="G148" s="211">
        <f t="shared" si="38"/>
        <v>96.163425967363395</v>
      </c>
      <c r="H148" s="200">
        <f t="shared" si="42"/>
        <v>-4.3378408403440614E-2</v>
      </c>
      <c r="I148" s="213">
        <f t="shared" si="43"/>
        <v>0.69635114117591568</v>
      </c>
      <c r="J148" s="214">
        <f t="shared" ca="1" si="44"/>
        <v>1.4275454436040906</v>
      </c>
      <c r="K148" s="176">
        <f>DANE!O148</f>
        <v>10</v>
      </c>
      <c r="L148" s="198">
        <f t="shared" si="2"/>
        <v>749</v>
      </c>
      <c r="M148" s="177">
        <f t="shared" ca="1" si="18"/>
        <v>4.1428571428571432</v>
      </c>
      <c r="N148" s="211">
        <f t="shared" si="62"/>
        <v>29.400967874212803</v>
      </c>
      <c r="O148" s="200">
        <f t="shared" si="66"/>
        <v>0.29894703036771275</v>
      </c>
      <c r="P148" s="213">
        <f t="shared" si="67"/>
        <v>3.0926292125739896</v>
      </c>
      <c r="Q148" s="217">
        <f t="shared" ca="1" si="68"/>
        <v>1.4889733948703598</v>
      </c>
      <c r="R148" s="176">
        <f>DANE!S148</f>
        <v>13</v>
      </c>
      <c r="S148" s="198">
        <f t="shared" si="3"/>
        <v>924</v>
      </c>
      <c r="T148" s="177">
        <f t="shared" ca="1" si="19"/>
        <v>6</v>
      </c>
      <c r="U148" s="211">
        <f t="shared" si="50"/>
        <v>61.193541564891589</v>
      </c>
      <c r="V148" s="200">
        <f t="shared" si="55"/>
        <v>8.8353446384436887E-2</v>
      </c>
      <c r="W148" s="213">
        <f t="shared" si="56"/>
        <v>1.6184741246910583</v>
      </c>
      <c r="X148" s="214">
        <f t="shared" ca="1" si="57"/>
        <v>0.75824335599517612</v>
      </c>
      <c r="Y148" s="176">
        <f>DANE!W148</f>
        <v>5</v>
      </c>
      <c r="Z148" s="198">
        <f t="shared" si="4"/>
        <v>362</v>
      </c>
      <c r="AA148" s="177">
        <f t="shared" ca="1" si="20"/>
        <v>7.5714285714285712</v>
      </c>
      <c r="AB148" s="211">
        <f t="shared" si="94"/>
        <v>61.396387176168965</v>
      </c>
      <c r="AC148" s="200">
        <f t="shared" si="95"/>
        <v>-6.6864433034672571E-2</v>
      </c>
      <c r="AD148" s="213">
        <f t="shared" si="96"/>
        <v>0.53194896875729203</v>
      </c>
      <c r="AE148" s="217">
        <f t="shared" ca="1" si="97"/>
        <v>0.72081481392659896</v>
      </c>
      <c r="AF148" s="176">
        <f>DANE!AA148</f>
        <v>22</v>
      </c>
      <c r="AG148" s="198">
        <f t="shared" si="5"/>
        <v>3803</v>
      </c>
      <c r="AH148" s="177">
        <f t="shared" ca="1" si="21"/>
        <v>27.428571428571427</v>
      </c>
      <c r="AI148" s="211">
        <f t="shared" si="37"/>
        <v>195.25651967155233</v>
      </c>
      <c r="AJ148" s="200">
        <f t="shared" si="39"/>
        <v>-3.4017701242530361E-2</v>
      </c>
      <c r="AK148" s="213">
        <f t="shared" si="40"/>
        <v>0.76187609130228751</v>
      </c>
      <c r="AL148" s="214">
        <f t="shared" ca="1" si="41"/>
        <v>0.99297438019198192</v>
      </c>
      <c r="AM148" s="176">
        <f>DANE!AE148</f>
        <v>109</v>
      </c>
      <c r="AN148" s="198">
        <f t="shared" si="6"/>
        <v>3071</v>
      </c>
      <c r="AO148" s="177">
        <f t="shared" ca="1" si="22"/>
        <v>82.428571428571431</v>
      </c>
      <c r="AP148" s="211">
        <f t="shared" si="49"/>
        <v>555.28278052858468</v>
      </c>
      <c r="AQ148" s="200">
        <f t="shared" si="51"/>
        <v>6.649122437744584E-2</v>
      </c>
      <c r="AR148" s="213">
        <f t="shared" si="52"/>
        <v>1.4654385706421209</v>
      </c>
      <c r="AS148" s="217">
        <f t="shared" ca="1" si="53"/>
        <v>1.3737180937166202</v>
      </c>
      <c r="AT148" s="176">
        <f>DANE!AI148</f>
        <v>54</v>
      </c>
      <c r="AU148" s="198">
        <f t="shared" si="7"/>
        <v>6061</v>
      </c>
      <c r="AV148" s="177">
        <f t="shared" ca="1" si="23"/>
        <v>58.714285714285715</v>
      </c>
      <c r="AW148" s="211">
        <f t="shared" si="33"/>
        <v>354.06384671364515</v>
      </c>
      <c r="AX148" s="200">
        <f t="shared" si="34"/>
        <v>1.1395742962471941E-2</v>
      </c>
      <c r="AY148" s="213">
        <f t="shared" si="35"/>
        <v>1.0797702007373036</v>
      </c>
      <c r="AZ148" s="214">
        <f t="shared" ca="1" si="36"/>
        <v>1.3830315728692304</v>
      </c>
      <c r="BA148" s="176">
        <f>DANE!AM148</f>
        <v>16</v>
      </c>
      <c r="BB148" s="198">
        <f t="shared" si="8"/>
        <v>1129</v>
      </c>
      <c r="BC148" s="177">
        <f t="shared" ca="1" si="24"/>
        <v>13.285714285714286</v>
      </c>
      <c r="BD148" s="211">
        <f t="shared" si="77"/>
        <v>78.768139585905018</v>
      </c>
      <c r="BE148" s="200">
        <f t="shared" si="80"/>
        <v>7.5634050362248753E-2</v>
      </c>
      <c r="BF148" s="213">
        <f t="shared" si="81"/>
        <v>1.5294383525357413</v>
      </c>
      <c r="BG148" s="217">
        <f t="shared" ca="1" si="82"/>
        <v>1.9079408713598269</v>
      </c>
      <c r="BH148" s="176">
        <f>DANE!AQ148</f>
        <v>12</v>
      </c>
      <c r="BI148" s="198">
        <f t="shared" si="9"/>
        <v>1183</v>
      </c>
      <c r="BJ148" s="177">
        <f t="shared" ca="1" si="25"/>
        <v>15.285714285714286</v>
      </c>
      <c r="BK148" s="211">
        <f t="shared" si="61"/>
        <v>122.63784435424864</v>
      </c>
      <c r="BL148" s="200">
        <f t="shared" si="63"/>
        <v>-4.9889728806840963E-2</v>
      </c>
      <c r="BM148" s="213">
        <f t="shared" si="64"/>
        <v>0.65077189835211324</v>
      </c>
      <c r="BN148" s="214">
        <f t="shared" ca="1" si="65"/>
        <v>0.76515920277819249</v>
      </c>
      <c r="BO148" s="176">
        <f>DANE!AU148</f>
        <v>2</v>
      </c>
      <c r="BP148" s="198">
        <f t="shared" si="10"/>
        <v>940</v>
      </c>
      <c r="BQ148" s="177">
        <f t="shared" ca="1" si="26"/>
        <v>4.1428571428571432</v>
      </c>
      <c r="BR148" s="211">
        <f t="shared" si="78"/>
        <v>26.870305403725389</v>
      </c>
      <c r="BS148" s="200">
        <f t="shared" si="83"/>
        <v>-7.3928125442305259E-2</v>
      </c>
      <c r="BT148" s="213">
        <f t="shared" si="84"/>
        <v>0.48250312190386313</v>
      </c>
      <c r="BU148" s="217">
        <f t="shared" ca="1" si="85"/>
        <v>1.3052217609993892</v>
      </c>
      <c r="BV148" s="176">
        <f>DANE!AY148</f>
        <v>19</v>
      </c>
      <c r="BW148" s="198">
        <f t="shared" si="11"/>
        <v>829</v>
      </c>
      <c r="BX148" s="177">
        <f t="shared" ca="1" si="27"/>
        <v>12</v>
      </c>
      <c r="BY148" s="211">
        <f t="shared" si="69"/>
        <v>74.422945103352276</v>
      </c>
      <c r="BZ148" s="200">
        <f t="shared" si="71"/>
        <v>0.15098711704901735</v>
      </c>
      <c r="CA148" s="213">
        <f t="shared" si="72"/>
        <v>2.0569098193431214</v>
      </c>
      <c r="CB148" s="214">
        <f t="shared" ca="1" si="73"/>
        <v>1.8497287474823507</v>
      </c>
      <c r="CC148" s="176">
        <f>DANE!BC148</f>
        <v>133</v>
      </c>
      <c r="CD148" s="198">
        <f t="shared" si="12"/>
        <v>15289</v>
      </c>
      <c r="CE148" s="177">
        <f t="shared" ca="1" si="28"/>
        <v>131.85714285714286</v>
      </c>
      <c r="CF148" s="211">
        <f t="shared" si="45"/>
        <v>841.46350608226396</v>
      </c>
      <c r="CG148" s="200">
        <f t="shared" si="46"/>
        <v>1.8054462357936289E-2</v>
      </c>
      <c r="CH148" s="213">
        <f t="shared" si="47"/>
        <v>1.1263812365055541</v>
      </c>
      <c r="CI148" s="217">
        <f t="shared" ca="1" si="48"/>
        <v>1.4045418526500104</v>
      </c>
      <c r="CJ148" s="176">
        <f>DANE!BG148</f>
        <v>3</v>
      </c>
      <c r="CK148" s="198">
        <f t="shared" si="13"/>
        <v>947</v>
      </c>
      <c r="CL148" s="177">
        <f t="shared" ca="1" si="29"/>
        <v>9</v>
      </c>
      <c r="CM148" s="211">
        <f t="shared" si="79"/>
        <v>47.184885628358487</v>
      </c>
      <c r="CN148" s="200">
        <f t="shared" si="86"/>
        <v>-8.4660125147127688E-2</v>
      </c>
      <c r="CO148" s="213">
        <f t="shared" si="87"/>
        <v>0.40737912397010612</v>
      </c>
      <c r="CP148" s="214">
        <f t="shared" ca="1" si="88"/>
        <v>1.6192721154451839</v>
      </c>
      <c r="CQ148" s="176">
        <f>DANE!BK148</f>
        <v>4</v>
      </c>
      <c r="CR148" s="198">
        <f t="shared" si="14"/>
        <v>338</v>
      </c>
      <c r="CS148" s="177">
        <f t="shared" ca="1" si="30"/>
        <v>6.2857142857142856</v>
      </c>
      <c r="CT148" s="211">
        <f t="shared" si="89"/>
        <v>31.047107559124683</v>
      </c>
      <c r="CU148" s="200">
        <f t="shared" si="90"/>
        <v>-1.6094182304831978E-2</v>
      </c>
      <c r="CV148" s="213">
        <f t="shared" si="91"/>
        <v>0.88734072386617613</v>
      </c>
      <c r="CW148" s="217">
        <f t="shared" ca="1" si="92"/>
        <v>2.0213077057770961</v>
      </c>
      <c r="CX148" s="176">
        <f>DANE!BO148</f>
        <v>24</v>
      </c>
      <c r="CY148" s="198">
        <f t="shared" si="15"/>
        <v>3584</v>
      </c>
      <c r="CZ148" s="177">
        <f t="shared" ca="1" si="31"/>
        <v>23.571428571428573</v>
      </c>
      <c r="DA148" s="211">
        <f t="shared" si="54"/>
        <v>183.22355860635022</v>
      </c>
      <c r="DB148" s="200">
        <f t="shared" si="58"/>
        <v>-1.3658745638252055E-2</v>
      </c>
      <c r="DC148" s="213">
        <f t="shared" si="59"/>
        <v>0.90438878053223559</v>
      </c>
      <c r="DD148" s="214">
        <f t="shared" ca="1" si="60"/>
        <v>0.82154576925234146</v>
      </c>
      <c r="DE148" s="176">
        <f>DANE!BS148</f>
        <v>7</v>
      </c>
      <c r="DF148" s="198">
        <f t="shared" si="16"/>
        <v>695</v>
      </c>
      <c r="DG148" s="177">
        <f t="shared" ca="1" si="32"/>
        <v>5.5714285714285712</v>
      </c>
      <c r="DH148" s="211">
        <f t="shared" si="70"/>
        <v>32.06307291033405</v>
      </c>
      <c r="DI148" s="200">
        <f t="shared" si="74"/>
        <v>9.653888098501226E-2</v>
      </c>
      <c r="DJ148" s="157">
        <f t="shared" si="75"/>
        <v>1.675772166895086</v>
      </c>
      <c r="DK148" s="225">
        <f t="shared" ca="1" si="76"/>
        <v>1.5091539786150054</v>
      </c>
      <c r="DL148" s="88"/>
      <c r="DM148" s="88"/>
      <c r="DN148" s="88"/>
      <c r="DO148" s="88"/>
      <c r="DP148" s="8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</row>
    <row r="149" spans="1:138" x14ac:dyDescent="0.25">
      <c r="A149" s="32">
        <v>44039</v>
      </c>
      <c r="B149" s="33" t="str">
        <f t="shared" ca="1" si="0"/>
        <v/>
      </c>
      <c r="C149" s="51">
        <f t="shared" si="93"/>
        <v>146</v>
      </c>
      <c r="D149" s="176">
        <f>DANE!K149</f>
        <v>9</v>
      </c>
      <c r="E149" s="188">
        <f t="shared" si="1"/>
        <v>3170</v>
      </c>
      <c r="F149" s="178">
        <f t="shared" ca="1" si="17"/>
        <v>13.857142857142858</v>
      </c>
      <c r="G149" s="209">
        <f t="shared" si="38"/>
        <v>91.425793686311494</v>
      </c>
      <c r="H149" s="179">
        <f t="shared" si="42"/>
        <v>-4.9266467301817968E-2</v>
      </c>
      <c r="I149" s="213">
        <f t="shared" si="43"/>
        <v>0.6551347288872742</v>
      </c>
      <c r="J149" s="214">
        <f t="shared" ca="1" si="44"/>
        <v>1.1905460991498023</v>
      </c>
      <c r="K149" s="176">
        <f>DANE!O149</f>
        <v>1</v>
      </c>
      <c r="L149" s="188">
        <f t="shared" si="2"/>
        <v>750</v>
      </c>
      <c r="M149" s="177">
        <f t="shared" ca="1" si="18"/>
        <v>3.7142857142857144</v>
      </c>
      <c r="N149" s="209">
        <f t="shared" si="62"/>
        <v>26.200829606468119</v>
      </c>
      <c r="O149" s="179">
        <f t="shared" si="66"/>
        <v>-0.1088446571363211</v>
      </c>
      <c r="P149" s="213">
        <f t="shared" si="67"/>
        <v>0.23808740004575224</v>
      </c>
      <c r="Q149" s="217">
        <f t="shared" ca="1" si="68"/>
        <v>1.3265513262700861</v>
      </c>
      <c r="R149" s="176">
        <f>DANE!S149</f>
        <v>3</v>
      </c>
      <c r="S149" s="188">
        <f t="shared" si="3"/>
        <v>927</v>
      </c>
      <c r="T149" s="177">
        <f t="shared" ca="1" si="19"/>
        <v>6.4285714285714288</v>
      </c>
      <c r="U149" s="209">
        <f t="shared" si="50"/>
        <v>55.451607055621366</v>
      </c>
      <c r="V149" s="179">
        <f t="shared" si="55"/>
        <v>-9.3832361429535702E-2</v>
      </c>
      <c r="W149" s="213">
        <f t="shared" si="56"/>
        <v>0.34317346999325005</v>
      </c>
      <c r="X149" s="214">
        <f t="shared" ca="1" si="57"/>
        <v>0.80726813742278314</v>
      </c>
      <c r="Y149" s="176">
        <f>DANE!W149</f>
        <v>4</v>
      </c>
      <c r="Z149" s="188">
        <f t="shared" si="4"/>
        <v>366</v>
      </c>
      <c r="AA149" s="177">
        <f t="shared" ca="1" si="20"/>
        <v>6.7142857142857144</v>
      </c>
      <c r="AB149" s="209">
        <f t="shared" si="94"/>
        <v>56.625474722430546</v>
      </c>
      <c r="AC149" s="179">
        <f t="shared" si="95"/>
        <v>-7.7706729551510978E-2</v>
      </c>
      <c r="AD149" s="213">
        <f t="shared" si="96"/>
        <v>0.4560528931394231</v>
      </c>
      <c r="AE149" s="217">
        <f t="shared" ca="1" si="97"/>
        <v>0.66381488206368722</v>
      </c>
      <c r="AF149" s="176">
        <f>DANE!AA149</f>
        <v>18</v>
      </c>
      <c r="AG149" s="188">
        <f t="shared" si="5"/>
        <v>3821</v>
      </c>
      <c r="AH149" s="177">
        <f t="shared" ca="1" si="21"/>
        <v>27.714285714285715</v>
      </c>
      <c r="AI149" s="209">
        <f t="shared" si="37"/>
        <v>185.36273114704485</v>
      </c>
      <c r="AJ149" s="179">
        <f t="shared" si="39"/>
        <v>-5.0670720450974704E-2</v>
      </c>
      <c r="AK149" s="213">
        <f t="shared" si="40"/>
        <v>0.64530495684317701</v>
      </c>
      <c r="AL149" s="214">
        <f t="shared" ca="1" si="41"/>
        <v>1.0040966003537746</v>
      </c>
      <c r="AM149" s="176">
        <f>DANE!AE149</f>
        <v>61</v>
      </c>
      <c r="AN149" s="188">
        <f t="shared" si="6"/>
        <v>3132</v>
      </c>
      <c r="AO149" s="177">
        <f t="shared" ca="1" si="22"/>
        <v>85.428571428571431</v>
      </c>
      <c r="AP149" s="209">
        <f t="shared" si="49"/>
        <v>536.95666902450125</v>
      </c>
      <c r="AQ149" s="179">
        <f t="shared" si="51"/>
        <v>-3.3003205117649134E-2</v>
      </c>
      <c r="AR149" s="213">
        <f t="shared" si="52"/>
        <v>0.76897756417645602</v>
      </c>
      <c r="AS149" s="217">
        <f t="shared" ca="1" si="53"/>
        <v>1.3813927386583369</v>
      </c>
      <c r="AT149" s="176">
        <f>DANE!AI149</f>
        <v>58</v>
      </c>
      <c r="AU149" s="188">
        <f t="shared" si="7"/>
        <v>6119</v>
      </c>
      <c r="AV149" s="177">
        <f t="shared" ca="1" si="23"/>
        <v>59.285714285714285</v>
      </c>
      <c r="AW149" s="209">
        <f t="shared" si="33"/>
        <v>361.48329718312442</v>
      </c>
      <c r="AX149" s="179">
        <f t="shared" si="34"/>
        <v>2.095512020881328E-2</v>
      </c>
      <c r="AY149" s="213">
        <f t="shared" si="35"/>
        <v>1.1466858414616929</v>
      </c>
      <c r="AZ149" s="214">
        <f t="shared" ca="1" si="36"/>
        <v>1.3293009566886373</v>
      </c>
      <c r="BA149" s="176">
        <f>DANE!AM149</f>
        <v>1</v>
      </c>
      <c r="BB149" s="188">
        <f t="shared" si="8"/>
        <v>1130</v>
      </c>
      <c r="BC149" s="177">
        <f t="shared" ca="1" si="24"/>
        <v>12.857142857142858</v>
      </c>
      <c r="BD149" s="209">
        <f t="shared" si="77"/>
        <v>68.515548216490018</v>
      </c>
      <c r="BE149" s="179">
        <f t="shared" si="80"/>
        <v>-0.13016165448764294</v>
      </c>
      <c r="BF149" s="213">
        <f t="shared" si="81"/>
        <v>8.8868418586499409E-2</v>
      </c>
      <c r="BG149" s="217">
        <f t="shared" ca="1" si="82"/>
        <v>1.8100116473626595</v>
      </c>
      <c r="BH149" s="176">
        <f>DANE!AQ149</f>
        <v>6</v>
      </c>
      <c r="BI149" s="188">
        <f t="shared" si="9"/>
        <v>1189</v>
      </c>
      <c r="BJ149" s="177">
        <f t="shared" ca="1" si="25"/>
        <v>13</v>
      </c>
      <c r="BK149" s="209">
        <f t="shared" si="61"/>
        <v>111.11815230364171</v>
      </c>
      <c r="BL149" s="179">
        <f t="shared" si="63"/>
        <v>-9.3932603848869339E-2</v>
      </c>
      <c r="BM149" s="213">
        <f t="shared" si="64"/>
        <v>0.34247177305791454</v>
      </c>
      <c r="BN149" s="214">
        <f t="shared" ca="1" si="65"/>
        <v>0.67377572524816653</v>
      </c>
      <c r="BO149" s="176">
        <f>DANE!AU149</f>
        <v>7</v>
      </c>
      <c r="BP149" s="188">
        <f t="shared" si="10"/>
        <v>947</v>
      </c>
      <c r="BQ149" s="177">
        <f t="shared" ca="1" si="26"/>
        <v>4.5714285714285712</v>
      </c>
      <c r="BR149" s="209">
        <f t="shared" si="78"/>
        <v>30.031690346050336</v>
      </c>
      <c r="BS149" s="179">
        <f t="shared" si="83"/>
        <v>0.11765348010844126</v>
      </c>
      <c r="BT149" s="213">
        <f t="shared" si="84"/>
        <v>1.8235743607590889</v>
      </c>
      <c r="BU149" s="217">
        <f t="shared" ca="1" si="85"/>
        <v>1.3718430911594872</v>
      </c>
      <c r="BV149" s="176">
        <f>DANE!AY149</f>
        <v>3</v>
      </c>
      <c r="BW149" s="188">
        <f t="shared" si="11"/>
        <v>832</v>
      </c>
      <c r="BX149" s="177">
        <f t="shared" ca="1" si="27"/>
        <v>12.285714285714286</v>
      </c>
      <c r="BY149" s="209">
        <f t="shared" si="69"/>
        <v>66.791095802873386</v>
      </c>
      <c r="BZ149" s="179">
        <f t="shared" si="71"/>
        <v>-0.10254699393957636</v>
      </c>
      <c r="CA149" s="213">
        <f t="shared" si="72"/>
        <v>0.28217104242296542</v>
      </c>
      <c r="CB149" s="214">
        <f t="shared" ca="1" si="73"/>
        <v>1.8622312419563323</v>
      </c>
      <c r="CC149" s="176">
        <f>DANE!BC149</f>
        <v>150</v>
      </c>
      <c r="CD149" s="188">
        <f t="shared" si="12"/>
        <v>15439</v>
      </c>
      <c r="CE149" s="177">
        <f t="shared" ca="1" si="28"/>
        <v>145.42857142857142</v>
      </c>
      <c r="CF149" s="209">
        <f t="shared" si="45"/>
        <v>871.2544337847977</v>
      </c>
      <c r="CG149" s="179">
        <f t="shared" si="46"/>
        <v>3.5403707335135801E-2</v>
      </c>
      <c r="CH149" s="213">
        <f t="shared" si="47"/>
        <v>1.2478259513459506</v>
      </c>
      <c r="CI149" s="217">
        <f t="shared" ca="1" si="48"/>
        <v>1.4870696291848555</v>
      </c>
      <c r="CJ149" s="176">
        <f>DANE!BG149</f>
        <v>2</v>
      </c>
      <c r="CK149" s="188">
        <f t="shared" si="13"/>
        <v>949</v>
      </c>
      <c r="CL149" s="177">
        <f t="shared" ca="1" si="29"/>
        <v>8.5714285714285712</v>
      </c>
      <c r="CM149" s="209">
        <f t="shared" si="79"/>
        <v>42.444187681450131</v>
      </c>
      <c r="CN149" s="179">
        <f t="shared" si="86"/>
        <v>-0.10047068852190157</v>
      </c>
      <c r="CO149" s="213">
        <f t="shared" si="87"/>
        <v>0.29670518034668902</v>
      </c>
      <c r="CP149" s="214">
        <f t="shared" ca="1" si="88"/>
        <v>1.5014692883279135</v>
      </c>
      <c r="CQ149" s="176">
        <f>DANE!BK149</f>
        <v>0</v>
      </c>
      <c r="CR149" s="188">
        <f t="shared" si="14"/>
        <v>338</v>
      </c>
      <c r="CS149" s="177">
        <f t="shared" ca="1" si="30"/>
        <v>5.7142857142857144</v>
      </c>
      <c r="CT149" s="209">
        <f t="shared" si="89"/>
        <v>26.611806479249729</v>
      </c>
      <c r="CU149" s="179">
        <f t="shared" si="90"/>
        <v>-0.14285714285714282</v>
      </c>
      <c r="CV149" s="213">
        <f t="shared" si="91"/>
        <v>2.2204460492503131E-16</v>
      </c>
      <c r="CW149" s="217">
        <f t="shared" ca="1" si="92"/>
        <v>1.7343825019506907</v>
      </c>
      <c r="CX149" s="176">
        <f>DANE!BO149</f>
        <v>12</v>
      </c>
      <c r="CY149" s="188">
        <f t="shared" si="15"/>
        <v>3596</v>
      </c>
      <c r="CZ149" s="177">
        <f t="shared" ca="1" si="31"/>
        <v>20.428571428571427</v>
      </c>
      <c r="DA149" s="209">
        <f t="shared" si="54"/>
        <v>169.04876451972876</v>
      </c>
      <c r="DB149" s="179">
        <f t="shared" si="58"/>
        <v>-7.7363381622095537E-2</v>
      </c>
      <c r="DC149" s="213">
        <f t="shared" si="59"/>
        <v>0.45845632864533126</v>
      </c>
      <c r="DD149" s="214">
        <f t="shared" ca="1" si="60"/>
        <v>0.73311620611832562</v>
      </c>
      <c r="DE149" s="176">
        <f>DANE!BS149</f>
        <v>2</v>
      </c>
      <c r="DF149" s="188">
        <f t="shared" si="16"/>
        <v>697</v>
      </c>
      <c r="DG149" s="177">
        <f t="shared" ca="1" si="32"/>
        <v>5.2857142857142856</v>
      </c>
      <c r="DH149" s="209">
        <f t="shared" si="70"/>
        <v>29.482633923143474</v>
      </c>
      <c r="DI149" s="179">
        <f t="shared" si="74"/>
        <v>-8.0480089803210669E-2</v>
      </c>
      <c r="DJ149" s="157">
        <f t="shared" si="75"/>
        <v>0.43663937137752529</v>
      </c>
      <c r="DK149" s="225">
        <f t="shared" ca="1" si="76"/>
        <v>1.3746547745316409</v>
      </c>
      <c r="DL149" s="89"/>
      <c r="DM149" s="89"/>
      <c r="DN149" s="89"/>
      <c r="DO149" s="89"/>
      <c r="DP149" s="89"/>
      <c r="DQ149" s="89"/>
      <c r="DR149" s="89"/>
      <c r="DS149" s="89"/>
      <c r="DT149" s="89"/>
      <c r="DU149" s="89"/>
      <c r="DV149" s="89"/>
      <c r="DW149" s="89"/>
      <c r="DX149" s="89"/>
      <c r="DY149" s="89"/>
      <c r="DZ149" s="89"/>
      <c r="EA149" s="89"/>
      <c r="EB149" s="89"/>
      <c r="EC149" s="89"/>
      <c r="ED149" s="89"/>
      <c r="EE149" s="89"/>
      <c r="EF149" s="89"/>
      <c r="EG149" s="89"/>
      <c r="EH149" s="89"/>
    </row>
    <row r="150" spans="1:138" x14ac:dyDescent="0.25">
      <c r="A150" s="32">
        <v>44040</v>
      </c>
      <c r="B150" s="33" t="str">
        <f t="shared" ca="1" si="0"/>
        <v/>
      </c>
      <c r="C150" s="51">
        <f t="shared" si="93"/>
        <v>147</v>
      </c>
      <c r="D150" s="176">
        <f>DANE!K150</f>
        <v>31</v>
      </c>
      <c r="E150" s="188">
        <f t="shared" si="1"/>
        <v>3201</v>
      </c>
      <c r="F150" s="178">
        <f t="shared" ca="1" si="17"/>
        <v>17.857142857142858</v>
      </c>
      <c r="G150" s="209">
        <f t="shared" si="38"/>
        <v>109.36496601683842</v>
      </c>
      <c r="H150" s="179">
        <f t="shared" si="42"/>
        <v>0.19621565870215496</v>
      </c>
      <c r="I150" s="213">
        <f t="shared" si="43"/>
        <v>2.3735096109150851</v>
      </c>
      <c r="J150" s="214">
        <f t="shared" ca="1" si="44"/>
        <v>1.4916638536263618</v>
      </c>
      <c r="K150" s="176">
        <f>DANE!O150</f>
        <v>4</v>
      </c>
      <c r="L150" s="188">
        <f t="shared" si="2"/>
        <v>754</v>
      </c>
      <c r="M150" s="177">
        <f t="shared" ca="1" si="18"/>
        <v>4.2857142857142856</v>
      </c>
      <c r="N150" s="209">
        <f t="shared" si="62"/>
        <v>26.457853948401247</v>
      </c>
      <c r="O150" s="179">
        <f t="shared" si="66"/>
        <v>9.8097787663058416E-3</v>
      </c>
      <c r="P150" s="213">
        <f t="shared" si="67"/>
        <v>1.0686684513641409</v>
      </c>
      <c r="Q150" s="217">
        <f t="shared" ca="1" si="68"/>
        <v>1.4792182478935347</v>
      </c>
      <c r="R150" s="176">
        <f>DANE!S150</f>
        <v>0</v>
      </c>
      <c r="S150" s="188">
        <f t="shared" si="3"/>
        <v>927</v>
      </c>
      <c r="T150" s="177">
        <f t="shared" ca="1" si="19"/>
        <v>6.1428571428571432</v>
      </c>
      <c r="U150" s="209">
        <f t="shared" si="50"/>
        <v>47.529948904818319</v>
      </c>
      <c r="V150" s="179">
        <f t="shared" si="55"/>
        <v>-0.14285714285714277</v>
      </c>
      <c r="W150" s="213">
        <f t="shared" si="56"/>
        <v>5.5511151231257827E-16</v>
      </c>
      <c r="X150" s="214">
        <f t="shared" ca="1" si="57"/>
        <v>0.77835467861495844</v>
      </c>
      <c r="Y150" s="176">
        <f>DANE!W150</f>
        <v>4</v>
      </c>
      <c r="Z150" s="188">
        <f t="shared" si="4"/>
        <v>370</v>
      </c>
      <c r="AA150" s="177">
        <f t="shared" ca="1" si="20"/>
        <v>6</v>
      </c>
      <c r="AB150" s="209">
        <f t="shared" si="94"/>
        <v>52.536121190654761</v>
      </c>
      <c r="AC150" s="179">
        <f t="shared" si="95"/>
        <v>-7.2217558472068857E-2</v>
      </c>
      <c r="AD150" s="213">
        <f t="shared" si="96"/>
        <v>0.49447709069551793</v>
      </c>
      <c r="AE150" s="217">
        <f t="shared" ca="1" si="97"/>
        <v>0.62219461373844731</v>
      </c>
      <c r="AF150" s="176">
        <f>DANE!AA150</f>
        <v>29</v>
      </c>
      <c r="AG150" s="188">
        <f t="shared" si="5"/>
        <v>3850</v>
      </c>
      <c r="AH150" s="177">
        <f t="shared" ca="1" si="21"/>
        <v>28</v>
      </c>
      <c r="AI150" s="209">
        <f t="shared" si="37"/>
        <v>187.88234098318131</v>
      </c>
      <c r="AJ150" s="179">
        <f t="shared" si="39"/>
        <v>1.3592860984216365E-2</v>
      </c>
      <c r="AK150" s="213">
        <f t="shared" si="40"/>
        <v>1.0951500268895145</v>
      </c>
      <c r="AL150" s="214">
        <f t="shared" ca="1" si="41"/>
        <v>1.0147410062531097</v>
      </c>
      <c r="AM150" s="176">
        <f>DANE!AE150</f>
        <v>91</v>
      </c>
      <c r="AN150" s="188">
        <f t="shared" si="6"/>
        <v>3223</v>
      </c>
      <c r="AO150" s="177">
        <f t="shared" ca="1" si="22"/>
        <v>89.571428571428569</v>
      </c>
      <c r="AP150" s="209">
        <f t="shared" si="49"/>
        <v>551.24857344957252</v>
      </c>
      <c r="AQ150" s="179">
        <f t="shared" si="51"/>
        <v>2.6616494867333751E-2</v>
      </c>
      <c r="AR150" s="213">
        <f t="shared" si="52"/>
        <v>1.1863154640713363</v>
      </c>
      <c r="AS150" s="217">
        <f t="shared" ca="1" si="53"/>
        <v>1.3857728216823879</v>
      </c>
      <c r="AT150" s="176">
        <f>DANE!AI150</f>
        <v>62</v>
      </c>
      <c r="AU150" s="188">
        <f t="shared" si="7"/>
        <v>6181</v>
      </c>
      <c r="AV150" s="177">
        <f t="shared" ca="1" si="23"/>
        <v>59.714285714285715</v>
      </c>
      <c r="AW150" s="209">
        <f t="shared" si="33"/>
        <v>371.84282615696384</v>
      </c>
      <c r="AX150" s="179">
        <f t="shared" si="34"/>
        <v>2.8658389072376327E-2</v>
      </c>
      <c r="AY150" s="213">
        <f t="shared" si="35"/>
        <v>1.2006087235066343</v>
      </c>
      <c r="AZ150" s="214">
        <f t="shared" ca="1" si="36"/>
        <v>1.2796488203520917</v>
      </c>
      <c r="BA150" s="176">
        <f>DANE!AM150</f>
        <v>16</v>
      </c>
      <c r="BB150" s="188">
        <f t="shared" si="8"/>
        <v>1146</v>
      </c>
      <c r="BC150" s="177">
        <f t="shared" ca="1" si="24"/>
        <v>14.571428571428571</v>
      </c>
      <c r="BD150" s="209">
        <f t="shared" si="77"/>
        <v>74.727612756991448</v>
      </c>
      <c r="BE150" s="179">
        <f t="shared" si="80"/>
        <v>9.0666493988678876E-2</v>
      </c>
      <c r="BF150" s="213">
        <f t="shared" si="81"/>
        <v>1.634665457920752</v>
      </c>
      <c r="BG150" s="217">
        <f t="shared" ca="1" si="82"/>
        <v>1.9292261093073915</v>
      </c>
      <c r="BH150" s="176">
        <f>DANE!AQ150</f>
        <v>19</v>
      </c>
      <c r="BI150" s="188">
        <f t="shared" si="9"/>
        <v>1208</v>
      </c>
      <c r="BJ150" s="177">
        <f t="shared" ca="1" si="25"/>
        <v>14.571428571428571</v>
      </c>
      <c r="BK150" s="209">
        <f t="shared" si="61"/>
        <v>114.24413054597861</v>
      </c>
      <c r="BL150" s="179">
        <f t="shared" si="63"/>
        <v>2.8132021434219352E-2</v>
      </c>
      <c r="BM150" s="213">
        <f t="shared" si="64"/>
        <v>1.1969241500395356</v>
      </c>
      <c r="BN150" s="214">
        <f t="shared" ca="1" si="65"/>
        <v>0.79361340101085431</v>
      </c>
      <c r="BO150" s="176">
        <f>DANE!AU150</f>
        <v>8</v>
      </c>
      <c r="BP150" s="188">
        <f t="shared" si="10"/>
        <v>955</v>
      </c>
      <c r="BQ150" s="177">
        <f t="shared" ca="1" si="26"/>
        <v>5.4285714285714288</v>
      </c>
      <c r="BR150" s="209">
        <f t="shared" si="78"/>
        <v>33.74144886804315</v>
      </c>
      <c r="BS150" s="179">
        <f t="shared" si="83"/>
        <v>0.1235281290944953</v>
      </c>
      <c r="BT150" s="213">
        <f t="shared" si="84"/>
        <v>1.8646969036614671</v>
      </c>
      <c r="BU150" s="217">
        <f t="shared" ca="1" si="85"/>
        <v>1.5459907979638481</v>
      </c>
      <c r="BV150" s="176">
        <f>DANE!AY150</f>
        <v>15</v>
      </c>
      <c r="BW150" s="188">
        <f t="shared" si="11"/>
        <v>847</v>
      </c>
      <c r="BX150" s="177">
        <f t="shared" ca="1" si="27"/>
        <v>12.285714285714286</v>
      </c>
      <c r="BY150" s="209">
        <f t="shared" si="69"/>
        <v>72.249510688177196</v>
      </c>
      <c r="BZ150" s="179">
        <f t="shared" si="71"/>
        <v>8.1723691155086375E-2</v>
      </c>
      <c r="CA150" s="213">
        <f t="shared" si="72"/>
        <v>1.5720658380856047</v>
      </c>
      <c r="CB150" s="214">
        <f t="shared" ca="1" si="73"/>
        <v>1.6154695419029979</v>
      </c>
      <c r="CC150" s="176">
        <f>DANE!BC150</f>
        <v>161</v>
      </c>
      <c r="CD150" s="188">
        <f t="shared" si="12"/>
        <v>15600</v>
      </c>
      <c r="CE150" s="177">
        <f t="shared" ca="1" si="28"/>
        <v>148.42857142857142</v>
      </c>
      <c r="CF150" s="209">
        <f t="shared" si="45"/>
        <v>907.78951467268382</v>
      </c>
      <c r="CG150" s="179">
        <f t="shared" si="46"/>
        <v>4.1933882309413181E-2</v>
      </c>
      <c r="CH150" s="213">
        <f t="shared" si="47"/>
        <v>1.2935371761658923</v>
      </c>
      <c r="CI150" s="217">
        <f t="shared" ca="1" si="48"/>
        <v>1.4161251702081767</v>
      </c>
      <c r="CJ150" s="176">
        <f>DANE!BG150</f>
        <v>6</v>
      </c>
      <c r="CK150" s="188">
        <f t="shared" si="13"/>
        <v>955</v>
      </c>
      <c r="CL150" s="177">
        <f t="shared" ca="1" si="29"/>
        <v>5.2857142857142856</v>
      </c>
      <c r="CM150" s="209">
        <f t="shared" si="79"/>
        <v>42.38073229838583</v>
      </c>
      <c r="CN150" s="179">
        <f t="shared" si="86"/>
        <v>-1.4950311581068156E-3</v>
      </c>
      <c r="CO150" s="213">
        <f t="shared" si="87"/>
        <v>0.98953478189325228</v>
      </c>
      <c r="CP150" s="214">
        <f t="shared" ca="1" si="88"/>
        <v>0.72956247125077389</v>
      </c>
      <c r="CQ150" s="176">
        <f>DANE!BK150</f>
        <v>5</v>
      </c>
      <c r="CR150" s="188">
        <f t="shared" si="14"/>
        <v>343</v>
      </c>
      <c r="CS150" s="177">
        <f t="shared" ca="1" si="30"/>
        <v>5.1428571428571432</v>
      </c>
      <c r="CT150" s="209">
        <f t="shared" si="89"/>
        <v>27.810119839356911</v>
      </c>
      <c r="CU150" s="179">
        <f t="shared" si="90"/>
        <v>4.5029388029014641E-2</v>
      </c>
      <c r="CV150" s="213">
        <f t="shared" si="91"/>
        <v>1.3152057162031026</v>
      </c>
      <c r="CW150" s="217">
        <f t="shared" ca="1" si="92"/>
        <v>1.3579829290341858</v>
      </c>
      <c r="CX150" s="176">
        <f>DANE!BO150</f>
        <v>45</v>
      </c>
      <c r="CY150" s="188">
        <f t="shared" si="15"/>
        <v>3641</v>
      </c>
      <c r="CZ150" s="177">
        <f t="shared" ca="1" si="31"/>
        <v>23.571428571428573</v>
      </c>
      <c r="DA150" s="209">
        <f t="shared" si="54"/>
        <v>189.89894101691038</v>
      </c>
      <c r="DB150" s="179">
        <f t="shared" si="58"/>
        <v>0.12333823649298727</v>
      </c>
      <c r="DC150" s="213">
        <f t="shared" si="59"/>
        <v>1.8633676554509109</v>
      </c>
      <c r="DD150" s="214">
        <f t="shared" ca="1" si="60"/>
        <v>0.89632663385691314</v>
      </c>
      <c r="DE150" s="176">
        <f>DANE!BS150</f>
        <v>6</v>
      </c>
      <c r="DF150" s="188">
        <f t="shared" si="16"/>
        <v>703</v>
      </c>
      <c r="DG150" s="177">
        <f t="shared" ca="1" si="32"/>
        <v>5.1428571428571432</v>
      </c>
      <c r="DH150" s="209">
        <f t="shared" si="70"/>
        <v>31.270829076980124</v>
      </c>
      <c r="DI150" s="179">
        <f t="shared" si="74"/>
        <v>6.0652489818182109E-2</v>
      </c>
      <c r="DJ150" s="157">
        <f t="shared" si="75"/>
        <v>1.4245674287272747</v>
      </c>
      <c r="DK150" s="225">
        <f t="shared" ca="1" si="76"/>
        <v>1.251288503988105</v>
      </c>
      <c r="DL150" s="89"/>
      <c r="DM150" s="89"/>
      <c r="DN150" s="89"/>
      <c r="DO150" s="89"/>
      <c r="DP150" s="89"/>
      <c r="DQ150" s="89"/>
      <c r="DR150" s="89"/>
      <c r="DS150" s="89"/>
      <c r="DT150" s="89"/>
      <c r="DU150" s="89"/>
      <c r="DV150" s="89"/>
      <c r="DW150" s="89"/>
      <c r="DX150" s="89"/>
      <c r="DY150" s="89"/>
      <c r="DZ150" s="89"/>
      <c r="EA150" s="89"/>
      <c r="EB150" s="89"/>
      <c r="EC150" s="89"/>
      <c r="ED150" s="89"/>
      <c r="EE150" s="89"/>
      <c r="EF150" s="89"/>
      <c r="EG150" s="89"/>
      <c r="EH150" s="89"/>
    </row>
    <row r="151" spans="1:138" x14ac:dyDescent="0.25">
      <c r="A151" s="32">
        <v>44041</v>
      </c>
      <c r="B151" s="33" t="str">
        <f t="shared" ca="1" si="0"/>
        <v/>
      </c>
      <c r="C151" s="51">
        <f t="shared" si="93"/>
        <v>148</v>
      </c>
      <c r="D151" s="176">
        <f>DANE!K151</f>
        <v>17</v>
      </c>
      <c r="E151" s="188">
        <f t="shared" si="1"/>
        <v>3218</v>
      </c>
      <c r="F151" s="178">
        <f t="shared" ca="1" si="17"/>
        <v>17.714285714285715</v>
      </c>
      <c r="G151" s="209">
        <f t="shared" si="38"/>
        <v>110.74139944300437</v>
      </c>
      <c r="H151" s="179">
        <f t="shared" si="42"/>
        <v>1.2585688784048289E-2</v>
      </c>
      <c r="I151" s="213">
        <f t="shared" si="43"/>
        <v>1.0880998214883379</v>
      </c>
      <c r="J151" s="214">
        <f t="shared" ca="1" si="44"/>
        <v>1.39268727324418</v>
      </c>
      <c r="K151" s="176">
        <f>DANE!O151</f>
        <v>10</v>
      </c>
      <c r="L151" s="188">
        <f t="shared" si="2"/>
        <v>764</v>
      </c>
      <c r="M151" s="177">
        <f t="shared" ca="1" si="18"/>
        <v>5.4285714285714288</v>
      </c>
      <c r="N151" s="209">
        <f t="shared" si="62"/>
        <v>32.678160527201072</v>
      </c>
      <c r="O151" s="179">
        <f t="shared" si="66"/>
        <v>0.23510246110401919</v>
      </c>
      <c r="P151" s="213">
        <f t="shared" si="67"/>
        <v>2.6457172277281344</v>
      </c>
      <c r="Q151" s="217">
        <f t="shared" ca="1" si="68"/>
        <v>1.7484180947574435</v>
      </c>
      <c r="R151" s="176">
        <f>DANE!S151</f>
        <v>18</v>
      </c>
      <c r="S151" s="188">
        <f t="shared" si="3"/>
        <v>945</v>
      </c>
      <c r="T151" s="177">
        <f t="shared" ca="1" si="19"/>
        <v>7.7142857142857144</v>
      </c>
      <c r="U151" s="209">
        <f t="shared" si="50"/>
        <v>58.739956204129989</v>
      </c>
      <c r="V151" s="179">
        <f t="shared" si="55"/>
        <v>0.23585144856268217</v>
      </c>
      <c r="W151" s="213">
        <f t="shared" si="56"/>
        <v>2.6509601399387752</v>
      </c>
      <c r="X151" s="214">
        <f t="shared" ca="1" si="57"/>
        <v>1.0428525770961428</v>
      </c>
      <c r="Y151" s="176">
        <f>DANE!W151</f>
        <v>10</v>
      </c>
      <c r="Z151" s="188">
        <f t="shared" si="4"/>
        <v>380</v>
      </c>
      <c r="AA151" s="177">
        <f t="shared" ca="1" si="20"/>
        <v>6.8571428571428568</v>
      </c>
      <c r="AB151" s="209">
        <f t="shared" si="94"/>
        <v>55.030961020561229</v>
      </c>
      <c r="AC151" s="179">
        <f t="shared" si="95"/>
        <v>4.748808578487624E-2</v>
      </c>
      <c r="AD151" s="213">
        <f t="shared" si="96"/>
        <v>1.3324166004941338</v>
      </c>
      <c r="AE151" s="217">
        <f t="shared" ca="1" si="97"/>
        <v>0.76107179162702099</v>
      </c>
      <c r="AF151" s="176">
        <f>DANE!AA151</f>
        <v>30</v>
      </c>
      <c r="AG151" s="188">
        <f t="shared" si="5"/>
        <v>3880</v>
      </c>
      <c r="AH151" s="177">
        <f t="shared" ca="1" si="21"/>
        <v>27.571428571428573</v>
      </c>
      <c r="AI151" s="209">
        <f t="shared" si="37"/>
        <v>191.04200655701257</v>
      </c>
      <c r="AJ151" s="179">
        <f t="shared" si="39"/>
        <v>1.6817256785799289E-2</v>
      </c>
      <c r="AK151" s="213">
        <f t="shared" si="40"/>
        <v>1.1177207975005949</v>
      </c>
      <c r="AL151" s="214">
        <f t="shared" ca="1" si="41"/>
        <v>0.99673245416942624</v>
      </c>
      <c r="AM151" s="176">
        <f>DANE!AE151</f>
        <v>102</v>
      </c>
      <c r="AN151" s="188">
        <f t="shared" si="6"/>
        <v>3325</v>
      </c>
      <c r="AO151" s="177">
        <f t="shared" ca="1" si="22"/>
        <v>97</v>
      </c>
      <c r="AP151" s="209">
        <f t="shared" si="49"/>
        <v>574.49877724249075</v>
      </c>
      <c r="AQ151" s="179">
        <f t="shared" si="51"/>
        <v>4.2177349589177897E-2</v>
      </c>
      <c r="AR151" s="213">
        <f t="shared" si="52"/>
        <v>1.2952414471242453</v>
      </c>
      <c r="AS151" s="217">
        <f t="shared" ca="1" si="53"/>
        <v>1.4405635056265158</v>
      </c>
      <c r="AT151" s="176">
        <f>DANE!AI151</f>
        <v>43</v>
      </c>
      <c r="AU151" s="188">
        <f t="shared" si="7"/>
        <v>6224</v>
      </c>
      <c r="AV151" s="177">
        <f t="shared" ca="1" si="23"/>
        <v>59.285714285714285</v>
      </c>
      <c r="AW151" s="209">
        <f t="shared" si="33"/>
        <v>361.72242242025476</v>
      </c>
      <c r="AX151" s="179">
        <f t="shared" si="34"/>
        <v>-2.7216885804425908E-2</v>
      </c>
      <c r="AY151" s="213">
        <f t="shared" si="35"/>
        <v>0.80948179936901865</v>
      </c>
      <c r="AZ151" s="214">
        <f t="shared" ca="1" si="36"/>
        <v>1.2353761348030461</v>
      </c>
      <c r="BA151" s="176">
        <f>DANE!AM151</f>
        <v>5</v>
      </c>
      <c r="BB151" s="188">
        <f t="shared" si="8"/>
        <v>1151</v>
      </c>
      <c r="BC151" s="177">
        <f t="shared" ca="1" si="24"/>
        <v>12.428571428571429</v>
      </c>
      <c r="BD151" s="209">
        <f t="shared" si="77"/>
        <v>69.052239505992674</v>
      </c>
      <c r="BE151" s="179">
        <f t="shared" si="80"/>
        <v>-7.5947471645516892E-2</v>
      </c>
      <c r="BF151" s="213">
        <f t="shared" si="81"/>
        <v>0.46836769848138171</v>
      </c>
      <c r="BG151" s="217">
        <f t="shared" ca="1" si="82"/>
        <v>1.4077939420620944</v>
      </c>
      <c r="BH151" s="176">
        <f>DANE!AQ151</f>
        <v>23</v>
      </c>
      <c r="BI151" s="188">
        <f t="shared" si="9"/>
        <v>1231</v>
      </c>
      <c r="BJ151" s="177">
        <f t="shared" ca="1" si="25"/>
        <v>15.428571428571429</v>
      </c>
      <c r="BK151" s="209">
        <f t="shared" si="61"/>
        <v>120.92354046798167</v>
      </c>
      <c r="BL151" s="179">
        <f t="shared" si="63"/>
        <v>5.846611016322515E-2</v>
      </c>
      <c r="BM151" s="213">
        <f t="shared" si="64"/>
        <v>1.409262771142576</v>
      </c>
      <c r="BN151" s="214">
        <f t="shared" ca="1" si="65"/>
        <v>0.87526519109475542</v>
      </c>
      <c r="BO151" s="176">
        <f>DANE!AU151</f>
        <v>7</v>
      </c>
      <c r="BP151" s="188">
        <f t="shared" si="10"/>
        <v>962</v>
      </c>
      <c r="BQ151" s="177">
        <f t="shared" ca="1" si="26"/>
        <v>5.7142857142857144</v>
      </c>
      <c r="BR151" s="209">
        <f t="shared" si="78"/>
        <v>35.92124188689413</v>
      </c>
      <c r="BS151" s="179">
        <f t="shared" si="83"/>
        <v>6.4602828034319604E-2</v>
      </c>
      <c r="BT151" s="213">
        <f t="shared" si="84"/>
        <v>1.4522197962402372</v>
      </c>
      <c r="BU151" s="217">
        <f t="shared" ca="1" si="85"/>
        <v>1.5105619252956921</v>
      </c>
      <c r="BV151" s="176">
        <f>DANE!AY151</f>
        <v>28</v>
      </c>
      <c r="BW151" s="188">
        <f t="shared" si="11"/>
        <v>875</v>
      </c>
      <c r="BX151" s="177">
        <f t="shared" ca="1" si="27"/>
        <v>14.428571428571429</v>
      </c>
      <c r="BY151" s="209">
        <f t="shared" si="69"/>
        <v>89.928152018437601</v>
      </c>
      <c r="BZ151" s="179">
        <f t="shared" si="71"/>
        <v>0.24468873438548161</v>
      </c>
      <c r="CA151" s="213">
        <f t="shared" si="72"/>
        <v>2.7128211406983711</v>
      </c>
      <c r="CB151" s="214">
        <f t="shared" ca="1" si="73"/>
        <v>1.6955247492743908</v>
      </c>
      <c r="CC151" s="176">
        <f>DANE!BC151</f>
        <v>183</v>
      </c>
      <c r="CD151" s="188">
        <f t="shared" si="12"/>
        <v>15783</v>
      </c>
      <c r="CE151" s="177">
        <f t="shared" ca="1" si="28"/>
        <v>158.42857142857142</v>
      </c>
      <c r="CF151" s="209">
        <f t="shared" si="45"/>
        <v>961.10529829087193</v>
      </c>
      <c r="CG151" s="179">
        <f t="shared" si="46"/>
        <v>5.8731438022184973E-2</v>
      </c>
      <c r="CH151" s="213">
        <f t="shared" si="47"/>
        <v>1.4111200661552949</v>
      </c>
      <c r="CI151" s="217">
        <f t="shared" ca="1" si="48"/>
        <v>1.4322351936509026</v>
      </c>
      <c r="CJ151" s="176">
        <f>DANE!BG151</f>
        <v>5</v>
      </c>
      <c r="CK151" s="188">
        <f t="shared" si="13"/>
        <v>960</v>
      </c>
      <c r="CL151" s="177">
        <f t="shared" ca="1" si="29"/>
        <v>5</v>
      </c>
      <c r="CM151" s="209">
        <f t="shared" si="79"/>
        <v>41.326341970045</v>
      </c>
      <c r="CN151" s="179">
        <f t="shared" si="86"/>
        <v>-2.487900211155598E-2</v>
      </c>
      <c r="CO151" s="213">
        <f t="shared" si="87"/>
        <v>0.82584698521910815</v>
      </c>
      <c r="CP151" s="214">
        <f t="shared" ca="1" si="88"/>
        <v>0.72302482084502784</v>
      </c>
      <c r="CQ151" s="176">
        <f>DANE!BK151</f>
        <v>5</v>
      </c>
      <c r="CR151" s="188">
        <f t="shared" si="14"/>
        <v>348</v>
      </c>
      <c r="CS151" s="177">
        <f t="shared" ca="1" si="30"/>
        <v>3.4285714285714284</v>
      </c>
      <c r="CT151" s="209">
        <f t="shared" si="89"/>
        <v>28.837245576591641</v>
      </c>
      <c r="CU151" s="179">
        <f t="shared" si="90"/>
        <v>3.6933524313014304E-2</v>
      </c>
      <c r="CV151" s="213">
        <f t="shared" si="91"/>
        <v>1.2585346701911002</v>
      </c>
      <c r="CW151" s="217">
        <f t="shared" ca="1" si="92"/>
        <v>0.78791287089715389</v>
      </c>
      <c r="CX151" s="176">
        <f>DANE!BO151</f>
        <v>14</v>
      </c>
      <c r="CY151" s="188">
        <f t="shared" si="15"/>
        <v>3655</v>
      </c>
      <c r="CZ151" s="177">
        <f t="shared" ca="1" si="31"/>
        <v>22.428571428571427</v>
      </c>
      <c r="DA151" s="209">
        <f t="shared" si="54"/>
        <v>176.77052087163747</v>
      </c>
      <c r="DB151" s="179">
        <f t="shared" si="58"/>
        <v>-6.9133719624607251E-2</v>
      </c>
      <c r="DC151" s="213">
        <f t="shared" si="59"/>
        <v>0.51606396262774923</v>
      </c>
      <c r="DD151" s="214">
        <f t="shared" ca="1" si="60"/>
        <v>0.86745189867600525</v>
      </c>
      <c r="DE151" s="176">
        <f>DANE!BS151</f>
        <v>12</v>
      </c>
      <c r="DF151" s="188">
        <f t="shared" si="16"/>
        <v>715</v>
      </c>
      <c r="DG151" s="177">
        <f t="shared" ca="1" si="32"/>
        <v>6</v>
      </c>
      <c r="DH151" s="209">
        <f t="shared" si="70"/>
        <v>38.803567780268679</v>
      </c>
      <c r="DI151" s="179">
        <f t="shared" si="74"/>
        <v>0.2408870799282308</v>
      </c>
      <c r="DJ151" s="157">
        <f t="shared" si="75"/>
        <v>2.6862095594976156</v>
      </c>
      <c r="DK151" s="225">
        <f t="shared" ca="1" si="76"/>
        <v>1.3983985153944531</v>
      </c>
      <c r="DL151" s="89"/>
      <c r="DM151" s="89"/>
      <c r="DN151" s="89"/>
      <c r="DO151" s="89"/>
      <c r="DP151" s="89"/>
      <c r="DQ151" s="89"/>
      <c r="DR151" s="89"/>
      <c r="DS151" s="89"/>
      <c r="DT151" s="89"/>
      <c r="DU151" s="89"/>
      <c r="DV151" s="89"/>
      <c r="DW151" s="89"/>
      <c r="DX151" s="89"/>
      <c r="DY151" s="89"/>
      <c r="DZ151" s="89"/>
      <c r="EA151" s="89"/>
      <c r="EB151" s="89"/>
      <c r="EC151" s="89"/>
      <c r="ED151" s="89"/>
      <c r="EE151" s="89"/>
      <c r="EF151" s="89"/>
      <c r="EG151" s="89"/>
      <c r="EH151" s="89"/>
    </row>
    <row r="152" spans="1:138" x14ac:dyDescent="0.25">
      <c r="A152" s="32">
        <v>44042</v>
      </c>
      <c r="B152" s="33" t="str">
        <f t="shared" ca="1" si="0"/>
        <v/>
      </c>
      <c r="C152" s="51">
        <f t="shared" si="93"/>
        <v>149</v>
      </c>
      <c r="D152" s="176">
        <f>DANE!K152</f>
        <v>5</v>
      </c>
      <c r="E152" s="188">
        <f t="shared" si="1"/>
        <v>3223</v>
      </c>
      <c r="F152" s="178">
        <f t="shared" ca="1" si="17"/>
        <v>17.428571428571427</v>
      </c>
      <c r="G152" s="209">
        <f t="shared" si="38"/>
        <v>99.921199522575179</v>
      </c>
      <c r="H152" s="179">
        <f t="shared" si="42"/>
        <v>-9.7706909745149617E-2</v>
      </c>
      <c r="I152" s="213">
        <f t="shared" si="43"/>
        <v>0.31605163178395268</v>
      </c>
      <c r="J152" s="214">
        <f t="shared" ca="1" si="44"/>
        <v>1.3488268542334194</v>
      </c>
      <c r="K152" s="176">
        <f>DANE!O152</f>
        <v>9</v>
      </c>
      <c r="L152" s="188">
        <f t="shared" si="2"/>
        <v>773</v>
      </c>
      <c r="M152" s="177">
        <f t="shared" ca="1" si="18"/>
        <v>6.5714285714285712</v>
      </c>
      <c r="N152" s="209">
        <f t="shared" si="62"/>
        <v>37.009851880458065</v>
      </c>
      <c r="O152" s="179">
        <f t="shared" si="66"/>
        <v>0.13255615626379347</v>
      </c>
      <c r="P152" s="213">
        <f t="shared" si="67"/>
        <v>1.9278930938465542</v>
      </c>
      <c r="Q152" s="217">
        <f t="shared" ca="1" si="68"/>
        <v>1.967531847995684</v>
      </c>
      <c r="R152" s="176">
        <f>DANE!S152</f>
        <v>11</v>
      </c>
      <c r="S152" s="188">
        <f t="shared" si="3"/>
        <v>956</v>
      </c>
      <c r="T152" s="177">
        <f t="shared" ca="1" si="19"/>
        <v>9.1428571428571423</v>
      </c>
      <c r="U152" s="209">
        <f t="shared" si="50"/>
        <v>61.348533889254277</v>
      </c>
      <c r="V152" s="179">
        <f t="shared" si="55"/>
        <v>4.4408914369276971E-2</v>
      </c>
      <c r="W152" s="213">
        <f t="shared" si="56"/>
        <v>1.3108624005849387</v>
      </c>
      <c r="X152" s="214">
        <f t="shared" ca="1" si="57"/>
        <v>1.2133216469891863</v>
      </c>
      <c r="Y152" s="176">
        <f>DANE!W152</f>
        <v>10</v>
      </c>
      <c r="Z152" s="188">
        <f t="shared" si="4"/>
        <v>390</v>
      </c>
      <c r="AA152" s="177">
        <f t="shared" ca="1" si="20"/>
        <v>7</v>
      </c>
      <c r="AB152" s="209">
        <f t="shared" si="94"/>
        <v>57.169395160481059</v>
      </c>
      <c r="AC152" s="179">
        <f t="shared" si="95"/>
        <v>3.8858746063345086E-2</v>
      </c>
      <c r="AD152" s="213">
        <f t="shared" si="96"/>
        <v>1.2720112224434157</v>
      </c>
      <c r="AE152" s="217">
        <f t="shared" ca="1" si="97"/>
        <v>0.81533696078521811</v>
      </c>
      <c r="AF152" s="176">
        <f>DANE!AA152</f>
        <v>67</v>
      </c>
      <c r="AG152" s="188">
        <f t="shared" si="5"/>
        <v>3947</v>
      </c>
      <c r="AH152" s="177">
        <f t="shared" ca="1" si="21"/>
        <v>32.428571428571431</v>
      </c>
      <c r="AI152" s="209">
        <f t="shared" si="37"/>
        <v>230.75029133458222</v>
      </c>
      <c r="AJ152" s="179">
        <f t="shared" si="39"/>
        <v>0.20785106633456302</v>
      </c>
      <c r="AK152" s="213">
        <f t="shared" si="40"/>
        <v>2.4549574643419412</v>
      </c>
      <c r="AL152" s="214">
        <f t="shared" ca="1" si="41"/>
        <v>1.1757374161056939</v>
      </c>
      <c r="AM152" s="176">
        <f>DANE!AE152</f>
        <v>133</v>
      </c>
      <c r="AN152" s="188">
        <f t="shared" si="6"/>
        <v>3458</v>
      </c>
      <c r="AO152" s="177">
        <f t="shared" ca="1" si="22"/>
        <v>105.28571428571429</v>
      </c>
      <c r="AP152" s="209">
        <f t="shared" si="49"/>
        <v>625.42752335070645</v>
      </c>
      <c r="AQ152" s="179">
        <f t="shared" si="51"/>
        <v>8.8649006970330138E-2</v>
      </c>
      <c r="AR152" s="213">
        <f t="shared" si="52"/>
        <v>1.6205430487923111</v>
      </c>
      <c r="AS152" s="217">
        <f t="shared" ca="1" si="53"/>
        <v>1.4742082506459151</v>
      </c>
      <c r="AT152" s="176">
        <f>DANE!AI152</f>
        <v>95</v>
      </c>
      <c r="AU152" s="188">
        <f t="shared" si="7"/>
        <v>6319</v>
      </c>
      <c r="AV152" s="177">
        <f t="shared" ca="1" si="23"/>
        <v>58</v>
      </c>
      <c r="AW152" s="209">
        <f t="shared" si="33"/>
        <v>405.04779064593265</v>
      </c>
      <c r="AX152" s="179">
        <f t="shared" si="34"/>
        <v>0.11977517991777077</v>
      </c>
      <c r="AY152" s="213">
        <f t="shared" si="35"/>
        <v>1.8384262594243954</v>
      </c>
      <c r="AZ152" s="214">
        <f t="shared" ca="1" si="36"/>
        <v>1.142529136675938</v>
      </c>
      <c r="BA152" s="176">
        <f>DANE!AM152</f>
        <v>17</v>
      </c>
      <c r="BB152" s="188">
        <f t="shared" si="8"/>
        <v>1168</v>
      </c>
      <c r="BC152" s="177">
        <f t="shared" ca="1" si="24"/>
        <v>11.857142857142858</v>
      </c>
      <c r="BD152" s="209">
        <f t="shared" si="77"/>
        <v>76.187633862279441</v>
      </c>
      <c r="BE152" s="179">
        <f t="shared" si="80"/>
        <v>0.10333327937419791</v>
      </c>
      <c r="BF152" s="213">
        <f t="shared" si="81"/>
        <v>1.7233329556193855</v>
      </c>
      <c r="BG152" s="217">
        <f t="shared" ca="1" si="82"/>
        <v>1.2266128865736792</v>
      </c>
      <c r="BH152" s="176">
        <f>DANE!AQ152</f>
        <v>45</v>
      </c>
      <c r="BI152" s="188">
        <f t="shared" si="9"/>
        <v>1276</v>
      </c>
      <c r="BJ152" s="177">
        <f t="shared" ca="1" si="25"/>
        <v>19</v>
      </c>
      <c r="BK152" s="209">
        <f t="shared" si="61"/>
        <v>148.64874897255572</v>
      </c>
      <c r="BL152" s="179">
        <f t="shared" si="63"/>
        <v>0.22927883518193201</v>
      </c>
      <c r="BM152" s="213">
        <f t="shared" si="64"/>
        <v>2.6049518462735239</v>
      </c>
      <c r="BN152" s="214">
        <f t="shared" ca="1" si="65"/>
        <v>1.1032694201393944</v>
      </c>
      <c r="BO152" s="176">
        <f>DANE!AU152</f>
        <v>7</v>
      </c>
      <c r="BP152" s="188">
        <f t="shared" si="10"/>
        <v>969</v>
      </c>
      <c r="BQ152" s="177">
        <f t="shared" ca="1" si="26"/>
        <v>6.4285714285714288</v>
      </c>
      <c r="BR152" s="209">
        <f t="shared" si="78"/>
        <v>37.789635903052115</v>
      </c>
      <c r="BS152" s="179">
        <f t="shared" si="83"/>
        <v>5.201362530953222E-2</v>
      </c>
      <c r="BT152" s="213">
        <f t="shared" si="84"/>
        <v>1.3640953771667257</v>
      </c>
      <c r="BU152" s="217">
        <f t="shared" ca="1" si="85"/>
        <v>1.6171120229200506</v>
      </c>
      <c r="BV152" s="176">
        <f>DANE!AY152</f>
        <v>12</v>
      </c>
      <c r="BW152" s="188">
        <f t="shared" si="11"/>
        <v>887</v>
      </c>
      <c r="BX152" s="177">
        <f t="shared" ca="1" si="27"/>
        <v>15.571428571428571</v>
      </c>
      <c r="BY152" s="209">
        <f t="shared" si="69"/>
        <v>89.081273158660807</v>
      </c>
      <c r="BZ152" s="179">
        <f t="shared" si="71"/>
        <v>-9.4172830283798317E-3</v>
      </c>
      <c r="CA152" s="213">
        <f t="shared" si="72"/>
        <v>0.93407901880134114</v>
      </c>
      <c r="CB152" s="214">
        <f t="shared" ca="1" si="73"/>
        <v>1.7477265959325194</v>
      </c>
      <c r="CC152" s="176">
        <f>DANE!BC152</f>
        <v>160</v>
      </c>
      <c r="CD152" s="188">
        <f t="shared" si="12"/>
        <v>15943</v>
      </c>
      <c r="CE152" s="177">
        <f t="shared" ca="1" si="28"/>
        <v>165.57142857142858</v>
      </c>
      <c r="CF152" s="209">
        <f t="shared" si="45"/>
        <v>983.80454139217602</v>
      </c>
      <c r="CG152" s="179">
        <f t="shared" si="46"/>
        <v>2.3617852426440711E-2</v>
      </c>
      <c r="CH152" s="213">
        <f t="shared" si="47"/>
        <v>1.1653249669850849</v>
      </c>
      <c r="CI152" s="217">
        <f t="shared" ca="1" si="48"/>
        <v>1.4255367384160533</v>
      </c>
      <c r="CJ152" s="176">
        <f>DANE!BG152</f>
        <v>5</v>
      </c>
      <c r="CK152" s="188">
        <f t="shared" si="13"/>
        <v>965</v>
      </c>
      <c r="CL152" s="177">
        <f t="shared" ca="1" si="29"/>
        <v>5.1428571428571432</v>
      </c>
      <c r="CM152" s="209">
        <f t="shared" si="79"/>
        <v>40.422578831467149</v>
      </c>
      <c r="CN152" s="179">
        <f t="shared" si="86"/>
        <v>-2.1868936264258159E-2</v>
      </c>
      <c r="CO152" s="213">
        <f t="shared" si="87"/>
        <v>0.84691744615019293</v>
      </c>
      <c r="CP152" s="214">
        <f t="shared" ca="1" si="88"/>
        <v>0.77153174203229413</v>
      </c>
      <c r="CQ152" s="176">
        <f>DANE!BK152</f>
        <v>5</v>
      </c>
      <c r="CR152" s="188">
        <f t="shared" si="14"/>
        <v>353</v>
      </c>
      <c r="CS152" s="177">
        <f t="shared" ca="1" si="30"/>
        <v>3.8571428571428572</v>
      </c>
      <c r="CT152" s="209">
        <f t="shared" si="89"/>
        <v>29.71763906564998</v>
      </c>
      <c r="CU152" s="179">
        <f t="shared" si="90"/>
        <v>3.0529735814053941E-2</v>
      </c>
      <c r="CV152" s="213">
        <f t="shared" si="91"/>
        <v>1.2137081506983776</v>
      </c>
      <c r="CW152" s="217">
        <f t="shared" ca="1" si="92"/>
        <v>0.90640322673349161</v>
      </c>
      <c r="CX152" s="176">
        <f>DANE!BO152</f>
        <v>27</v>
      </c>
      <c r="CY152" s="188">
        <f t="shared" si="15"/>
        <v>3682</v>
      </c>
      <c r="CZ152" s="177">
        <f t="shared" ca="1" si="31"/>
        <v>24.142857142857142</v>
      </c>
      <c r="DA152" s="209">
        <f t="shared" si="54"/>
        <v>178.51758931854641</v>
      </c>
      <c r="DB152" s="179">
        <f t="shared" si="58"/>
        <v>9.8832567686870168E-3</v>
      </c>
      <c r="DC152" s="213">
        <f t="shared" si="59"/>
        <v>1.069182797380809</v>
      </c>
      <c r="DD152" s="214">
        <f t="shared" ca="1" si="60"/>
        <v>0.94730462475919663</v>
      </c>
      <c r="DE152" s="176">
        <f>DANE!BS152</f>
        <v>7</v>
      </c>
      <c r="DF152" s="188">
        <f t="shared" si="16"/>
        <v>722</v>
      </c>
      <c r="DG152" s="177">
        <f t="shared" ca="1" si="32"/>
        <v>5.5714285714285712</v>
      </c>
      <c r="DH152" s="209">
        <f t="shared" si="70"/>
        <v>40.260200954516016</v>
      </c>
      <c r="DI152" s="179">
        <f t="shared" si="74"/>
        <v>3.7538640325439958E-2</v>
      </c>
      <c r="DJ152" s="157">
        <f t="shared" si="75"/>
        <v>1.2627704822780796</v>
      </c>
      <c r="DK152" s="225">
        <f t="shared" ca="1" si="76"/>
        <v>1.218217757297605</v>
      </c>
      <c r="DL152" s="89"/>
      <c r="DM152" s="89"/>
      <c r="DN152" s="89"/>
      <c r="DO152" s="89"/>
      <c r="DP152" s="89"/>
      <c r="DQ152" s="89"/>
      <c r="DR152" s="89"/>
      <c r="DS152" s="89"/>
      <c r="DT152" s="89"/>
      <c r="DU152" s="89"/>
      <c r="DV152" s="89"/>
      <c r="DW152" s="89"/>
      <c r="DX152" s="89"/>
      <c r="DY152" s="89"/>
      <c r="DZ152" s="89"/>
      <c r="EA152" s="89"/>
      <c r="EB152" s="89"/>
      <c r="EC152" s="89"/>
      <c r="ED152" s="89"/>
      <c r="EE152" s="89"/>
      <c r="EF152" s="89"/>
      <c r="EG152" s="89"/>
      <c r="EH152" s="89"/>
    </row>
    <row r="153" spans="1:138" x14ac:dyDescent="0.25">
      <c r="A153" s="32">
        <v>44043</v>
      </c>
      <c r="B153" s="33" t="str">
        <f t="shared" ca="1" si="0"/>
        <v/>
      </c>
      <c r="C153" s="51">
        <f t="shared" si="93"/>
        <v>150</v>
      </c>
      <c r="D153" s="176">
        <f>DANE!K153</f>
        <v>35</v>
      </c>
      <c r="E153" s="188">
        <f t="shared" si="1"/>
        <v>3258</v>
      </c>
      <c r="F153" s="178">
        <f t="shared" ca="1" si="17"/>
        <v>18.285714285714285</v>
      </c>
      <c r="G153" s="209">
        <f t="shared" si="38"/>
        <v>120.64674244792158</v>
      </c>
      <c r="H153" s="179">
        <f t="shared" si="42"/>
        <v>0.20741887631827202</v>
      </c>
      <c r="I153" s="213">
        <f t="shared" si="43"/>
        <v>2.4519321342279041</v>
      </c>
      <c r="J153" s="214">
        <f t="shared" ca="1" si="44"/>
        <v>1.3093580673853946</v>
      </c>
      <c r="K153" s="176">
        <f>DANE!O153</f>
        <v>17</v>
      </c>
      <c r="L153" s="188">
        <f t="shared" si="2"/>
        <v>790</v>
      </c>
      <c r="M153" s="177">
        <f t="shared" ca="1" si="18"/>
        <v>7.7142857142857144</v>
      </c>
      <c r="N153" s="209">
        <f t="shared" si="62"/>
        <v>48.722730183249773</v>
      </c>
      <c r="O153" s="179">
        <f t="shared" si="66"/>
        <v>0.31648001025846689</v>
      </c>
      <c r="P153" s="213">
        <f t="shared" si="67"/>
        <v>3.2153600718092683</v>
      </c>
      <c r="Q153" s="217">
        <f t="shared" ca="1" si="68"/>
        <v>1.8721586972476298</v>
      </c>
      <c r="R153" s="176">
        <f>DANE!S153</f>
        <v>20</v>
      </c>
      <c r="S153" s="188">
        <f t="shared" si="3"/>
        <v>976</v>
      </c>
      <c r="T153" s="177">
        <f t="shared" ca="1" si="19"/>
        <v>11</v>
      </c>
      <c r="U153" s="209">
        <f t="shared" si="50"/>
        <v>72.584457619360819</v>
      </c>
      <c r="V153" s="179">
        <f t="shared" si="55"/>
        <v>0.18314901787856108</v>
      </c>
      <c r="W153" s="213">
        <f t="shared" si="56"/>
        <v>2.2820431251499276</v>
      </c>
      <c r="X153" s="214">
        <f t="shared" ca="1" si="57"/>
        <v>1.4047889008690084</v>
      </c>
      <c r="Y153" s="176">
        <f>DANE!W153</f>
        <v>11</v>
      </c>
      <c r="Z153" s="188">
        <f t="shared" si="4"/>
        <v>401</v>
      </c>
      <c r="AA153" s="177">
        <f t="shared" ca="1" si="20"/>
        <v>7.2857142857142856</v>
      </c>
      <c r="AB153" s="209">
        <f t="shared" si="94"/>
        <v>60.002338708983771</v>
      </c>
      <c r="AC153" s="179">
        <f t="shared" si="95"/>
        <v>4.9553498695417607E-2</v>
      </c>
      <c r="AD153" s="213">
        <f t="shared" si="96"/>
        <v>1.3468744908679233</v>
      </c>
      <c r="AE153" s="217">
        <f t="shared" ca="1" si="97"/>
        <v>0.8783025980722583</v>
      </c>
      <c r="AF153" s="176">
        <f>DANE!AA153</f>
        <v>30</v>
      </c>
      <c r="AG153" s="188">
        <f t="shared" si="5"/>
        <v>3977</v>
      </c>
      <c r="AH153" s="177">
        <f t="shared" ca="1" si="21"/>
        <v>32.571428571428569</v>
      </c>
      <c r="AI153" s="209">
        <f t="shared" si="37"/>
        <v>227.78596400107048</v>
      </c>
      <c r="AJ153" s="179">
        <f t="shared" si="39"/>
        <v>-1.2846472766587028E-2</v>
      </c>
      <c r="AK153" s="213">
        <f t="shared" si="40"/>
        <v>0.91007469063389079</v>
      </c>
      <c r="AL153" s="214">
        <f t="shared" ca="1" si="41"/>
        <v>1.159087927994219</v>
      </c>
      <c r="AM153" s="176">
        <f>DANE!AE153</f>
        <v>77</v>
      </c>
      <c r="AN153" s="188">
        <f t="shared" si="6"/>
        <v>3535</v>
      </c>
      <c r="AO153" s="177">
        <f t="shared" ca="1" si="22"/>
        <v>102.14285714285714</v>
      </c>
      <c r="AP153" s="209">
        <f t="shared" si="49"/>
        <v>613.08073430060551</v>
      </c>
      <c r="AQ153" s="179">
        <f t="shared" si="51"/>
        <v>-1.9741358653283182E-2</v>
      </c>
      <c r="AR153" s="213">
        <f t="shared" si="52"/>
        <v>0.86181048942701777</v>
      </c>
      <c r="AS153" s="217">
        <f t="shared" ca="1" si="53"/>
        <v>1.3497638459803152</v>
      </c>
      <c r="AT153" s="176">
        <f>DANE!AI153</f>
        <v>104</v>
      </c>
      <c r="AU153" s="188">
        <f t="shared" si="7"/>
        <v>6423</v>
      </c>
      <c r="AV153" s="177">
        <f t="shared" ca="1" si="23"/>
        <v>68.285714285714292</v>
      </c>
      <c r="AW153" s="209">
        <f t="shared" si="33"/>
        <v>451.18382055365657</v>
      </c>
      <c r="AX153" s="179">
        <f t="shared" si="34"/>
        <v>0.11390268253074647</v>
      </c>
      <c r="AY153" s="213">
        <f t="shared" si="35"/>
        <v>1.7973187777152253</v>
      </c>
      <c r="AZ153" s="214">
        <f t="shared" ca="1" si="36"/>
        <v>1.3090891829689169</v>
      </c>
      <c r="BA153" s="176">
        <f>DANE!AM153</f>
        <v>13</v>
      </c>
      <c r="BB153" s="188">
        <f t="shared" si="8"/>
        <v>1181</v>
      </c>
      <c r="BC153" s="177">
        <f t="shared" ca="1" si="24"/>
        <v>12.571428571428571</v>
      </c>
      <c r="BD153" s="209">
        <f t="shared" si="77"/>
        <v>78.30368616766809</v>
      </c>
      <c r="BE153" s="179">
        <f t="shared" si="80"/>
        <v>2.7774222641088062E-2</v>
      </c>
      <c r="BF153" s="213">
        <f t="shared" si="81"/>
        <v>1.1944195584876165</v>
      </c>
      <c r="BG153" s="217">
        <f t="shared" ca="1" si="82"/>
        <v>1.2704973738396077</v>
      </c>
      <c r="BH153" s="176">
        <f>DANE!AQ153</f>
        <v>28</v>
      </c>
      <c r="BI153" s="188">
        <f t="shared" si="9"/>
        <v>1304</v>
      </c>
      <c r="BJ153" s="177">
        <f t="shared" ca="1" si="25"/>
        <v>22</v>
      </c>
      <c r="BK153" s="209">
        <f t="shared" si="61"/>
        <v>155.41321340504777</v>
      </c>
      <c r="BL153" s="179">
        <f t="shared" si="63"/>
        <v>4.5506366378777509E-2</v>
      </c>
      <c r="BM153" s="213">
        <f t="shared" si="64"/>
        <v>1.3185445646514427</v>
      </c>
      <c r="BN153" s="214">
        <f t="shared" ca="1" si="65"/>
        <v>1.2412510342999339</v>
      </c>
      <c r="BO153" s="176">
        <f>DANE!AU153</f>
        <v>6</v>
      </c>
      <c r="BP153" s="188">
        <f t="shared" si="10"/>
        <v>975</v>
      </c>
      <c r="BQ153" s="177">
        <f t="shared" ca="1" si="26"/>
        <v>6.5714285714285712</v>
      </c>
      <c r="BR153" s="209">
        <f t="shared" si="78"/>
        <v>38.39111648833039</v>
      </c>
      <c r="BS153" s="179">
        <f t="shared" si="83"/>
        <v>1.5916548834218728E-2</v>
      </c>
      <c r="BT153" s="213">
        <f t="shared" si="84"/>
        <v>1.111415841839531</v>
      </c>
      <c r="BU153" s="217">
        <f t="shared" ca="1" si="85"/>
        <v>1.5423476987173552</v>
      </c>
      <c r="BV153" s="176">
        <f>DANE!AY153</f>
        <v>15</v>
      </c>
      <c r="BW153" s="188">
        <f t="shared" si="11"/>
        <v>902</v>
      </c>
      <c r="BX153" s="177">
        <f t="shared" ca="1" si="27"/>
        <v>16.428571428571427</v>
      </c>
      <c r="BY153" s="209">
        <f t="shared" si="69"/>
        <v>91.355376993137838</v>
      </c>
      <c r="BZ153" s="179">
        <f t="shared" si="71"/>
        <v>2.552841639821057E-2</v>
      </c>
      <c r="CA153" s="213">
        <f t="shared" si="72"/>
        <v>1.178698914787474</v>
      </c>
      <c r="CB153" s="214">
        <f t="shared" ca="1" si="73"/>
        <v>1.7213239456063387</v>
      </c>
      <c r="CC153" s="176">
        <f>DANE!BC153</f>
        <v>227</v>
      </c>
      <c r="CD153" s="188">
        <f t="shared" si="12"/>
        <v>16170</v>
      </c>
      <c r="CE153" s="177">
        <f t="shared" ca="1" si="28"/>
        <v>171.71428571428572</v>
      </c>
      <c r="CF153" s="209">
        <f t="shared" si="45"/>
        <v>1070.2610354790081</v>
      </c>
      <c r="CG153" s="179">
        <f t="shared" si="46"/>
        <v>8.7879746890056051E-2</v>
      </c>
      <c r="CH153" s="213">
        <f t="shared" si="47"/>
        <v>1.6151582282303925</v>
      </c>
      <c r="CI153" s="217">
        <f t="shared" ca="1" si="48"/>
        <v>1.3751250610285684</v>
      </c>
      <c r="CJ153" s="176">
        <f>DANE!BG153</f>
        <v>2</v>
      </c>
      <c r="CK153" s="188">
        <f t="shared" si="13"/>
        <v>967</v>
      </c>
      <c r="CL153" s="177">
        <f t="shared" ca="1" si="29"/>
        <v>4.2857142857142856</v>
      </c>
      <c r="CM153" s="209">
        <f t="shared" si="79"/>
        <v>36.647924712686134</v>
      </c>
      <c r="CN153" s="179">
        <f t="shared" si="86"/>
        <v>-9.3379844332015197E-2</v>
      </c>
      <c r="CO153" s="213">
        <f t="shared" si="87"/>
        <v>0.34634108967589361</v>
      </c>
      <c r="CP153" s="214">
        <f t="shared" ca="1" si="88"/>
        <v>0.6650722870068575</v>
      </c>
      <c r="CQ153" s="176">
        <f>DANE!BK153</f>
        <v>9</v>
      </c>
      <c r="CR153" s="188">
        <f t="shared" si="14"/>
        <v>362</v>
      </c>
      <c r="CS153" s="177">
        <f t="shared" ca="1" si="30"/>
        <v>4.2857142857142856</v>
      </c>
      <c r="CT153" s="209">
        <f t="shared" si="89"/>
        <v>34.472262056271418</v>
      </c>
      <c r="CU153" s="179">
        <f t="shared" si="90"/>
        <v>0.1599932948952601</v>
      </c>
      <c r="CV153" s="213">
        <f t="shared" si="91"/>
        <v>2.119953064266821</v>
      </c>
      <c r="CW153" s="217">
        <f t="shared" ca="1" si="92"/>
        <v>1.0286807943664038</v>
      </c>
      <c r="CX153" s="176">
        <f>DANE!BO153</f>
        <v>59</v>
      </c>
      <c r="CY153" s="188">
        <f t="shared" si="15"/>
        <v>3741</v>
      </c>
      <c r="CZ153" s="177">
        <f t="shared" ca="1" si="31"/>
        <v>30.714285714285715</v>
      </c>
      <c r="DA153" s="209">
        <f t="shared" si="54"/>
        <v>212.01507655875409</v>
      </c>
      <c r="DB153" s="179">
        <f t="shared" si="58"/>
        <v>0.18764250272523469</v>
      </c>
      <c r="DC153" s="213">
        <f t="shared" si="59"/>
        <v>2.3134975190766429</v>
      </c>
      <c r="DD153" s="214">
        <f t="shared" ca="1" si="60"/>
        <v>1.2098825032747162</v>
      </c>
      <c r="DE153" s="176">
        <f>DANE!BS153</f>
        <v>4</v>
      </c>
      <c r="DF153" s="188">
        <f t="shared" si="16"/>
        <v>726</v>
      </c>
      <c r="DG153" s="177">
        <f t="shared" ca="1" si="32"/>
        <v>5.5714285714285712</v>
      </c>
      <c r="DH153" s="209">
        <f t="shared" si="70"/>
        <v>38.508743675299442</v>
      </c>
      <c r="DI153" s="179">
        <f t="shared" si="74"/>
        <v>-4.350344105821239E-2</v>
      </c>
      <c r="DJ153" s="157">
        <f t="shared" si="75"/>
        <v>0.69547591259251318</v>
      </c>
      <c r="DK153" s="225">
        <f t="shared" ca="1" si="76"/>
        <v>1.1991282309615134</v>
      </c>
      <c r="DL153" s="89"/>
      <c r="DM153" s="89"/>
      <c r="DN153" s="89"/>
      <c r="DO153" s="89"/>
      <c r="DP153" s="89"/>
      <c r="DQ153" s="89"/>
      <c r="DR153" s="89"/>
      <c r="DS153" s="89"/>
      <c r="DT153" s="89"/>
      <c r="DU153" s="89"/>
      <c r="DV153" s="89"/>
      <c r="DW153" s="89"/>
      <c r="DX153" s="89"/>
      <c r="DY153" s="89"/>
      <c r="DZ153" s="89"/>
      <c r="EA153" s="89"/>
      <c r="EB153" s="89"/>
      <c r="EC153" s="89"/>
      <c r="ED153" s="89"/>
      <c r="EE153" s="89"/>
      <c r="EF153" s="89"/>
      <c r="EG153" s="89"/>
      <c r="EH153" s="89"/>
    </row>
    <row r="154" spans="1:138" x14ac:dyDescent="0.25">
      <c r="A154" s="61">
        <v>44044</v>
      </c>
      <c r="B154" s="62" t="str">
        <f t="shared" ca="1" si="0"/>
        <v/>
      </c>
      <c r="C154" s="12">
        <f t="shared" si="93"/>
        <v>151</v>
      </c>
      <c r="D154" s="176">
        <f>DANE!K154</f>
        <v>15</v>
      </c>
      <c r="E154" s="198">
        <f t="shared" si="1"/>
        <v>3273</v>
      </c>
      <c r="F154" s="178">
        <f t="shared" ca="1" si="17"/>
        <v>17.428571428571427</v>
      </c>
      <c r="G154" s="211">
        <f t="shared" si="38"/>
        <v>118.41149352678994</v>
      </c>
      <c r="H154" s="200">
        <f t="shared" si="42"/>
        <v>-1.8527221504521855E-2</v>
      </c>
      <c r="I154" s="213">
        <f t="shared" si="43"/>
        <v>0.87030944946834699</v>
      </c>
      <c r="J154" s="214">
        <f t="shared" ca="1" si="44"/>
        <v>1.2073412168495454</v>
      </c>
      <c r="K154" s="176">
        <f>DANE!O154</f>
        <v>11</v>
      </c>
      <c r="L154" s="198">
        <f t="shared" si="2"/>
        <v>801</v>
      </c>
      <c r="M154" s="177">
        <f t="shared" ca="1" si="18"/>
        <v>8.8571428571428577</v>
      </c>
      <c r="N154" s="211">
        <f t="shared" si="62"/>
        <v>52.762340157071236</v>
      </c>
      <c r="O154" s="200">
        <f t="shared" si="66"/>
        <v>8.2910172698208676E-2</v>
      </c>
      <c r="P154" s="213">
        <f t="shared" si="67"/>
        <v>1.5803712088874606</v>
      </c>
      <c r="Q154" s="217">
        <f t="shared" ca="1" si="68"/>
        <v>1.9669609523221858</v>
      </c>
      <c r="R154" s="176">
        <f>DANE!S154</f>
        <v>18</v>
      </c>
      <c r="S154" s="198">
        <f t="shared" si="3"/>
        <v>994</v>
      </c>
      <c r="T154" s="177">
        <f t="shared" ca="1" si="19"/>
        <v>11.857142857142858</v>
      </c>
      <c r="U154" s="211">
        <f t="shared" si="50"/>
        <v>80.215249388023565</v>
      </c>
      <c r="V154" s="200">
        <f t="shared" si="55"/>
        <v>0.10512983108145933</v>
      </c>
      <c r="W154" s="213">
        <f t="shared" si="56"/>
        <v>1.7359088175702153</v>
      </c>
      <c r="X154" s="214">
        <f t="shared" ca="1" si="57"/>
        <v>1.420203153989738</v>
      </c>
      <c r="Y154" s="176">
        <f>DANE!W154</f>
        <v>9</v>
      </c>
      <c r="Z154" s="198">
        <f t="shared" si="4"/>
        <v>410</v>
      </c>
      <c r="AA154" s="177">
        <f t="shared" ca="1" si="20"/>
        <v>7.5714285714285712</v>
      </c>
      <c r="AB154" s="211">
        <f t="shared" si="94"/>
        <v>60.430576036271809</v>
      </c>
      <c r="AC154" s="200">
        <f t="shared" si="95"/>
        <v>7.1370105982872375E-3</v>
      </c>
      <c r="AD154" s="213">
        <f t="shared" si="96"/>
        <v>1.0499590741880107</v>
      </c>
      <c r="AE154" s="217">
        <f t="shared" ca="1" si="97"/>
        <v>0.9262486200836737</v>
      </c>
      <c r="AF154" s="176">
        <f>DANE!AA154</f>
        <v>42</v>
      </c>
      <c r="AG154" s="198">
        <f t="shared" si="5"/>
        <v>4019</v>
      </c>
      <c r="AH154" s="177">
        <f t="shared" ca="1" si="21"/>
        <v>34</v>
      </c>
      <c r="AI154" s="211">
        <f t="shared" si="37"/>
        <v>237.24511200091757</v>
      </c>
      <c r="AJ154" s="200">
        <f t="shared" si="39"/>
        <v>4.1526474387169166E-2</v>
      </c>
      <c r="AK154" s="213">
        <f t="shared" si="40"/>
        <v>1.290685320710184</v>
      </c>
      <c r="AL154" s="214">
        <f t="shared" ca="1" si="41"/>
        <v>1.1822527640316556</v>
      </c>
      <c r="AM154" s="176">
        <f>DANE!AE154</f>
        <v>157</v>
      </c>
      <c r="AN154" s="198">
        <f t="shared" si="6"/>
        <v>3692</v>
      </c>
      <c r="AO154" s="177">
        <f t="shared" ca="1" si="22"/>
        <v>104.28571428571429</v>
      </c>
      <c r="AP154" s="211">
        <f t="shared" si="49"/>
        <v>682.49777225766195</v>
      </c>
      <c r="AQ154" s="200">
        <f t="shared" si="51"/>
        <v>0.11322658513522935</v>
      </c>
      <c r="AR154" s="213">
        <f t="shared" si="52"/>
        <v>1.7925860959466053</v>
      </c>
      <c r="AS154" s="217">
        <f t="shared" ca="1" si="53"/>
        <v>1.2844160971685847</v>
      </c>
      <c r="AT154" s="176">
        <f>DANE!AI154</f>
        <v>60</v>
      </c>
      <c r="AU154" s="198">
        <f t="shared" si="7"/>
        <v>6483</v>
      </c>
      <c r="AV154" s="177">
        <f t="shared" ca="1" si="23"/>
        <v>68</v>
      </c>
      <c r="AW154" s="211">
        <f t="shared" si="33"/>
        <v>446.7289890459914</v>
      </c>
      <c r="AX154" s="200">
        <f t="shared" si="34"/>
        <v>-9.8736508374758745E-3</v>
      </c>
      <c r="AY154" s="213">
        <f t="shared" si="35"/>
        <v>0.93088444413766891</v>
      </c>
      <c r="AZ154" s="214">
        <f t="shared" ca="1" si="36"/>
        <v>1.2575965780502771</v>
      </c>
      <c r="BA154" s="176">
        <f>DANE!AM154</f>
        <v>7</v>
      </c>
      <c r="BB154" s="198">
        <f t="shared" si="8"/>
        <v>1188</v>
      </c>
      <c r="BC154" s="177">
        <f t="shared" ca="1" si="24"/>
        <v>10.714285714285714</v>
      </c>
      <c r="BD154" s="211">
        <f t="shared" si="77"/>
        <v>74.117445286572647</v>
      </c>
      <c r="BE154" s="200">
        <f t="shared" si="80"/>
        <v>-5.3461606802668753E-2</v>
      </c>
      <c r="BF154" s="213">
        <f t="shared" si="81"/>
        <v>0.62576875238131868</v>
      </c>
      <c r="BG154" s="217">
        <f t="shared" ca="1" si="82"/>
        <v>1.0378373134303851</v>
      </c>
      <c r="BH154" s="176">
        <f>DANE!AQ154</f>
        <v>26</v>
      </c>
      <c r="BI154" s="198">
        <f t="shared" si="9"/>
        <v>1330</v>
      </c>
      <c r="BJ154" s="177">
        <f t="shared" ca="1" si="25"/>
        <v>22.714285714285715</v>
      </c>
      <c r="BK154" s="211">
        <f t="shared" si="61"/>
        <v>159.21132577575523</v>
      </c>
      <c r="BL154" s="200">
        <f t="shared" si="63"/>
        <v>2.443879955566311E-2</v>
      </c>
      <c r="BM154" s="213">
        <f t="shared" si="64"/>
        <v>1.1710715968896417</v>
      </c>
      <c r="BN154" s="214">
        <f t="shared" ca="1" si="65"/>
        <v>1.2419998000581067</v>
      </c>
      <c r="BO154" s="176">
        <f>DANE!AU154</f>
        <v>4</v>
      </c>
      <c r="BP154" s="198">
        <f t="shared" si="10"/>
        <v>979</v>
      </c>
      <c r="BQ154" s="177">
        <f t="shared" ca="1" si="26"/>
        <v>5.8571428571428568</v>
      </c>
      <c r="BR154" s="211">
        <f t="shared" si="78"/>
        <v>36.906671275711766</v>
      </c>
      <c r="BS154" s="200">
        <f t="shared" si="83"/>
        <v>-3.8666372546624049E-2</v>
      </c>
      <c r="BT154" s="213">
        <f t="shared" si="84"/>
        <v>0.72933539217363164</v>
      </c>
      <c r="BU154" s="217">
        <f t="shared" ca="1" si="85"/>
        <v>1.2611201133920777</v>
      </c>
      <c r="BV154" s="176">
        <f>DANE!AY154</f>
        <v>17</v>
      </c>
      <c r="BW154" s="198">
        <f t="shared" si="11"/>
        <v>919</v>
      </c>
      <c r="BX154" s="177">
        <f t="shared" ca="1" si="27"/>
        <v>15.571428571428571</v>
      </c>
      <c r="BY154" s="211">
        <f t="shared" si="69"/>
        <v>95.304608851261008</v>
      </c>
      <c r="BZ154" s="200">
        <f t="shared" si="71"/>
        <v>4.3229331300551871E-2</v>
      </c>
      <c r="CA154" s="213">
        <f t="shared" si="72"/>
        <v>1.3026053191038631</v>
      </c>
      <c r="CB154" s="214">
        <f t="shared" ca="1" si="73"/>
        <v>1.4341930133203917</v>
      </c>
      <c r="CC154" s="176">
        <f>DANE!BC154</f>
        <v>214</v>
      </c>
      <c r="CD154" s="198">
        <f t="shared" si="12"/>
        <v>16384</v>
      </c>
      <c r="CE154" s="177">
        <f t="shared" ca="1" si="28"/>
        <v>175.42857142857142</v>
      </c>
      <c r="CF154" s="211">
        <f t="shared" si="45"/>
        <v>1131.36660183915</v>
      </c>
      <c r="CG154" s="200">
        <f t="shared" si="46"/>
        <v>5.7094077364774252E-2</v>
      </c>
      <c r="CH154" s="213">
        <f t="shared" si="47"/>
        <v>1.3996585415534197</v>
      </c>
      <c r="CI154" s="217">
        <f t="shared" ca="1" si="48"/>
        <v>1.3227151667059414</v>
      </c>
      <c r="CJ154" s="176">
        <f>DANE!BG154</f>
        <v>7</v>
      </c>
      <c r="CK154" s="198">
        <f t="shared" si="13"/>
        <v>974</v>
      </c>
      <c r="CL154" s="177">
        <f t="shared" ca="1" si="29"/>
        <v>4.2857142857142856</v>
      </c>
      <c r="CM154" s="211">
        <f t="shared" si="79"/>
        <v>38.412506896588113</v>
      </c>
      <c r="CN154" s="200">
        <f t="shared" si="86"/>
        <v>4.8149580030411566E-2</v>
      </c>
      <c r="CO154" s="213">
        <f t="shared" si="87"/>
        <v>1.337047060212881</v>
      </c>
      <c r="CP154" s="214">
        <f t="shared" ca="1" si="88"/>
        <v>0.72139595249544619</v>
      </c>
      <c r="CQ154" s="176">
        <f>DANE!BK154</f>
        <v>17</v>
      </c>
      <c r="CR154" s="198">
        <f t="shared" si="14"/>
        <v>379</v>
      </c>
      <c r="CS154" s="177">
        <f t="shared" ca="1" si="30"/>
        <v>6.4285714285714288</v>
      </c>
      <c r="CT154" s="211">
        <f t="shared" si="89"/>
        <v>46.547653191089793</v>
      </c>
      <c r="CU154" s="200">
        <f t="shared" si="90"/>
        <v>0.3502929722194294</v>
      </c>
      <c r="CV154" s="213">
        <f t="shared" si="91"/>
        <v>3.4520508055360057</v>
      </c>
      <c r="CW154" s="217">
        <f t="shared" ca="1" si="92"/>
        <v>1.4638275901087976</v>
      </c>
      <c r="CX154" s="176">
        <f>DANE!BO154</f>
        <v>39</v>
      </c>
      <c r="CY154" s="198">
        <f t="shared" si="15"/>
        <v>3780</v>
      </c>
      <c r="CZ154" s="177">
        <f t="shared" ca="1" si="31"/>
        <v>31.428571428571427</v>
      </c>
      <c r="DA154" s="211">
        <f t="shared" si="54"/>
        <v>220.72720847893208</v>
      </c>
      <c r="DB154" s="200">
        <f t="shared" si="58"/>
        <v>4.1092039592588454E-2</v>
      </c>
      <c r="DC154" s="213">
        <f t="shared" si="59"/>
        <v>1.2876442771481191</v>
      </c>
      <c r="DD154" s="214">
        <f t="shared" ca="1" si="60"/>
        <v>1.2018001886945426</v>
      </c>
      <c r="DE154" s="176">
        <f>DANE!BS154</f>
        <v>15</v>
      </c>
      <c r="DF154" s="198">
        <f t="shared" si="16"/>
        <v>741</v>
      </c>
      <c r="DG154" s="177">
        <f t="shared" ca="1" si="32"/>
        <v>7.5714285714285712</v>
      </c>
      <c r="DH154" s="211">
        <f t="shared" si="70"/>
        <v>48.007494578828094</v>
      </c>
      <c r="DI154" s="200">
        <f t="shared" si="74"/>
        <v>0.2466647830326755</v>
      </c>
      <c r="DJ154" s="157">
        <f t="shared" si="75"/>
        <v>2.7266534812287286</v>
      </c>
      <c r="DK154" s="225">
        <f t="shared" ca="1" si="76"/>
        <v>1.5582983432281174</v>
      </c>
      <c r="DL154" s="88"/>
      <c r="DM154" s="88"/>
      <c r="DN154" s="88"/>
      <c r="DO154" s="88"/>
      <c r="DP154" s="88"/>
      <c r="DQ154" s="88"/>
      <c r="DR154" s="88"/>
      <c r="DS154" s="88"/>
      <c r="DT154" s="88"/>
      <c r="DU154" s="88"/>
      <c r="DV154" s="88"/>
      <c r="DW154" s="88"/>
      <c r="DX154" s="88"/>
      <c r="DY154" s="88"/>
      <c r="DZ154" s="88"/>
      <c r="EA154" s="88"/>
      <c r="EB154" s="88"/>
      <c r="EC154" s="88"/>
      <c r="ED154" s="88"/>
      <c r="EE154" s="88"/>
      <c r="EF154" s="88"/>
      <c r="EG154" s="88"/>
      <c r="EH154" s="88"/>
    </row>
    <row r="155" spans="1:138" x14ac:dyDescent="0.25">
      <c r="A155" s="61">
        <v>44045</v>
      </c>
      <c r="B155" s="62" t="str">
        <f t="shared" ca="1" si="0"/>
        <v/>
      </c>
      <c r="C155" s="12">
        <f t="shared" si="93"/>
        <v>152</v>
      </c>
      <c r="D155" s="176">
        <f>DANE!K155</f>
        <v>16</v>
      </c>
      <c r="E155" s="198">
        <f t="shared" si="1"/>
        <v>3289</v>
      </c>
      <c r="F155" s="178">
        <f t="shared" ca="1" si="17"/>
        <v>18.285714285714285</v>
      </c>
      <c r="G155" s="211">
        <f t="shared" si="38"/>
        <v>117.49556588010567</v>
      </c>
      <c r="H155" s="200">
        <f t="shared" si="42"/>
        <v>-7.7351245170895798E-3</v>
      </c>
      <c r="I155" s="213">
        <f t="shared" si="43"/>
        <v>0.94585412838037297</v>
      </c>
      <c r="J155" s="214">
        <f t="shared" ca="1" si="44"/>
        <v>1.2429845007358964</v>
      </c>
      <c r="K155" s="176">
        <f>DANE!O155</f>
        <v>9</v>
      </c>
      <c r="L155" s="198">
        <f t="shared" si="2"/>
        <v>810</v>
      </c>
      <c r="M155" s="177">
        <f t="shared" ca="1" si="18"/>
        <v>8.7142857142857135</v>
      </c>
      <c r="N155" s="211">
        <f t="shared" si="62"/>
        <v>54.224862991775346</v>
      </c>
      <c r="O155" s="200">
        <f t="shared" si="66"/>
        <v>2.7719066863794176E-2</v>
      </c>
      <c r="P155" s="213">
        <f t="shared" si="67"/>
        <v>1.1940334680465592</v>
      </c>
      <c r="Q155" s="217">
        <f t="shared" ca="1" si="68"/>
        <v>1.6957329888182673</v>
      </c>
      <c r="R155" s="176">
        <f>DANE!S155</f>
        <v>7</v>
      </c>
      <c r="S155" s="198">
        <f t="shared" si="3"/>
        <v>1001</v>
      </c>
      <c r="T155" s="177">
        <f t="shared" ca="1" si="19"/>
        <v>11</v>
      </c>
      <c r="U155" s="211">
        <f t="shared" si="50"/>
        <v>75.755928046877344</v>
      </c>
      <c r="V155" s="200">
        <f t="shared" si="55"/>
        <v>-5.5591940125689056E-2</v>
      </c>
      <c r="W155" s="213">
        <f t="shared" si="56"/>
        <v>0.61085641912017663</v>
      </c>
      <c r="X155" s="214">
        <f t="shared" ca="1" si="57"/>
        <v>1.2762577674796121</v>
      </c>
      <c r="Y155" s="176">
        <f>DANE!W155</f>
        <v>9</v>
      </c>
      <c r="Z155" s="198">
        <f t="shared" si="4"/>
        <v>419</v>
      </c>
      <c r="AA155" s="177">
        <f t="shared" ca="1" si="20"/>
        <v>8.1428571428571423</v>
      </c>
      <c r="AB155" s="211">
        <f t="shared" si="94"/>
        <v>60.7976366025187</v>
      </c>
      <c r="AC155" s="200">
        <f t="shared" si="95"/>
        <v>6.0740868335687126E-3</v>
      </c>
      <c r="AD155" s="213">
        <f t="shared" si="96"/>
        <v>1.0425186078349811</v>
      </c>
      <c r="AE155" s="217">
        <f t="shared" ca="1" si="97"/>
        <v>0.9991871399519151</v>
      </c>
      <c r="AF155" s="176">
        <f>DANE!AA155</f>
        <v>13</v>
      </c>
      <c r="AG155" s="198">
        <f t="shared" si="5"/>
        <v>4032</v>
      </c>
      <c r="AH155" s="177">
        <f t="shared" ca="1" si="21"/>
        <v>32.714285714285715</v>
      </c>
      <c r="AI155" s="211">
        <f t="shared" si="37"/>
        <v>216.35295314364365</v>
      </c>
      <c r="AJ155" s="200">
        <f t="shared" si="39"/>
        <v>-8.8061493368904994E-2</v>
      </c>
      <c r="AK155" s="213">
        <f t="shared" si="40"/>
        <v>0.38356954641766505</v>
      </c>
      <c r="AL155" s="214">
        <f t="shared" ca="1" si="41"/>
        <v>1.128208971905281</v>
      </c>
      <c r="AM155" s="176">
        <f>DANE!AE155</f>
        <v>76</v>
      </c>
      <c r="AN155" s="198">
        <f t="shared" si="6"/>
        <v>3768</v>
      </c>
      <c r="AO155" s="177">
        <f t="shared" ca="1" si="22"/>
        <v>99.571428571428569</v>
      </c>
      <c r="AP155" s="211">
        <f t="shared" si="49"/>
        <v>660.99809050656745</v>
      </c>
      <c r="AQ155" s="200">
        <f t="shared" si="51"/>
        <v>-3.1501468026737776E-2</v>
      </c>
      <c r="AR155" s="213">
        <f t="shared" si="52"/>
        <v>0.77948972381283554</v>
      </c>
      <c r="AS155" s="217">
        <f t="shared" ca="1" si="53"/>
        <v>1.1864234047644011</v>
      </c>
      <c r="AT155" s="176">
        <f>DANE!AI155</f>
        <v>71</v>
      </c>
      <c r="AU155" s="198">
        <f t="shared" si="7"/>
        <v>6554</v>
      </c>
      <c r="AV155" s="177">
        <f t="shared" ca="1" si="23"/>
        <v>70.428571428571431</v>
      </c>
      <c r="AW155" s="211">
        <f t="shared" si="33"/>
        <v>453.91056203942122</v>
      </c>
      <c r="AX155" s="200">
        <f t="shared" si="34"/>
        <v>1.6075905458399681E-2</v>
      </c>
      <c r="AY155" s="213">
        <f t="shared" si="35"/>
        <v>1.1125313382087978</v>
      </c>
      <c r="AZ155" s="214">
        <f t="shared" ca="1" si="36"/>
        <v>1.262276740546205</v>
      </c>
      <c r="BA155" s="176">
        <f>DANE!AM155</f>
        <v>16</v>
      </c>
      <c r="BB155" s="198">
        <f t="shared" si="8"/>
        <v>1204</v>
      </c>
      <c r="BC155" s="177">
        <f t="shared" ca="1" si="24"/>
        <v>10.714285714285714</v>
      </c>
      <c r="BD155" s="211">
        <f t="shared" si="77"/>
        <v>79.529238817062264</v>
      </c>
      <c r="BE155" s="200">
        <f t="shared" si="80"/>
        <v>7.3016460693769158E-2</v>
      </c>
      <c r="BF155" s="213">
        <f t="shared" si="81"/>
        <v>1.5111152248563842</v>
      </c>
      <c r="BG155" s="217">
        <f t="shared" ca="1" si="82"/>
        <v>1.0352197237619054</v>
      </c>
      <c r="BH155" s="176">
        <f>DANE!AQ155</f>
        <v>23</v>
      </c>
      <c r="BI155" s="198">
        <f t="shared" si="9"/>
        <v>1353</v>
      </c>
      <c r="BJ155" s="177">
        <f t="shared" ca="1" si="25"/>
        <v>24.285714285714285</v>
      </c>
      <c r="BK155" s="211">
        <f t="shared" si="61"/>
        <v>159.46685066493305</v>
      </c>
      <c r="BL155" s="200">
        <f t="shared" si="63"/>
        <v>1.6049416580935978E-3</v>
      </c>
      <c r="BM155" s="213">
        <f t="shared" si="64"/>
        <v>1.0112345916066552</v>
      </c>
      <c r="BN155" s="214">
        <f t="shared" ca="1" si="65"/>
        <v>1.2934944705230413</v>
      </c>
      <c r="BO155" s="176">
        <f>DANE!AU155</f>
        <v>9</v>
      </c>
      <c r="BP155" s="198">
        <f t="shared" si="10"/>
        <v>988</v>
      </c>
      <c r="BQ155" s="177">
        <f t="shared" ca="1" si="26"/>
        <v>6.8571428571428568</v>
      </c>
      <c r="BR155" s="211">
        <f t="shared" si="78"/>
        <v>40.634289664895803</v>
      </c>
      <c r="BS155" s="200">
        <f t="shared" si="83"/>
        <v>0.10100120819178778</v>
      </c>
      <c r="BT155" s="213">
        <f t="shared" si="84"/>
        <v>1.7070084573425146</v>
      </c>
      <c r="BU155" s="217">
        <f t="shared" ca="1" si="85"/>
        <v>1.4360494470261707</v>
      </c>
      <c r="BV155" s="176">
        <f>DANE!AY155</f>
        <v>24</v>
      </c>
      <c r="BW155" s="198">
        <f t="shared" si="11"/>
        <v>943</v>
      </c>
      <c r="BX155" s="177">
        <f t="shared" ca="1" si="27"/>
        <v>16.285714285714285</v>
      </c>
      <c r="BY155" s="211">
        <f t="shared" si="69"/>
        <v>105.68966472965229</v>
      </c>
      <c r="BZ155" s="200">
        <f t="shared" si="71"/>
        <v>0.10896698495031781</v>
      </c>
      <c r="CA155" s="213">
        <f t="shared" si="72"/>
        <v>1.7627688946522246</v>
      </c>
      <c r="CB155" s="214">
        <f t="shared" ca="1" si="73"/>
        <v>1.392172881221692</v>
      </c>
      <c r="CC155" s="176">
        <f>DANE!BC155</f>
        <v>191</v>
      </c>
      <c r="CD155" s="198">
        <f t="shared" si="12"/>
        <v>16575</v>
      </c>
      <c r="CE155" s="177">
        <f t="shared" ca="1" si="28"/>
        <v>183.71428571428572</v>
      </c>
      <c r="CF155" s="211">
        <f t="shared" si="45"/>
        <v>1160.7428015764144</v>
      </c>
      <c r="CG155" s="200">
        <f t="shared" si="46"/>
        <v>2.5965235043628167E-2</v>
      </c>
      <c r="CH155" s="213">
        <f t="shared" si="47"/>
        <v>1.1817566453053971</v>
      </c>
      <c r="CI155" s="217">
        <f t="shared" ca="1" si="48"/>
        <v>1.3306259393916329</v>
      </c>
      <c r="CJ155" s="176">
        <f>DANE!BG155</f>
        <v>2</v>
      </c>
      <c r="CK155" s="198">
        <f t="shared" si="13"/>
        <v>976</v>
      </c>
      <c r="CL155" s="177">
        <f t="shared" ca="1" si="29"/>
        <v>4.1428571428571432</v>
      </c>
      <c r="CM155" s="211">
        <f t="shared" si="79"/>
        <v>34.925005911361239</v>
      </c>
      <c r="CN155" s="200">
        <f t="shared" si="86"/>
        <v>-9.0790767564734004E-2</v>
      </c>
      <c r="CO155" s="213">
        <f t="shared" si="87"/>
        <v>0.36446462704686189</v>
      </c>
      <c r="CP155" s="214">
        <f t="shared" ca="1" si="88"/>
        <v>0.71526531007784</v>
      </c>
      <c r="CQ155" s="176">
        <f>DANE!BK155</f>
        <v>5</v>
      </c>
      <c r="CR155" s="198">
        <f t="shared" si="14"/>
        <v>384</v>
      </c>
      <c r="CS155" s="177">
        <f t="shared" ca="1" si="30"/>
        <v>6.5714285714285712</v>
      </c>
      <c r="CT155" s="211">
        <f t="shared" si="89"/>
        <v>44.89798844950554</v>
      </c>
      <c r="CU155" s="200">
        <f t="shared" si="90"/>
        <v>-3.5440341853797991E-2</v>
      </c>
      <c r="CV155" s="213">
        <f t="shared" si="91"/>
        <v>0.75191760702341404</v>
      </c>
      <c r="CW155" s="217">
        <f t="shared" ca="1" si="92"/>
        <v>1.4444814305598315</v>
      </c>
      <c r="CX155" s="176">
        <f>DANE!BO155</f>
        <v>72</v>
      </c>
      <c r="CY155" s="198">
        <f t="shared" si="15"/>
        <v>3852</v>
      </c>
      <c r="CZ155" s="177">
        <f t="shared" ca="1" si="31"/>
        <v>38.285714285714285</v>
      </c>
      <c r="DA155" s="211">
        <f t="shared" si="54"/>
        <v>261.19475012479893</v>
      </c>
      <c r="DB155" s="200">
        <f t="shared" si="58"/>
        <v>0.18333735077218349</v>
      </c>
      <c r="DC155" s="213">
        <f t="shared" si="59"/>
        <v>2.2833614554052843</v>
      </c>
      <c r="DD155" s="214">
        <f t="shared" ca="1" si="60"/>
        <v>1.3987962851049782</v>
      </c>
      <c r="DE155" s="176">
        <f>DANE!BS155</f>
        <v>5</v>
      </c>
      <c r="DF155" s="198">
        <f t="shared" si="16"/>
        <v>746</v>
      </c>
      <c r="DG155" s="177">
        <f t="shared" ca="1" si="32"/>
        <v>7.2857142857142856</v>
      </c>
      <c r="DH155" s="211">
        <f t="shared" si="70"/>
        <v>46.149281067566939</v>
      </c>
      <c r="DI155" s="200">
        <f t="shared" si="74"/>
        <v>-3.8706737928386928E-2</v>
      </c>
      <c r="DJ155" s="157">
        <f t="shared" si="75"/>
        <v>0.72905283450129144</v>
      </c>
      <c r="DK155" s="225">
        <f t="shared" ca="1" si="76"/>
        <v>1.4230527243147182</v>
      </c>
      <c r="DL155" s="88"/>
      <c r="DM155" s="88"/>
      <c r="DN155" s="88"/>
      <c r="DO155" s="88"/>
      <c r="DP155" s="88"/>
      <c r="DQ155" s="88"/>
      <c r="DR155" s="88"/>
      <c r="DS155" s="88"/>
      <c r="DT155" s="88"/>
      <c r="DU155" s="88"/>
      <c r="DV155" s="88"/>
      <c r="DW155" s="88"/>
      <c r="DX155" s="88"/>
      <c r="DY155" s="88"/>
      <c r="DZ155" s="88"/>
      <c r="EA155" s="88"/>
      <c r="EB155" s="88"/>
      <c r="EC155" s="88"/>
      <c r="ED155" s="88"/>
      <c r="EE155" s="88"/>
      <c r="EF155" s="88"/>
      <c r="EG155" s="88"/>
      <c r="EH155" s="88"/>
    </row>
    <row r="156" spans="1:138" x14ac:dyDescent="0.25">
      <c r="A156" s="32">
        <v>44046</v>
      </c>
      <c r="B156" s="33" t="str">
        <f t="shared" ca="1" si="0"/>
        <v/>
      </c>
      <c r="C156" s="51">
        <f t="shared" si="93"/>
        <v>153</v>
      </c>
      <c r="D156" s="176">
        <f>DANE!K156</f>
        <v>17</v>
      </c>
      <c r="E156" s="188">
        <f t="shared" si="1"/>
        <v>3306</v>
      </c>
      <c r="F156" s="178">
        <f t="shared" ca="1" si="17"/>
        <v>19.428571428571427</v>
      </c>
      <c r="G156" s="209">
        <f t="shared" si="38"/>
        <v>117.71048504009059</v>
      </c>
      <c r="H156" s="179">
        <f t="shared" si="42"/>
        <v>1.829168261585488E-3</v>
      </c>
      <c r="I156" s="213">
        <f t="shared" si="43"/>
        <v>1.0128041778310983</v>
      </c>
      <c r="J156" s="214">
        <f t="shared" ca="1" si="44"/>
        <v>1.2940801362992997</v>
      </c>
      <c r="K156" s="176">
        <f>DANE!O156</f>
        <v>9</v>
      </c>
      <c r="L156" s="188">
        <f t="shared" si="2"/>
        <v>819</v>
      </c>
      <c r="M156" s="177">
        <f t="shared" ca="1" si="18"/>
        <v>9.8571428571428577</v>
      </c>
      <c r="N156" s="209">
        <f t="shared" si="62"/>
        <v>55.4784539929503</v>
      </c>
      <c r="O156" s="179">
        <f t="shared" si="66"/>
        <v>2.3118380241275931E-2</v>
      </c>
      <c r="P156" s="213">
        <f t="shared" si="67"/>
        <v>1.1618286616889315</v>
      </c>
      <c r="Q156" s="217">
        <f t="shared" ca="1" si="68"/>
        <v>1.8276960261958641</v>
      </c>
      <c r="R156" s="176">
        <f>DANE!S156</f>
        <v>13</v>
      </c>
      <c r="S156" s="188">
        <f t="shared" si="3"/>
        <v>1014</v>
      </c>
      <c r="T156" s="177">
        <f t="shared" ca="1" si="19"/>
        <v>12.428571428571429</v>
      </c>
      <c r="U156" s="209">
        <f t="shared" si="50"/>
        <v>77.933652611609162</v>
      </c>
      <c r="V156" s="179">
        <f t="shared" si="55"/>
        <v>2.8746589486492124E-2</v>
      </c>
      <c r="W156" s="213">
        <f t="shared" si="56"/>
        <v>1.2012261264054449</v>
      </c>
      <c r="X156" s="214">
        <f t="shared" ca="1" si="57"/>
        <v>1.3988367183956396</v>
      </c>
      <c r="Y156" s="176">
        <f>DANE!W156</f>
        <v>13</v>
      </c>
      <c r="Z156" s="188">
        <f t="shared" si="4"/>
        <v>432</v>
      </c>
      <c r="AA156" s="177">
        <f t="shared" ca="1" si="20"/>
        <v>9.4285714285714288</v>
      </c>
      <c r="AB156" s="209">
        <f t="shared" si="94"/>
        <v>65.112259945016035</v>
      </c>
      <c r="AC156" s="179">
        <f t="shared" si="95"/>
        <v>7.0966958316247941E-2</v>
      </c>
      <c r="AD156" s="213">
        <f t="shared" si="96"/>
        <v>1.4967687082137355</v>
      </c>
      <c r="AE156" s="217">
        <f t="shared" ca="1" si="97"/>
        <v>1.147860827819674</v>
      </c>
      <c r="AF156" s="176">
        <f>DANE!AA156</f>
        <v>20</v>
      </c>
      <c r="AG156" s="188">
        <f t="shared" si="5"/>
        <v>4052</v>
      </c>
      <c r="AH156" s="177">
        <f t="shared" ca="1" si="21"/>
        <v>33</v>
      </c>
      <c r="AI156" s="209">
        <f t="shared" si="37"/>
        <v>205.44538840883743</v>
      </c>
      <c r="AJ156" s="179">
        <f t="shared" si="39"/>
        <v>-5.0415603652816027E-2</v>
      </c>
      <c r="AK156" s="213">
        <f t="shared" si="40"/>
        <v>0.64709077443028784</v>
      </c>
      <c r="AL156" s="214">
        <f t="shared" ca="1" si="41"/>
        <v>1.1284640887034398</v>
      </c>
      <c r="AM156" s="176">
        <f>DANE!AE156</f>
        <v>78</v>
      </c>
      <c r="AN156" s="188">
        <f t="shared" si="6"/>
        <v>3846</v>
      </c>
      <c r="AO156" s="177">
        <f t="shared" ca="1" si="22"/>
        <v>102</v>
      </c>
      <c r="AP156" s="209">
        <f t="shared" si="49"/>
        <v>644.56979186277215</v>
      </c>
      <c r="AQ156" s="179">
        <f t="shared" si="51"/>
        <v>-2.4853776251010328E-2</v>
      </c>
      <c r="AR156" s="213">
        <f t="shared" si="52"/>
        <v>0.82602356624292772</v>
      </c>
      <c r="AS156" s="217">
        <f t="shared" ca="1" si="53"/>
        <v>1.1945728336310399</v>
      </c>
      <c r="AT156" s="176">
        <f>DANE!AI156</f>
        <v>82</v>
      </c>
      <c r="AU156" s="188">
        <f t="shared" si="7"/>
        <v>6636</v>
      </c>
      <c r="AV156" s="177">
        <f t="shared" ca="1" si="23"/>
        <v>73.857142857142861</v>
      </c>
      <c r="AW156" s="209">
        <f t="shared" si="33"/>
        <v>471.06619603378965</v>
      </c>
      <c r="AX156" s="179">
        <f t="shared" si="34"/>
        <v>3.7795185724007224E-2</v>
      </c>
      <c r="AY156" s="213">
        <f t="shared" si="35"/>
        <v>1.2645663000680507</v>
      </c>
      <c r="AZ156" s="214">
        <f t="shared" ca="1" si="36"/>
        <v>1.2791168060613987</v>
      </c>
      <c r="BA156" s="176">
        <f>DANE!AM156</f>
        <v>3</v>
      </c>
      <c r="BB156" s="188">
        <f t="shared" si="8"/>
        <v>1207</v>
      </c>
      <c r="BC156" s="177">
        <f t="shared" ca="1" si="24"/>
        <v>11</v>
      </c>
      <c r="BD156" s="209">
        <f t="shared" si="77"/>
        <v>71.16791898605338</v>
      </c>
      <c r="BE156" s="179">
        <f t="shared" si="80"/>
        <v>-0.10513516733439476</v>
      </c>
      <c r="BF156" s="213">
        <f t="shared" si="81"/>
        <v>0.26405382865923666</v>
      </c>
      <c r="BG156" s="217">
        <f t="shared" ca="1" si="82"/>
        <v>1.0602462109151538</v>
      </c>
      <c r="BH156" s="176">
        <f>DANE!AQ156</f>
        <v>42</v>
      </c>
      <c r="BI156" s="188">
        <f t="shared" si="9"/>
        <v>1395</v>
      </c>
      <c r="BJ156" s="177">
        <f t="shared" ca="1" si="25"/>
        <v>29.428571428571427</v>
      </c>
      <c r="BK156" s="209">
        <f t="shared" si="61"/>
        <v>178.68587199851405</v>
      </c>
      <c r="BL156" s="179">
        <f t="shared" si="63"/>
        <v>0.12052047966986836</v>
      </c>
      <c r="BM156" s="213">
        <f t="shared" si="64"/>
        <v>1.8436433576890785</v>
      </c>
      <c r="BN156" s="214">
        <f t="shared" ca="1" si="65"/>
        <v>1.507947554041779</v>
      </c>
      <c r="BO156" s="176">
        <f>DANE!AU156</f>
        <v>10</v>
      </c>
      <c r="BP156" s="188">
        <f t="shared" si="10"/>
        <v>998</v>
      </c>
      <c r="BQ156" s="177">
        <f t="shared" ca="1" si="26"/>
        <v>7.2857142857142856</v>
      </c>
      <c r="BR156" s="209">
        <f t="shared" si="78"/>
        <v>44.829391141339265</v>
      </c>
      <c r="BS156" s="179">
        <f t="shared" si="83"/>
        <v>0.1032404284913004</v>
      </c>
      <c r="BT156" s="213">
        <f t="shared" si="84"/>
        <v>1.7226829994391029</v>
      </c>
      <c r="BU156" s="217">
        <f t="shared" ca="1" si="85"/>
        <v>1.4216363954090299</v>
      </c>
      <c r="BV156" s="176">
        <f>DANE!AY156</f>
        <v>20</v>
      </c>
      <c r="BW156" s="188">
        <f t="shared" si="11"/>
        <v>963</v>
      </c>
      <c r="BX156" s="177">
        <f t="shared" ca="1" si="27"/>
        <v>18.714285714285715</v>
      </c>
      <c r="BY156" s="209">
        <f t="shared" si="69"/>
        <v>110.59114119684483</v>
      </c>
      <c r="BZ156" s="179">
        <f t="shared" si="71"/>
        <v>4.6376118986943667E-2</v>
      </c>
      <c r="CA156" s="213">
        <f t="shared" si="72"/>
        <v>1.3246328329086057</v>
      </c>
      <c r="CB156" s="214">
        <f t="shared" ca="1" si="73"/>
        <v>1.5410959941482123</v>
      </c>
      <c r="CC156" s="176">
        <f>DANE!BC156</f>
        <v>146</v>
      </c>
      <c r="CD156" s="188">
        <f t="shared" si="12"/>
        <v>16721</v>
      </c>
      <c r="CE156" s="177">
        <f t="shared" ca="1" si="28"/>
        <v>183.14285714285714</v>
      </c>
      <c r="CF156" s="209">
        <f t="shared" si="45"/>
        <v>1140.9224013512126</v>
      </c>
      <c r="CG156" s="179">
        <f t="shared" si="46"/>
        <v>-1.7075617611656619E-2</v>
      </c>
      <c r="CH156" s="213">
        <f t="shared" si="47"/>
        <v>0.88047067671840362</v>
      </c>
      <c r="CI156" s="217">
        <f t="shared" ca="1" si="48"/>
        <v>1.2781466144448406</v>
      </c>
      <c r="CJ156" s="176">
        <f>DANE!BG156</f>
        <v>8</v>
      </c>
      <c r="CK156" s="188">
        <f t="shared" si="13"/>
        <v>984</v>
      </c>
      <c r="CL156" s="177">
        <f t="shared" ca="1" si="29"/>
        <v>5</v>
      </c>
      <c r="CM156" s="209">
        <f t="shared" si="79"/>
        <v>37.935719352595349</v>
      </c>
      <c r="CN156" s="179">
        <f t="shared" si="86"/>
        <v>8.6205094678443936E-2</v>
      </c>
      <c r="CO156" s="213">
        <f t="shared" si="87"/>
        <v>1.6034356627491075</v>
      </c>
      <c r="CP156" s="214">
        <f t="shared" ca="1" si="88"/>
        <v>0.90194109327818528</v>
      </c>
      <c r="CQ156" s="176">
        <f>DANE!BK156</f>
        <v>1</v>
      </c>
      <c r="CR156" s="188">
        <f t="shared" si="14"/>
        <v>385</v>
      </c>
      <c r="CS156" s="177">
        <f t="shared" ca="1" si="30"/>
        <v>6.7142857142857144</v>
      </c>
      <c r="CT156" s="209">
        <f t="shared" si="89"/>
        <v>39.483990099576182</v>
      </c>
      <c r="CU156" s="179">
        <f t="shared" si="90"/>
        <v>-0.12058443010243551</v>
      </c>
      <c r="CV156" s="213">
        <f t="shared" si="91"/>
        <v>0.15590898928295138</v>
      </c>
      <c r="CW156" s="217">
        <f t="shared" ca="1" si="92"/>
        <v>1.4667541433145388</v>
      </c>
      <c r="CX156" s="176">
        <f>DANE!BO156</f>
        <v>98</v>
      </c>
      <c r="CY156" s="188">
        <f t="shared" si="15"/>
        <v>3950</v>
      </c>
      <c r="CZ156" s="177">
        <f t="shared" ca="1" si="31"/>
        <v>50.571428571428569</v>
      </c>
      <c r="DA156" s="209">
        <f t="shared" si="54"/>
        <v>321.8812143926848</v>
      </c>
      <c r="DB156" s="179">
        <f t="shared" si="58"/>
        <v>0.23234182248643917</v>
      </c>
      <c r="DC156" s="213">
        <f t="shared" si="59"/>
        <v>2.6263927574050743</v>
      </c>
      <c r="DD156" s="214">
        <f t="shared" ca="1" si="60"/>
        <v>1.7085014892135126</v>
      </c>
      <c r="DE156" s="176">
        <f>DANE!BS156</f>
        <v>15</v>
      </c>
      <c r="DF156" s="188">
        <f t="shared" si="16"/>
        <v>761</v>
      </c>
      <c r="DG156" s="177">
        <f t="shared" ca="1" si="32"/>
        <v>9.1428571428571423</v>
      </c>
      <c r="DH156" s="209">
        <f t="shared" si="70"/>
        <v>54.556526629343097</v>
      </c>
      <c r="DI156" s="179">
        <f t="shared" si="74"/>
        <v>0.18217500613860377</v>
      </c>
      <c r="DJ156" s="157">
        <f t="shared" si="75"/>
        <v>2.2752250429702263</v>
      </c>
      <c r="DK156" s="225">
        <f t="shared" ca="1" si="76"/>
        <v>1.685707820256533</v>
      </c>
      <c r="DL156" s="89"/>
      <c r="DM156" s="89"/>
      <c r="DN156" s="89"/>
      <c r="DO156" s="89"/>
      <c r="DP156" s="89"/>
      <c r="DQ156" s="89"/>
      <c r="DR156" s="89"/>
      <c r="DS156" s="89"/>
      <c r="DT156" s="89"/>
      <c r="DU156" s="89"/>
      <c r="DV156" s="89"/>
      <c r="DW156" s="89"/>
      <c r="DX156" s="89"/>
      <c r="DY156" s="89"/>
      <c r="DZ156" s="89"/>
      <c r="EA156" s="89"/>
      <c r="EB156" s="89"/>
      <c r="EC156" s="89"/>
      <c r="ED156" s="89"/>
      <c r="EE156" s="89"/>
      <c r="EF156" s="89"/>
      <c r="EG156" s="89"/>
      <c r="EH156" s="89"/>
    </row>
    <row r="157" spans="1:138" x14ac:dyDescent="0.25">
      <c r="A157" s="32">
        <v>44047</v>
      </c>
      <c r="B157" s="33" t="str">
        <f t="shared" ca="1" si="0"/>
        <v/>
      </c>
      <c r="C157" s="51">
        <f t="shared" si="93"/>
        <v>154</v>
      </c>
      <c r="D157" s="176">
        <f>DANE!K157</f>
        <v>47</v>
      </c>
      <c r="E157" s="188">
        <f t="shared" si="1"/>
        <v>3353</v>
      </c>
      <c r="F157" s="178">
        <f t="shared" ca="1" si="17"/>
        <v>21.714285714285715</v>
      </c>
      <c r="G157" s="209">
        <f t="shared" si="38"/>
        <v>147.89470146293479</v>
      </c>
      <c r="H157" s="179">
        <f t="shared" si="42"/>
        <v>0.25642759362145068</v>
      </c>
      <c r="I157" s="213">
        <f t="shared" si="43"/>
        <v>2.7949931553501548</v>
      </c>
      <c r="J157" s="214">
        <f t="shared" ca="1" si="44"/>
        <v>1.3542920712185953</v>
      </c>
      <c r="K157" s="176">
        <f>DANE!O157</f>
        <v>3</v>
      </c>
      <c r="L157" s="188">
        <f t="shared" si="2"/>
        <v>822</v>
      </c>
      <c r="M157" s="177">
        <f t="shared" ca="1" si="18"/>
        <v>9.7142857142857135</v>
      </c>
      <c r="N157" s="209">
        <f t="shared" si="62"/>
        <v>50.552960565385973</v>
      </c>
      <c r="O157" s="179">
        <f t="shared" si="66"/>
        <v>-8.8782095986132084E-2</v>
      </c>
      <c r="P157" s="213">
        <f t="shared" si="67"/>
        <v>0.3785253280970754</v>
      </c>
      <c r="Q157" s="217">
        <f t="shared" ca="1" si="68"/>
        <v>1.7291041514434262</v>
      </c>
      <c r="R157" s="176">
        <f>DANE!S157</f>
        <v>8</v>
      </c>
      <c r="S157" s="188">
        <f t="shared" si="3"/>
        <v>1022</v>
      </c>
      <c r="T157" s="177">
        <f t="shared" ca="1" si="19"/>
        <v>13.571428571428571</v>
      </c>
      <c r="U157" s="209">
        <f t="shared" si="50"/>
        <v>74.800273667093578</v>
      </c>
      <c r="V157" s="179">
        <f t="shared" si="55"/>
        <v>-4.0205724222000978E-2</v>
      </c>
      <c r="W157" s="213">
        <f t="shared" si="56"/>
        <v>0.71855993044599309</v>
      </c>
      <c r="X157" s="214">
        <f t="shared" ca="1" si="57"/>
        <v>1.5014881370307815</v>
      </c>
      <c r="Y157" s="176">
        <f>DANE!W157</f>
        <v>5</v>
      </c>
      <c r="Z157" s="188">
        <f t="shared" si="4"/>
        <v>437</v>
      </c>
      <c r="AA157" s="177">
        <f t="shared" ca="1" si="20"/>
        <v>9.5714285714285712</v>
      </c>
      <c r="AB157" s="209">
        <f t="shared" si="94"/>
        <v>60.810508524299465</v>
      </c>
      <c r="AC157" s="179">
        <f t="shared" si="95"/>
        <v>-6.6066688890067379E-2</v>
      </c>
      <c r="AD157" s="213">
        <f t="shared" si="96"/>
        <v>0.53753317776952825</v>
      </c>
      <c r="AE157" s="217">
        <f t="shared" ca="1" si="97"/>
        <v>1.1540116974016754</v>
      </c>
      <c r="AF157" s="176">
        <f>DANE!AA157</f>
        <v>39</v>
      </c>
      <c r="AG157" s="188">
        <f t="shared" si="5"/>
        <v>4091</v>
      </c>
      <c r="AH157" s="177">
        <f t="shared" ca="1" si="21"/>
        <v>34.428571428571431</v>
      </c>
      <c r="AI157" s="209">
        <f t="shared" si="37"/>
        <v>215.09604720757494</v>
      </c>
      <c r="AJ157" s="179">
        <f t="shared" si="39"/>
        <v>4.6974326722450672E-2</v>
      </c>
      <c r="AK157" s="213">
        <f t="shared" si="40"/>
        <v>1.3288202870571548</v>
      </c>
      <c r="AL157" s="214">
        <f t="shared" ca="1" si="41"/>
        <v>1.1618455544416741</v>
      </c>
      <c r="AM157" s="176">
        <f>DANE!AE157</f>
        <v>88</v>
      </c>
      <c r="AN157" s="188">
        <f t="shared" si="6"/>
        <v>3934</v>
      </c>
      <c r="AO157" s="177">
        <f t="shared" ca="1" si="22"/>
        <v>101.57142857142857</v>
      </c>
      <c r="AP157" s="209">
        <f t="shared" si="49"/>
        <v>640.48839302523334</v>
      </c>
      <c r="AQ157" s="179">
        <f t="shared" si="51"/>
        <v>-6.3319734946681097E-3</v>
      </c>
      <c r="AR157" s="213">
        <f t="shared" si="52"/>
        <v>0.95567618553732325</v>
      </c>
      <c r="AS157" s="217">
        <f t="shared" ca="1" si="53"/>
        <v>1.1616243652690379</v>
      </c>
      <c r="AT157" s="176">
        <f>DANE!AI157</f>
        <v>49</v>
      </c>
      <c r="AU157" s="188">
        <f t="shared" si="7"/>
        <v>6685</v>
      </c>
      <c r="AV157" s="177">
        <f t="shared" ca="1" si="23"/>
        <v>72</v>
      </c>
      <c r="AW157" s="209">
        <f t="shared" si="33"/>
        <v>452.77102517181976</v>
      </c>
      <c r="AX157" s="179">
        <f t="shared" si="34"/>
        <v>-3.8837791834796777E-2</v>
      </c>
      <c r="AY157" s="213">
        <f t="shared" si="35"/>
        <v>0.72813545715642247</v>
      </c>
      <c r="AZ157" s="214">
        <f t="shared" ca="1" si="36"/>
        <v>1.2116206251542254</v>
      </c>
      <c r="BA157" s="176">
        <f>DANE!AM157</f>
        <v>7</v>
      </c>
      <c r="BB157" s="188">
        <f t="shared" si="8"/>
        <v>1214</v>
      </c>
      <c r="BC157" s="177">
        <f t="shared" ca="1" si="24"/>
        <v>9.7142857142857135</v>
      </c>
      <c r="BD157" s="209">
        <f t="shared" si="77"/>
        <v>68.001073416617189</v>
      </c>
      <c r="BE157" s="179">
        <f t="shared" si="80"/>
        <v>-4.4498217940822336E-2</v>
      </c>
      <c r="BF157" s="213">
        <f t="shared" si="81"/>
        <v>0.68851247441424368</v>
      </c>
      <c r="BG157" s="217">
        <f t="shared" ca="1" si="82"/>
        <v>0.92508149898565251</v>
      </c>
      <c r="BH157" s="176">
        <f>DANE!AQ157</f>
        <v>41</v>
      </c>
      <c r="BI157" s="188">
        <f t="shared" si="9"/>
        <v>1436</v>
      </c>
      <c r="BJ157" s="177">
        <f t="shared" ca="1" si="25"/>
        <v>32.571428571428569</v>
      </c>
      <c r="BK157" s="209">
        <f t="shared" si="61"/>
        <v>194.1593188558692</v>
      </c>
      <c r="BL157" s="179">
        <f t="shared" si="63"/>
        <v>8.6595804605547291E-2</v>
      </c>
      <c r="BM157" s="213">
        <f t="shared" si="64"/>
        <v>1.6061706322388312</v>
      </c>
      <c r="BN157" s="214">
        <f t="shared" ca="1" si="65"/>
        <v>1.566411337213107</v>
      </c>
      <c r="BO157" s="176">
        <f>DANE!AU157</f>
        <v>15</v>
      </c>
      <c r="BP157" s="188">
        <f t="shared" si="10"/>
        <v>1013</v>
      </c>
      <c r="BQ157" s="177">
        <f t="shared" ca="1" si="26"/>
        <v>8.2857142857142865</v>
      </c>
      <c r="BR157" s="209">
        <f t="shared" si="78"/>
        <v>53.42519240686223</v>
      </c>
      <c r="BS157" s="179">
        <f t="shared" si="83"/>
        <v>0.19174476937288532</v>
      </c>
      <c r="BT157" s="213">
        <f t="shared" si="84"/>
        <v>2.3422133856101972</v>
      </c>
      <c r="BU157" s="217">
        <f t="shared" ca="1" si="85"/>
        <v>1.48985303568742</v>
      </c>
      <c r="BV157" s="176">
        <f>DANE!AY157</f>
        <v>17</v>
      </c>
      <c r="BW157" s="188">
        <f t="shared" si="11"/>
        <v>980</v>
      </c>
      <c r="BX157" s="177">
        <f t="shared" ca="1" si="27"/>
        <v>19</v>
      </c>
      <c r="BY157" s="209">
        <f t="shared" si="69"/>
        <v>111.79240674015271</v>
      </c>
      <c r="BZ157" s="179">
        <f t="shared" si="71"/>
        <v>1.0862222148243421E-2</v>
      </c>
      <c r="CA157" s="213">
        <f t="shared" si="72"/>
        <v>1.0760355550377039</v>
      </c>
      <c r="CB157" s="214">
        <f t="shared" ca="1" si="73"/>
        <v>1.4702345251413693</v>
      </c>
      <c r="CC157" s="176">
        <f>DANE!BC157</f>
        <v>222</v>
      </c>
      <c r="CD157" s="188">
        <f t="shared" si="12"/>
        <v>16943</v>
      </c>
      <c r="CE157" s="177">
        <f t="shared" ca="1" si="28"/>
        <v>191.85714285714286</v>
      </c>
      <c r="CF157" s="209">
        <f t="shared" si="45"/>
        <v>1199.9334868724679</v>
      </c>
      <c r="CG157" s="179">
        <f t="shared" si="46"/>
        <v>5.1722260384551667E-2</v>
      </c>
      <c r="CH157" s="213">
        <f t="shared" si="47"/>
        <v>1.3620558226918618</v>
      </c>
      <c r="CI157" s="217">
        <f t="shared" ca="1" si="48"/>
        <v>1.2879349925199792</v>
      </c>
      <c r="CJ157" s="176">
        <f>DANE!BG157</f>
        <v>26</v>
      </c>
      <c r="CK157" s="188">
        <f t="shared" si="13"/>
        <v>1010</v>
      </c>
      <c r="CL157" s="177">
        <f t="shared" ca="1" si="29"/>
        <v>7.8571428571428568</v>
      </c>
      <c r="CM157" s="209">
        <f t="shared" si="79"/>
        <v>58.51633087365316</v>
      </c>
      <c r="CN157" s="179">
        <f t="shared" si="86"/>
        <v>0.54251275242128238</v>
      </c>
      <c r="CO157" s="213">
        <f t="shared" si="87"/>
        <v>4.797589266948977</v>
      </c>
      <c r="CP157" s="214">
        <f t="shared" ca="1" si="88"/>
        <v>1.4459488768575746</v>
      </c>
      <c r="CQ157" s="176">
        <f>DANE!BK157</f>
        <v>4</v>
      </c>
      <c r="CR157" s="188">
        <f t="shared" si="14"/>
        <v>389</v>
      </c>
      <c r="CS157" s="177">
        <f t="shared" ca="1" si="30"/>
        <v>6.5714285714285712</v>
      </c>
      <c r="CT157" s="209">
        <f t="shared" si="89"/>
        <v>37.843420085351013</v>
      </c>
      <c r="CU157" s="179">
        <f t="shared" si="90"/>
        <v>-4.1550258980608414E-2</v>
      </c>
      <c r="CV157" s="213">
        <f t="shared" si="91"/>
        <v>0.70914818713574101</v>
      </c>
      <c r="CW157" s="217">
        <f t="shared" ca="1" si="92"/>
        <v>1.3801744963049156</v>
      </c>
      <c r="CX157" s="176">
        <f>DANE!BO157</f>
        <v>94</v>
      </c>
      <c r="CY157" s="188">
        <f t="shared" si="15"/>
        <v>4044</v>
      </c>
      <c r="CZ157" s="177">
        <f t="shared" ca="1" si="31"/>
        <v>57.571428571428569</v>
      </c>
      <c r="DA157" s="209">
        <f t="shared" si="54"/>
        <v>369.89818376515842</v>
      </c>
      <c r="DB157" s="179">
        <f t="shared" si="58"/>
        <v>0.14917605385288021</v>
      </c>
      <c r="DC157" s="213">
        <f t="shared" si="59"/>
        <v>2.0442323769701618</v>
      </c>
      <c r="DD157" s="214">
        <f t="shared" ca="1" si="60"/>
        <v>1.7343393065734058</v>
      </c>
      <c r="DE157" s="176">
        <f>DANE!BS157</f>
        <v>15</v>
      </c>
      <c r="DF157" s="188">
        <f t="shared" si="16"/>
        <v>776</v>
      </c>
      <c r="DG157" s="177">
        <f t="shared" ca="1" si="32"/>
        <v>10.428571428571429</v>
      </c>
      <c r="DH157" s="209">
        <f t="shared" si="70"/>
        <v>61.762737110865515</v>
      </c>
      <c r="DI157" s="179">
        <f t="shared" si="74"/>
        <v>0.13208704671544425</v>
      </c>
      <c r="DJ157" s="157">
        <f t="shared" si="75"/>
        <v>1.9246093270081097</v>
      </c>
      <c r="DK157" s="225">
        <f t="shared" ca="1" si="76"/>
        <v>1.7571423771537948</v>
      </c>
      <c r="DL157" s="89"/>
      <c r="DM157" s="89"/>
      <c r="DN157" s="89"/>
      <c r="DO157" s="89"/>
      <c r="DP157" s="89"/>
      <c r="DQ157" s="89"/>
      <c r="DR157" s="89"/>
      <c r="DS157" s="89"/>
      <c r="DT157" s="89"/>
      <c r="DU157" s="89"/>
      <c r="DV157" s="89"/>
      <c r="DW157" s="89"/>
      <c r="DX157" s="89"/>
      <c r="DY157" s="89"/>
      <c r="DZ157" s="89"/>
      <c r="EA157" s="89"/>
      <c r="EB157" s="89"/>
      <c r="EC157" s="89"/>
      <c r="ED157" s="89"/>
      <c r="EE157" s="89"/>
      <c r="EF157" s="89"/>
      <c r="EG157" s="89"/>
      <c r="EH157" s="89"/>
    </row>
    <row r="158" spans="1:138" x14ac:dyDescent="0.25">
      <c r="A158" s="32">
        <v>44048</v>
      </c>
      <c r="B158" s="33" t="str">
        <f t="shared" ca="1" si="0"/>
        <v/>
      </c>
      <c r="C158" s="51">
        <f t="shared" si="93"/>
        <v>155</v>
      </c>
      <c r="D158" s="176">
        <f>DANE!K158</f>
        <v>22</v>
      </c>
      <c r="E158" s="188">
        <f t="shared" si="1"/>
        <v>3375</v>
      </c>
      <c r="F158" s="178">
        <f t="shared" ca="1" si="17"/>
        <v>22.428571428571427</v>
      </c>
      <c r="G158" s="209">
        <f t="shared" si="38"/>
        <v>148.76688696822981</v>
      </c>
      <c r="H158" s="179">
        <f t="shared" si="42"/>
        <v>5.8973411262715726E-3</v>
      </c>
      <c r="I158" s="213">
        <f t="shared" si="43"/>
        <v>1.0412813878839011</v>
      </c>
      <c r="J158" s="214">
        <f t="shared" ca="1" si="44"/>
        <v>1.3476037235608185</v>
      </c>
      <c r="K158" s="176">
        <f>DANE!O158</f>
        <v>5</v>
      </c>
      <c r="L158" s="188">
        <f t="shared" si="2"/>
        <v>827</v>
      </c>
      <c r="M158" s="177">
        <f t="shared" ca="1" si="18"/>
        <v>9</v>
      </c>
      <c r="N158" s="209">
        <f t="shared" si="62"/>
        <v>48.331109056045122</v>
      </c>
      <c r="O158" s="179">
        <f t="shared" si="66"/>
        <v>-4.3950967153883587E-2</v>
      </c>
      <c r="P158" s="213">
        <f t="shared" si="67"/>
        <v>0.69234322992281494</v>
      </c>
      <c r="Q158" s="217">
        <f t="shared" ca="1" si="68"/>
        <v>1.4500507231855233</v>
      </c>
      <c r="R158" s="176">
        <f>DANE!S158</f>
        <v>25</v>
      </c>
      <c r="S158" s="188">
        <f t="shared" si="3"/>
        <v>1047</v>
      </c>
      <c r="T158" s="177">
        <f t="shared" ca="1" si="19"/>
        <v>14.571428571428571</v>
      </c>
      <c r="U158" s="209">
        <f t="shared" si="50"/>
        <v>89.114520286080207</v>
      </c>
      <c r="V158" s="179">
        <f t="shared" si="55"/>
        <v>0.19136623326665458</v>
      </c>
      <c r="W158" s="213">
        <f t="shared" si="56"/>
        <v>2.3395636328665823</v>
      </c>
      <c r="X158" s="214">
        <f t="shared" ca="1" si="57"/>
        <v>1.457002921734754</v>
      </c>
      <c r="Y158" s="176">
        <f>DANE!W158</f>
        <v>13</v>
      </c>
      <c r="Z158" s="188">
        <f t="shared" si="4"/>
        <v>450</v>
      </c>
      <c r="AA158" s="177">
        <f t="shared" ca="1" si="20"/>
        <v>10</v>
      </c>
      <c r="AB158" s="209">
        <f t="shared" si="94"/>
        <v>65.123293020828115</v>
      </c>
      <c r="AC158" s="179">
        <f t="shared" si="95"/>
        <v>7.0921697601086339E-2</v>
      </c>
      <c r="AD158" s="213">
        <f t="shared" si="96"/>
        <v>1.4964518832076044</v>
      </c>
      <c r="AE158" s="217">
        <f t="shared" ca="1" si="97"/>
        <v>1.1774453092178858</v>
      </c>
      <c r="AF158" s="176">
        <f>DANE!AA158</f>
        <v>37</v>
      </c>
      <c r="AG158" s="188">
        <f t="shared" si="5"/>
        <v>4128</v>
      </c>
      <c r="AH158" s="177">
        <f t="shared" ca="1" si="21"/>
        <v>35.428571428571431</v>
      </c>
      <c r="AI158" s="209">
        <f t="shared" si="37"/>
        <v>221.36804046363568</v>
      </c>
      <c r="AJ158" s="179">
        <f t="shared" si="39"/>
        <v>2.9159035405276666E-2</v>
      </c>
      <c r="AK158" s="213">
        <f t="shared" si="40"/>
        <v>1.2041132478369367</v>
      </c>
      <c r="AL158" s="214">
        <f t="shared" ca="1" si="41"/>
        <v>1.1741873330611516</v>
      </c>
      <c r="AM158" s="176">
        <f>DANE!AE158</f>
        <v>90</v>
      </c>
      <c r="AN158" s="188">
        <f t="shared" si="6"/>
        <v>4024</v>
      </c>
      <c r="AO158" s="177">
        <f t="shared" ca="1" si="22"/>
        <v>99.857142857142861</v>
      </c>
      <c r="AP158" s="209">
        <f t="shared" si="49"/>
        <v>638.99005116448575</v>
      </c>
      <c r="AQ158" s="179">
        <f t="shared" si="51"/>
        <v>-2.3393739481685763E-3</v>
      </c>
      <c r="AR158" s="213">
        <f t="shared" si="52"/>
        <v>0.98362438236282002</v>
      </c>
      <c r="AS158" s="217">
        <f t="shared" ca="1" si="53"/>
        <v>1.1171076417316914</v>
      </c>
      <c r="AT158" s="176">
        <f>DANE!AI158</f>
        <v>86</v>
      </c>
      <c r="AU158" s="188">
        <f t="shared" si="7"/>
        <v>6771</v>
      </c>
      <c r="AV158" s="177">
        <f t="shared" ca="1" si="23"/>
        <v>78.142857142857139</v>
      </c>
      <c r="AW158" s="209">
        <f t="shared" si="33"/>
        <v>474.08945014727414</v>
      </c>
      <c r="AX158" s="179">
        <f t="shared" si="34"/>
        <v>4.7084340185780123E-2</v>
      </c>
      <c r="AY158" s="213">
        <f t="shared" si="35"/>
        <v>1.3295903813004608</v>
      </c>
      <c r="AZ158" s="214">
        <f t="shared" ca="1" si="36"/>
        <v>1.2859218511444317</v>
      </c>
      <c r="BA158" s="176">
        <f>DANE!AM158</f>
        <v>21</v>
      </c>
      <c r="BB158" s="188">
        <f t="shared" si="8"/>
        <v>1235</v>
      </c>
      <c r="BC158" s="177">
        <f t="shared" ca="1" si="24"/>
        <v>12</v>
      </c>
      <c r="BD158" s="209">
        <f t="shared" si="77"/>
        <v>79.286634357100453</v>
      </c>
      <c r="BE158" s="179">
        <f t="shared" si="80"/>
        <v>0.16596151168586482</v>
      </c>
      <c r="BF158" s="213">
        <f t="shared" si="81"/>
        <v>2.1617305818010539</v>
      </c>
      <c r="BG158" s="217">
        <f t="shared" ca="1" si="82"/>
        <v>1.1669904823170343</v>
      </c>
      <c r="BH158" s="176">
        <f>DANE!AQ158</f>
        <v>32</v>
      </c>
      <c r="BI158" s="188">
        <f t="shared" si="9"/>
        <v>1468</v>
      </c>
      <c r="BJ158" s="177">
        <f t="shared" ca="1" si="25"/>
        <v>33.857142857142854</v>
      </c>
      <c r="BK158" s="209">
        <f t="shared" si="61"/>
        <v>198.42227330503076</v>
      </c>
      <c r="BL158" s="179">
        <f t="shared" si="63"/>
        <v>2.1955961085370745E-2</v>
      </c>
      <c r="BM158" s="213">
        <f t="shared" si="64"/>
        <v>1.1536917275975953</v>
      </c>
      <c r="BN158" s="214">
        <f t="shared" ca="1" si="65"/>
        <v>1.5299011881352524</v>
      </c>
      <c r="BO158" s="176">
        <f>DANE!AU158</f>
        <v>10</v>
      </c>
      <c r="BP158" s="188">
        <f t="shared" si="10"/>
        <v>1023</v>
      </c>
      <c r="BQ158" s="177">
        <f t="shared" ca="1" si="26"/>
        <v>8.7142857142857135</v>
      </c>
      <c r="BR158" s="209">
        <f t="shared" si="78"/>
        <v>55.793022063024772</v>
      </c>
      <c r="BS158" s="179">
        <f t="shared" si="83"/>
        <v>4.4320470352829357E-2</v>
      </c>
      <c r="BT158" s="213">
        <f t="shared" si="84"/>
        <v>1.3102432924698055</v>
      </c>
      <c r="BU158" s="217">
        <f t="shared" ca="1" si="85"/>
        <v>1.4695706780059297</v>
      </c>
      <c r="BV158" s="176">
        <f>DANE!AY158</f>
        <v>17</v>
      </c>
      <c r="BW158" s="188">
        <f t="shared" si="11"/>
        <v>997</v>
      </c>
      <c r="BX158" s="177">
        <f t="shared" ca="1" si="27"/>
        <v>17.428571428571427</v>
      </c>
      <c r="BY158" s="209">
        <f t="shared" si="69"/>
        <v>112.8220629201309</v>
      </c>
      <c r="BZ158" s="179">
        <f t="shared" si="71"/>
        <v>9.2104303861307423E-3</v>
      </c>
      <c r="CA158" s="213">
        <f t="shared" si="72"/>
        <v>1.0644730127029152</v>
      </c>
      <c r="CB158" s="214">
        <f t="shared" ca="1" si="73"/>
        <v>1.2347562211420182</v>
      </c>
      <c r="CC158" s="176">
        <f>DANE!BC158</f>
        <v>152</v>
      </c>
      <c r="CD158" s="188">
        <f t="shared" si="12"/>
        <v>17095</v>
      </c>
      <c r="CE158" s="177">
        <f t="shared" ca="1" si="28"/>
        <v>187.42857142857142</v>
      </c>
      <c r="CF158" s="209">
        <f t="shared" si="45"/>
        <v>1180.5144173192582</v>
      </c>
      <c r="CG158" s="179">
        <f t="shared" si="46"/>
        <v>-1.6183454971178454E-2</v>
      </c>
      <c r="CH158" s="213">
        <f t="shared" si="47"/>
        <v>0.8867158152017508</v>
      </c>
      <c r="CI158" s="217">
        <f t="shared" ca="1" si="48"/>
        <v>1.2130200995266158</v>
      </c>
      <c r="CJ158" s="176">
        <f>DANE!BG158</f>
        <v>3</v>
      </c>
      <c r="CK158" s="188">
        <f t="shared" si="13"/>
        <v>1013</v>
      </c>
      <c r="CL158" s="177">
        <f t="shared" ca="1" si="29"/>
        <v>7.5714285714285712</v>
      </c>
      <c r="CM158" s="209">
        <f t="shared" si="79"/>
        <v>53.156855034559854</v>
      </c>
      <c r="CN158" s="179">
        <f t="shared" si="86"/>
        <v>-9.1589403489178739E-2</v>
      </c>
      <c r="CO158" s="213">
        <f t="shared" si="87"/>
        <v>0.35887417557574874</v>
      </c>
      <c r="CP158" s="214">
        <f t="shared" ca="1" si="88"/>
        <v>1.3792384754799518</v>
      </c>
      <c r="CQ158" s="176">
        <f>DANE!BK158</f>
        <v>13</v>
      </c>
      <c r="CR158" s="188">
        <f t="shared" si="14"/>
        <v>402</v>
      </c>
      <c r="CS158" s="177">
        <f t="shared" ca="1" si="30"/>
        <v>7.7142857142857144</v>
      </c>
      <c r="CT158" s="209">
        <f t="shared" si="89"/>
        <v>45.437217216015156</v>
      </c>
      <c r="CU158" s="179">
        <f t="shared" si="90"/>
        <v>0.20066360581409665</v>
      </c>
      <c r="CV158" s="213">
        <f t="shared" si="91"/>
        <v>2.4046452406986765</v>
      </c>
      <c r="CW158" s="217">
        <f t="shared" ca="1" si="92"/>
        <v>1.5439045778059983</v>
      </c>
      <c r="CX158" s="176">
        <f>DANE!BO158</f>
        <v>97</v>
      </c>
      <c r="CY158" s="188">
        <f t="shared" si="15"/>
        <v>4141</v>
      </c>
      <c r="CZ158" s="177">
        <f t="shared" ca="1" si="31"/>
        <v>69.428571428571431</v>
      </c>
      <c r="DA158" s="209">
        <f t="shared" si="54"/>
        <v>414.05558608442152</v>
      </c>
      <c r="DB158" s="179">
        <f t="shared" si="58"/>
        <v>0.11937718068736942</v>
      </c>
      <c r="DC158" s="213">
        <f t="shared" si="59"/>
        <v>1.8356402648115862</v>
      </c>
      <c r="DD158" s="214">
        <f t="shared" ca="1" si="60"/>
        <v>1.9228502068853823</v>
      </c>
      <c r="DE158" s="176">
        <f>DANE!BS158</f>
        <v>17</v>
      </c>
      <c r="DF158" s="188">
        <f t="shared" si="16"/>
        <v>793</v>
      </c>
      <c r="DG158" s="177">
        <f t="shared" ca="1" si="32"/>
        <v>11.142857142857142</v>
      </c>
      <c r="DH158" s="209">
        <f t="shared" si="70"/>
        <v>69.93948895217045</v>
      </c>
      <c r="DI158" s="179">
        <f t="shared" si="74"/>
        <v>0.13238972597065249</v>
      </c>
      <c r="DJ158" s="157">
        <f t="shared" si="75"/>
        <v>1.9267280817945673</v>
      </c>
      <c r="DK158" s="225">
        <f t="shared" ca="1" si="76"/>
        <v>1.6486450231962166</v>
      </c>
      <c r="DL158" s="89"/>
      <c r="DM158" s="89"/>
      <c r="DN158" s="89"/>
      <c r="DO158" s="89"/>
      <c r="DP158" s="89"/>
      <c r="DQ158" s="89"/>
      <c r="DR158" s="89"/>
      <c r="DS158" s="89"/>
      <c r="DT158" s="89"/>
      <c r="DU158" s="89"/>
      <c r="DV158" s="89"/>
      <c r="DW158" s="89"/>
      <c r="DX158" s="89"/>
      <c r="DY158" s="89"/>
      <c r="DZ158" s="89"/>
      <c r="EA158" s="89"/>
      <c r="EB158" s="89"/>
      <c r="EC158" s="89"/>
      <c r="ED158" s="89"/>
      <c r="EE158" s="89"/>
      <c r="EF158" s="89"/>
      <c r="EG158" s="89"/>
      <c r="EH158" s="89"/>
    </row>
    <row r="159" spans="1:138" x14ac:dyDescent="0.25">
      <c r="A159" s="32">
        <v>44049</v>
      </c>
      <c r="B159" s="33" t="str">
        <f t="shared" ca="1" si="0"/>
        <v/>
      </c>
      <c r="C159" s="51">
        <f t="shared" si="93"/>
        <v>156</v>
      </c>
      <c r="D159" s="176">
        <f>DANE!K159</f>
        <v>39</v>
      </c>
      <c r="E159" s="188">
        <f t="shared" si="1"/>
        <v>3414</v>
      </c>
      <c r="F159" s="178">
        <f t="shared" ca="1" si="17"/>
        <v>27.285714285714285</v>
      </c>
      <c r="G159" s="209">
        <f t="shared" si="38"/>
        <v>166.51447454419699</v>
      </c>
      <c r="H159" s="179">
        <f t="shared" si="42"/>
        <v>0.11929796971390073</v>
      </c>
      <c r="I159" s="213">
        <f t="shared" si="43"/>
        <v>1.835085787997305</v>
      </c>
      <c r="J159" s="214">
        <f t="shared" ca="1" si="44"/>
        <v>1.5646086030198691</v>
      </c>
      <c r="K159" s="176">
        <f>DANE!O159</f>
        <v>11</v>
      </c>
      <c r="L159" s="188">
        <f t="shared" si="2"/>
        <v>838</v>
      </c>
      <c r="M159" s="177">
        <f t="shared" ca="1" si="18"/>
        <v>9.2857142857142865</v>
      </c>
      <c r="N159" s="209">
        <f t="shared" si="62"/>
        <v>52.426664905181539</v>
      </c>
      <c r="O159" s="179">
        <f t="shared" si="66"/>
        <v>8.473953793171142E-2</v>
      </c>
      <c r="P159" s="213">
        <f t="shared" si="67"/>
        <v>1.59317676552198</v>
      </c>
      <c r="Q159" s="217">
        <f t="shared" ca="1" si="68"/>
        <v>1.4022341048534415</v>
      </c>
      <c r="R159" s="176">
        <f>DANE!S159</f>
        <v>13</v>
      </c>
      <c r="S159" s="188">
        <f t="shared" si="3"/>
        <v>1060</v>
      </c>
      <c r="T159" s="177">
        <f t="shared" ca="1" si="19"/>
        <v>14.857142857142858</v>
      </c>
      <c r="U159" s="209">
        <f t="shared" si="50"/>
        <v>89.383874530925894</v>
      </c>
      <c r="V159" s="179">
        <f t="shared" si="55"/>
        <v>3.0225629221926043E-3</v>
      </c>
      <c r="W159" s="213">
        <f t="shared" si="56"/>
        <v>1.0211579404553481</v>
      </c>
      <c r="X159" s="214">
        <f t="shared" ca="1" si="57"/>
        <v>1.4156165702876697</v>
      </c>
      <c r="Y159" s="176">
        <f>DANE!W159</f>
        <v>8</v>
      </c>
      <c r="Z159" s="188">
        <f t="shared" si="4"/>
        <v>458</v>
      </c>
      <c r="AA159" s="177">
        <f t="shared" ca="1" si="20"/>
        <v>9.7142857142857135</v>
      </c>
      <c r="AB159" s="209">
        <f t="shared" si="94"/>
        <v>63.819965446424099</v>
      </c>
      <c r="AC159" s="179">
        <f t="shared" si="95"/>
        <v>-2.0013232039528123E-2</v>
      </c>
      <c r="AD159" s="213">
        <f t="shared" si="96"/>
        <v>0.85990737572330311</v>
      </c>
      <c r="AE159" s="217">
        <f t="shared" ca="1" si="97"/>
        <v>1.1185733311150126</v>
      </c>
      <c r="AF159" s="176">
        <f>DANE!AA159</f>
        <v>39</v>
      </c>
      <c r="AG159" s="188">
        <f t="shared" si="5"/>
        <v>4167</v>
      </c>
      <c r="AH159" s="177">
        <f t="shared" ca="1" si="21"/>
        <v>31.428571428571427</v>
      </c>
      <c r="AI159" s="209">
        <f t="shared" si="37"/>
        <v>228.7440346831163</v>
      </c>
      <c r="AJ159" s="179">
        <f t="shared" si="39"/>
        <v>3.332005019347984E-2</v>
      </c>
      <c r="AK159" s="213">
        <f t="shared" si="40"/>
        <v>1.2332403513543588</v>
      </c>
      <c r="AL159" s="214">
        <f t="shared" ca="1" si="41"/>
        <v>0.99965631692006818</v>
      </c>
      <c r="AM159" s="176">
        <f>DANE!AE159</f>
        <v>118</v>
      </c>
      <c r="AN159" s="188">
        <f t="shared" si="6"/>
        <v>4142</v>
      </c>
      <c r="AO159" s="177">
        <f t="shared" ca="1" si="22"/>
        <v>97.714285714285708</v>
      </c>
      <c r="AP159" s="209">
        <f t="shared" si="49"/>
        <v>665.70575814098777</v>
      </c>
      <c r="AQ159" s="179">
        <f t="shared" si="51"/>
        <v>4.1809269061099968E-2</v>
      </c>
      <c r="AR159" s="213">
        <f t="shared" si="52"/>
        <v>1.2926648834276997</v>
      </c>
      <c r="AS159" s="217">
        <f t="shared" ca="1" si="53"/>
        <v>1.0702679038224614</v>
      </c>
      <c r="AT159" s="176">
        <f>DANE!AI159</f>
        <v>107</v>
      </c>
      <c r="AU159" s="188">
        <f t="shared" si="7"/>
        <v>6878</v>
      </c>
      <c r="AV159" s="177">
        <f t="shared" ca="1" si="23"/>
        <v>79.857142857142861</v>
      </c>
      <c r="AW159" s="209">
        <f t="shared" si="33"/>
        <v>513.3623858405208</v>
      </c>
      <c r="AX159" s="179">
        <f t="shared" si="34"/>
        <v>8.2838661946699449E-2</v>
      </c>
      <c r="AY159" s="213">
        <f t="shared" si="35"/>
        <v>1.5798706336268962</v>
      </c>
      <c r="AZ159" s="214">
        <f t="shared" ca="1" si="36"/>
        <v>1.2489853331733602</v>
      </c>
      <c r="BA159" s="176">
        <f>DANE!AM159</f>
        <v>25</v>
      </c>
      <c r="BB159" s="188">
        <f t="shared" si="8"/>
        <v>1260</v>
      </c>
      <c r="BC159" s="177">
        <f t="shared" ca="1" si="24"/>
        <v>13.142857142857142</v>
      </c>
      <c r="BD159" s="209">
        <f t="shared" si="77"/>
        <v>92.959972306086101</v>
      </c>
      <c r="BE159" s="179">
        <f t="shared" si="80"/>
        <v>0.17245451342280543</v>
      </c>
      <c r="BF159" s="213">
        <f t="shared" si="81"/>
        <v>2.2071815939596382</v>
      </c>
      <c r="BG159" s="217">
        <f t="shared" ca="1" si="82"/>
        <v>1.2361117163656417</v>
      </c>
      <c r="BH159" s="176">
        <f>DANE!AQ159</f>
        <v>33</v>
      </c>
      <c r="BI159" s="188">
        <f t="shared" si="9"/>
        <v>1501</v>
      </c>
      <c r="BJ159" s="177">
        <f t="shared" ca="1" si="25"/>
        <v>32.142857142857146</v>
      </c>
      <c r="BK159" s="209">
        <f t="shared" si="61"/>
        <v>203.07623426145494</v>
      </c>
      <c r="BL159" s="179">
        <f t="shared" si="63"/>
        <v>2.3454831349854263E-2</v>
      </c>
      <c r="BM159" s="213">
        <f t="shared" si="64"/>
        <v>1.1641838194489798</v>
      </c>
      <c r="BN159" s="214">
        <f t="shared" ca="1" si="65"/>
        <v>1.3240771843031747</v>
      </c>
      <c r="BO159" s="176">
        <f>DANE!AU159</f>
        <v>17</v>
      </c>
      <c r="BP159" s="188">
        <f t="shared" si="10"/>
        <v>1040</v>
      </c>
      <c r="BQ159" s="177">
        <f t="shared" ca="1" si="26"/>
        <v>10.142857142857142</v>
      </c>
      <c r="BR159" s="209">
        <f t="shared" si="78"/>
        <v>64.822590339735513</v>
      </c>
      <c r="BS159" s="179">
        <f t="shared" si="83"/>
        <v>0.16184045858836582</v>
      </c>
      <c r="BT159" s="213">
        <f t="shared" si="84"/>
        <v>2.1328832101185609</v>
      </c>
      <c r="BU159" s="217">
        <f t="shared" ca="1" si="85"/>
        <v>1.5793975112847636</v>
      </c>
      <c r="BV159" s="176">
        <f>DANE!AY159</f>
        <v>29</v>
      </c>
      <c r="BW159" s="188">
        <f t="shared" si="11"/>
        <v>1026</v>
      </c>
      <c r="BX159" s="177">
        <f t="shared" ca="1" si="27"/>
        <v>19.857142857142858</v>
      </c>
      <c r="BY159" s="209">
        <f t="shared" si="69"/>
        <v>125.70462536011222</v>
      </c>
      <c r="BZ159" s="179">
        <f t="shared" si="71"/>
        <v>0.11418478005584022</v>
      </c>
      <c r="CA159" s="213">
        <f t="shared" si="72"/>
        <v>1.7992934603908814</v>
      </c>
      <c r="CB159" s="214">
        <f t="shared" ca="1" si="73"/>
        <v>1.3583582842262383</v>
      </c>
      <c r="CC159" s="176">
        <f>DANE!BC159</f>
        <v>137</v>
      </c>
      <c r="CD159" s="188">
        <f t="shared" si="12"/>
        <v>17232</v>
      </c>
      <c r="CE159" s="177">
        <f t="shared" ca="1" si="28"/>
        <v>184.14285714285714</v>
      </c>
      <c r="CF159" s="209">
        <f t="shared" si="45"/>
        <v>1148.8695005593643</v>
      </c>
      <c r="CG159" s="179">
        <f t="shared" si="46"/>
        <v>-2.6806040058158717E-2</v>
      </c>
      <c r="CH159" s="213">
        <f t="shared" si="47"/>
        <v>0.81235771959288894</v>
      </c>
      <c r="CI159" s="217">
        <f t="shared" ca="1" si="48"/>
        <v>1.1625962070420166</v>
      </c>
      <c r="CJ159" s="176">
        <f>DANE!BG159</f>
        <v>30</v>
      </c>
      <c r="CK159" s="188">
        <f t="shared" si="13"/>
        <v>1043</v>
      </c>
      <c r="CL159" s="177">
        <f t="shared" ca="1" si="29"/>
        <v>11.142857142857142</v>
      </c>
      <c r="CM159" s="209">
        <f t="shared" si="79"/>
        <v>75.563018601051311</v>
      </c>
      <c r="CN159" s="179">
        <f t="shared" si="86"/>
        <v>0.42151033111202912</v>
      </c>
      <c r="CO159" s="213">
        <f t="shared" si="87"/>
        <v>3.950572317784204</v>
      </c>
      <c r="CP159" s="214">
        <f t="shared" ca="1" si="88"/>
        <v>1.8226177428562391</v>
      </c>
      <c r="CQ159" s="176">
        <f>DANE!BK159</f>
        <v>12</v>
      </c>
      <c r="CR159" s="188">
        <f t="shared" si="14"/>
        <v>414</v>
      </c>
      <c r="CS159" s="177">
        <f t="shared" ca="1" si="30"/>
        <v>8.7142857142857135</v>
      </c>
      <c r="CT159" s="209">
        <f t="shared" si="89"/>
        <v>50.946186185155852</v>
      </c>
      <c r="CU159" s="179">
        <f t="shared" si="90"/>
        <v>0.12124353793389799</v>
      </c>
      <c r="CV159" s="213">
        <f t="shared" si="91"/>
        <v>1.8487047655372859</v>
      </c>
      <c r="CW159" s="217">
        <f t="shared" ca="1" si="92"/>
        <v>1.6346183799258427</v>
      </c>
      <c r="CX159" s="176">
        <f>DANE!BO159</f>
        <v>89</v>
      </c>
      <c r="CY159" s="188">
        <f t="shared" si="15"/>
        <v>4230</v>
      </c>
      <c r="CZ159" s="177">
        <f t="shared" ca="1" si="31"/>
        <v>78.285714285714292</v>
      </c>
      <c r="DA159" s="209">
        <f t="shared" si="54"/>
        <v>443.90478807236133</v>
      </c>
      <c r="DB159" s="179">
        <f t="shared" si="58"/>
        <v>7.2089842502097948E-2</v>
      </c>
      <c r="DC159" s="213">
        <f t="shared" si="59"/>
        <v>1.5046288975146855</v>
      </c>
      <c r="DD159" s="214">
        <f t="shared" ca="1" si="60"/>
        <v>1.9850567926187934</v>
      </c>
      <c r="DE159" s="176">
        <f>DANE!BS159</f>
        <v>19</v>
      </c>
      <c r="DF159" s="188">
        <f t="shared" si="16"/>
        <v>812</v>
      </c>
      <c r="DG159" s="177">
        <f t="shared" ca="1" si="32"/>
        <v>12.857142857142858</v>
      </c>
      <c r="DH159" s="209">
        <f t="shared" si="70"/>
        <v>78.948133387574671</v>
      </c>
      <c r="DI159" s="179">
        <f t="shared" si="74"/>
        <v>0.12880626625060082</v>
      </c>
      <c r="DJ159" s="157">
        <f t="shared" si="75"/>
        <v>1.9016438637542059</v>
      </c>
      <c r="DK159" s="225">
        <f t="shared" ca="1" si="76"/>
        <v>1.7399126491213777</v>
      </c>
      <c r="DL159" s="89"/>
      <c r="DM159" s="89"/>
      <c r="DN159" s="89"/>
      <c r="DO159" s="89"/>
      <c r="DP159" s="89"/>
      <c r="DQ159" s="89"/>
      <c r="DR159" s="89"/>
      <c r="DS159" s="89"/>
      <c r="DT159" s="89"/>
      <c r="DU159" s="89"/>
      <c r="DV159" s="89"/>
      <c r="DW159" s="89"/>
      <c r="DX159" s="89"/>
      <c r="DY159" s="89"/>
      <c r="DZ159" s="89"/>
      <c r="EA159" s="89"/>
      <c r="EB159" s="89"/>
      <c r="EC159" s="89"/>
      <c r="ED159" s="89"/>
      <c r="EE159" s="89"/>
      <c r="EF159" s="89"/>
      <c r="EG159" s="89"/>
      <c r="EH159" s="89"/>
    </row>
    <row r="160" spans="1:138" x14ac:dyDescent="0.25">
      <c r="A160" s="32">
        <v>44050</v>
      </c>
      <c r="B160" s="33" t="str">
        <f t="shared" ca="1" si="0"/>
        <v/>
      </c>
      <c r="C160" s="51">
        <f t="shared" si="93"/>
        <v>157</v>
      </c>
      <c r="D160" s="176">
        <f>DANE!K160</f>
        <v>22</v>
      </c>
      <c r="E160" s="188">
        <f t="shared" si="1"/>
        <v>3436</v>
      </c>
      <c r="F160" s="178">
        <f t="shared" ca="1" si="17"/>
        <v>25.428571428571427</v>
      </c>
      <c r="G160" s="209">
        <f t="shared" si="38"/>
        <v>164.72669246645458</v>
      </c>
      <c r="H160" s="179">
        <f t="shared" si="42"/>
        <v>-1.0736496527620999E-2</v>
      </c>
      <c r="I160" s="213">
        <f t="shared" si="43"/>
        <v>0.92484452430665298</v>
      </c>
      <c r="J160" s="214">
        <f t="shared" ca="1" si="44"/>
        <v>1.346453230173976</v>
      </c>
      <c r="K160" s="176">
        <f>DANE!O160</f>
        <v>8</v>
      </c>
      <c r="L160" s="188">
        <f t="shared" si="2"/>
        <v>846</v>
      </c>
      <c r="M160" s="177">
        <f t="shared" ca="1" si="18"/>
        <v>8</v>
      </c>
      <c r="N160" s="209">
        <f t="shared" si="62"/>
        <v>52.937141347298464</v>
      </c>
      <c r="O160" s="179">
        <f t="shared" si="66"/>
        <v>9.7369619646828342E-3</v>
      </c>
      <c r="P160" s="213">
        <f t="shared" si="67"/>
        <v>1.0681587337527798</v>
      </c>
      <c r="Q160" s="217">
        <f t="shared" ca="1" si="68"/>
        <v>1.0954910565596572</v>
      </c>
      <c r="R160" s="176">
        <f>DANE!S160</f>
        <v>14</v>
      </c>
      <c r="S160" s="188">
        <f t="shared" si="3"/>
        <v>1074</v>
      </c>
      <c r="T160" s="177">
        <f t="shared" ca="1" si="19"/>
        <v>14</v>
      </c>
      <c r="U160" s="209">
        <f t="shared" si="50"/>
        <v>90.614749597936481</v>
      </c>
      <c r="V160" s="179">
        <f t="shared" si="55"/>
        <v>1.37706613577678E-2</v>
      </c>
      <c r="W160" s="213">
        <f t="shared" si="56"/>
        <v>1.0963946295043745</v>
      </c>
      <c r="X160" s="214">
        <f t="shared" ca="1" si="57"/>
        <v>1.2462382137668764</v>
      </c>
      <c r="Y160" s="176">
        <f>DANE!W160</f>
        <v>21</v>
      </c>
      <c r="Z160" s="188">
        <f t="shared" si="4"/>
        <v>479</v>
      </c>
      <c r="AA160" s="177">
        <f t="shared" ca="1" si="20"/>
        <v>11.142857142857142</v>
      </c>
      <c r="AB160" s="209">
        <f t="shared" si="94"/>
        <v>75.702827525506365</v>
      </c>
      <c r="AC160" s="179">
        <f t="shared" si="95"/>
        <v>0.18619348970124011</v>
      </c>
      <c r="AD160" s="213">
        <f t="shared" si="96"/>
        <v>2.3033544279086806</v>
      </c>
      <c r="AE160" s="217">
        <f t="shared" ca="1" si="97"/>
        <v>1.2552133221208348</v>
      </c>
      <c r="AF160" s="176">
        <f>DANE!AA160</f>
        <v>46</v>
      </c>
      <c r="AG160" s="188">
        <f t="shared" si="5"/>
        <v>4213</v>
      </c>
      <c r="AH160" s="177">
        <f t="shared" ca="1" si="21"/>
        <v>33.714285714285715</v>
      </c>
      <c r="AI160" s="209">
        <f t="shared" si="37"/>
        <v>242.06631544267114</v>
      </c>
      <c r="AJ160" s="179">
        <f t="shared" si="39"/>
        <v>5.8240997532506E-2</v>
      </c>
      <c r="AK160" s="213">
        <f t="shared" si="40"/>
        <v>1.407686982727542</v>
      </c>
      <c r="AL160" s="214">
        <f t="shared" ca="1" si="41"/>
        <v>1.0707437872191614</v>
      </c>
      <c r="AM160" s="176">
        <f>DANE!AE160</f>
        <v>144</v>
      </c>
      <c r="AN160" s="188">
        <f t="shared" si="6"/>
        <v>4286</v>
      </c>
      <c r="AO160" s="177">
        <f t="shared" ca="1" si="22"/>
        <v>107.28571428571429</v>
      </c>
      <c r="AP160" s="209">
        <f t="shared" si="49"/>
        <v>714.60493554941809</v>
      </c>
      <c r="AQ160" s="179">
        <f t="shared" si="51"/>
        <v>7.3454640898680812E-2</v>
      </c>
      <c r="AR160" s="213">
        <f t="shared" si="52"/>
        <v>1.5141824862907658</v>
      </c>
      <c r="AS160" s="217">
        <f t="shared" ca="1" si="53"/>
        <v>1.1634639033744254</v>
      </c>
      <c r="AT160" s="176">
        <f>DANE!AI160</f>
        <v>104</v>
      </c>
      <c r="AU160" s="188">
        <f t="shared" si="7"/>
        <v>6982</v>
      </c>
      <c r="AV160" s="177">
        <f t="shared" ca="1" si="23"/>
        <v>79.857142857142861</v>
      </c>
      <c r="AW160" s="209">
        <f t="shared" si="33"/>
        <v>544.02490214901786</v>
      </c>
      <c r="AX160" s="179">
        <f t="shared" si="34"/>
        <v>5.972879422845475E-2</v>
      </c>
      <c r="AY160" s="213">
        <f t="shared" si="35"/>
        <v>1.4181015595991833</v>
      </c>
      <c r="AZ160" s="214">
        <f t="shared" ca="1" si="36"/>
        <v>1.1948114448710687</v>
      </c>
      <c r="BA160" s="176">
        <f>DANE!AM160</f>
        <v>26</v>
      </c>
      <c r="BB160" s="188">
        <f t="shared" si="8"/>
        <v>1286</v>
      </c>
      <c r="BC160" s="177">
        <f t="shared" ca="1" si="24"/>
        <v>15</v>
      </c>
      <c r="BD160" s="209">
        <f t="shared" si="77"/>
        <v>105.67997626235952</v>
      </c>
      <c r="BE160" s="179">
        <f t="shared" si="80"/>
        <v>0.13683312979473247</v>
      </c>
      <c r="BF160" s="213">
        <f t="shared" si="81"/>
        <v>1.9578319085631275</v>
      </c>
      <c r="BG160" s="217">
        <f t="shared" ca="1" si="82"/>
        <v>1.3451706235192862</v>
      </c>
      <c r="BH160" s="176">
        <f>DANE!AQ160</f>
        <v>35</v>
      </c>
      <c r="BI160" s="188">
        <f t="shared" si="9"/>
        <v>1536</v>
      </c>
      <c r="BJ160" s="177">
        <f t="shared" ca="1" si="25"/>
        <v>33.142857142857146</v>
      </c>
      <c r="BK160" s="209">
        <f t="shared" si="61"/>
        <v>209.06534365267566</v>
      </c>
      <c r="BL160" s="179">
        <f t="shared" si="63"/>
        <v>2.9491926581176962E-2</v>
      </c>
      <c r="BM160" s="213">
        <f t="shared" si="64"/>
        <v>1.2064434860682387</v>
      </c>
      <c r="BN160" s="214">
        <f t="shared" ca="1" si="65"/>
        <v>1.3080627445055739</v>
      </c>
      <c r="BO160" s="176">
        <f>DANE!AU160</f>
        <v>1</v>
      </c>
      <c r="BP160" s="188">
        <f t="shared" si="10"/>
        <v>1041</v>
      </c>
      <c r="BQ160" s="177">
        <f t="shared" ca="1" si="26"/>
        <v>9.4285714285714288</v>
      </c>
      <c r="BR160" s="209">
        <f t="shared" si="78"/>
        <v>56.562220291201875</v>
      </c>
      <c r="BS160" s="179">
        <f t="shared" si="83"/>
        <v>-0.12743042209885469</v>
      </c>
      <c r="BT160" s="213">
        <f t="shared" si="84"/>
        <v>0.10798704530801717</v>
      </c>
      <c r="BU160" s="217">
        <f t="shared" ca="1" si="85"/>
        <v>1.4360505403516899</v>
      </c>
      <c r="BV160" s="176">
        <f>DANE!AY160</f>
        <v>41</v>
      </c>
      <c r="BW160" s="188">
        <f t="shared" si="11"/>
        <v>1067</v>
      </c>
      <c r="BX160" s="177">
        <f t="shared" ca="1" si="27"/>
        <v>23.571428571428573</v>
      </c>
      <c r="BY160" s="209">
        <f t="shared" si="69"/>
        <v>148.74682173723903</v>
      </c>
      <c r="BZ160" s="179">
        <f t="shared" si="71"/>
        <v>0.18330428423868017</v>
      </c>
      <c r="CA160" s="213">
        <f t="shared" si="72"/>
        <v>2.2831299896707611</v>
      </c>
      <c r="CB160" s="214">
        <f t="shared" ca="1" si="73"/>
        <v>1.5161341520667075</v>
      </c>
      <c r="CC160" s="176">
        <f>DANE!BC160</f>
        <v>259</v>
      </c>
      <c r="CD160" s="188">
        <f t="shared" si="12"/>
        <v>17491</v>
      </c>
      <c r="CE160" s="177">
        <f t="shared" ca="1" si="28"/>
        <v>188.71428571428572</v>
      </c>
      <c r="CF160" s="209">
        <f t="shared" si="45"/>
        <v>1243.7452861937409</v>
      </c>
      <c r="CG160" s="179">
        <f t="shared" si="46"/>
        <v>8.2581864683659245E-2</v>
      </c>
      <c r="CH160" s="213">
        <f t="shared" si="47"/>
        <v>1.5780730527856148</v>
      </c>
      <c r="CI160" s="217">
        <f t="shared" ca="1" si="48"/>
        <v>1.1572983248356199</v>
      </c>
      <c r="CJ160" s="176">
        <f>DANE!BG160</f>
        <v>11</v>
      </c>
      <c r="CK160" s="188">
        <f t="shared" si="13"/>
        <v>1054</v>
      </c>
      <c r="CL160" s="177">
        <f t="shared" ca="1" si="29"/>
        <v>12.428571428571429</v>
      </c>
      <c r="CM160" s="209">
        <f t="shared" si="79"/>
        <v>75.768301658043981</v>
      </c>
      <c r="CN160" s="179">
        <f t="shared" si="86"/>
        <v>2.7167132916764351E-3</v>
      </c>
      <c r="CO160" s="213">
        <f t="shared" si="87"/>
        <v>1.019016993041735</v>
      </c>
      <c r="CP160" s="214">
        <f t="shared" ca="1" si="88"/>
        <v>1.9187143004799307</v>
      </c>
      <c r="CQ160" s="176">
        <f>DANE!BK160</f>
        <v>17</v>
      </c>
      <c r="CR160" s="188">
        <f t="shared" si="14"/>
        <v>431</v>
      </c>
      <c r="CS160" s="177">
        <f t="shared" ca="1" si="30"/>
        <v>9.8571428571428577</v>
      </c>
      <c r="CT160" s="209">
        <f t="shared" si="89"/>
        <v>60.668159587276449</v>
      </c>
      <c r="CU160" s="179">
        <f t="shared" si="90"/>
        <v>0.19082828627814499</v>
      </c>
      <c r="CV160" s="213">
        <f t="shared" si="91"/>
        <v>2.3357980039470148</v>
      </c>
      <c r="CW160" s="217">
        <f t="shared" ca="1" si="92"/>
        <v>1.6654533713087269</v>
      </c>
      <c r="CX160" s="176">
        <f>DANE!BO160</f>
        <v>46</v>
      </c>
      <c r="CY160" s="188">
        <f t="shared" si="15"/>
        <v>4276</v>
      </c>
      <c r="CZ160" s="177">
        <f t="shared" ca="1" si="31"/>
        <v>76.428571428571431</v>
      </c>
      <c r="DA160" s="209">
        <f t="shared" si="54"/>
        <v>426.48981834773832</v>
      </c>
      <c r="DB160" s="179">
        <f t="shared" si="58"/>
        <v>-3.9231317599088787E-2</v>
      </c>
      <c r="DC160" s="213">
        <f t="shared" si="59"/>
        <v>0.72538077680637847</v>
      </c>
      <c r="DD160" s="214">
        <f t="shared" ca="1" si="60"/>
        <v>1.7581829722944697</v>
      </c>
      <c r="DE160" s="176">
        <f>DANE!BS160</f>
        <v>14</v>
      </c>
      <c r="DF160" s="188">
        <f t="shared" si="16"/>
        <v>826</v>
      </c>
      <c r="DG160" s="177">
        <f t="shared" ca="1" si="32"/>
        <v>14.285714285714286</v>
      </c>
      <c r="DH160" s="209">
        <f t="shared" si="70"/>
        <v>81.669828617921155</v>
      </c>
      <c r="DI160" s="179">
        <f t="shared" si="74"/>
        <v>3.4474472208038807E-2</v>
      </c>
      <c r="DJ160" s="157">
        <f t="shared" si="75"/>
        <v>1.2413213054562717</v>
      </c>
      <c r="DK160" s="225">
        <f t="shared" ca="1" si="76"/>
        <v>1.8178905623876287</v>
      </c>
      <c r="DL160" s="89"/>
      <c r="DM160" s="89"/>
      <c r="DN160" s="89"/>
      <c r="DO160" s="89"/>
      <c r="DP160" s="89"/>
      <c r="DQ160" s="89"/>
      <c r="DR160" s="89"/>
      <c r="DS160" s="89"/>
      <c r="DT160" s="89"/>
      <c r="DU160" s="89"/>
      <c r="DV160" s="89"/>
      <c r="DW160" s="89"/>
      <c r="DX160" s="89"/>
      <c r="DY160" s="89"/>
      <c r="DZ160" s="89"/>
      <c r="EA160" s="89"/>
      <c r="EB160" s="89"/>
      <c r="EC160" s="89"/>
      <c r="ED160" s="89"/>
      <c r="EE160" s="89"/>
      <c r="EF160" s="89"/>
      <c r="EG160" s="89"/>
      <c r="EH160" s="89"/>
    </row>
    <row r="161" spans="1:138" x14ac:dyDescent="0.25">
      <c r="A161" s="61">
        <v>44051</v>
      </c>
      <c r="B161" s="62" t="str">
        <f t="shared" ca="1" si="0"/>
        <v/>
      </c>
      <c r="C161" s="12">
        <f t="shared" si="93"/>
        <v>158</v>
      </c>
      <c r="D161" s="176">
        <f>DANE!K161</f>
        <v>35</v>
      </c>
      <c r="E161" s="198">
        <f t="shared" si="1"/>
        <v>3471</v>
      </c>
      <c r="F161" s="178">
        <f t="shared" ca="1" si="17"/>
        <v>28.285714285714285</v>
      </c>
      <c r="G161" s="211">
        <f t="shared" si="38"/>
        <v>176.19430782838964</v>
      </c>
      <c r="H161" s="200">
        <f t="shared" si="42"/>
        <v>6.9616011772168362E-2</v>
      </c>
      <c r="I161" s="213">
        <f t="shared" si="43"/>
        <v>1.4873120824051784</v>
      </c>
      <c r="J161" s="214">
        <f t="shared" ca="1" si="44"/>
        <v>1.434596463450666</v>
      </c>
      <c r="K161" s="176">
        <f>DANE!O161</f>
        <v>24</v>
      </c>
      <c r="L161" s="198">
        <f t="shared" si="2"/>
        <v>870</v>
      </c>
      <c r="M161" s="177">
        <f t="shared" ca="1" si="18"/>
        <v>9.8571428571428577</v>
      </c>
      <c r="N161" s="211">
        <f t="shared" si="62"/>
        <v>69.374692583398684</v>
      </c>
      <c r="O161" s="200">
        <f t="shared" si="66"/>
        <v>0.31051074572123782</v>
      </c>
      <c r="P161" s="213">
        <f t="shared" si="67"/>
        <v>3.1735752200486651</v>
      </c>
      <c r="Q161" s="217">
        <f t="shared" ca="1" si="68"/>
        <v>1.3230916295826864</v>
      </c>
      <c r="R161" s="176">
        <f>DANE!S161</f>
        <v>22</v>
      </c>
      <c r="S161" s="198">
        <f t="shared" si="3"/>
        <v>1096</v>
      </c>
      <c r="T161" s="177">
        <f t="shared" ca="1" si="19"/>
        <v>14.571428571428571</v>
      </c>
      <c r="U161" s="211">
        <f t="shared" si="50"/>
        <v>99.669785369659849</v>
      </c>
      <c r="V161" s="200">
        <f t="shared" si="55"/>
        <v>9.9928938852682905E-2</v>
      </c>
      <c r="W161" s="213">
        <f t="shared" si="56"/>
        <v>1.6995025719687804</v>
      </c>
      <c r="X161" s="214">
        <f t="shared" ca="1" si="57"/>
        <v>1.2410373215380999</v>
      </c>
      <c r="Y161" s="176">
        <f>DANE!W161</f>
        <v>25</v>
      </c>
      <c r="Z161" s="198">
        <f t="shared" si="4"/>
        <v>504</v>
      </c>
      <c r="AA161" s="177">
        <f t="shared" ca="1" si="20"/>
        <v>13.428571428571429</v>
      </c>
      <c r="AB161" s="211">
        <f t="shared" si="94"/>
        <v>89.888137879005455</v>
      </c>
      <c r="AC161" s="200">
        <f t="shared" si="95"/>
        <v>0.18738151291270685</v>
      </c>
      <c r="AD161" s="213">
        <f t="shared" si="96"/>
        <v>2.3116705903889478</v>
      </c>
      <c r="AE161" s="217">
        <f t="shared" ca="1" si="97"/>
        <v>1.4354578244352543</v>
      </c>
      <c r="AF161" s="176">
        <f>DANE!AA161</f>
        <v>31</v>
      </c>
      <c r="AG161" s="198">
        <f t="shared" si="5"/>
        <v>4244</v>
      </c>
      <c r="AH161" s="177">
        <f t="shared" ca="1" si="21"/>
        <v>32.142857142857146</v>
      </c>
      <c r="AI161" s="211">
        <f t="shared" si="37"/>
        <v>238.48541323657528</v>
      </c>
      <c r="AJ161" s="200">
        <f t="shared" si="39"/>
        <v>-1.4793062799949654E-2</v>
      </c>
      <c r="AK161" s="213">
        <f t="shared" si="40"/>
        <v>0.89644856040035237</v>
      </c>
      <c r="AL161" s="214">
        <f t="shared" ca="1" si="41"/>
        <v>1.0144242500320424</v>
      </c>
      <c r="AM161" s="176">
        <f>DANE!AE161</f>
        <v>124</v>
      </c>
      <c r="AN161" s="198">
        <f t="shared" si="6"/>
        <v>4410</v>
      </c>
      <c r="AO161" s="177">
        <f t="shared" ca="1" si="22"/>
        <v>102.57142857142857</v>
      </c>
      <c r="AP161" s="211">
        <f t="shared" si="49"/>
        <v>736.5185161852155</v>
      </c>
      <c r="AQ161" s="200">
        <f t="shared" si="51"/>
        <v>3.0665308264277998E-2</v>
      </c>
      <c r="AR161" s="213">
        <f t="shared" si="52"/>
        <v>1.2146571578499459</v>
      </c>
      <c r="AS161" s="217">
        <f t="shared" ca="1" si="53"/>
        <v>1.0809026265034738</v>
      </c>
      <c r="AT161" s="176">
        <f>DANE!AI161</f>
        <v>131</v>
      </c>
      <c r="AU161" s="198">
        <f t="shared" si="7"/>
        <v>7113</v>
      </c>
      <c r="AV161" s="177">
        <f t="shared" ca="1" si="23"/>
        <v>90</v>
      </c>
      <c r="AW161" s="211">
        <f t="shared" si="33"/>
        <v>597.30705898487247</v>
      </c>
      <c r="AX161" s="200">
        <f t="shared" si="34"/>
        <v>9.7940657909919904E-2</v>
      </c>
      <c r="AY161" s="213">
        <f t="shared" si="35"/>
        <v>1.6855846053694394</v>
      </c>
      <c r="AZ161" s="214">
        <f t="shared" ca="1" si="36"/>
        <v>1.3026257536184644</v>
      </c>
      <c r="BA161" s="176">
        <f>DANE!AM161</f>
        <v>17</v>
      </c>
      <c r="BB161" s="198">
        <f t="shared" si="8"/>
        <v>1303</v>
      </c>
      <c r="BC161" s="177">
        <f t="shared" ca="1" si="24"/>
        <v>16.428571428571427</v>
      </c>
      <c r="BD161" s="211">
        <f t="shared" si="77"/>
        <v>107.58283679630816</v>
      </c>
      <c r="BE161" s="200">
        <f t="shared" si="80"/>
        <v>1.800587586455004E-2</v>
      </c>
      <c r="BF161" s="213">
        <f t="shared" si="81"/>
        <v>1.1260411310518503</v>
      </c>
      <c r="BG161" s="217">
        <f t="shared" ca="1" si="82"/>
        <v>1.4166381061865052</v>
      </c>
      <c r="BH161" s="176">
        <f>DANE!AQ161</f>
        <v>44</v>
      </c>
      <c r="BI161" s="198">
        <f t="shared" si="9"/>
        <v>1580</v>
      </c>
      <c r="BJ161" s="177">
        <f t="shared" ca="1" si="25"/>
        <v>35.714285714285715</v>
      </c>
      <c r="BK161" s="211">
        <f t="shared" si="61"/>
        <v>223.19886598800773</v>
      </c>
      <c r="BL161" s="200">
        <f t="shared" si="63"/>
        <v>6.7603372650860569E-2</v>
      </c>
      <c r="BM161" s="213">
        <f t="shared" si="64"/>
        <v>1.473223608556024</v>
      </c>
      <c r="BN161" s="214">
        <f t="shared" ca="1" si="65"/>
        <v>1.3512273176007716</v>
      </c>
      <c r="BO161" s="176">
        <f>DANE!AU161</f>
        <v>12</v>
      </c>
      <c r="BP161" s="198">
        <f t="shared" si="10"/>
        <v>1053</v>
      </c>
      <c r="BQ161" s="177">
        <f t="shared" ca="1" si="26"/>
        <v>10.571428571428571</v>
      </c>
      <c r="BR161" s="211">
        <f t="shared" si="78"/>
        <v>60.481903106744468</v>
      </c>
      <c r="BS161" s="200">
        <f t="shared" si="83"/>
        <v>6.929860241275379E-2</v>
      </c>
      <c r="BT161" s="213">
        <f t="shared" si="84"/>
        <v>1.4850902168892766</v>
      </c>
      <c r="BU161" s="217">
        <f t="shared" ca="1" si="85"/>
        <v>1.5440155153110677</v>
      </c>
      <c r="BV161" s="176">
        <f>DANE!AY161</f>
        <v>53</v>
      </c>
      <c r="BW161" s="198">
        <f t="shared" si="11"/>
        <v>1120</v>
      </c>
      <c r="BX161" s="177">
        <f t="shared" ca="1" si="27"/>
        <v>28.714285714285715</v>
      </c>
      <c r="BY161" s="211">
        <f t="shared" si="69"/>
        <v>180.49727577477631</v>
      </c>
      <c r="BZ161" s="200">
        <f t="shared" si="71"/>
        <v>0.21345299124188613</v>
      </c>
      <c r="CA161" s="213">
        <f t="shared" si="72"/>
        <v>2.4941709386932027</v>
      </c>
      <c r="CB161" s="214">
        <f t="shared" ca="1" si="73"/>
        <v>1.686357812008042</v>
      </c>
      <c r="CC161" s="176">
        <f>DANE!BC161</f>
        <v>208</v>
      </c>
      <c r="CD161" s="198">
        <f t="shared" si="12"/>
        <v>17699</v>
      </c>
      <c r="CE161" s="177">
        <f t="shared" ca="1" si="28"/>
        <v>187.85714285714286</v>
      </c>
      <c r="CF161" s="211">
        <f t="shared" si="45"/>
        <v>1274.0673881660637</v>
      </c>
      <c r="CG161" s="200">
        <f t="shared" si="46"/>
        <v>2.4379671874068483E-2</v>
      </c>
      <c r="CH161" s="213">
        <f t="shared" si="47"/>
        <v>1.1706577031184793</v>
      </c>
      <c r="CI161" s="217">
        <f t="shared" ca="1" si="48"/>
        <v>1.1245839193449139</v>
      </c>
      <c r="CJ161" s="176">
        <f>DANE!BG161</f>
        <v>13</v>
      </c>
      <c r="CK161" s="198">
        <f t="shared" si="13"/>
        <v>1067</v>
      </c>
      <c r="CL161" s="177">
        <f t="shared" ca="1" si="29"/>
        <v>13.285714285714286</v>
      </c>
      <c r="CM161" s="211">
        <f t="shared" si="79"/>
        <v>77.944258564037696</v>
      </c>
      <c r="CN161" s="200">
        <f t="shared" si="86"/>
        <v>2.8718565130497462E-2</v>
      </c>
      <c r="CO161" s="213">
        <f t="shared" si="87"/>
        <v>1.2010299559134823</v>
      </c>
      <c r="CP161" s="214">
        <f t="shared" ca="1" si="88"/>
        <v>1.8992832855800166</v>
      </c>
      <c r="CQ161" s="176">
        <f>DANE!BK161</f>
        <v>29</v>
      </c>
      <c r="CR161" s="198">
        <f t="shared" si="14"/>
        <v>460</v>
      </c>
      <c r="CS161" s="177">
        <f t="shared" ca="1" si="30"/>
        <v>11.571428571428571</v>
      </c>
      <c r="CT161" s="211">
        <f t="shared" si="89"/>
        <v>81.001279646236952</v>
      </c>
      <c r="CU161" s="200">
        <f t="shared" si="90"/>
        <v>0.33515307201151429</v>
      </c>
      <c r="CV161" s="213">
        <f t="shared" si="91"/>
        <v>3.3460715040806002</v>
      </c>
      <c r="CW161" s="217">
        <f t="shared" ca="1" si="92"/>
        <v>1.6503134711008121</v>
      </c>
      <c r="CX161" s="176">
        <f>DANE!BO161</f>
        <v>54</v>
      </c>
      <c r="CY161" s="198">
        <f t="shared" si="15"/>
        <v>4330</v>
      </c>
      <c r="CZ161" s="177">
        <f t="shared" ca="1" si="31"/>
        <v>78.571428571428569</v>
      </c>
      <c r="DA161" s="211">
        <f t="shared" si="54"/>
        <v>419.5627014409186</v>
      </c>
      <c r="DB161" s="200">
        <f t="shared" si="58"/>
        <v>-1.6242162435802152E-2</v>
      </c>
      <c r="DC161" s="213">
        <f t="shared" si="59"/>
        <v>0.88630486294938493</v>
      </c>
      <c r="DD161" s="214">
        <f t="shared" ca="1" si="60"/>
        <v>1.7008487702660795</v>
      </c>
      <c r="DE161" s="176">
        <f>DANE!BS161</f>
        <v>21</v>
      </c>
      <c r="DF161" s="198">
        <f t="shared" si="16"/>
        <v>847</v>
      </c>
      <c r="DG161" s="177">
        <f t="shared" ca="1" si="32"/>
        <v>15.142857142857142</v>
      </c>
      <c r="DH161" s="211">
        <f t="shared" si="70"/>
        <v>91.002710243932427</v>
      </c>
      <c r="DI161" s="200">
        <f t="shared" si="74"/>
        <v>0.11427575867305442</v>
      </c>
      <c r="DJ161" s="157">
        <f t="shared" si="75"/>
        <v>1.7999303107113809</v>
      </c>
      <c r="DK161" s="225">
        <f t="shared" ca="1" si="76"/>
        <v>1.6855015380280076</v>
      </c>
      <c r="DL161" s="88"/>
      <c r="DM161" s="88"/>
      <c r="DN161" s="88"/>
      <c r="DO161" s="88"/>
      <c r="DP161" s="8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</row>
    <row r="162" spans="1:138" x14ac:dyDescent="0.25">
      <c r="A162" s="61">
        <v>44052</v>
      </c>
      <c r="B162" s="62" t="str">
        <f t="shared" ca="1" si="0"/>
        <v/>
      </c>
      <c r="C162" s="12">
        <f t="shared" si="93"/>
        <v>159</v>
      </c>
      <c r="D162" s="176">
        <f>DANE!K162</f>
        <v>12</v>
      </c>
      <c r="E162" s="198">
        <f t="shared" si="1"/>
        <v>3483</v>
      </c>
      <c r="F162" s="178">
        <f t="shared" ca="1" si="17"/>
        <v>27.714285714285715</v>
      </c>
      <c r="G162" s="211">
        <f t="shared" si="38"/>
        <v>163.023692424334</v>
      </c>
      <c r="H162" s="200">
        <f t="shared" si="42"/>
        <v>-7.4750515872984966E-2</v>
      </c>
      <c r="I162" s="213">
        <f t="shared" si="43"/>
        <v>0.47674638888910525</v>
      </c>
      <c r="J162" s="214">
        <f t="shared" ca="1" si="44"/>
        <v>1.3675810720947708</v>
      </c>
      <c r="K162" s="176">
        <f>DANE!O162</f>
        <v>5</v>
      </c>
      <c r="L162" s="198">
        <f t="shared" si="2"/>
        <v>875</v>
      </c>
      <c r="M162" s="177">
        <f t="shared" ca="1" si="18"/>
        <v>9.2857142857142865</v>
      </c>
      <c r="N162" s="211">
        <f t="shared" si="62"/>
        <v>64.464022214341725</v>
      </c>
      <c r="O162" s="200">
        <f t="shared" si="66"/>
        <v>-7.0784751415706865E-2</v>
      </c>
      <c r="P162" s="213">
        <f t="shared" si="67"/>
        <v>0.50450674009005192</v>
      </c>
      <c r="Q162" s="217">
        <f t="shared" ca="1" si="68"/>
        <v>1.2245878113031856</v>
      </c>
      <c r="R162" s="176">
        <f>DANE!S162</f>
        <v>17</v>
      </c>
      <c r="S162" s="198">
        <f t="shared" si="3"/>
        <v>1113</v>
      </c>
      <c r="T162" s="177">
        <f t="shared" ca="1" si="19"/>
        <v>16</v>
      </c>
      <c r="U162" s="211">
        <f t="shared" si="50"/>
        <v>102.43124460256558</v>
      </c>
      <c r="V162" s="200">
        <f t="shared" si="55"/>
        <v>2.7706081864869177E-2</v>
      </c>
      <c r="W162" s="213">
        <f t="shared" si="56"/>
        <v>1.1939425730540842</v>
      </c>
      <c r="X162" s="214">
        <f t="shared" ca="1" si="57"/>
        <v>1.324335343528658</v>
      </c>
      <c r="Y162" s="176">
        <f>DANE!W162</f>
        <v>20</v>
      </c>
      <c r="Z162" s="198">
        <f t="shared" si="4"/>
        <v>524</v>
      </c>
      <c r="AA162" s="177">
        <f t="shared" ca="1" si="20"/>
        <v>15</v>
      </c>
      <c r="AB162" s="211">
        <f t="shared" si="94"/>
        <v>97.046975324861819</v>
      </c>
      <c r="AC162" s="200">
        <f t="shared" si="95"/>
        <v>7.964162585604527E-2</v>
      </c>
      <c r="AD162" s="213">
        <f t="shared" si="96"/>
        <v>1.557491380992317</v>
      </c>
      <c r="AE162" s="217">
        <f t="shared" ca="1" si="97"/>
        <v>1.5090253634577309</v>
      </c>
      <c r="AF162" s="176">
        <f>DANE!AA162</f>
        <v>22</v>
      </c>
      <c r="AG162" s="198">
        <f t="shared" si="5"/>
        <v>4266</v>
      </c>
      <c r="AH162" s="177">
        <f t="shared" ca="1" si="21"/>
        <v>33.428571428571431</v>
      </c>
      <c r="AI162" s="211">
        <f t="shared" si="37"/>
        <v>226.41606848849312</v>
      </c>
      <c r="AJ162" s="200">
        <f t="shared" si="39"/>
        <v>-5.0608314295975336E-2</v>
      </c>
      <c r="AK162" s="213">
        <f t="shared" si="40"/>
        <v>0.64574179992817271</v>
      </c>
      <c r="AL162" s="214">
        <f t="shared" ca="1" si="41"/>
        <v>1.0518774291049722</v>
      </c>
      <c r="AM162" s="176">
        <f>DANE!AE162</f>
        <v>108</v>
      </c>
      <c r="AN162" s="198">
        <f t="shared" si="6"/>
        <v>4518</v>
      </c>
      <c r="AO162" s="177">
        <f t="shared" ca="1" si="22"/>
        <v>107.14285714285714</v>
      </c>
      <c r="AP162" s="211">
        <f t="shared" si="49"/>
        <v>739.30158530161339</v>
      </c>
      <c r="AQ162" s="200">
        <f t="shared" si="51"/>
        <v>3.7786818053302169E-3</v>
      </c>
      <c r="AR162" s="213">
        <f t="shared" si="52"/>
        <v>1.0264507726373115</v>
      </c>
      <c r="AS162" s="217">
        <f t="shared" ca="1" si="53"/>
        <v>1.1161827763355419</v>
      </c>
      <c r="AT162" s="176">
        <f>DANE!AI162</f>
        <v>81</v>
      </c>
      <c r="AU162" s="198">
        <f t="shared" si="7"/>
        <v>7194</v>
      </c>
      <c r="AV162" s="177">
        <f t="shared" ca="1" si="23"/>
        <v>91.428571428571431</v>
      </c>
      <c r="AW162" s="211">
        <f t="shared" si="33"/>
        <v>592.97747912989075</v>
      </c>
      <c r="AX162" s="200">
        <f t="shared" si="34"/>
        <v>-7.2484993938291432E-3</v>
      </c>
      <c r="AY162" s="213">
        <f t="shared" si="35"/>
        <v>0.94926050424319597</v>
      </c>
      <c r="AZ162" s="214">
        <f t="shared" ca="1" si="36"/>
        <v>1.2793013487662355</v>
      </c>
      <c r="BA162" s="176">
        <f>DANE!AM162</f>
        <v>13</v>
      </c>
      <c r="BB162" s="198">
        <f t="shared" si="8"/>
        <v>1316</v>
      </c>
      <c r="BC162" s="177">
        <f t="shared" ca="1" si="24"/>
        <v>16</v>
      </c>
      <c r="BD162" s="211">
        <f t="shared" si="77"/>
        <v>105.21386011112128</v>
      </c>
      <c r="BE162" s="200">
        <f t="shared" si="80"/>
        <v>-2.2020024343401345E-2</v>
      </c>
      <c r="BF162" s="213">
        <f t="shared" si="81"/>
        <v>0.84585982959619055</v>
      </c>
      <c r="BG162" s="217">
        <f t="shared" ca="1" si="82"/>
        <v>1.3216016211493342</v>
      </c>
      <c r="BH162" s="176">
        <f>DANE!AQ162</f>
        <v>28</v>
      </c>
      <c r="BI162" s="198">
        <f t="shared" si="9"/>
        <v>1608</v>
      </c>
      <c r="BJ162" s="177">
        <f t="shared" ca="1" si="25"/>
        <v>36.428571428571431</v>
      </c>
      <c r="BK162" s="211">
        <f t="shared" si="61"/>
        <v>219.31331370400665</v>
      </c>
      <c r="BL162" s="200">
        <f t="shared" si="63"/>
        <v>-1.7408476816409304E-2</v>
      </c>
      <c r="BM162" s="213">
        <f t="shared" si="64"/>
        <v>0.87814066228513488</v>
      </c>
      <c r="BN162" s="214">
        <f t="shared" ca="1" si="65"/>
        <v>1.3322138991262691</v>
      </c>
      <c r="BO162" s="176">
        <f>DANE!AU162</f>
        <v>10</v>
      </c>
      <c r="BP162" s="198">
        <f t="shared" si="10"/>
        <v>1063</v>
      </c>
      <c r="BQ162" s="177">
        <f t="shared" ca="1" si="26"/>
        <v>10.714285714285714</v>
      </c>
      <c r="BR162" s="211">
        <f t="shared" si="78"/>
        <v>61.841631234352405</v>
      </c>
      <c r="BS162" s="200">
        <f t="shared" si="83"/>
        <v>2.2481569821110853E-2</v>
      </c>
      <c r="BT162" s="213">
        <f t="shared" si="84"/>
        <v>1.1573709887477759</v>
      </c>
      <c r="BU162" s="217">
        <f t="shared" ca="1" si="85"/>
        <v>1.465495876940391</v>
      </c>
      <c r="BV162" s="176">
        <f>DANE!AY162</f>
        <v>40</v>
      </c>
      <c r="BW162" s="198">
        <f t="shared" si="11"/>
        <v>1160</v>
      </c>
      <c r="BX162" s="177">
        <f t="shared" ca="1" si="27"/>
        <v>31</v>
      </c>
      <c r="BY162" s="211">
        <f t="shared" si="69"/>
        <v>194.71195066409399</v>
      </c>
      <c r="BZ162" s="200">
        <f t="shared" si="71"/>
        <v>7.8752850026693397E-2</v>
      </c>
      <c r="CA162" s="213">
        <f t="shared" si="72"/>
        <v>1.5512699501868537</v>
      </c>
      <c r="CB162" s="214">
        <f t="shared" ca="1" si="73"/>
        <v>1.6561436770844176</v>
      </c>
      <c r="CC162" s="176">
        <f>DANE!BC162</f>
        <v>149</v>
      </c>
      <c r="CD162" s="198">
        <f t="shared" si="12"/>
        <v>17848</v>
      </c>
      <c r="CE162" s="177">
        <f t="shared" ca="1" si="28"/>
        <v>181.85714285714286</v>
      </c>
      <c r="CF162" s="211">
        <f t="shared" si="45"/>
        <v>1241.0577612851976</v>
      </c>
      <c r="CG162" s="200">
        <f t="shared" si="46"/>
        <v>-2.5908854733642697E-2</v>
      </c>
      <c r="CH162" s="213">
        <f t="shared" si="47"/>
        <v>0.81863801686450111</v>
      </c>
      <c r="CI162" s="217">
        <f t="shared" ca="1" si="48"/>
        <v>1.0727098295676429</v>
      </c>
      <c r="CJ162" s="176">
        <f>DANE!BG162</f>
        <v>11</v>
      </c>
      <c r="CK162" s="198">
        <f t="shared" si="13"/>
        <v>1078</v>
      </c>
      <c r="CL162" s="177">
        <f t="shared" ca="1" si="29"/>
        <v>14.571428571428571</v>
      </c>
      <c r="CM162" s="211">
        <f t="shared" si="79"/>
        <v>77.809364483460882</v>
      </c>
      <c r="CN162" s="200">
        <f t="shared" si="86"/>
        <v>-1.7306480690426611E-3</v>
      </c>
      <c r="CO162" s="213">
        <f t="shared" si="87"/>
        <v>0.98788546351670137</v>
      </c>
      <c r="CP162" s="214">
        <f t="shared" ca="1" si="88"/>
        <v>1.9883434050757078</v>
      </c>
      <c r="CQ162" s="176">
        <f>DANE!BK162</f>
        <v>30</v>
      </c>
      <c r="CR162" s="198">
        <f t="shared" si="14"/>
        <v>490</v>
      </c>
      <c r="CS162" s="177">
        <f t="shared" ca="1" si="30"/>
        <v>15.142857142857142</v>
      </c>
      <c r="CT162" s="211">
        <f t="shared" si="89"/>
        <v>99.429668268203102</v>
      </c>
      <c r="CU162" s="200">
        <f t="shared" si="90"/>
        <v>0.22750737645688873</v>
      </c>
      <c r="CV162" s="213">
        <f t="shared" si="91"/>
        <v>2.5925516351982214</v>
      </c>
      <c r="CW162" s="217">
        <f t="shared" ca="1" si="92"/>
        <v>1.9132611894114986</v>
      </c>
      <c r="CX162" s="176">
        <f>DANE!BO162</f>
        <v>63</v>
      </c>
      <c r="CY162" s="198">
        <f t="shared" si="15"/>
        <v>4393</v>
      </c>
      <c r="CZ162" s="177">
        <f t="shared" ca="1" si="31"/>
        <v>77.285714285714292</v>
      </c>
      <c r="DA162" s="211">
        <f t="shared" si="54"/>
        <v>422.62517266364455</v>
      </c>
      <c r="DB162" s="200">
        <f t="shared" si="58"/>
        <v>7.2991979797260255E-3</v>
      </c>
      <c r="DC162" s="213">
        <f t="shared" si="59"/>
        <v>1.0510943858580821</v>
      </c>
      <c r="DD162" s="214">
        <f t="shared" ca="1" si="60"/>
        <v>1.5248106174736218</v>
      </c>
      <c r="DE162" s="176">
        <f>DANE!BS162</f>
        <v>15</v>
      </c>
      <c r="DF162" s="198">
        <f t="shared" si="16"/>
        <v>862</v>
      </c>
      <c r="DG162" s="177">
        <f t="shared" ca="1" si="32"/>
        <v>16.571428571428573</v>
      </c>
      <c r="DH162" s="211">
        <f t="shared" si="70"/>
        <v>93.002323066227802</v>
      </c>
      <c r="DI162" s="200">
        <f t="shared" si="74"/>
        <v>2.1973112854940486E-2</v>
      </c>
      <c r="DJ162" s="157">
        <f t="shared" si="75"/>
        <v>1.1538117899845834</v>
      </c>
      <c r="DK162" s="225">
        <f t="shared" ca="1" si="76"/>
        <v>1.7461813888113349</v>
      </c>
      <c r="DL162" s="88"/>
      <c r="DM162" s="88"/>
      <c r="DN162" s="88"/>
      <c r="DO162" s="88"/>
      <c r="DP162" s="88"/>
      <c r="DQ162" s="88"/>
      <c r="DR162" s="88"/>
      <c r="DS162" s="88"/>
      <c r="DT162" s="88"/>
      <c r="DU162" s="88"/>
      <c r="DV162" s="88"/>
      <c r="DW162" s="88"/>
      <c r="DX162" s="88"/>
      <c r="DY162" s="88"/>
      <c r="DZ162" s="88"/>
      <c r="EA162" s="88"/>
      <c r="EB162" s="88"/>
      <c r="EC162" s="88"/>
      <c r="ED162" s="88"/>
      <c r="EE162" s="88"/>
      <c r="EF162" s="88"/>
      <c r="EG162" s="88"/>
      <c r="EH162" s="88"/>
    </row>
    <row r="163" spans="1:138" x14ac:dyDescent="0.25">
      <c r="A163" s="32">
        <v>44053</v>
      </c>
      <c r="B163" s="33" t="str">
        <f t="shared" ca="1" si="0"/>
        <v/>
      </c>
      <c r="C163" s="51">
        <f t="shared" si="93"/>
        <v>160</v>
      </c>
      <c r="D163" s="176">
        <f>DANE!K163</f>
        <v>18</v>
      </c>
      <c r="E163" s="188">
        <f t="shared" si="1"/>
        <v>3501</v>
      </c>
      <c r="F163" s="178">
        <f t="shared" ca="1" si="17"/>
        <v>27.857142857142858</v>
      </c>
      <c r="G163" s="209">
        <f t="shared" si="38"/>
        <v>157.73459350657203</v>
      </c>
      <c r="H163" s="179">
        <f t="shared" si="42"/>
        <v>-3.2443743845495733E-2</v>
      </c>
      <c r="I163" s="213">
        <f t="shared" si="43"/>
        <v>0.77289379308152983</v>
      </c>
      <c r="J163" s="214">
        <f t="shared" ca="1" si="44"/>
        <v>1.3333081599876897</v>
      </c>
      <c r="K163" s="176">
        <f>DANE!O163</f>
        <v>12</v>
      </c>
      <c r="L163" s="188">
        <f t="shared" si="2"/>
        <v>887</v>
      </c>
      <c r="M163" s="177">
        <f t="shared" ca="1" si="18"/>
        <v>9.7142857142857135</v>
      </c>
      <c r="N163" s="209">
        <f t="shared" si="62"/>
        <v>67.254876183721478</v>
      </c>
      <c r="O163" s="179">
        <f t="shared" si="66"/>
        <v>4.3293202526212431E-2</v>
      </c>
      <c r="P163" s="213">
        <f t="shared" si="67"/>
        <v>1.303052417683487</v>
      </c>
      <c r="Q163" s="217">
        <f t="shared" ca="1" si="68"/>
        <v>1.2447626335881219</v>
      </c>
      <c r="R163" s="176">
        <f>DANE!S163</f>
        <v>17</v>
      </c>
      <c r="S163" s="188">
        <f t="shared" si="3"/>
        <v>1130</v>
      </c>
      <c r="T163" s="177">
        <f t="shared" ca="1" si="19"/>
        <v>16.571428571428573</v>
      </c>
      <c r="U163" s="209">
        <f t="shared" si="50"/>
        <v>104.79820965934194</v>
      </c>
      <c r="V163" s="179">
        <f t="shared" si="55"/>
        <v>2.3107842396723803E-2</v>
      </c>
      <c r="W163" s="213">
        <f t="shared" si="56"/>
        <v>1.1617548967770666</v>
      </c>
      <c r="X163" s="214">
        <f t="shared" ca="1" si="57"/>
        <v>1.3186965964388899</v>
      </c>
      <c r="Y163" s="176">
        <f>DANE!W163</f>
        <v>26</v>
      </c>
      <c r="Z163" s="188">
        <f t="shared" si="4"/>
        <v>550</v>
      </c>
      <c r="AA163" s="177">
        <f t="shared" ca="1" si="20"/>
        <v>16.857142857142858</v>
      </c>
      <c r="AB163" s="209">
        <f t="shared" si="94"/>
        <v>109.18312170702443</v>
      </c>
      <c r="AC163" s="179">
        <f t="shared" si="95"/>
        <v>0.12505434962333678</v>
      </c>
      <c r="AD163" s="213">
        <f t="shared" si="96"/>
        <v>1.8753804473633575</v>
      </c>
      <c r="AE163" s="217">
        <f t="shared" ca="1" si="97"/>
        <v>1.5631127547648198</v>
      </c>
      <c r="AF163" s="176">
        <f>DANE!AA163</f>
        <v>31</v>
      </c>
      <c r="AG163" s="188">
        <f t="shared" si="5"/>
        <v>4297</v>
      </c>
      <c r="AH163" s="177">
        <f t="shared" ca="1" si="21"/>
        <v>35</v>
      </c>
      <c r="AI163" s="209">
        <f t="shared" si="37"/>
        <v>225.07091584727985</v>
      </c>
      <c r="AJ163" s="179">
        <f t="shared" si="39"/>
        <v>-5.9410652706463635E-3</v>
      </c>
      <c r="AK163" s="213">
        <f t="shared" si="40"/>
        <v>0.95841254310547541</v>
      </c>
      <c r="AL163" s="214">
        <f t="shared" ca="1" si="41"/>
        <v>1.0963519674871418</v>
      </c>
      <c r="AM163" s="176">
        <f>DANE!AE163</f>
        <v>175</v>
      </c>
      <c r="AN163" s="188">
        <f t="shared" si="6"/>
        <v>4693</v>
      </c>
      <c r="AO163" s="177">
        <f t="shared" ca="1" si="22"/>
        <v>121</v>
      </c>
      <c r="AP163" s="209">
        <f t="shared" si="49"/>
        <v>808.68707311566868</v>
      </c>
      <c r="AQ163" s="179">
        <f t="shared" si="51"/>
        <v>9.3852751290595504E-2</v>
      </c>
      <c r="AR163" s="213">
        <f t="shared" si="52"/>
        <v>1.6569692590341685</v>
      </c>
      <c r="AS163" s="217">
        <f t="shared" ca="1" si="53"/>
        <v>1.2348893038771478</v>
      </c>
      <c r="AT163" s="176">
        <f>DANE!AI163</f>
        <v>53</v>
      </c>
      <c r="AU163" s="188">
        <f t="shared" si="7"/>
        <v>7247</v>
      </c>
      <c r="AV163" s="177">
        <f t="shared" ca="1" si="23"/>
        <v>87.285714285714292</v>
      </c>
      <c r="AW163" s="209">
        <f t="shared" si="33"/>
        <v>561.26641068276354</v>
      </c>
      <c r="AX163" s="179">
        <f t="shared" si="34"/>
        <v>-5.3477694454195215E-2</v>
      </c>
      <c r="AY163" s="213">
        <f t="shared" si="35"/>
        <v>0.62565613882063342</v>
      </c>
      <c r="AZ163" s="214">
        <f t="shared" ca="1" si="36"/>
        <v>1.1880284685880331</v>
      </c>
      <c r="BA163" s="176">
        <f>DANE!AM163</f>
        <v>7</v>
      </c>
      <c r="BB163" s="188">
        <f t="shared" si="8"/>
        <v>1323</v>
      </c>
      <c r="BC163" s="177">
        <f t="shared" ca="1" si="24"/>
        <v>16.571428571428573</v>
      </c>
      <c r="BD163" s="209">
        <f t="shared" si="77"/>
        <v>97.183308666675387</v>
      </c>
      <c r="BE163" s="179">
        <f t="shared" si="80"/>
        <v>-7.6325984389931614E-2</v>
      </c>
      <c r="BF163" s="213">
        <f t="shared" si="81"/>
        <v>0.46571810927047863</v>
      </c>
      <c r="BG163" s="217">
        <f t="shared" ca="1" si="82"/>
        <v>1.3504108040937974</v>
      </c>
      <c r="BH163" s="176">
        <f>DANE!AQ163</f>
        <v>37</v>
      </c>
      <c r="BI163" s="188">
        <f t="shared" si="9"/>
        <v>1645</v>
      </c>
      <c r="BJ163" s="177">
        <f t="shared" ca="1" si="25"/>
        <v>35.714285714285715</v>
      </c>
      <c r="BK163" s="209">
        <f t="shared" si="61"/>
        <v>224.98284031771999</v>
      </c>
      <c r="BL163" s="179">
        <f t="shared" si="63"/>
        <v>2.5851265105433348E-2</v>
      </c>
      <c r="BM163" s="213">
        <f t="shared" si="64"/>
        <v>1.1809588557380335</v>
      </c>
      <c r="BN163" s="214">
        <f t="shared" ca="1" si="65"/>
        <v>1.2375446845618341</v>
      </c>
      <c r="BO163" s="176">
        <f>DANE!AU163</f>
        <v>8</v>
      </c>
      <c r="BP163" s="188">
        <f t="shared" si="10"/>
        <v>1071</v>
      </c>
      <c r="BQ163" s="177">
        <f t="shared" ca="1" si="26"/>
        <v>10.428571428571429</v>
      </c>
      <c r="BR163" s="209">
        <f t="shared" si="78"/>
        <v>61.007112486587779</v>
      </c>
      <c r="BS163" s="179">
        <f t="shared" si="83"/>
        <v>-1.3494449145465935E-2</v>
      </c>
      <c r="BT163" s="213">
        <f t="shared" si="84"/>
        <v>0.90553885598173844</v>
      </c>
      <c r="BU163" s="217">
        <f t="shared" ca="1" si="85"/>
        <v>1.3487609993036247</v>
      </c>
      <c r="BV163" s="176">
        <f>DANE!AY163</f>
        <v>48</v>
      </c>
      <c r="BW163" s="188">
        <f t="shared" si="11"/>
        <v>1208</v>
      </c>
      <c r="BX163" s="177">
        <f t="shared" ca="1" si="27"/>
        <v>35</v>
      </c>
      <c r="BY163" s="209">
        <f t="shared" si="69"/>
        <v>214.89595771208059</v>
      </c>
      <c r="BZ163" s="179">
        <f t="shared" si="71"/>
        <v>0.1036608537850196</v>
      </c>
      <c r="CA163" s="213">
        <f t="shared" si="72"/>
        <v>1.7256259764951372</v>
      </c>
      <c r="CB163" s="214">
        <f t="shared" ca="1" si="73"/>
        <v>1.7134284118824934</v>
      </c>
      <c r="CC163" s="176">
        <f>DANE!BC163</f>
        <v>98</v>
      </c>
      <c r="CD163" s="188">
        <f t="shared" si="12"/>
        <v>17946</v>
      </c>
      <c r="CE163" s="177">
        <f t="shared" ca="1" si="28"/>
        <v>175</v>
      </c>
      <c r="CF163" s="209">
        <f t="shared" si="45"/>
        <v>1161.7637953873123</v>
      </c>
      <c r="CG163" s="179">
        <f t="shared" si="46"/>
        <v>-6.3892244480040272E-2</v>
      </c>
      <c r="CH163" s="213">
        <f t="shared" si="47"/>
        <v>0.55275428863971809</v>
      </c>
      <c r="CI163" s="217">
        <f t="shared" ca="1" si="48"/>
        <v>1.0258932026992593</v>
      </c>
      <c r="CJ163" s="176">
        <f>DANE!BG163</f>
        <v>8</v>
      </c>
      <c r="CK163" s="188">
        <f t="shared" si="13"/>
        <v>1086</v>
      </c>
      <c r="CL163" s="177">
        <f t="shared" ca="1" si="29"/>
        <v>14.571428571428571</v>
      </c>
      <c r="CM163" s="209">
        <f t="shared" si="79"/>
        <v>74.693740985823624</v>
      </c>
      <c r="CN163" s="179">
        <f t="shared" si="86"/>
        <v>-4.004175484943736E-2</v>
      </c>
      <c r="CO163" s="213">
        <f t="shared" si="87"/>
        <v>0.71970771605393846</v>
      </c>
      <c r="CP163" s="214">
        <f t="shared" ca="1" si="88"/>
        <v>1.8620965555478268</v>
      </c>
      <c r="CQ163" s="176">
        <f>DANE!BK163</f>
        <v>6</v>
      </c>
      <c r="CR163" s="188">
        <f t="shared" si="14"/>
        <v>496</v>
      </c>
      <c r="CS163" s="177">
        <f t="shared" ca="1" si="30"/>
        <v>15.857142857142858</v>
      </c>
      <c r="CT163" s="209">
        <f t="shared" si="89"/>
        <v>91.225429944174095</v>
      </c>
      <c r="CU163" s="179">
        <f t="shared" si="90"/>
        <v>-8.2512980953519513E-2</v>
      </c>
      <c r="CV163" s="213">
        <f t="shared" si="91"/>
        <v>0.42240913332536334</v>
      </c>
      <c r="CW163" s="217">
        <f t="shared" ca="1" si="92"/>
        <v>1.9513326385604146</v>
      </c>
      <c r="CX163" s="176">
        <f>DANE!BO163</f>
        <v>64</v>
      </c>
      <c r="CY163" s="188">
        <f t="shared" si="15"/>
        <v>4457</v>
      </c>
      <c r="CZ163" s="177">
        <f t="shared" ca="1" si="31"/>
        <v>72.428571428571431</v>
      </c>
      <c r="DA163" s="209">
        <f t="shared" si="54"/>
        <v>426.25014799740961</v>
      </c>
      <c r="DB163" s="179">
        <f t="shared" si="58"/>
        <v>8.5772821124644183E-3</v>
      </c>
      <c r="DC163" s="213">
        <f t="shared" si="59"/>
        <v>1.060040974787251</v>
      </c>
      <c r="DD163" s="214">
        <f t="shared" ca="1" si="60"/>
        <v>1.301046077099647</v>
      </c>
      <c r="DE163" s="176">
        <f>DANE!BS163</f>
        <v>11</v>
      </c>
      <c r="DF163" s="188">
        <f t="shared" si="16"/>
        <v>873</v>
      </c>
      <c r="DG163" s="177">
        <f t="shared" ca="1" si="32"/>
        <v>16</v>
      </c>
      <c r="DH163" s="209">
        <f t="shared" si="70"/>
        <v>90.716276913909553</v>
      </c>
      <c r="DI163" s="179">
        <f t="shared" si="74"/>
        <v>-2.4580527420700396E-2</v>
      </c>
      <c r="DJ163" s="157">
        <f t="shared" si="75"/>
        <v>0.82793630805509721</v>
      </c>
      <c r="DK163" s="225">
        <f t="shared" ca="1" si="76"/>
        <v>1.539425855252031</v>
      </c>
      <c r="DL163" s="89"/>
      <c r="DM163" s="89"/>
      <c r="DN163" s="89"/>
      <c r="DO163" s="89"/>
      <c r="DP163" s="89"/>
      <c r="DQ163" s="89"/>
      <c r="DR163" s="89"/>
      <c r="DS163" s="89"/>
      <c r="DT163" s="89"/>
      <c r="DU163" s="89"/>
      <c r="DV163" s="89"/>
      <c r="DW163" s="89"/>
      <c r="DX163" s="89"/>
      <c r="DY163" s="89"/>
      <c r="DZ163" s="89"/>
      <c r="EA163" s="89"/>
      <c r="EB163" s="89"/>
      <c r="EC163" s="89"/>
      <c r="ED163" s="89"/>
      <c r="EE163" s="89"/>
      <c r="EF163" s="89"/>
      <c r="EG163" s="89"/>
      <c r="EH163" s="89"/>
    </row>
    <row r="164" spans="1:138" x14ac:dyDescent="0.25">
      <c r="A164" s="32">
        <v>44054</v>
      </c>
      <c r="B164" s="33" t="str">
        <f t="shared" ca="1" si="0"/>
        <v/>
      </c>
      <c r="C164" s="51">
        <f t="shared" si="93"/>
        <v>161</v>
      </c>
      <c r="D164" s="176">
        <f>DANE!K164</f>
        <v>27</v>
      </c>
      <c r="E164" s="188">
        <f t="shared" si="1"/>
        <v>3528</v>
      </c>
      <c r="F164" s="178">
        <f t="shared" ca="1" si="17"/>
        <v>25</v>
      </c>
      <c r="G164" s="209">
        <f t="shared" si="38"/>
        <v>162.20108014849032</v>
      </c>
      <c r="H164" s="179">
        <f t="shared" si="42"/>
        <v>2.8316468458976299E-2</v>
      </c>
      <c r="I164" s="213">
        <f t="shared" si="43"/>
        <v>1.198215279212834</v>
      </c>
      <c r="J164" s="214">
        <f t="shared" ca="1" si="44"/>
        <v>1.1051970348252151</v>
      </c>
      <c r="K164" s="176">
        <f>DANE!O164</f>
        <v>34</v>
      </c>
      <c r="L164" s="188">
        <f t="shared" si="2"/>
        <v>921</v>
      </c>
      <c r="M164" s="177">
        <f t="shared" ca="1" si="18"/>
        <v>14.142857142857142</v>
      </c>
      <c r="N164" s="209">
        <f t="shared" si="62"/>
        <v>91.647036728904126</v>
      </c>
      <c r="O164" s="179">
        <f t="shared" si="66"/>
        <v>0.36268240950366332</v>
      </c>
      <c r="P164" s="213">
        <f t="shared" si="67"/>
        <v>3.5387768665256432</v>
      </c>
      <c r="Q164" s="217">
        <f t="shared" ca="1" si="68"/>
        <v>1.6962271390779173</v>
      </c>
      <c r="R164" s="176">
        <f>DANE!S164</f>
        <v>8</v>
      </c>
      <c r="S164" s="188">
        <f t="shared" si="3"/>
        <v>1138</v>
      </c>
      <c r="T164" s="177">
        <f t="shared" ca="1" si="19"/>
        <v>16.571428571428573</v>
      </c>
      <c r="U164" s="209">
        <f t="shared" si="50"/>
        <v>97.827036850864516</v>
      </c>
      <c r="V164" s="179">
        <f t="shared" si="55"/>
        <v>-6.6519960895686875E-2</v>
      </c>
      <c r="W164" s="213">
        <f t="shared" si="56"/>
        <v>0.53436027373019179</v>
      </c>
      <c r="X164" s="214">
        <f t="shared" ca="1" si="57"/>
        <v>1.292382359765204</v>
      </c>
      <c r="Y164" s="176">
        <f>DANE!W164</f>
        <v>2</v>
      </c>
      <c r="Z164" s="188">
        <f t="shared" si="4"/>
        <v>552</v>
      </c>
      <c r="AA164" s="177">
        <f t="shared" ca="1" si="20"/>
        <v>16.428571428571427</v>
      </c>
      <c r="AB164" s="209">
        <f t="shared" si="94"/>
        <v>95.585532891735227</v>
      </c>
      <c r="AC164" s="179">
        <f t="shared" si="95"/>
        <v>-0.12453929327809632</v>
      </c>
      <c r="AD164" s="213">
        <f t="shared" si="96"/>
        <v>0.12822494705332577</v>
      </c>
      <c r="AE164" s="217">
        <f t="shared" ca="1" si="97"/>
        <v>1.5046401503767908</v>
      </c>
      <c r="AF164" s="176">
        <f>DANE!AA164</f>
        <v>51</v>
      </c>
      <c r="AG164" s="188">
        <f t="shared" si="5"/>
        <v>4348</v>
      </c>
      <c r="AH164" s="177">
        <f t="shared" ca="1" si="21"/>
        <v>36.714285714285715</v>
      </c>
      <c r="AI164" s="209">
        <f t="shared" si="37"/>
        <v>243.91792786909704</v>
      </c>
      <c r="AJ164" s="179">
        <f t="shared" si="39"/>
        <v>8.3738105169508831E-2</v>
      </c>
      <c r="AK164" s="213">
        <f t="shared" si="40"/>
        <v>1.5861667361865619</v>
      </c>
      <c r="AL164" s="214">
        <f t="shared" ca="1" si="41"/>
        <v>1.1331157459342001</v>
      </c>
      <c r="AM164" s="176">
        <f>DANE!AE164</f>
        <v>71</v>
      </c>
      <c r="AN164" s="188">
        <f t="shared" si="6"/>
        <v>4764</v>
      </c>
      <c r="AO164" s="177">
        <f t="shared" ca="1" si="22"/>
        <v>118.57142857142857</v>
      </c>
      <c r="AP164" s="209">
        <f t="shared" si="49"/>
        <v>764.16034838485893</v>
      </c>
      <c r="AQ164" s="179">
        <f t="shared" si="51"/>
        <v>-5.5060512540727816E-2</v>
      </c>
      <c r="AR164" s="213">
        <f t="shared" si="52"/>
        <v>0.61457641221490533</v>
      </c>
      <c r="AS164" s="217">
        <f t="shared" ca="1" si="53"/>
        <v>1.1861607648310881</v>
      </c>
      <c r="AT164" s="176">
        <f>DANE!AI164</f>
        <v>50</v>
      </c>
      <c r="AU164" s="188">
        <f t="shared" si="7"/>
        <v>7297</v>
      </c>
      <c r="AV164" s="177">
        <f t="shared" ca="1" si="23"/>
        <v>87.428571428571431</v>
      </c>
      <c r="AW164" s="209">
        <f t="shared" si="33"/>
        <v>531.08549487094024</v>
      </c>
      <c r="AX164" s="179">
        <f t="shared" si="34"/>
        <v>-5.3772887950143192E-2</v>
      </c>
      <c r="AY164" s="213">
        <f t="shared" si="35"/>
        <v>0.6235897843489977</v>
      </c>
      <c r="AZ164" s="214">
        <f t="shared" ca="1" si="36"/>
        <v>1.1730933724726869</v>
      </c>
      <c r="BA164" s="176">
        <f>DANE!AM164</f>
        <v>20</v>
      </c>
      <c r="BB164" s="188">
        <f t="shared" si="8"/>
        <v>1343</v>
      </c>
      <c r="BC164" s="177">
        <f t="shared" ca="1" si="24"/>
        <v>18.428571428571427</v>
      </c>
      <c r="BD164" s="209">
        <f t="shared" si="77"/>
        <v>103.29997885715034</v>
      </c>
      <c r="BE164" s="179">
        <f t="shared" si="80"/>
        <v>6.2939513733312358E-2</v>
      </c>
      <c r="BF164" s="213">
        <f t="shared" si="81"/>
        <v>1.4405765961331864</v>
      </c>
      <c r="BG164" s="217">
        <f t="shared" ca="1" si="82"/>
        <v>1.4578485357679318</v>
      </c>
      <c r="BH164" s="176">
        <f>DANE!AQ164</f>
        <v>16</v>
      </c>
      <c r="BI164" s="188">
        <f t="shared" si="9"/>
        <v>1661</v>
      </c>
      <c r="BJ164" s="177">
        <f t="shared" ca="1" si="25"/>
        <v>32.142857142857146</v>
      </c>
      <c r="BK164" s="209">
        <f t="shared" si="61"/>
        <v>208.84243455804571</v>
      </c>
      <c r="BL164" s="179">
        <f t="shared" si="63"/>
        <v>-7.1740608025398098E-2</v>
      </c>
      <c r="BM164" s="213">
        <f t="shared" si="64"/>
        <v>0.49781574382221327</v>
      </c>
      <c r="BN164" s="214">
        <f t="shared" ca="1" si="65"/>
        <v>1.0792082719308884</v>
      </c>
      <c r="BO164" s="176">
        <f>DANE!AU164</f>
        <v>7</v>
      </c>
      <c r="BP164" s="188">
        <f t="shared" si="10"/>
        <v>1078</v>
      </c>
      <c r="BQ164" s="177">
        <f t="shared" ca="1" si="26"/>
        <v>9.2857142857142865</v>
      </c>
      <c r="BR164" s="209">
        <f t="shared" si="78"/>
        <v>59.291810702789526</v>
      </c>
      <c r="BS164" s="179">
        <f t="shared" si="83"/>
        <v>-2.8116423051088621E-2</v>
      </c>
      <c r="BT164" s="213">
        <f t="shared" si="84"/>
        <v>0.80318503864237967</v>
      </c>
      <c r="BU164" s="217">
        <f t="shared" ca="1" si="85"/>
        <v>1.1288998068796507</v>
      </c>
      <c r="BV164" s="176">
        <f>DANE!AY164</f>
        <v>30</v>
      </c>
      <c r="BW164" s="188">
        <f t="shared" si="11"/>
        <v>1238</v>
      </c>
      <c r="BX164" s="177">
        <f t="shared" ca="1" si="27"/>
        <v>36.857142857142854</v>
      </c>
      <c r="BY164" s="209">
        <f t="shared" si="69"/>
        <v>214.19653518178336</v>
      </c>
      <c r="BZ164" s="179">
        <f t="shared" si="71"/>
        <v>-3.2547030560450049E-3</v>
      </c>
      <c r="CA164" s="213">
        <f t="shared" si="72"/>
        <v>0.97721707860768492</v>
      </c>
      <c r="CB164" s="214">
        <f t="shared" ca="1" si="73"/>
        <v>1.6993114866782053</v>
      </c>
      <c r="CC164" s="176">
        <f>DANE!BC164</f>
        <v>128</v>
      </c>
      <c r="CD164" s="188">
        <f t="shared" si="12"/>
        <v>18074</v>
      </c>
      <c r="CE164" s="177">
        <f t="shared" ca="1" si="28"/>
        <v>161.57142857142858</v>
      </c>
      <c r="CF164" s="209">
        <f t="shared" si="45"/>
        <v>1123.7975389034104</v>
      </c>
      <c r="CG164" s="179">
        <f t="shared" si="46"/>
        <v>-3.2679841319417702E-2</v>
      </c>
      <c r="CH164" s="213">
        <f t="shared" si="47"/>
        <v>0.77124111076407609</v>
      </c>
      <c r="CI164" s="217">
        <f t="shared" ca="1" si="48"/>
        <v>0.94149110099528988</v>
      </c>
      <c r="CJ164" s="176">
        <f>DANE!BG164</f>
        <v>11</v>
      </c>
      <c r="CK164" s="188">
        <f t="shared" si="13"/>
        <v>1097</v>
      </c>
      <c r="CL164" s="177">
        <f t="shared" ca="1" si="29"/>
        <v>12.428571428571429</v>
      </c>
      <c r="CM164" s="209">
        <f t="shared" si="79"/>
        <v>75.023206559277398</v>
      </c>
      <c r="CN164" s="179">
        <f t="shared" si="86"/>
        <v>4.4108859605292029E-3</v>
      </c>
      <c r="CO164" s="213">
        <f t="shared" si="87"/>
        <v>1.0308762017237045</v>
      </c>
      <c r="CP164" s="214">
        <f t="shared" ca="1" si="88"/>
        <v>1.3239946890870731</v>
      </c>
      <c r="CQ164" s="176">
        <f>DANE!BK164</f>
        <v>32</v>
      </c>
      <c r="CR164" s="188">
        <f t="shared" si="14"/>
        <v>528</v>
      </c>
      <c r="CS164" s="177">
        <f t="shared" ca="1" si="30"/>
        <v>19.857142857142858</v>
      </c>
      <c r="CT164" s="209">
        <f t="shared" si="89"/>
        <v>110.19322566643494</v>
      </c>
      <c r="CU164" s="179">
        <f t="shared" si="90"/>
        <v>0.20792223981699284</v>
      </c>
      <c r="CV164" s="213">
        <f t="shared" si="91"/>
        <v>2.4554556787189501</v>
      </c>
      <c r="CW164" s="217">
        <f t="shared" ca="1" si="92"/>
        <v>2.200805137358016</v>
      </c>
      <c r="CX164" s="176">
        <f>DANE!BO164</f>
        <v>38</v>
      </c>
      <c r="CY164" s="188">
        <f t="shared" si="15"/>
        <v>4495</v>
      </c>
      <c r="CZ164" s="177">
        <f t="shared" ca="1" si="31"/>
        <v>64.428571428571431</v>
      </c>
      <c r="DA164" s="209">
        <f t="shared" si="54"/>
        <v>403.35726971206543</v>
      </c>
      <c r="DB164" s="179">
        <f t="shared" si="58"/>
        <v>-5.3707613693270331E-2</v>
      </c>
      <c r="DC164" s="213">
        <f t="shared" si="59"/>
        <v>0.62404670414710761</v>
      </c>
      <c r="DD164" s="214">
        <f t="shared" ca="1" si="60"/>
        <v>1.0981624095534965</v>
      </c>
      <c r="DE164" s="176">
        <f>DANE!BS164</f>
        <v>26</v>
      </c>
      <c r="DF164" s="188">
        <f t="shared" si="16"/>
        <v>899</v>
      </c>
      <c r="DG164" s="177">
        <f t="shared" ca="1" si="32"/>
        <v>17.571428571428573</v>
      </c>
      <c r="DH164" s="209">
        <f t="shared" si="70"/>
        <v>103.75680878335105</v>
      </c>
      <c r="DI164" s="179">
        <f t="shared" si="74"/>
        <v>0.14375073926167692</v>
      </c>
      <c r="DJ164" s="157">
        <f t="shared" si="75"/>
        <v>2.0062551748317388</v>
      </c>
      <c r="DK164" s="225">
        <f t="shared" ca="1" si="76"/>
        <v>1.5510895477982634</v>
      </c>
      <c r="DL164" s="89"/>
      <c r="DM164" s="89"/>
      <c r="DN164" s="89"/>
      <c r="DO164" s="89"/>
      <c r="DP164" s="89"/>
      <c r="DQ164" s="89"/>
      <c r="DR164" s="89"/>
      <c r="DS164" s="89"/>
      <c r="DT164" s="89"/>
      <c r="DU164" s="89"/>
      <c r="DV164" s="89"/>
      <c r="DW164" s="89"/>
      <c r="DX164" s="89"/>
      <c r="DY164" s="89"/>
      <c r="DZ164" s="89"/>
      <c r="EA164" s="89"/>
      <c r="EB164" s="89"/>
      <c r="EC164" s="89"/>
      <c r="ED164" s="89"/>
      <c r="EE164" s="89"/>
      <c r="EF164" s="89"/>
      <c r="EG164" s="89"/>
      <c r="EH164" s="89"/>
    </row>
    <row r="165" spans="1:138" x14ac:dyDescent="0.25">
      <c r="A165" s="32">
        <v>44055</v>
      </c>
      <c r="B165" s="33" t="str">
        <f t="shared" ca="1" si="0"/>
        <v/>
      </c>
      <c r="C165" s="51">
        <f t="shared" si="93"/>
        <v>162</v>
      </c>
      <c r="D165" s="176">
        <f>DANE!K165</f>
        <v>31</v>
      </c>
      <c r="E165" s="188">
        <f t="shared" si="1"/>
        <v>3559</v>
      </c>
      <c r="F165" s="178">
        <f t="shared" ca="1" si="17"/>
        <v>26.285714285714285</v>
      </c>
      <c r="G165" s="209">
        <f t="shared" si="38"/>
        <v>170.02949727013458</v>
      </c>
      <c r="H165" s="179">
        <f t="shared" si="42"/>
        <v>4.8263655916949373E-2</v>
      </c>
      <c r="I165" s="213">
        <f t="shared" si="43"/>
        <v>1.3378455914186456</v>
      </c>
      <c r="J165" s="214">
        <f t="shared" ca="1" si="44"/>
        <v>1.147563349615893</v>
      </c>
      <c r="K165" s="176">
        <f>DANE!O165</f>
        <v>7</v>
      </c>
      <c r="L165" s="188">
        <f t="shared" si="2"/>
        <v>928</v>
      </c>
      <c r="M165" s="177">
        <f t="shared" ca="1" si="18"/>
        <v>14.428571428571429</v>
      </c>
      <c r="N165" s="209">
        <f t="shared" si="62"/>
        <v>85.554602910489251</v>
      </c>
      <c r="O165" s="179">
        <f t="shared" si="66"/>
        <v>-6.6477150117101508E-2</v>
      </c>
      <c r="P165" s="213">
        <f t="shared" si="67"/>
        <v>0.53465994918028947</v>
      </c>
      <c r="Q165" s="217">
        <f t="shared" ca="1" si="68"/>
        <v>1.6737009561146994</v>
      </c>
      <c r="R165" s="176">
        <f>DANE!S165</f>
        <v>39</v>
      </c>
      <c r="S165" s="188">
        <f t="shared" si="3"/>
        <v>1177</v>
      </c>
      <c r="T165" s="177">
        <f t="shared" ca="1" si="19"/>
        <v>18.571428571428573</v>
      </c>
      <c r="U165" s="209">
        <f t="shared" si="50"/>
        <v>122.85174587216959</v>
      </c>
      <c r="V165" s="179">
        <f t="shared" si="55"/>
        <v>0.25580565278139589</v>
      </c>
      <c r="W165" s="213">
        <f t="shared" si="56"/>
        <v>2.7906395694697714</v>
      </c>
      <c r="X165" s="214">
        <f t="shared" ca="1" si="57"/>
        <v>1.3568217792799453</v>
      </c>
      <c r="Y165" s="176">
        <f>DANE!W165</f>
        <v>1</v>
      </c>
      <c r="Z165" s="188">
        <f t="shared" si="4"/>
        <v>553</v>
      </c>
      <c r="AA165" s="177">
        <f t="shared" ca="1" si="20"/>
        <v>14.714285714285714</v>
      </c>
      <c r="AB165" s="209">
        <f t="shared" si="94"/>
        <v>82.930456764344484</v>
      </c>
      <c r="AC165" s="179">
        <f t="shared" si="95"/>
        <v>-0.13239530862609189</v>
      </c>
      <c r="AD165" s="213">
        <f t="shared" si="96"/>
        <v>7.3232839617356715E-2</v>
      </c>
      <c r="AE165" s="217">
        <f t="shared" ca="1" si="97"/>
        <v>1.3013231441496125</v>
      </c>
      <c r="AF165" s="176">
        <f>DANE!AA165</f>
        <v>43</v>
      </c>
      <c r="AG165" s="188">
        <f t="shared" si="5"/>
        <v>4391</v>
      </c>
      <c r="AH165" s="177">
        <f t="shared" ca="1" si="21"/>
        <v>37.571428571428569</v>
      </c>
      <c r="AI165" s="209">
        <f t="shared" si="37"/>
        <v>252.07250960208319</v>
      </c>
      <c r="AJ165" s="179">
        <f t="shared" si="39"/>
        <v>3.3431662052173745E-2</v>
      </c>
      <c r="AK165" s="213">
        <f t="shared" si="40"/>
        <v>1.2340216343652162</v>
      </c>
      <c r="AL165" s="214">
        <f t="shared" ca="1" si="41"/>
        <v>1.1373883725810969</v>
      </c>
      <c r="AM165" s="176">
        <f>DANE!AE165</f>
        <v>173</v>
      </c>
      <c r="AN165" s="188">
        <f t="shared" si="6"/>
        <v>4937</v>
      </c>
      <c r="AO165" s="177">
        <f t="shared" ca="1" si="22"/>
        <v>130.42857142857142</v>
      </c>
      <c r="AP165" s="209">
        <f t="shared" si="49"/>
        <v>827.9945843298791</v>
      </c>
      <c r="AQ165" s="179">
        <f t="shared" si="51"/>
        <v>8.3535132488804467E-2</v>
      </c>
      <c r="AR165" s="213">
        <f t="shared" si="52"/>
        <v>1.5847459274216313</v>
      </c>
      <c r="AS165" s="217">
        <f t="shared" ca="1" si="53"/>
        <v>1.2720352712680612</v>
      </c>
      <c r="AT165" s="176">
        <f>DANE!AI165</f>
        <v>76</v>
      </c>
      <c r="AU165" s="188">
        <f t="shared" si="7"/>
        <v>7373</v>
      </c>
      <c r="AV165" s="177">
        <f t="shared" ca="1" si="23"/>
        <v>86</v>
      </c>
      <c r="AW165" s="209">
        <f t="shared" si="33"/>
        <v>531.21613846080595</v>
      </c>
      <c r="AX165" s="179">
        <f t="shared" si="34"/>
        <v>2.4599351917427276E-4</v>
      </c>
      <c r="AY165" s="213">
        <f t="shared" si="35"/>
        <v>1.00172195463422</v>
      </c>
      <c r="AZ165" s="214">
        <f t="shared" ca="1" si="36"/>
        <v>1.1262550258060811</v>
      </c>
      <c r="BA165" s="176">
        <f>DANE!AM165</f>
        <v>8</v>
      </c>
      <c r="BB165" s="188">
        <f t="shared" si="8"/>
        <v>1351</v>
      </c>
      <c r="BC165" s="177">
        <f t="shared" ca="1" si="24"/>
        <v>16.571428571428573</v>
      </c>
      <c r="BD165" s="209">
        <f t="shared" si="77"/>
        <v>96.542839020414576</v>
      </c>
      <c r="BE165" s="179">
        <f t="shared" si="80"/>
        <v>-6.5412790123412862E-2</v>
      </c>
      <c r="BF165" s="213">
        <f t="shared" si="81"/>
        <v>0.54211046913610994</v>
      </c>
      <c r="BG165" s="217">
        <f t="shared" ca="1" si="82"/>
        <v>1.2264742339586545</v>
      </c>
      <c r="BH165" s="176">
        <f>DANE!AQ165</f>
        <v>22</v>
      </c>
      <c r="BI165" s="188">
        <f t="shared" si="9"/>
        <v>1683</v>
      </c>
      <c r="BJ165" s="177">
        <f t="shared" ca="1" si="25"/>
        <v>30.714285714285715</v>
      </c>
      <c r="BK165" s="209">
        <f t="shared" si="61"/>
        <v>201.00780104975348</v>
      </c>
      <c r="BL165" s="179">
        <f t="shared" si="63"/>
        <v>-3.7514567022128201E-2</v>
      </c>
      <c r="BM165" s="213">
        <f t="shared" si="64"/>
        <v>0.73739803084510258</v>
      </c>
      <c r="BN165" s="214">
        <f t="shared" ca="1" si="65"/>
        <v>1.0197377438233894</v>
      </c>
      <c r="BO165" s="176">
        <f>DANE!AU165</f>
        <v>7</v>
      </c>
      <c r="BP165" s="188">
        <f t="shared" si="10"/>
        <v>1085</v>
      </c>
      <c r="BQ165" s="177">
        <f t="shared" ca="1" si="26"/>
        <v>8.8571428571428577</v>
      </c>
      <c r="BR165" s="209">
        <f t="shared" si="78"/>
        <v>57.821552030962458</v>
      </c>
      <c r="BS165" s="179">
        <f t="shared" si="83"/>
        <v>-2.4796993959199432E-2</v>
      </c>
      <c r="BT165" s="213">
        <f t="shared" si="84"/>
        <v>0.82642104228560398</v>
      </c>
      <c r="BU165" s="217">
        <f t="shared" ca="1" si="85"/>
        <v>1.0597823425676218</v>
      </c>
      <c r="BV165" s="176">
        <f>DANE!AY165</f>
        <v>75</v>
      </c>
      <c r="BW165" s="188">
        <f t="shared" si="11"/>
        <v>1313</v>
      </c>
      <c r="BX165" s="177">
        <f t="shared" ca="1" si="27"/>
        <v>45.142857142857146</v>
      </c>
      <c r="BY165" s="209">
        <f t="shared" si="69"/>
        <v>258.59703015581431</v>
      </c>
      <c r="BZ165" s="179">
        <f t="shared" si="71"/>
        <v>0.20728857699004952</v>
      </c>
      <c r="CA165" s="213">
        <f t="shared" si="72"/>
        <v>2.4510200389303467</v>
      </c>
      <c r="CB165" s="214">
        <f t="shared" ca="1" si="73"/>
        <v>1.8973896332821241</v>
      </c>
      <c r="CC165" s="176">
        <f>DANE!BC165</f>
        <v>145</v>
      </c>
      <c r="CD165" s="188">
        <f t="shared" si="12"/>
        <v>18219</v>
      </c>
      <c r="CE165" s="177">
        <f t="shared" ca="1" si="28"/>
        <v>160.57142857142858</v>
      </c>
      <c r="CF165" s="209">
        <f t="shared" si="45"/>
        <v>1108.2550333457805</v>
      </c>
      <c r="CG165" s="179">
        <f t="shared" si="46"/>
        <v>-1.3830343117494433E-2</v>
      </c>
      <c r="CH165" s="213">
        <f t="shared" si="47"/>
        <v>0.90318759817753902</v>
      </c>
      <c r="CI165" s="217">
        <f t="shared" ca="1" si="48"/>
        <v>0.9438442128489738</v>
      </c>
      <c r="CJ165" s="176">
        <f>DANE!BG165</f>
        <v>2</v>
      </c>
      <c r="CK165" s="188">
        <f t="shared" si="13"/>
        <v>1099</v>
      </c>
      <c r="CL165" s="177">
        <f t="shared" ca="1" si="29"/>
        <v>12.285714285714286</v>
      </c>
      <c r="CM165" s="209">
        <f t="shared" si="79"/>
        <v>66.305605622237778</v>
      </c>
      <c r="CN165" s="179">
        <f t="shared" si="86"/>
        <v>-0.11619872485924287</v>
      </c>
      <c r="CO165" s="213">
        <f t="shared" si="87"/>
        <v>0.18660892598529988</v>
      </c>
      <c r="CP165" s="214">
        <f t="shared" ca="1" si="88"/>
        <v>1.2993853677170095</v>
      </c>
      <c r="CQ165" s="176">
        <f>DANE!BK165</f>
        <v>33</v>
      </c>
      <c r="CR165" s="188">
        <f t="shared" si="14"/>
        <v>561</v>
      </c>
      <c r="CS165" s="177">
        <f t="shared" ca="1" si="30"/>
        <v>22.714285714285715</v>
      </c>
      <c r="CT165" s="209">
        <f t="shared" si="89"/>
        <v>127.45133628551567</v>
      </c>
      <c r="CU165" s="179">
        <f t="shared" si="90"/>
        <v>0.15661680211923931</v>
      </c>
      <c r="CV165" s="213">
        <f t="shared" si="91"/>
        <v>2.0963176148346752</v>
      </c>
      <c r="CW165" s="217">
        <f t="shared" ca="1" si="92"/>
        <v>2.1567583336631584</v>
      </c>
      <c r="CX165" s="176">
        <f>DANE!BO165</f>
        <v>39</v>
      </c>
      <c r="CY165" s="188">
        <f t="shared" si="15"/>
        <v>4534</v>
      </c>
      <c r="CZ165" s="177">
        <f t="shared" ca="1" si="31"/>
        <v>56.142857142857146</v>
      </c>
      <c r="DA165" s="209">
        <f t="shared" si="54"/>
        <v>384.73480261034183</v>
      </c>
      <c r="DB165" s="179">
        <f t="shared" si="58"/>
        <v>-4.6168666093503549E-2</v>
      </c>
      <c r="DC165" s="213">
        <f t="shared" si="59"/>
        <v>0.67681933734547517</v>
      </c>
      <c r="DD165" s="214">
        <f t="shared" ca="1" si="60"/>
        <v>0.9326165627726235</v>
      </c>
      <c r="DE165" s="176">
        <f>DANE!BS165</f>
        <v>14</v>
      </c>
      <c r="DF165" s="188">
        <f t="shared" si="16"/>
        <v>913</v>
      </c>
      <c r="DG165" s="177">
        <f t="shared" ca="1" si="32"/>
        <v>17.142857142857142</v>
      </c>
      <c r="DH165" s="209">
        <f t="shared" si="70"/>
        <v>102.93440752858662</v>
      </c>
      <c r="DI165" s="179">
        <f t="shared" si="74"/>
        <v>-7.9262389081533983E-3</v>
      </c>
      <c r="DJ165" s="157">
        <f t="shared" si="75"/>
        <v>0.94451632764292626</v>
      </c>
      <c r="DK165" s="225">
        <f t="shared" ca="1" si="76"/>
        <v>1.4107735829194579</v>
      </c>
      <c r="DL165" s="89"/>
      <c r="DM165" s="89"/>
      <c r="DN165" s="89"/>
      <c r="DO165" s="89"/>
      <c r="DP165" s="89"/>
      <c r="DQ165" s="89"/>
      <c r="DR165" s="89"/>
      <c r="DS165" s="89"/>
      <c r="DT165" s="89"/>
      <c r="DU165" s="89"/>
      <c r="DV165" s="89"/>
      <c r="DW165" s="89"/>
      <c r="DX165" s="89"/>
      <c r="DY165" s="89"/>
      <c r="DZ165" s="89"/>
      <c r="EA165" s="89"/>
      <c r="EB165" s="89"/>
      <c r="EC165" s="89"/>
      <c r="ED165" s="89"/>
      <c r="EE165" s="89"/>
      <c r="EF165" s="89"/>
      <c r="EG165" s="89"/>
      <c r="EH165" s="89"/>
    </row>
    <row r="166" spans="1:138" x14ac:dyDescent="0.25">
      <c r="A166" s="32">
        <v>44056</v>
      </c>
      <c r="B166" s="33" t="str">
        <f t="shared" ca="1" si="0"/>
        <v/>
      </c>
      <c r="C166" s="51">
        <f t="shared" si="93"/>
        <v>163</v>
      </c>
      <c r="D166" s="176">
        <f>DANE!K166</f>
        <v>23</v>
      </c>
      <c r="E166" s="188">
        <f t="shared" si="1"/>
        <v>3582</v>
      </c>
      <c r="F166" s="178">
        <f t="shared" ca="1" si="17"/>
        <v>24</v>
      </c>
      <c r="G166" s="209">
        <f t="shared" si="38"/>
        <v>168.73956908868681</v>
      </c>
      <c r="H166" s="179">
        <f t="shared" si="42"/>
        <v>-7.5864964735995327E-3</v>
      </c>
      <c r="I166" s="213">
        <f t="shared" si="43"/>
        <v>0.94689452468480328</v>
      </c>
      <c r="J166" s="214">
        <f t="shared" ca="1" si="44"/>
        <v>1.0206788834283929</v>
      </c>
      <c r="K166" s="176">
        <f>DANE!O166</f>
        <v>14</v>
      </c>
      <c r="L166" s="188">
        <f t="shared" si="2"/>
        <v>942</v>
      </c>
      <c r="M166" s="177">
        <f t="shared" ca="1" si="18"/>
        <v>14.857142857142858</v>
      </c>
      <c r="N166" s="209">
        <f t="shared" si="62"/>
        <v>87.332516780419368</v>
      </c>
      <c r="O166" s="179">
        <f t="shared" si="66"/>
        <v>2.0781042859730689E-2</v>
      </c>
      <c r="P166" s="213">
        <f t="shared" si="67"/>
        <v>1.1454673000181148</v>
      </c>
      <c r="Q166" s="217">
        <f t="shared" ca="1" si="68"/>
        <v>1.6097424610427189</v>
      </c>
      <c r="R166" s="176">
        <f>DANE!S166</f>
        <v>46</v>
      </c>
      <c r="S166" s="188">
        <f t="shared" si="3"/>
        <v>1223</v>
      </c>
      <c r="T166" s="177">
        <f t="shared" ca="1" si="19"/>
        <v>23.285714285714285</v>
      </c>
      <c r="U166" s="209">
        <f t="shared" si="50"/>
        <v>151.30149646185964</v>
      </c>
      <c r="V166" s="179">
        <f t="shared" si="55"/>
        <v>0.23157791033179745</v>
      </c>
      <c r="W166" s="213">
        <f t="shared" si="56"/>
        <v>2.6210453723225822</v>
      </c>
      <c r="X166" s="214">
        <f t="shared" ca="1" si="57"/>
        <v>1.5853771266895502</v>
      </c>
      <c r="Y166" s="176">
        <f>DANE!W166</f>
        <v>2</v>
      </c>
      <c r="Z166" s="188">
        <f t="shared" si="4"/>
        <v>555</v>
      </c>
      <c r="AA166" s="177">
        <f t="shared" ca="1" si="20"/>
        <v>13.857142857142858</v>
      </c>
      <c r="AB166" s="209">
        <f t="shared" si="94"/>
        <v>73.083248655152417</v>
      </c>
      <c r="AC166" s="179">
        <f t="shared" si="95"/>
        <v>-0.11874055073848119</v>
      </c>
      <c r="AD166" s="213">
        <f t="shared" si="96"/>
        <v>0.16881614483063156</v>
      </c>
      <c r="AE166" s="217">
        <f t="shared" ca="1" si="97"/>
        <v>1.2025958254506592</v>
      </c>
      <c r="AF166" s="176">
        <f>DANE!AA166</f>
        <v>39</v>
      </c>
      <c r="AG166" s="188">
        <f t="shared" si="5"/>
        <v>4430</v>
      </c>
      <c r="AH166" s="177">
        <f t="shared" ca="1" si="21"/>
        <v>37.571428571428569</v>
      </c>
      <c r="AI166" s="209">
        <f t="shared" si="37"/>
        <v>255.0621510874999</v>
      </c>
      <c r="AJ166" s="179">
        <f t="shared" si="39"/>
        <v>1.1860244062853591E-2</v>
      </c>
      <c r="AK166" s="213">
        <f t="shared" si="40"/>
        <v>1.0830217084399751</v>
      </c>
      <c r="AL166" s="214">
        <f t="shared" ca="1" si="41"/>
        <v>1.1159285664504708</v>
      </c>
      <c r="AM166" s="176">
        <f>DANE!AE166</f>
        <v>136</v>
      </c>
      <c r="AN166" s="188">
        <f t="shared" si="6"/>
        <v>5073</v>
      </c>
      <c r="AO166" s="177">
        <f t="shared" ca="1" si="22"/>
        <v>133</v>
      </c>
      <c r="AP166" s="209">
        <f t="shared" si="49"/>
        <v>845.70964371132504</v>
      </c>
      <c r="AQ166" s="179">
        <f t="shared" si="51"/>
        <v>2.1395139191379215E-2</v>
      </c>
      <c r="AR166" s="213">
        <f t="shared" si="52"/>
        <v>1.1497659743396544</v>
      </c>
      <c r="AS166" s="217">
        <f t="shared" ca="1" si="53"/>
        <v>1.2516211413983405</v>
      </c>
      <c r="AT166" s="176">
        <f>DANE!AI166</f>
        <v>148</v>
      </c>
      <c r="AU166" s="188">
        <f t="shared" si="7"/>
        <v>7521</v>
      </c>
      <c r="AV166" s="177">
        <f t="shared" ca="1" si="23"/>
        <v>91.857142857142861</v>
      </c>
      <c r="AW166" s="209">
        <f t="shared" si="33"/>
        <v>603.32811868069086</v>
      </c>
      <c r="AX166" s="179">
        <f t="shared" si="34"/>
        <v>0.13574885060688996</v>
      </c>
      <c r="AY166" s="213">
        <f t="shared" si="35"/>
        <v>1.9502419542482299</v>
      </c>
      <c r="AZ166" s="214">
        <f t="shared" ca="1" si="36"/>
        <v>1.1791652144662714</v>
      </c>
      <c r="BA166" s="176">
        <f>DANE!AM166</f>
        <v>15</v>
      </c>
      <c r="BB166" s="188">
        <f t="shared" si="8"/>
        <v>1366</v>
      </c>
      <c r="BC166" s="177">
        <f t="shared" ca="1" si="24"/>
        <v>15.142857142857142</v>
      </c>
      <c r="BD166" s="209">
        <f t="shared" si="77"/>
        <v>97.751004874641069</v>
      </c>
      <c r="BE166" s="179">
        <f t="shared" si="80"/>
        <v>1.2514297968501E-2</v>
      </c>
      <c r="BF166" s="213">
        <f t="shared" si="81"/>
        <v>1.087600085779507</v>
      </c>
      <c r="BG166" s="217">
        <f t="shared" ca="1" si="82"/>
        <v>1.0665340185043501</v>
      </c>
      <c r="BH166" s="176">
        <f>DANE!AQ166</f>
        <v>46</v>
      </c>
      <c r="BI166" s="188">
        <f t="shared" si="9"/>
        <v>1729</v>
      </c>
      <c r="BJ166" s="177">
        <f t="shared" ca="1" si="25"/>
        <v>32.571428571428569</v>
      </c>
      <c r="BK166" s="209">
        <f t="shared" si="61"/>
        <v>218.2924008997887</v>
      </c>
      <c r="BL166" s="179">
        <f t="shared" si="63"/>
        <v>8.5989696717078831E-2</v>
      </c>
      <c r="BM166" s="213">
        <f t="shared" si="64"/>
        <v>1.601927877019552</v>
      </c>
      <c r="BN166" s="214">
        <f t="shared" ca="1" si="65"/>
        <v>1.0822726091906139</v>
      </c>
      <c r="BO166" s="176">
        <f>DANE!AU166</f>
        <v>17</v>
      </c>
      <c r="BP166" s="188">
        <f t="shared" si="10"/>
        <v>1102</v>
      </c>
      <c r="BQ166" s="177">
        <f t="shared" ca="1" si="26"/>
        <v>8.8571428571428577</v>
      </c>
      <c r="BR166" s="209">
        <f t="shared" si="78"/>
        <v>66.561330312253546</v>
      </c>
      <c r="BS166" s="179">
        <f t="shared" si="83"/>
        <v>0.15115087669405838</v>
      </c>
      <c r="BT166" s="213">
        <f t="shared" si="84"/>
        <v>2.0580561368584087</v>
      </c>
      <c r="BU166" s="217">
        <f t="shared" ca="1" si="85"/>
        <v>1.0490927606733143</v>
      </c>
      <c r="BV166" s="176">
        <f>DANE!AY166</f>
        <v>61</v>
      </c>
      <c r="BW166" s="188">
        <f t="shared" si="11"/>
        <v>1374</v>
      </c>
      <c r="BX166" s="177">
        <f t="shared" ca="1" si="27"/>
        <v>49.714285714285715</v>
      </c>
      <c r="BY166" s="209">
        <f t="shared" si="69"/>
        <v>282.65459727641229</v>
      </c>
      <c r="BZ166" s="179">
        <f t="shared" si="71"/>
        <v>9.3031103667750567E-2</v>
      </c>
      <c r="CA166" s="213">
        <f t="shared" si="72"/>
        <v>1.651217725674254</v>
      </c>
      <c r="CB166" s="214">
        <f t="shared" ca="1" si="73"/>
        <v>1.8762359568940343</v>
      </c>
      <c r="CC166" s="176">
        <f>DANE!BC166</f>
        <v>181</v>
      </c>
      <c r="CD166" s="188">
        <f t="shared" si="12"/>
        <v>18400</v>
      </c>
      <c r="CE166" s="177">
        <f t="shared" ca="1" si="28"/>
        <v>166.85714285714286</v>
      </c>
      <c r="CF166" s="209">
        <f t="shared" si="45"/>
        <v>1130.9328857249548</v>
      </c>
      <c r="CG166" s="179">
        <f t="shared" si="46"/>
        <v>2.0462665809611254E-2</v>
      </c>
      <c r="CH166" s="213">
        <f t="shared" si="47"/>
        <v>1.1432386606672789</v>
      </c>
      <c r="CI166" s="217">
        <f t="shared" ca="1" si="48"/>
        <v>0.9911129187167439</v>
      </c>
      <c r="CJ166" s="176">
        <f>DANE!BG166</f>
        <v>12</v>
      </c>
      <c r="CK166" s="188">
        <f t="shared" si="13"/>
        <v>1111</v>
      </c>
      <c r="CL166" s="177">
        <f t="shared" ca="1" si="29"/>
        <v>9.7142857142857135</v>
      </c>
      <c r="CM166" s="209">
        <f t="shared" si="79"/>
        <v>68.833376247632387</v>
      </c>
      <c r="CN166" s="179">
        <f t="shared" si="86"/>
        <v>3.8123030499050865E-2</v>
      </c>
      <c r="CO166" s="213">
        <f t="shared" si="87"/>
        <v>1.2668612134933561</v>
      </c>
      <c r="CP166" s="214">
        <f t="shared" ca="1" si="88"/>
        <v>0.91599806710403109</v>
      </c>
      <c r="CQ166" s="176">
        <f>DANE!BK166</f>
        <v>11</v>
      </c>
      <c r="CR166" s="188">
        <f t="shared" si="14"/>
        <v>572</v>
      </c>
      <c r="CS166" s="177">
        <f t="shared" ca="1" si="30"/>
        <v>22.571428571428573</v>
      </c>
      <c r="CT166" s="209">
        <f t="shared" si="89"/>
        <v>120.244002530442</v>
      </c>
      <c r="CU166" s="179">
        <f t="shared" si="90"/>
        <v>-5.6549691553863662E-2</v>
      </c>
      <c r="CV166" s="213">
        <f t="shared" si="91"/>
        <v>0.60415215912295439</v>
      </c>
      <c r="CW166" s="217">
        <f t="shared" ca="1" si="92"/>
        <v>1.9789651041753971</v>
      </c>
      <c r="CX166" s="176">
        <f>DANE!BO166</f>
        <v>54</v>
      </c>
      <c r="CY166" s="188">
        <f t="shared" si="15"/>
        <v>4588</v>
      </c>
      <c r="CZ166" s="177">
        <f t="shared" ca="1" si="31"/>
        <v>51.142857142857146</v>
      </c>
      <c r="DA166" s="209">
        <f t="shared" si="54"/>
        <v>383.77268795172159</v>
      </c>
      <c r="DB166" s="179">
        <f t="shared" si="58"/>
        <v>-2.5007216713759679E-3</v>
      </c>
      <c r="DC166" s="213">
        <f t="shared" si="59"/>
        <v>0.98249494830036821</v>
      </c>
      <c r="DD166" s="214">
        <f t="shared" ca="1" si="60"/>
        <v>0.85802599859914963</v>
      </c>
      <c r="DE166" s="176">
        <f>DANE!BS166</f>
        <v>6</v>
      </c>
      <c r="DF166" s="188">
        <f t="shared" si="16"/>
        <v>919</v>
      </c>
      <c r="DG166" s="177">
        <f t="shared" ca="1" si="32"/>
        <v>15.285714285714286</v>
      </c>
      <c r="DH166" s="209">
        <f t="shared" si="70"/>
        <v>94.229492167359965</v>
      </c>
      <c r="DI166" s="179">
        <f t="shared" si="74"/>
        <v>-8.4567595716807831E-2</v>
      </c>
      <c r="DJ166" s="157">
        <f t="shared" si="75"/>
        <v>0.40802682998234518</v>
      </c>
      <c r="DK166" s="225">
        <f t="shared" ca="1" si="76"/>
        <v>1.1973997209520491</v>
      </c>
      <c r="DL166" s="89"/>
      <c r="DM166" s="378"/>
      <c r="DN166" s="372"/>
      <c r="DO166" s="372"/>
      <c r="DP166" s="375"/>
      <c r="DQ166" s="372"/>
      <c r="DR166" s="372"/>
      <c r="DS166" s="375"/>
      <c r="DT166" s="372"/>
      <c r="DU166" s="372"/>
      <c r="DV166" s="372"/>
      <c r="DW166" s="50"/>
      <c r="DX166" s="50"/>
      <c r="DY166" s="50"/>
      <c r="DZ166" s="50"/>
      <c r="EA166" s="50"/>
      <c r="EB166" s="50"/>
      <c r="EC166" s="50"/>
      <c r="ED166" s="75"/>
      <c r="EE166" s="50"/>
      <c r="EF166" s="50"/>
      <c r="EG166" s="50"/>
      <c r="EH166" s="50"/>
    </row>
    <row r="167" spans="1:138" x14ac:dyDescent="0.25">
      <c r="A167" s="32">
        <v>44057</v>
      </c>
      <c r="B167" s="33" t="str">
        <f t="shared" ca="1" si="0"/>
        <v/>
      </c>
      <c r="C167" s="51">
        <f t="shared" si="93"/>
        <v>164</v>
      </c>
      <c r="D167" s="176">
        <f>DANE!K167</f>
        <v>21</v>
      </c>
      <c r="E167" s="188">
        <f t="shared" si="1"/>
        <v>3603</v>
      </c>
      <c r="F167" s="178">
        <f t="shared" ca="1" si="17"/>
        <v>23.857142857142858</v>
      </c>
      <c r="G167" s="209">
        <f t="shared" si="38"/>
        <v>165.63391636173156</v>
      </c>
      <c r="H167" s="179">
        <f t="shared" si="42"/>
        <v>-1.8405005676664733E-2</v>
      </c>
      <c r="I167" s="213">
        <f t="shared" si="43"/>
        <v>0.87116496026334689</v>
      </c>
      <c r="J167" s="214">
        <f t="shared" ca="1" si="44"/>
        <v>1.013010374279349</v>
      </c>
      <c r="K167" s="176">
        <f>DANE!O167</f>
        <v>22</v>
      </c>
      <c r="L167" s="188">
        <f t="shared" si="2"/>
        <v>964</v>
      </c>
      <c r="M167" s="177">
        <f t="shared" ca="1" si="18"/>
        <v>16.857142857142858</v>
      </c>
      <c r="N167" s="209">
        <f t="shared" si="62"/>
        <v>96.856442954645175</v>
      </c>
      <c r="O167" s="179">
        <f t="shared" si="66"/>
        <v>0.10905360941528648</v>
      </c>
      <c r="P167" s="213">
        <f t="shared" si="67"/>
        <v>1.7633752659070054</v>
      </c>
      <c r="Q167" s="217">
        <f t="shared" ca="1" si="68"/>
        <v>1.7090591084933224</v>
      </c>
      <c r="R167" s="176">
        <f>DANE!S167</f>
        <v>23</v>
      </c>
      <c r="S167" s="188">
        <f t="shared" si="3"/>
        <v>1246</v>
      </c>
      <c r="T167" s="177">
        <f t="shared" ca="1" si="19"/>
        <v>24.571428571428573</v>
      </c>
      <c r="U167" s="209">
        <f t="shared" si="50"/>
        <v>152.68699696730826</v>
      </c>
      <c r="V167" s="179">
        <f t="shared" si="55"/>
        <v>9.1572161402770913E-3</v>
      </c>
      <c r="W167" s="213">
        <f t="shared" si="56"/>
        <v>1.0641005129819396</v>
      </c>
      <c r="X167" s="214">
        <f t="shared" ca="1" si="57"/>
        <v>1.5807636814720596</v>
      </c>
      <c r="Y167" s="176">
        <f>DANE!W167</f>
        <v>8</v>
      </c>
      <c r="Z167" s="188">
        <f t="shared" si="4"/>
        <v>563</v>
      </c>
      <c r="AA167" s="177">
        <f t="shared" ca="1" si="20"/>
        <v>12</v>
      </c>
      <c r="AB167" s="209">
        <f t="shared" si="94"/>
        <v>70.64278456155921</v>
      </c>
      <c r="AC167" s="179">
        <f t="shared" si="95"/>
        <v>-3.3392933928110928E-2</v>
      </c>
      <c r="AD167" s="213">
        <f t="shared" si="96"/>
        <v>0.76624946250322346</v>
      </c>
      <c r="AE167" s="217">
        <f t="shared" ca="1" si="97"/>
        <v>0.98300940182130858</v>
      </c>
      <c r="AF167" s="176">
        <f>DANE!AA167</f>
        <v>54</v>
      </c>
      <c r="AG167" s="188">
        <f t="shared" si="5"/>
        <v>4484</v>
      </c>
      <c r="AH167" s="177">
        <f t="shared" ca="1" si="21"/>
        <v>38.714285714285715</v>
      </c>
      <c r="AI167" s="209">
        <f t="shared" si="37"/>
        <v>272.62470093214279</v>
      </c>
      <c r="AJ167" s="179">
        <f t="shared" si="39"/>
        <v>6.8855962241994889E-2</v>
      </c>
      <c r="AK167" s="213">
        <f t="shared" si="40"/>
        <v>1.4819917356939643</v>
      </c>
      <c r="AL167" s="214">
        <f t="shared" ca="1" si="41"/>
        <v>1.1265435311599596</v>
      </c>
      <c r="AM167" s="176">
        <f>DANE!AE167</f>
        <v>184</v>
      </c>
      <c r="AN167" s="188">
        <f t="shared" si="6"/>
        <v>5257</v>
      </c>
      <c r="AO167" s="177">
        <f t="shared" ca="1" si="22"/>
        <v>138.71428571428572</v>
      </c>
      <c r="AP167" s="209">
        <f t="shared" si="49"/>
        <v>908.89398032399299</v>
      </c>
      <c r="AQ167" s="179">
        <f t="shared" si="51"/>
        <v>7.4711618913778546E-2</v>
      </c>
      <c r="AR167" s="213">
        <f t="shared" si="52"/>
        <v>1.5229813323964498</v>
      </c>
      <c r="AS167" s="217">
        <f t="shared" ca="1" si="53"/>
        <v>1.2528781194134382</v>
      </c>
      <c r="AT167" s="176">
        <f>DANE!AI167</f>
        <v>143</v>
      </c>
      <c r="AU167" s="188">
        <f t="shared" si="7"/>
        <v>7664</v>
      </c>
      <c r="AV167" s="177">
        <f t="shared" ca="1" si="23"/>
        <v>97.428571428571431</v>
      </c>
      <c r="AW167" s="209">
        <f t="shared" si="33"/>
        <v>660.13838744059217</v>
      </c>
      <c r="AX167" s="179">
        <f t="shared" si="34"/>
        <v>9.4161480297204461E-2</v>
      </c>
      <c r="AY167" s="213">
        <f t="shared" si="35"/>
        <v>1.6591303620804312</v>
      </c>
      <c r="AZ167" s="214">
        <f t="shared" ca="1" si="36"/>
        <v>1.213597900535021</v>
      </c>
      <c r="BA167" s="176">
        <f>DANE!AM167</f>
        <v>31</v>
      </c>
      <c r="BB167" s="188">
        <f t="shared" si="8"/>
        <v>1397</v>
      </c>
      <c r="BC167" s="177">
        <f t="shared" ca="1" si="24"/>
        <v>15.857142857142858</v>
      </c>
      <c r="BD167" s="209">
        <f t="shared" si="77"/>
        <v>114.78657560683521</v>
      </c>
      <c r="BE167" s="179">
        <f t="shared" si="80"/>
        <v>0.17427514687998441</v>
      </c>
      <c r="BF167" s="213">
        <f t="shared" si="81"/>
        <v>2.2199260281598909</v>
      </c>
      <c r="BG167" s="217">
        <f t="shared" ca="1" si="82"/>
        <v>1.103976035589602</v>
      </c>
      <c r="BH167" s="176">
        <f>DANE!AQ167</f>
        <v>39</v>
      </c>
      <c r="BI167" s="188">
        <f t="shared" si="9"/>
        <v>1768</v>
      </c>
      <c r="BJ167" s="177">
        <f t="shared" ca="1" si="25"/>
        <v>33.142857142857146</v>
      </c>
      <c r="BK167" s="209">
        <f t="shared" si="61"/>
        <v>226.1077721998189</v>
      </c>
      <c r="BL167" s="179">
        <f t="shared" si="63"/>
        <v>3.5802305842144222E-2</v>
      </c>
      <c r="BM167" s="213">
        <f t="shared" si="64"/>
        <v>1.2506161408950096</v>
      </c>
      <c r="BN167" s="214">
        <f t="shared" ca="1" si="65"/>
        <v>1.0885829884515812</v>
      </c>
      <c r="BO167" s="176">
        <f>DANE!AU167</f>
        <v>31</v>
      </c>
      <c r="BP167" s="188">
        <f t="shared" si="10"/>
        <v>1133</v>
      </c>
      <c r="BQ167" s="177">
        <f t="shared" ca="1" si="26"/>
        <v>13.142857142857142</v>
      </c>
      <c r="BR167" s="209">
        <f t="shared" si="78"/>
        <v>88.052568839074468</v>
      </c>
      <c r="BS167" s="179">
        <f t="shared" si="83"/>
        <v>0.32287874094464292</v>
      </c>
      <c r="BT167" s="213">
        <f t="shared" si="84"/>
        <v>3.2601511866125006</v>
      </c>
      <c r="BU167" s="217">
        <f t="shared" ca="1" si="85"/>
        <v>1.4994019237168119</v>
      </c>
      <c r="BV167" s="176">
        <f>DANE!AY167</f>
        <v>46</v>
      </c>
      <c r="BW167" s="188">
        <f t="shared" si="11"/>
        <v>1420</v>
      </c>
      <c r="BX167" s="177">
        <f t="shared" ca="1" si="27"/>
        <v>50.428571428571431</v>
      </c>
      <c r="BY167" s="209">
        <f t="shared" si="69"/>
        <v>288.27536909406768</v>
      </c>
      <c r="BZ167" s="179">
        <f t="shared" si="71"/>
        <v>1.9885655042641164E-2</v>
      </c>
      <c r="CA167" s="213">
        <f t="shared" si="72"/>
        <v>1.1391995852984882</v>
      </c>
      <c r="CB167" s="214">
        <f t="shared" ca="1" si="73"/>
        <v>1.7128173276979954</v>
      </c>
      <c r="CC167" s="176">
        <f>DANE!BC167</f>
        <v>160</v>
      </c>
      <c r="CD167" s="188">
        <f t="shared" si="12"/>
        <v>18560</v>
      </c>
      <c r="CE167" s="177">
        <f t="shared" ca="1" si="28"/>
        <v>152.71428571428572</v>
      </c>
      <c r="CF167" s="209">
        <f t="shared" si="45"/>
        <v>1129.3710449071041</v>
      </c>
      <c r="CG167" s="179">
        <f t="shared" si="46"/>
        <v>-1.381019897435826E-3</v>
      </c>
      <c r="CH167" s="213">
        <f t="shared" si="47"/>
        <v>0.99033286071794924</v>
      </c>
      <c r="CI167" s="217">
        <f t="shared" ca="1" si="48"/>
        <v>0.90715003413564888</v>
      </c>
      <c r="CJ167" s="176">
        <f>DANE!BG167</f>
        <v>3</v>
      </c>
      <c r="CK167" s="188">
        <f t="shared" si="13"/>
        <v>1114</v>
      </c>
      <c r="CL167" s="177">
        <f t="shared" ca="1" si="29"/>
        <v>8.5714285714285712</v>
      </c>
      <c r="CM167" s="209">
        <f t="shared" si="79"/>
        <v>62.000036783684905</v>
      </c>
      <c r="CN167" s="179">
        <f t="shared" si="86"/>
        <v>-9.9273634920421669E-2</v>
      </c>
      <c r="CO167" s="213">
        <f t="shared" si="87"/>
        <v>0.30508455555704828</v>
      </c>
      <c r="CP167" s="214">
        <f t="shared" ca="1" si="88"/>
        <v>0.81400771889193291</v>
      </c>
      <c r="CQ167" s="176">
        <f>DANE!BK167</f>
        <v>16</v>
      </c>
      <c r="CR167" s="188">
        <f t="shared" si="14"/>
        <v>588</v>
      </c>
      <c r="CS167" s="177">
        <f t="shared" ca="1" si="30"/>
        <v>22.428571428571427</v>
      </c>
      <c r="CT167" s="209">
        <f t="shared" si="89"/>
        <v>119.06628788323601</v>
      </c>
      <c r="CU167" s="179">
        <f t="shared" si="90"/>
        <v>-9.7943732944836721E-3</v>
      </c>
      <c r="CV167" s="213">
        <f t="shared" si="91"/>
        <v>0.93143938693861428</v>
      </c>
      <c r="CW167" s="217">
        <f t="shared" ca="1" si="92"/>
        <v>1.778342444602768</v>
      </c>
      <c r="CX167" s="176">
        <f>DANE!BO167</f>
        <v>43</v>
      </c>
      <c r="CY167" s="188">
        <f t="shared" si="15"/>
        <v>4631</v>
      </c>
      <c r="CZ167" s="177">
        <f t="shared" ca="1" si="31"/>
        <v>50.714285714285715</v>
      </c>
      <c r="DA167" s="209">
        <f t="shared" si="54"/>
        <v>371.94801824433284</v>
      </c>
      <c r="DB167" s="179">
        <f t="shared" si="58"/>
        <v>-3.0811649913128493E-2</v>
      </c>
      <c r="DC167" s="213">
        <f t="shared" si="59"/>
        <v>0.78431845060810057</v>
      </c>
      <c r="DD167" s="214">
        <f t="shared" ca="1" si="60"/>
        <v>0.86644566628510999</v>
      </c>
      <c r="DE167" s="176">
        <f>DANE!BS167</f>
        <v>8</v>
      </c>
      <c r="DF167" s="188">
        <f t="shared" si="16"/>
        <v>927</v>
      </c>
      <c r="DG167" s="177">
        <f t="shared" ca="1" si="32"/>
        <v>14.428571428571429</v>
      </c>
      <c r="DH167" s="209">
        <f t="shared" si="70"/>
        <v>88.7681361434514</v>
      </c>
      <c r="DI167" s="179">
        <f t="shared" si="74"/>
        <v>-5.7958033077464853E-2</v>
      </c>
      <c r="DJ167" s="157">
        <f t="shared" si="75"/>
        <v>0.59429376845774606</v>
      </c>
      <c r="DK167" s="225">
        <f t="shared" ca="1" si="76"/>
        <v>1.1049672156665455</v>
      </c>
      <c r="DL167" s="88"/>
      <c r="DM167" s="88"/>
      <c r="DN167" s="88"/>
      <c r="DO167" s="88"/>
      <c r="DP167" s="88"/>
      <c r="DQ167" s="88"/>
      <c r="DR167" s="88"/>
      <c r="DS167" s="88"/>
      <c r="DT167" s="88"/>
      <c r="DU167" s="88"/>
      <c r="DV167" s="88"/>
      <c r="DW167" s="75"/>
      <c r="DX167" s="75"/>
      <c r="DY167" s="75"/>
      <c r="DZ167" s="75"/>
      <c r="EA167" s="75"/>
      <c r="EB167" s="75"/>
      <c r="EC167" s="75"/>
      <c r="ED167" s="75"/>
      <c r="EE167" s="75"/>
      <c r="EF167" s="75"/>
      <c r="EG167" s="75"/>
      <c r="EH167" s="75"/>
    </row>
    <row r="168" spans="1:138" x14ac:dyDescent="0.25">
      <c r="A168" s="61">
        <v>44058</v>
      </c>
      <c r="B168" s="62" t="str">
        <f t="shared" ca="1" si="0"/>
        <v/>
      </c>
      <c r="C168" s="12">
        <f t="shared" si="93"/>
        <v>165</v>
      </c>
      <c r="D168" s="176">
        <f>DANE!K168</f>
        <v>57</v>
      </c>
      <c r="E168" s="198">
        <f t="shared" si="1"/>
        <v>3660</v>
      </c>
      <c r="F168" s="178">
        <f t="shared" ca="1" si="17"/>
        <v>27</v>
      </c>
      <c r="G168" s="211">
        <f t="shared" si="38"/>
        <v>198.97192831005563</v>
      </c>
      <c r="H168" s="200">
        <f t="shared" si="42"/>
        <v>0.20127527429537104</v>
      </c>
      <c r="I168" s="213">
        <f t="shared" si="43"/>
        <v>2.4089269200675973</v>
      </c>
      <c r="J168" s="214">
        <f t="shared" ca="1" si="44"/>
        <v>1.1446696368025517</v>
      </c>
      <c r="K168" s="176">
        <f>DANE!O168</f>
        <v>11</v>
      </c>
      <c r="L168" s="198">
        <f t="shared" si="2"/>
        <v>975</v>
      </c>
      <c r="M168" s="177">
        <f t="shared" ca="1" si="18"/>
        <v>15</v>
      </c>
      <c r="N168" s="211">
        <f t="shared" si="62"/>
        <v>94.019808246838721</v>
      </c>
      <c r="O168" s="200">
        <f t="shared" si="66"/>
        <v>-2.9287000650382755E-2</v>
      </c>
      <c r="P168" s="213">
        <f t="shared" si="67"/>
        <v>0.79499099544732066</v>
      </c>
      <c r="Q168" s="217">
        <f t="shared" ca="1" si="68"/>
        <v>1.3692613621217018</v>
      </c>
      <c r="R168" s="176">
        <f>DANE!S168</f>
        <v>16</v>
      </c>
      <c r="S168" s="198">
        <f t="shared" si="3"/>
        <v>1262</v>
      </c>
      <c r="T168" s="177">
        <f t="shared" ca="1" si="19"/>
        <v>23.714285714285715</v>
      </c>
      <c r="U168" s="211">
        <f t="shared" si="50"/>
        <v>146.87456882912139</v>
      </c>
      <c r="V168" s="200">
        <f t="shared" si="55"/>
        <v>-3.8067604011043393E-2</v>
      </c>
      <c r="W168" s="213">
        <f t="shared" si="56"/>
        <v>0.73352677192269622</v>
      </c>
      <c r="X168" s="214">
        <f t="shared" ca="1" si="57"/>
        <v>1.4427671386083332</v>
      </c>
      <c r="Y168" s="176">
        <f>DANE!W168</f>
        <v>10</v>
      </c>
      <c r="Z168" s="198">
        <f t="shared" si="4"/>
        <v>573</v>
      </c>
      <c r="AA168" s="177">
        <f t="shared" ca="1" si="20"/>
        <v>9.8571428571428577</v>
      </c>
      <c r="AB168" s="211">
        <f t="shared" si="94"/>
        <v>70.550958195622187</v>
      </c>
      <c r="AC168" s="200">
        <f t="shared" si="95"/>
        <v>-1.2998690029978231E-3</v>
      </c>
      <c r="AD168" s="213">
        <f t="shared" si="96"/>
        <v>0.99090091697901528</v>
      </c>
      <c r="AE168" s="217">
        <f t="shared" ca="1" si="97"/>
        <v>0.79432801990560387</v>
      </c>
      <c r="AF168" s="176">
        <f>DANE!AA168</f>
        <v>42</v>
      </c>
      <c r="AG168" s="198">
        <f t="shared" si="5"/>
        <v>4526</v>
      </c>
      <c r="AH168" s="177">
        <f t="shared" ca="1" si="21"/>
        <v>40.285714285714285</v>
      </c>
      <c r="AI168" s="211">
        <f t="shared" si="37"/>
        <v>275.67831508469385</v>
      </c>
      <c r="AJ168" s="200">
        <f t="shared" si="39"/>
        <v>1.1200797807793351E-2</v>
      </c>
      <c r="AK168" s="213">
        <f t="shared" si="40"/>
        <v>1.0784055846545535</v>
      </c>
      <c r="AL168" s="214">
        <f t="shared" ca="1" si="41"/>
        <v>1.1525373917677029</v>
      </c>
      <c r="AM168" s="176">
        <f>DANE!AE168</f>
        <v>150</v>
      </c>
      <c r="AN168" s="198">
        <f t="shared" si="6"/>
        <v>5407</v>
      </c>
      <c r="AO168" s="177">
        <f t="shared" ca="1" si="22"/>
        <v>142.42857142857142</v>
      </c>
      <c r="AP168" s="211">
        <f t="shared" si="49"/>
        <v>929.05198313485118</v>
      </c>
      <c r="AQ168" s="200">
        <f t="shared" si="51"/>
        <v>2.217860745834457E-2</v>
      </c>
      <c r="AR168" s="213">
        <f t="shared" si="52"/>
        <v>1.155250252208412</v>
      </c>
      <c r="AS168" s="217">
        <f t="shared" ca="1" si="53"/>
        <v>1.2443914186075047</v>
      </c>
      <c r="AT168" s="176">
        <f>DANE!AI168</f>
        <v>96</v>
      </c>
      <c r="AU168" s="198">
        <f t="shared" si="7"/>
        <v>7760</v>
      </c>
      <c r="AV168" s="177">
        <f t="shared" ca="1" si="23"/>
        <v>92.428571428571431</v>
      </c>
      <c r="AW168" s="211">
        <f t="shared" si="33"/>
        <v>661.83290352050767</v>
      </c>
      <c r="AX168" s="200">
        <f t="shared" si="34"/>
        <v>2.5669103814508838E-3</v>
      </c>
      <c r="AY168" s="213">
        <f t="shared" si="35"/>
        <v>1.0179683726701563</v>
      </c>
      <c r="AZ168" s="214">
        <f t="shared" ca="1" si="36"/>
        <v>1.1182241530065518</v>
      </c>
      <c r="BA168" s="176">
        <f>DANE!AM168</f>
        <v>7</v>
      </c>
      <c r="BB168" s="198">
        <f t="shared" si="8"/>
        <v>1404</v>
      </c>
      <c r="BC168" s="177">
        <f t="shared" ca="1" si="24"/>
        <v>14.428571428571429</v>
      </c>
      <c r="BD168" s="211">
        <f t="shared" si="77"/>
        <v>105.38849337728733</v>
      </c>
      <c r="BE168" s="200">
        <f t="shared" si="80"/>
        <v>-8.1874401948691403E-2</v>
      </c>
      <c r="BF168" s="213">
        <f t="shared" si="81"/>
        <v>0.42687918635916011</v>
      </c>
      <c r="BG168" s="217">
        <f t="shared" ca="1" si="82"/>
        <v>1.0040957577763605</v>
      </c>
      <c r="BH168" s="176">
        <f>DANE!AQ168</f>
        <v>36</v>
      </c>
      <c r="BI168" s="198">
        <f t="shared" si="9"/>
        <v>1804</v>
      </c>
      <c r="BJ168" s="177">
        <f t="shared" ca="1" si="25"/>
        <v>32</v>
      </c>
      <c r="BK168" s="211">
        <f t="shared" si="61"/>
        <v>229.80666188555907</v>
      </c>
      <c r="BL168" s="200">
        <f t="shared" si="63"/>
        <v>1.6358967450580776E-2</v>
      </c>
      <c r="BM168" s="213">
        <f t="shared" si="64"/>
        <v>1.1145127721540655</v>
      </c>
      <c r="BN168" s="214">
        <f t="shared" ca="1" si="65"/>
        <v>1.0373385832513016</v>
      </c>
      <c r="BO168" s="176">
        <f>DANE!AU168</f>
        <v>6</v>
      </c>
      <c r="BP168" s="198">
        <f t="shared" si="10"/>
        <v>1139</v>
      </c>
      <c r="BQ168" s="177">
        <f t="shared" ca="1" si="26"/>
        <v>12.285714285714286</v>
      </c>
      <c r="BR168" s="211">
        <f t="shared" si="78"/>
        <v>81.473630433492403</v>
      </c>
      <c r="BS168" s="200">
        <f t="shared" si="83"/>
        <v>-7.4716030347800319E-2</v>
      </c>
      <c r="BT168" s="213">
        <f t="shared" si="84"/>
        <v>0.47698778756539773</v>
      </c>
      <c r="BU168" s="217">
        <f t="shared" ca="1" si="85"/>
        <v>1.3553872909562579</v>
      </c>
      <c r="BV168" s="176">
        <f>DANE!AY168</f>
        <v>69</v>
      </c>
      <c r="BW168" s="198">
        <f t="shared" si="11"/>
        <v>1489</v>
      </c>
      <c r="BX168" s="177">
        <f t="shared" ca="1" si="27"/>
        <v>52.714285714285715</v>
      </c>
      <c r="BY168" s="211">
        <f t="shared" si="69"/>
        <v>316.09317350920088</v>
      </c>
      <c r="BZ168" s="200">
        <f t="shared" si="71"/>
        <v>9.6497333443898617E-2</v>
      </c>
      <c r="CA168" s="213">
        <f t="shared" si="72"/>
        <v>1.6754813341072903</v>
      </c>
      <c r="CB168" s="214">
        <f t="shared" ca="1" si="73"/>
        <v>1.5958616699000081</v>
      </c>
      <c r="CC168" s="176">
        <f>DANE!BC168</f>
        <v>133</v>
      </c>
      <c r="CD168" s="198">
        <f t="shared" si="12"/>
        <v>18693</v>
      </c>
      <c r="CE168" s="177">
        <f t="shared" ca="1" si="28"/>
        <v>142</v>
      </c>
      <c r="CF168" s="211">
        <f t="shared" si="45"/>
        <v>1101.0323242060892</v>
      </c>
      <c r="CG168" s="200">
        <f t="shared" si="46"/>
        <v>-2.5092480304686603E-2</v>
      </c>
      <c r="CH168" s="213">
        <f t="shared" si="47"/>
        <v>0.8243526378671937</v>
      </c>
      <c r="CI168" s="217">
        <f t="shared" ca="1" si="48"/>
        <v>0.85767788195689376</v>
      </c>
      <c r="CJ168" s="176">
        <f>DANE!BG168</f>
        <v>41</v>
      </c>
      <c r="CK168" s="198">
        <f t="shared" si="13"/>
        <v>1155</v>
      </c>
      <c r="CL168" s="177">
        <f t="shared" ca="1" si="29"/>
        <v>12.571428571428571</v>
      </c>
      <c r="CM168" s="211">
        <f t="shared" si="79"/>
        <v>94.142888671729921</v>
      </c>
      <c r="CN168" s="200">
        <f t="shared" si="86"/>
        <v>0.51843278738994714</v>
      </c>
      <c r="CO168" s="213">
        <f t="shared" si="87"/>
        <v>4.6290295117296303</v>
      </c>
      <c r="CP168" s="214">
        <f t="shared" ca="1" si="88"/>
        <v>1.3037219411513827</v>
      </c>
      <c r="CQ168" s="176">
        <f>DANE!BK168</f>
        <v>14</v>
      </c>
      <c r="CR168" s="198">
        <f t="shared" si="14"/>
        <v>602</v>
      </c>
      <c r="CS168" s="177">
        <f t="shared" ca="1" si="30"/>
        <v>20.285714285714285</v>
      </c>
      <c r="CT168" s="211">
        <f t="shared" si="89"/>
        <v>116.05681818563087</v>
      </c>
      <c r="CU168" s="200">
        <f t="shared" si="90"/>
        <v>-2.5275581788158363E-2</v>
      </c>
      <c r="CV168" s="213">
        <f t="shared" si="91"/>
        <v>0.82307092748289146</v>
      </c>
      <c r="CW168" s="217">
        <f t="shared" ca="1" si="92"/>
        <v>1.4179137908030957</v>
      </c>
      <c r="CX168" s="176">
        <f>DANE!BO168</f>
        <v>62</v>
      </c>
      <c r="CY168" s="198">
        <f t="shared" si="15"/>
        <v>4693</v>
      </c>
      <c r="CZ168" s="177">
        <f t="shared" ca="1" si="31"/>
        <v>51.857142857142854</v>
      </c>
      <c r="DA168" s="211">
        <f t="shared" si="54"/>
        <v>380.81258706657104</v>
      </c>
      <c r="DB168" s="200">
        <f t="shared" si="58"/>
        <v>2.3832816381387623E-2</v>
      </c>
      <c r="DC168" s="213">
        <f t="shared" si="59"/>
        <v>1.1668297146697133</v>
      </c>
      <c r="DD168" s="214">
        <f t="shared" ca="1" si="60"/>
        <v>0.90652064510229979</v>
      </c>
      <c r="DE168" s="176">
        <f>DANE!BS168</f>
        <v>21</v>
      </c>
      <c r="DF168" s="198">
        <f t="shared" si="16"/>
        <v>948</v>
      </c>
      <c r="DG168" s="177">
        <f t="shared" ca="1" si="32"/>
        <v>14.428571428571429</v>
      </c>
      <c r="DH168" s="211">
        <f t="shared" si="70"/>
        <v>97.086973837244059</v>
      </c>
      <c r="DI168" s="200">
        <f t="shared" si="74"/>
        <v>9.3714231876506016E-2</v>
      </c>
      <c r="DJ168" s="157">
        <f t="shared" si="75"/>
        <v>1.6559996231355423</v>
      </c>
      <c r="DK168" s="225">
        <f t="shared" ca="1" si="76"/>
        <v>1.0844056888699971</v>
      </c>
      <c r="DL168" s="88"/>
      <c r="DM168" s="371"/>
      <c r="DN168" s="372"/>
      <c r="DO168" s="372"/>
      <c r="DP168" s="372"/>
      <c r="DQ168" s="372"/>
      <c r="DR168" s="372"/>
      <c r="DS168" s="372"/>
      <c r="DT168" s="372"/>
      <c r="DU168" s="372"/>
      <c r="DV168" s="372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</row>
    <row r="169" spans="1:138" x14ac:dyDescent="0.25">
      <c r="A169" s="61">
        <v>44059</v>
      </c>
      <c r="B169" s="62" t="str">
        <f t="shared" ca="1" si="0"/>
        <v/>
      </c>
      <c r="C169" s="12">
        <f t="shared" si="93"/>
        <v>166</v>
      </c>
      <c r="D169" s="176">
        <f>DANE!K169</f>
        <v>11</v>
      </c>
      <c r="E169" s="198">
        <f t="shared" si="1"/>
        <v>3671</v>
      </c>
      <c r="F169" s="178">
        <f t="shared" ca="1" si="17"/>
        <v>26.857142857142858</v>
      </c>
      <c r="G169" s="211">
        <f t="shared" si="38"/>
        <v>181.54736712290483</v>
      </c>
      <c r="H169" s="200">
        <f t="shared" si="42"/>
        <v>-8.7572962352751138E-2</v>
      </c>
      <c r="I169" s="213">
        <f t="shared" si="43"/>
        <v>0.38698926353074203</v>
      </c>
      <c r="J169" s="214">
        <f t="shared" ca="1" si="44"/>
        <v>1.1318471903227854</v>
      </c>
      <c r="K169" s="176">
        <f>DANE!O169</f>
        <v>13</v>
      </c>
      <c r="L169" s="198">
        <f t="shared" si="2"/>
        <v>988</v>
      </c>
      <c r="M169" s="177">
        <f t="shared" ca="1" si="18"/>
        <v>16.142857142857142</v>
      </c>
      <c r="N169" s="211">
        <f t="shared" si="62"/>
        <v>93.588407068718908</v>
      </c>
      <c r="O169" s="200">
        <f t="shared" si="66"/>
        <v>-4.5884073384537937E-3</v>
      </c>
      <c r="P169" s="213">
        <f t="shared" si="67"/>
        <v>0.96788114863082342</v>
      </c>
      <c r="Q169" s="217">
        <f t="shared" ca="1" si="68"/>
        <v>1.4354577061989549</v>
      </c>
      <c r="R169" s="176">
        <f>DANE!S169</f>
        <v>0</v>
      </c>
      <c r="S169" s="198">
        <f t="shared" si="3"/>
        <v>1262</v>
      </c>
      <c r="T169" s="177">
        <f t="shared" ca="1" si="19"/>
        <v>21.285714285714285</v>
      </c>
      <c r="U169" s="211">
        <f t="shared" si="50"/>
        <v>125.89248756781834</v>
      </c>
      <c r="V169" s="200">
        <f t="shared" si="55"/>
        <v>-0.14285714285714282</v>
      </c>
      <c r="W169" s="213">
        <f t="shared" si="56"/>
        <v>2.2204460492503131E-16</v>
      </c>
      <c r="X169" s="214">
        <f t="shared" ca="1" si="57"/>
        <v>1.272203913886321</v>
      </c>
      <c r="Y169" s="176">
        <f>DANE!W169</f>
        <v>8</v>
      </c>
      <c r="Z169" s="198">
        <f t="shared" si="4"/>
        <v>581</v>
      </c>
      <c r="AA169" s="177">
        <f t="shared" ca="1" si="20"/>
        <v>8.1428571428571423</v>
      </c>
      <c r="AB169" s="211">
        <f t="shared" si="94"/>
        <v>68.472249881961886</v>
      </c>
      <c r="AC169" s="200">
        <f t="shared" si="95"/>
        <v>-2.9463927447966082E-2</v>
      </c>
      <c r="AD169" s="213">
        <f t="shared" si="96"/>
        <v>0.79375250786423746</v>
      </c>
      <c r="AE169" s="217">
        <f t="shared" ca="1" si="97"/>
        <v>0.68522246660159247</v>
      </c>
      <c r="AF169" s="176">
        <f>DANE!AA169</f>
        <v>70</v>
      </c>
      <c r="AG169" s="198">
        <f t="shared" si="5"/>
        <v>4596</v>
      </c>
      <c r="AH169" s="177">
        <f t="shared" ca="1" si="21"/>
        <v>47.142857142857146</v>
      </c>
      <c r="AI169" s="211">
        <f t="shared" si="37"/>
        <v>306.29569864402333</v>
      </c>
      <c r="AJ169" s="200">
        <f t="shared" si="39"/>
        <v>0.11106199466549704</v>
      </c>
      <c r="AK169" s="213">
        <f t="shared" si="40"/>
        <v>1.7774339626584794</v>
      </c>
      <c r="AL169" s="214">
        <f t="shared" ca="1" si="41"/>
        <v>1.314207700729175</v>
      </c>
      <c r="AM169" s="176">
        <f>DANE!AE169</f>
        <v>77</v>
      </c>
      <c r="AN169" s="198">
        <f t="shared" si="6"/>
        <v>5484</v>
      </c>
      <c r="AO169" s="177">
        <f t="shared" ca="1" si="22"/>
        <v>138</v>
      </c>
      <c r="AP169" s="211">
        <f t="shared" si="49"/>
        <v>873.33027125844399</v>
      </c>
      <c r="AQ169" s="200">
        <f t="shared" si="51"/>
        <v>-5.9976958112062106E-2</v>
      </c>
      <c r="AR169" s="213">
        <f t="shared" si="52"/>
        <v>0.58016129321556531</v>
      </c>
      <c r="AS169" s="217">
        <f t="shared" ca="1" si="53"/>
        <v>1.1806357786901123</v>
      </c>
      <c r="AT169" s="176">
        <f>DANE!AI169</f>
        <v>73</v>
      </c>
      <c r="AU169" s="198">
        <f t="shared" si="7"/>
        <v>7833</v>
      </c>
      <c r="AV169" s="177">
        <f t="shared" ca="1" si="23"/>
        <v>91.285714285714292</v>
      </c>
      <c r="AW169" s="211">
        <f t="shared" si="33"/>
        <v>640.28534587472086</v>
      </c>
      <c r="AX169" s="200">
        <f t="shared" si="34"/>
        <v>-3.2557398598903498E-2</v>
      </c>
      <c r="AY169" s="213">
        <f t="shared" si="35"/>
        <v>0.77209820980767552</v>
      </c>
      <c r="AZ169" s="214">
        <f t="shared" ca="1" si="36"/>
        <v>1.0929152538014777</v>
      </c>
      <c r="BA169" s="176">
        <f>DANE!AM169</f>
        <v>14</v>
      </c>
      <c r="BB169" s="198">
        <f t="shared" si="8"/>
        <v>1418</v>
      </c>
      <c r="BC169" s="177">
        <f t="shared" ca="1" si="24"/>
        <v>14.571428571428571</v>
      </c>
      <c r="BD169" s="211">
        <f t="shared" si="77"/>
        <v>104.33299432338914</v>
      </c>
      <c r="BE169" s="200">
        <f t="shared" si="80"/>
        <v>-1.0015315904740535E-2</v>
      </c>
      <c r="BF169" s="213">
        <f t="shared" si="81"/>
        <v>0.92989278866681624</v>
      </c>
      <c r="BG169" s="217">
        <f t="shared" ca="1" si="82"/>
        <v>1.0161004662150215</v>
      </c>
      <c r="BH169" s="176">
        <f>DANE!AQ169</f>
        <v>38</v>
      </c>
      <c r="BI169" s="198">
        <f t="shared" si="9"/>
        <v>1842</v>
      </c>
      <c r="BJ169" s="177">
        <f t="shared" ca="1" si="25"/>
        <v>33.428571428571431</v>
      </c>
      <c r="BK169" s="211">
        <f t="shared" si="61"/>
        <v>234.97713875905063</v>
      </c>
      <c r="BL169" s="200">
        <f t="shared" si="63"/>
        <v>2.2499247110888375E-2</v>
      </c>
      <c r="BM169" s="213">
        <f t="shared" si="64"/>
        <v>1.1574947297762186</v>
      </c>
      <c r="BN169" s="214">
        <f t="shared" ca="1" si="65"/>
        <v>1.0772463071785991</v>
      </c>
      <c r="BO169" s="176">
        <f>DANE!AU169</f>
        <v>3</v>
      </c>
      <c r="BP169" s="198">
        <f t="shared" si="10"/>
        <v>1142</v>
      </c>
      <c r="BQ169" s="177">
        <f t="shared" ca="1" si="26"/>
        <v>11.285714285714286</v>
      </c>
      <c r="BR169" s="211">
        <f t="shared" si="78"/>
        <v>72.834540371564927</v>
      </c>
      <c r="BS169" s="200">
        <f t="shared" si="83"/>
        <v>-0.1060354131264549</v>
      </c>
      <c r="BT169" s="213">
        <f t="shared" si="84"/>
        <v>0.25775210811481564</v>
      </c>
      <c r="BU169" s="217">
        <f t="shared" ca="1" si="85"/>
        <v>1.226870308008692</v>
      </c>
      <c r="BV169" s="176">
        <f>DANE!AY169</f>
        <v>85</v>
      </c>
      <c r="BW169" s="198">
        <f t="shared" si="11"/>
        <v>1574</v>
      </c>
      <c r="BX169" s="177">
        <f t="shared" ca="1" si="27"/>
        <v>59.142857142857146</v>
      </c>
      <c r="BY169" s="211">
        <f t="shared" si="69"/>
        <v>355.93700586502933</v>
      </c>
      <c r="BZ169" s="200">
        <f t="shared" si="71"/>
        <v>0.12605091060173962</v>
      </c>
      <c r="CA169" s="213">
        <f t="shared" si="72"/>
        <v>1.8823563742121774</v>
      </c>
      <c r="CB169" s="214">
        <f t="shared" ca="1" si="73"/>
        <v>1.643159730475054</v>
      </c>
      <c r="CC169" s="176">
        <f>DANE!BC169</f>
        <v>108</v>
      </c>
      <c r="CD169" s="198">
        <f t="shared" si="12"/>
        <v>18801</v>
      </c>
      <c r="CE169" s="177">
        <f t="shared" ca="1" si="28"/>
        <v>136.14285714285714</v>
      </c>
      <c r="CF169" s="211">
        <f t="shared" si="45"/>
        <v>1051.741992176648</v>
      </c>
      <c r="CG169" s="200">
        <f t="shared" si="46"/>
        <v>-4.4767379618016745E-2</v>
      </c>
      <c r="CH169" s="213">
        <f t="shared" si="47"/>
        <v>0.68662834267388284</v>
      </c>
      <c r="CI169" s="217">
        <f t="shared" ca="1" si="48"/>
        <v>0.83881935707251976</v>
      </c>
      <c r="CJ169" s="176">
        <f>DANE!BG169</f>
        <v>16</v>
      </c>
      <c r="CK169" s="198">
        <f t="shared" si="13"/>
        <v>1171</v>
      </c>
      <c r="CL169" s="177">
        <f t="shared" ca="1" si="29"/>
        <v>13.285714285714286</v>
      </c>
      <c r="CM169" s="211">
        <f t="shared" si="79"/>
        <v>96.693904575768514</v>
      </c>
      <c r="CN169" s="200">
        <f t="shared" si="86"/>
        <v>2.7097276703860428E-2</v>
      </c>
      <c r="CO169" s="213">
        <f t="shared" si="87"/>
        <v>1.1896809369270229</v>
      </c>
      <c r="CP169" s="214">
        <f t="shared" ca="1" si="88"/>
        <v>1.3325498659242856</v>
      </c>
      <c r="CQ169" s="176">
        <f>DANE!BK169</f>
        <v>10</v>
      </c>
      <c r="CR169" s="198">
        <f t="shared" si="14"/>
        <v>612</v>
      </c>
      <c r="CS169" s="177">
        <f t="shared" ca="1" si="30"/>
        <v>17.428571428571427</v>
      </c>
      <c r="CT169" s="211">
        <f t="shared" si="89"/>
        <v>109.47727273054076</v>
      </c>
      <c r="CU169" s="200">
        <f t="shared" si="90"/>
        <v>-5.669245080083312E-2</v>
      </c>
      <c r="CV169" s="213">
        <f t="shared" si="91"/>
        <v>0.60315284439416805</v>
      </c>
      <c r="CW169" s="217">
        <f t="shared" ca="1" si="92"/>
        <v>1.1337139635453737</v>
      </c>
      <c r="CX169" s="176">
        <f>DANE!BO169</f>
        <v>50</v>
      </c>
      <c r="CY169" s="198">
        <f t="shared" si="15"/>
        <v>4743</v>
      </c>
      <c r="CZ169" s="177">
        <f t="shared" ca="1" si="31"/>
        <v>50</v>
      </c>
      <c r="DA169" s="211">
        <f t="shared" si="54"/>
        <v>376.41078891420375</v>
      </c>
      <c r="DB169" s="200">
        <f t="shared" si="58"/>
        <v>-1.1558961814457565E-2</v>
      </c>
      <c r="DC169" s="213">
        <f t="shared" si="59"/>
        <v>0.91908726729879708</v>
      </c>
      <c r="DD169" s="214">
        <f t="shared" ca="1" si="60"/>
        <v>0.88766248530811609</v>
      </c>
      <c r="DE169" s="176">
        <f>DANE!BS169</f>
        <v>18</v>
      </c>
      <c r="DF169" s="198">
        <f t="shared" si="16"/>
        <v>966</v>
      </c>
      <c r="DG169" s="177">
        <f t="shared" ca="1" si="32"/>
        <v>14.857142857142858</v>
      </c>
      <c r="DH169" s="211">
        <f t="shared" si="70"/>
        <v>101.2174061462092</v>
      </c>
      <c r="DI169" s="200">
        <f t="shared" si="74"/>
        <v>4.2543630167002314E-2</v>
      </c>
      <c r="DJ169" s="157">
        <f t="shared" si="75"/>
        <v>1.2978054111690163</v>
      </c>
      <c r="DK169" s="225">
        <f t="shared" ca="1" si="76"/>
        <v>1.1049762061820589</v>
      </c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</row>
    <row r="170" spans="1:138" x14ac:dyDescent="0.25">
      <c r="A170" s="32">
        <v>44060</v>
      </c>
      <c r="B170" s="33" t="str">
        <f t="shared" ca="1" si="0"/>
        <v/>
      </c>
      <c r="C170" s="51">
        <f t="shared" si="93"/>
        <v>167</v>
      </c>
      <c r="D170" s="176">
        <f>DANE!K170</f>
        <v>17</v>
      </c>
      <c r="E170" s="188">
        <f t="shared" si="1"/>
        <v>3688</v>
      </c>
      <c r="F170" s="178">
        <f t="shared" ca="1" si="17"/>
        <v>26.714285714285715</v>
      </c>
      <c r="G170" s="209">
        <f t="shared" si="38"/>
        <v>172.61202896248986</v>
      </c>
      <c r="H170" s="179">
        <f t="shared" si="42"/>
        <v>-4.9217668655948517E-2</v>
      </c>
      <c r="I170" s="213">
        <f t="shared" si="43"/>
        <v>0.65547631940836038</v>
      </c>
      <c r="J170" s="214">
        <f t="shared" ca="1" si="44"/>
        <v>1.1150732655123328</v>
      </c>
      <c r="K170" s="176">
        <f>DANE!O170</f>
        <v>28</v>
      </c>
      <c r="L170" s="188">
        <f t="shared" si="2"/>
        <v>1016</v>
      </c>
      <c r="M170" s="177">
        <f t="shared" ca="1" si="18"/>
        <v>18.428571428571427</v>
      </c>
      <c r="N170" s="209">
        <f t="shared" si="62"/>
        <v>108.2186346303305</v>
      </c>
      <c r="O170" s="179">
        <f t="shared" si="66"/>
        <v>0.15632521184882539</v>
      </c>
      <c r="P170" s="213">
        <f t="shared" si="67"/>
        <v>2.0942764829417779</v>
      </c>
      <c r="Q170" s="217">
        <f t="shared" ca="1" si="68"/>
        <v>1.5484897155215678</v>
      </c>
      <c r="R170" s="176">
        <f>DANE!S170</f>
        <v>6</v>
      </c>
      <c r="S170" s="188">
        <f t="shared" si="3"/>
        <v>1268</v>
      </c>
      <c r="T170" s="177">
        <f t="shared" ca="1" si="19"/>
        <v>19.714285714285715</v>
      </c>
      <c r="U170" s="209">
        <f t="shared" si="50"/>
        <v>113.90784648670144</v>
      </c>
      <c r="V170" s="179">
        <f t="shared" si="55"/>
        <v>-9.5197428477698159E-2</v>
      </c>
      <c r="W170" s="213">
        <f t="shared" si="56"/>
        <v>0.3336180006561128</v>
      </c>
      <c r="X170" s="214">
        <f t="shared" ca="1" si="57"/>
        <v>1.1538986430118991</v>
      </c>
      <c r="Y170" s="176">
        <f>DANE!W170</f>
        <v>8</v>
      </c>
      <c r="Z170" s="188">
        <f t="shared" si="4"/>
        <v>589</v>
      </c>
      <c r="AA170" s="177">
        <f t="shared" ca="1" si="20"/>
        <v>5.5714285714285712</v>
      </c>
      <c r="AB170" s="209">
        <f t="shared" si="94"/>
        <v>66.69049989882447</v>
      </c>
      <c r="AC170" s="179">
        <f t="shared" si="95"/>
        <v>-2.6021490256402324E-2</v>
      </c>
      <c r="AD170" s="213">
        <f t="shared" si="96"/>
        <v>0.81784956820518373</v>
      </c>
      <c r="AE170" s="217">
        <f t="shared" ca="1" si="97"/>
        <v>0.53414662672185342</v>
      </c>
      <c r="AF170" s="176">
        <f>DANE!AA170</f>
        <v>44</v>
      </c>
      <c r="AG170" s="188">
        <f t="shared" si="5"/>
        <v>4640</v>
      </c>
      <c r="AH170" s="177">
        <f t="shared" ca="1" si="21"/>
        <v>49</v>
      </c>
      <c r="AI170" s="209">
        <f t="shared" si="37"/>
        <v>306.53917026630575</v>
      </c>
      <c r="AJ170" s="179">
        <f t="shared" si="39"/>
        <v>7.9489076523198631E-4</v>
      </c>
      <c r="AK170" s="213">
        <f t="shared" si="40"/>
        <v>1.0055642353566239</v>
      </c>
      <c r="AL170" s="214">
        <f t="shared" ca="1" si="41"/>
        <v>1.3209436567650534</v>
      </c>
      <c r="AM170" s="176">
        <f>DANE!AE170</f>
        <v>84</v>
      </c>
      <c r="AN170" s="188">
        <f t="shared" si="6"/>
        <v>5568</v>
      </c>
      <c r="AO170" s="177">
        <f t="shared" ca="1" si="22"/>
        <v>125</v>
      </c>
      <c r="AP170" s="209">
        <f t="shared" si="49"/>
        <v>832.56880393580923</v>
      </c>
      <c r="AQ170" s="179">
        <f t="shared" si="51"/>
        <v>-4.6673599512242543E-2</v>
      </c>
      <c r="AR170" s="213">
        <f t="shared" si="52"/>
        <v>0.67328480341430219</v>
      </c>
      <c r="AS170" s="217">
        <f t="shared" ca="1" si="53"/>
        <v>1.0401094278872742</v>
      </c>
      <c r="AT170" s="176">
        <f>DANE!AI170</f>
        <v>150</v>
      </c>
      <c r="AU170" s="188">
        <f t="shared" si="7"/>
        <v>7983</v>
      </c>
      <c r="AV170" s="177">
        <f t="shared" ca="1" si="23"/>
        <v>105.14285714285714</v>
      </c>
      <c r="AW170" s="209">
        <f t="shared" si="33"/>
        <v>698.81601074976084</v>
      </c>
      <c r="AX170" s="179">
        <f t="shared" si="34"/>
        <v>9.1413406931996483E-2</v>
      </c>
      <c r="AY170" s="213">
        <f t="shared" si="35"/>
        <v>1.6398938485239754</v>
      </c>
      <c r="AZ170" s="214">
        <f t="shared" ca="1" si="36"/>
        <v>1.2378063551876697</v>
      </c>
      <c r="BA170" s="176">
        <f>DANE!AM170</f>
        <v>23</v>
      </c>
      <c r="BB170" s="188">
        <f t="shared" si="8"/>
        <v>1441</v>
      </c>
      <c r="BC170" s="177">
        <f t="shared" ca="1" si="24"/>
        <v>16.857142857142858</v>
      </c>
      <c r="BD170" s="209">
        <f t="shared" si="77"/>
        <v>112.42828084861927</v>
      </c>
      <c r="BE170" s="179">
        <f t="shared" si="80"/>
        <v>7.7590857788841769E-2</v>
      </c>
      <c r="BF170" s="213">
        <f t="shared" si="81"/>
        <v>1.5431360045218923</v>
      </c>
      <c r="BG170" s="217">
        <f t="shared" ca="1" si="82"/>
        <v>1.1700173083937948</v>
      </c>
      <c r="BH170" s="176">
        <f>DANE!AQ170</f>
        <v>37</v>
      </c>
      <c r="BI170" s="188">
        <f t="shared" si="9"/>
        <v>1879</v>
      </c>
      <c r="BJ170" s="177">
        <f t="shared" ca="1" si="25"/>
        <v>33.428571428571431</v>
      </c>
      <c r="BK170" s="209">
        <f t="shared" si="61"/>
        <v>238.40897607918626</v>
      </c>
      <c r="BL170" s="179">
        <f t="shared" si="63"/>
        <v>1.4604983864641784E-2</v>
      </c>
      <c r="BM170" s="213">
        <f t="shared" si="64"/>
        <v>1.1022348870524925</v>
      </c>
      <c r="BN170" s="214">
        <f t="shared" ca="1" si="65"/>
        <v>1.0660000259378077</v>
      </c>
      <c r="BO170" s="176">
        <f>DANE!AU170</f>
        <v>5</v>
      </c>
      <c r="BP170" s="188">
        <f t="shared" si="10"/>
        <v>1147</v>
      </c>
      <c r="BQ170" s="177">
        <f t="shared" ca="1" si="26"/>
        <v>10.857142857142858</v>
      </c>
      <c r="BR170" s="209">
        <f t="shared" si="78"/>
        <v>67.429606032769939</v>
      </c>
      <c r="BS170" s="179">
        <f t="shared" si="83"/>
        <v>-7.4208394962359217E-2</v>
      </c>
      <c r="BT170" s="213">
        <f t="shared" si="84"/>
        <v>0.48054123526348547</v>
      </c>
      <c r="BU170" s="217">
        <f t="shared" ca="1" si="85"/>
        <v>1.166156362191799</v>
      </c>
      <c r="BV170" s="176">
        <f>DANE!AY170</f>
        <v>52</v>
      </c>
      <c r="BW170" s="188">
        <f t="shared" si="11"/>
        <v>1626</v>
      </c>
      <c r="BX170" s="177">
        <f t="shared" ca="1" si="27"/>
        <v>59.714285714285715</v>
      </c>
      <c r="BY170" s="209">
        <f t="shared" si="69"/>
        <v>357.08886217002515</v>
      </c>
      <c r="BZ170" s="179">
        <f t="shared" si="71"/>
        <v>3.236124050087108E-3</v>
      </c>
      <c r="CA170" s="213">
        <f t="shared" si="72"/>
        <v>1.0226528683506098</v>
      </c>
      <c r="CB170" s="214">
        <f t="shared" ca="1" si="73"/>
        <v>1.5427350007401217</v>
      </c>
      <c r="CC170" s="176">
        <f>DANE!BC170</f>
        <v>76</v>
      </c>
      <c r="CD170" s="188">
        <f t="shared" si="12"/>
        <v>18877</v>
      </c>
      <c r="CE170" s="177">
        <f t="shared" ca="1" si="28"/>
        <v>133</v>
      </c>
      <c r="CF170" s="209">
        <f t="shared" si="45"/>
        <v>977.49313615141261</v>
      </c>
      <c r="CG170" s="179">
        <f t="shared" si="46"/>
        <v>-7.0596074491209138E-2</v>
      </c>
      <c r="CH170" s="213">
        <f t="shared" si="47"/>
        <v>0.50582747856153598</v>
      </c>
      <c r="CI170" s="217">
        <f t="shared" ca="1" si="48"/>
        <v>0.83211552706135083</v>
      </c>
      <c r="CJ170" s="176">
        <f>DANE!BG170</f>
        <v>10</v>
      </c>
      <c r="CK170" s="188">
        <f t="shared" si="13"/>
        <v>1181</v>
      </c>
      <c r="CL170" s="177">
        <f t="shared" ca="1" si="29"/>
        <v>13.571428571428571</v>
      </c>
      <c r="CM170" s="209">
        <f t="shared" si="79"/>
        <v>92.880489636373014</v>
      </c>
      <c r="CN170" s="179">
        <f t="shared" si="86"/>
        <v>-3.9438007557212051E-2</v>
      </c>
      <c r="CO170" s="213">
        <f t="shared" si="87"/>
        <v>0.72393394709951564</v>
      </c>
      <c r="CP170" s="214">
        <f t="shared" ca="1" si="88"/>
        <v>1.3331536132165112</v>
      </c>
      <c r="CQ170" s="176">
        <f>DANE!BK170</f>
        <v>11</v>
      </c>
      <c r="CR170" s="188">
        <f t="shared" si="14"/>
        <v>623</v>
      </c>
      <c r="CS170" s="177">
        <f t="shared" ca="1" si="30"/>
        <v>18.142857142857142</v>
      </c>
      <c r="CT170" s="209">
        <f t="shared" si="89"/>
        <v>104.83766234046351</v>
      </c>
      <c r="CU170" s="179">
        <f t="shared" si="90"/>
        <v>-4.2379667252917821E-2</v>
      </c>
      <c r="CV170" s="213">
        <f t="shared" si="91"/>
        <v>0.70334232922957529</v>
      </c>
      <c r="CW170" s="217">
        <f t="shared" ca="1" si="92"/>
        <v>1.1738472772459754</v>
      </c>
      <c r="CX170" s="176">
        <f>DANE!BO170</f>
        <v>30</v>
      </c>
      <c r="CY170" s="188">
        <f t="shared" si="15"/>
        <v>4773</v>
      </c>
      <c r="CZ170" s="177">
        <f t="shared" ca="1" si="31"/>
        <v>45.142857142857146</v>
      </c>
      <c r="DA170" s="209">
        <f t="shared" si="54"/>
        <v>352.63781906931752</v>
      </c>
      <c r="DB170" s="179">
        <f t="shared" si="58"/>
        <v>-6.3156983128623514E-2</v>
      </c>
      <c r="DC170" s="213">
        <f t="shared" si="59"/>
        <v>0.55790111809963538</v>
      </c>
      <c r="DD170" s="214">
        <f t="shared" ca="1" si="60"/>
        <v>0.81592822006702814</v>
      </c>
      <c r="DE170" s="176">
        <f>DANE!BS170</f>
        <v>14</v>
      </c>
      <c r="DF170" s="188">
        <f t="shared" si="16"/>
        <v>980</v>
      </c>
      <c r="DG170" s="177">
        <f t="shared" ca="1" si="32"/>
        <v>15.285714285714286</v>
      </c>
      <c r="DH170" s="209">
        <f t="shared" si="70"/>
        <v>100.75777669675075</v>
      </c>
      <c r="DI170" s="179">
        <f t="shared" si="74"/>
        <v>-4.5410119361734011E-3</v>
      </c>
      <c r="DJ170" s="157">
        <f t="shared" si="75"/>
        <v>0.9682129164467862</v>
      </c>
      <c r="DK170" s="225">
        <f t="shared" ca="1" si="76"/>
        <v>1.1250157216665859</v>
      </c>
      <c r="DL170" s="89"/>
      <c r="DM170" s="371"/>
      <c r="DN170" s="372"/>
      <c r="DO170" s="372"/>
      <c r="DP170" s="372"/>
      <c r="DQ170" s="372"/>
      <c r="DR170" s="372"/>
      <c r="DS170" s="372"/>
      <c r="DT170" s="372"/>
      <c r="DU170" s="372"/>
      <c r="DV170" s="372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</row>
    <row r="171" spans="1:138" x14ac:dyDescent="0.25">
      <c r="A171" s="32">
        <v>44061</v>
      </c>
      <c r="B171" s="33" t="str">
        <f t="shared" ca="1" si="0"/>
        <v/>
      </c>
      <c r="C171" s="51">
        <f t="shared" si="93"/>
        <v>168</v>
      </c>
      <c r="D171" s="176">
        <f>DANE!K171</f>
        <v>33</v>
      </c>
      <c r="E171" s="188">
        <f t="shared" si="1"/>
        <v>3721</v>
      </c>
      <c r="F171" s="178">
        <f t="shared" ca="1" si="17"/>
        <v>27.571428571428573</v>
      </c>
      <c r="G171" s="209">
        <f t="shared" si="38"/>
        <v>180.95316768213416</v>
      </c>
      <c r="H171" s="179">
        <f t="shared" si="42"/>
        <v>4.8323044284804217E-2</v>
      </c>
      <c r="I171" s="213">
        <f t="shared" si="43"/>
        <v>1.3382613099936296</v>
      </c>
      <c r="J171" s="214">
        <f t="shared" ca="1" si="44"/>
        <v>1.1350798413381606</v>
      </c>
      <c r="K171" s="176">
        <f>DANE!O171</f>
        <v>17</v>
      </c>
      <c r="L171" s="188">
        <f t="shared" si="2"/>
        <v>1033</v>
      </c>
      <c r="M171" s="177">
        <f t="shared" ca="1" si="18"/>
        <v>16</v>
      </c>
      <c r="N171" s="209">
        <f t="shared" si="62"/>
        <v>109.75882968314043</v>
      </c>
      <c r="O171" s="179">
        <f t="shared" si="66"/>
        <v>1.423225360466952E-2</v>
      </c>
      <c r="P171" s="213">
        <f t="shared" si="67"/>
        <v>1.0996257752326866</v>
      </c>
      <c r="Q171" s="217">
        <f t="shared" ca="1" si="68"/>
        <v>1.2000395596225739</v>
      </c>
      <c r="R171" s="176">
        <f>DANE!S171</f>
        <v>19</v>
      </c>
      <c r="S171" s="188">
        <f t="shared" si="3"/>
        <v>1287</v>
      </c>
      <c r="T171" s="177">
        <f t="shared" ca="1" si="19"/>
        <v>21.285714285714285</v>
      </c>
      <c r="U171" s="209">
        <f t="shared" si="50"/>
        <v>116.63529698860124</v>
      </c>
      <c r="V171" s="179">
        <f t="shared" si="55"/>
        <v>2.3944360165023583E-2</v>
      </c>
      <c r="W171" s="213">
        <f t="shared" si="56"/>
        <v>1.1676105211551651</v>
      </c>
      <c r="X171" s="214">
        <f t="shared" ca="1" si="57"/>
        <v>1.2443629640726095</v>
      </c>
      <c r="Y171" s="176">
        <f>DANE!W171</f>
        <v>14</v>
      </c>
      <c r="Z171" s="188">
        <f t="shared" si="4"/>
        <v>603</v>
      </c>
      <c r="AA171" s="177">
        <f t="shared" ca="1" si="20"/>
        <v>7.2857142857142856</v>
      </c>
      <c r="AB171" s="209">
        <f t="shared" si="94"/>
        <v>71.163285627563837</v>
      </c>
      <c r="AC171" s="179">
        <f t="shared" si="95"/>
        <v>6.7067809291053285E-2</v>
      </c>
      <c r="AD171" s="213">
        <f t="shared" si="96"/>
        <v>1.4694746650373731</v>
      </c>
      <c r="AE171" s="217">
        <f t="shared" ca="1" si="97"/>
        <v>0.72575372929100301</v>
      </c>
      <c r="AF171" s="176">
        <f>DANE!AA171</f>
        <v>48</v>
      </c>
      <c r="AG171" s="188">
        <f t="shared" si="5"/>
        <v>4688</v>
      </c>
      <c r="AH171" s="177">
        <f t="shared" ca="1" si="21"/>
        <v>48.571428571428569</v>
      </c>
      <c r="AI171" s="209">
        <f t="shared" si="37"/>
        <v>310.74786022826208</v>
      </c>
      <c r="AJ171" s="179">
        <f t="shared" si="39"/>
        <v>1.3729697116032646E-2</v>
      </c>
      <c r="AK171" s="213">
        <f t="shared" si="40"/>
        <v>1.0961078798122286</v>
      </c>
      <c r="AL171" s="214">
        <f t="shared" ca="1" si="41"/>
        <v>1.2509352487115772</v>
      </c>
      <c r="AM171" s="176">
        <f>DANE!AE171</f>
        <v>130</v>
      </c>
      <c r="AN171" s="188">
        <f t="shared" si="6"/>
        <v>5698</v>
      </c>
      <c r="AO171" s="177">
        <f t="shared" ca="1" si="22"/>
        <v>133.42857142857142</v>
      </c>
      <c r="AP171" s="209">
        <f t="shared" si="49"/>
        <v>843.63040337355085</v>
      </c>
      <c r="AQ171" s="179">
        <f t="shared" si="51"/>
        <v>1.3286108469894658E-2</v>
      </c>
      <c r="AR171" s="213">
        <f t="shared" si="52"/>
        <v>1.0930027592892626</v>
      </c>
      <c r="AS171" s="217">
        <f t="shared" ca="1" si="53"/>
        <v>1.1084560488978967</v>
      </c>
      <c r="AT171" s="176">
        <f>DANE!AI171</f>
        <v>62</v>
      </c>
      <c r="AU171" s="188">
        <f t="shared" si="7"/>
        <v>8045</v>
      </c>
      <c r="AV171" s="177">
        <f t="shared" ca="1" si="23"/>
        <v>106.85714285714286</v>
      </c>
      <c r="AW171" s="209">
        <f t="shared" si="33"/>
        <v>660.98515207122364</v>
      </c>
      <c r="AX171" s="179">
        <f t="shared" si="34"/>
        <v>-5.4135649579563024E-2</v>
      </c>
      <c r="AY171" s="213">
        <f t="shared" si="35"/>
        <v>0.62105045294305883</v>
      </c>
      <c r="AZ171" s="214">
        <f t="shared" ca="1" si="36"/>
        <v>1.23744359355825</v>
      </c>
      <c r="BA171" s="176">
        <f>DANE!AM171</f>
        <v>15</v>
      </c>
      <c r="BB171" s="188">
        <f t="shared" si="8"/>
        <v>1456</v>
      </c>
      <c r="BC171" s="177">
        <f t="shared" ca="1" si="24"/>
        <v>16.142857142857142</v>
      </c>
      <c r="BD171" s="209">
        <f t="shared" si="77"/>
        <v>111.36709787024509</v>
      </c>
      <c r="BE171" s="179">
        <f t="shared" si="80"/>
        <v>-9.4387548254253086E-3</v>
      </c>
      <c r="BF171" s="213">
        <f t="shared" si="81"/>
        <v>0.93392871622202289</v>
      </c>
      <c r="BG171" s="217">
        <f t="shared" ca="1" si="82"/>
        <v>1.0976390398350568</v>
      </c>
      <c r="BH171" s="176">
        <f>DANE!AQ171</f>
        <v>39</v>
      </c>
      <c r="BI171" s="188">
        <f t="shared" si="9"/>
        <v>1918</v>
      </c>
      <c r="BJ171" s="177">
        <f t="shared" ca="1" si="25"/>
        <v>36.714285714285715</v>
      </c>
      <c r="BK171" s="209">
        <f t="shared" si="61"/>
        <v>243.35055092501682</v>
      </c>
      <c r="BL171" s="179">
        <f t="shared" si="63"/>
        <v>2.0727301996336083E-2</v>
      </c>
      <c r="BM171" s="213">
        <f t="shared" si="64"/>
        <v>1.1450911139743525</v>
      </c>
      <c r="BN171" s="214">
        <f t="shared" ca="1" si="65"/>
        <v>1.158467935959542</v>
      </c>
      <c r="BO171" s="176">
        <f>DANE!AU171</f>
        <v>10</v>
      </c>
      <c r="BP171" s="188">
        <f t="shared" si="10"/>
        <v>1157</v>
      </c>
      <c r="BQ171" s="177">
        <f t="shared" ca="1" si="26"/>
        <v>11.285714285714286</v>
      </c>
      <c r="BR171" s="209">
        <f t="shared" si="78"/>
        <v>67.796805170945674</v>
      </c>
      <c r="BS171" s="179">
        <f t="shared" si="83"/>
        <v>5.4456663738667102E-3</v>
      </c>
      <c r="BT171" s="213">
        <f t="shared" si="84"/>
        <v>1.038119664617067</v>
      </c>
      <c r="BU171" s="217">
        <f t="shared" ca="1" si="85"/>
        <v>1.1997184516167543</v>
      </c>
      <c r="BV171" s="176">
        <f>DANE!AY171</f>
        <v>51</v>
      </c>
      <c r="BW171" s="188">
        <f t="shared" si="11"/>
        <v>1677</v>
      </c>
      <c r="BX171" s="177">
        <f t="shared" ca="1" si="27"/>
        <v>62.714285714285715</v>
      </c>
      <c r="BY171" s="209">
        <f t="shared" si="69"/>
        <v>357.07616757430731</v>
      </c>
      <c r="BZ171" s="179">
        <f t="shared" si="71"/>
        <v>-3.5550242706259296E-5</v>
      </c>
      <c r="CA171" s="213">
        <f t="shared" si="72"/>
        <v>0.99975114830105616</v>
      </c>
      <c r="CB171" s="214">
        <f t="shared" ca="1" si="73"/>
        <v>1.5459541535534604</v>
      </c>
      <c r="CC171" s="176">
        <f>DANE!BC171</f>
        <v>85</v>
      </c>
      <c r="CD171" s="188">
        <f t="shared" si="12"/>
        <v>18962</v>
      </c>
      <c r="CE171" s="177">
        <f t="shared" ca="1" si="28"/>
        <v>126.85714285714286</v>
      </c>
      <c r="CF171" s="209">
        <f t="shared" si="45"/>
        <v>922.85125955835372</v>
      </c>
      <c r="CG171" s="179">
        <f t="shared" si="46"/>
        <v>-5.5900010518943354E-2</v>
      </c>
      <c r="CH171" s="213">
        <f t="shared" si="47"/>
        <v>0.60869992636739645</v>
      </c>
      <c r="CI171" s="217">
        <f t="shared" ca="1" si="48"/>
        <v>0.8088953578618252</v>
      </c>
      <c r="CJ171" s="176">
        <f>DANE!BG171</f>
        <v>8</v>
      </c>
      <c r="CK171" s="188">
        <f t="shared" si="13"/>
        <v>1189</v>
      </c>
      <c r="CL171" s="177">
        <f t="shared" ca="1" si="29"/>
        <v>13.142857142857142</v>
      </c>
      <c r="CM171" s="209">
        <f t="shared" si="79"/>
        <v>87.611848259748299</v>
      </c>
      <c r="CN171" s="179">
        <f t="shared" si="86"/>
        <v>-5.6724952648844099E-2</v>
      </c>
      <c r="CO171" s="213">
        <f t="shared" si="87"/>
        <v>0.60292533145809135</v>
      </c>
      <c r="CP171" s="214">
        <f t="shared" ca="1" si="88"/>
        <v>1.2720177746071377</v>
      </c>
      <c r="CQ171" s="176">
        <f>DANE!BK171</f>
        <v>8</v>
      </c>
      <c r="CR171" s="188">
        <f t="shared" si="14"/>
        <v>631</v>
      </c>
      <c r="CS171" s="177">
        <f t="shared" ca="1" si="30"/>
        <v>14.714285714285714</v>
      </c>
      <c r="CT171" s="209">
        <f t="shared" si="89"/>
        <v>97.860853434683008</v>
      </c>
      <c r="CU171" s="179">
        <f t="shared" si="90"/>
        <v>-6.6548688229265365E-2</v>
      </c>
      <c r="CV171" s="213">
        <f t="shared" si="91"/>
        <v>0.53415918239514237</v>
      </c>
      <c r="CW171" s="217">
        <f t="shared" ca="1" si="92"/>
        <v>0.89937634919971721</v>
      </c>
      <c r="CX171" s="176">
        <f>DANE!BO171</f>
        <v>42</v>
      </c>
      <c r="CY171" s="188">
        <f t="shared" si="15"/>
        <v>4815</v>
      </c>
      <c r="CZ171" s="177">
        <f t="shared" ca="1" si="31"/>
        <v>45.714285714285715</v>
      </c>
      <c r="DA171" s="209">
        <f t="shared" si="54"/>
        <v>344.26098777370078</v>
      </c>
      <c r="DB171" s="179">
        <f t="shared" si="58"/>
        <v>-2.3754772865045758E-2</v>
      </c>
      <c r="DC171" s="213">
        <f t="shared" si="59"/>
        <v>0.83371658994467968</v>
      </c>
      <c r="DD171" s="214">
        <f t="shared" ca="1" si="60"/>
        <v>0.84588106089525283</v>
      </c>
      <c r="DE171" s="176">
        <f>DANE!BS171</f>
        <v>16</v>
      </c>
      <c r="DF171" s="188">
        <f t="shared" si="16"/>
        <v>996</v>
      </c>
      <c r="DG171" s="177">
        <f t="shared" ca="1" si="32"/>
        <v>13.857142857142858</v>
      </c>
      <c r="DH171" s="209">
        <f t="shared" si="70"/>
        <v>102.36380859721494</v>
      </c>
      <c r="DI171" s="179">
        <f t="shared" si="74"/>
        <v>1.5939532938463299E-2</v>
      </c>
      <c r="DJ171" s="157">
        <f t="shared" si="75"/>
        <v>1.111576730569243</v>
      </c>
      <c r="DK171" s="225">
        <f t="shared" ca="1" si="76"/>
        <v>0.99720451534337218</v>
      </c>
      <c r="DL171" s="89"/>
      <c r="DM171" s="89"/>
      <c r="DN171" s="89"/>
      <c r="DO171" s="89"/>
      <c r="DP171" s="89"/>
      <c r="DQ171" s="89"/>
      <c r="DR171" s="89"/>
      <c r="DS171" s="89"/>
      <c r="DT171" s="89"/>
      <c r="DU171" s="89"/>
      <c r="DV171" s="89"/>
      <c r="DW171" s="89"/>
      <c r="DX171" s="89"/>
      <c r="DY171" s="89"/>
      <c r="DZ171" s="89"/>
      <c r="EA171" s="89"/>
      <c r="EB171" s="89"/>
      <c r="EC171" s="89"/>
      <c r="ED171" s="89"/>
      <c r="EE171" s="89"/>
      <c r="EF171" s="89"/>
      <c r="EG171" s="89"/>
      <c r="EH171" s="89"/>
    </row>
    <row r="172" spans="1:138" x14ac:dyDescent="0.25">
      <c r="A172" s="32">
        <v>44062</v>
      </c>
      <c r="B172" s="33" t="str">
        <f t="shared" ca="1" si="0"/>
        <v/>
      </c>
      <c r="C172" s="51">
        <f t="shared" si="93"/>
        <v>169</v>
      </c>
      <c r="D172" s="176">
        <f>DANE!K172</f>
        <v>31</v>
      </c>
      <c r="E172" s="188">
        <f t="shared" si="1"/>
        <v>3752</v>
      </c>
      <c r="F172" s="178">
        <f t="shared" ca="1" si="17"/>
        <v>27.571428571428573</v>
      </c>
      <c r="G172" s="209">
        <f t="shared" si="38"/>
        <v>186.10271515611501</v>
      </c>
      <c r="H172" s="179">
        <f t="shared" si="42"/>
        <v>2.845790178719966E-2</v>
      </c>
      <c r="I172" s="213">
        <f t="shared" si="43"/>
        <v>1.1992053125103976</v>
      </c>
      <c r="J172" s="214">
        <f t="shared" ca="1" si="44"/>
        <v>1.1152740872084108</v>
      </c>
      <c r="K172" s="176">
        <f>DANE!O172</f>
        <v>17</v>
      </c>
      <c r="L172" s="188">
        <f t="shared" si="2"/>
        <v>1050</v>
      </c>
      <c r="M172" s="177">
        <f t="shared" ca="1" si="18"/>
        <v>17.428571428571427</v>
      </c>
      <c r="N172" s="209">
        <f t="shared" si="62"/>
        <v>111.07899687126323</v>
      </c>
      <c r="O172" s="179">
        <f t="shared" si="66"/>
        <v>1.2027890529936839E-2</v>
      </c>
      <c r="P172" s="213">
        <f t="shared" si="67"/>
        <v>1.0841952337095579</v>
      </c>
      <c r="Q172" s="217">
        <f t="shared" ca="1" si="68"/>
        <v>1.2785446002696124</v>
      </c>
      <c r="R172" s="176">
        <f>DANE!S172</f>
        <v>28</v>
      </c>
      <c r="S172" s="188">
        <f t="shared" si="3"/>
        <v>1315</v>
      </c>
      <c r="T172" s="177">
        <f t="shared" ca="1" si="19"/>
        <v>19.714285714285715</v>
      </c>
      <c r="U172" s="209">
        <f t="shared" si="50"/>
        <v>127.97311170451536</v>
      </c>
      <c r="V172" s="179">
        <f t="shared" si="55"/>
        <v>9.7207406408217609E-2</v>
      </c>
      <c r="W172" s="213">
        <f t="shared" si="56"/>
        <v>1.6804518448575232</v>
      </c>
      <c r="X172" s="214">
        <f t="shared" ca="1" si="57"/>
        <v>1.0857647176994312</v>
      </c>
      <c r="Y172" s="176">
        <f>DANE!W172</f>
        <v>8</v>
      </c>
      <c r="Z172" s="188">
        <f t="shared" si="4"/>
        <v>611</v>
      </c>
      <c r="AA172" s="177">
        <f t="shared" ca="1" si="20"/>
        <v>8.2857142857142865</v>
      </c>
      <c r="AB172" s="209">
        <f t="shared" si="94"/>
        <v>68.997101966483285</v>
      </c>
      <c r="AC172" s="179">
        <f t="shared" si="95"/>
        <v>-3.0439624055828014E-2</v>
      </c>
      <c r="AD172" s="213">
        <f t="shared" si="96"/>
        <v>0.78692263160920395</v>
      </c>
      <c r="AE172" s="217">
        <f t="shared" ca="1" si="97"/>
        <v>0.82770941386126684</v>
      </c>
      <c r="AF172" s="176">
        <f>DANE!AA172</f>
        <v>31</v>
      </c>
      <c r="AG172" s="188">
        <f t="shared" si="5"/>
        <v>4719</v>
      </c>
      <c r="AH172" s="177">
        <f t="shared" ca="1" si="21"/>
        <v>46.857142857142854</v>
      </c>
      <c r="AI172" s="209">
        <f t="shared" si="37"/>
        <v>297.35530876708179</v>
      </c>
      <c r="AJ172" s="179">
        <f t="shared" si="39"/>
        <v>-4.3097807500082845E-2</v>
      </c>
      <c r="AK172" s="213">
        <f t="shared" si="40"/>
        <v>0.69831534749942015</v>
      </c>
      <c r="AL172" s="214">
        <f t="shared" ca="1" si="41"/>
        <v>1.1744057791593205</v>
      </c>
      <c r="AM172" s="176">
        <f>DANE!AE172</f>
        <v>140</v>
      </c>
      <c r="AN172" s="188">
        <f t="shared" si="6"/>
        <v>5838</v>
      </c>
      <c r="AO172" s="177">
        <f t="shared" ca="1" si="22"/>
        <v>128.71428571428572</v>
      </c>
      <c r="AP172" s="209">
        <f t="shared" si="49"/>
        <v>863.11177432018644</v>
      </c>
      <c r="AQ172" s="179">
        <f t="shared" si="51"/>
        <v>2.3092305432251523E-2</v>
      </c>
      <c r="AR172" s="213">
        <f t="shared" si="52"/>
        <v>1.1616461380257608</v>
      </c>
      <c r="AS172" s="217">
        <f t="shared" ca="1" si="53"/>
        <v>1.0480132218413438</v>
      </c>
      <c r="AT172" s="176">
        <f>DANE!AI172</f>
        <v>126</v>
      </c>
      <c r="AU172" s="188">
        <f t="shared" si="7"/>
        <v>8171</v>
      </c>
      <c r="AV172" s="177">
        <f t="shared" ca="1" si="23"/>
        <v>114</v>
      </c>
      <c r="AW172" s="209">
        <f t="shared" si="33"/>
        <v>692.55870177533461</v>
      </c>
      <c r="AX172" s="179">
        <f t="shared" si="34"/>
        <v>4.7767411423954048E-2</v>
      </c>
      <c r="AY172" s="213">
        <f t="shared" si="35"/>
        <v>1.3343718799676783</v>
      </c>
      <c r="AZ172" s="214">
        <f t="shared" ca="1" si="36"/>
        <v>1.2849650114630293</v>
      </c>
      <c r="BA172" s="176">
        <f>DANE!AM172</f>
        <v>12</v>
      </c>
      <c r="BB172" s="188">
        <f t="shared" si="8"/>
        <v>1468</v>
      </c>
      <c r="BC172" s="177">
        <f t="shared" ca="1" si="24"/>
        <v>16.714285714285715</v>
      </c>
      <c r="BD172" s="209">
        <f t="shared" si="77"/>
        <v>107.45751246021008</v>
      </c>
      <c r="BE172" s="179">
        <f t="shared" si="80"/>
        <v>-3.5105390055060096E-2</v>
      </c>
      <c r="BF172" s="213">
        <f t="shared" si="81"/>
        <v>0.75426226961457932</v>
      </c>
      <c r="BG172" s="217">
        <f t="shared" ca="1" si="82"/>
        <v>1.1279464399034098</v>
      </c>
      <c r="BH172" s="176">
        <f>DANE!AQ172</f>
        <v>33</v>
      </c>
      <c r="BI172" s="188">
        <f t="shared" si="9"/>
        <v>1951</v>
      </c>
      <c r="BJ172" s="177">
        <f t="shared" ca="1" si="25"/>
        <v>38.285714285714285</v>
      </c>
      <c r="BK172" s="209">
        <f t="shared" si="61"/>
        <v>241.58618650715729</v>
      </c>
      <c r="BL172" s="179">
        <f t="shared" si="63"/>
        <v>-7.2502996650423684E-3</v>
      </c>
      <c r="BM172" s="213">
        <f t="shared" si="64"/>
        <v>0.94924790234470346</v>
      </c>
      <c r="BN172" s="214">
        <f t="shared" ca="1" si="65"/>
        <v>1.1887322033166277</v>
      </c>
      <c r="BO172" s="176">
        <f>DANE!AU172</f>
        <v>8</v>
      </c>
      <c r="BP172" s="188">
        <f t="shared" si="10"/>
        <v>1165</v>
      </c>
      <c r="BQ172" s="177">
        <f t="shared" ca="1" si="26"/>
        <v>11.428571428571429</v>
      </c>
      <c r="BR172" s="209">
        <f t="shared" si="78"/>
        <v>66.111547289382003</v>
      </c>
      <c r="BS172" s="179">
        <f t="shared" si="83"/>
        <v>-2.485748225619766E-2</v>
      </c>
      <c r="BT172" s="213">
        <f t="shared" si="84"/>
        <v>0.82599762420661638</v>
      </c>
      <c r="BU172" s="217">
        <f t="shared" ca="1" si="85"/>
        <v>1.1996579633197562</v>
      </c>
      <c r="BV172" s="176">
        <f>DANE!AY172</f>
        <v>60</v>
      </c>
      <c r="BW172" s="188">
        <f t="shared" si="11"/>
        <v>1737</v>
      </c>
      <c r="BX172" s="177">
        <f t="shared" ca="1" si="27"/>
        <v>60.571428571428569</v>
      </c>
      <c r="BY172" s="209">
        <f t="shared" si="69"/>
        <v>366.06528649226345</v>
      </c>
      <c r="BZ172" s="179">
        <f t="shared" si="71"/>
        <v>2.5174233774886472E-2</v>
      </c>
      <c r="CA172" s="213">
        <f t="shared" si="72"/>
        <v>1.1762196364242052</v>
      </c>
      <c r="CB172" s="214">
        <f t="shared" ca="1" si="73"/>
        <v>1.3638398103382976</v>
      </c>
      <c r="CC172" s="176">
        <f>DANE!BC172</f>
        <v>160</v>
      </c>
      <c r="CD172" s="188">
        <f t="shared" si="12"/>
        <v>19122</v>
      </c>
      <c r="CE172" s="177">
        <f t="shared" ca="1" si="28"/>
        <v>129</v>
      </c>
      <c r="CF172" s="209">
        <f t="shared" si="45"/>
        <v>951.01536533573187</v>
      </c>
      <c r="CG172" s="179">
        <f t="shared" si="46"/>
        <v>3.051857543203286E-2</v>
      </c>
      <c r="CH172" s="213">
        <f t="shared" si="47"/>
        <v>1.21363002802423</v>
      </c>
      <c r="CI172" s="217">
        <f t="shared" ca="1" si="48"/>
        <v>0.85324427641135259</v>
      </c>
      <c r="CJ172" s="176">
        <f>DANE!BG172</f>
        <v>4</v>
      </c>
      <c r="CK172" s="188">
        <f t="shared" si="13"/>
        <v>1193</v>
      </c>
      <c r="CL172" s="177">
        <f t="shared" ca="1" si="29"/>
        <v>13.428571428571429</v>
      </c>
      <c r="CM172" s="209">
        <f t="shared" si="79"/>
        <v>79.095869936927116</v>
      </c>
      <c r="CN172" s="179">
        <f t="shared" si="86"/>
        <v>-9.720121755191527E-2</v>
      </c>
      <c r="CO172" s="213">
        <f t="shared" si="87"/>
        <v>0.31959147713659308</v>
      </c>
      <c r="CP172" s="214">
        <f t="shared" ca="1" si="88"/>
        <v>1.2910152819144654</v>
      </c>
      <c r="CQ172" s="176">
        <f>DANE!BK172</f>
        <v>21</v>
      </c>
      <c r="CR172" s="188">
        <f t="shared" si="14"/>
        <v>652</v>
      </c>
      <c r="CS172" s="177">
        <f t="shared" ca="1" si="30"/>
        <v>13</v>
      </c>
      <c r="CT172" s="209">
        <f t="shared" si="89"/>
        <v>104.88073151544259</v>
      </c>
      <c r="CU172" s="179">
        <f t="shared" si="90"/>
        <v>7.173326038327453E-2</v>
      </c>
      <c r="CV172" s="213">
        <f t="shared" si="91"/>
        <v>1.5021328226829218</v>
      </c>
      <c r="CW172" s="217">
        <f t="shared" ca="1" si="92"/>
        <v>0.81449280746375252</v>
      </c>
      <c r="CX172" s="176">
        <f>DANE!BO172</f>
        <v>43</v>
      </c>
      <c r="CY172" s="188">
        <f t="shared" si="15"/>
        <v>4858</v>
      </c>
      <c r="CZ172" s="177">
        <f t="shared" ca="1" si="31"/>
        <v>46.285714285714285</v>
      </c>
      <c r="DA172" s="209">
        <f t="shared" si="54"/>
        <v>338.08084666317211</v>
      </c>
      <c r="DB172" s="179">
        <f t="shared" si="58"/>
        <v>-1.7951906634832433E-2</v>
      </c>
      <c r="DC172" s="213">
        <f t="shared" si="59"/>
        <v>0.87433665355617296</v>
      </c>
      <c r="DD172" s="214">
        <f t="shared" ca="1" si="60"/>
        <v>0.87409782035392403</v>
      </c>
      <c r="DE172" s="176">
        <f>DANE!BS172</f>
        <v>13</v>
      </c>
      <c r="DF172" s="188">
        <f t="shared" si="16"/>
        <v>1009</v>
      </c>
      <c r="DG172" s="177">
        <f t="shared" ca="1" si="32"/>
        <v>13.714285714285714</v>
      </c>
      <c r="DH172" s="209">
        <f t="shared" si="70"/>
        <v>100.74040736904138</v>
      </c>
      <c r="DI172" s="179">
        <f t="shared" si="74"/>
        <v>-1.5859132738616485E-2</v>
      </c>
      <c r="DJ172" s="157">
        <f t="shared" si="75"/>
        <v>0.88898607082968462</v>
      </c>
      <c r="DK172" s="225">
        <f t="shared" ca="1" si="76"/>
        <v>0.98927162151290904</v>
      </c>
      <c r="DL172" s="89"/>
      <c r="DM172" s="378"/>
      <c r="DN172" s="372"/>
      <c r="DO172" s="372"/>
      <c r="DP172" s="375"/>
      <c r="DQ172" s="372"/>
      <c r="DR172" s="372"/>
      <c r="DS172" s="375"/>
      <c r="DT172" s="372"/>
      <c r="DU172" s="372"/>
      <c r="DV172" s="372"/>
      <c r="DW172" s="89"/>
      <c r="DX172" s="89"/>
      <c r="DY172" s="89"/>
      <c r="DZ172" s="89"/>
      <c r="EA172" s="89"/>
      <c r="EB172" s="89"/>
      <c r="EC172" s="89"/>
      <c r="ED172" s="89"/>
      <c r="EE172" s="89"/>
      <c r="EF172" s="89"/>
      <c r="EG172" s="89"/>
      <c r="EH172" s="89"/>
    </row>
    <row r="173" spans="1:138" x14ac:dyDescent="0.25">
      <c r="A173" s="32">
        <v>44063</v>
      </c>
      <c r="B173" s="33" t="str">
        <f t="shared" ca="1" si="0"/>
        <v/>
      </c>
      <c r="C173" s="51">
        <f t="shared" si="93"/>
        <v>170</v>
      </c>
      <c r="D173" s="176">
        <f>DANE!K173</f>
        <v>21</v>
      </c>
      <c r="E173" s="188">
        <f t="shared" si="1"/>
        <v>3773</v>
      </c>
      <c r="F173" s="178">
        <f t="shared" ca="1" si="17"/>
        <v>27.285714285714285</v>
      </c>
      <c r="G173" s="209">
        <f t="shared" si="38"/>
        <v>180.51661299095574</v>
      </c>
      <c r="H173" s="179">
        <f t="shared" si="42"/>
        <v>-3.0016231415394938E-2</v>
      </c>
      <c r="I173" s="213">
        <f t="shared" si="43"/>
        <v>0.78988638009223544</v>
      </c>
      <c r="J173" s="214">
        <f t="shared" ca="1" si="44"/>
        <v>1.0928443522666156</v>
      </c>
      <c r="K173" s="176">
        <f>DANE!O173</f>
        <v>21</v>
      </c>
      <c r="L173" s="188">
        <f t="shared" si="2"/>
        <v>1071</v>
      </c>
      <c r="M173" s="177">
        <f t="shared" ca="1" si="18"/>
        <v>18.428571428571427</v>
      </c>
      <c r="N173" s="209">
        <f t="shared" si="62"/>
        <v>116.21056874679707</v>
      </c>
      <c r="O173" s="179">
        <f t="shared" si="66"/>
        <v>4.6197499257948409E-2</v>
      </c>
      <c r="P173" s="213">
        <f t="shared" si="67"/>
        <v>1.3233824948056387</v>
      </c>
      <c r="Q173" s="217">
        <f t="shared" ca="1" si="68"/>
        <v>1.3039610566678301</v>
      </c>
      <c r="R173" s="176">
        <f>DANE!S173</f>
        <v>16</v>
      </c>
      <c r="S173" s="188">
        <f t="shared" si="3"/>
        <v>1331</v>
      </c>
      <c r="T173" s="177">
        <f t="shared" ca="1" si="19"/>
        <v>15.428571428571429</v>
      </c>
      <c r="U173" s="209">
        <f t="shared" si="50"/>
        <v>125.69123860387032</v>
      </c>
      <c r="V173" s="179">
        <f t="shared" si="55"/>
        <v>-1.7830879239021664E-2</v>
      </c>
      <c r="W173" s="213">
        <f t="shared" si="56"/>
        <v>0.87518384532684834</v>
      </c>
      <c r="X173" s="214">
        <f t="shared" ca="1" si="57"/>
        <v>0.83635592812861226</v>
      </c>
      <c r="Y173" s="176">
        <f>DANE!W173</f>
        <v>8</v>
      </c>
      <c r="Z173" s="188">
        <f t="shared" si="4"/>
        <v>619</v>
      </c>
      <c r="AA173" s="177">
        <f t="shared" ca="1" si="20"/>
        <v>9.1428571428571423</v>
      </c>
      <c r="AB173" s="209">
        <f t="shared" si="94"/>
        <v>67.140373114128536</v>
      </c>
      <c r="AC173" s="179">
        <f t="shared" si="95"/>
        <v>-2.6910244045564288E-2</v>
      </c>
      <c r="AD173" s="213">
        <f t="shared" si="96"/>
        <v>0.81162829168105</v>
      </c>
      <c r="AE173" s="217">
        <f t="shared" ca="1" si="97"/>
        <v>0.91953972055418376</v>
      </c>
      <c r="AF173" s="176">
        <f>DANE!AA173</f>
        <v>44</v>
      </c>
      <c r="AG173" s="188">
        <f t="shared" si="5"/>
        <v>4763</v>
      </c>
      <c r="AH173" s="177">
        <f t="shared" ca="1" si="21"/>
        <v>47.571428571428569</v>
      </c>
      <c r="AI173" s="209">
        <f t="shared" si="37"/>
        <v>298.875978943213</v>
      </c>
      <c r="AJ173" s="179">
        <f t="shared" si="39"/>
        <v>5.1139836125217615E-3</v>
      </c>
      <c r="AK173" s="213">
        <f t="shared" si="40"/>
        <v>1.0357978852876524</v>
      </c>
      <c r="AL173" s="214">
        <f t="shared" ca="1" si="41"/>
        <v>1.1676595187089889</v>
      </c>
      <c r="AM173" s="176">
        <f>DANE!AE173</f>
        <v>151</v>
      </c>
      <c r="AN173" s="188">
        <f t="shared" si="6"/>
        <v>5989</v>
      </c>
      <c r="AO173" s="177">
        <f t="shared" ca="1" si="22"/>
        <v>130.85714285714286</v>
      </c>
      <c r="AP173" s="209">
        <f t="shared" si="49"/>
        <v>890.81009227444554</v>
      </c>
      <c r="AQ173" s="179">
        <f t="shared" si="51"/>
        <v>3.2091229407772995E-2</v>
      </c>
      <c r="AR173" s="213">
        <f t="shared" si="52"/>
        <v>1.224638605854411</v>
      </c>
      <c r="AS173" s="217">
        <f t="shared" ca="1" si="53"/>
        <v>1.0587093120577376</v>
      </c>
      <c r="AT173" s="176">
        <f>DANE!AI173</f>
        <v>96</v>
      </c>
      <c r="AU173" s="188">
        <f t="shared" si="7"/>
        <v>8267</v>
      </c>
      <c r="AV173" s="177">
        <f t="shared" ca="1" si="23"/>
        <v>106.57142857142857</v>
      </c>
      <c r="AW173" s="209">
        <f t="shared" si="33"/>
        <v>689.62174437885824</v>
      </c>
      <c r="AX173" s="179">
        <f t="shared" si="34"/>
        <v>-4.2407342351596343E-3</v>
      </c>
      <c r="AY173" s="213">
        <f t="shared" si="35"/>
        <v>0.97031486035388259</v>
      </c>
      <c r="AZ173" s="214">
        <f t="shared" ca="1" si="36"/>
        <v>1.1449754266209797</v>
      </c>
      <c r="BA173" s="176">
        <f>DANE!AM173</f>
        <v>8</v>
      </c>
      <c r="BB173" s="188">
        <f t="shared" si="8"/>
        <v>1476</v>
      </c>
      <c r="BC173" s="177">
        <f t="shared" ca="1" si="24"/>
        <v>15.714285714285714</v>
      </c>
      <c r="BD173" s="209">
        <f t="shared" si="77"/>
        <v>100.10643925160865</v>
      </c>
      <c r="BE173" s="179">
        <f t="shared" si="80"/>
        <v>-6.8409113893488152E-2</v>
      </c>
      <c r="BF173" s="213">
        <f t="shared" si="81"/>
        <v>0.52113620274558292</v>
      </c>
      <c r="BG173" s="217">
        <f t="shared" ca="1" si="82"/>
        <v>1.0470230280414206</v>
      </c>
      <c r="BH173" s="176">
        <f>DANE!AQ173</f>
        <v>26</v>
      </c>
      <c r="BI173" s="188">
        <f t="shared" si="9"/>
        <v>1977</v>
      </c>
      <c r="BJ173" s="177">
        <f t="shared" ca="1" si="25"/>
        <v>35.428571428571431</v>
      </c>
      <c r="BK173" s="209">
        <f t="shared" si="61"/>
        <v>233.07387414899199</v>
      </c>
      <c r="BL173" s="179">
        <f t="shared" si="63"/>
        <v>-3.5235095521130369E-2</v>
      </c>
      <c r="BM173" s="213">
        <f t="shared" si="64"/>
        <v>0.7533543313520874</v>
      </c>
      <c r="BN173" s="214">
        <f t="shared" ca="1" si="65"/>
        <v>1.0675074110784184</v>
      </c>
      <c r="BO173" s="176">
        <f>DANE!AU173</f>
        <v>12</v>
      </c>
      <c r="BP173" s="188">
        <f t="shared" si="10"/>
        <v>1177</v>
      </c>
      <c r="BQ173" s="177">
        <f t="shared" ca="1" si="26"/>
        <v>10.714285714285714</v>
      </c>
      <c r="BR173" s="209">
        <f t="shared" si="78"/>
        <v>68.667040533756008</v>
      </c>
      <c r="BS173" s="179">
        <f t="shared" si="83"/>
        <v>3.865426463531639E-2</v>
      </c>
      <c r="BT173" s="213">
        <f t="shared" si="84"/>
        <v>1.2705798524472147</v>
      </c>
      <c r="BU173" s="217">
        <f t="shared" ca="1" si="85"/>
        <v>1.0871613512610139</v>
      </c>
      <c r="BV173" s="176">
        <f>DANE!AY173</f>
        <v>68</v>
      </c>
      <c r="BW173" s="188">
        <f t="shared" si="11"/>
        <v>1805</v>
      </c>
      <c r="BX173" s="177">
        <f t="shared" ca="1" si="27"/>
        <v>61.571428571428569</v>
      </c>
      <c r="BY173" s="209">
        <f t="shared" si="69"/>
        <v>381.77024556479728</v>
      </c>
      <c r="BZ173" s="179">
        <f t="shared" si="71"/>
        <v>4.2902071439286114E-2</v>
      </c>
      <c r="CA173" s="213">
        <f t="shared" si="72"/>
        <v>1.3003145000750029</v>
      </c>
      <c r="CB173" s="214">
        <f t="shared" ca="1" si="73"/>
        <v>1.3137107781098329</v>
      </c>
      <c r="CC173" s="176">
        <f>DANE!BC173</f>
        <v>176</v>
      </c>
      <c r="CD173" s="188">
        <f t="shared" si="12"/>
        <v>19298</v>
      </c>
      <c r="CE173" s="177">
        <f t="shared" ca="1" si="28"/>
        <v>128.28571428571428</v>
      </c>
      <c r="CF173" s="209">
        <f t="shared" si="45"/>
        <v>991.15602743062743</v>
      </c>
      <c r="CG173" s="179">
        <f t="shared" si="46"/>
        <v>4.2208216142464658E-2</v>
      </c>
      <c r="CH173" s="213">
        <f t="shared" si="47"/>
        <v>1.2954575129972525</v>
      </c>
      <c r="CI173" s="217">
        <f t="shared" ca="1" si="48"/>
        <v>0.87498982674420589</v>
      </c>
      <c r="CJ173" s="176">
        <f>DANE!BG173</f>
        <v>15</v>
      </c>
      <c r="CK173" s="188">
        <f t="shared" si="13"/>
        <v>1208</v>
      </c>
      <c r="CL173" s="177">
        <f t="shared" ca="1" si="29"/>
        <v>13.857142857142858</v>
      </c>
      <c r="CM173" s="209">
        <f t="shared" si="79"/>
        <v>82.796459945937528</v>
      </c>
      <c r="CN173" s="179">
        <f t="shared" si="86"/>
        <v>4.6786134496799248E-2</v>
      </c>
      <c r="CO173" s="213">
        <f t="shared" si="87"/>
        <v>1.3275029414775947</v>
      </c>
      <c r="CP173" s="214">
        <f t="shared" ca="1" si="88"/>
        <v>1.2996783859122139</v>
      </c>
      <c r="CQ173" s="176">
        <f>DANE!BK173</f>
        <v>13</v>
      </c>
      <c r="CR173" s="188">
        <f t="shared" si="14"/>
        <v>665</v>
      </c>
      <c r="CS173" s="177">
        <f t="shared" ca="1" si="30"/>
        <v>13.285714285714286</v>
      </c>
      <c r="CT173" s="209">
        <f t="shared" si="89"/>
        <v>102.89776987037936</v>
      </c>
      <c r="CU173" s="179">
        <f t="shared" si="90"/>
        <v>-1.8906825080365279E-2</v>
      </c>
      <c r="CV173" s="213">
        <f t="shared" si="91"/>
        <v>0.86765222443744305</v>
      </c>
      <c r="CW173" s="217">
        <f t="shared" ca="1" si="92"/>
        <v>0.85213567393725109</v>
      </c>
      <c r="CX173" s="176">
        <f>DANE!BO173</f>
        <v>80</v>
      </c>
      <c r="CY173" s="188">
        <f t="shared" si="15"/>
        <v>4938</v>
      </c>
      <c r="CZ173" s="177">
        <f t="shared" ca="1" si="31"/>
        <v>50</v>
      </c>
      <c r="DA173" s="209">
        <f t="shared" si="54"/>
        <v>369.78358285414754</v>
      </c>
      <c r="DB173" s="179">
        <f t="shared" si="58"/>
        <v>9.3772647885494304E-2</v>
      </c>
      <c r="DC173" s="213">
        <f t="shared" si="59"/>
        <v>1.6564085351984601</v>
      </c>
      <c r="DD173" s="214">
        <f t="shared" ca="1" si="60"/>
        <v>0.97037118991079419</v>
      </c>
      <c r="DE173" s="176">
        <f>DANE!BS173</f>
        <v>12</v>
      </c>
      <c r="DF173" s="188">
        <f t="shared" si="16"/>
        <v>1021</v>
      </c>
      <c r="DG173" s="177">
        <f t="shared" ca="1" si="32"/>
        <v>14.571428571428571</v>
      </c>
      <c r="DH173" s="209">
        <f t="shared" si="70"/>
        <v>98.348920602035477</v>
      </c>
      <c r="DI173" s="179">
        <f t="shared" si="74"/>
        <v>-2.3739101612376752E-2</v>
      </c>
      <c r="DJ173" s="157">
        <f t="shared" si="75"/>
        <v>0.83382628871336273</v>
      </c>
      <c r="DK173" s="225">
        <f t="shared" ca="1" si="76"/>
        <v>1.0501001156173402</v>
      </c>
      <c r="DL173" s="88"/>
      <c r="DM173" s="88"/>
      <c r="DN173" s="88"/>
      <c r="DO173" s="88"/>
      <c r="DP173" s="88"/>
      <c r="DQ173" s="88"/>
      <c r="DR173" s="88"/>
      <c r="DS173" s="88"/>
      <c r="DT173" s="88"/>
      <c r="DU173" s="88"/>
      <c r="DV173" s="88"/>
      <c r="DW173" s="89"/>
      <c r="DX173" s="89"/>
      <c r="DY173" s="89"/>
      <c r="DZ173" s="89"/>
      <c r="EA173" s="89"/>
      <c r="EB173" s="89"/>
      <c r="EC173" s="89"/>
      <c r="ED173" s="89"/>
      <c r="EE173" s="89"/>
      <c r="EF173" s="89"/>
      <c r="EG173" s="89"/>
      <c r="EH173" s="89"/>
    </row>
    <row r="174" spans="1:138" x14ac:dyDescent="0.25">
      <c r="A174" s="32">
        <v>44064</v>
      </c>
      <c r="B174" s="33" t="str">
        <f t="shared" ca="1" si="0"/>
        <v/>
      </c>
      <c r="C174" s="51">
        <f t="shared" si="93"/>
        <v>171</v>
      </c>
      <c r="D174" s="176">
        <f>DANE!K174</f>
        <v>30</v>
      </c>
      <c r="E174" s="188">
        <f t="shared" si="1"/>
        <v>3803</v>
      </c>
      <c r="F174" s="178">
        <f t="shared" ca="1" si="17"/>
        <v>28.571428571428573</v>
      </c>
      <c r="G174" s="209">
        <f t="shared" si="38"/>
        <v>184.72852542081921</v>
      </c>
      <c r="H174" s="179">
        <f t="shared" si="42"/>
        <v>2.3332547404235311E-2</v>
      </c>
      <c r="I174" s="213">
        <f t="shared" si="43"/>
        <v>1.1633278318296472</v>
      </c>
      <c r="J174" s="214">
        <f t="shared" ca="1" si="44"/>
        <v>1.1345819053475155</v>
      </c>
      <c r="K174" s="176">
        <f>DANE!O174</f>
        <v>31</v>
      </c>
      <c r="L174" s="188">
        <f t="shared" si="2"/>
        <v>1102</v>
      </c>
      <c r="M174" s="177">
        <f t="shared" ca="1" si="18"/>
        <v>19.714285714285715</v>
      </c>
      <c r="N174" s="209">
        <f t="shared" si="62"/>
        <v>130.60905892582605</v>
      </c>
      <c r="O174" s="179">
        <f t="shared" si="66"/>
        <v>0.12390000612079292</v>
      </c>
      <c r="P174" s="213">
        <f t="shared" si="67"/>
        <v>1.8673000428455504</v>
      </c>
      <c r="Q174" s="217">
        <f t="shared" ca="1" si="68"/>
        <v>1.3188074533733365</v>
      </c>
      <c r="R174" s="176">
        <f>DANE!S174</f>
        <v>21</v>
      </c>
      <c r="S174" s="188">
        <f t="shared" si="3"/>
        <v>1352</v>
      </c>
      <c r="T174" s="177">
        <f t="shared" ca="1" si="19"/>
        <v>15.142857142857142</v>
      </c>
      <c r="U174" s="209">
        <f t="shared" si="50"/>
        <v>128.735347374746</v>
      </c>
      <c r="V174" s="179">
        <f t="shared" si="55"/>
        <v>2.4218941627821195E-2</v>
      </c>
      <c r="W174" s="213">
        <f t="shared" si="56"/>
        <v>1.1695325913947483</v>
      </c>
      <c r="X174" s="214">
        <f t="shared" ca="1" si="57"/>
        <v>0.8514176536161564</v>
      </c>
      <c r="Y174" s="176">
        <f>DANE!W174</f>
        <v>1</v>
      </c>
      <c r="Z174" s="188">
        <f t="shared" si="4"/>
        <v>620</v>
      </c>
      <c r="AA174" s="177">
        <f t="shared" ca="1" si="20"/>
        <v>8.1428571428571423</v>
      </c>
      <c r="AB174" s="209">
        <f t="shared" si="94"/>
        <v>58.548891240681606</v>
      </c>
      <c r="AC174" s="179">
        <f t="shared" si="95"/>
        <v>-0.12796297480865504</v>
      </c>
      <c r="AD174" s="213">
        <f t="shared" si="96"/>
        <v>0.10425917633941473</v>
      </c>
      <c r="AE174" s="217">
        <f t="shared" ca="1" si="97"/>
        <v>0.82496967967363966</v>
      </c>
      <c r="AF174" s="176">
        <f>DANE!AA174</f>
        <v>49</v>
      </c>
      <c r="AG174" s="188">
        <f t="shared" si="5"/>
        <v>4812</v>
      </c>
      <c r="AH174" s="177">
        <f t="shared" ca="1" si="21"/>
        <v>46.857142857142854</v>
      </c>
      <c r="AI174" s="209">
        <f t="shared" si="37"/>
        <v>305.17941052275404</v>
      </c>
      <c r="AJ174" s="179">
        <f t="shared" si="39"/>
        <v>2.1090458998508893E-2</v>
      </c>
      <c r="AK174" s="213">
        <f t="shared" si="40"/>
        <v>1.1476332129895623</v>
      </c>
      <c r="AL174" s="214">
        <f t="shared" ca="1" si="41"/>
        <v>1.1198940154655028</v>
      </c>
      <c r="AM174" s="176">
        <f>DANE!AE174</f>
        <v>156</v>
      </c>
      <c r="AN174" s="188">
        <f t="shared" si="6"/>
        <v>6145</v>
      </c>
      <c r="AO174" s="177">
        <f t="shared" ca="1" si="22"/>
        <v>126.85714285714286</v>
      </c>
      <c r="AP174" s="209">
        <f t="shared" si="49"/>
        <v>919.55150766381053</v>
      </c>
      <c r="AQ174" s="179">
        <f t="shared" si="51"/>
        <v>3.226435762080497E-2</v>
      </c>
      <c r="AR174" s="213">
        <f t="shared" si="52"/>
        <v>1.2258505033456348</v>
      </c>
      <c r="AS174" s="217">
        <f t="shared" ca="1" si="53"/>
        <v>1.0162620507647639</v>
      </c>
      <c r="AT174" s="176">
        <f>DANE!AI174</f>
        <v>146</v>
      </c>
      <c r="AU174" s="188">
        <f t="shared" si="7"/>
        <v>8413</v>
      </c>
      <c r="AV174" s="177">
        <f t="shared" ca="1" si="23"/>
        <v>107</v>
      </c>
      <c r="AW174" s="209">
        <f t="shared" si="33"/>
        <v>737.10435232473571</v>
      </c>
      <c r="AX174" s="179">
        <f t="shared" si="34"/>
        <v>6.8853118876993968E-2</v>
      </c>
      <c r="AY174" s="213">
        <f t="shared" si="35"/>
        <v>1.4819718321389579</v>
      </c>
      <c r="AZ174" s="214">
        <f t="shared" ca="1" si="36"/>
        <v>1.1196670652007692</v>
      </c>
      <c r="BA174" s="176">
        <f>DANE!AM174</f>
        <v>25</v>
      </c>
      <c r="BB174" s="188">
        <f t="shared" si="8"/>
        <v>1501</v>
      </c>
      <c r="BC174" s="177">
        <f t="shared" ca="1" si="24"/>
        <v>14.857142857142858</v>
      </c>
      <c r="BD174" s="209">
        <f t="shared" si="77"/>
        <v>110.80551935852171</v>
      </c>
      <c r="BE174" s="179">
        <f t="shared" si="80"/>
        <v>0.10687704194554229</v>
      </c>
      <c r="BF174" s="213">
        <f t="shared" si="81"/>
        <v>1.7481392936187961</v>
      </c>
      <c r="BG174" s="217">
        <f t="shared" ca="1" si="82"/>
        <v>0.97962492310697857</v>
      </c>
      <c r="BH174" s="176">
        <f>DANE!AQ174</f>
        <v>46</v>
      </c>
      <c r="BI174" s="188">
        <f t="shared" si="9"/>
        <v>2023</v>
      </c>
      <c r="BJ174" s="177">
        <f t="shared" ca="1" si="25"/>
        <v>36.428571428571431</v>
      </c>
      <c r="BK174" s="209">
        <f t="shared" si="61"/>
        <v>245.77760641342172</v>
      </c>
      <c r="BL174" s="179">
        <f t="shared" si="63"/>
        <v>5.4505174854170474E-2</v>
      </c>
      <c r="BM174" s="213">
        <f t="shared" si="64"/>
        <v>1.3815362239791933</v>
      </c>
      <c r="BN174" s="214">
        <f t="shared" ca="1" si="65"/>
        <v>1.0862102800904447</v>
      </c>
      <c r="BO174" s="176">
        <f>DANE!AU174</f>
        <v>6</v>
      </c>
      <c r="BP174" s="188">
        <f t="shared" si="10"/>
        <v>1183</v>
      </c>
      <c r="BQ174" s="177">
        <f t="shared" ca="1" si="26"/>
        <v>7.1428571428571432</v>
      </c>
      <c r="BR174" s="209">
        <f t="shared" si="78"/>
        <v>64.857463314648015</v>
      </c>
      <c r="BS174" s="179">
        <f t="shared" si="83"/>
        <v>-5.5478977825398554E-2</v>
      </c>
      <c r="BT174" s="213">
        <f t="shared" si="84"/>
        <v>0.61164715522221003</v>
      </c>
      <c r="BU174" s="217">
        <f t="shared" ca="1" si="85"/>
        <v>0.70880363249097234</v>
      </c>
      <c r="BV174" s="176">
        <f>DANE!AY174</f>
        <v>89</v>
      </c>
      <c r="BW174" s="188">
        <f t="shared" si="11"/>
        <v>1894</v>
      </c>
      <c r="BX174" s="177">
        <f t="shared" ca="1" si="27"/>
        <v>67.714285714285708</v>
      </c>
      <c r="BY174" s="209">
        <f t="shared" si="69"/>
        <v>416.23163905554054</v>
      </c>
      <c r="BZ174" s="179">
        <f t="shared" si="71"/>
        <v>9.0267363397481384E-2</v>
      </c>
      <c r="CA174" s="213">
        <f t="shared" si="72"/>
        <v>1.6318715437823696</v>
      </c>
      <c r="CB174" s="214">
        <f t="shared" ca="1" si="73"/>
        <v>1.3840924864646733</v>
      </c>
      <c r="CC174" s="176">
        <f>DANE!BC174</f>
        <v>168</v>
      </c>
      <c r="CD174" s="188">
        <f t="shared" si="12"/>
        <v>19466</v>
      </c>
      <c r="CE174" s="177">
        <f t="shared" ca="1" si="28"/>
        <v>129.42857142857142</v>
      </c>
      <c r="CF174" s="209">
        <f t="shared" si="45"/>
        <v>1017.5623092262522</v>
      </c>
      <c r="CG174" s="179">
        <f t="shared" si="46"/>
        <v>2.6641902046520085E-2</v>
      </c>
      <c r="CH174" s="213">
        <f t="shared" si="47"/>
        <v>1.1864933143256406</v>
      </c>
      <c r="CI174" s="217">
        <f t="shared" ca="1" si="48"/>
        <v>0.90301274868816173</v>
      </c>
      <c r="CJ174" s="176">
        <f>DANE!BG174</f>
        <v>22</v>
      </c>
      <c r="CK174" s="188">
        <f t="shared" si="13"/>
        <v>1230</v>
      </c>
      <c r="CL174" s="177">
        <f t="shared" ca="1" si="29"/>
        <v>16.571428571428573</v>
      </c>
      <c r="CM174" s="209">
        <f t="shared" si="79"/>
        <v>92.96839423937503</v>
      </c>
      <c r="CN174" s="179">
        <f t="shared" si="86"/>
        <v>0.12285470055216528</v>
      </c>
      <c r="CO174" s="213">
        <f t="shared" si="87"/>
        <v>1.859982903865157</v>
      </c>
      <c r="CP174" s="214">
        <f t="shared" ca="1" si="88"/>
        <v>1.5218067213848008</v>
      </c>
      <c r="CQ174" s="176">
        <f>DANE!BK174</f>
        <v>30</v>
      </c>
      <c r="CR174" s="188">
        <f t="shared" si="14"/>
        <v>695</v>
      </c>
      <c r="CS174" s="177">
        <f t="shared" ca="1" si="30"/>
        <v>15.285714285714286</v>
      </c>
      <c r="CT174" s="209">
        <f t="shared" si="89"/>
        <v>118.19808846032518</v>
      </c>
      <c r="CU174" s="179">
        <f t="shared" si="90"/>
        <v>0.14869436538050995</v>
      </c>
      <c r="CV174" s="213">
        <f t="shared" si="91"/>
        <v>2.0408605576635699</v>
      </c>
      <c r="CW174" s="217">
        <f t="shared" ca="1" si="92"/>
        <v>1.0106244126122446</v>
      </c>
      <c r="CX174" s="176">
        <f>DANE!BO174</f>
        <v>77</v>
      </c>
      <c r="CY174" s="188">
        <f t="shared" si="15"/>
        <v>5015</v>
      </c>
      <c r="CZ174" s="177">
        <f t="shared" ca="1" si="31"/>
        <v>54.857142857142854</v>
      </c>
      <c r="DA174" s="209">
        <f t="shared" si="54"/>
        <v>393.95735673212647</v>
      </c>
      <c r="DB174" s="179">
        <f t="shared" si="58"/>
        <v>6.5372761255097986E-2</v>
      </c>
      <c r="DC174" s="213">
        <f t="shared" si="59"/>
        <v>1.4576093287856859</v>
      </c>
      <c r="DD174" s="214">
        <f t="shared" ca="1" si="60"/>
        <v>1.0665556010790207</v>
      </c>
      <c r="DE174" s="176">
        <f>DANE!BS174</f>
        <v>6</v>
      </c>
      <c r="DF174" s="188">
        <f t="shared" si="16"/>
        <v>1027</v>
      </c>
      <c r="DG174" s="177">
        <f t="shared" ca="1" si="32"/>
        <v>14.285714285714286</v>
      </c>
      <c r="DH174" s="209">
        <f t="shared" si="70"/>
        <v>90.299074801744695</v>
      </c>
      <c r="DI174" s="179">
        <f t="shared" si="74"/>
        <v>-8.1849864248781379E-2</v>
      </c>
      <c r="DJ174" s="157">
        <f t="shared" si="75"/>
        <v>0.42705095025853035</v>
      </c>
      <c r="DK174" s="225">
        <f t="shared" ca="1" si="76"/>
        <v>1.0262082844460234</v>
      </c>
      <c r="DL174" s="88"/>
      <c r="DM174" s="371"/>
      <c r="DN174" s="372"/>
      <c r="DO174" s="372"/>
      <c r="DP174" s="372"/>
      <c r="DQ174" s="372"/>
      <c r="DR174" s="372"/>
      <c r="DS174" s="372"/>
      <c r="DT174" s="372"/>
      <c r="DU174" s="372"/>
      <c r="DV174" s="372"/>
      <c r="DW174" s="88"/>
      <c r="DX174" s="88"/>
      <c r="DY174" s="88"/>
      <c r="DZ174" s="88"/>
      <c r="EA174" s="88"/>
      <c r="EB174" s="88"/>
      <c r="EC174" s="88"/>
      <c r="ED174" s="88"/>
      <c r="EE174" s="88"/>
      <c r="EF174" s="88"/>
      <c r="EG174" s="88"/>
      <c r="EH174" s="88"/>
    </row>
    <row r="175" spans="1:138" x14ac:dyDescent="0.25">
      <c r="A175" s="61">
        <v>44065</v>
      </c>
      <c r="B175" s="62" t="str">
        <f t="shared" ca="1" si="0"/>
        <v/>
      </c>
      <c r="C175" s="12">
        <f t="shared" si="93"/>
        <v>172</v>
      </c>
      <c r="D175" s="176">
        <f>DANE!K175</f>
        <v>31</v>
      </c>
      <c r="E175" s="198">
        <f t="shared" si="1"/>
        <v>3834</v>
      </c>
      <c r="F175" s="178">
        <f t="shared" ca="1" si="17"/>
        <v>24.857142857142858</v>
      </c>
      <c r="G175" s="211">
        <f t="shared" si="38"/>
        <v>189.33873607498791</v>
      </c>
      <c r="H175" s="200">
        <f t="shared" si="42"/>
        <v>2.4956679774639279E-2</v>
      </c>
      <c r="I175" s="213">
        <f t="shared" si="43"/>
        <v>1.174696758422475</v>
      </c>
      <c r="J175" s="214">
        <f t="shared" ca="1" si="44"/>
        <v>0.95826331082678384</v>
      </c>
      <c r="K175" s="176">
        <f>DANE!O175</f>
        <v>18</v>
      </c>
      <c r="L175" s="198">
        <f t="shared" si="2"/>
        <v>1120</v>
      </c>
      <c r="M175" s="177">
        <f t="shared" ca="1" si="18"/>
        <v>20.714285714285715</v>
      </c>
      <c r="N175" s="211">
        <f t="shared" si="62"/>
        <v>129.95062193642235</v>
      </c>
      <c r="O175" s="200">
        <f t="shared" si="66"/>
        <v>-5.041281170072809E-3</v>
      </c>
      <c r="P175" s="213">
        <f t="shared" si="67"/>
        <v>0.96471103180949036</v>
      </c>
      <c r="Q175" s="217">
        <f t="shared" ca="1" si="68"/>
        <v>1.3430531728536461</v>
      </c>
      <c r="R175" s="176">
        <f>DANE!S175</f>
        <v>23</v>
      </c>
      <c r="S175" s="198">
        <f t="shared" si="3"/>
        <v>1375</v>
      </c>
      <c r="T175" s="177">
        <f t="shared" ca="1" si="19"/>
        <v>16.142857142857142</v>
      </c>
      <c r="U175" s="211">
        <f t="shared" si="50"/>
        <v>133.34458346406802</v>
      </c>
      <c r="V175" s="200">
        <f t="shared" si="55"/>
        <v>3.5803966690707185E-2</v>
      </c>
      <c r="W175" s="213">
        <f t="shared" si="56"/>
        <v>1.2506277668349504</v>
      </c>
      <c r="X175" s="214">
        <f t="shared" ca="1" si="57"/>
        <v>0.92528922431790683</v>
      </c>
      <c r="Y175" s="176">
        <f>DANE!W175</f>
        <v>5</v>
      </c>
      <c r="Z175" s="198">
        <f t="shared" si="4"/>
        <v>625</v>
      </c>
      <c r="AA175" s="177">
        <f t="shared" ca="1" si="20"/>
        <v>7.4285714285714288</v>
      </c>
      <c r="AB175" s="211">
        <f t="shared" si="94"/>
        <v>55.184763920584238</v>
      </c>
      <c r="AC175" s="200">
        <f t="shared" si="95"/>
        <v>-5.7458429165945776E-2</v>
      </c>
      <c r="AD175" s="213">
        <f t="shared" si="96"/>
        <v>0.59779099583837958</v>
      </c>
      <c r="AE175" s="217">
        <f t="shared" ca="1" si="97"/>
        <v>0.7688111195106917</v>
      </c>
      <c r="AF175" s="176">
        <f>DANE!AA175</f>
        <v>73</v>
      </c>
      <c r="AG175" s="198">
        <f t="shared" si="5"/>
        <v>4885</v>
      </c>
      <c r="AH175" s="177">
        <f t="shared" ca="1" si="21"/>
        <v>51.285714285714285</v>
      </c>
      <c r="AI175" s="211">
        <f t="shared" si="37"/>
        <v>334.58235187664633</v>
      </c>
      <c r="AJ175" s="200">
        <f t="shared" si="39"/>
        <v>9.6346412438266429E-2</v>
      </c>
      <c r="AK175" s="213">
        <f t="shared" si="40"/>
        <v>1.6744248870678651</v>
      </c>
      <c r="AL175" s="214">
        <f t="shared" ca="1" si="41"/>
        <v>1.205039630095976</v>
      </c>
      <c r="AM175" s="176">
        <f>DANE!AE175</f>
        <v>193</v>
      </c>
      <c r="AN175" s="198">
        <f t="shared" si="6"/>
        <v>6338</v>
      </c>
      <c r="AO175" s="177">
        <f t="shared" ca="1" si="22"/>
        <v>133</v>
      </c>
      <c r="AP175" s="211">
        <f t="shared" si="49"/>
        <v>981.18700656898056</v>
      </c>
      <c r="AQ175" s="200">
        <f t="shared" si="51"/>
        <v>6.7027782991471177E-2</v>
      </c>
      <c r="AR175" s="213">
        <f t="shared" si="52"/>
        <v>1.4691944809402981</v>
      </c>
      <c r="AS175" s="217">
        <f t="shared" ca="1" si="53"/>
        <v>1.0611112262978906</v>
      </c>
      <c r="AT175" s="176">
        <f>DANE!AI175</f>
        <v>150</v>
      </c>
      <c r="AU175" s="198">
        <f t="shared" si="7"/>
        <v>8563</v>
      </c>
      <c r="AV175" s="177">
        <f t="shared" ca="1" si="23"/>
        <v>114.71428571428571</v>
      </c>
      <c r="AW175" s="211">
        <f t="shared" si="33"/>
        <v>781.80373056405926</v>
      </c>
      <c r="AX175" s="200">
        <f t="shared" si="34"/>
        <v>6.0641859050685643E-2</v>
      </c>
      <c r="AY175" s="213">
        <f t="shared" si="35"/>
        <v>1.4244930133547995</v>
      </c>
      <c r="AZ175" s="214">
        <f t="shared" ca="1" si="36"/>
        <v>1.1777420138700041</v>
      </c>
      <c r="BA175" s="176">
        <f>DANE!AM175</f>
        <v>29</v>
      </c>
      <c r="BB175" s="198">
        <f t="shared" si="8"/>
        <v>1530</v>
      </c>
      <c r="BC175" s="177">
        <f t="shared" ca="1" si="24"/>
        <v>18</v>
      </c>
      <c r="BD175" s="211">
        <f t="shared" si="77"/>
        <v>123.97615945016148</v>
      </c>
      <c r="BE175" s="200">
        <f t="shared" si="80"/>
        <v>0.11886267189475391</v>
      </c>
      <c r="BF175" s="213">
        <f t="shared" si="81"/>
        <v>1.8320387032632774</v>
      </c>
      <c r="BG175" s="217">
        <f t="shared" ca="1" si="82"/>
        <v>1.180361996950424</v>
      </c>
      <c r="BH175" s="176">
        <f>DANE!AQ175</f>
        <v>32</v>
      </c>
      <c r="BI175" s="198">
        <f t="shared" si="9"/>
        <v>2055</v>
      </c>
      <c r="BJ175" s="177">
        <f t="shared" ca="1" si="25"/>
        <v>35.857142857142854</v>
      </c>
      <c r="BK175" s="211">
        <f t="shared" si="61"/>
        <v>242.66651978293291</v>
      </c>
      <c r="BL175" s="200">
        <f t="shared" si="63"/>
        <v>-1.2658137069069118E-2</v>
      </c>
      <c r="BM175" s="213">
        <f t="shared" si="64"/>
        <v>0.91139304051651615</v>
      </c>
      <c r="BN175" s="214">
        <f t="shared" ca="1" si="65"/>
        <v>1.0571931755707946</v>
      </c>
      <c r="BO175" s="176">
        <f>DANE!AU175</f>
        <v>7</v>
      </c>
      <c r="BP175" s="198">
        <f t="shared" si="10"/>
        <v>1190</v>
      </c>
      <c r="BQ175" s="177">
        <f t="shared" ca="1" si="26"/>
        <v>7.2857142857142856</v>
      </c>
      <c r="BR175" s="211">
        <f t="shared" si="78"/>
        <v>62.592111412555447</v>
      </c>
      <c r="BS175" s="200">
        <f t="shared" si="83"/>
        <v>-3.4928160713016049E-2</v>
      </c>
      <c r="BT175" s="213">
        <f t="shared" si="84"/>
        <v>0.75550287500888769</v>
      </c>
      <c r="BU175" s="217">
        <f t="shared" ca="1" si="85"/>
        <v>0.74859150212575665</v>
      </c>
      <c r="BV175" s="176">
        <f>DANE!AY175</f>
        <v>65</v>
      </c>
      <c r="BW175" s="198">
        <f t="shared" si="11"/>
        <v>1959</v>
      </c>
      <c r="BX175" s="177">
        <f t="shared" ca="1" si="27"/>
        <v>67.142857142857139</v>
      </c>
      <c r="BY175" s="211">
        <f t="shared" si="69"/>
        <v>421.76997633332047</v>
      </c>
      <c r="BZ175" s="200">
        <f t="shared" si="71"/>
        <v>1.3305901709795093E-2</v>
      </c>
      <c r="CA175" s="213">
        <f t="shared" si="72"/>
        <v>1.0931413119685656</v>
      </c>
      <c r="CB175" s="214">
        <f t="shared" ca="1" si="73"/>
        <v>1.3009010547305695</v>
      </c>
      <c r="CC175" s="176">
        <f>DANE!BC175</f>
        <v>153</v>
      </c>
      <c r="CD175" s="198">
        <f t="shared" si="12"/>
        <v>19619</v>
      </c>
      <c r="CE175" s="177">
        <f t="shared" ca="1" si="28"/>
        <v>132.28571428571428</v>
      </c>
      <c r="CF175" s="211">
        <f t="shared" si="45"/>
        <v>1025.1962650510734</v>
      </c>
      <c r="CG175" s="200">
        <f t="shared" si="46"/>
        <v>7.50219987081285E-3</v>
      </c>
      <c r="CH175" s="213">
        <f t="shared" si="47"/>
        <v>1.0525153990956899</v>
      </c>
      <c r="CI175" s="217">
        <f t="shared" ca="1" si="48"/>
        <v>0.93560742886366122</v>
      </c>
      <c r="CJ175" s="176">
        <f>DANE!BG175</f>
        <v>11</v>
      </c>
      <c r="CK175" s="198">
        <f t="shared" si="13"/>
        <v>1241</v>
      </c>
      <c r="CL175" s="177">
        <f t="shared" ca="1" si="29"/>
        <v>12.285714285714286</v>
      </c>
      <c r="CM175" s="211">
        <f t="shared" si="79"/>
        <v>90.687195062321464</v>
      </c>
      <c r="CN175" s="200">
        <f t="shared" si="86"/>
        <v>-2.4537362355425155E-2</v>
      </c>
      <c r="CO175" s="213">
        <f t="shared" si="87"/>
        <v>0.8282384635120239</v>
      </c>
      <c r="CP175" s="214">
        <f t="shared" ca="1" si="88"/>
        <v>0.9788365716394285</v>
      </c>
      <c r="CQ175" s="176">
        <f>DANE!BK175</f>
        <v>18</v>
      </c>
      <c r="CR175" s="198">
        <f t="shared" si="14"/>
        <v>713</v>
      </c>
      <c r="CS175" s="177">
        <f t="shared" ca="1" si="30"/>
        <v>15.857142857142858</v>
      </c>
      <c r="CT175" s="211">
        <f t="shared" si="89"/>
        <v>119.3126472517073</v>
      </c>
      <c r="CU175" s="200">
        <f t="shared" si="90"/>
        <v>9.4295838951426025E-3</v>
      </c>
      <c r="CV175" s="213">
        <f t="shared" si="91"/>
        <v>1.0660070872659981</v>
      </c>
      <c r="CW175" s="217">
        <f t="shared" ca="1" si="92"/>
        <v>1.0453295782955456</v>
      </c>
      <c r="CX175" s="176">
        <f>DANE!BO175</f>
        <v>81</v>
      </c>
      <c r="CY175" s="198">
        <f t="shared" si="15"/>
        <v>5096</v>
      </c>
      <c r="CZ175" s="177">
        <f t="shared" ca="1" si="31"/>
        <v>57.571428571428569</v>
      </c>
      <c r="DA175" s="211">
        <f t="shared" si="54"/>
        <v>418.67773434182271</v>
      </c>
      <c r="DB175" s="200">
        <f t="shared" si="58"/>
        <v>6.2748866564522623E-2</v>
      </c>
      <c r="DC175" s="213">
        <f t="shared" si="59"/>
        <v>1.4392420659516585</v>
      </c>
      <c r="DD175" s="214">
        <f t="shared" ca="1" si="60"/>
        <v>1.1054716512621556</v>
      </c>
      <c r="DE175" s="176">
        <f>DANE!BS175</f>
        <v>11</v>
      </c>
      <c r="DF175" s="198">
        <f t="shared" si="16"/>
        <v>1038</v>
      </c>
      <c r="DG175" s="177">
        <f t="shared" ca="1" si="32"/>
        <v>12.857142857142858</v>
      </c>
      <c r="DH175" s="211">
        <f t="shared" si="70"/>
        <v>88.399206972924034</v>
      </c>
      <c r="DI175" s="200">
        <f t="shared" si="74"/>
        <v>-2.1039726409067844E-2</v>
      </c>
      <c r="DJ175" s="157">
        <f t="shared" si="75"/>
        <v>0.85272191513652507</v>
      </c>
      <c r="DK175" s="225">
        <f t="shared" ca="1" si="76"/>
        <v>0.91145432616044963</v>
      </c>
      <c r="DL175" s="88"/>
      <c r="DM175" s="371"/>
      <c r="DN175" s="372"/>
      <c r="DO175" s="372"/>
      <c r="DP175" s="372"/>
      <c r="DQ175" s="372"/>
      <c r="DR175" s="372"/>
      <c r="DS175" s="372"/>
      <c r="DT175" s="372"/>
      <c r="DU175" s="372"/>
      <c r="DV175" s="372"/>
      <c r="DW175" s="88"/>
      <c r="DX175" s="88"/>
      <c r="DY175" s="88"/>
      <c r="DZ175" s="88"/>
      <c r="EA175" s="88"/>
      <c r="EB175" s="88"/>
      <c r="EC175" s="88"/>
      <c r="ED175" s="88"/>
      <c r="EE175" s="88"/>
      <c r="EF175" s="88"/>
      <c r="EG175" s="88"/>
      <c r="EH175" s="88"/>
    </row>
    <row r="176" spans="1:138" x14ac:dyDescent="0.25">
      <c r="A176" s="61">
        <v>44066</v>
      </c>
      <c r="B176" s="62" t="str">
        <f t="shared" ca="1" si="0"/>
        <v/>
      </c>
      <c r="C176" s="12">
        <f t="shared" si="93"/>
        <v>173</v>
      </c>
      <c r="D176" s="176">
        <f>DANE!K176</f>
        <v>24</v>
      </c>
      <c r="E176" s="198">
        <f t="shared" si="1"/>
        <v>3858</v>
      </c>
      <c r="F176" s="178">
        <f t="shared" ca="1" si="17"/>
        <v>26.714285714285715</v>
      </c>
      <c r="G176" s="211">
        <f t="shared" si="38"/>
        <v>186.2903452071325</v>
      </c>
      <c r="H176" s="200">
        <f t="shared" si="42"/>
        <v>-1.6100196563306957E-2</v>
      </c>
      <c r="I176" s="213">
        <f t="shared" si="43"/>
        <v>0.88729862405685134</v>
      </c>
      <c r="J176" s="214">
        <f t="shared" ca="1" si="44"/>
        <v>1.029736076616228</v>
      </c>
      <c r="K176" s="176">
        <f>DANE!O176</f>
        <v>6</v>
      </c>
      <c r="L176" s="198">
        <f t="shared" si="2"/>
        <v>1126</v>
      </c>
      <c r="M176" s="177">
        <f t="shared" ca="1" si="18"/>
        <v>19.714285714285715</v>
      </c>
      <c r="N176" s="211">
        <f t="shared" si="62"/>
        <v>117.38624737407631</v>
      </c>
      <c r="O176" s="200">
        <f t="shared" si="66"/>
        <v>-9.668575936860925E-2</v>
      </c>
      <c r="P176" s="213">
        <f t="shared" si="67"/>
        <v>0.32319968441973523</v>
      </c>
      <c r="Q176" s="217">
        <f t="shared" ca="1" si="68"/>
        <v>1.250955820823491</v>
      </c>
      <c r="R176" s="176">
        <f>DANE!S176</f>
        <v>12</v>
      </c>
      <c r="S176" s="198">
        <f t="shared" si="3"/>
        <v>1387</v>
      </c>
      <c r="T176" s="177">
        <f t="shared" ca="1" si="19"/>
        <v>17.857142857142858</v>
      </c>
      <c r="U176" s="211">
        <f t="shared" si="50"/>
        <v>126.29535725491546</v>
      </c>
      <c r="V176" s="200">
        <f t="shared" si="55"/>
        <v>-5.2864736054705208E-2</v>
      </c>
      <c r="W176" s="213">
        <f t="shared" si="56"/>
        <v>0.62994684761706354</v>
      </c>
      <c r="X176" s="214">
        <f t="shared" ca="1" si="57"/>
        <v>1.0152816311203445</v>
      </c>
      <c r="Y176" s="176">
        <f>DANE!W176</f>
        <v>4</v>
      </c>
      <c r="Z176" s="198">
        <f t="shared" si="4"/>
        <v>629</v>
      </c>
      <c r="AA176" s="177">
        <f t="shared" ca="1" si="20"/>
        <v>6.8571428571428568</v>
      </c>
      <c r="AB176" s="211">
        <f t="shared" si="94"/>
        <v>51.301226217643638</v>
      </c>
      <c r="AC176" s="200">
        <f t="shared" si="95"/>
        <v>-7.0373368064586717E-2</v>
      </c>
      <c r="AD176" s="213">
        <f t="shared" si="96"/>
        <v>0.50738642354789298</v>
      </c>
      <c r="AE176" s="217">
        <f t="shared" ca="1" si="97"/>
        <v>0.72790167889407109</v>
      </c>
      <c r="AF176" s="176">
        <f>DANE!AA176</f>
        <v>67</v>
      </c>
      <c r="AG176" s="198">
        <f t="shared" si="5"/>
        <v>4952</v>
      </c>
      <c r="AH176" s="177">
        <f t="shared" ca="1" si="21"/>
        <v>50.857142857142854</v>
      </c>
      <c r="AI176" s="211">
        <f t="shared" si="37"/>
        <v>353.78487303712546</v>
      </c>
      <c r="AJ176" s="200">
        <f t="shared" si="39"/>
        <v>5.7392510551658484E-2</v>
      </c>
      <c r="AK176" s="213">
        <f t="shared" si="40"/>
        <v>1.4017475738616094</v>
      </c>
      <c r="AL176" s="214">
        <f t="shared" ca="1" si="41"/>
        <v>1.1513701459821373</v>
      </c>
      <c r="AM176" s="176">
        <f>DANE!AE176</f>
        <v>98</v>
      </c>
      <c r="AN176" s="198">
        <f t="shared" si="6"/>
        <v>6436</v>
      </c>
      <c r="AO176" s="177">
        <f t="shared" ca="1" si="22"/>
        <v>136</v>
      </c>
      <c r="AP176" s="211">
        <f t="shared" si="49"/>
        <v>939.01743420198341</v>
      </c>
      <c r="AQ176" s="200">
        <f t="shared" si="51"/>
        <v>-4.2978119445808725E-2</v>
      </c>
      <c r="AR176" s="213">
        <f t="shared" si="52"/>
        <v>0.6991531638793389</v>
      </c>
      <c r="AS176" s="217">
        <f t="shared" ca="1" si="53"/>
        <v>1.0781100649641442</v>
      </c>
      <c r="AT176" s="176">
        <f>DANE!AI176</f>
        <v>49</v>
      </c>
      <c r="AU176" s="198">
        <f t="shared" si="7"/>
        <v>8612</v>
      </c>
      <c r="AV176" s="177">
        <f t="shared" ca="1" si="23"/>
        <v>111.28571428571429</v>
      </c>
      <c r="AW176" s="211">
        <f t="shared" si="33"/>
        <v>719.11748334062224</v>
      </c>
      <c r="AX176" s="200">
        <f t="shared" si="34"/>
        <v>-8.0181565746955272E-2</v>
      </c>
      <c r="AY176" s="213">
        <f t="shared" si="35"/>
        <v>0.43872903977131306</v>
      </c>
      <c r="AZ176" s="214">
        <f t="shared" ca="1" si="36"/>
        <v>1.1301178467219524</v>
      </c>
      <c r="BA176" s="176">
        <f>DANE!AM176</f>
        <v>5</v>
      </c>
      <c r="BB176" s="198">
        <f t="shared" si="8"/>
        <v>1535</v>
      </c>
      <c r="BC176" s="177">
        <f t="shared" ca="1" si="24"/>
        <v>16.714285714285715</v>
      </c>
      <c r="BD176" s="211">
        <f t="shared" si="77"/>
        <v>111.26527952870984</v>
      </c>
      <c r="BE176" s="200">
        <f t="shared" si="80"/>
        <v>-0.10252680820106724</v>
      </c>
      <c r="BF176" s="213">
        <f t="shared" si="81"/>
        <v>0.28231234259252924</v>
      </c>
      <c r="BG176" s="217">
        <f t="shared" ca="1" si="82"/>
        <v>1.0878505046540972</v>
      </c>
      <c r="BH176" s="176">
        <f>DANE!AQ176</f>
        <v>45</v>
      </c>
      <c r="BI176" s="198">
        <f t="shared" si="9"/>
        <v>2100</v>
      </c>
      <c r="BJ176" s="177">
        <f t="shared" ca="1" si="25"/>
        <v>36.857142857142854</v>
      </c>
      <c r="BK176" s="211">
        <f t="shared" si="61"/>
        <v>252.99987409965681</v>
      </c>
      <c r="BL176" s="200">
        <f t="shared" si="63"/>
        <v>4.2582529827217878E-2</v>
      </c>
      <c r="BM176" s="213">
        <f t="shared" si="64"/>
        <v>1.2980777087905251</v>
      </c>
      <c r="BN176" s="214">
        <f t="shared" ca="1" si="65"/>
        <v>1.0772764582871244</v>
      </c>
      <c r="BO176" s="176">
        <f>DANE!AU176</f>
        <v>6</v>
      </c>
      <c r="BP176" s="198">
        <f t="shared" si="10"/>
        <v>1196</v>
      </c>
      <c r="BQ176" s="177">
        <f t="shared" ca="1" si="26"/>
        <v>7.7142857142857144</v>
      </c>
      <c r="BR176" s="211">
        <f t="shared" si="78"/>
        <v>59.650381210761815</v>
      </c>
      <c r="BS176" s="200">
        <f t="shared" si="83"/>
        <v>-4.6998417778307218E-2</v>
      </c>
      <c r="BT176" s="213">
        <f t="shared" si="84"/>
        <v>0.67101107555184947</v>
      </c>
      <c r="BU176" s="217">
        <f t="shared" ca="1" si="85"/>
        <v>0.80762849747390431</v>
      </c>
      <c r="BV176" s="176">
        <f>DANE!AY176</f>
        <v>86</v>
      </c>
      <c r="BW176" s="198">
        <f t="shared" si="11"/>
        <v>2045</v>
      </c>
      <c r="BX176" s="177">
        <f t="shared" ca="1" si="27"/>
        <v>67.285714285714292</v>
      </c>
      <c r="BY176" s="211">
        <f t="shared" si="69"/>
        <v>447.51712257141759</v>
      </c>
      <c r="BZ176" s="200">
        <f t="shared" si="71"/>
        <v>6.1045469528038222E-2</v>
      </c>
      <c r="CA176" s="213">
        <f t="shared" si="72"/>
        <v>1.4273182866962677</v>
      </c>
      <c r="CB176" s="214">
        <f t="shared" ca="1" si="73"/>
        <v>1.2358956136568682</v>
      </c>
      <c r="CC176" s="176">
        <f>DANE!BC176</f>
        <v>97</v>
      </c>
      <c r="CD176" s="198">
        <f t="shared" si="12"/>
        <v>19716</v>
      </c>
      <c r="CE176" s="177">
        <f t="shared" ca="1" si="28"/>
        <v>130.71428571428572</v>
      </c>
      <c r="CF176" s="211">
        <f t="shared" si="45"/>
        <v>975.73965575806301</v>
      </c>
      <c r="CG176" s="200">
        <f t="shared" si="46"/>
        <v>-4.824111341309515E-2</v>
      </c>
      <c r="CH176" s="213">
        <f t="shared" si="47"/>
        <v>0.66231220610833397</v>
      </c>
      <c r="CI176" s="217">
        <f t="shared" ca="1" si="48"/>
        <v>0.93213369506858279</v>
      </c>
      <c r="CJ176" s="176">
        <f>DANE!BG176</f>
        <v>8</v>
      </c>
      <c r="CK176" s="198">
        <f t="shared" si="13"/>
        <v>1249</v>
      </c>
      <c r="CL176" s="177">
        <f t="shared" ca="1" si="29"/>
        <v>11.142857142857142</v>
      </c>
      <c r="CM176" s="211">
        <f t="shared" si="79"/>
        <v>85.731881481989831</v>
      </c>
      <c r="CN176" s="200">
        <f t="shared" si="86"/>
        <v>-5.4641822110897527E-2</v>
      </c>
      <c r="CO176" s="213">
        <f t="shared" si="87"/>
        <v>0.61750724522371736</v>
      </c>
      <c r="CP176" s="214">
        <f t="shared" ca="1" si="88"/>
        <v>0.89709747282467045</v>
      </c>
      <c r="CQ176" s="176">
        <f>DANE!BK176</f>
        <v>25</v>
      </c>
      <c r="CR176" s="198">
        <f t="shared" si="14"/>
        <v>738</v>
      </c>
      <c r="CS176" s="177">
        <f t="shared" ca="1" si="30"/>
        <v>18</v>
      </c>
      <c r="CT176" s="211">
        <f t="shared" si="89"/>
        <v>127.26798335860627</v>
      </c>
      <c r="CU176" s="200">
        <f t="shared" si="90"/>
        <v>6.6676385866420648E-2</v>
      </c>
      <c r="CV176" s="213">
        <f t="shared" si="91"/>
        <v>1.4667347010649445</v>
      </c>
      <c r="CW176" s="217">
        <f t="shared" ca="1" si="92"/>
        <v>1.1686984149627992</v>
      </c>
      <c r="CX176" s="176">
        <f>DANE!BO176</f>
        <v>46</v>
      </c>
      <c r="CY176" s="198">
        <f t="shared" si="15"/>
        <v>5142</v>
      </c>
      <c r="CZ176" s="177">
        <f t="shared" ca="1" si="31"/>
        <v>57</v>
      </c>
      <c r="DA176" s="211">
        <f t="shared" si="54"/>
        <v>404.86662943584804</v>
      </c>
      <c r="DB176" s="200">
        <f t="shared" si="58"/>
        <v>-3.2987435856091686E-2</v>
      </c>
      <c r="DC176" s="213">
        <f t="shared" si="59"/>
        <v>0.76908794900735822</v>
      </c>
      <c r="DD176" s="214">
        <f t="shared" ca="1" si="60"/>
        <v>1.0840431772205215</v>
      </c>
      <c r="DE176" s="176">
        <f>DANE!BS176</f>
        <v>3</v>
      </c>
      <c r="DF176" s="198">
        <f t="shared" si="16"/>
        <v>1041</v>
      </c>
      <c r="DG176" s="177">
        <f t="shared" ca="1" si="32"/>
        <v>10.714285714285714</v>
      </c>
      <c r="DH176" s="211">
        <f t="shared" si="70"/>
        <v>78.770748833934888</v>
      </c>
      <c r="DI176" s="200">
        <f t="shared" si="74"/>
        <v>-0.10892018682857942</v>
      </c>
      <c r="DJ176" s="157">
        <f t="shared" si="75"/>
        <v>0.23755869219994408</v>
      </c>
      <c r="DK176" s="225">
        <f t="shared" ca="1" si="76"/>
        <v>0.75999050916486799</v>
      </c>
      <c r="DL176" s="88"/>
      <c r="DM176" s="380"/>
      <c r="DN176" s="372"/>
      <c r="DO176" s="372"/>
      <c r="DP176" s="372"/>
      <c r="DQ176" s="372"/>
      <c r="DR176" s="372"/>
      <c r="DS176" s="372"/>
      <c r="DT176" s="88"/>
      <c r="DU176" s="88"/>
      <c r="DV176" s="88"/>
      <c r="DW176" s="88"/>
      <c r="DX176" s="88"/>
      <c r="DY176" s="88"/>
      <c r="DZ176" s="88"/>
      <c r="EA176" s="88"/>
      <c r="EB176" s="88"/>
      <c r="EC176" s="88"/>
      <c r="ED176" s="88"/>
      <c r="EE176" s="88"/>
      <c r="EF176" s="88"/>
      <c r="EG176" s="88"/>
      <c r="EH176" s="88"/>
    </row>
    <row r="177" spans="1:138" x14ac:dyDescent="0.25">
      <c r="A177" s="32">
        <v>44067</v>
      </c>
      <c r="B177" s="33" t="str">
        <f t="shared" ca="1" si="0"/>
        <v/>
      </c>
      <c r="C177" s="51">
        <f t="shared" si="93"/>
        <v>174</v>
      </c>
      <c r="D177" s="176">
        <f>DANE!K177</f>
        <v>20</v>
      </c>
      <c r="E177" s="188">
        <f t="shared" si="1"/>
        <v>3878</v>
      </c>
      <c r="F177" s="178">
        <f t="shared" ca="1" si="17"/>
        <v>27.142857142857142</v>
      </c>
      <c r="G177" s="209">
        <f t="shared" si="38"/>
        <v>179.67743874897073</v>
      </c>
      <c r="H177" s="179">
        <f t="shared" si="42"/>
        <v>-3.5497848537502125E-2</v>
      </c>
      <c r="I177" s="213">
        <f t="shared" si="43"/>
        <v>0.75151506023748516</v>
      </c>
      <c r="J177" s="214">
        <f t="shared" ca="1" si="44"/>
        <v>1.0434558967346743</v>
      </c>
      <c r="K177" s="176">
        <f>DANE!O177</f>
        <v>27</v>
      </c>
      <c r="L177" s="188">
        <f t="shared" si="2"/>
        <v>1153</v>
      </c>
      <c r="M177" s="177">
        <f t="shared" ca="1" si="18"/>
        <v>19.571428571428573</v>
      </c>
      <c r="N177" s="209">
        <f t="shared" si="62"/>
        <v>127.61678346349399</v>
      </c>
      <c r="O177" s="179">
        <f t="shared" si="66"/>
        <v>8.7152765492331474E-2</v>
      </c>
      <c r="P177" s="213">
        <f t="shared" si="67"/>
        <v>1.6100693584463204</v>
      </c>
      <c r="Q177" s="217">
        <f t="shared" ca="1" si="68"/>
        <v>1.181783374466997</v>
      </c>
      <c r="R177" s="176">
        <f>DANE!S177</f>
        <v>7</v>
      </c>
      <c r="S177" s="188">
        <f t="shared" si="3"/>
        <v>1394</v>
      </c>
      <c r="T177" s="177">
        <f t="shared" ca="1" si="19"/>
        <v>18</v>
      </c>
      <c r="U177" s="209">
        <f t="shared" si="50"/>
        <v>115.25316336135612</v>
      </c>
      <c r="V177" s="179">
        <f t="shared" si="55"/>
        <v>-8.7431510813748281E-2</v>
      </c>
      <c r="W177" s="213">
        <f t="shared" si="56"/>
        <v>0.38797942430376198</v>
      </c>
      <c r="X177" s="214">
        <f t="shared" ca="1" si="57"/>
        <v>1.0230475487842943</v>
      </c>
      <c r="Y177" s="176">
        <f>DANE!W177</f>
        <v>0</v>
      </c>
      <c r="Z177" s="188">
        <f t="shared" si="4"/>
        <v>629</v>
      </c>
      <c r="AA177" s="177">
        <f t="shared" ca="1" si="20"/>
        <v>5.7142857142857144</v>
      </c>
      <c r="AB177" s="209">
        <f t="shared" si="94"/>
        <v>43.97247961512312</v>
      </c>
      <c r="AC177" s="179">
        <f t="shared" si="95"/>
        <v>-0.14285714285714282</v>
      </c>
      <c r="AD177" s="213">
        <f t="shared" si="96"/>
        <v>2.2204460492503131E-16</v>
      </c>
      <c r="AE177" s="217">
        <f t="shared" ca="1" si="97"/>
        <v>0.61106602629333062</v>
      </c>
      <c r="AF177" s="176">
        <f>DANE!AA177</f>
        <v>71</v>
      </c>
      <c r="AG177" s="188">
        <f t="shared" si="5"/>
        <v>5023</v>
      </c>
      <c r="AH177" s="177">
        <f t="shared" ca="1" si="21"/>
        <v>54.714285714285715</v>
      </c>
      <c r="AI177" s="209">
        <f t="shared" si="37"/>
        <v>374.24417688896472</v>
      </c>
      <c r="AJ177" s="179">
        <f t="shared" si="39"/>
        <v>5.7829787000792131E-2</v>
      </c>
      <c r="AK177" s="213">
        <f t="shared" si="40"/>
        <v>1.4048085090055449</v>
      </c>
      <c r="AL177" s="214">
        <f t="shared" ca="1" si="41"/>
        <v>1.2084050422176975</v>
      </c>
      <c r="AM177" s="176">
        <f>DANE!AE177</f>
        <v>61</v>
      </c>
      <c r="AN177" s="188">
        <f t="shared" si="6"/>
        <v>6497</v>
      </c>
      <c r="AO177" s="177">
        <f t="shared" ca="1" si="22"/>
        <v>132.71428571428572</v>
      </c>
      <c r="AP177" s="209">
        <f t="shared" si="49"/>
        <v>865.872086458843</v>
      </c>
      <c r="AQ177" s="179">
        <f t="shared" si="51"/>
        <v>-7.7895622678510121E-2</v>
      </c>
      <c r="AR177" s="213">
        <f t="shared" si="52"/>
        <v>0.45473064125042917</v>
      </c>
      <c r="AS177" s="217">
        <f t="shared" ca="1" si="53"/>
        <v>1.0468880417978765</v>
      </c>
      <c r="AT177" s="176">
        <f>DANE!AI177</f>
        <v>54</v>
      </c>
      <c r="AU177" s="188">
        <f t="shared" si="7"/>
        <v>8666</v>
      </c>
      <c r="AV177" s="177">
        <f t="shared" ca="1" si="23"/>
        <v>97.571428571428569</v>
      </c>
      <c r="AW177" s="209">
        <f t="shared" si="33"/>
        <v>670.38641429196196</v>
      </c>
      <c r="AX177" s="179">
        <f t="shared" si="34"/>
        <v>-6.7765101221406387E-2</v>
      </c>
      <c r="AY177" s="213">
        <f t="shared" si="35"/>
        <v>0.52564429145015534</v>
      </c>
      <c r="AZ177" s="214">
        <f t="shared" ca="1" si="36"/>
        <v>0.9709393385685493</v>
      </c>
      <c r="BA177" s="176">
        <f>DANE!AM177</f>
        <v>10</v>
      </c>
      <c r="BB177" s="188">
        <f t="shared" si="8"/>
        <v>1545</v>
      </c>
      <c r="BC177" s="177">
        <f t="shared" ca="1" si="24"/>
        <v>14.857142857142858</v>
      </c>
      <c r="BD177" s="209">
        <f t="shared" si="77"/>
        <v>105.37023959603701</v>
      </c>
      <c r="BE177" s="179">
        <f t="shared" si="80"/>
        <v>-5.2981846247478578E-2</v>
      </c>
      <c r="BF177" s="213">
        <f t="shared" si="81"/>
        <v>0.62912707626764997</v>
      </c>
      <c r="BG177" s="217">
        <f t="shared" ca="1" si="82"/>
        <v>0.95727780061777679</v>
      </c>
      <c r="BH177" s="176">
        <f>DANE!AQ177</f>
        <v>21</v>
      </c>
      <c r="BI177" s="188">
        <f t="shared" si="9"/>
        <v>2121</v>
      </c>
      <c r="BJ177" s="177">
        <f t="shared" ca="1" si="25"/>
        <v>34.571428571428569</v>
      </c>
      <c r="BK177" s="209">
        <f t="shared" si="61"/>
        <v>237.85703494256299</v>
      </c>
      <c r="BL177" s="179">
        <f t="shared" si="63"/>
        <v>-5.9853148982710734E-2</v>
      </c>
      <c r="BM177" s="213">
        <f t="shared" si="64"/>
        <v>0.58102795712102484</v>
      </c>
      <c r="BN177" s="214">
        <f t="shared" ca="1" si="65"/>
        <v>1.0028183254397718</v>
      </c>
      <c r="BO177" s="176">
        <f>DANE!AU177</f>
        <v>8</v>
      </c>
      <c r="BP177" s="188">
        <f t="shared" si="10"/>
        <v>1204</v>
      </c>
      <c r="BQ177" s="177">
        <f t="shared" ca="1" si="26"/>
        <v>8.1428571428571423</v>
      </c>
      <c r="BR177" s="209">
        <f t="shared" si="78"/>
        <v>59.128898180652989</v>
      </c>
      <c r="BS177" s="179">
        <f t="shared" si="83"/>
        <v>-8.7423251876006837E-3</v>
      </c>
      <c r="BT177" s="213">
        <f t="shared" si="84"/>
        <v>0.93880372368679521</v>
      </c>
      <c r="BU177" s="217">
        <f t="shared" ca="1" si="85"/>
        <v>0.87309456724866286</v>
      </c>
      <c r="BV177" s="176">
        <f>DANE!AY177</f>
        <v>60</v>
      </c>
      <c r="BW177" s="188">
        <f t="shared" si="11"/>
        <v>2105</v>
      </c>
      <c r="BX177" s="177">
        <f t="shared" ca="1" si="27"/>
        <v>68.428571428571431</v>
      </c>
      <c r="BY177" s="209">
        <f t="shared" si="69"/>
        <v>443.58610506121511</v>
      </c>
      <c r="BZ177" s="179">
        <f t="shared" si="71"/>
        <v>-8.7840605687107397E-3</v>
      </c>
      <c r="CA177" s="213">
        <f t="shared" si="72"/>
        <v>0.9385115760190248</v>
      </c>
      <c r="CB177" s="214">
        <f t="shared" ca="1" si="73"/>
        <v>1.2238754290380702</v>
      </c>
      <c r="CC177" s="176">
        <f>DANE!BC177</f>
        <v>98</v>
      </c>
      <c r="CD177" s="188">
        <f t="shared" si="12"/>
        <v>19814</v>
      </c>
      <c r="CE177" s="177">
        <f t="shared" ca="1" si="28"/>
        <v>133.85714285714286</v>
      </c>
      <c r="CF177" s="209">
        <f t="shared" si="45"/>
        <v>934.34827636405407</v>
      </c>
      <c r="CG177" s="179">
        <f t="shared" si="46"/>
        <v>-4.2420515708005646E-2</v>
      </c>
      <c r="CH177" s="213">
        <f t="shared" si="47"/>
        <v>0.70305639004396048</v>
      </c>
      <c r="CI177" s="217">
        <f t="shared" ca="1" si="48"/>
        <v>0.96030925385178623</v>
      </c>
      <c r="CJ177" s="176">
        <f>DANE!BG177</f>
        <v>53</v>
      </c>
      <c r="CK177" s="188">
        <f t="shared" si="13"/>
        <v>1302</v>
      </c>
      <c r="CL177" s="177">
        <f t="shared" ca="1" si="29"/>
        <v>17.285714285714285</v>
      </c>
      <c r="CM177" s="209">
        <f t="shared" si="79"/>
        <v>126.48446984170558</v>
      </c>
      <c r="CN177" s="179">
        <f t="shared" si="86"/>
        <v>0.47534928261520615</v>
      </c>
      <c r="CO177" s="213">
        <f t="shared" si="87"/>
        <v>4.3274449783064437</v>
      </c>
      <c r="CP177" s="214">
        <f t="shared" ca="1" si="88"/>
        <v>1.4118847629970885</v>
      </c>
      <c r="CQ177" s="176">
        <f>DANE!BK177</f>
        <v>1</v>
      </c>
      <c r="CR177" s="188">
        <f t="shared" si="14"/>
        <v>739</v>
      </c>
      <c r="CS177" s="177">
        <f t="shared" ca="1" si="30"/>
        <v>16.571428571428573</v>
      </c>
      <c r="CT177" s="209">
        <f t="shared" si="89"/>
        <v>110.08684287880538</v>
      </c>
      <c r="CU177" s="179">
        <f t="shared" si="90"/>
        <v>-0.1349997071249974</v>
      </c>
      <c r="CV177" s="213">
        <f t="shared" si="91"/>
        <v>5.5002050125018132E-2</v>
      </c>
      <c r="CW177" s="217">
        <f t="shared" ca="1" si="92"/>
        <v>1.0760783750907197</v>
      </c>
      <c r="CX177" s="176">
        <f>DANE!BO177</f>
        <v>53</v>
      </c>
      <c r="CY177" s="188">
        <f t="shared" si="15"/>
        <v>5195</v>
      </c>
      <c r="CZ177" s="177">
        <f t="shared" ca="1" si="31"/>
        <v>60.285714285714285</v>
      </c>
      <c r="DA177" s="209">
        <f t="shared" si="54"/>
        <v>400.02853951644119</v>
      </c>
      <c r="DB177" s="179">
        <f t="shared" si="58"/>
        <v>-1.1949836236561108E-2</v>
      </c>
      <c r="DC177" s="213">
        <f t="shared" si="59"/>
        <v>0.91635114634407222</v>
      </c>
      <c r="DD177" s="214">
        <f t="shared" ca="1" si="60"/>
        <v>1.1352503241125838</v>
      </c>
      <c r="DE177" s="176">
        <f>DANE!BS177</f>
        <v>4</v>
      </c>
      <c r="DF177" s="188">
        <f t="shared" si="16"/>
        <v>1045</v>
      </c>
      <c r="DG177" s="177">
        <f t="shared" ca="1" si="32"/>
        <v>9.2857142857142865</v>
      </c>
      <c r="DH177" s="209">
        <f t="shared" si="70"/>
        <v>71.517784714801337</v>
      </c>
      <c r="DI177" s="179">
        <f t="shared" si="74"/>
        <v>-9.2076871510061525E-2</v>
      </c>
      <c r="DJ177" s="157">
        <f t="shared" si="75"/>
        <v>0.35546189942956929</v>
      </c>
      <c r="DK177" s="225">
        <f t="shared" ca="1" si="76"/>
        <v>0.67245464959097989</v>
      </c>
      <c r="DL177" s="89"/>
      <c r="DM177" s="380"/>
      <c r="DN177" s="372"/>
      <c r="DO177" s="372"/>
      <c r="DP177" s="372"/>
      <c r="DQ177" s="372"/>
      <c r="DR177" s="372"/>
      <c r="DS177" s="372"/>
      <c r="DT177" s="89"/>
      <c r="DU177" s="89"/>
      <c r="DV177" s="89"/>
      <c r="DW177" s="89"/>
      <c r="DX177" s="89"/>
      <c r="DY177" s="89"/>
      <c r="DZ177" s="89"/>
      <c r="EA177" s="89"/>
      <c r="EB177" s="89"/>
      <c r="EC177" s="89"/>
      <c r="ED177" s="89"/>
      <c r="EE177" s="89"/>
      <c r="EF177" s="89"/>
      <c r="EG177" s="89"/>
      <c r="EH177" s="89"/>
    </row>
    <row r="178" spans="1:138" x14ac:dyDescent="0.25">
      <c r="A178" s="32">
        <v>44068</v>
      </c>
      <c r="B178" s="33" t="str">
        <f t="shared" ca="1" si="0"/>
        <v/>
      </c>
      <c r="C178" s="51">
        <f t="shared" si="93"/>
        <v>175</v>
      </c>
      <c r="D178" s="176">
        <f>DANE!K178</f>
        <v>44</v>
      </c>
      <c r="E178" s="188">
        <f t="shared" si="1"/>
        <v>3922</v>
      </c>
      <c r="F178" s="178">
        <f t="shared" ca="1" si="17"/>
        <v>28.714285714285715</v>
      </c>
      <c r="G178" s="209">
        <f t="shared" si="38"/>
        <v>198.00923321340349</v>
      </c>
      <c r="H178" s="179">
        <f t="shared" si="42"/>
        <v>0.10202613412162619</v>
      </c>
      <c r="I178" s="213">
        <f t="shared" si="43"/>
        <v>1.7141829388513834</v>
      </c>
      <c r="J178" s="214">
        <f t="shared" ca="1" si="44"/>
        <v>1.0971589865714964</v>
      </c>
      <c r="K178" s="176">
        <f>DANE!O178</f>
        <v>30</v>
      </c>
      <c r="L178" s="188">
        <f t="shared" si="2"/>
        <v>1183</v>
      </c>
      <c r="M178" s="177">
        <f t="shared" ca="1" si="18"/>
        <v>21.428571428571427</v>
      </c>
      <c r="N178" s="209">
        <f t="shared" si="62"/>
        <v>139.38581439728057</v>
      </c>
      <c r="O178" s="179">
        <f t="shared" si="66"/>
        <v>9.2221654663104918E-2</v>
      </c>
      <c r="P178" s="213">
        <f t="shared" si="67"/>
        <v>1.6455515826417346</v>
      </c>
      <c r="Q178" s="217">
        <f t="shared" ca="1" si="68"/>
        <v>1.2597727755254324</v>
      </c>
      <c r="R178" s="176">
        <f>DANE!S178</f>
        <v>29</v>
      </c>
      <c r="S178" s="188">
        <f t="shared" si="3"/>
        <v>1423</v>
      </c>
      <c r="T178" s="177">
        <f t="shared" ca="1" si="19"/>
        <v>19.428571428571427</v>
      </c>
      <c r="U178" s="209">
        <f t="shared" si="50"/>
        <v>127.78842573830525</v>
      </c>
      <c r="V178" s="179">
        <f t="shared" si="55"/>
        <v>0.10876284877012021</v>
      </c>
      <c r="W178" s="213">
        <f t="shared" si="56"/>
        <v>1.7613399413908415</v>
      </c>
      <c r="X178" s="214">
        <f t="shared" ca="1" si="57"/>
        <v>1.1078660373893909</v>
      </c>
      <c r="Y178" s="176">
        <f>DANE!W178</f>
        <v>6</v>
      </c>
      <c r="Z178" s="188">
        <f t="shared" si="4"/>
        <v>635</v>
      </c>
      <c r="AA178" s="177">
        <f t="shared" ca="1" si="20"/>
        <v>4.5714285714285712</v>
      </c>
      <c r="AB178" s="209">
        <f t="shared" si="94"/>
        <v>43.690696812962678</v>
      </c>
      <c r="AC178" s="179">
        <f t="shared" si="95"/>
        <v>-6.4081626650758922E-3</v>
      </c>
      <c r="AD178" s="213">
        <f t="shared" si="96"/>
        <v>0.9551428613444688</v>
      </c>
      <c r="AE178" s="217">
        <f t="shared" ca="1" si="97"/>
        <v>0.53759005433720142</v>
      </c>
      <c r="AF178" s="176">
        <f>DANE!AA178</f>
        <v>50</v>
      </c>
      <c r="AG178" s="188">
        <f t="shared" si="5"/>
        <v>5073</v>
      </c>
      <c r="AH178" s="177">
        <f t="shared" ca="1" si="21"/>
        <v>55</v>
      </c>
      <c r="AI178" s="209">
        <f t="shared" si="37"/>
        <v>370.78072304768409</v>
      </c>
      <c r="AJ178" s="179">
        <f t="shared" si="39"/>
        <v>-9.2545296765117191E-3</v>
      </c>
      <c r="AK178" s="213">
        <f t="shared" si="40"/>
        <v>0.93521829226441799</v>
      </c>
      <c r="AL178" s="214">
        <f t="shared" ca="1" si="41"/>
        <v>1.1854208154251531</v>
      </c>
      <c r="AM178" s="176">
        <f>DANE!AE178</f>
        <v>141</v>
      </c>
      <c r="AN178" s="188">
        <f t="shared" si="6"/>
        <v>6638</v>
      </c>
      <c r="AO178" s="177">
        <f t="shared" ca="1" si="22"/>
        <v>134.28571428571428</v>
      </c>
      <c r="AP178" s="209">
        <f t="shared" si="49"/>
        <v>883.17607410757978</v>
      </c>
      <c r="AQ178" s="179">
        <f t="shared" si="51"/>
        <v>1.9984461815260608E-2</v>
      </c>
      <c r="AR178" s="213">
        <f t="shared" si="52"/>
        <v>1.1398912327068242</v>
      </c>
      <c r="AS178" s="217">
        <f t="shared" ca="1" si="53"/>
        <v>1.0535863951432423</v>
      </c>
      <c r="AT178" s="176">
        <f>DANE!AI178</f>
        <v>99</v>
      </c>
      <c r="AU178" s="188">
        <f t="shared" si="7"/>
        <v>8765</v>
      </c>
      <c r="AV178" s="177">
        <f t="shared" ca="1" si="23"/>
        <v>102.85714285714286</v>
      </c>
      <c r="AW178" s="209">
        <f t="shared" si="33"/>
        <v>673.61692653596742</v>
      </c>
      <c r="AX178" s="179">
        <f t="shared" si="34"/>
        <v>4.8188808351932646E-3</v>
      </c>
      <c r="AY178" s="213">
        <f t="shared" si="35"/>
        <v>1.0337321658463527</v>
      </c>
      <c r="AZ178" s="214">
        <f t="shared" ca="1" si="36"/>
        <v>1.0298938689833057</v>
      </c>
      <c r="BA178" s="176">
        <f>DANE!AM178</f>
        <v>10</v>
      </c>
      <c r="BB178" s="188">
        <f t="shared" si="8"/>
        <v>1555</v>
      </c>
      <c r="BC178" s="177">
        <f t="shared" ca="1" si="24"/>
        <v>14.142857142857142</v>
      </c>
      <c r="BD178" s="209">
        <f t="shared" si="77"/>
        <v>100.31734822517458</v>
      </c>
      <c r="BE178" s="179">
        <f t="shared" si="80"/>
        <v>-4.795368588164875E-2</v>
      </c>
      <c r="BF178" s="213">
        <f t="shared" si="81"/>
        <v>0.66432419882845872</v>
      </c>
      <c r="BG178" s="217">
        <f t="shared" ca="1" si="82"/>
        <v>0.9187628695615534</v>
      </c>
      <c r="BH178" s="176">
        <f>DANE!AQ178</f>
        <v>59</v>
      </c>
      <c r="BI178" s="188">
        <f t="shared" si="9"/>
        <v>2180</v>
      </c>
      <c r="BJ178" s="177">
        <f t="shared" ca="1" si="25"/>
        <v>37.428571428571431</v>
      </c>
      <c r="BK178" s="209">
        <f t="shared" si="61"/>
        <v>262.87745852219689</v>
      </c>
      <c r="BL178" s="179">
        <f t="shared" si="63"/>
        <v>0.10519101772909831</v>
      </c>
      <c r="BM178" s="213">
        <f t="shared" si="64"/>
        <v>1.7363371241036882</v>
      </c>
      <c r="BN178" s="214">
        <f t="shared" ca="1" si="65"/>
        <v>1.0872820411725341</v>
      </c>
      <c r="BO178" s="176">
        <f>DANE!AU178</f>
        <v>28</v>
      </c>
      <c r="BP178" s="188">
        <f t="shared" si="10"/>
        <v>1232</v>
      </c>
      <c r="BQ178" s="177">
        <f t="shared" ca="1" si="26"/>
        <v>10.714285714285714</v>
      </c>
      <c r="BR178" s="209">
        <f t="shared" si="78"/>
        <v>78.681912726273993</v>
      </c>
      <c r="BS178" s="179">
        <f t="shared" si="83"/>
        <v>0.3306845746707785</v>
      </c>
      <c r="BT178" s="213">
        <f t="shared" si="84"/>
        <v>3.3147920226954497</v>
      </c>
      <c r="BU178" s="217">
        <f t="shared" ca="1" si="85"/>
        <v>1.1983334755455746</v>
      </c>
      <c r="BV178" s="176">
        <f>DANE!AY178</f>
        <v>93</v>
      </c>
      <c r="BW178" s="188">
        <f t="shared" si="11"/>
        <v>2198</v>
      </c>
      <c r="BX178" s="177">
        <f t="shared" ca="1" si="27"/>
        <v>74.428571428571431</v>
      </c>
      <c r="BY178" s="209">
        <f t="shared" si="69"/>
        <v>473.21666148104157</v>
      </c>
      <c r="BZ178" s="179">
        <f t="shared" si="71"/>
        <v>6.6797756020192361E-2</v>
      </c>
      <c r="CA178" s="213">
        <f t="shared" si="72"/>
        <v>1.4675842921413467</v>
      </c>
      <c r="CB178" s="214">
        <f t="shared" ca="1" si="73"/>
        <v>1.290708735300969</v>
      </c>
      <c r="CC178" s="176">
        <f>DANE!BC178</f>
        <v>89</v>
      </c>
      <c r="CD178" s="188">
        <f t="shared" si="12"/>
        <v>19903</v>
      </c>
      <c r="CE178" s="177">
        <f t="shared" ca="1" si="28"/>
        <v>134.42857142857142</v>
      </c>
      <c r="CF178" s="209">
        <f t="shared" si="45"/>
        <v>889.86995116918922</v>
      </c>
      <c r="CG178" s="179">
        <f t="shared" si="46"/>
        <v>-4.7603582432825697E-2</v>
      </c>
      <c r="CH178" s="213">
        <f t="shared" si="47"/>
        <v>0.66677492297022012</v>
      </c>
      <c r="CI178" s="217">
        <f t="shared" ca="1" si="48"/>
        <v>0.96860568193790419</v>
      </c>
      <c r="CJ178" s="176">
        <f>DANE!BG178</f>
        <v>20</v>
      </c>
      <c r="CK178" s="188">
        <f t="shared" si="13"/>
        <v>1322</v>
      </c>
      <c r="CL178" s="177">
        <f t="shared" ca="1" si="29"/>
        <v>19</v>
      </c>
      <c r="CM178" s="209">
        <f t="shared" si="79"/>
        <v>128.41525986431907</v>
      </c>
      <c r="CN178" s="179">
        <f t="shared" si="86"/>
        <v>1.5265036292833923E-2</v>
      </c>
      <c r="CO178" s="213">
        <f t="shared" si="87"/>
        <v>1.1068552540498375</v>
      </c>
      <c r="CP178" s="214">
        <f t="shared" ca="1" si="88"/>
        <v>1.4838747519387669</v>
      </c>
      <c r="CQ178" s="176">
        <f>DANE!BK178</f>
        <v>21</v>
      </c>
      <c r="CR178" s="188">
        <f t="shared" si="14"/>
        <v>760</v>
      </c>
      <c r="CS178" s="177">
        <f t="shared" ca="1" si="30"/>
        <v>18.428571428571427</v>
      </c>
      <c r="CT178" s="209">
        <f t="shared" si="89"/>
        <v>115.36015103897606</v>
      </c>
      <c r="CU178" s="179">
        <f t="shared" si="90"/>
        <v>4.7901347902001852E-2</v>
      </c>
      <c r="CV178" s="213">
        <f t="shared" si="91"/>
        <v>1.3353094353140129</v>
      </c>
      <c r="CW178" s="217">
        <f t="shared" ca="1" si="92"/>
        <v>1.1905284112219867</v>
      </c>
      <c r="CX178" s="176">
        <f>DANE!BO178</f>
        <v>32</v>
      </c>
      <c r="CY178" s="188">
        <f t="shared" si="15"/>
        <v>5227</v>
      </c>
      <c r="CZ178" s="177">
        <f t="shared" ca="1" si="31"/>
        <v>58.857142857142854</v>
      </c>
      <c r="DA178" s="209">
        <f t="shared" si="54"/>
        <v>374.88160529980678</v>
      </c>
      <c r="DB178" s="179">
        <f t="shared" si="58"/>
        <v>-6.286285035320803E-2</v>
      </c>
      <c r="DC178" s="213">
        <f t="shared" si="59"/>
        <v>0.55996004752754369</v>
      </c>
      <c r="DD178" s="214">
        <f t="shared" ca="1" si="60"/>
        <v>1.0961422466244217</v>
      </c>
      <c r="DE178" s="176">
        <f>DANE!BS178</f>
        <v>12</v>
      </c>
      <c r="DF178" s="188">
        <f t="shared" si="16"/>
        <v>1057</v>
      </c>
      <c r="DG178" s="177">
        <f t="shared" ca="1" si="32"/>
        <v>8.7142857142857135</v>
      </c>
      <c r="DH178" s="209">
        <f t="shared" si="70"/>
        <v>73.300958326972577</v>
      </c>
      <c r="DI178" s="179">
        <f t="shared" si="74"/>
        <v>2.4933289241021381E-2</v>
      </c>
      <c r="DJ178" s="157">
        <f t="shared" si="75"/>
        <v>1.1745330246871497</v>
      </c>
      <c r="DK178" s="225">
        <f t="shared" ca="1" si="76"/>
        <v>0.68144840589353795</v>
      </c>
      <c r="DL178" s="89"/>
      <c r="DM178" s="89"/>
      <c r="DN178" s="89"/>
      <c r="DO178" s="89"/>
      <c r="DP178" s="89"/>
      <c r="DQ178" s="89"/>
      <c r="DR178" s="89"/>
      <c r="DS178" s="89"/>
      <c r="DT178" s="89"/>
      <c r="DU178" s="89"/>
      <c r="DV178" s="89"/>
      <c r="DW178" s="89"/>
      <c r="DX178" s="89"/>
      <c r="DY178" s="89"/>
      <c r="DZ178" s="89"/>
      <c r="EA178" s="89"/>
      <c r="EB178" s="89"/>
      <c r="EC178" s="89"/>
      <c r="ED178" s="89"/>
      <c r="EE178" s="89"/>
      <c r="EF178" s="89"/>
      <c r="EG178" s="89"/>
      <c r="EH178" s="89"/>
    </row>
    <row r="179" spans="1:138" x14ac:dyDescent="0.25">
      <c r="A179" s="32">
        <v>44069</v>
      </c>
      <c r="B179" s="33" t="str">
        <f t="shared" ca="1" si="0"/>
        <v/>
      </c>
      <c r="C179" s="51">
        <f t="shared" si="93"/>
        <v>176</v>
      </c>
      <c r="D179" s="176">
        <f>DANE!K179</f>
        <v>15</v>
      </c>
      <c r="E179" s="188">
        <f t="shared" si="1"/>
        <v>3937</v>
      </c>
      <c r="F179" s="178">
        <f t="shared" ca="1" si="17"/>
        <v>26.428571428571427</v>
      </c>
      <c r="G179" s="209">
        <f t="shared" si="38"/>
        <v>184.72219989720301</v>
      </c>
      <c r="H179" s="179">
        <f t="shared" si="42"/>
        <v>-6.7103099691722165E-2</v>
      </c>
      <c r="I179" s="213">
        <f t="shared" si="43"/>
        <v>0.5302783021579448</v>
      </c>
      <c r="J179" s="214">
        <f t="shared" ca="1" si="44"/>
        <v>1.0015979850925745</v>
      </c>
      <c r="K179" s="176">
        <f>DANE!O179</f>
        <v>23</v>
      </c>
      <c r="L179" s="188">
        <f t="shared" si="2"/>
        <v>1206</v>
      </c>
      <c r="M179" s="177">
        <f t="shared" ca="1" si="18"/>
        <v>22.285714285714285</v>
      </c>
      <c r="N179" s="209">
        <f t="shared" si="62"/>
        <v>142.47355519766907</v>
      </c>
      <c r="O179" s="179">
        <f t="shared" si="66"/>
        <v>2.2152475226695268E-2</v>
      </c>
      <c r="P179" s="213">
        <f t="shared" si="67"/>
        <v>1.1550673265868669</v>
      </c>
      <c r="Q179" s="217">
        <f t="shared" ca="1" si="68"/>
        <v>1.2698973602221908</v>
      </c>
      <c r="R179" s="176">
        <f>DANE!S179</f>
        <v>20</v>
      </c>
      <c r="S179" s="188">
        <f t="shared" si="3"/>
        <v>1443</v>
      </c>
      <c r="T179" s="177">
        <f t="shared" ca="1" si="19"/>
        <v>18.285714285714285</v>
      </c>
      <c r="U179" s="209">
        <f t="shared" si="50"/>
        <v>129.53293634711878</v>
      </c>
      <c r="V179" s="179">
        <f t="shared" si="55"/>
        <v>1.3651554111685104E-2</v>
      </c>
      <c r="W179" s="213">
        <f t="shared" si="56"/>
        <v>1.0955608787817956</v>
      </c>
      <c r="X179" s="214">
        <f t="shared" ca="1" si="57"/>
        <v>1.0243101850928584</v>
      </c>
      <c r="Y179" s="176">
        <f>DANE!W179</f>
        <v>4</v>
      </c>
      <c r="Z179" s="188">
        <f t="shared" si="4"/>
        <v>639</v>
      </c>
      <c r="AA179" s="177">
        <f t="shared" ca="1" si="20"/>
        <v>4</v>
      </c>
      <c r="AB179" s="209">
        <f t="shared" si="94"/>
        <v>41.449168696825154</v>
      </c>
      <c r="AC179" s="179">
        <f t="shared" si="95"/>
        <v>-5.1304471652932761E-2</v>
      </c>
      <c r="AD179" s="213">
        <f t="shared" si="96"/>
        <v>0.6408686984294707</v>
      </c>
      <c r="AE179" s="217">
        <f t="shared" ca="1" si="97"/>
        <v>0.51672520674009681</v>
      </c>
      <c r="AF179" s="176">
        <f>DANE!AA179</f>
        <v>34</v>
      </c>
      <c r="AG179" s="188">
        <f t="shared" si="5"/>
        <v>5107</v>
      </c>
      <c r="AH179" s="177">
        <f t="shared" ca="1" si="21"/>
        <v>55.428571428571431</v>
      </c>
      <c r="AI179" s="209">
        <f t="shared" si="37"/>
        <v>351.81204832658636</v>
      </c>
      <c r="AJ179" s="179">
        <f t="shared" si="39"/>
        <v>-5.115874030662125E-2</v>
      </c>
      <c r="AK179" s="213">
        <f t="shared" si="40"/>
        <v>0.64188881785365126</v>
      </c>
      <c r="AL179" s="214">
        <f t="shared" ca="1" si="41"/>
        <v>1.1773598826186149</v>
      </c>
      <c r="AM179" s="176">
        <f>DANE!AE179</f>
        <v>118</v>
      </c>
      <c r="AN179" s="188">
        <f t="shared" si="6"/>
        <v>6756</v>
      </c>
      <c r="AO179" s="177">
        <f t="shared" ca="1" si="22"/>
        <v>131.14285714285714</v>
      </c>
      <c r="AP179" s="209">
        <f t="shared" si="49"/>
        <v>875.00806352078268</v>
      </c>
      <c r="AQ179" s="179">
        <f t="shared" si="51"/>
        <v>-9.2484509332418224E-3</v>
      </c>
      <c r="AR179" s="213">
        <f t="shared" si="52"/>
        <v>0.9352608434673072</v>
      </c>
      <c r="AS179" s="217">
        <f t="shared" ca="1" si="53"/>
        <v>1.0212456387777489</v>
      </c>
      <c r="AT179" s="176">
        <f>DANE!AI179</f>
        <v>106</v>
      </c>
      <c r="AU179" s="188">
        <f t="shared" si="7"/>
        <v>8871</v>
      </c>
      <c r="AV179" s="177">
        <f t="shared" ca="1" si="23"/>
        <v>100</v>
      </c>
      <c r="AW179" s="209">
        <f t="shared" si="33"/>
        <v>683.38593703082927</v>
      </c>
      <c r="AX179" s="179">
        <f t="shared" si="34"/>
        <v>1.4502323368117197E-2</v>
      </c>
      <c r="AY179" s="213">
        <f t="shared" si="35"/>
        <v>1.1015162635768203</v>
      </c>
      <c r="AZ179" s="214">
        <f t="shared" ca="1" si="36"/>
        <v>0.99662878092746876</v>
      </c>
      <c r="BA179" s="176">
        <f>DANE!AM179</f>
        <v>17</v>
      </c>
      <c r="BB179" s="188">
        <f t="shared" si="8"/>
        <v>1572</v>
      </c>
      <c r="BC179" s="177">
        <f t="shared" ca="1" si="24"/>
        <v>14.857142857142858</v>
      </c>
      <c r="BD179" s="209">
        <f t="shared" si="77"/>
        <v>102.98629847872108</v>
      </c>
      <c r="BE179" s="179">
        <f t="shared" si="80"/>
        <v>2.6605071812262345E-2</v>
      </c>
      <c r="BF179" s="213">
        <f t="shared" si="81"/>
        <v>1.1862355026858364</v>
      </c>
      <c r="BG179" s="217">
        <f t="shared" ca="1" si="82"/>
        <v>0.98047333142887561</v>
      </c>
      <c r="BH179" s="176">
        <f>DANE!AQ179</f>
        <v>49</v>
      </c>
      <c r="BI179" s="188">
        <f t="shared" si="9"/>
        <v>2229</v>
      </c>
      <c r="BJ179" s="177">
        <f t="shared" ca="1" si="25"/>
        <v>39.714285714285715</v>
      </c>
      <c r="BK179" s="209">
        <f t="shared" si="61"/>
        <v>274.32353587616876</v>
      </c>
      <c r="BL179" s="179">
        <f t="shared" si="63"/>
        <v>4.3541494270058864E-2</v>
      </c>
      <c r="BM179" s="213">
        <f t="shared" si="64"/>
        <v>1.3047904598904121</v>
      </c>
      <c r="BN179" s="214">
        <f t="shared" ca="1" si="65"/>
        <v>1.1380738351076354</v>
      </c>
      <c r="BO179" s="176">
        <f>DANE!AU179</f>
        <v>13</v>
      </c>
      <c r="BP179" s="188">
        <f t="shared" si="10"/>
        <v>1245</v>
      </c>
      <c r="BQ179" s="177">
        <f t="shared" ca="1" si="26"/>
        <v>11.428571428571429</v>
      </c>
      <c r="BR179" s="209">
        <f t="shared" si="78"/>
        <v>80.441639479663422</v>
      </c>
      <c r="BS179" s="179">
        <f t="shared" si="83"/>
        <v>2.2365073400176884E-2</v>
      </c>
      <c r="BT179" s="213">
        <f t="shared" si="84"/>
        <v>1.1565555138012382</v>
      </c>
      <c r="BU179" s="217">
        <f t="shared" ca="1" si="85"/>
        <v>1.2455560312019494</v>
      </c>
      <c r="BV179" s="176">
        <f>DANE!AY179</f>
        <v>60</v>
      </c>
      <c r="BW179" s="188">
        <f t="shared" si="11"/>
        <v>2258</v>
      </c>
      <c r="BX179" s="177">
        <f t="shared" ca="1" si="27"/>
        <v>74.428571428571431</v>
      </c>
      <c r="BY179" s="209">
        <f t="shared" si="69"/>
        <v>465.61428126946424</v>
      </c>
      <c r="BZ179" s="179">
        <f t="shared" si="71"/>
        <v>-1.6065326583776466E-2</v>
      </c>
      <c r="CA179" s="213">
        <f t="shared" si="72"/>
        <v>0.88754271391356476</v>
      </c>
      <c r="CB179" s="214">
        <f t="shared" ca="1" si="73"/>
        <v>1.2494691749423059</v>
      </c>
      <c r="CC179" s="176">
        <f>DANE!BC179</f>
        <v>114</v>
      </c>
      <c r="CD179" s="188">
        <f t="shared" si="12"/>
        <v>20017</v>
      </c>
      <c r="CE179" s="177">
        <f t="shared" ca="1" si="28"/>
        <v>127.85714285714286</v>
      </c>
      <c r="CF179" s="209">
        <f t="shared" si="45"/>
        <v>876.74567243073363</v>
      </c>
      <c r="CG179" s="179">
        <f t="shared" si="46"/>
        <v>-1.474853569469534E-2</v>
      </c>
      <c r="CH179" s="213">
        <f t="shared" si="47"/>
        <v>0.89676025013713256</v>
      </c>
      <c r="CI179" s="217">
        <f t="shared" ca="1" si="48"/>
        <v>0.92333857081117598</v>
      </c>
      <c r="CJ179" s="176">
        <f>DANE!BG179</f>
        <v>20</v>
      </c>
      <c r="CK179" s="188">
        <f t="shared" si="13"/>
        <v>1342</v>
      </c>
      <c r="CL179" s="177">
        <f t="shared" ca="1" si="29"/>
        <v>21.285714285714285</v>
      </c>
      <c r="CM179" s="209">
        <f t="shared" si="79"/>
        <v>130.07022274084494</v>
      </c>
      <c r="CN179" s="179">
        <f t="shared" si="86"/>
        <v>1.2887587334047929E-2</v>
      </c>
      <c r="CO179" s="213">
        <f t="shared" si="87"/>
        <v>1.0902131113383355</v>
      </c>
      <c r="CP179" s="214">
        <f t="shared" ca="1" si="88"/>
        <v>1.5939635568247301</v>
      </c>
      <c r="CQ179" s="176">
        <f>DANE!BK179</f>
        <v>24</v>
      </c>
      <c r="CR179" s="188">
        <f t="shared" si="14"/>
        <v>784</v>
      </c>
      <c r="CS179" s="177">
        <f t="shared" ca="1" si="30"/>
        <v>18.857142857142858</v>
      </c>
      <c r="CT179" s="209">
        <f t="shared" si="89"/>
        <v>122.88012946197948</v>
      </c>
      <c r="CU179" s="179">
        <f t="shared" si="90"/>
        <v>6.5186967555743672E-2</v>
      </c>
      <c r="CV179" s="213">
        <f t="shared" si="91"/>
        <v>1.4563087728902058</v>
      </c>
      <c r="CW179" s="217">
        <f t="shared" ca="1" si="92"/>
        <v>1.1839821183944559</v>
      </c>
      <c r="CX179" s="176">
        <f>DANE!BO179</f>
        <v>94</v>
      </c>
      <c r="CY179" s="188">
        <f t="shared" si="15"/>
        <v>5321</v>
      </c>
      <c r="CZ179" s="177">
        <f t="shared" ca="1" si="31"/>
        <v>66.142857142857139</v>
      </c>
      <c r="DA179" s="209">
        <f t="shared" si="54"/>
        <v>415.32709025697727</v>
      </c>
      <c r="DB179" s="179">
        <f t="shared" si="58"/>
        <v>0.10788868908311661</v>
      </c>
      <c r="DC179" s="213">
        <f t="shared" si="59"/>
        <v>1.7552208235818163</v>
      </c>
      <c r="DD179" s="214">
        <f t="shared" ca="1" si="60"/>
        <v>1.2219828423423706</v>
      </c>
      <c r="DE179" s="176">
        <f>DANE!BS179</f>
        <v>18</v>
      </c>
      <c r="DF179" s="188">
        <f t="shared" si="16"/>
        <v>1075</v>
      </c>
      <c r="DG179" s="177">
        <f t="shared" ca="1" si="32"/>
        <v>9.4285714285714288</v>
      </c>
      <c r="DH179" s="209">
        <f t="shared" si="70"/>
        <v>80.829392851690784</v>
      </c>
      <c r="DI179" s="179">
        <f t="shared" si="74"/>
        <v>0.10270581308277339</v>
      </c>
      <c r="DJ179" s="157">
        <f t="shared" si="75"/>
        <v>1.7189406915794136</v>
      </c>
      <c r="DK179" s="225">
        <f t="shared" ca="1" si="76"/>
        <v>0.80001335171492782</v>
      </c>
      <c r="DL179" s="88"/>
      <c r="DM179" s="88"/>
      <c r="DN179" s="88"/>
      <c r="DO179" s="88"/>
      <c r="DP179" s="88"/>
      <c r="DQ179" s="88"/>
      <c r="DR179" s="88"/>
      <c r="DS179" s="88"/>
      <c r="DT179" s="88"/>
      <c r="DU179" s="88"/>
      <c r="DV179" s="88"/>
      <c r="DW179" s="89"/>
      <c r="DX179" s="89"/>
      <c r="DY179" s="89"/>
      <c r="DZ179" s="89"/>
      <c r="EA179" s="89"/>
      <c r="EB179" s="89"/>
      <c r="EC179" s="89"/>
      <c r="ED179" s="89"/>
      <c r="EE179" s="89"/>
      <c r="EF179" s="89"/>
      <c r="EG179" s="89"/>
      <c r="EH179" s="89"/>
    </row>
    <row r="180" spans="1:138" x14ac:dyDescent="0.25">
      <c r="A180" s="32">
        <v>44070</v>
      </c>
      <c r="B180" s="33" t="str">
        <f t="shared" ca="1" si="0"/>
        <v/>
      </c>
      <c r="C180" s="51">
        <f t="shared" si="93"/>
        <v>177</v>
      </c>
      <c r="D180" s="176">
        <f>DANE!K180</f>
        <v>28</v>
      </c>
      <c r="E180" s="188">
        <f t="shared" si="1"/>
        <v>3965</v>
      </c>
      <c r="F180" s="178">
        <f t="shared" ca="1" si="17"/>
        <v>27.428571428571427</v>
      </c>
      <c r="G180" s="209">
        <f t="shared" si="38"/>
        <v>186.33331419760259</v>
      </c>
      <c r="H180" s="179">
        <f t="shared" si="42"/>
        <v>8.7218228306947133E-3</v>
      </c>
      <c r="I180" s="213">
        <f t="shared" si="43"/>
        <v>1.0610527598148629</v>
      </c>
      <c r="J180" s="214">
        <f t="shared" ca="1" si="44"/>
        <v>1.0403360393386643</v>
      </c>
      <c r="K180" s="176">
        <f>DANE!O180</f>
        <v>24</v>
      </c>
      <c r="L180" s="188">
        <f t="shared" si="2"/>
        <v>1230</v>
      </c>
      <c r="M180" s="177">
        <f t="shared" ca="1" si="18"/>
        <v>22.714285714285715</v>
      </c>
      <c r="N180" s="209">
        <f t="shared" si="62"/>
        <v>146.12019016943066</v>
      </c>
      <c r="O180" s="179">
        <f t="shared" si="66"/>
        <v>2.5595170743807242E-2</v>
      </c>
      <c r="P180" s="213">
        <f t="shared" si="67"/>
        <v>1.1791661952066508</v>
      </c>
      <c r="Q180" s="217">
        <f t="shared" ca="1" si="68"/>
        <v>1.2492950317080498</v>
      </c>
      <c r="R180" s="176">
        <f>DANE!S180</f>
        <v>14</v>
      </c>
      <c r="S180" s="188">
        <f t="shared" si="3"/>
        <v>1457</v>
      </c>
      <c r="T180" s="177">
        <f t="shared" ca="1" si="19"/>
        <v>18</v>
      </c>
      <c r="U180" s="209">
        <f t="shared" si="50"/>
        <v>125.02823115467325</v>
      </c>
      <c r="V180" s="179">
        <f t="shared" si="55"/>
        <v>-3.4776523403854162E-2</v>
      </c>
      <c r="W180" s="213">
        <f t="shared" si="56"/>
        <v>0.75656433617302088</v>
      </c>
      <c r="X180" s="214">
        <f t="shared" ca="1" si="57"/>
        <v>1.0073645409280261</v>
      </c>
      <c r="Y180" s="176">
        <f>DANE!W180</f>
        <v>12</v>
      </c>
      <c r="Z180" s="188">
        <f t="shared" si="4"/>
        <v>651</v>
      </c>
      <c r="AA180" s="177">
        <f t="shared" ca="1" si="20"/>
        <v>4.5714285714285712</v>
      </c>
      <c r="AB180" s="209">
        <f t="shared" si="94"/>
        <v>47.527858882992994</v>
      </c>
      <c r="AC180" s="179">
        <f t="shared" si="95"/>
        <v>0.14665409168105811</v>
      </c>
      <c r="AD180" s="213">
        <f t="shared" si="96"/>
        <v>2.026578641767407</v>
      </c>
      <c r="AE180" s="217">
        <f t="shared" ca="1" si="97"/>
        <v>0.69028954246671914</v>
      </c>
      <c r="AF180" s="176">
        <f>DANE!AA180</f>
        <v>47</v>
      </c>
      <c r="AG180" s="188">
        <f t="shared" si="5"/>
        <v>5154</v>
      </c>
      <c r="AH180" s="177">
        <f t="shared" ca="1" si="21"/>
        <v>55.857142857142854</v>
      </c>
      <c r="AI180" s="209">
        <f t="shared" si="37"/>
        <v>348.5531842799312</v>
      </c>
      <c r="AJ180" s="179">
        <f t="shared" si="39"/>
        <v>-9.2630825526190223E-3</v>
      </c>
      <c r="AK180" s="213">
        <f t="shared" si="40"/>
        <v>0.93515842213166689</v>
      </c>
      <c r="AL180" s="214">
        <f t="shared" ca="1" si="41"/>
        <v>1.1629828164534739</v>
      </c>
      <c r="AM180" s="176">
        <f>DANE!AE180</f>
        <v>233</v>
      </c>
      <c r="AN180" s="188">
        <f t="shared" si="6"/>
        <v>6989</v>
      </c>
      <c r="AO180" s="177">
        <f t="shared" ca="1" si="22"/>
        <v>142.85714285714286</v>
      </c>
      <c r="AP180" s="209">
        <f t="shared" si="49"/>
        <v>983.00691158924235</v>
      </c>
      <c r="AQ180" s="179">
        <f t="shared" si="51"/>
        <v>0.12342611750788116</v>
      </c>
      <c r="AR180" s="213">
        <f t="shared" si="52"/>
        <v>1.863982822555168</v>
      </c>
      <c r="AS180" s="217">
        <f t="shared" ca="1" si="53"/>
        <v>1.1125805268778572</v>
      </c>
      <c r="AT180" s="176">
        <f>DANE!AI180</f>
        <v>107</v>
      </c>
      <c r="AU180" s="188">
        <f t="shared" si="7"/>
        <v>8978</v>
      </c>
      <c r="AV180" s="177">
        <f t="shared" ca="1" si="23"/>
        <v>101.57142857142857</v>
      </c>
      <c r="AW180" s="209">
        <f t="shared" si="33"/>
        <v>692.75937459785371</v>
      </c>
      <c r="AX180" s="179">
        <f t="shared" si="34"/>
        <v>1.3716169823087213E-2</v>
      </c>
      <c r="AY180" s="213">
        <f t="shared" si="35"/>
        <v>1.0960131887616105</v>
      </c>
      <c r="AZ180" s="214">
        <f t="shared" ca="1" si="36"/>
        <v>1.0145856849857158</v>
      </c>
      <c r="BA180" s="176">
        <f>DANE!AM180</f>
        <v>16</v>
      </c>
      <c r="BB180" s="188">
        <f t="shared" si="8"/>
        <v>1588</v>
      </c>
      <c r="BC180" s="177">
        <f t="shared" ca="1" si="24"/>
        <v>16</v>
      </c>
      <c r="BD180" s="209">
        <f t="shared" si="77"/>
        <v>104.27397012461807</v>
      </c>
      <c r="BE180" s="179">
        <f t="shared" si="80"/>
        <v>1.2503329713933253E-2</v>
      </c>
      <c r="BF180" s="213">
        <f t="shared" si="81"/>
        <v>1.0875233079975328</v>
      </c>
      <c r="BG180" s="217">
        <f t="shared" ca="1" si="82"/>
        <v>1.0613857750362972</v>
      </c>
      <c r="BH180" s="176">
        <f>DANE!AQ180</f>
        <v>33</v>
      </c>
      <c r="BI180" s="188">
        <f t="shared" si="9"/>
        <v>2262</v>
      </c>
      <c r="BJ180" s="177">
        <f t="shared" ca="1" si="25"/>
        <v>40.714285714285715</v>
      </c>
      <c r="BK180" s="209">
        <f t="shared" si="61"/>
        <v>268.13445932243042</v>
      </c>
      <c r="BL180" s="179">
        <f t="shared" si="63"/>
        <v>-2.2561230606666323E-2</v>
      </c>
      <c r="BM180" s="213">
        <f t="shared" si="64"/>
        <v>0.84207138575333573</v>
      </c>
      <c r="BN180" s="214">
        <f t="shared" ca="1" si="65"/>
        <v>1.1507477000220994</v>
      </c>
      <c r="BO180" s="176">
        <f>DANE!AU180</f>
        <v>12</v>
      </c>
      <c r="BP180" s="188">
        <f t="shared" si="10"/>
        <v>1257</v>
      </c>
      <c r="BQ180" s="177">
        <f t="shared" ca="1" si="26"/>
        <v>11.428571428571429</v>
      </c>
      <c r="BR180" s="209">
        <f t="shared" si="78"/>
        <v>80.949976696854364</v>
      </c>
      <c r="BS180" s="179">
        <f t="shared" si="83"/>
        <v>6.3193293980470808E-3</v>
      </c>
      <c r="BT180" s="213">
        <f t="shared" si="84"/>
        <v>1.0442353057863296</v>
      </c>
      <c r="BU180" s="217">
        <f t="shared" ca="1" si="85"/>
        <v>1.2132210959646801</v>
      </c>
      <c r="BV180" s="176">
        <f>DANE!AY180</f>
        <v>71</v>
      </c>
      <c r="BW180" s="188">
        <f t="shared" si="11"/>
        <v>2329</v>
      </c>
      <c r="BX180" s="177">
        <f t="shared" ca="1" si="27"/>
        <v>74.857142857142861</v>
      </c>
      <c r="BY180" s="209">
        <f t="shared" si="69"/>
        <v>470.09795537382655</v>
      </c>
      <c r="BZ180" s="179">
        <f t="shared" si="71"/>
        <v>9.6295888780255825E-3</v>
      </c>
      <c r="CA180" s="213">
        <f t="shared" si="72"/>
        <v>1.0674071221461792</v>
      </c>
      <c r="CB180" s="214">
        <f t="shared" ca="1" si="73"/>
        <v>1.2161966923810452</v>
      </c>
      <c r="CC180" s="176">
        <f>DANE!BC180</f>
        <v>118</v>
      </c>
      <c r="CD180" s="188">
        <f t="shared" si="12"/>
        <v>20135</v>
      </c>
      <c r="CE180" s="177">
        <f t="shared" ca="1" si="28"/>
        <v>119.57142857142857</v>
      </c>
      <c r="CF180" s="209">
        <f t="shared" si="45"/>
        <v>869.49629065491456</v>
      </c>
      <c r="CG180" s="179">
        <f t="shared" si="46"/>
        <v>-8.2685116149139645E-3</v>
      </c>
      <c r="CH180" s="213">
        <f t="shared" si="47"/>
        <v>0.94212041869560226</v>
      </c>
      <c r="CI180" s="217">
        <f t="shared" ca="1" si="48"/>
        <v>0.87286184305379722</v>
      </c>
      <c r="CJ180" s="176">
        <f>DANE!BG180</f>
        <v>18</v>
      </c>
      <c r="CK180" s="188">
        <f t="shared" si="13"/>
        <v>1360</v>
      </c>
      <c r="CL180" s="177">
        <f t="shared" ca="1" si="29"/>
        <v>21.714285714285715</v>
      </c>
      <c r="CM180" s="209">
        <f t="shared" si="79"/>
        <v>129.48876234929565</v>
      </c>
      <c r="CN180" s="179">
        <f t="shared" si="86"/>
        <v>-4.4703574676565371E-3</v>
      </c>
      <c r="CO180" s="213">
        <f t="shared" si="87"/>
        <v>0.96870749772640419</v>
      </c>
      <c r="CP180" s="214">
        <f t="shared" ca="1" si="88"/>
        <v>1.5427070648602743</v>
      </c>
      <c r="CQ180" s="176">
        <f>DANE!BK180</f>
        <v>51</v>
      </c>
      <c r="CR180" s="188">
        <f t="shared" si="14"/>
        <v>835</v>
      </c>
      <c r="CS180" s="177">
        <f t="shared" ca="1" si="30"/>
        <v>24.285714285714285</v>
      </c>
      <c r="CT180" s="209">
        <f t="shared" si="89"/>
        <v>156.32582525312529</v>
      </c>
      <c r="CU180" s="179">
        <f t="shared" si="90"/>
        <v>0.2721814823729844</v>
      </c>
      <c r="CV180" s="213">
        <f t="shared" si="91"/>
        <v>2.9052703766108907</v>
      </c>
      <c r="CW180" s="217">
        <f t="shared" ca="1" si="92"/>
        <v>1.4750704258478058</v>
      </c>
      <c r="CX180" s="176">
        <f>DANE!BO180</f>
        <v>92</v>
      </c>
      <c r="CY180" s="188">
        <f t="shared" si="15"/>
        <v>5413</v>
      </c>
      <c r="CZ180" s="177">
        <f t="shared" ca="1" si="31"/>
        <v>67.857142857142861</v>
      </c>
      <c r="DA180" s="209">
        <f t="shared" si="54"/>
        <v>447.99464879169483</v>
      </c>
      <c r="DB180" s="179">
        <f t="shared" si="58"/>
        <v>7.8655015049716615E-2</v>
      </c>
      <c r="DC180" s="213">
        <f t="shared" si="59"/>
        <v>1.5505851053480164</v>
      </c>
      <c r="DD180" s="214">
        <f t="shared" ca="1" si="60"/>
        <v>1.2068652095065933</v>
      </c>
      <c r="DE180" s="176">
        <f>DANE!BS180</f>
        <v>11</v>
      </c>
      <c r="DF180" s="188">
        <f t="shared" si="16"/>
        <v>1086</v>
      </c>
      <c r="DG180" s="177">
        <f t="shared" ca="1" si="32"/>
        <v>9.2857142857142865</v>
      </c>
      <c r="DH180" s="209">
        <f t="shared" si="70"/>
        <v>80.282336730020674</v>
      </c>
      <c r="DI180" s="179">
        <f t="shared" si="74"/>
        <v>-6.768034527660895E-3</v>
      </c>
      <c r="DJ180" s="157">
        <f t="shared" si="75"/>
        <v>0.95262375830637369</v>
      </c>
      <c r="DK180" s="225">
        <f t="shared" ca="1" si="76"/>
        <v>0.81698441879964356</v>
      </c>
      <c r="DL180" s="88"/>
      <c r="DM180" s="371"/>
      <c r="DN180" s="372"/>
      <c r="DO180" s="372"/>
      <c r="DP180" s="372"/>
      <c r="DQ180" s="372"/>
      <c r="DR180" s="372"/>
      <c r="DS180" s="372"/>
      <c r="DT180" s="372"/>
      <c r="DU180" s="372"/>
      <c r="DV180" s="372"/>
      <c r="DW180" s="89"/>
      <c r="DX180" s="89"/>
      <c r="DY180" s="89"/>
      <c r="DZ180" s="89"/>
      <c r="EA180" s="89"/>
      <c r="EB180" s="89"/>
      <c r="EC180" s="89"/>
      <c r="ED180" s="89"/>
      <c r="EE180" s="89"/>
      <c r="EF180" s="89"/>
      <c r="EG180" s="89"/>
      <c r="EH180" s="89"/>
    </row>
    <row r="181" spans="1:138" x14ac:dyDescent="0.25">
      <c r="A181" s="32">
        <v>44071</v>
      </c>
      <c r="B181" s="33" t="str">
        <f t="shared" ca="1" si="0"/>
        <v/>
      </c>
      <c r="C181" s="51">
        <f t="shared" si="93"/>
        <v>178</v>
      </c>
      <c r="D181" s="176">
        <f>DANE!K181</f>
        <v>30</v>
      </c>
      <c r="E181" s="188">
        <f t="shared" si="1"/>
        <v>3995</v>
      </c>
      <c r="F181" s="178">
        <f t="shared" ca="1" si="17"/>
        <v>27.428571428571427</v>
      </c>
      <c r="G181" s="209">
        <f t="shared" si="38"/>
        <v>189.71426931223081</v>
      </c>
      <c r="H181" s="179">
        <f t="shared" si="42"/>
        <v>1.814466258590125E-2</v>
      </c>
      <c r="I181" s="213">
        <f t="shared" si="43"/>
        <v>1.1270126381013088</v>
      </c>
      <c r="J181" s="214">
        <f t="shared" ca="1" si="44"/>
        <v>1.0351481545203303</v>
      </c>
      <c r="K181" s="176">
        <f>DANE!O181</f>
        <v>38</v>
      </c>
      <c r="L181" s="188">
        <f t="shared" si="2"/>
        <v>1268</v>
      </c>
      <c r="M181" s="177">
        <f t="shared" ca="1" si="18"/>
        <v>23.714285714285715</v>
      </c>
      <c r="N181" s="209">
        <f t="shared" si="62"/>
        <v>163.24587728808342</v>
      </c>
      <c r="O181" s="179">
        <f t="shared" si="66"/>
        <v>0.11720274315818385</v>
      </c>
      <c r="P181" s="213">
        <f t="shared" si="67"/>
        <v>1.8204192021072871</v>
      </c>
      <c r="Q181" s="217">
        <f t="shared" ca="1" si="68"/>
        <v>1.2425977687454408</v>
      </c>
      <c r="R181" s="176">
        <f>DANE!S181</f>
        <v>27</v>
      </c>
      <c r="S181" s="188">
        <f t="shared" si="3"/>
        <v>1484</v>
      </c>
      <c r="T181" s="177">
        <f t="shared" ca="1" si="19"/>
        <v>18.857142857142858</v>
      </c>
      <c r="U181" s="209">
        <f t="shared" si="50"/>
        <v>134.16705527543422</v>
      </c>
      <c r="V181" s="179">
        <f t="shared" si="55"/>
        <v>7.3094084722795702E-2</v>
      </c>
      <c r="W181" s="213">
        <f t="shared" si="56"/>
        <v>1.5116585930595701</v>
      </c>
      <c r="X181" s="214">
        <f t="shared" ca="1" si="57"/>
        <v>1.0562396840230006</v>
      </c>
      <c r="Y181" s="176">
        <f>DANE!W181</f>
        <v>9</v>
      </c>
      <c r="Z181" s="188">
        <f t="shared" si="4"/>
        <v>660</v>
      </c>
      <c r="AA181" s="177">
        <f t="shared" ca="1" si="20"/>
        <v>5.7142857142857144</v>
      </c>
      <c r="AB181" s="209">
        <f t="shared" si="94"/>
        <v>49.738164756851141</v>
      </c>
      <c r="AC181" s="179">
        <f t="shared" si="95"/>
        <v>4.6505479645098546E-2</v>
      </c>
      <c r="AD181" s="213">
        <f t="shared" si="96"/>
        <v>1.3255383575156898</v>
      </c>
      <c r="AE181" s="217">
        <f t="shared" ca="1" si="97"/>
        <v>0.86475799692047273</v>
      </c>
      <c r="AF181" s="176">
        <f>DANE!AA181</f>
        <v>39</v>
      </c>
      <c r="AG181" s="188">
        <f t="shared" si="5"/>
        <v>5193</v>
      </c>
      <c r="AH181" s="177">
        <f t="shared" ca="1" si="21"/>
        <v>54.428571428571431</v>
      </c>
      <c r="AI181" s="209">
        <f t="shared" si="37"/>
        <v>337.75987223994105</v>
      </c>
      <c r="AJ181" s="179">
        <f t="shared" si="39"/>
        <v>-3.0966040555009806E-2</v>
      </c>
      <c r="AK181" s="213">
        <f t="shared" si="40"/>
        <v>0.78323771611493131</v>
      </c>
      <c r="AL181" s="214">
        <f t="shared" ca="1" si="41"/>
        <v>1.1109263168999555</v>
      </c>
      <c r="AM181" s="176">
        <f>DANE!AE181</f>
        <v>139</v>
      </c>
      <c r="AN181" s="188">
        <f t="shared" si="6"/>
        <v>7128</v>
      </c>
      <c r="AO181" s="177">
        <f t="shared" ca="1" si="22"/>
        <v>140.42857142857142</v>
      </c>
      <c r="AP181" s="209">
        <f t="shared" si="49"/>
        <v>981.57735279077917</v>
      </c>
      <c r="AQ181" s="179">
        <f t="shared" si="51"/>
        <v>-1.4542713602613301E-3</v>
      </c>
      <c r="AR181" s="213">
        <f t="shared" si="52"/>
        <v>0.98982010047817071</v>
      </c>
      <c r="AS181" s="217">
        <f t="shared" ca="1" si="53"/>
        <v>1.078861897896791</v>
      </c>
      <c r="AT181" s="176">
        <f>DANE!AI181</f>
        <v>130</v>
      </c>
      <c r="AU181" s="188">
        <f t="shared" si="7"/>
        <v>9108</v>
      </c>
      <c r="AV181" s="177">
        <f t="shared" ca="1" si="23"/>
        <v>99.285714285714292</v>
      </c>
      <c r="AW181" s="209">
        <f t="shared" si="33"/>
        <v>723.79374965530326</v>
      </c>
      <c r="AX181" s="179">
        <f t="shared" si="34"/>
        <v>4.4798202948123193E-2</v>
      </c>
      <c r="AY181" s="213">
        <f t="shared" si="35"/>
        <v>1.3135874206368623</v>
      </c>
      <c r="AZ181" s="214">
        <f t="shared" ca="1" si="36"/>
        <v>0.99053076905684478</v>
      </c>
      <c r="BA181" s="176">
        <f>DANE!AM181</f>
        <v>15</v>
      </c>
      <c r="BB181" s="188">
        <f t="shared" si="8"/>
        <v>1603</v>
      </c>
      <c r="BC181" s="177">
        <f t="shared" ca="1" si="24"/>
        <v>14.571428571428571</v>
      </c>
      <c r="BD181" s="209">
        <f t="shared" si="77"/>
        <v>104.37768867824407</v>
      </c>
      <c r="BE181" s="179">
        <f t="shared" si="80"/>
        <v>9.9467348852298591E-4</v>
      </c>
      <c r="BF181" s="213">
        <f t="shared" si="81"/>
        <v>1.0069627144196609</v>
      </c>
      <c r="BG181" s="217">
        <f t="shared" ca="1" si="82"/>
        <v>0.9555034065792779</v>
      </c>
      <c r="BH181" s="176">
        <f>DANE!AQ181</f>
        <v>70</v>
      </c>
      <c r="BI181" s="188">
        <f t="shared" si="9"/>
        <v>2332</v>
      </c>
      <c r="BJ181" s="177">
        <f t="shared" ca="1" si="25"/>
        <v>44.142857142857146</v>
      </c>
      <c r="BK181" s="209">
        <f t="shared" si="61"/>
        <v>299.82953656208326</v>
      </c>
      <c r="BL181" s="179">
        <f t="shared" si="63"/>
        <v>0.11820590803489255</v>
      </c>
      <c r="BM181" s="213">
        <f t="shared" si="64"/>
        <v>1.8274413562442477</v>
      </c>
      <c r="BN181" s="214">
        <f t="shared" ca="1" si="65"/>
        <v>1.2144484332028216</v>
      </c>
      <c r="BO181" s="176">
        <f>DANE!AU181</f>
        <v>5</v>
      </c>
      <c r="BP181" s="188">
        <f t="shared" si="10"/>
        <v>1262</v>
      </c>
      <c r="BQ181" s="177">
        <f t="shared" ca="1" si="26"/>
        <v>11.285714285714286</v>
      </c>
      <c r="BR181" s="209">
        <f t="shared" si="78"/>
        <v>74.385694311589461</v>
      </c>
      <c r="BS181" s="179">
        <f t="shared" si="83"/>
        <v>-8.1090602531575337E-2</v>
      </c>
      <c r="BT181" s="213">
        <f t="shared" si="84"/>
        <v>0.4323657822789726</v>
      </c>
      <c r="BU181" s="217">
        <f t="shared" ca="1" si="85"/>
        <v>1.1876094712585032</v>
      </c>
      <c r="BV181" s="176">
        <f>DANE!AY181</f>
        <v>42</v>
      </c>
      <c r="BW181" s="188">
        <f t="shared" si="11"/>
        <v>2371</v>
      </c>
      <c r="BX181" s="177">
        <f t="shared" ca="1" si="27"/>
        <v>68.142857142857139</v>
      </c>
      <c r="BY181" s="209">
        <f t="shared" si="69"/>
        <v>444.94110460613706</v>
      </c>
      <c r="BZ181" s="179">
        <f t="shared" si="71"/>
        <v>-5.3514061229397419E-2</v>
      </c>
      <c r="CA181" s="213">
        <f t="shared" si="72"/>
        <v>0.62540157139421804</v>
      </c>
      <c r="CB181" s="214">
        <f t="shared" ca="1" si="73"/>
        <v>1.0724152677541665</v>
      </c>
      <c r="CC181" s="176">
        <f>DANE!BC181</f>
        <v>104</v>
      </c>
      <c r="CD181" s="188">
        <f t="shared" si="12"/>
        <v>20239</v>
      </c>
      <c r="CE181" s="177">
        <f t="shared" ca="1" si="28"/>
        <v>110.42857142857143</v>
      </c>
      <c r="CF181" s="209">
        <f t="shared" si="45"/>
        <v>849.28253484706966</v>
      </c>
      <c r="CG181" s="179">
        <f t="shared" si="46"/>
        <v>-2.3247661922306387E-2</v>
      </c>
      <c r="CH181" s="213">
        <f t="shared" si="47"/>
        <v>0.83726636654385533</v>
      </c>
      <c r="CI181" s="217">
        <f t="shared" ca="1" si="48"/>
        <v>0.82297227908497061</v>
      </c>
      <c r="CJ181" s="176">
        <f>DANE!BG181</f>
        <v>19</v>
      </c>
      <c r="CK181" s="188">
        <f t="shared" si="13"/>
        <v>1379</v>
      </c>
      <c r="CL181" s="177">
        <f t="shared" ca="1" si="29"/>
        <v>21.285714285714285</v>
      </c>
      <c r="CM181" s="209">
        <f t="shared" si="79"/>
        <v>129.99036772796771</v>
      </c>
      <c r="CN181" s="179">
        <f t="shared" si="86"/>
        <v>3.8737367596345844E-3</v>
      </c>
      <c r="CO181" s="213">
        <f t="shared" si="87"/>
        <v>1.0271161573174421</v>
      </c>
      <c r="CP181" s="214">
        <f t="shared" ca="1" si="88"/>
        <v>1.4237261010677433</v>
      </c>
      <c r="CQ181" s="176">
        <f>DANE!BK181</f>
        <v>22</v>
      </c>
      <c r="CR181" s="188">
        <f t="shared" si="14"/>
        <v>857</v>
      </c>
      <c r="CS181" s="177">
        <f t="shared" ca="1" si="30"/>
        <v>23.142857142857142</v>
      </c>
      <c r="CT181" s="209">
        <f t="shared" si="89"/>
        <v>155.99356450267882</v>
      </c>
      <c r="CU181" s="179">
        <f t="shared" si="90"/>
        <v>-2.125437367168628E-3</v>
      </c>
      <c r="CV181" s="213">
        <f t="shared" si="91"/>
        <v>0.98512193842981965</v>
      </c>
      <c r="CW181" s="217">
        <f t="shared" ca="1" si="92"/>
        <v>1.3242506231001272</v>
      </c>
      <c r="CX181" s="176">
        <f>DANE!BO181</f>
        <v>92</v>
      </c>
      <c r="CY181" s="188">
        <f t="shared" si="15"/>
        <v>5505</v>
      </c>
      <c r="CZ181" s="177">
        <f t="shared" ca="1" si="31"/>
        <v>70</v>
      </c>
      <c r="DA181" s="209">
        <f t="shared" si="54"/>
        <v>475.99541325002417</v>
      </c>
      <c r="DB181" s="179">
        <f t="shared" si="58"/>
        <v>6.2502452950836312E-2</v>
      </c>
      <c r="DC181" s="213">
        <f t="shared" si="59"/>
        <v>1.4375171706558543</v>
      </c>
      <c r="DD181" s="214">
        <f t="shared" ca="1" si="60"/>
        <v>1.2039949012023314</v>
      </c>
      <c r="DE181" s="176">
        <f>DANE!BS181</f>
        <v>10</v>
      </c>
      <c r="DF181" s="188">
        <f t="shared" si="16"/>
        <v>1096</v>
      </c>
      <c r="DG181" s="177">
        <f t="shared" ca="1" si="32"/>
        <v>9.8571428571428577</v>
      </c>
      <c r="DH181" s="209">
        <f t="shared" si="70"/>
        <v>78.813431482874876</v>
      </c>
      <c r="DI181" s="179">
        <f t="shared" si="74"/>
        <v>-1.8296742558522438E-2</v>
      </c>
      <c r="DJ181" s="157">
        <f t="shared" si="75"/>
        <v>0.8719228020903429</v>
      </c>
      <c r="DK181" s="225">
        <f t="shared" ca="1" si="76"/>
        <v>0.88053754048990274</v>
      </c>
      <c r="DL181" s="89"/>
      <c r="DM181" s="371"/>
      <c r="DN181" s="372"/>
      <c r="DO181" s="372"/>
      <c r="DP181" s="372"/>
      <c r="DQ181" s="372"/>
      <c r="DR181" s="372"/>
      <c r="DS181" s="372"/>
      <c r="DT181" s="372"/>
      <c r="DU181" s="372"/>
      <c r="DV181" s="372"/>
      <c r="DW181" s="89"/>
      <c r="DX181" s="89"/>
      <c r="DY181" s="89"/>
      <c r="DZ181" s="89"/>
      <c r="EA181" s="89"/>
      <c r="EB181" s="89"/>
      <c r="EC181" s="89"/>
      <c r="ED181" s="89"/>
      <c r="EE181" s="89"/>
      <c r="EF181" s="89"/>
      <c r="EG181" s="89"/>
      <c r="EH181" s="89"/>
    </row>
    <row r="182" spans="1:138" x14ac:dyDescent="0.25">
      <c r="A182" s="61">
        <v>44072</v>
      </c>
      <c r="B182" s="62" t="str">
        <f t="shared" ca="1" si="0"/>
        <v/>
      </c>
      <c r="C182" s="12">
        <f t="shared" si="93"/>
        <v>179</v>
      </c>
      <c r="D182" s="176">
        <f>DANE!K182</f>
        <v>44</v>
      </c>
      <c r="E182" s="198">
        <f t="shared" si="1"/>
        <v>4039</v>
      </c>
      <c r="F182" s="178">
        <f t="shared" ca="1" si="17"/>
        <v>29.285714285714285</v>
      </c>
      <c r="G182" s="211">
        <f t="shared" si="38"/>
        <v>206.612230839055</v>
      </c>
      <c r="H182" s="200">
        <f t="shared" si="42"/>
        <v>8.9070588037917217E-2</v>
      </c>
      <c r="I182" s="213">
        <f t="shared" si="43"/>
        <v>1.6234941162654204</v>
      </c>
      <c r="J182" s="214">
        <f t="shared" ca="1" si="44"/>
        <v>1.0992620627836081</v>
      </c>
      <c r="K182" s="176">
        <f>DANE!O182</f>
        <v>23</v>
      </c>
      <c r="L182" s="198">
        <f t="shared" si="2"/>
        <v>1291</v>
      </c>
      <c r="M182" s="177">
        <f t="shared" ca="1" si="18"/>
        <v>24.428571428571427</v>
      </c>
      <c r="N182" s="211">
        <f t="shared" si="62"/>
        <v>162.92503767550008</v>
      </c>
      <c r="O182" s="200">
        <f t="shared" si="66"/>
        <v>-1.9653765100428803E-3</v>
      </c>
      <c r="P182" s="213">
        <f t="shared" si="67"/>
        <v>0.98624236442969981</v>
      </c>
      <c r="Q182" s="217">
        <f t="shared" ca="1" si="68"/>
        <v>1.2456736734054705</v>
      </c>
      <c r="R182" s="176">
        <f>DANE!S182</f>
        <v>16</v>
      </c>
      <c r="S182" s="198">
        <f t="shared" si="3"/>
        <v>1500</v>
      </c>
      <c r="T182" s="177">
        <f t="shared" ca="1" si="19"/>
        <v>17.857142857142858</v>
      </c>
      <c r="U182" s="211">
        <f t="shared" si="50"/>
        <v>131.00033309322936</v>
      </c>
      <c r="V182" s="200">
        <f t="shared" si="55"/>
        <v>-2.3602829887738368E-2</v>
      </c>
      <c r="W182" s="213">
        <f t="shared" si="56"/>
        <v>0.83478019078583143</v>
      </c>
      <c r="X182" s="214">
        <f t="shared" ca="1" si="57"/>
        <v>0.99683288744455489</v>
      </c>
      <c r="Y182" s="176">
        <f>DANE!W182</f>
        <v>12</v>
      </c>
      <c r="Z182" s="198">
        <f t="shared" si="4"/>
        <v>672</v>
      </c>
      <c r="AA182" s="177">
        <f t="shared" ca="1" si="20"/>
        <v>6.7142857142857144</v>
      </c>
      <c r="AB182" s="211">
        <f t="shared" si="94"/>
        <v>54.632712648729552</v>
      </c>
      <c r="AC182" s="200">
        <f t="shared" si="95"/>
        <v>9.8406282495660746E-2</v>
      </c>
      <c r="AD182" s="213">
        <f t="shared" si="96"/>
        <v>1.6888439774696251</v>
      </c>
      <c r="AE182" s="217">
        <f t="shared" ca="1" si="97"/>
        <v>1.0206227085820794</v>
      </c>
      <c r="AF182" s="176">
        <f>DANE!AA182</f>
        <v>34</v>
      </c>
      <c r="AG182" s="198">
        <f t="shared" si="5"/>
        <v>5227</v>
      </c>
      <c r="AH182" s="177">
        <f t="shared" ca="1" si="21"/>
        <v>48.857142857142854</v>
      </c>
      <c r="AI182" s="211">
        <f t="shared" si="37"/>
        <v>323.50846191994947</v>
      </c>
      <c r="AJ182" s="200">
        <f t="shared" si="39"/>
        <v>-4.2193911980957663E-2</v>
      </c>
      <c r="AK182" s="213">
        <f t="shared" si="40"/>
        <v>0.70464261613329637</v>
      </c>
      <c r="AL182" s="214">
        <f t="shared" ca="1" si="41"/>
        <v>0.97238599248073121</v>
      </c>
      <c r="AM182" s="176">
        <f>DANE!AE182</f>
        <v>128</v>
      </c>
      <c r="AN182" s="198">
        <f t="shared" si="6"/>
        <v>7256</v>
      </c>
      <c r="AO182" s="177">
        <f t="shared" ca="1" si="22"/>
        <v>131.14285714285714</v>
      </c>
      <c r="AP182" s="211">
        <f t="shared" si="49"/>
        <v>969.35201667781075</v>
      </c>
      <c r="AQ182" s="200">
        <f t="shared" si="51"/>
        <v>-1.2454786246045573E-2</v>
      </c>
      <c r="AR182" s="213">
        <f t="shared" si="52"/>
        <v>0.91281649627768102</v>
      </c>
      <c r="AS182" s="217">
        <f t="shared" ca="1" si="53"/>
        <v>0.99937932865927415</v>
      </c>
      <c r="AT182" s="176">
        <f>DANE!AI182</f>
        <v>140</v>
      </c>
      <c r="AU182" s="198">
        <f t="shared" si="7"/>
        <v>9248</v>
      </c>
      <c r="AV182" s="177">
        <f t="shared" ca="1" si="23"/>
        <v>97.857142857142861</v>
      </c>
      <c r="AW182" s="211">
        <f t="shared" si="33"/>
        <v>760.39464256168856</v>
      </c>
      <c r="AX182" s="200">
        <f t="shared" si="34"/>
        <v>5.0568125137604412E-2</v>
      </c>
      <c r="AY182" s="213">
        <f t="shared" si="35"/>
        <v>1.3539768759632309</v>
      </c>
      <c r="AZ182" s="214">
        <f t="shared" ca="1" si="36"/>
        <v>0.98045703514376359</v>
      </c>
      <c r="BA182" s="176">
        <f>DANE!AM182</f>
        <v>8</v>
      </c>
      <c r="BB182" s="198">
        <f t="shared" si="8"/>
        <v>1611</v>
      </c>
      <c r="BC182" s="177">
        <f t="shared" ca="1" si="24"/>
        <v>11.571428571428571</v>
      </c>
      <c r="BD182" s="211">
        <f t="shared" si="77"/>
        <v>97.466590295637786</v>
      </c>
      <c r="BE182" s="200">
        <f t="shared" si="80"/>
        <v>-6.6212410622642923E-2</v>
      </c>
      <c r="BF182" s="213">
        <f t="shared" si="81"/>
        <v>0.53651312564149944</v>
      </c>
      <c r="BG182" s="217">
        <f t="shared" ca="1" si="82"/>
        <v>0.770428324061881</v>
      </c>
      <c r="BH182" s="176">
        <f>DANE!AQ182</f>
        <v>42</v>
      </c>
      <c r="BI182" s="198">
        <f t="shared" si="9"/>
        <v>2374</v>
      </c>
      <c r="BJ182" s="177">
        <f t="shared" ca="1" si="25"/>
        <v>45.571428571428569</v>
      </c>
      <c r="BK182" s="211">
        <f t="shared" si="61"/>
        <v>298.99674562464281</v>
      </c>
      <c r="BL182" s="200">
        <f t="shared" si="63"/>
        <v>-2.7775480260865178E-3</v>
      </c>
      <c r="BM182" s="213">
        <f t="shared" si="64"/>
        <v>0.98055716381739433</v>
      </c>
      <c r="BN182" s="214">
        <f t="shared" ca="1" si="65"/>
        <v>1.2243290222458039</v>
      </c>
      <c r="BO182" s="176">
        <f>DANE!AU182</f>
        <v>24</v>
      </c>
      <c r="BP182" s="198">
        <f t="shared" si="10"/>
        <v>1286</v>
      </c>
      <c r="BQ182" s="177">
        <f t="shared" ca="1" si="26"/>
        <v>13.714285714285714</v>
      </c>
      <c r="BR182" s="211">
        <f t="shared" si="78"/>
        <v>87.759166552790973</v>
      </c>
      <c r="BS182" s="200">
        <f t="shared" si="83"/>
        <v>0.17978554028389157</v>
      </c>
      <c r="BT182" s="213">
        <f t="shared" si="84"/>
        <v>2.2584987819872411</v>
      </c>
      <c r="BU182" s="217">
        <f t="shared" ca="1" si="85"/>
        <v>1.4023231722554108</v>
      </c>
      <c r="BV182" s="176">
        <f>DANE!AY182</f>
        <v>45</v>
      </c>
      <c r="BW182" s="198">
        <f t="shared" si="11"/>
        <v>2416</v>
      </c>
      <c r="BX182" s="177">
        <f t="shared" ca="1" si="27"/>
        <v>65.285714285714292</v>
      </c>
      <c r="BY182" s="211">
        <f t="shared" si="69"/>
        <v>426.37808966240323</v>
      </c>
      <c r="BZ182" s="200">
        <f t="shared" si="71"/>
        <v>-4.1720161953042886E-2</v>
      </c>
      <c r="CA182" s="213">
        <f t="shared" si="72"/>
        <v>0.70795886632869975</v>
      </c>
      <c r="CB182" s="214">
        <f t="shared" ca="1" si="73"/>
        <v>1.0173892040913288</v>
      </c>
      <c r="CC182" s="176">
        <f>DANE!BC182</f>
        <v>95</v>
      </c>
      <c r="CD182" s="198">
        <f t="shared" si="12"/>
        <v>20334</v>
      </c>
      <c r="CE182" s="177">
        <f t="shared" ca="1" si="28"/>
        <v>102.14285714285714</v>
      </c>
      <c r="CF182" s="211">
        <f t="shared" si="45"/>
        <v>822.9564584403455</v>
      </c>
      <c r="CG182" s="200">
        <f t="shared" si="46"/>
        <v>-3.0998019300449518E-2</v>
      </c>
      <c r="CH182" s="213">
        <f t="shared" si="47"/>
        <v>0.78301386489685343</v>
      </c>
      <c r="CI182" s="217">
        <f t="shared" ca="1" si="48"/>
        <v>0.78447205991370816</v>
      </c>
      <c r="CJ182" s="176">
        <f>DANE!BG182</f>
        <v>27</v>
      </c>
      <c r="CK182" s="198">
        <f t="shared" si="13"/>
        <v>1406</v>
      </c>
      <c r="CL182" s="177">
        <f t="shared" ca="1" si="29"/>
        <v>23.571428571428573</v>
      </c>
      <c r="CM182" s="211">
        <f t="shared" si="79"/>
        <v>138.42031519540092</v>
      </c>
      <c r="CN182" s="200">
        <f t="shared" si="86"/>
        <v>6.485055481245082E-2</v>
      </c>
      <c r="CO182" s="213">
        <f t="shared" si="87"/>
        <v>1.4539538836871557</v>
      </c>
      <c r="CP182" s="214">
        <f t="shared" ca="1" si="88"/>
        <v>1.5131140182356193</v>
      </c>
      <c r="CQ182" s="176">
        <f>DANE!BK182</f>
        <v>14</v>
      </c>
      <c r="CR182" s="198">
        <f t="shared" si="14"/>
        <v>871</v>
      </c>
      <c r="CS182" s="177">
        <f t="shared" ca="1" si="30"/>
        <v>22.571428571428573</v>
      </c>
      <c r="CT182" s="211">
        <f t="shared" si="89"/>
        <v>147.70876957372471</v>
      </c>
      <c r="CU182" s="200">
        <f t="shared" si="90"/>
        <v>-5.3109850751643296E-2</v>
      </c>
      <c r="CV182" s="213">
        <f t="shared" si="91"/>
        <v>0.62823104473849689</v>
      </c>
      <c r="CW182" s="217">
        <f t="shared" ca="1" si="92"/>
        <v>1.2617111884533414</v>
      </c>
      <c r="CX182" s="176">
        <f>DANE!BO182</f>
        <v>96</v>
      </c>
      <c r="CY182" s="198">
        <f t="shared" si="15"/>
        <v>5601</v>
      </c>
      <c r="CZ182" s="177">
        <f t="shared" ca="1" si="31"/>
        <v>72.142857142857139</v>
      </c>
      <c r="DA182" s="211">
        <f t="shared" si="54"/>
        <v>503.99606850002073</v>
      </c>
      <c r="DB182" s="200">
        <f t="shared" si="58"/>
        <v>5.8825472831371101E-2</v>
      </c>
      <c r="DC182" s="213">
        <f t="shared" si="59"/>
        <v>1.4117783098195977</v>
      </c>
      <c r="DD182" s="214">
        <f t="shared" ca="1" si="60"/>
        <v>1.2000715074691801</v>
      </c>
      <c r="DE182" s="176">
        <f>DANE!BS182</f>
        <v>11</v>
      </c>
      <c r="DF182" s="198">
        <f t="shared" si="16"/>
        <v>1107</v>
      </c>
      <c r="DG182" s="177">
        <f t="shared" ca="1" si="32"/>
        <v>9.8571428571428577</v>
      </c>
      <c r="DH182" s="211">
        <f t="shared" si="70"/>
        <v>78.554369842464183</v>
      </c>
      <c r="DI182" s="200">
        <f t="shared" si="74"/>
        <v>-3.287023994977089E-3</v>
      </c>
      <c r="DJ182" s="157">
        <f t="shared" si="75"/>
        <v>0.97699083203516035</v>
      </c>
      <c r="DK182" s="225">
        <f t="shared" ca="1" si="76"/>
        <v>0.8982902429039934</v>
      </c>
      <c r="DL182" s="88"/>
      <c r="DM182" s="380"/>
      <c r="DN182" s="372"/>
      <c r="DO182" s="372"/>
      <c r="DP182" s="372"/>
      <c r="DQ182" s="372"/>
      <c r="DR182" s="372"/>
      <c r="DS182" s="372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</row>
    <row r="183" spans="1:138" x14ac:dyDescent="0.25">
      <c r="A183" s="61">
        <v>44073</v>
      </c>
      <c r="B183" s="62" t="str">
        <f t="shared" ca="1" si="0"/>
        <v/>
      </c>
      <c r="C183" s="12">
        <f t="shared" si="93"/>
        <v>180</v>
      </c>
      <c r="D183" s="176">
        <f>DANE!K183</f>
        <v>10</v>
      </c>
      <c r="E183" s="198">
        <f t="shared" si="1"/>
        <v>4049</v>
      </c>
      <c r="F183" s="178">
        <f t="shared" ca="1" si="17"/>
        <v>27.285714285714285</v>
      </c>
      <c r="G183" s="211">
        <f t="shared" si="38"/>
        <v>187.09619786204715</v>
      </c>
      <c r="H183" s="200">
        <f t="shared" si="42"/>
        <v>-9.4457297604081739E-2</v>
      </c>
      <c r="I183" s="213">
        <f t="shared" si="43"/>
        <v>0.33879891677142782</v>
      </c>
      <c r="J183" s="214">
        <f t="shared" ca="1" si="44"/>
        <v>1.0209049617428334</v>
      </c>
      <c r="K183" s="176">
        <f>DANE!O183</f>
        <v>22</v>
      </c>
      <c r="L183" s="198">
        <f t="shared" si="2"/>
        <v>1313</v>
      </c>
      <c r="M183" s="177">
        <f t="shared" ca="1" si="18"/>
        <v>26.714285714285715</v>
      </c>
      <c r="N183" s="211">
        <f t="shared" si="62"/>
        <v>161.65003229328579</v>
      </c>
      <c r="O183" s="200">
        <f t="shared" si="66"/>
        <v>-7.8257178909096441E-3</v>
      </c>
      <c r="P183" s="213">
        <f t="shared" si="67"/>
        <v>0.94521997476363251</v>
      </c>
      <c r="Q183" s="217">
        <f t="shared" ca="1" si="68"/>
        <v>1.3345337148831702</v>
      </c>
      <c r="R183" s="176">
        <f>DANE!S183</f>
        <v>69</v>
      </c>
      <c r="S183" s="198">
        <f t="shared" si="3"/>
        <v>1569</v>
      </c>
      <c r="T183" s="177">
        <f t="shared" ca="1" si="19"/>
        <v>26</v>
      </c>
      <c r="U183" s="211">
        <f t="shared" si="50"/>
        <v>181.28599979419658</v>
      </c>
      <c r="V183" s="200">
        <f t="shared" si="55"/>
        <v>0.38385907511533035</v>
      </c>
      <c r="W183" s="213">
        <f t="shared" si="56"/>
        <v>3.6870135258073127</v>
      </c>
      <c r="X183" s="214">
        <f t="shared" ca="1" si="57"/>
        <v>1.4335566986145907</v>
      </c>
      <c r="Y183" s="176">
        <f>DANE!W183</f>
        <v>17</v>
      </c>
      <c r="Z183" s="198">
        <f t="shared" si="4"/>
        <v>689</v>
      </c>
      <c r="AA183" s="177">
        <f t="shared" ca="1" si="20"/>
        <v>8.5714285714285712</v>
      </c>
      <c r="AB183" s="211">
        <f t="shared" si="94"/>
        <v>63.828039413196763</v>
      </c>
      <c r="AC183" s="200">
        <f t="shared" si="95"/>
        <v>0.16831173702814559</v>
      </c>
      <c r="AD183" s="213">
        <f t="shared" si="96"/>
        <v>2.1781821591970192</v>
      </c>
      <c r="AE183" s="217">
        <f t="shared" ca="1" si="97"/>
        <v>1.2593078136748115</v>
      </c>
      <c r="AF183" s="176">
        <f>DANE!AA183</f>
        <v>33</v>
      </c>
      <c r="AG183" s="198">
        <f t="shared" si="5"/>
        <v>5260</v>
      </c>
      <c r="AH183" s="177">
        <f t="shared" ca="1" si="21"/>
        <v>44</v>
      </c>
      <c r="AI183" s="211">
        <f t="shared" si="37"/>
        <v>310.29296735995672</v>
      </c>
      <c r="AJ183" s="200">
        <f t="shared" si="39"/>
        <v>-4.0850537514727683E-2</v>
      </c>
      <c r="AK183" s="213">
        <f t="shared" si="40"/>
        <v>0.7140462373969062</v>
      </c>
      <c r="AL183" s="214">
        <f t="shared" ca="1" si="41"/>
        <v>0.87414294441434492</v>
      </c>
      <c r="AM183" s="176">
        <f>DANE!AE183</f>
        <v>153</v>
      </c>
      <c r="AN183" s="198">
        <f t="shared" si="6"/>
        <v>7409</v>
      </c>
      <c r="AO183" s="177">
        <f t="shared" ca="1" si="22"/>
        <v>139</v>
      </c>
      <c r="AP183" s="211">
        <f t="shared" si="49"/>
        <v>983.87315715240925</v>
      </c>
      <c r="AQ183" s="200">
        <f t="shared" si="51"/>
        <v>1.4980255082530017E-2</v>
      </c>
      <c r="AR183" s="213">
        <f t="shared" si="52"/>
        <v>1.1048617855777101</v>
      </c>
      <c r="AS183" s="217">
        <f t="shared" ca="1" si="53"/>
        <v>1.0573377031876128</v>
      </c>
      <c r="AT183" s="176">
        <f>DANE!AI183</f>
        <v>47</v>
      </c>
      <c r="AU183" s="198">
        <f t="shared" si="7"/>
        <v>9295</v>
      </c>
      <c r="AV183" s="177">
        <f t="shared" ca="1" si="23"/>
        <v>97.571428571428569</v>
      </c>
      <c r="AW183" s="211">
        <f t="shared" si="33"/>
        <v>698.7668364814474</v>
      </c>
      <c r="AX183" s="200">
        <f t="shared" si="34"/>
        <v>-8.1047133462991847E-2</v>
      </c>
      <c r="AY183" s="213">
        <f t="shared" si="35"/>
        <v>0.43267006575905709</v>
      </c>
      <c r="AZ183" s="214">
        <f t="shared" ca="1" si="36"/>
        <v>0.97959146742772707</v>
      </c>
      <c r="BA183" s="176">
        <f>DANE!AM183</f>
        <v>8</v>
      </c>
      <c r="BB183" s="198">
        <f t="shared" si="8"/>
        <v>1619</v>
      </c>
      <c r="BC183" s="177">
        <f t="shared" ca="1" si="24"/>
        <v>12</v>
      </c>
      <c r="BD183" s="211">
        <f t="shared" si="77"/>
        <v>91.542791681975245</v>
      </c>
      <c r="BE183" s="200">
        <f t="shared" si="80"/>
        <v>-6.0777735177709055E-2</v>
      </c>
      <c r="BF183" s="213">
        <f t="shared" si="81"/>
        <v>0.57455585375603657</v>
      </c>
      <c r="BG183" s="217">
        <f t="shared" ca="1" si="82"/>
        <v>0.81217739708523928</v>
      </c>
      <c r="BH183" s="176">
        <f>DANE!AQ183</f>
        <v>30</v>
      </c>
      <c r="BI183" s="198">
        <f t="shared" si="9"/>
        <v>2404</v>
      </c>
      <c r="BJ183" s="177">
        <f t="shared" ca="1" si="25"/>
        <v>43.428571428571431</v>
      </c>
      <c r="BK183" s="211">
        <f t="shared" si="61"/>
        <v>286.28292482112244</v>
      </c>
      <c r="BL183" s="200">
        <f t="shared" si="63"/>
        <v>-4.2521602624669252E-2</v>
      </c>
      <c r="BM183" s="213">
        <f t="shared" si="64"/>
        <v>0.70234878162731529</v>
      </c>
      <c r="BN183" s="214">
        <f t="shared" ca="1" si="65"/>
        <v>1.139224889793917</v>
      </c>
      <c r="BO183" s="176">
        <f>DANE!AU183</f>
        <v>4</v>
      </c>
      <c r="BP183" s="198">
        <f t="shared" si="10"/>
        <v>1290</v>
      </c>
      <c r="BQ183" s="177">
        <f t="shared" ca="1" si="26"/>
        <v>13.428571428571429</v>
      </c>
      <c r="BR183" s="211">
        <f t="shared" si="78"/>
        <v>79.222142759535132</v>
      </c>
      <c r="BS183" s="200">
        <f t="shared" si="83"/>
        <v>-9.7277858582675222E-2</v>
      </c>
      <c r="BT183" s="213">
        <f t="shared" si="84"/>
        <v>0.31905498992127346</v>
      </c>
      <c r="BU183" s="217">
        <f t="shared" ca="1" si="85"/>
        <v>1.3520437314510427</v>
      </c>
      <c r="BV183" s="176">
        <f>DANE!AY183</f>
        <v>53</v>
      </c>
      <c r="BW183" s="198">
        <f t="shared" si="11"/>
        <v>2469</v>
      </c>
      <c r="BX183" s="177">
        <f t="shared" ca="1" si="27"/>
        <v>60.571428571428569</v>
      </c>
      <c r="BY183" s="211">
        <f t="shared" si="69"/>
        <v>418.46693399634563</v>
      </c>
      <c r="BZ183" s="200">
        <f t="shared" si="71"/>
        <v>-1.8554320350563685E-2</v>
      </c>
      <c r="CA183" s="213">
        <f t="shared" si="72"/>
        <v>0.8701197575460542</v>
      </c>
      <c r="CB183" s="214">
        <f t="shared" ca="1" si="73"/>
        <v>0.93778941421272688</v>
      </c>
      <c r="CC183" s="176">
        <f>DANE!BC183</f>
        <v>86</v>
      </c>
      <c r="CD183" s="198">
        <f t="shared" si="12"/>
        <v>20420</v>
      </c>
      <c r="CE183" s="177">
        <f t="shared" ca="1" si="28"/>
        <v>100.57142857142857</v>
      </c>
      <c r="CF183" s="211">
        <f t="shared" si="45"/>
        <v>791.39125009172471</v>
      </c>
      <c r="CG183" s="200">
        <f t="shared" si="46"/>
        <v>-3.835586685648313E-2</v>
      </c>
      <c r="CH183" s="213">
        <f t="shared" si="47"/>
        <v>0.73150893200461808</v>
      </c>
      <c r="CI183" s="217">
        <f t="shared" ca="1" si="48"/>
        <v>0.79435730647032021</v>
      </c>
      <c r="CJ183" s="176">
        <f>DANE!BG183</f>
        <v>6</v>
      </c>
      <c r="CK183" s="198">
        <f t="shared" si="13"/>
        <v>1412</v>
      </c>
      <c r="CL183" s="177">
        <f t="shared" ca="1" si="29"/>
        <v>23.285714285714285</v>
      </c>
      <c r="CM183" s="211">
        <f t="shared" si="79"/>
        <v>124.6459844532008</v>
      </c>
      <c r="CN183" s="200">
        <f t="shared" si="86"/>
        <v>-9.9510904326114258E-2</v>
      </c>
      <c r="CO183" s="213">
        <f t="shared" si="87"/>
        <v>0.30342366971720014</v>
      </c>
      <c r="CP183" s="214">
        <f t="shared" ca="1" si="88"/>
        <v>1.4682449360204026</v>
      </c>
      <c r="CQ183" s="176">
        <f>DANE!BK183</f>
        <v>17</v>
      </c>
      <c r="CR183" s="198">
        <f t="shared" si="14"/>
        <v>888</v>
      </c>
      <c r="CS183" s="177">
        <f t="shared" ca="1" si="30"/>
        <v>21.428571428571427</v>
      </c>
      <c r="CT183" s="211">
        <f t="shared" si="89"/>
        <v>143.60751677747834</v>
      </c>
      <c r="CU183" s="200">
        <f t="shared" si="90"/>
        <v>-2.7765804346500531E-2</v>
      </c>
      <c r="CV183" s="213">
        <f t="shared" si="91"/>
        <v>0.80563936957449633</v>
      </c>
      <c r="CW183" s="217">
        <f t="shared" ca="1" si="92"/>
        <v>1.1672689982404201</v>
      </c>
      <c r="CX183" s="176">
        <f>DANE!BO183</f>
        <v>68</v>
      </c>
      <c r="CY183" s="198">
        <f t="shared" si="15"/>
        <v>5669</v>
      </c>
      <c r="CZ183" s="177">
        <f t="shared" ca="1" si="31"/>
        <v>75.285714285714292</v>
      </c>
      <c r="DA183" s="211">
        <f t="shared" si="54"/>
        <v>499.99663014287495</v>
      </c>
      <c r="DB183" s="200">
        <f t="shared" si="58"/>
        <v>-7.9354554670412331E-3</v>
      </c>
      <c r="DC183" s="213">
        <f t="shared" si="59"/>
        <v>0.94445181173071135</v>
      </c>
      <c r="DD183" s="214">
        <f t="shared" ca="1" si="60"/>
        <v>1.2251234878582302</v>
      </c>
      <c r="DE183" s="176">
        <f>DANE!BS183</f>
        <v>8</v>
      </c>
      <c r="DF183" s="198">
        <f t="shared" si="16"/>
        <v>1115</v>
      </c>
      <c r="DG183" s="177">
        <f t="shared" ca="1" si="32"/>
        <v>10.571428571428571</v>
      </c>
      <c r="DH183" s="211">
        <f t="shared" si="70"/>
        <v>75.332317007826447</v>
      </c>
      <c r="DI183" s="200">
        <f t="shared" si="74"/>
        <v>-4.1016850381453758E-2</v>
      </c>
      <c r="DJ183" s="157">
        <f t="shared" si="75"/>
        <v>0.71288204732982363</v>
      </c>
      <c r="DK183" s="225">
        <f t="shared" ca="1" si="76"/>
        <v>0.96619357935111927</v>
      </c>
      <c r="DL183" s="88"/>
      <c r="DM183" s="88"/>
      <c r="DN183" s="88"/>
      <c r="DO183" s="88"/>
      <c r="DP183" s="88"/>
      <c r="DQ183" s="88"/>
      <c r="DR183" s="88"/>
      <c r="DS183" s="88"/>
      <c r="DT183" s="88"/>
      <c r="DU183" s="88"/>
      <c r="DV183" s="88"/>
      <c r="DW183" s="88"/>
      <c r="DX183" s="88"/>
      <c r="DY183" s="88"/>
      <c r="DZ183" s="88"/>
      <c r="EA183" s="88"/>
      <c r="EB183" s="88"/>
      <c r="EC183" s="88"/>
      <c r="ED183" s="88"/>
      <c r="EE183" s="88"/>
      <c r="EF183" s="88"/>
      <c r="EG183" s="88"/>
      <c r="EH183" s="88"/>
    </row>
    <row r="184" spans="1:138" x14ac:dyDescent="0.25">
      <c r="A184" s="32">
        <v>44074</v>
      </c>
      <c r="B184" s="33" t="str">
        <f t="shared" ca="1" si="0"/>
        <v/>
      </c>
      <c r="C184" s="51">
        <f t="shared" si="93"/>
        <v>181</v>
      </c>
      <c r="D184" s="176">
        <f>DANE!K184</f>
        <v>10</v>
      </c>
      <c r="E184" s="188">
        <f t="shared" si="1"/>
        <v>4059</v>
      </c>
      <c r="F184" s="178">
        <f t="shared" ca="1" si="17"/>
        <v>25.857142857142858</v>
      </c>
      <c r="G184" s="209">
        <f t="shared" si="38"/>
        <v>170.36816959604042</v>
      </c>
      <c r="H184" s="179">
        <f t="shared" si="42"/>
        <v>-8.9408702352898245E-2</v>
      </c>
      <c r="I184" s="213">
        <f t="shared" si="43"/>
        <v>0.37413908352971226</v>
      </c>
      <c r="J184" s="214">
        <f t="shared" ca="1" si="44"/>
        <v>0.96699410792743734</v>
      </c>
      <c r="K184" s="176">
        <f>DANE!O184</f>
        <v>20</v>
      </c>
      <c r="L184" s="188">
        <f t="shared" si="2"/>
        <v>1333</v>
      </c>
      <c r="M184" s="177">
        <f t="shared" ca="1" si="18"/>
        <v>25.714285714285715</v>
      </c>
      <c r="N184" s="209">
        <f t="shared" si="62"/>
        <v>158.55717053710211</v>
      </c>
      <c r="O184" s="179">
        <f t="shared" si="66"/>
        <v>-1.9133072306303175E-2</v>
      </c>
      <c r="P184" s="213">
        <f t="shared" si="67"/>
        <v>0.86606849385587781</v>
      </c>
      <c r="Q184" s="217">
        <f t="shared" ca="1" si="68"/>
        <v>1.2282478770845358</v>
      </c>
      <c r="R184" s="176">
        <f>DANE!S184</f>
        <v>18</v>
      </c>
      <c r="S184" s="188">
        <f t="shared" si="3"/>
        <v>1587</v>
      </c>
      <c r="T184" s="177">
        <f t="shared" ca="1" si="19"/>
        <v>27.571428571428573</v>
      </c>
      <c r="U184" s="209">
        <f t="shared" si="50"/>
        <v>173.38799982359708</v>
      </c>
      <c r="V184" s="179">
        <f t="shared" si="55"/>
        <v>-4.3566519088984471E-2</v>
      </c>
      <c r="W184" s="213">
        <f t="shared" si="56"/>
        <v>0.69503436637710869</v>
      </c>
      <c r="X184" s="214">
        <f t="shared" ca="1" si="57"/>
        <v>1.4774216903393544</v>
      </c>
      <c r="Y184" s="176">
        <f>DANE!W184</f>
        <v>8</v>
      </c>
      <c r="Z184" s="188">
        <f t="shared" si="4"/>
        <v>697</v>
      </c>
      <c r="AA184" s="177">
        <f t="shared" ca="1" si="20"/>
        <v>9.7142857142857135</v>
      </c>
      <c r="AB184" s="209">
        <f t="shared" si="94"/>
        <v>62.709748068454374</v>
      </c>
      <c r="AC184" s="179">
        <f t="shared" si="95"/>
        <v>-1.7520377486499709E-2</v>
      </c>
      <c r="AD184" s="213">
        <f t="shared" si="96"/>
        <v>0.87735735759450206</v>
      </c>
      <c r="AE184" s="217">
        <f t="shared" ca="1" si="97"/>
        <v>1.3846445790454547</v>
      </c>
      <c r="AF184" s="176">
        <f>DANE!AA184</f>
        <v>32</v>
      </c>
      <c r="AG184" s="188">
        <f t="shared" si="5"/>
        <v>5292</v>
      </c>
      <c r="AH184" s="177">
        <f t="shared" ca="1" si="21"/>
        <v>38.428571428571431</v>
      </c>
      <c r="AI184" s="209">
        <f t="shared" si="37"/>
        <v>297.96540059424865</v>
      </c>
      <c r="AJ184" s="179">
        <f t="shared" si="39"/>
        <v>-3.9728798466152224E-2</v>
      </c>
      <c r="AK184" s="213">
        <f t="shared" si="40"/>
        <v>0.72189841073693439</v>
      </c>
      <c r="AL184" s="214">
        <f t="shared" ca="1" si="41"/>
        <v>0.77658435894740063</v>
      </c>
      <c r="AM184" s="176">
        <f>DANE!AE184</f>
        <v>79</v>
      </c>
      <c r="AN184" s="188">
        <f t="shared" si="6"/>
        <v>7488</v>
      </c>
      <c r="AO184" s="177">
        <f t="shared" ca="1" si="22"/>
        <v>141.57142857142858</v>
      </c>
      <c r="AP184" s="209">
        <f t="shared" si="49"/>
        <v>922.31984898777944</v>
      </c>
      <c r="AQ184" s="179">
        <f t="shared" si="51"/>
        <v>-6.2562239570374559E-2</v>
      </c>
      <c r="AR184" s="213">
        <f t="shared" si="52"/>
        <v>0.56206432300737807</v>
      </c>
      <c r="AS184" s="217">
        <f t="shared" ca="1" si="53"/>
        <v>1.0726710862957485</v>
      </c>
      <c r="AT184" s="176">
        <f>DANE!AI184</f>
        <v>75</v>
      </c>
      <c r="AU184" s="188">
        <f t="shared" si="7"/>
        <v>9370</v>
      </c>
      <c r="AV184" s="177">
        <f t="shared" ca="1" si="23"/>
        <v>100.57142857142857</v>
      </c>
      <c r="AW184" s="209">
        <f t="shared" si="33"/>
        <v>673.94300269838357</v>
      </c>
      <c r="AX184" s="179">
        <f t="shared" si="34"/>
        <v>-3.5525203096445059E-2</v>
      </c>
      <c r="AY184" s="213">
        <f t="shared" si="35"/>
        <v>0.75132357832488461</v>
      </c>
      <c r="AZ184" s="214">
        <f t="shared" ca="1" si="36"/>
        <v>1.0118313655526883</v>
      </c>
      <c r="BA184" s="176">
        <f>DANE!AM184</f>
        <v>11</v>
      </c>
      <c r="BB184" s="188">
        <f t="shared" si="8"/>
        <v>1630</v>
      </c>
      <c r="BC184" s="177">
        <f t="shared" ca="1" si="24"/>
        <v>12.142857142857142</v>
      </c>
      <c r="BD184" s="209">
        <f t="shared" si="77"/>
        <v>89.465250013121647</v>
      </c>
      <c r="BE184" s="179">
        <f t="shared" si="80"/>
        <v>-2.2694759802291083E-2</v>
      </c>
      <c r="BF184" s="213">
        <f t="shared" si="81"/>
        <v>0.84113668138396247</v>
      </c>
      <c r="BG184" s="217">
        <f t="shared" ca="1" si="82"/>
        <v>0.8424644835304268</v>
      </c>
      <c r="BH184" s="176">
        <f>DANE!AQ184</f>
        <v>32</v>
      </c>
      <c r="BI184" s="188">
        <f t="shared" si="9"/>
        <v>2436</v>
      </c>
      <c r="BJ184" s="177">
        <f t="shared" ca="1" si="25"/>
        <v>45</v>
      </c>
      <c r="BK184" s="209">
        <f t="shared" si="61"/>
        <v>277.38536413239069</v>
      </c>
      <c r="BL184" s="179">
        <f t="shared" si="63"/>
        <v>-3.1079606631416068E-2</v>
      </c>
      <c r="BM184" s="213">
        <f t="shared" si="64"/>
        <v>0.78244275358008752</v>
      </c>
      <c r="BN184" s="214">
        <f t="shared" ca="1" si="65"/>
        <v>1.1679984321452115</v>
      </c>
      <c r="BO184" s="176">
        <f>DANE!AU184</f>
        <v>9</v>
      </c>
      <c r="BP184" s="188">
        <f t="shared" si="10"/>
        <v>1299</v>
      </c>
      <c r="BQ184" s="177">
        <f t="shared" ca="1" si="26"/>
        <v>13.571428571428571</v>
      </c>
      <c r="BR184" s="209">
        <f t="shared" si="78"/>
        <v>76.904693793887262</v>
      </c>
      <c r="BS184" s="179">
        <f t="shared" si="83"/>
        <v>-2.9252540829172953E-2</v>
      </c>
      <c r="BT184" s="213">
        <f t="shared" si="84"/>
        <v>0.79523221419578927</v>
      </c>
      <c r="BU184" s="217">
        <f t="shared" ca="1" si="85"/>
        <v>1.3315335158094703</v>
      </c>
      <c r="BV184" s="176">
        <f>DANE!AY184</f>
        <v>75</v>
      </c>
      <c r="BW184" s="188">
        <f t="shared" si="11"/>
        <v>2544</v>
      </c>
      <c r="BX184" s="177">
        <f t="shared" ca="1" si="27"/>
        <v>62.714285714285715</v>
      </c>
      <c r="BY184" s="209">
        <f t="shared" si="69"/>
        <v>433.68594342543912</v>
      </c>
      <c r="BZ184" s="179">
        <f t="shared" si="71"/>
        <v>3.6368487430422383E-2</v>
      </c>
      <c r="CA184" s="213">
        <f t="shared" si="72"/>
        <v>1.2545794120129568</v>
      </c>
      <c r="CB184" s="214">
        <f t="shared" ca="1" si="73"/>
        <v>0.98294196221185992</v>
      </c>
      <c r="CC184" s="176">
        <f>DANE!BC184</f>
        <v>77</v>
      </c>
      <c r="CD184" s="188">
        <f t="shared" si="12"/>
        <v>20497</v>
      </c>
      <c r="CE184" s="177">
        <f t="shared" ca="1" si="28"/>
        <v>97.571428571428569</v>
      </c>
      <c r="CF184" s="209">
        <f t="shared" si="45"/>
        <v>755.33535722147838</v>
      </c>
      <c r="CG184" s="179">
        <f t="shared" si="46"/>
        <v>-4.5560135857033231E-2</v>
      </c>
      <c r="CH184" s="213">
        <f t="shared" si="47"/>
        <v>0.68107904900076743</v>
      </c>
      <c r="CI184" s="217">
        <f t="shared" ca="1" si="48"/>
        <v>0.79121768632129275</v>
      </c>
      <c r="CJ184" s="176">
        <f>DANE!BG184</f>
        <v>14</v>
      </c>
      <c r="CK184" s="188">
        <f t="shared" si="13"/>
        <v>1426</v>
      </c>
      <c r="CL184" s="177">
        <f t="shared" ca="1" si="29"/>
        <v>17.714285714285715</v>
      </c>
      <c r="CM184" s="209">
        <f t="shared" si="79"/>
        <v>120.83941524560069</v>
      </c>
      <c r="CN184" s="179">
        <f t="shared" si="86"/>
        <v>-3.0539044031773911E-2</v>
      </c>
      <c r="CO184" s="213">
        <f t="shared" si="87"/>
        <v>0.78622669177758264</v>
      </c>
      <c r="CP184" s="214">
        <f t="shared" ca="1" si="88"/>
        <v>0.9623566093734226</v>
      </c>
      <c r="CQ184" s="176">
        <f>DANE!BK184</f>
        <v>2</v>
      </c>
      <c r="CR184" s="188">
        <f t="shared" si="14"/>
        <v>890</v>
      </c>
      <c r="CS184" s="177">
        <f t="shared" ca="1" si="30"/>
        <v>21.571428571428573</v>
      </c>
      <c r="CT184" s="209">
        <f t="shared" si="89"/>
        <v>125.09215723783858</v>
      </c>
      <c r="CU184" s="179">
        <f t="shared" si="90"/>
        <v>-0.12893029525974983</v>
      </c>
      <c r="CV184" s="213">
        <f t="shared" si="91"/>
        <v>9.7487933181751085E-2</v>
      </c>
      <c r="CW184" s="217">
        <f t="shared" ca="1" si="92"/>
        <v>1.1733384101056676</v>
      </c>
      <c r="CX184" s="176">
        <f>DANE!BO184</f>
        <v>30</v>
      </c>
      <c r="CY184" s="188">
        <f t="shared" si="15"/>
        <v>5699</v>
      </c>
      <c r="CZ184" s="177">
        <f t="shared" ca="1" si="31"/>
        <v>72</v>
      </c>
      <c r="DA184" s="209">
        <f t="shared" si="54"/>
        <v>458.5685401224643</v>
      </c>
      <c r="DB184" s="179">
        <f t="shared" si="58"/>
        <v>-8.2856738471562288E-2</v>
      </c>
      <c r="DC184" s="213">
        <f t="shared" si="59"/>
        <v>0.42000283069906397</v>
      </c>
      <c r="DD184" s="214">
        <f t="shared" ca="1" si="60"/>
        <v>1.1542165856232292</v>
      </c>
      <c r="DE184" s="176">
        <f>DANE!BS184</f>
        <v>10</v>
      </c>
      <c r="DF184" s="188">
        <f t="shared" si="16"/>
        <v>1125</v>
      </c>
      <c r="DG184" s="177">
        <f t="shared" ca="1" si="32"/>
        <v>11.428571428571429</v>
      </c>
      <c r="DH184" s="209">
        <f t="shared" si="70"/>
        <v>74.57055743527981</v>
      </c>
      <c r="DI184" s="179">
        <f t="shared" si="74"/>
        <v>-1.0111989154236374E-2</v>
      </c>
      <c r="DJ184" s="157">
        <f t="shared" si="75"/>
        <v>0.92921607592034539</v>
      </c>
      <c r="DK184" s="225">
        <f t="shared" ca="1" si="76"/>
        <v>1.0481584617069442</v>
      </c>
      <c r="DL184" s="89"/>
      <c r="DM184" s="371"/>
      <c r="DN184" s="372"/>
      <c r="DO184" s="372"/>
      <c r="DP184" s="372"/>
      <c r="DQ184" s="372"/>
      <c r="DR184" s="372"/>
      <c r="DS184" s="372"/>
      <c r="DT184" s="372"/>
      <c r="DU184" s="372"/>
      <c r="DV184" s="372"/>
      <c r="DW184" s="89"/>
      <c r="DX184" s="89"/>
      <c r="DY184" s="89"/>
      <c r="DZ184" s="89"/>
      <c r="EA184" s="89"/>
      <c r="EB184" s="89"/>
      <c r="EC184" s="89"/>
      <c r="ED184" s="89"/>
      <c r="EE184" s="89"/>
      <c r="EF184" s="89"/>
      <c r="EG184" s="89"/>
      <c r="EH184" s="89"/>
    </row>
    <row r="185" spans="1:138" x14ac:dyDescent="0.25">
      <c r="A185" s="32">
        <v>44075</v>
      </c>
      <c r="B185" s="33" t="str">
        <f t="shared" ca="1" si="0"/>
        <v/>
      </c>
      <c r="C185" s="51">
        <f t="shared" si="93"/>
        <v>182</v>
      </c>
      <c r="D185" s="176">
        <f>DANE!K185</f>
        <v>35</v>
      </c>
      <c r="E185" s="188">
        <f t="shared" si="1"/>
        <v>4094</v>
      </c>
      <c r="F185" s="178">
        <f t="shared" ca="1" si="17"/>
        <v>24.571428571428573</v>
      </c>
      <c r="G185" s="209">
        <f t="shared" si="38"/>
        <v>181.02985965374893</v>
      </c>
      <c r="H185" s="179">
        <f t="shared" si="42"/>
        <v>6.2580293507809706E-2</v>
      </c>
      <c r="I185" s="213">
        <f t="shared" si="43"/>
        <v>1.4380620545546678</v>
      </c>
      <c r="J185" s="214">
        <f t="shared" ca="1" si="44"/>
        <v>0.92754826731362061</v>
      </c>
      <c r="K185" s="176">
        <f>DANE!O185</f>
        <v>35</v>
      </c>
      <c r="L185" s="188">
        <f t="shared" si="2"/>
        <v>1368</v>
      </c>
      <c r="M185" s="177">
        <f t="shared" ca="1" si="18"/>
        <v>26.428571428571427</v>
      </c>
      <c r="N185" s="209">
        <f t="shared" si="62"/>
        <v>170.90614617465897</v>
      </c>
      <c r="O185" s="179">
        <f t="shared" si="66"/>
        <v>7.7883425869202313E-2</v>
      </c>
      <c r="P185" s="213">
        <f t="shared" si="67"/>
        <v>1.5451839810844161</v>
      </c>
      <c r="Q185" s="217">
        <f t="shared" ca="1" si="68"/>
        <v>1.2139096482906331</v>
      </c>
      <c r="R185" s="176">
        <f>DANE!S185</f>
        <v>13</v>
      </c>
      <c r="S185" s="188">
        <f t="shared" si="3"/>
        <v>1600</v>
      </c>
      <c r="T185" s="177">
        <f t="shared" ca="1" si="19"/>
        <v>25.285714285714285</v>
      </c>
      <c r="U185" s="209">
        <f t="shared" si="50"/>
        <v>161.61828556308322</v>
      </c>
      <c r="V185" s="179">
        <f t="shared" si="55"/>
        <v>-6.7880789169309494E-2</v>
      </c>
      <c r="W185" s="213">
        <f t="shared" si="56"/>
        <v>0.52483447581483356</v>
      </c>
      <c r="X185" s="214">
        <f t="shared" ca="1" si="57"/>
        <v>1.3007780523999244</v>
      </c>
      <c r="Y185" s="176">
        <f>DANE!W185</f>
        <v>9</v>
      </c>
      <c r="Z185" s="188">
        <f t="shared" si="4"/>
        <v>706</v>
      </c>
      <c r="AA185" s="177">
        <f t="shared" ca="1" si="20"/>
        <v>10.142857142857142</v>
      </c>
      <c r="AB185" s="209">
        <f t="shared" si="94"/>
        <v>62.751212630103751</v>
      </c>
      <c r="AC185" s="179">
        <f t="shared" si="95"/>
        <v>6.6121397273218485E-4</v>
      </c>
      <c r="AD185" s="213">
        <f t="shared" si="96"/>
        <v>1.0046284978091253</v>
      </c>
      <c r="AE185" s="217">
        <f t="shared" ca="1" si="97"/>
        <v>1.3917139556832629</v>
      </c>
      <c r="AF185" s="176">
        <f>DANE!AA185</f>
        <v>31</v>
      </c>
      <c r="AG185" s="188">
        <f t="shared" si="5"/>
        <v>5323</v>
      </c>
      <c r="AH185" s="177">
        <f t="shared" ca="1" si="21"/>
        <v>35.714285714285715</v>
      </c>
      <c r="AI185" s="209">
        <f t="shared" si="37"/>
        <v>286.39891479507025</v>
      </c>
      <c r="AJ185" s="179">
        <f t="shared" si="39"/>
        <v>-3.8818217739746697E-2</v>
      </c>
      <c r="AK185" s="213">
        <f t="shared" si="40"/>
        <v>0.72827247582177312</v>
      </c>
      <c r="AL185" s="214">
        <f t="shared" ca="1" si="41"/>
        <v>0.74702067088416568</v>
      </c>
      <c r="AM185" s="176">
        <f>DANE!AE185</f>
        <v>136</v>
      </c>
      <c r="AN185" s="188">
        <f t="shared" si="6"/>
        <v>7624</v>
      </c>
      <c r="AO185" s="177">
        <f t="shared" ca="1" si="22"/>
        <v>140.85714285714286</v>
      </c>
      <c r="AP185" s="209">
        <f t="shared" si="49"/>
        <v>926.55987056095387</v>
      </c>
      <c r="AQ185" s="179">
        <f t="shared" si="51"/>
        <v>4.5971271005690031E-3</v>
      </c>
      <c r="AR185" s="213">
        <f t="shared" si="52"/>
        <v>1.0321798897039831</v>
      </c>
      <c r="AS185" s="217">
        <f t="shared" ca="1" si="53"/>
        <v>1.0572837515810567</v>
      </c>
      <c r="AT185" s="176">
        <f>DANE!AI185</f>
        <v>89</v>
      </c>
      <c r="AU185" s="188">
        <f t="shared" si="7"/>
        <v>9459</v>
      </c>
      <c r="AV185" s="177">
        <f t="shared" ca="1" si="23"/>
        <v>99.142857142857139</v>
      </c>
      <c r="AW185" s="209">
        <f t="shared" si="33"/>
        <v>666.66543088432877</v>
      </c>
      <c r="AX185" s="179">
        <f t="shared" si="34"/>
        <v>-1.0798497476665395E-2</v>
      </c>
      <c r="AY185" s="213">
        <f t="shared" si="35"/>
        <v>0.92441051766334226</v>
      </c>
      <c r="AZ185" s="214">
        <f t="shared" ca="1" si="36"/>
        <v>0.99621398724082977</v>
      </c>
      <c r="BA185" s="176">
        <f>DANE!AM185</f>
        <v>14</v>
      </c>
      <c r="BB185" s="188">
        <f t="shared" si="8"/>
        <v>1644</v>
      </c>
      <c r="BC185" s="177">
        <f t="shared" ca="1" si="24"/>
        <v>12.714285714285714</v>
      </c>
      <c r="BD185" s="209">
        <f t="shared" si="77"/>
        <v>90.684500011247138</v>
      </c>
      <c r="BE185" s="179">
        <f t="shared" si="80"/>
        <v>1.3628196399682187E-2</v>
      </c>
      <c r="BF185" s="213">
        <f t="shared" si="81"/>
        <v>1.0953973747977752</v>
      </c>
      <c r="BG185" s="217">
        <f t="shared" ca="1" si="82"/>
        <v>0.90404636581175768</v>
      </c>
      <c r="BH185" s="176">
        <f>DANE!AQ185</f>
        <v>26</v>
      </c>
      <c r="BI185" s="188">
        <f t="shared" si="9"/>
        <v>2462</v>
      </c>
      <c r="BJ185" s="177">
        <f t="shared" ca="1" si="25"/>
        <v>40.285714285714285</v>
      </c>
      <c r="BK185" s="209">
        <f t="shared" si="61"/>
        <v>263.75888354204915</v>
      </c>
      <c r="BL185" s="179">
        <f t="shared" si="63"/>
        <v>-4.9124728094298034E-2</v>
      </c>
      <c r="BM185" s="213">
        <f t="shared" si="64"/>
        <v>0.65612690333991375</v>
      </c>
      <c r="BN185" s="214">
        <f t="shared" ca="1" si="65"/>
        <v>1.0136826863218151</v>
      </c>
      <c r="BO185" s="176">
        <f>DANE!AU185</f>
        <v>10</v>
      </c>
      <c r="BP185" s="188">
        <f t="shared" si="10"/>
        <v>1309</v>
      </c>
      <c r="BQ185" s="177">
        <f t="shared" ca="1" si="26"/>
        <v>11</v>
      </c>
      <c r="BR185" s="209">
        <f t="shared" si="78"/>
        <v>75.918308966189088</v>
      </c>
      <c r="BS185" s="179">
        <f t="shared" si="83"/>
        <v>-1.2826067942508037E-2</v>
      </c>
      <c r="BT185" s="213">
        <f t="shared" si="84"/>
        <v>0.91021752440244375</v>
      </c>
      <c r="BU185" s="217">
        <f t="shared" ca="1" si="85"/>
        <v>0.98802287319618398</v>
      </c>
      <c r="BV185" s="176">
        <f>DANE!AY185</f>
        <v>34</v>
      </c>
      <c r="BW185" s="188">
        <f t="shared" si="11"/>
        <v>2578</v>
      </c>
      <c r="BX185" s="177">
        <f t="shared" ca="1" si="27"/>
        <v>54.285714285714285</v>
      </c>
      <c r="BY185" s="209">
        <f t="shared" si="69"/>
        <v>405.73080865037639</v>
      </c>
      <c r="BZ185" s="179">
        <f t="shared" si="71"/>
        <v>-6.4459397863488463E-2</v>
      </c>
      <c r="CA185" s="213">
        <f t="shared" si="72"/>
        <v>0.54878421495558072</v>
      </c>
      <c r="CB185" s="214">
        <f t="shared" ca="1" si="73"/>
        <v>0.85168480832817905</v>
      </c>
      <c r="CC185" s="176">
        <f>DANE!BC185</f>
        <v>53</v>
      </c>
      <c r="CD185" s="188">
        <f t="shared" si="12"/>
        <v>20550</v>
      </c>
      <c r="CE185" s="177">
        <f t="shared" ca="1" si="28"/>
        <v>92.428571428571431</v>
      </c>
      <c r="CF185" s="209">
        <f t="shared" si="45"/>
        <v>700.43030618983869</v>
      </c>
      <c r="CG185" s="179">
        <f t="shared" si="46"/>
        <v>-7.2689634487136168E-2</v>
      </c>
      <c r="CH185" s="213">
        <f t="shared" si="47"/>
        <v>0.49117255859004683</v>
      </c>
      <c r="CI185" s="217">
        <f t="shared" ca="1" si="48"/>
        <v>0.76613163426698228</v>
      </c>
      <c r="CJ185" s="176">
        <f>DANE!BG185</f>
        <v>16</v>
      </c>
      <c r="CK185" s="188">
        <f t="shared" si="13"/>
        <v>1442</v>
      </c>
      <c r="CL185" s="177">
        <f t="shared" ca="1" si="29"/>
        <v>17.142857142857142</v>
      </c>
      <c r="CM185" s="209">
        <f t="shared" si="79"/>
        <v>119.57664163908632</v>
      </c>
      <c r="CN185" s="179">
        <f t="shared" si="86"/>
        <v>-1.0450014210577249E-2</v>
      </c>
      <c r="CO185" s="213">
        <f t="shared" si="87"/>
        <v>0.92684990052595928</v>
      </c>
      <c r="CP185" s="214">
        <f t="shared" ca="1" si="88"/>
        <v>0.93664155887001144</v>
      </c>
      <c r="CQ185" s="176">
        <f>DANE!BK185</f>
        <v>12</v>
      </c>
      <c r="CR185" s="188">
        <f t="shared" si="14"/>
        <v>902</v>
      </c>
      <c r="CS185" s="177">
        <f t="shared" ca="1" si="30"/>
        <v>20.285714285714285</v>
      </c>
      <c r="CT185" s="209">
        <f t="shared" si="89"/>
        <v>119.22184906100451</v>
      </c>
      <c r="CU185" s="179">
        <f t="shared" si="90"/>
        <v>-4.6927867473520464E-2</v>
      </c>
      <c r="CV185" s="213">
        <f t="shared" si="91"/>
        <v>0.67150492768535675</v>
      </c>
      <c r="CW185" s="217">
        <f t="shared" ca="1" si="92"/>
        <v>1.0785091947301453</v>
      </c>
      <c r="CX185" s="176">
        <f>DANE!BO185</f>
        <v>30</v>
      </c>
      <c r="CY185" s="188">
        <f t="shared" si="15"/>
        <v>5729</v>
      </c>
      <c r="CZ185" s="177">
        <f t="shared" ca="1" si="31"/>
        <v>71.714285714285708</v>
      </c>
      <c r="DA185" s="209">
        <f t="shared" si="54"/>
        <v>423.05874867639801</v>
      </c>
      <c r="DB185" s="179">
        <f t="shared" si="58"/>
        <v>-7.7436170035962607E-2</v>
      </c>
      <c r="DC185" s="213">
        <f t="shared" si="59"/>
        <v>0.45794680974826174</v>
      </c>
      <c r="DD185" s="214">
        <f t="shared" ca="1" si="60"/>
        <v>1.1396432659404747</v>
      </c>
      <c r="DE185" s="176">
        <f>DANE!BS185</f>
        <v>7</v>
      </c>
      <c r="DF185" s="188">
        <f t="shared" si="16"/>
        <v>1132</v>
      </c>
      <c r="DG185" s="177">
        <f t="shared" ca="1" si="32"/>
        <v>10.714285714285714</v>
      </c>
      <c r="DH185" s="209">
        <f t="shared" si="70"/>
        <v>70.917620658811273</v>
      </c>
      <c r="DI185" s="179">
        <f t="shared" si="74"/>
        <v>-4.8986314466523059E-2</v>
      </c>
      <c r="DJ185" s="157">
        <f t="shared" si="75"/>
        <v>0.65709579873433854</v>
      </c>
      <c r="DK185" s="225">
        <f t="shared" ca="1" si="76"/>
        <v>0.97423885799939991</v>
      </c>
      <c r="DL185" s="89"/>
      <c r="DM185" s="371"/>
      <c r="DN185" s="372"/>
      <c r="DO185" s="372"/>
      <c r="DP185" s="372"/>
      <c r="DQ185" s="372"/>
      <c r="DR185" s="372"/>
      <c r="DS185" s="372"/>
      <c r="DT185" s="372"/>
      <c r="DU185" s="372"/>
      <c r="DV185" s="372"/>
      <c r="DW185" s="89"/>
      <c r="DX185" s="89"/>
      <c r="DY185" s="89"/>
      <c r="DZ185" s="89"/>
      <c r="EA185" s="89"/>
      <c r="EB185" s="89"/>
      <c r="EC185" s="89"/>
      <c r="ED185" s="89"/>
      <c r="EE185" s="89"/>
      <c r="EF185" s="89"/>
      <c r="EG185" s="89"/>
      <c r="EH185" s="89"/>
    </row>
    <row r="186" spans="1:138" x14ac:dyDescent="0.25">
      <c r="A186" s="32">
        <v>44076</v>
      </c>
      <c r="B186" s="33" t="str">
        <f t="shared" ca="1" si="0"/>
        <v/>
      </c>
      <c r="C186" s="51">
        <f t="shared" si="93"/>
        <v>183</v>
      </c>
      <c r="D186" s="176">
        <f>DANE!K186</f>
        <v>13</v>
      </c>
      <c r="E186" s="188">
        <f t="shared" si="1"/>
        <v>4107</v>
      </c>
      <c r="F186" s="178">
        <f t="shared" ca="1" si="17"/>
        <v>24.285714285714285</v>
      </c>
      <c r="G186" s="209">
        <f t="shared" si="38"/>
        <v>168.16845113178482</v>
      </c>
      <c r="H186" s="179">
        <f t="shared" si="42"/>
        <v>-7.1045785190154753E-2</v>
      </c>
      <c r="I186" s="213">
        <f t="shared" si="43"/>
        <v>0.50267950366891667</v>
      </c>
      <c r="J186" s="214">
        <f t="shared" ca="1" si="44"/>
        <v>0.92360558181518815</v>
      </c>
      <c r="K186" s="176">
        <f>DANE!O186</f>
        <v>16</v>
      </c>
      <c r="L186" s="188">
        <f t="shared" si="2"/>
        <v>1384</v>
      </c>
      <c r="M186" s="177">
        <f t="shared" ca="1" si="18"/>
        <v>25.428571428571427</v>
      </c>
      <c r="N186" s="209">
        <f t="shared" si="62"/>
        <v>162.49098243542198</v>
      </c>
      <c r="O186" s="179">
        <f t="shared" si="66"/>
        <v>-4.9238508547475177E-2</v>
      </c>
      <c r="P186" s="213">
        <f t="shared" si="67"/>
        <v>0.65533044016767372</v>
      </c>
      <c r="Q186" s="217">
        <f t="shared" ca="1" si="68"/>
        <v>1.1425186645164627</v>
      </c>
      <c r="R186" s="176">
        <f>DANE!S186</f>
        <v>19</v>
      </c>
      <c r="S186" s="188">
        <f t="shared" si="3"/>
        <v>1619</v>
      </c>
      <c r="T186" s="177">
        <f t="shared" ca="1" si="19"/>
        <v>25.142857142857142</v>
      </c>
      <c r="U186" s="209">
        <f t="shared" si="50"/>
        <v>157.52995905407136</v>
      </c>
      <c r="V186" s="179">
        <f t="shared" si="55"/>
        <v>-2.5296187833994187E-2</v>
      </c>
      <c r="W186" s="213">
        <f t="shared" si="56"/>
        <v>0.82292668516204071</v>
      </c>
      <c r="X186" s="214">
        <f t="shared" ca="1" si="57"/>
        <v>1.2618303104542454</v>
      </c>
      <c r="Y186" s="176">
        <f>DANE!W186</f>
        <v>9</v>
      </c>
      <c r="Z186" s="188">
        <f t="shared" si="4"/>
        <v>715</v>
      </c>
      <c r="AA186" s="177">
        <f t="shared" ca="1" si="20"/>
        <v>10.857142857142858</v>
      </c>
      <c r="AB186" s="209">
        <f t="shared" si="94"/>
        <v>62.786753682946078</v>
      </c>
      <c r="AC186" s="179">
        <f t="shared" si="95"/>
        <v>5.6638033517899167E-4</v>
      </c>
      <c r="AD186" s="213">
        <f t="shared" si="96"/>
        <v>1.003964662346253</v>
      </c>
      <c r="AE186" s="217">
        <f t="shared" ca="1" si="97"/>
        <v>1.4435848076713744</v>
      </c>
      <c r="AF186" s="176">
        <f>DANE!AA186</f>
        <v>34</v>
      </c>
      <c r="AG186" s="188">
        <f t="shared" si="5"/>
        <v>5357</v>
      </c>
      <c r="AH186" s="177">
        <f t="shared" ca="1" si="21"/>
        <v>35.714285714285715</v>
      </c>
      <c r="AI186" s="209">
        <f t="shared" si="37"/>
        <v>279.48478411006022</v>
      </c>
      <c r="AJ186" s="179">
        <f t="shared" si="39"/>
        <v>-2.4141609230458747E-2</v>
      </c>
      <c r="AK186" s="213">
        <f t="shared" si="40"/>
        <v>0.83100873538678877</v>
      </c>
      <c r="AL186" s="214">
        <f t="shared" ca="1" si="41"/>
        <v>0.77403780196032812</v>
      </c>
      <c r="AM186" s="176">
        <f>DANE!AE186</f>
        <v>114</v>
      </c>
      <c r="AN186" s="188">
        <f t="shared" si="6"/>
        <v>7738</v>
      </c>
      <c r="AO186" s="177">
        <f t="shared" ca="1" si="22"/>
        <v>140.28571428571428</v>
      </c>
      <c r="AP186" s="209">
        <f t="shared" si="49"/>
        <v>908.194174766532</v>
      </c>
      <c r="AQ186" s="179">
        <f t="shared" si="51"/>
        <v>-1.9821380547490133E-2</v>
      </c>
      <c r="AR186" s="213">
        <f t="shared" si="52"/>
        <v>0.86125033616756907</v>
      </c>
      <c r="AS186" s="217">
        <f t="shared" ca="1" si="53"/>
        <v>1.0467108219668086</v>
      </c>
      <c r="AT186" s="176">
        <f>DANE!AI186</f>
        <v>133</v>
      </c>
      <c r="AU186" s="188">
        <f t="shared" si="7"/>
        <v>9592</v>
      </c>
      <c r="AV186" s="177">
        <f t="shared" ca="1" si="23"/>
        <v>103</v>
      </c>
      <c r="AW186" s="209">
        <f t="shared" si="33"/>
        <v>704.42751218656758</v>
      </c>
      <c r="AX186" s="179">
        <f t="shared" si="34"/>
        <v>5.6643226951407361E-2</v>
      </c>
      <c r="AY186" s="213">
        <f t="shared" si="35"/>
        <v>1.3965025886598514</v>
      </c>
      <c r="AZ186" s="214">
        <f t="shared" ca="1" si="36"/>
        <v>1.0383548908241198</v>
      </c>
      <c r="BA186" s="176">
        <f>DANE!AM186</f>
        <v>8</v>
      </c>
      <c r="BB186" s="188">
        <f t="shared" si="8"/>
        <v>1652</v>
      </c>
      <c r="BC186" s="177">
        <f t="shared" ca="1" si="24"/>
        <v>11.428571428571429</v>
      </c>
      <c r="BD186" s="209">
        <f t="shared" si="77"/>
        <v>85.729571438211835</v>
      </c>
      <c r="BE186" s="179">
        <f t="shared" si="80"/>
        <v>-5.4639200441318737E-2</v>
      </c>
      <c r="BF186" s="213">
        <f t="shared" si="81"/>
        <v>0.6175255969107688</v>
      </c>
      <c r="BG186" s="217">
        <f t="shared" ca="1" si="82"/>
        <v>0.82280209355817657</v>
      </c>
      <c r="BH186" s="176">
        <f>DANE!AQ186</f>
        <v>46</v>
      </c>
      <c r="BI186" s="188">
        <f t="shared" si="9"/>
        <v>2508</v>
      </c>
      <c r="BJ186" s="177">
        <f t="shared" ca="1" si="25"/>
        <v>39.857142857142854</v>
      </c>
      <c r="BK186" s="209">
        <f t="shared" si="61"/>
        <v>272.07904303604215</v>
      </c>
      <c r="BL186" s="179">
        <f t="shared" si="63"/>
        <v>3.1544565939393587E-2</v>
      </c>
      <c r="BM186" s="213">
        <f t="shared" si="64"/>
        <v>1.2208119615757551</v>
      </c>
      <c r="BN186" s="214">
        <f t="shared" ca="1" si="65"/>
        <v>1.00168575799115</v>
      </c>
      <c r="BO186" s="176">
        <f>DANE!AU186</f>
        <v>7</v>
      </c>
      <c r="BP186" s="188">
        <f t="shared" si="10"/>
        <v>1316</v>
      </c>
      <c r="BQ186" s="177">
        <f t="shared" ca="1" si="26"/>
        <v>10.142857142857142</v>
      </c>
      <c r="BR186" s="209">
        <f t="shared" si="78"/>
        <v>72.07283625673351</v>
      </c>
      <c r="BS186" s="179">
        <f t="shared" si="83"/>
        <v>-5.0652770877288561E-2</v>
      </c>
      <c r="BT186" s="213">
        <f t="shared" si="84"/>
        <v>0.6454306038589801</v>
      </c>
      <c r="BU186" s="217">
        <f t="shared" ca="1" si="85"/>
        <v>0.9150050289187186</v>
      </c>
      <c r="BV186" s="176">
        <f>DANE!AY186</f>
        <v>42</v>
      </c>
      <c r="BW186" s="188">
        <f t="shared" si="11"/>
        <v>2620</v>
      </c>
      <c r="BX186" s="177">
        <f t="shared" ca="1" si="27"/>
        <v>51.714285714285715</v>
      </c>
      <c r="BY186" s="209">
        <f t="shared" si="69"/>
        <v>389.76926455746548</v>
      </c>
      <c r="BZ186" s="179">
        <f t="shared" si="71"/>
        <v>-3.9340231879371988E-2</v>
      </c>
      <c r="CA186" s="213">
        <f t="shared" si="72"/>
        <v>0.72461837684439612</v>
      </c>
      <c r="CB186" s="214">
        <f t="shared" ca="1" si="73"/>
        <v>0.82840990303258355</v>
      </c>
      <c r="CC186" s="176">
        <f>DANE!BC186</f>
        <v>63</v>
      </c>
      <c r="CD186" s="188">
        <f t="shared" si="12"/>
        <v>20613</v>
      </c>
      <c r="CE186" s="177">
        <f t="shared" ca="1" si="28"/>
        <v>85.142857142857139</v>
      </c>
      <c r="CF186" s="209">
        <f t="shared" si="45"/>
        <v>663.36883387700459</v>
      </c>
      <c r="CG186" s="179">
        <f t="shared" si="46"/>
        <v>-5.2912433949979985E-2</v>
      </c>
      <c r="CH186" s="213">
        <f t="shared" si="47"/>
        <v>0.62961296235014008</v>
      </c>
      <c r="CI186" s="217">
        <f t="shared" ca="1" si="48"/>
        <v>0.72796773601169762</v>
      </c>
      <c r="CJ186" s="176">
        <f>DANE!BG186</f>
        <v>15</v>
      </c>
      <c r="CK186" s="188">
        <f t="shared" si="13"/>
        <v>1457</v>
      </c>
      <c r="CL186" s="177">
        <f t="shared" ca="1" si="29"/>
        <v>16.428571428571427</v>
      </c>
      <c r="CM186" s="209">
        <f t="shared" si="79"/>
        <v>117.494264262074</v>
      </c>
      <c r="CN186" s="179">
        <f t="shared" si="86"/>
        <v>-1.741458322017006E-2</v>
      </c>
      <c r="CO186" s="213">
        <f t="shared" si="87"/>
        <v>0.87809791745880961</v>
      </c>
      <c r="CP186" s="214">
        <f t="shared" ca="1" si="88"/>
        <v>0.90633938831579353</v>
      </c>
      <c r="CQ186" s="176">
        <f>DANE!BK186</f>
        <v>19</v>
      </c>
      <c r="CR186" s="188">
        <f t="shared" si="14"/>
        <v>921</v>
      </c>
      <c r="CS186" s="177">
        <f t="shared" ca="1" si="30"/>
        <v>19.571428571428573</v>
      </c>
      <c r="CT186" s="209">
        <f t="shared" si="89"/>
        <v>121.19015633800387</v>
      </c>
      <c r="CU186" s="179">
        <f t="shared" si="90"/>
        <v>1.6509618769561335E-2</v>
      </c>
      <c r="CV186" s="213">
        <f t="shared" si="91"/>
        <v>1.1155673313869294</v>
      </c>
      <c r="CW186" s="217">
        <f t="shared" ca="1" si="92"/>
        <v>1.029831845943963</v>
      </c>
      <c r="CX186" s="176">
        <f>DANE!BO186</f>
        <v>53</v>
      </c>
      <c r="CY186" s="188">
        <f t="shared" si="15"/>
        <v>5782</v>
      </c>
      <c r="CZ186" s="177">
        <f t="shared" ca="1" si="31"/>
        <v>65.857142857142861</v>
      </c>
      <c r="DA186" s="209">
        <f t="shared" si="54"/>
        <v>415.62178457976972</v>
      </c>
      <c r="DB186" s="179">
        <f t="shared" si="58"/>
        <v>-1.7579033928256847E-2</v>
      </c>
      <c r="DC186" s="213">
        <f t="shared" si="59"/>
        <v>0.87694676250220205</v>
      </c>
      <c r="DD186" s="214">
        <f t="shared" ca="1" si="60"/>
        <v>1.0141755429291011</v>
      </c>
      <c r="DE186" s="176">
        <f>DANE!BS186</f>
        <v>4</v>
      </c>
      <c r="DF186" s="188">
        <f t="shared" si="16"/>
        <v>1136</v>
      </c>
      <c r="DG186" s="177">
        <f t="shared" ca="1" si="32"/>
        <v>8.7142857142857135</v>
      </c>
      <c r="DH186" s="209">
        <f t="shared" si="70"/>
        <v>64.786531993266806</v>
      </c>
      <c r="DI186" s="179">
        <f t="shared" si="74"/>
        <v>-8.6453671296185836E-2</v>
      </c>
      <c r="DJ186" s="157">
        <f t="shared" si="75"/>
        <v>0.39482430092669907</v>
      </c>
      <c r="DK186" s="225">
        <f t="shared" ca="1" si="76"/>
        <v>0.78507937362044056</v>
      </c>
      <c r="DL186" s="88"/>
      <c r="DM186" s="380"/>
      <c r="DN186" s="372"/>
      <c r="DO186" s="372"/>
      <c r="DP186" s="372"/>
      <c r="DQ186" s="372"/>
      <c r="DR186" s="372"/>
      <c r="DS186" s="372"/>
      <c r="DT186" s="88"/>
      <c r="DU186" s="88"/>
      <c r="DV186" s="88"/>
      <c r="DW186" s="89"/>
      <c r="DX186" s="89"/>
      <c r="DY186" s="89"/>
      <c r="DZ186" s="89"/>
      <c r="EA186" s="89"/>
      <c r="EB186" s="89"/>
      <c r="EC186" s="89"/>
      <c r="ED186" s="89"/>
      <c r="EE186" s="89"/>
      <c r="EF186" s="89"/>
      <c r="EG186" s="89"/>
      <c r="EH186" s="89"/>
    </row>
    <row r="187" spans="1:138" x14ac:dyDescent="0.25">
      <c r="A187" s="32">
        <v>44077</v>
      </c>
      <c r="B187" s="33" t="str">
        <f t="shared" ca="1" si="0"/>
        <v/>
      </c>
      <c r="C187" s="51">
        <f t="shared" si="93"/>
        <v>184</v>
      </c>
      <c r="D187" s="176">
        <f>DANE!K187</f>
        <v>24</v>
      </c>
      <c r="E187" s="188">
        <f t="shared" si="1"/>
        <v>4131</v>
      </c>
      <c r="F187" s="178">
        <f t="shared" ca="1" si="17"/>
        <v>23.714285714285715</v>
      </c>
      <c r="G187" s="209">
        <f t="shared" si="38"/>
        <v>168.144386684387</v>
      </c>
      <c r="H187" s="179">
        <f t="shared" si="42"/>
        <v>-1.4309727678327294E-4</v>
      </c>
      <c r="I187" s="213">
        <f t="shared" si="43"/>
        <v>0.99899831906251713</v>
      </c>
      <c r="J187" s="214">
        <f t="shared" ca="1" si="44"/>
        <v>0.91474066170771018</v>
      </c>
      <c r="K187" s="176">
        <f>DANE!O187</f>
        <v>33</v>
      </c>
      <c r="L187" s="188">
        <f t="shared" si="2"/>
        <v>1417</v>
      </c>
      <c r="M187" s="177">
        <f t="shared" ca="1" si="18"/>
        <v>26.714285714285715</v>
      </c>
      <c r="N187" s="209">
        <f t="shared" si="62"/>
        <v>172.27798494464741</v>
      </c>
      <c r="O187" s="179">
        <f t="shared" si="66"/>
        <v>6.0231050132982196E-2</v>
      </c>
      <c r="P187" s="213">
        <f t="shared" si="67"/>
        <v>1.4216173509308754</v>
      </c>
      <c r="Q187" s="217">
        <f t="shared" ca="1" si="68"/>
        <v>1.1771545439056375</v>
      </c>
      <c r="R187" s="176">
        <f>DANE!S187</f>
        <v>40</v>
      </c>
      <c r="S187" s="188">
        <f t="shared" si="3"/>
        <v>1659</v>
      </c>
      <c r="T187" s="177">
        <f t="shared" ca="1" si="19"/>
        <v>28.857142857142858</v>
      </c>
      <c r="U187" s="209">
        <f t="shared" si="50"/>
        <v>175.02567918920403</v>
      </c>
      <c r="V187" s="179">
        <f t="shared" si="55"/>
        <v>0.11106281141815923</v>
      </c>
      <c r="W187" s="213">
        <f t="shared" si="56"/>
        <v>1.7774396799271146</v>
      </c>
      <c r="X187" s="214">
        <f t="shared" ca="1" si="57"/>
        <v>1.4076696452762589</v>
      </c>
      <c r="Y187" s="176">
        <f>DANE!W187</f>
        <v>7</v>
      </c>
      <c r="Z187" s="188">
        <f t="shared" si="4"/>
        <v>722</v>
      </c>
      <c r="AA187" s="177">
        <f t="shared" ca="1" si="20"/>
        <v>10.142857142857142</v>
      </c>
      <c r="AB187" s="209">
        <f t="shared" si="94"/>
        <v>60.817217442525212</v>
      </c>
      <c r="AC187" s="179">
        <f t="shared" si="95"/>
        <v>-3.1368658592645537E-2</v>
      </c>
      <c r="AD187" s="213">
        <f t="shared" si="96"/>
        <v>0.78041938985148129</v>
      </c>
      <c r="AE187" s="217">
        <f t="shared" ca="1" si="97"/>
        <v>1.2655620573976709</v>
      </c>
      <c r="AF187" s="176">
        <f>DANE!AA187</f>
        <v>48</v>
      </c>
      <c r="AG187" s="188">
        <f t="shared" si="5"/>
        <v>5405</v>
      </c>
      <c r="AH187" s="177">
        <f t="shared" ca="1" si="21"/>
        <v>35.857142857142854</v>
      </c>
      <c r="AI187" s="209">
        <f t="shared" si="37"/>
        <v>287.55838638005162</v>
      </c>
      <c r="AJ187" s="179">
        <f t="shared" si="39"/>
        <v>2.8887448365747304E-2</v>
      </c>
      <c r="AK187" s="213">
        <f t="shared" si="40"/>
        <v>1.2022121385602311</v>
      </c>
      <c r="AL187" s="214">
        <f t="shared" ca="1" si="41"/>
        <v>0.81218833287869452</v>
      </c>
      <c r="AM187" s="176">
        <f>DANE!AE187</f>
        <v>100</v>
      </c>
      <c r="AN187" s="188">
        <f t="shared" si="6"/>
        <v>7838</v>
      </c>
      <c r="AO187" s="177">
        <f t="shared" ca="1" si="22"/>
        <v>121.28571428571429</v>
      </c>
      <c r="AP187" s="209">
        <f t="shared" si="49"/>
        <v>878.45214979988464</v>
      </c>
      <c r="AQ187" s="179">
        <f t="shared" si="51"/>
        <v>-3.2748530868184765E-2</v>
      </c>
      <c r="AR187" s="213">
        <f t="shared" si="52"/>
        <v>0.77076028392270657</v>
      </c>
      <c r="AS187" s="217">
        <f t="shared" ca="1" si="53"/>
        <v>0.89053617359074277</v>
      </c>
      <c r="AT187" s="176">
        <f>DANE!AI187</f>
        <v>93</v>
      </c>
      <c r="AU187" s="188">
        <f t="shared" si="7"/>
        <v>9685</v>
      </c>
      <c r="AV187" s="177">
        <f t="shared" ca="1" si="23"/>
        <v>101</v>
      </c>
      <c r="AW187" s="209">
        <f t="shared" si="33"/>
        <v>696.79501044562937</v>
      </c>
      <c r="AX187" s="179">
        <f t="shared" si="34"/>
        <v>-1.0835042085801928E-2</v>
      </c>
      <c r="AY187" s="213">
        <f t="shared" si="35"/>
        <v>0.92415470539938649</v>
      </c>
      <c r="AZ187" s="214">
        <f t="shared" ca="1" si="36"/>
        <v>1.0138036789152307</v>
      </c>
      <c r="BA187" s="176">
        <f>DANE!AM187</f>
        <v>8</v>
      </c>
      <c r="BB187" s="188">
        <f t="shared" si="8"/>
        <v>1660</v>
      </c>
      <c r="BC187" s="177">
        <f t="shared" ca="1" si="24"/>
        <v>10.285714285714286</v>
      </c>
      <c r="BD187" s="209">
        <f t="shared" si="77"/>
        <v>81.482489804181583</v>
      </c>
      <c r="BE187" s="179">
        <f t="shared" si="80"/>
        <v>-4.9540451011017422E-2</v>
      </c>
      <c r="BF187" s="213">
        <f t="shared" si="81"/>
        <v>0.65321684292287796</v>
      </c>
      <c r="BG187" s="217">
        <f t="shared" ca="1" si="82"/>
        <v>0.76075831283322581</v>
      </c>
      <c r="BH187" s="176">
        <f>DANE!AQ187</f>
        <v>32</v>
      </c>
      <c r="BI187" s="188">
        <f t="shared" si="9"/>
        <v>2540</v>
      </c>
      <c r="BJ187" s="177">
        <f t="shared" ca="1" si="25"/>
        <v>39.714285714285715</v>
      </c>
      <c r="BK187" s="209">
        <f t="shared" si="61"/>
        <v>265.21060831660759</v>
      </c>
      <c r="BL187" s="179">
        <f t="shared" si="63"/>
        <v>-2.5244262265817743E-2</v>
      </c>
      <c r="BM187" s="213">
        <f t="shared" si="64"/>
        <v>0.8232901641392758</v>
      </c>
      <c r="BN187" s="214">
        <f t="shared" ca="1" si="65"/>
        <v>0.9990027263319986</v>
      </c>
      <c r="BO187" s="176">
        <f>DANE!AU187</f>
        <v>10</v>
      </c>
      <c r="BP187" s="188">
        <f t="shared" si="10"/>
        <v>1326</v>
      </c>
      <c r="BQ187" s="177">
        <f t="shared" ca="1" si="26"/>
        <v>9.8571428571428577</v>
      </c>
      <c r="BR187" s="209">
        <f t="shared" si="78"/>
        <v>71.776716791485867</v>
      </c>
      <c r="BS187" s="179">
        <f t="shared" si="83"/>
        <v>-4.1086140164211561E-3</v>
      </c>
      <c r="BT187" s="213">
        <f t="shared" si="84"/>
        <v>0.97123970188505193</v>
      </c>
      <c r="BU187" s="217">
        <f t="shared" ca="1" si="85"/>
        <v>0.90457708550425031</v>
      </c>
      <c r="BV187" s="176">
        <f>DANE!AY187</f>
        <v>44</v>
      </c>
      <c r="BW187" s="188">
        <f t="shared" si="11"/>
        <v>2664</v>
      </c>
      <c r="BX187" s="177">
        <f t="shared" ca="1" si="27"/>
        <v>47.857142857142854</v>
      </c>
      <c r="BY187" s="209">
        <f t="shared" si="69"/>
        <v>378.08794104925613</v>
      </c>
      <c r="BZ187" s="179">
        <f t="shared" si="71"/>
        <v>-2.9969842597702093E-2</v>
      </c>
      <c r="CA187" s="213">
        <f t="shared" si="72"/>
        <v>0.79021110181608534</v>
      </c>
      <c r="CB187" s="214">
        <f t="shared" ca="1" si="73"/>
        <v>0.7888104715568558</v>
      </c>
      <c r="CC187" s="176">
        <f>DANE!BC187</f>
        <v>71</v>
      </c>
      <c r="CD187" s="188">
        <f t="shared" si="12"/>
        <v>20684</v>
      </c>
      <c r="CE187" s="177">
        <f t="shared" ca="1" si="28"/>
        <v>78.428571428571431</v>
      </c>
      <c r="CF187" s="209">
        <f t="shared" si="45"/>
        <v>639.60185760886111</v>
      </c>
      <c r="CG187" s="179">
        <f t="shared" si="46"/>
        <v>-3.582769502335427E-2</v>
      </c>
      <c r="CH187" s="213">
        <f t="shared" si="47"/>
        <v>0.7492061348365201</v>
      </c>
      <c r="CI187" s="217">
        <f t="shared" ca="1" si="48"/>
        <v>0.70040855260325718</v>
      </c>
      <c r="CJ187" s="176">
        <f>DANE!BG187</f>
        <v>21</v>
      </c>
      <c r="CK187" s="188">
        <f t="shared" si="13"/>
        <v>1478</v>
      </c>
      <c r="CL187" s="177">
        <f t="shared" ca="1" si="29"/>
        <v>16.857142857142858</v>
      </c>
      <c r="CM187" s="209">
        <f t="shared" si="79"/>
        <v>121.709369367492</v>
      </c>
      <c r="CN187" s="179">
        <f t="shared" si="86"/>
        <v>3.5874986169674661E-2</v>
      </c>
      <c r="CO187" s="213">
        <f t="shared" si="87"/>
        <v>1.2511249031877227</v>
      </c>
      <c r="CP187" s="214">
        <f t="shared" ca="1" si="88"/>
        <v>0.94668473195312475</v>
      </c>
      <c r="CQ187" s="176">
        <f>DANE!BK187</f>
        <v>16</v>
      </c>
      <c r="CR187" s="188">
        <f t="shared" si="14"/>
        <v>937</v>
      </c>
      <c r="CS187" s="177">
        <f t="shared" ca="1" si="30"/>
        <v>14.571428571428571</v>
      </c>
      <c r="CT187" s="209">
        <f t="shared" si="89"/>
        <v>119.87727686114619</v>
      </c>
      <c r="CU187" s="179">
        <f t="shared" si="90"/>
        <v>-1.0833218773940832E-2</v>
      </c>
      <c r="CV187" s="213">
        <f t="shared" si="91"/>
        <v>0.92416746858241416</v>
      </c>
      <c r="CW187" s="217">
        <f t="shared" ca="1" si="92"/>
        <v>0.74681714479703776</v>
      </c>
      <c r="CX187" s="176">
        <f>DANE!BO187</f>
        <v>48</v>
      </c>
      <c r="CY187" s="188">
        <f t="shared" si="15"/>
        <v>5830</v>
      </c>
      <c r="CZ187" s="177">
        <f t="shared" ca="1" si="31"/>
        <v>59.571428571428569</v>
      </c>
      <c r="DA187" s="209">
        <f t="shared" si="54"/>
        <v>404.24724392551695</v>
      </c>
      <c r="DB187" s="179">
        <f t="shared" si="58"/>
        <v>-2.7367527584612614E-2</v>
      </c>
      <c r="DC187" s="213">
        <f t="shared" si="59"/>
        <v>0.8084273069077117</v>
      </c>
      <c r="DD187" s="214">
        <f t="shared" ca="1" si="60"/>
        <v>0.90815300029477186</v>
      </c>
      <c r="DE187" s="176">
        <f>DANE!BS187</f>
        <v>17</v>
      </c>
      <c r="DF187" s="188">
        <f t="shared" si="16"/>
        <v>1153</v>
      </c>
      <c r="DG187" s="177">
        <f t="shared" ca="1" si="32"/>
        <v>9.5714285714285712</v>
      </c>
      <c r="DH187" s="209">
        <f t="shared" si="70"/>
        <v>72.531313137085846</v>
      </c>
      <c r="DI187" s="179">
        <f t="shared" si="74"/>
        <v>0.11954307331381693</v>
      </c>
      <c r="DJ187" s="157">
        <f t="shared" si="75"/>
        <v>1.8368015131967186</v>
      </c>
      <c r="DK187" s="225">
        <f t="shared" ca="1" si="76"/>
        <v>0.91139048146191837</v>
      </c>
      <c r="DL187" s="88"/>
      <c r="DM187" s="380"/>
      <c r="DN187" s="372"/>
      <c r="DO187" s="372"/>
      <c r="DP187" s="372"/>
      <c r="DQ187" s="372"/>
      <c r="DR187" s="372"/>
      <c r="DS187" s="372"/>
      <c r="DT187" s="89"/>
      <c r="DU187" s="89"/>
      <c r="DV187" s="89"/>
      <c r="DW187" s="89"/>
      <c r="DX187" s="89"/>
      <c r="DY187" s="89"/>
      <c r="DZ187" s="89"/>
      <c r="EA187" s="89"/>
      <c r="EB187" s="89"/>
      <c r="EC187" s="89"/>
      <c r="ED187" s="89"/>
      <c r="EE187" s="89"/>
      <c r="EF187" s="89"/>
      <c r="EG187" s="89"/>
      <c r="EH187" s="89"/>
    </row>
    <row r="188" spans="1:138" x14ac:dyDescent="0.25">
      <c r="A188" s="32">
        <v>44078</v>
      </c>
      <c r="B188" s="33" t="str">
        <f t="shared" ca="1" si="0"/>
        <v/>
      </c>
      <c r="C188" s="51">
        <f t="shared" si="93"/>
        <v>185</v>
      </c>
      <c r="D188" s="176">
        <f>DANE!K188</f>
        <v>27</v>
      </c>
      <c r="E188" s="188">
        <f t="shared" si="1"/>
        <v>4158</v>
      </c>
      <c r="F188" s="178">
        <f t="shared" ca="1" si="17"/>
        <v>23.285714285714285</v>
      </c>
      <c r="G188" s="209">
        <f t="shared" si="38"/>
        <v>171.12376001518888</v>
      </c>
      <c r="H188" s="179">
        <f t="shared" si="42"/>
        <v>1.7719136449046421E-2</v>
      </c>
      <c r="I188" s="213">
        <f t="shared" si="43"/>
        <v>1.1240339551433249</v>
      </c>
      <c r="J188" s="214">
        <f t="shared" ca="1" si="44"/>
        <v>0.91431513557085531</v>
      </c>
      <c r="K188" s="176">
        <f>DANE!O188</f>
        <v>11</v>
      </c>
      <c r="L188" s="188">
        <f t="shared" si="2"/>
        <v>1428</v>
      </c>
      <c r="M188" s="177">
        <f t="shared" ca="1" si="18"/>
        <v>22.857142857142858</v>
      </c>
      <c r="N188" s="209">
        <f t="shared" si="62"/>
        <v>158.66684423826922</v>
      </c>
      <c r="O188" s="179">
        <f t="shared" si="66"/>
        <v>-7.9006848790061174E-2</v>
      </c>
      <c r="P188" s="213">
        <f t="shared" si="67"/>
        <v>0.44695205846957176</v>
      </c>
      <c r="Q188" s="217">
        <f t="shared" ca="1" si="68"/>
        <v>0.98094495195739262</v>
      </c>
      <c r="R188" s="176">
        <f>DANE!S188</f>
        <v>27</v>
      </c>
      <c r="S188" s="188">
        <f t="shared" si="3"/>
        <v>1686</v>
      </c>
      <c r="T188" s="177">
        <f t="shared" ca="1" si="19"/>
        <v>28.857142857142858</v>
      </c>
      <c r="U188" s="209">
        <f t="shared" si="50"/>
        <v>177.02201073360345</v>
      </c>
      <c r="V188" s="179">
        <f t="shared" si="55"/>
        <v>1.1405935138474028E-2</v>
      </c>
      <c r="W188" s="213">
        <f t="shared" si="56"/>
        <v>1.0798415459693183</v>
      </c>
      <c r="X188" s="214">
        <f t="shared" ca="1" si="57"/>
        <v>1.3459814956919371</v>
      </c>
      <c r="Y188" s="176">
        <f>DANE!W188</f>
        <v>13</v>
      </c>
      <c r="Z188" s="188">
        <f t="shared" si="4"/>
        <v>735</v>
      </c>
      <c r="AA188" s="177">
        <f t="shared" ca="1" si="20"/>
        <v>10.714285714285714</v>
      </c>
      <c r="AB188" s="209">
        <f t="shared" si="94"/>
        <v>65.129043522164466</v>
      </c>
      <c r="AC188" s="179">
        <f t="shared" si="95"/>
        <v>7.0898115056219194E-2</v>
      </c>
      <c r="AD188" s="213">
        <f t="shared" si="96"/>
        <v>1.4962868053935343</v>
      </c>
      <c r="AE188" s="217">
        <f t="shared" ca="1" si="97"/>
        <v>1.2899546928087915</v>
      </c>
      <c r="AF188" s="176">
        <f>DANE!AA188</f>
        <v>43</v>
      </c>
      <c r="AG188" s="188">
        <f t="shared" si="5"/>
        <v>5448</v>
      </c>
      <c r="AH188" s="177">
        <f t="shared" ca="1" si="21"/>
        <v>36.428571428571431</v>
      </c>
      <c r="AI188" s="209">
        <f t="shared" si="37"/>
        <v>289.47861689718712</v>
      </c>
      <c r="AJ188" s="179">
        <f t="shared" si="39"/>
        <v>6.6777065392126479E-3</v>
      </c>
      <c r="AK188" s="213">
        <f t="shared" si="40"/>
        <v>1.0467439457744885</v>
      </c>
      <c r="AL188" s="214">
        <f t="shared" ca="1" si="41"/>
        <v>0.84983207997291699</v>
      </c>
      <c r="AM188" s="176">
        <f>DANE!AE188</f>
        <v>120</v>
      </c>
      <c r="AN188" s="188">
        <f t="shared" si="6"/>
        <v>7958</v>
      </c>
      <c r="AO188" s="177">
        <f t="shared" ca="1" si="22"/>
        <v>118.57142857142857</v>
      </c>
      <c r="AP188" s="209">
        <f t="shared" si="49"/>
        <v>872.95898554275834</v>
      </c>
      <c r="AQ188" s="179">
        <f t="shared" si="51"/>
        <v>-6.2532310477897554E-3</v>
      </c>
      <c r="AR188" s="213">
        <f t="shared" si="52"/>
        <v>0.95622738266547169</v>
      </c>
      <c r="AS188" s="217">
        <f t="shared" ca="1" si="53"/>
        <v>0.88573721390321425</v>
      </c>
      <c r="AT188" s="176">
        <f>DANE!AI188</f>
        <v>121</v>
      </c>
      <c r="AU188" s="188">
        <f t="shared" si="7"/>
        <v>9806</v>
      </c>
      <c r="AV188" s="177">
        <f t="shared" ca="1" si="23"/>
        <v>99.714285714285708</v>
      </c>
      <c r="AW188" s="209">
        <f t="shared" si="33"/>
        <v>718.2528660962538</v>
      </c>
      <c r="AX188" s="179">
        <f t="shared" si="34"/>
        <v>3.0795076498755687E-2</v>
      </c>
      <c r="AY188" s="213">
        <f t="shared" si="35"/>
        <v>1.2155655354912898</v>
      </c>
      <c r="AZ188" s="214">
        <f t="shared" ca="1" si="36"/>
        <v>0.99980055246586319</v>
      </c>
      <c r="BA188" s="176">
        <f>DANE!AM188</f>
        <v>9</v>
      </c>
      <c r="BB188" s="188">
        <f t="shared" si="8"/>
        <v>1669</v>
      </c>
      <c r="BC188" s="177">
        <f t="shared" ca="1" si="24"/>
        <v>9.4285714285714288</v>
      </c>
      <c r="BD188" s="209">
        <f t="shared" si="77"/>
        <v>78.842134117869932</v>
      </c>
      <c r="BE188" s="179">
        <f t="shared" si="80"/>
        <v>-3.2403964246268659E-2</v>
      </c>
      <c r="BF188" s="213">
        <f t="shared" si="81"/>
        <v>0.77317225027611935</v>
      </c>
      <c r="BG188" s="217">
        <f t="shared" ca="1" si="82"/>
        <v>0.72735967509843424</v>
      </c>
      <c r="BH188" s="176">
        <f>DANE!AQ188</f>
        <v>92</v>
      </c>
      <c r="BI188" s="188">
        <f t="shared" si="9"/>
        <v>2632</v>
      </c>
      <c r="BJ188" s="177">
        <f t="shared" ca="1" si="25"/>
        <v>42.857142857142854</v>
      </c>
      <c r="BK188" s="209">
        <f t="shared" si="61"/>
        <v>319.32337855709227</v>
      </c>
      <c r="BL188" s="179">
        <f t="shared" si="63"/>
        <v>0.20403697493082562</v>
      </c>
      <c r="BM188" s="213">
        <f t="shared" si="64"/>
        <v>2.4282588245157797</v>
      </c>
      <c r="BN188" s="214">
        <f t="shared" ca="1" si="65"/>
        <v>1.0848337932279315</v>
      </c>
      <c r="BO188" s="176">
        <f>DANE!AU188</f>
        <v>8</v>
      </c>
      <c r="BP188" s="188">
        <f t="shared" si="10"/>
        <v>1334</v>
      </c>
      <c r="BQ188" s="177">
        <f t="shared" ca="1" si="26"/>
        <v>10.285714285714286</v>
      </c>
      <c r="BR188" s="209">
        <f t="shared" si="78"/>
        <v>69.52290010698789</v>
      </c>
      <c r="BS188" s="179">
        <f t="shared" si="83"/>
        <v>-3.1400386995206281E-2</v>
      </c>
      <c r="BT188" s="213">
        <f t="shared" si="84"/>
        <v>0.78019729103355606</v>
      </c>
      <c r="BU188" s="217">
        <f t="shared" ca="1" si="85"/>
        <v>0.95426730104061919</v>
      </c>
      <c r="BV188" s="176">
        <f>DANE!AY188</f>
        <v>41</v>
      </c>
      <c r="BW188" s="188">
        <f t="shared" si="11"/>
        <v>2705</v>
      </c>
      <c r="BX188" s="177">
        <f t="shared" ca="1" si="27"/>
        <v>47.714285714285715</v>
      </c>
      <c r="BY188" s="209">
        <f t="shared" si="69"/>
        <v>365.07537804221954</v>
      </c>
      <c r="BZ188" s="179">
        <f t="shared" si="71"/>
        <v>-3.4416762859255948E-2</v>
      </c>
      <c r="CA188" s="213">
        <f t="shared" si="72"/>
        <v>0.7590826599852083</v>
      </c>
      <c r="CB188" s="214">
        <f t="shared" ca="1" si="73"/>
        <v>0.80790776992699731</v>
      </c>
      <c r="CC188" s="176">
        <f>DANE!BC188</f>
        <v>54</v>
      </c>
      <c r="CD188" s="188">
        <f t="shared" si="12"/>
        <v>20738</v>
      </c>
      <c r="CE188" s="177">
        <f t="shared" ca="1" si="28"/>
        <v>71.285714285714292</v>
      </c>
      <c r="CF188" s="209">
        <f t="shared" si="45"/>
        <v>602.23016366473814</v>
      </c>
      <c r="CG188" s="179">
        <f t="shared" si="46"/>
        <v>-5.8429620707851453E-2</v>
      </c>
      <c r="CH188" s="213">
        <f t="shared" si="47"/>
        <v>0.59099265504503973</v>
      </c>
      <c r="CI188" s="217">
        <f t="shared" ca="1" si="48"/>
        <v>0.6652265938177121</v>
      </c>
      <c r="CJ188" s="176">
        <f>DANE!BG188</f>
        <v>15</v>
      </c>
      <c r="CK188" s="188">
        <f t="shared" si="13"/>
        <v>1493</v>
      </c>
      <c r="CL188" s="177">
        <f t="shared" ca="1" si="29"/>
        <v>16.285714285714285</v>
      </c>
      <c r="CM188" s="209">
        <f t="shared" si="79"/>
        <v>119.32231660070744</v>
      </c>
      <c r="CN188" s="179">
        <f t="shared" si="86"/>
        <v>-1.9612728084861263E-2</v>
      </c>
      <c r="CO188" s="213">
        <f t="shared" si="87"/>
        <v>0.86271090340597112</v>
      </c>
      <c r="CP188" s="214">
        <f t="shared" ca="1" si="88"/>
        <v>0.92319826710862873</v>
      </c>
      <c r="CQ188" s="176">
        <f>DANE!BK188</f>
        <v>15</v>
      </c>
      <c r="CR188" s="188">
        <f t="shared" si="14"/>
        <v>952</v>
      </c>
      <c r="CS188" s="177">
        <f t="shared" ca="1" si="30"/>
        <v>13.571428571428571</v>
      </c>
      <c r="CT188" s="209">
        <f t="shared" si="89"/>
        <v>117.75195159526817</v>
      </c>
      <c r="CU188" s="179">
        <f t="shared" si="90"/>
        <v>-1.772917538275233E-2</v>
      </c>
      <c r="CV188" s="213">
        <f t="shared" si="91"/>
        <v>0.87589577232073368</v>
      </c>
      <c r="CW188" s="217">
        <f t="shared" ca="1" si="92"/>
        <v>0.73121340678145408</v>
      </c>
      <c r="CX188" s="176">
        <f>DANE!BO188</f>
        <v>93</v>
      </c>
      <c r="CY188" s="188">
        <f t="shared" si="15"/>
        <v>5923</v>
      </c>
      <c r="CZ188" s="177">
        <f t="shared" ca="1" si="31"/>
        <v>59.714285714285715</v>
      </c>
      <c r="DA188" s="209">
        <f t="shared" si="54"/>
        <v>439.49763765044315</v>
      </c>
      <c r="DB188" s="179">
        <f t="shared" si="58"/>
        <v>8.720008424206134E-2</v>
      </c>
      <c r="DC188" s="213">
        <f t="shared" si="59"/>
        <v>1.6104005896944296</v>
      </c>
      <c r="DD188" s="214">
        <f t="shared" ca="1" si="60"/>
        <v>0.9328506315859969</v>
      </c>
      <c r="DE188" s="176">
        <f>DANE!BS188</f>
        <v>2</v>
      </c>
      <c r="DF188" s="188">
        <f t="shared" si="16"/>
        <v>1155</v>
      </c>
      <c r="DG188" s="177">
        <f t="shared" ca="1" si="32"/>
        <v>8.4285714285714288</v>
      </c>
      <c r="DH188" s="209">
        <f t="shared" si="70"/>
        <v>64.169696974645007</v>
      </c>
      <c r="DI188" s="179">
        <f t="shared" si="74"/>
        <v>-0.11528284544686504</v>
      </c>
      <c r="DJ188" s="157">
        <f t="shared" si="75"/>
        <v>0.19302008187194464</v>
      </c>
      <c r="DK188" s="225">
        <f t="shared" ca="1" si="76"/>
        <v>0.81440437857357573</v>
      </c>
      <c r="DL188" s="89"/>
      <c r="DM188" s="89"/>
      <c r="DN188" s="89"/>
      <c r="DO188" s="89"/>
      <c r="DP188" s="89"/>
      <c r="DQ188" s="89"/>
      <c r="DR188" s="89"/>
      <c r="DS188" s="89"/>
      <c r="DT188" s="89"/>
      <c r="DU188" s="89"/>
      <c r="DV188" s="89"/>
      <c r="DW188" s="89"/>
      <c r="DX188" s="89"/>
      <c r="DY188" s="89"/>
      <c r="DZ188" s="89"/>
      <c r="EA188" s="89"/>
      <c r="EB188" s="89"/>
      <c r="EC188" s="89"/>
      <c r="ED188" s="89"/>
      <c r="EE188" s="89"/>
      <c r="EF188" s="89"/>
      <c r="EG188" s="89"/>
      <c r="EH188" s="89"/>
    </row>
    <row r="189" spans="1:138" x14ac:dyDescent="0.25">
      <c r="A189" s="61">
        <v>44079</v>
      </c>
      <c r="B189" s="62" t="str">
        <f t="shared" ca="1" si="0"/>
        <v/>
      </c>
      <c r="C189" s="12">
        <f t="shared" si="93"/>
        <v>186</v>
      </c>
      <c r="D189" s="176">
        <f>DANE!K189</f>
        <v>23</v>
      </c>
      <c r="E189" s="198">
        <f t="shared" si="1"/>
        <v>4181</v>
      </c>
      <c r="F189" s="178">
        <f t="shared" ca="1" si="17"/>
        <v>20.285714285714285</v>
      </c>
      <c r="G189" s="211">
        <f t="shared" si="38"/>
        <v>169.67750858444762</v>
      </c>
      <c r="H189" s="200">
        <f t="shared" si="42"/>
        <v>-8.4514939983371534E-3</v>
      </c>
      <c r="I189" s="213">
        <f t="shared" si="43"/>
        <v>0.94083954201163988</v>
      </c>
      <c r="J189" s="214">
        <f t="shared" ca="1" si="44"/>
        <v>0.81679305353460097</v>
      </c>
      <c r="K189" s="176">
        <f>DANE!O189</f>
        <v>13</v>
      </c>
      <c r="L189" s="198">
        <f t="shared" si="2"/>
        <v>1441</v>
      </c>
      <c r="M189" s="177">
        <f t="shared" ca="1" si="18"/>
        <v>21.428571428571427</v>
      </c>
      <c r="N189" s="211">
        <f t="shared" si="62"/>
        <v>149.00015220423077</v>
      </c>
      <c r="O189" s="200">
        <f t="shared" si="66"/>
        <v>-6.0924461442757531E-2</v>
      </c>
      <c r="P189" s="213">
        <f t="shared" si="67"/>
        <v>0.57352876990069723</v>
      </c>
      <c r="Q189" s="217">
        <f t="shared" ca="1" si="68"/>
        <v>0.921985867024678</v>
      </c>
      <c r="R189" s="176">
        <f>DANE!S189</f>
        <v>15</v>
      </c>
      <c r="S189" s="198">
        <f t="shared" si="3"/>
        <v>1701</v>
      </c>
      <c r="T189" s="177">
        <f t="shared" ca="1" si="19"/>
        <v>28.714285714285715</v>
      </c>
      <c r="U189" s="211">
        <f t="shared" si="50"/>
        <v>166.73315205737441</v>
      </c>
      <c r="V189" s="200">
        <f t="shared" si="55"/>
        <v>-5.812191734570521E-2</v>
      </c>
      <c r="W189" s="213">
        <f t="shared" si="56"/>
        <v>0.59314657858006359</v>
      </c>
      <c r="X189" s="214">
        <f t="shared" ca="1" si="57"/>
        <v>1.3114624082339703</v>
      </c>
      <c r="Y189" s="176">
        <f>DANE!W189</f>
        <v>14</v>
      </c>
      <c r="Z189" s="198">
        <f t="shared" si="4"/>
        <v>749</v>
      </c>
      <c r="AA189" s="177">
        <f t="shared" ca="1" si="20"/>
        <v>11</v>
      </c>
      <c r="AB189" s="211">
        <f t="shared" si="94"/>
        <v>69.824894447569548</v>
      </c>
      <c r="AC189" s="200">
        <f t="shared" si="95"/>
        <v>7.2100719916253775E-2</v>
      </c>
      <c r="AD189" s="213">
        <f t="shared" si="96"/>
        <v>1.5047050394137764</v>
      </c>
      <c r="AE189" s="217">
        <f t="shared" ca="1" si="97"/>
        <v>1.2636491302293844</v>
      </c>
      <c r="AF189" s="176">
        <f>DANE!AA189</f>
        <v>31</v>
      </c>
      <c r="AG189" s="198">
        <f t="shared" si="5"/>
        <v>5479</v>
      </c>
      <c r="AH189" s="177">
        <f t="shared" ca="1" si="21"/>
        <v>36</v>
      </c>
      <c r="AI189" s="211">
        <f t="shared" si="37"/>
        <v>279.12452876901756</v>
      </c>
      <c r="AJ189" s="200">
        <f t="shared" si="39"/>
        <v>-3.5768058584606896E-2</v>
      </c>
      <c r="AK189" s="213">
        <f t="shared" si="40"/>
        <v>0.74962358990775169</v>
      </c>
      <c r="AL189" s="214">
        <f t="shared" ca="1" si="41"/>
        <v>0.85625793336926759</v>
      </c>
      <c r="AM189" s="176">
        <f>DANE!AE189</f>
        <v>120</v>
      </c>
      <c r="AN189" s="198">
        <f t="shared" si="6"/>
        <v>8078</v>
      </c>
      <c r="AO189" s="177">
        <f t="shared" ca="1" si="22"/>
        <v>117.42857142857143</v>
      </c>
      <c r="AP189" s="211">
        <f t="shared" si="49"/>
        <v>868.25055903665009</v>
      </c>
      <c r="AQ189" s="200">
        <f t="shared" si="51"/>
        <v>-5.3936400038093546E-3</v>
      </c>
      <c r="AR189" s="213">
        <f t="shared" si="52"/>
        <v>0.96224451997333449</v>
      </c>
      <c r="AS189" s="217">
        <f t="shared" ca="1" si="53"/>
        <v>0.89279836014545044</v>
      </c>
      <c r="AT189" s="176">
        <f>DANE!AI189</f>
        <v>68</v>
      </c>
      <c r="AU189" s="198">
        <f t="shared" si="7"/>
        <v>9874</v>
      </c>
      <c r="AV189" s="177">
        <f t="shared" ca="1" si="23"/>
        <v>89.428571428571431</v>
      </c>
      <c r="AW189" s="211">
        <f t="shared" si="33"/>
        <v>683.64531379678897</v>
      </c>
      <c r="AX189" s="200">
        <f t="shared" si="34"/>
        <v>-4.8182964430840206E-2</v>
      </c>
      <c r="AY189" s="213">
        <f t="shared" si="35"/>
        <v>0.66271924898411849</v>
      </c>
      <c r="AZ189" s="214">
        <f t="shared" ca="1" si="36"/>
        <v>0.90104946289741872</v>
      </c>
      <c r="BA189" s="176">
        <f>DANE!AM189</f>
        <v>9</v>
      </c>
      <c r="BB189" s="198">
        <f t="shared" si="8"/>
        <v>1678</v>
      </c>
      <c r="BC189" s="177">
        <f t="shared" ca="1" si="24"/>
        <v>9.5714285714285712</v>
      </c>
      <c r="BD189" s="211">
        <f t="shared" si="77"/>
        <v>76.578972101031368</v>
      </c>
      <c r="BE189" s="200">
        <f t="shared" si="80"/>
        <v>-2.8704981697414603E-2</v>
      </c>
      <c r="BF189" s="213">
        <f t="shared" si="81"/>
        <v>0.79906512811809782</v>
      </c>
      <c r="BG189" s="217">
        <f t="shared" ca="1" si="82"/>
        <v>0.76486710402366265</v>
      </c>
      <c r="BH189" s="176">
        <f>DANE!AQ189</f>
        <v>58</v>
      </c>
      <c r="BI189" s="198">
        <f t="shared" si="9"/>
        <v>2690</v>
      </c>
      <c r="BJ189" s="177">
        <f t="shared" ca="1" si="25"/>
        <v>45.142857142857146</v>
      </c>
      <c r="BK189" s="211">
        <f t="shared" si="61"/>
        <v>331.70575304893623</v>
      </c>
      <c r="BL189" s="200">
        <f t="shared" si="63"/>
        <v>3.8776911818343737E-2</v>
      </c>
      <c r="BM189" s="213">
        <f t="shared" si="64"/>
        <v>1.2714383827284061</v>
      </c>
      <c r="BN189" s="214">
        <f t="shared" ca="1" si="65"/>
        <v>1.1263882530723619</v>
      </c>
      <c r="BO189" s="176">
        <f>DANE!AU189</f>
        <v>11</v>
      </c>
      <c r="BP189" s="198">
        <f t="shared" si="10"/>
        <v>1345</v>
      </c>
      <c r="BQ189" s="177">
        <f t="shared" ca="1" si="26"/>
        <v>8.4285714285714288</v>
      </c>
      <c r="BR189" s="211">
        <f t="shared" si="78"/>
        <v>70.591057234561049</v>
      </c>
      <c r="BS189" s="200">
        <f t="shared" si="83"/>
        <v>1.5364104862273947E-2</v>
      </c>
      <c r="BT189" s="213">
        <f t="shared" si="84"/>
        <v>1.1075487340359176</v>
      </c>
      <c r="BU189" s="217">
        <f t="shared" ca="1" si="85"/>
        <v>0.78984586561900172</v>
      </c>
      <c r="BV189" s="176">
        <f>DANE!AY189</f>
        <v>42</v>
      </c>
      <c r="BW189" s="198">
        <f t="shared" si="11"/>
        <v>2747</v>
      </c>
      <c r="BX189" s="177">
        <f t="shared" ca="1" si="27"/>
        <v>47.285714285714285</v>
      </c>
      <c r="BY189" s="211">
        <f t="shared" si="69"/>
        <v>354.92175260761678</v>
      </c>
      <c r="BZ189" s="200">
        <f t="shared" si="71"/>
        <v>-2.7812408191024408E-2</v>
      </c>
      <c r="CA189" s="213">
        <f t="shared" si="72"/>
        <v>0.80531314266282916</v>
      </c>
      <c r="CB189" s="214">
        <f t="shared" ca="1" si="73"/>
        <v>0.82181552368901578</v>
      </c>
      <c r="CC189" s="176">
        <f>DANE!BC189</f>
        <v>48</v>
      </c>
      <c r="CD189" s="198">
        <f t="shared" si="12"/>
        <v>20786</v>
      </c>
      <c r="CE189" s="177">
        <f t="shared" ca="1" si="28"/>
        <v>64.571428571428569</v>
      </c>
      <c r="CF189" s="211">
        <f t="shared" si="45"/>
        <v>564.19728314120414</v>
      </c>
      <c r="CG189" s="200">
        <f t="shared" si="46"/>
        <v>-6.3153396854274693E-2</v>
      </c>
      <c r="CH189" s="213">
        <f t="shared" si="47"/>
        <v>0.55792622202007713</v>
      </c>
      <c r="CI189" s="217">
        <f t="shared" ca="1" si="48"/>
        <v>0.63307121626388707</v>
      </c>
      <c r="CJ189" s="176">
        <f>DANE!BG189</f>
        <v>26</v>
      </c>
      <c r="CK189" s="198">
        <f t="shared" si="13"/>
        <v>1519</v>
      </c>
      <c r="CL189" s="177">
        <f t="shared" ca="1" si="29"/>
        <v>16.142857142857142</v>
      </c>
      <c r="CM189" s="211">
        <f t="shared" si="79"/>
        <v>128.27627137203496</v>
      </c>
      <c r="CN189" s="200">
        <f t="shared" si="86"/>
        <v>7.5040068165039553E-2</v>
      </c>
      <c r="CO189" s="213">
        <f t="shared" si="87"/>
        <v>1.525280477155277</v>
      </c>
      <c r="CP189" s="214">
        <f t="shared" ca="1" si="88"/>
        <v>0.9333877804612174</v>
      </c>
      <c r="CQ189" s="176">
        <f>DANE!BK189</f>
        <v>16</v>
      </c>
      <c r="CR189" s="198">
        <f t="shared" si="14"/>
        <v>968</v>
      </c>
      <c r="CS189" s="177">
        <f t="shared" ca="1" si="30"/>
        <v>13.857142857142858</v>
      </c>
      <c r="CT189" s="211">
        <f t="shared" si="89"/>
        <v>116.93024422451558</v>
      </c>
      <c r="CU189" s="200">
        <f t="shared" si="90"/>
        <v>-6.9782908870752967E-3</v>
      </c>
      <c r="CV189" s="213">
        <f t="shared" si="91"/>
        <v>0.95115196379047295</v>
      </c>
      <c r="CW189" s="217">
        <f t="shared" ca="1" si="92"/>
        <v>0.77734496664602204</v>
      </c>
      <c r="CX189" s="176">
        <f>DANE!BO189</f>
        <v>59</v>
      </c>
      <c r="CY189" s="198">
        <f t="shared" si="15"/>
        <v>5982</v>
      </c>
      <c r="CZ189" s="177">
        <f t="shared" ca="1" si="31"/>
        <v>54.428571428571431</v>
      </c>
      <c r="DA189" s="211">
        <f t="shared" si="54"/>
        <v>435.712260843237</v>
      </c>
      <c r="DB189" s="200">
        <f t="shared" si="58"/>
        <v>-8.6129628078157466E-3</v>
      </c>
      <c r="DC189" s="213">
        <f t="shared" si="59"/>
        <v>0.93970926034528979</v>
      </c>
      <c r="DD189" s="214">
        <f t="shared" ca="1" si="60"/>
        <v>0.86541219594681007</v>
      </c>
      <c r="DE189" s="176">
        <f>DANE!BS189</f>
        <v>14</v>
      </c>
      <c r="DF189" s="198">
        <f t="shared" si="16"/>
        <v>1169</v>
      </c>
      <c r="DG189" s="177">
        <f t="shared" ca="1" si="32"/>
        <v>8.8571428571428577</v>
      </c>
      <c r="DH189" s="211">
        <f t="shared" si="70"/>
        <v>69.002597406838589</v>
      </c>
      <c r="DI189" s="200">
        <f t="shared" si="74"/>
        <v>7.5314372048588263E-2</v>
      </c>
      <c r="DJ189" s="157">
        <f t="shared" si="75"/>
        <v>1.5272006043401178</v>
      </c>
      <c r="DK189" s="225">
        <f t="shared" ca="1" si="76"/>
        <v>0.89300577461714103</v>
      </c>
      <c r="DL189" s="88"/>
      <c r="DM189" s="88"/>
      <c r="DN189" s="88"/>
      <c r="DO189" s="88"/>
      <c r="DP189" s="88"/>
      <c r="DQ189" s="88"/>
      <c r="DR189" s="88"/>
      <c r="DS189" s="88"/>
      <c r="DT189" s="88"/>
      <c r="DU189" s="88"/>
      <c r="DV189" s="88"/>
      <c r="DW189" s="88"/>
      <c r="DX189" s="88"/>
      <c r="DY189" s="88"/>
      <c r="DZ189" s="88"/>
      <c r="EA189" s="88"/>
      <c r="EB189" s="88"/>
      <c r="EC189" s="88"/>
      <c r="ED189" s="88"/>
      <c r="EE189" s="88"/>
      <c r="EF189" s="88"/>
      <c r="EG189" s="88"/>
      <c r="EH189" s="88"/>
    </row>
    <row r="190" spans="1:138" x14ac:dyDescent="0.25">
      <c r="A190" s="61">
        <v>44080</v>
      </c>
      <c r="B190" s="62" t="str">
        <f t="shared" ca="1" si="0"/>
        <v/>
      </c>
      <c r="C190" s="12">
        <f t="shared" si="93"/>
        <v>187</v>
      </c>
      <c r="D190" s="176">
        <f>DANE!K190</f>
        <v>8</v>
      </c>
      <c r="E190" s="198">
        <f t="shared" si="1"/>
        <v>4189</v>
      </c>
      <c r="F190" s="178">
        <f t="shared" ca="1" si="17"/>
        <v>20</v>
      </c>
      <c r="G190" s="211">
        <f t="shared" si="38"/>
        <v>153.43786450095513</v>
      </c>
      <c r="H190" s="200">
        <f t="shared" si="42"/>
        <v>-9.5708878677989939E-2</v>
      </c>
      <c r="I190" s="213">
        <f t="shared" si="43"/>
        <v>0.33003784925407043</v>
      </c>
      <c r="J190" s="214">
        <f t="shared" ca="1" si="44"/>
        <v>0.81554147246069264</v>
      </c>
      <c r="K190" s="176">
        <f>DANE!O190</f>
        <v>19</v>
      </c>
      <c r="L190" s="198">
        <f t="shared" si="2"/>
        <v>1460</v>
      </c>
      <c r="M190" s="177">
        <f t="shared" ca="1" si="18"/>
        <v>21</v>
      </c>
      <c r="N190" s="211">
        <f t="shared" si="62"/>
        <v>146.71441617505496</v>
      </c>
      <c r="O190" s="200">
        <f t="shared" si="66"/>
        <v>-1.5340494592534424E-2</v>
      </c>
      <c r="P190" s="213">
        <f t="shared" si="67"/>
        <v>0.89261653785225903</v>
      </c>
      <c r="Q190" s="217">
        <f t="shared" ca="1" si="68"/>
        <v>0.91447109032305307</v>
      </c>
      <c r="R190" s="176">
        <f>DANE!S190</f>
        <v>13</v>
      </c>
      <c r="S190" s="198">
        <f t="shared" si="3"/>
        <v>1714</v>
      </c>
      <c r="T190" s="177">
        <f t="shared" ca="1" si="19"/>
        <v>20.714285714285715</v>
      </c>
      <c r="U190" s="211">
        <f t="shared" si="50"/>
        <v>155.91413033489238</v>
      </c>
      <c r="V190" s="200">
        <f t="shared" si="55"/>
        <v>-6.4888245612720802E-2</v>
      </c>
      <c r="W190" s="213">
        <f t="shared" si="56"/>
        <v>0.54578228071095436</v>
      </c>
      <c r="X190" s="214">
        <f t="shared" ca="1" si="57"/>
        <v>0.86271508750591896</v>
      </c>
      <c r="Y190" s="176">
        <f>DANE!W190</f>
        <v>2</v>
      </c>
      <c r="Z190" s="198">
        <f t="shared" si="4"/>
        <v>751</v>
      </c>
      <c r="AA190" s="177">
        <f t="shared" ca="1" si="20"/>
        <v>8.8571428571428577</v>
      </c>
      <c r="AB190" s="211">
        <f t="shared" si="94"/>
        <v>61.84990952648819</v>
      </c>
      <c r="AC190" s="200">
        <f t="shared" si="95"/>
        <v>-0.11421406339639587</v>
      </c>
      <c r="AD190" s="213">
        <f t="shared" si="96"/>
        <v>0.20050155622522892</v>
      </c>
      <c r="AE190" s="217">
        <f t="shared" ca="1" si="97"/>
        <v>0.98112332980484307</v>
      </c>
      <c r="AF190" s="176">
        <f>DANE!AA190</f>
        <v>20</v>
      </c>
      <c r="AG190" s="198">
        <f t="shared" si="5"/>
        <v>5499</v>
      </c>
      <c r="AH190" s="177">
        <f t="shared" ca="1" si="21"/>
        <v>34.142857142857146</v>
      </c>
      <c r="AI190" s="211">
        <f t="shared" si="37"/>
        <v>259.24959608772934</v>
      </c>
      <c r="AJ190" s="200">
        <f t="shared" si="39"/>
        <v>-7.1204536444502919E-2</v>
      </c>
      <c r="AK190" s="213">
        <f t="shared" si="40"/>
        <v>0.50156824488847951</v>
      </c>
      <c r="AL190" s="214">
        <f t="shared" ca="1" si="41"/>
        <v>0.82590393443949239</v>
      </c>
      <c r="AM190" s="176">
        <f>DANE!AE190</f>
        <v>90</v>
      </c>
      <c r="AN190" s="198">
        <f t="shared" si="6"/>
        <v>8168</v>
      </c>
      <c r="AO190" s="177">
        <f t="shared" ca="1" si="22"/>
        <v>108.42857142857143</v>
      </c>
      <c r="AP190" s="211">
        <f t="shared" si="49"/>
        <v>834.21476488855728</v>
      </c>
      <c r="AQ190" s="200">
        <f t="shared" si="51"/>
        <v>-3.9200428717093526E-2</v>
      </c>
      <c r="AR190" s="213">
        <f t="shared" si="52"/>
        <v>0.72559699898034524</v>
      </c>
      <c r="AS190" s="217">
        <f t="shared" ca="1" si="53"/>
        <v>0.83861767634582685</v>
      </c>
      <c r="AT190" s="176">
        <f>DANE!AI190</f>
        <v>59</v>
      </c>
      <c r="AU190" s="198">
        <f t="shared" si="7"/>
        <v>9933</v>
      </c>
      <c r="AV190" s="177">
        <f t="shared" ca="1" si="23"/>
        <v>91.142857142857139</v>
      </c>
      <c r="AW190" s="211">
        <f t="shared" si="33"/>
        <v>644.98169754010485</v>
      </c>
      <c r="AX190" s="200">
        <f t="shared" si="34"/>
        <v>-5.6555081233507498E-2</v>
      </c>
      <c r="AY190" s="213">
        <f t="shared" si="35"/>
        <v>0.60411443136544751</v>
      </c>
      <c r="AZ190" s="214">
        <f t="shared" ca="1" si="36"/>
        <v>0.92554151512690297</v>
      </c>
      <c r="BA190" s="176">
        <f>DANE!AM190</f>
        <v>36</v>
      </c>
      <c r="BB190" s="198">
        <f t="shared" si="8"/>
        <v>1714</v>
      </c>
      <c r="BC190" s="177">
        <f t="shared" ca="1" si="24"/>
        <v>13.571428571428571</v>
      </c>
      <c r="BD190" s="211">
        <f t="shared" si="77"/>
        <v>101.63911894374118</v>
      </c>
      <c r="BE190" s="200">
        <f t="shared" si="80"/>
        <v>0.32724579809778226</v>
      </c>
      <c r="BF190" s="213">
        <f t="shared" si="81"/>
        <v>3.290720586684476</v>
      </c>
      <c r="BG190" s="217">
        <f t="shared" ca="1" si="82"/>
        <v>1.1528906372991539</v>
      </c>
      <c r="BH190" s="176">
        <f>DANE!AQ190</f>
        <v>33</v>
      </c>
      <c r="BI190" s="198">
        <f t="shared" si="9"/>
        <v>2723</v>
      </c>
      <c r="BJ190" s="177">
        <f t="shared" ca="1" si="25"/>
        <v>45.571428571428569</v>
      </c>
      <c r="BK190" s="211">
        <f t="shared" si="61"/>
        <v>317.31921689908825</v>
      </c>
      <c r="BL190" s="200">
        <f t="shared" si="63"/>
        <v>-4.337137965685374E-2</v>
      </c>
      <c r="BM190" s="213">
        <f t="shared" si="64"/>
        <v>0.69640034240202375</v>
      </c>
      <c r="BN190" s="214">
        <f t="shared" ca="1" si="65"/>
        <v>1.1255384760401774</v>
      </c>
      <c r="BO190" s="176">
        <f>DANE!AU190</f>
        <v>14</v>
      </c>
      <c r="BP190" s="198">
        <f t="shared" si="10"/>
        <v>1359</v>
      </c>
      <c r="BQ190" s="177">
        <f t="shared" ca="1" si="26"/>
        <v>9.8571428571428577</v>
      </c>
      <c r="BR190" s="211">
        <f t="shared" si="78"/>
        <v>74.506620486766622</v>
      </c>
      <c r="BS190" s="200">
        <f t="shared" si="83"/>
        <v>5.5468261924380577E-2</v>
      </c>
      <c r="BT190" s="213">
        <f t="shared" si="84"/>
        <v>1.388277833470664</v>
      </c>
      <c r="BU190" s="217">
        <f t="shared" ca="1" si="85"/>
        <v>0.94259198612605744</v>
      </c>
      <c r="BV190" s="176">
        <f>DANE!AY190</f>
        <v>45</v>
      </c>
      <c r="BW190" s="198">
        <f t="shared" si="11"/>
        <v>2792</v>
      </c>
      <c r="BX190" s="177">
        <f t="shared" ca="1" si="27"/>
        <v>46.142857142857146</v>
      </c>
      <c r="BY190" s="211">
        <f t="shared" si="69"/>
        <v>349.21864509224298</v>
      </c>
      <c r="BZ190" s="200">
        <f t="shared" si="71"/>
        <v>-1.6068633363475086E-2</v>
      </c>
      <c r="CA190" s="213">
        <f t="shared" si="72"/>
        <v>0.88751956645567442</v>
      </c>
      <c r="CB190" s="214">
        <f t="shared" ca="1" si="73"/>
        <v>0.8243012106761044</v>
      </c>
      <c r="CC190" s="176">
        <f>DANE!BC190</f>
        <v>35</v>
      </c>
      <c r="CD190" s="198">
        <f t="shared" si="12"/>
        <v>20821</v>
      </c>
      <c r="CE190" s="177">
        <f t="shared" ca="1" si="28"/>
        <v>57.285714285714285</v>
      </c>
      <c r="CF190" s="211">
        <f t="shared" si="45"/>
        <v>518.59767126388931</v>
      </c>
      <c r="CG190" s="200">
        <f t="shared" si="46"/>
        <v>-8.0822104678413373E-2</v>
      </c>
      <c r="CH190" s="213">
        <f t="shared" si="47"/>
        <v>0.43424526725110635</v>
      </c>
      <c r="CI190" s="217">
        <f t="shared" ca="1" si="48"/>
        <v>0.59060497844195681</v>
      </c>
      <c r="CJ190" s="176">
        <f>DANE!BG190</f>
        <v>15</v>
      </c>
      <c r="CK190" s="198">
        <f t="shared" si="13"/>
        <v>1534</v>
      </c>
      <c r="CL190" s="177">
        <f t="shared" ca="1" si="29"/>
        <v>17.428571428571427</v>
      </c>
      <c r="CM190" s="211">
        <f t="shared" si="79"/>
        <v>124.95108974745854</v>
      </c>
      <c r="CN190" s="200">
        <f t="shared" si="86"/>
        <v>-2.5922032103135536E-2</v>
      </c>
      <c r="CO190" s="213">
        <f t="shared" si="87"/>
        <v>0.81854577527805128</v>
      </c>
      <c r="CP190" s="214">
        <f t="shared" ca="1" si="88"/>
        <v>1.0069766526841961</v>
      </c>
      <c r="CQ190" s="176">
        <f>DANE!BK190</f>
        <v>9</v>
      </c>
      <c r="CR190" s="198">
        <f t="shared" si="14"/>
        <v>977</v>
      </c>
      <c r="CS190" s="177">
        <f t="shared" ca="1" si="30"/>
        <v>12.714285714285714</v>
      </c>
      <c r="CT190" s="211">
        <f t="shared" si="89"/>
        <v>109.22592362101337</v>
      </c>
      <c r="CU190" s="200">
        <f t="shared" si="90"/>
        <v>-6.5888176789482195E-2</v>
      </c>
      <c r="CV190" s="213">
        <f t="shared" si="91"/>
        <v>0.53878276247362455</v>
      </c>
      <c r="CW190" s="217">
        <f t="shared" ca="1" si="92"/>
        <v>0.73922259420304037</v>
      </c>
      <c r="CX190" s="176">
        <f>DANE!BO190</f>
        <v>35</v>
      </c>
      <c r="CY190" s="198">
        <f t="shared" si="15"/>
        <v>6017</v>
      </c>
      <c r="CZ190" s="177">
        <f t="shared" ca="1" si="31"/>
        <v>49.714285714285715</v>
      </c>
      <c r="DA190" s="211">
        <f t="shared" si="54"/>
        <v>408.46765215134604</v>
      </c>
      <c r="DB190" s="200">
        <f t="shared" si="58"/>
        <v>-6.252890069965962E-2</v>
      </c>
      <c r="DC190" s="213">
        <f t="shared" si="59"/>
        <v>0.56229769510238259</v>
      </c>
      <c r="DD190" s="214">
        <f t="shared" ca="1" si="60"/>
        <v>0.81081875071419163</v>
      </c>
      <c r="DE190" s="176">
        <f>DANE!BS190</f>
        <v>4</v>
      </c>
      <c r="DF190" s="198">
        <f t="shared" si="16"/>
        <v>1173</v>
      </c>
      <c r="DG190" s="177">
        <f t="shared" ca="1" si="32"/>
        <v>8.2857142857142865</v>
      </c>
      <c r="DH190" s="211">
        <f t="shared" si="70"/>
        <v>63.145083491575939</v>
      </c>
      <c r="DI190" s="200">
        <f t="shared" si="74"/>
        <v>-8.4888310518614396E-2</v>
      </c>
      <c r="DJ190" s="157">
        <f t="shared" si="75"/>
        <v>0.40578182636969917</v>
      </c>
      <c r="DK190" s="225">
        <f t="shared" ca="1" si="76"/>
        <v>0.84913431447998045</v>
      </c>
      <c r="DL190" s="88"/>
      <c r="DM190" s="380"/>
      <c r="DN190" s="372"/>
      <c r="DO190" s="372"/>
      <c r="DP190" s="372"/>
      <c r="DQ190" s="372"/>
      <c r="DR190" s="372"/>
      <c r="DS190" s="372"/>
      <c r="DT190" s="88"/>
      <c r="DU190" s="88"/>
      <c r="DV190" s="88"/>
      <c r="DW190" s="88"/>
      <c r="DX190" s="88"/>
      <c r="DY190" s="88"/>
      <c r="DZ190" s="88"/>
      <c r="EA190" s="88"/>
      <c r="EB190" s="88"/>
      <c r="EC190" s="88"/>
      <c r="ED190" s="88"/>
      <c r="EE190" s="88"/>
      <c r="EF190" s="88"/>
      <c r="EG190" s="88"/>
      <c r="EH190" s="88"/>
    </row>
    <row r="191" spans="1:138" x14ac:dyDescent="0.25">
      <c r="A191" s="32">
        <v>44081</v>
      </c>
      <c r="B191" s="33" t="str">
        <f t="shared" ca="1" si="0"/>
        <v/>
      </c>
      <c r="C191" s="51">
        <f t="shared" si="93"/>
        <v>188</v>
      </c>
      <c r="D191" s="176">
        <f>DANE!K191</f>
        <v>6</v>
      </c>
      <c r="E191" s="188">
        <f t="shared" si="1"/>
        <v>4195</v>
      </c>
      <c r="F191" s="178">
        <f t="shared" ca="1" si="17"/>
        <v>19.428571428571427</v>
      </c>
      <c r="G191" s="209">
        <f t="shared" si="38"/>
        <v>137.51816957224727</v>
      </c>
      <c r="H191" s="179">
        <f t="shared" si="42"/>
        <v>-0.10375336609698943</v>
      </c>
      <c r="I191" s="213">
        <f t="shared" si="43"/>
        <v>0.27372643732107393</v>
      </c>
      <c r="J191" s="214">
        <f t="shared" ca="1" si="44"/>
        <v>0.80119680871660159</v>
      </c>
      <c r="K191" s="176">
        <f>DANE!O191</f>
        <v>15</v>
      </c>
      <c r="L191" s="188">
        <f t="shared" si="2"/>
        <v>1475</v>
      </c>
      <c r="M191" s="177">
        <f t="shared" ca="1" si="18"/>
        <v>20.285714285714285</v>
      </c>
      <c r="N191" s="209">
        <f t="shared" si="62"/>
        <v>140.75521386433283</v>
      </c>
      <c r="O191" s="179">
        <f t="shared" si="66"/>
        <v>-4.0617701150865798E-2</v>
      </c>
      <c r="P191" s="213">
        <f t="shared" si="67"/>
        <v>0.71567609194393933</v>
      </c>
      <c r="Q191" s="217">
        <f t="shared" ca="1" si="68"/>
        <v>0.89298646147849048</v>
      </c>
      <c r="R191" s="176">
        <f>DANE!S191</f>
        <v>13</v>
      </c>
      <c r="S191" s="188">
        <f t="shared" si="3"/>
        <v>1727</v>
      </c>
      <c r="T191" s="177">
        <f t="shared" ca="1" si="19"/>
        <v>20</v>
      </c>
      <c r="U191" s="209">
        <f t="shared" si="50"/>
        <v>146.64068314419347</v>
      </c>
      <c r="V191" s="179">
        <f t="shared" si="55"/>
        <v>-5.9477913713017562E-2</v>
      </c>
      <c r="W191" s="213">
        <f t="shared" si="56"/>
        <v>0.58365460400887703</v>
      </c>
      <c r="X191" s="214">
        <f t="shared" ca="1" si="57"/>
        <v>0.84680369288188595</v>
      </c>
      <c r="Y191" s="176">
        <f>DANE!W191</f>
        <v>1</v>
      </c>
      <c r="Z191" s="188">
        <f t="shared" si="4"/>
        <v>752</v>
      </c>
      <c r="AA191" s="177">
        <f t="shared" ca="1" si="20"/>
        <v>7.8571428571428568</v>
      </c>
      <c r="AB191" s="209">
        <f t="shared" si="94"/>
        <v>54.014208165561307</v>
      </c>
      <c r="AC191" s="179">
        <f t="shared" si="95"/>
        <v>-0.12668897045954647</v>
      </c>
      <c r="AD191" s="213">
        <f t="shared" si="96"/>
        <v>0.11317720678317467</v>
      </c>
      <c r="AE191" s="217">
        <f t="shared" ca="1" si="97"/>
        <v>0.87195473683179625</v>
      </c>
      <c r="AF191" s="176">
        <f>DANE!AA191</f>
        <v>8</v>
      </c>
      <c r="AG191" s="188">
        <f t="shared" si="5"/>
        <v>5507</v>
      </c>
      <c r="AH191" s="177">
        <f t="shared" ca="1" si="21"/>
        <v>30.714285714285715</v>
      </c>
      <c r="AI191" s="209">
        <f t="shared" si="37"/>
        <v>230.21393950376802</v>
      </c>
      <c r="AJ191" s="179">
        <f t="shared" si="39"/>
        <v>-0.11199884984251139</v>
      </c>
      <c r="AK191" s="213">
        <f t="shared" si="40"/>
        <v>0.21600805110242016</v>
      </c>
      <c r="AL191" s="214">
        <f t="shared" ca="1" si="41"/>
        <v>0.75363388306313339</v>
      </c>
      <c r="AM191" s="176">
        <f>DANE!AE191</f>
        <v>88</v>
      </c>
      <c r="AN191" s="188">
        <f t="shared" si="6"/>
        <v>8256</v>
      </c>
      <c r="AO191" s="177">
        <f t="shared" ca="1" si="22"/>
        <v>109.71428571428571</v>
      </c>
      <c r="AP191" s="209">
        <f t="shared" si="49"/>
        <v>803.04122704733481</v>
      </c>
      <c r="AQ191" s="179">
        <f t="shared" si="51"/>
        <v>-3.7368719846845366E-2</v>
      </c>
      <c r="AR191" s="213">
        <f t="shared" si="52"/>
        <v>0.73841896107208238</v>
      </c>
      <c r="AS191" s="217">
        <f t="shared" ca="1" si="53"/>
        <v>0.86381119606935619</v>
      </c>
      <c r="AT191" s="176">
        <f>DANE!AI191</f>
        <v>25</v>
      </c>
      <c r="AU191" s="188">
        <f t="shared" si="7"/>
        <v>9958</v>
      </c>
      <c r="AV191" s="177">
        <f t="shared" ca="1" si="23"/>
        <v>84</v>
      </c>
      <c r="AW191" s="209">
        <f t="shared" si="33"/>
        <v>577.8414550343756</v>
      </c>
      <c r="AX191" s="179">
        <f t="shared" si="34"/>
        <v>-0.10409635306210294</v>
      </c>
      <c r="AY191" s="213">
        <f t="shared" si="35"/>
        <v>0.27132552856527936</v>
      </c>
      <c r="AZ191" s="214">
        <f t="shared" ca="1" si="36"/>
        <v>0.85697036516124503</v>
      </c>
      <c r="BA191" s="176">
        <f>DANE!AM191</f>
        <v>5</v>
      </c>
      <c r="BB191" s="188">
        <f t="shared" si="8"/>
        <v>1719</v>
      </c>
      <c r="BC191" s="177">
        <f t="shared" ca="1" si="24"/>
        <v>12.714285714285714</v>
      </c>
      <c r="BD191" s="209">
        <f t="shared" si="77"/>
        <v>92.119244808921025</v>
      </c>
      <c r="BE191" s="179">
        <f t="shared" si="80"/>
        <v>-9.3663485415389658E-2</v>
      </c>
      <c r="BF191" s="213">
        <f t="shared" si="81"/>
        <v>0.34435560209227234</v>
      </c>
      <c r="BG191" s="217">
        <f t="shared" ca="1" si="82"/>
        <v>1.0819219116860554</v>
      </c>
      <c r="BH191" s="176">
        <f>DANE!AQ191</f>
        <v>23</v>
      </c>
      <c r="BI191" s="188">
        <f t="shared" si="9"/>
        <v>2746</v>
      </c>
      <c r="BJ191" s="177">
        <f t="shared" ca="1" si="25"/>
        <v>44.285714285714285</v>
      </c>
      <c r="BK191" s="209">
        <f t="shared" si="61"/>
        <v>294.98790019921853</v>
      </c>
      <c r="BL191" s="179">
        <f t="shared" si="63"/>
        <v>-7.0374926920897377E-2</v>
      </c>
      <c r="BM191" s="213">
        <f t="shared" si="64"/>
        <v>0.50737551155371841</v>
      </c>
      <c r="BN191" s="214">
        <f t="shared" ca="1" si="65"/>
        <v>1.086243155750696</v>
      </c>
      <c r="BO191" s="176">
        <f>DANE!AU191</f>
        <v>19</v>
      </c>
      <c r="BP191" s="188">
        <f t="shared" si="10"/>
        <v>1378</v>
      </c>
      <c r="BQ191" s="177">
        <f t="shared" ca="1" si="26"/>
        <v>11.285714285714286</v>
      </c>
      <c r="BR191" s="209">
        <f t="shared" si="78"/>
        <v>82.862817560085688</v>
      </c>
      <c r="BS191" s="179">
        <f t="shared" si="83"/>
        <v>0.1121537524950986</v>
      </c>
      <c r="BT191" s="213">
        <f t="shared" si="84"/>
        <v>1.7850762674656901</v>
      </c>
      <c r="BU191" s="217">
        <f t="shared" ca="1" si="85"/>
        <v>1.0839982794503291</v>
      </c>
      <c r="BV191" s="176">
        <f>DANE!AY191</f>
        <v>20</v>
      </c>
      <c r="BW191" s="188">
        <f t="shared" si="11"/>
        <v>2812</v>
      </c>
      <c r="BX191" s="177">
        <f t="shared" ca="1" si="27"/>
        <v>38.285714285714285</v>
      </c>
      <c r="BY191" s="209">
        <f t="shared" si="69"/>
        <v>319.33026722192255</v>
      </c>
      <c r="BZ191" s="179">
        <f t="shared" si="71"/>
        <v>-8.5586432140316221E-2</v>
      </c>
      <c r="CA191" s="213">
        <f t="shared" si="72"/>
        <v>0.40089497501778637</v>
      </c>
      <c r="CB191" s="214">
        <f t="shared" ca="1" si="73"/>
        <v>0.70234629110536584</v>
      </c>
      <c r="CC191" s="176">
        <f>DANE!BC191</f>
        <v>31</v>
      </c>
      <c r="CD191" s="188">
        <f t="shared" si="12"/>
        <v>20852</v>
      </c>
      <c r="CE191" s="177">
        <f t="shared" ca="1" si="28"/>
        <v>50.714285714285715</v>
      </c>
      <c r="CF191" s="209">
        <f t="shared" si="45"/>
        <v>475.5122896547623</v>
      </c>
      <c r="CG191" s="179">
        <f t="shared" si="46"/>
        <v>-8.3080553570790985E-2</v>
      </c>
      <c r="CH191" s="213">
        <f t="shared" si="47"/>
        <v>0.41843612500446303</v>
      </c>
      <c r="CI191" s="217">
        <f t="shared" ca="1" si="48"/>
        <v>0.553084560728199</v>
      </c>
      <c r="CJ191" s="176">
        <f>DANE!BG191</f>
        <v>9</v>
      </c>
      <c r="CK191" s="188">
        <f t="shared" si="13"/>
        <v>1543</v>
      </c>
      <c r="CL191" s="177">
        <f t="shared" ca="1" si="29"/>
        <v>16.714285714285715</v>
      </c>
      <c r="CM191" s="209">
        <f t="shared" si="79"/>
        <v>116.10093406925019</v>
      </c>
      <c r="CN191" s="179">
        <f t="shared" si="86"/>
        <v>-7.0828959524047386E-2</v>
      </c>
      <c r="CO191" s="213">
        <f t="shared" si="87"/>
        <v>0.50419728333166836</v>
      </c>
      <c r="CP191" s="214">
        <f t="shared" ca="1" si="88"/>
        <v>0.96668673719192277</v>
      </c>
      <c r="CQ191" s="176">
        <f>DANE!BK191</f>
        <v>15</v>
      </c>
      <c r="CR191" s="188">
        <f t="shared" si="14"/>
        <v>992</v>
      </c>
      <c r="CS191" s="177">
        <f t="shared" ca="1" si="30"/>
        <v>14.571428571428571</v>
      </c>
      <c r="CT191" s="209">
        <f t="shared" si="89"/>
        <v>108.62222024658288</v>
      </c>
      <c r="CU191" s="179">
        <f t="shared" si="90"/>
        <v>-5.5271070677798103E-3</v>
      </c>
      <c r="CV191" s="213">
        <f t="shared" si="91"/>
        <v>0.96131025052554131</v>
      </c>
      <c r="CW191" s="217">
        <f t="shared" ca="1" si="92"/>
        <v>0.86262578239501031</v>
      </c>
      <c r="CX191" s="176">
        <f>DANE!BO191</f>
        <v>21</v>
      </c>
      <c r="CY191" s="188">
        <f t="shared" si="15"/>
        <v>6038</v>
      </c>
      <c r="CZ191" s="177">
        <f t="shared" ca="1" si="31"/>
        <v>48.428571428571431</v>
      </c>
      <c r="DA191" s="209">
        <f t="shared" si="54"/>
        <v>371.11513041543947</v>
      </c>
      <c r="DB191" s="179">
        <f t="shared" si="58"/>
        <v>-9.1445482987883367E-2</v>
      </c>
      <c r="DC191" s="213">
        <f t="shared" si="59"/>
        <v>0.35988161908481642</v>
      </c>
      <c r="DD191" s="214">
        <f t="shared" ca="1" si="60"/>
        <v>0.80223000619787066</v>
      </c>
      <c r="DE191" s="176">
        <f>DANE!BS191</f>
        <v>3</v>
      </c>
      <c r="DF191" s="188">
        <f t="shared" si="16"/>
        <v>1176</v>
      </c>
      <c r="DG191" s="177">
        <f t="shared" ca="1" si="32"/>
        <v>7.2857142857142856</v>
      </c>
      <c r="DH191" s="209">
        <f t="shared" si="70"/>
        <v>57.124357278493669</v>
      </c>
      <c r="DI191" s="179">
        <f t="shared" si="74"/>
        <v>-9.5347505778268282E-2</v>
      </c>
      <c r="DJ191" s="157">
        <f t="shared" si="75"/>
        <v>0.33256745955212197</v>
      </c>
      <c r="DK191" s="225">
        <f t="shared" ca="1" si="76"/>
        <v>0.7638987978559485</v>
      </c>
      <c r="DL191" s="89"/>
      <c r="DM191" s="380"/>
      <c r="DN191" s="372"/>
      <c r="DO191" s="372"/>
      <c r="DP191" s="372"/>
      <c r="DQ191" s="372"/>
      <c r="DR191" s="372"/>
      <c r="DS191" s="372"/>
      <c r="DT191" s="89"/>
      <c r="DU191" s="89"/>
      <c r="DV191" s="89"/>
      <c r="DW191" s="89"/>
      <c r="DX191" s="89"/>
      <c r="DY191" s="89"/>
      <c r="DZ191" s="89"/>
      <c r="EA191" s="89"/>
      <c r="EB191" s="89"/>
      <c r="EC191" s="89"/>
      <c r="ED191" s="89"/>
      <c r="EE191" s="89"/>
      <c r="EF191" s="89"/>
      <c r="EG191" s="89"/>
      <c r="EH191" s="89"/>
    </row>
    <row r="192" spans="1:138" x14ac:dyDescent="0.25">
      <c r="A192" s="32">
        <v>44082</v>
      </c>
      <c r="B192" s="33" t="str">
        <f t="shared" ca="1" si="0"/>
        <v/>
      </c>
      <c r="C192" s="51">
        <f t="shared" si="93"/>
        <v>189</v>
      </c>
      <c r="D192" s="176">
        <f>DANE!K192</f>
        <v>49</v>
      </c>
      <c r="E192" s="188">
        <f t="shared" si="1"/>
        <v>4244</v>
      </c>
      <c r="F192" s="178">
        <f t="shared" ca="1" si="17"/>
        <v>21.428571428571427</v>
      </c>
      <c r="G192" s="209">
        <f t="shared" si="38"/>
        <v>166.87271677621197</v>
      </c>
      <c r="H192" s="179">
        <f t="shared" si="42"/>
        <v>0.21345940900226162</v>
      </c>
      <c r="I192" s="213">
        <f t="shared" si="43"/>
        <v>2.4942158630158318</v>
      </c>
      <c r="J192" s="214">
        <f t="shared" ca="1" si="44"/>
        <v>0.95207592421105347</v>
      </c>
      <c r="K192" s="176">
        <f>DANE!O192</f>
        <v>8</v>
      </c>
      <c r="L192" s="188">
        <f t="shared" si="2"/>
        <v>1483</v>
      </c>
      <c r="M192" s="177">
        <f t="shared" ca="1" si="18"/>
        <v>16.428571428571427</v>
      </c>
      <c r="N192" s="209">
        <f t="shared" si="62"/>
        <v>128.64732616942814</v>
      </c>
      <c r="O192" s="179">
        <f t="shared" si="66"/>
        <v>-8.6020882370829263E-2</v>
      </c>
      <c r="P192" s="213">
        <f t="shared" si="67"/>
        <v>0.39785382340419517</v>
      </c>
      <c r="Q192" s="217">
        <f t="shared" ca="1" si="68"/>
        <v>0.72908215323845871</v>
      </c>
      <c r="R192" s="176">
        <f>DANE!S192</f>
        <v>6</v>
      </c>
      <c r="S192" s="188">
        <f t="shared" si="3"/>
        <v>1733</v>
      </c>
      <c r="T192" s="177">
        <f t="shared" ca="1" si="19"/>
        <v>19</v>
      </c>
      <c r="U192" s="209">
        <f t="shared" si="50"/>
        <v>131.69201412359442</v>
      </c>
      <c r="V192" s="179">
        <f t="shared" si="55"/>
        <v>-0.10194080319374847</v>
      </c>
      <c r="W192" s="213">
        <f t="shared" si="56"/>
        <v>0.28641437764376065</v>
      </c>
      <c r="X192" s="214">
        <f t="shared" ca="1" si="57"/>
        <v>0.81274367885744692</v>
      </c>
      <c r="Y192" s="176">
        <f>DANE!W192</f>
        <v>4</v>
      </c>
      <c r="Z192" s="188">
        <f t="shared" si="4"/>
        <v>756</v>
      </c>
      <c r="AA192" s="177">
        <f t="shared" ca="1" si="20"/>
        <v>7.1428571428571432</v>
      </c>
      <c r="AB192" s="209">
        <f t="shared" si="94"/>
        <v>50.297892713338264</v>
      </c>
      <c r="AC192" s="179">
        <f t="shared" si="95"/>
        <v>-6.8802553595379984E-2</v>
      </c>
      <c r="AD192" s="213">
        <f t="shared" si="96"/>
        <v>0.51838212483234014</v>
      </c>
      <c r="AE192" s="217">
        <f t="shared" ca="1" si="97"/>
        <v>0.80249096926368413</v>
      </c>
      <c r="AF192" s="176">
        <f>DANE!AA192</f>
        <v>12</v>
      </c>
      <c r="AG192" s="188">
        <f t="shared" si="5"/>
        <v>5519</v>
      </c>
      <c r="AH192" s="177">
        <f t="shared" ca="1" si="21"/>
        <v>28</v>
      </c>
      <c r="AI192" s="209">
        <f t="shared" si="37"/>
        <v>209.32623386037261</v>
      </c>
      <c r="AJ192" s="179">
        <f t="shared" si="39"/>
        <v>-9.0731715414016131E-2</v>
      </c>
      <c r="AK192" s="213">
        <f t="shared" si="40"/>
        <v>0.36487799210188709</v>
      </c>
      <c r="AL192" s="214">
        <f t="shared" ca="1" si="41"/>
        <v>0.70172038538886383</v>
      </c>
      <c r="AM192" s="176">
        <f>DANE!AE192</f>
        <v>97</v>
      </c>
      <c r="AN192" s="188">
        <f t="shared" si="6"/>
        <v>8353</v>
      </c>
      <c r="AO192" s="177">
        <f t="shared" ca="1" si="22"/>
        <v>104.14285714285714</v>
      </c>
      <c r="AP192" s="209">
        <f t="shared" si="49"/>
        <v>785.32105175485844</v>
      </c>
      <c r="AQ192" s="179">
        <f t="shared" si="51"/>
        <v>-2.2066333203876548E-2</v>
      </c>
      <c r="AR192" s="213">
        <f t="shared" si="52"/>
        <v>0.84553566757286414</v>
      </c>
      <c r="AS192" s="217">
        <f t="shared" ca="1" si="53"/>
        <v>0.83714773576491053</v>
      </c>
      <c r="AT192" s="176">
        <f>DANE!AI192</f>
        <v>52</v>
      </c>
      <c r="AU192" s="188">
        <f t="shared" si="7"/>
        <v>10010</v>
      </c>
      <c r="AV192" s="177">
        <f t="shared" ca="1" si="23"/>
        <v>78.714285714285708</v>
      </c>
      <c r="AW192" s="209">
        <f t="shared" si="33"/>
        <v>547.29267574375058</v>
      </c>
      <c r="AX192" s="179">
        <f t="shared" si="34"/>
        <v>-5.2867060721366356E-2</v>
      </c>
      <c r="AY192" s="213">
        <f t="shared" si="35"/>
        <v>0.62993057495043547</v>
      </c>
      <c r="AZ192" s="214">
        <f t="shared" ca="1" si="36"/>
        <v>0.81490180191654404</v>
      </c>
      <c r="BA192" s="176">
        <f>DANE!AM192</f>
        <v>7</v>
      </c>
      <c r="BB192" s="188">
        <f t="shared" si="8"/>
        <v>1726</v>
      </c>
      <c r="BC192" s="177">
        <f t="shared" ca="1" si="24"/>
        <v>11.714285714285714</v>
      </c>
      <c r="BD192" s="209">
        <f t="shared" si="77"/>
        <v>85.959352693360884</v>
      </c>
      <c r="BE192" s="179">
        <f t="shared" si="80"/>
        <v>-6.6868677965579715E-2</v>
      </c>
      <c r="BF192" s="213">
        <f t="shared" si="81"/>
        <v>0.531919254240942</v>
      </c>
      <c r="BG192" s="217">
        <f t="shared" ca="1" si="82"/>
        <v>1.0014250373207934</v>
      </c>
      <c r="BH192" s="176">
        <f>DANE!AQ192</f>
        <v>16</v>
      </c>
      <c r="BI192" s="188">
        <f t="shared" si="9"/>
        <v>2762</v>
      </c>
      <c r="BJ192" s="177">
        <f t="shared" ca="1" si="25"/>
        <v>42.857142857142854</v>
      </c>
      <c r="BK192" s="209">
        <f t="shared" si="61"/>
        <v>268.84677159933017</v>
      </c>
      <c r="BL192" s="179">
        <f t="shared" si="63"/>
        <v>-8.861763001883835E-2</v>
      </c>
      <c r="BM192" s="213">
        <f t="shared" si="64"/>
        <v>0.37967658986813146</v>
      </c>
      <c r="BN192" s="214">
        <f t="shared" ca="1" si="65"/>
        <v>1.0467502538261557</v>
      </c>
      <c r="BO192" s="176">
        <f>DANE!AU192</f>
        <v>9</v>
      </c>
      <c r="BP192" s="188">
        <f t="shared" si="10"/>
        <v>1387</v>
      </c>
      <c r="BQ192" s="177">
        <f t="shared" ca="1" si="26"/>
        <v>11.142857142857142</v>
      </c>
      <c r="BR192" s="209">
        <f t="shared" si="78"/>
        <v>80.025272194359161</v>
      </c>
      <c r="BS192" s="179">
        <f t="shared" si="83"/>
        <v>-3.4243891883943715E-2</v>
      </c>
      <c r="BT192" s="213">
        <f t="shared" si="84"/>
        <v>0.76029275681239394</v>
      </c>
      <c r="BU192" s="217">
        <f t="shared" ca="1" si="85"/>
        <v>1.0625804555088934</v>
      </c>
      <c r="BV192" s="176">
        <f>DANE!AY192</f>
        <v>26</v>
      </c>
      <c r="BW192" s="188">
        <f t="shared" si="11"/>
        <v>2838</v>
      </c>
      <c r="BX192" s="177">
        <f t="shared" ca="1" si="27"/>
        <v>37.142857142857146</v>
      </c>
      <c r="BY192" s="209">
        <f t="shared" si="69"/>
        <v>299.71165761879075</v>
      </c>
      <c r="BZ192" s="179">
        <f t="shared" si="71"/>
        <v>-6.1436736873732058E-2</v>
      </c>
      <c r="CA192" s="213">
        <f t="shared" si="72"/>
        <v>0.56994284188387556</v>
      </c>
      <c r="CB192" s="214">
        <f t="shared" ca="1" si="73"/>
        <v>0.70536895209512218</v>
      </c>
      <c r="CC192" s="176">
        <f>DANE!BC192</f>
        <v>52</v>
      </c>
      <c r="CD192" s="188">
        <f t="shared" si="12"/>
        <v>20904</v>
      </c>
      <c r="CE192" s="177">
        <f t="shared" ca="1" si="28"/>
        <v>50.571428571428569</v>
      </c>
      <c r="CF192" s="209">
        <f t="shared" si="45"/>
        <v>459.58196256122488</v>
      </c>
      <c r="CG192" s="179">
        <f t="shared" si="46"/>
        <v>-3.350139931210476E-2</v>
      </c>
      <c r="CH192" s="213">
        <f t="shared" si="47"/>
        <v>0.76549020481526664</v>
      </c>
      <c r="CI192" s="217">
        <f t="shared" ca="1" si="48"/>
        <v>0.59227279590323045</v>
      </c>
      <c r="CJ192" s="176">
        <f>DANE!BG192</f>
        <v>11</v>
      </c>
      <c r="CK192" s="188">
        <f t="shared" si="13"/>
        <v>1554</v>
      </c>
      <c r="CL192" s="177">
        <f t="shared" ca="1" si="29"/>
        <v>16</v>
      </c>
      <c r="CM192" s="209">
        <f t="shared" si="79"/>
        <v>110.51508634507159</v>
      </c>
      <c r="CN192" s="179">
        <f t="shared" si="86"/>
        <v>-4.8111996418967892E-2</v>
      </c>
      <c r="CO192" s="213">
        <f t="shared" si="87"/>
        <v>0.66321602506722477</v>
      </c>
      <c r="CP192" s="214">
        <f t="shared" ca="1" si="88"/>
        <v>0.92902475498353199</v>
      </c>
      <c r="CQ192" s="176">
        <f>DANE!BK192</f>
        <v>4</v>
      </c>
      <c r="CR192" s="188">
        <f t="shared" si="14"/>
        <v>996</v>
      </c>
      <c r="CS192" s="177">
        <f t="shared" ca="1" si="30"/>
        <v>13.428571428571429</v>
      </c>
      <c r="CT192" s="209">
        <f t="shared" si="89"/>
        <v>97.104760211356762</v>
      </c>
      <c r="CU192" s="179">
        <f t="shared" si="90"/>
        <v>-0.10603226493695656</v>
      </c>
      <c r="CV192" s="213">
        <f t="shared" si="91"/>
        <v>0.25777414544130406</v>
      </c>
      <c r="CW192" s="217">
        <f t="shared" ca="1" si="92"/>
        <v>0.80352138493157421</v>
      </c>
      <c r="CX192" s="176">
        <f>DANE!BO192</f>
        <v>31</v>
      </c>
      <c r="CY192" s="188">
        <f t="shared" si="15"/>
        <v>6069</v>
      </c>
      <c r="CZ192" s="177">
        <f t="shared" ca="1" si="31"/>
        <v>48.571428571428569</v>
      </c>
      <c r="DA192" s="209">
        <f t="shared" si="54"/>
        <v>349.09868321323387</v>
      </c>
      <c r="DB192" s="179">
        <f t="shared" si="58"/>
        <v>-5.9325113415773706E-2</v>
      </c>
      <c r="DC192" s="213">
        <f t="shared" si="59"/>
        <v>0.58472420608958409</v>
      </c>
      <c r="DD192" s="214">
        <f t="shared" ca="1" si="60"/>
        <v>0.82034106281805941</v>
      </c>
      <c r="DE192" s="176">
        <f>DANE!BS192</f>
        <v>16</v>
      </c>
      <c r="DF192" s="188">
        <f t="shared" si="16"/>
        <v>1192</v>
      </c>
      <c r="DG192" s="177">
        <f t="shared" ca="1" si="32"/>
        <v>8.5714285714285712</v>
      </c>
      <c r="DH192" s="209">
        <f t="shared" si="70"/>
        <v>64.963734810137424</v>
      </c>
      <c r="DI192" s="179">
        <f t="shared" si="74"/>
        <v>0.13723353583524947</v>
      </c>
      <c r="DJ192" s="157">
        <f t="shared" si="75"/>
        <v>1.9606347508467463</v>
      </c>
      <c r="DK192" s="225">
        <f t="shared" ca="1" si="76"/>
        <v>0.95011864815772107</v>
      </c>
      <c r="DL192" s="89"/>
      <c r="DM192" s="88"/>
      <c r="DN192" s="88"/>
      <c r="DO192" s="88"/>
      <c r="DP192" s="88"/>
      <c r="DQ192" s="88"/>
      <c r="DR192" s="88"/>
      <c r="DS192" s="88"/>
      <c r="DT192" s="88"/>
      <c r="DU192" s="88"/>
      <c r="DV192" s="88"/>
      <c r="DW192" s="89"/>
      <c r="DX192" s="89"/>
      <c r="DY192" s="89"/>
      <c r="DZ192" s="89"/>
      <c r="EA192" s="89"/>
      <c r="EB192" s="89"/>
      <c r="EC192" s="89"/>
      <c r="ED192" s="89"/>
      <c r="EE192" s="89"/>
      <c r="EF192" s="89"/>
      <c r="EG192" s="89"/>
      <c r="EH192" s="89"/>
    </row>
    <row r="193" spans="1:138" x14ac:dyDescent="0.25">
      <c r="A193" s="32">
        <v>44083</v>
      </c>
      <c r="B193" s="33" t="str">
        <f t="shared" ca="1" si="0"/>
        <v/>
      </c>
      <c r="C193" s="51">
        <f t="shared" si="93"/>
        <v>190</v>
      </c>
      <c r="D193" s="176">
        <f>DANE!K193</f>
        <v>34</v>
      </c>
      <c r="E193" s="188">
        <f t="shared" si="1"/>
        <v>4278</v>
      </c>
      <c r="F193" s="178">
        <f t="shared" ca="1" si="17"/>
        <v>24.428571428571427</v>
      </c>
      <c r="G193" s="209">
        <f t="shared" si="38"/>
        <v>177.03375723675313</v>
      </c>
      <c r="H193" s="179">
        <f t="shared" si="42"/>
        <v>6.0890963225389491E-2</v>
      </c>
      <c r="I193" s="213">
        <f t="shared" si="43"/>
        <v>1.4262367425777265</v>
      </c>
      <c r="J193" s="214">
        <f t="shared" ca="1" si="44"/>
        <v>1.084012672626598</v>
      </c>
      <c r="K193" s="176">
        <f>DANE!O193</f>
        <v>14</v>
      </c>
      <c r="L193" s="188">
        <f t="shared" si="2"/>
        <v>1497</v>
      </c>
      <c r="M193" s="177">
        <f t="shared" ca="1" si="18"/>
        <v>16.142857142857142</v>
      </c>
      <c r="N193" s="209">
        <f t="shared" si="62"/>
        <v>124.2691367166527</v>
      </c>
      <c r="O193" s="179">
        <f t="shared" si="66"/>
        <v>-3.4032494752431794E-2</v>
      </c>
      <c r="P193" s="213">
        <f t="shared" si="67"/>
        <v>0.7617725367329774</v>
      </c>
      <c r="Q193" s="217">
        <f t="shared" ca="1" si="68"/>
        <v>0.74428816703350209</v>
      </c>
      <c r="R193" s="176">
        <f>DANE!S193</f>
        <v>19</v>
      </c>
      <c r="S193" s="188">
        <f t="shared" si="3"/>
        <v>1752</v>
      </c>
      <c r="T193" s="177">
        <f t="shared" ca="1" si="19"/>
        <v>19</v>
      </c>
      <c r="U193" s="209">
        <f t="shared" si="50"/>
        <v>131.87886924879524</v>
      </c>
      <c r="V193" s="179">
        <f t="shared" si="55"/>
        <v>1.4188796977883267E-3</v>
      </c>
      <c r="W193" s="213">
        <f t="shared" si="56"/>
        <v>1.0099321578845182</v>
      </c>
      <c r="X193" s="214">
        <f t="shared" ca="1" si="57"/>
        <v>0.83945874638922946</v>
      </c>
      <c r="Y193" s="176">
        <f>DANE!W193</f>
        <v>6</v>
      </c>
      <c r="Z193" s="188">
        <f t="shared" si="4"/>
        <v>762</v>
      </c>
      <c r="AA193" s="177">
        <f t="shared" ca="1" si="20"/>
        <v>6.7142857142857144</v>
      </c>
      <c r="AB193" s="209">
        <f t="shared" si="94"/>
        <v>49.112479468575657</v>
      </c>
      <c r="AC193" s="179">
        <f t="shared" si="95"/>
        <v>-2.3567851073177323E-2</v>
      </c>
      <c r="AD193" s="213">
        <f t="shared" si="96"/>
        <v>0.83502504248775877</v>
      </c>
      <c r="AE193" s="217">
        <f t="shared" ca="1" si="97"/>
        <v>0.77835673785532777</v>
      </c>
      <c r="AF193" s="176">
        <f>DANE!AA193</f>
        <v>12</v>
      </c>
      <c r="AG193" s="188">
        <f t="shared" si="5"/>
        <v>5531</v>
      </c>
      <c r="AH193" s="177">
        <f t="shared" ca="1" si="21"/>
        <v>24.857142857142858</v>
      </c>
      <c r="AI193" s="209">
        <f t="shared" si="37"/>
        <v>191.42248616603368</v>
      </c>
      <c r="AJ193" s="179">
        <f t="shared" si="39"/>
        <v>-8.5530357873257842E-2</v>
      </c>
      <c r="AK193" s="213">
        <f t="shared" si="40"/>
        <v>0.40128749488719506</v>
      </c>
      <c r="AL193" s="214">
        <f t="shared" ca="1" si="41"/>
        <v>0.64033163674606464</v>
      </c>
      <c r="AM193" s="176">
        <f>DANE!AE193</f>
        <v>67</v>
      </c>
      <c r="AN193" s="188">
        <f t="shared" si="6"/>
        <v>8420</v>
      </c>
      <c r="AO193" s="177">
        <f t="shared" ca="1" si="22"/>
        <v>97.428571428571431</v>
      </c>
      <c r="AP193" s="209">
        <f t="shared" si="49"/>
        <v>740.13233007559302</v>
      </c>
      <c r="AQ193" s="179">
        <f t="shared" si="51"/>
        <v>-5.7541716955489555E-2</v>
      </c>
      <c r="AR193" s="213">
        <f t="shared" si="52"/>
        <v>0.59720798131157316</v>
      </c>
      <c r="AS193" s="217">
        <f t="shared" ca="1" si="53"/>
        <v>0.79942739935691109</v>
      </c>
      <c r="AT193" s="176">
        <f>DANE!AI193</f>
        <v>61</v>
      </c>
      <c r="AU193" s="188">
        <f t="shared" si="7"/>
        <v>10071</v>
      </c>
      <c r="AV193" s="177">
        <f t="shared" ca="1" si="23"/>
        <v>68.428571428571431</v>
      </c>
      <c r="AW193" s="209">
        <f t="shared" si="33"/>
        <v>530.10800778035764</v>
      </c>
      <c r="AX193" s="179">
        <f t="shared" si="34"/>
        <v>-3.1399411548929661E-2</v>
      </c>
      <c r="AY193" s="213">
        <f t="shared" si="35"/>
        <v>0.78020411915749233</v>
      </c>
      <c r="AZ193" s="214">
        <f t="shared" ca="1" si="36"/>
        <v>0.72685916341620704</v>
      </c>
      <c r="BA193" s="176">
        <f>DANE!AM193</f>
        <v>12</v>
      </c>
      <c r="BB193" s="188">
        <f t="shared" si="8"/>
        <v>1738</v>
      </c>
      <c r="BC193" s="177">
        <f t="shared" ca="1" si="24"/>
        <v>12.285714285714286</v>
      </c>
      <c r="BD193" s="209">
        <f t="shared" si="77"/>
        <v>85.679445165737903</v>
      </c>
      <c r="BE193" s="179">
        <f t="shared" si="80"/>
        <v>-3.2562777505024212E-3</v>
      </c>
      <c r="BF193" s="213">
        <f t="shared" si="81"/>
        <v>0.977206055746483</v>
      </c>
      <c r="BG193" s="217">
        <f t="shared" ca="1" si="82"/>
        <v>1.0528079600116098</v>
      </c>
      <c r="BH193" s="176">
        <f>DANE!AQ193</f>
        <v>22</v>
      </c>
      <c r="BI193" s="188">
        <f t="shared" si="9"/>
        <v>2784</v>
      </c>
      <c r="BJ193" s="177">
        <f t="shared" ca="1" si="25"/>
        <v>39.428571428571431</v>
      </c>
      <c r="BK193" s="209">
        <f t="shared" si="61"/>
        <v>252.44008994228301</v>
      </c>
      <c r="BL193" s="179">
        <f t="shared" si="63"/>
        <v>-6.1026143477365215E-2</v>
      </c>
      <c r="BM193" s="213">
        <f t="shared" si="64"/>
        <v>0.57281699565844346</v>
      </c>
      <c r="BN193" s="214">
        <f t="shared" ca="1" si="65"/>
        <v>0.95417954440939678</v>
      </c>
      <c r="BO193" s="176">
        <f>DANE!AU193</f>
        <v>5</v>
      </c>
      <c r="BP193" s="188">
        <f t="shared" si="10"/>
        <v>1392</v>
      </c>
      <c r="BQ193" s="177">
        <f t="shared" ca="1" si="26"/>
        <v>10.857142857142858</v>
      </c>
      <c r="BR193" s="209">
        <f t="shared" si="78"/>
        <v>73.593090452307862</v>
      </c>
      <c r="BS193" s="179">
        <f t="shared" si="83"/>
        <v>-8.0376880523808966E-2</v>
      </c>
      <c r="BT193" s="213">
        <f t="shared" si="84"/>
        <v>0.43736183633333725</v>
      </c>
      <c r="BU193" s="217">
        <f t="shared" ca="1" si="85"/>
        <v>1.032856345862373</v>
      </c>
      <c r="BV193" s="176">
        <f>DANE!AY193</f>
        <v>38</v>
      </c>
      <c r="BW193" s="188">
        <f t="shared" si="11"/>
        <v>2876</v>
      </c>
      <c r="BX193" s="177">
        <f t="shared" ca="1" si="27"/>
        <v>36.571428571428569</v>
      </c>
      <c r="BY193" s="209">
        <f t="shared" si="69"/>
        <v>294.89570653039209</v>
      </c>
      <c r="BZ193" s="179">
        <f t="shared" si="71"/>
        <v>-1.6068614503224186E-2</v>
      </c>
      <c r="CA193" s="213">
        <f t="shared" si="72"/>
        <v>0.88751969847743073</v>
      </c>
      <c r="CB193" s="214">
        <f t="shared" ca="1" si="73"/>
        <v>0.72864056947126998</v>
      </c>
      <c r="CC193" s="176">
        <f>DANE!BC193</f>
        <v>57</v>
      </c>
      <c r="CD193" s="188">
        <f t="shared" si="12"/>
        <v>20961</v>
      </c>
      <c r="CE193" s="177">
        <f t="shared" ca="1" si="28"/>
        <v>49.714285714285715</v>
      </c>
      <c r="CF193" s="209">
        <f t="shared" si="45"/>
        <v>450.92739648104993</v>
      </c>
      <c r="CG193" s="179">
        <f t="shared" si="46"/>
        <v>-1.8831387620052667E-2</v>
      </c>
      <c r="CH193" s="213">
        <f t="shared" si="47"/>
        <v>0.86818028665963132</v>
      </c>
      <c r="CI193" s="217">
        <f t="shared" ca="1" si="48"/>
        <v>0.62635384223315782</v>
      </c>
      <c r="CJ193" s="176">
        <f>DANE!BG193</f>
        <v>17</v>
      </c>
      <c r="CK193" s="188">
        <f t="shared" si="13"/>
        <v>1571</v>
      </c>
      <c r="CL193" s="177">
        <f t="shared" ca="1" si="29"/>
        <v>16.285714285714285</v>
      </c>
      <c r="CM193" s="209">
        <f t="shared" si="79"/>
        <v>111.72721686720423</v>
      </c>
      <c r="CN193" s="179">
        <f t="shared" si="86"/>
        <v>1.0968009547111884E-2</v>
      </c>
      <c r="CO193" s="213">
        <f t="shared" si="87"/>
        <v>1.0767760668297832</v>
      </c>
      <c r="CP193" s="214">
        <f t="shared" ca="1" si="88"/>
        <v>0.95740734775081415</v>
      </c>
      <c r="CQ193" s="176">
        <f>DANE!BK193</f>
        <v>18</v>
      </c>
      <c r="CR193" s="188">
        <f t="shared" si="14"/>
        <v>1014</v>
      </c>
      <c r="CS193" s="177">
        <f t="shared" ca="1" si="30"/>
        <v>13.285714285714286</v>
      </c>
      <c r="CT193" s="209">
        <f t="shared" si="89"/>
        <v>101.23265160973438</v>
      </c>
      <c r="CU193" s="179">
        <f t="shared" si="90"/>
        <v>4.2509670889386959E-2</v>
      </c>
      <c r="CV193" s="213">
        <f t="shared" si="91"/>
        <v>1.2975676962257088</v>
      </c>
      <c r="CW193" s="217">
        <f t="shared" ca="1" si="92"/>
        <v>0.82952143705139991</v>
      </c>
      <c r="CX193" s="176">
        <f>DANE!BO193</f>
        <v>28</v>
      </c>
      <c r="CY193" s="188">
        <f t="shared" si="15"/>
        <v>6097</v>
      </c>
      <c r="CZ193" s="177">
        <f t="shared" ca="1" si="31"/>
        <v>45</v>
      </c>
      <c r="DA193" s="209">
        <f t="shared" si="54"/>
        <v>327.22744275420047</v>
      </c>
      <c r="DB193" s="179">
        <f t="shared" si="58"/>
        <v>-6.2650595693236041E-2</v>
      </c>
      <c r="DC193" s="213">
        <f t="shared" si="59"/>
        <v>0.56144583014734772</v>
      </c>
      <c r="DD193" s="214">
        <f t="shared" ca="1" si="60"/>
        <v>0.77526950105308023</v>
      </c>
      <c r="DE193" s="176">
        <f>DANE!BS193</f>
        <v>11</v>
      </c>
      <c r="DF193" s="188">
        <f t="shared" si="16"/>
        <v>1203</v>
      </c>
      <c r="DG193" s="177">
        <f t="shared" ca="1" si="32"/>
        <v>9.5714285714285712</v>
      </c>
      <c r="DH193" s="209">
        <f t="shared" si="70"/>
        <v>66.683201265832082</v>
      </c>
      <c r="DI193" s="179">
        <f t="shared" si="74"/>
        <v>2.6468097327223546E-2</v>
      </c>
      <c r="DJ193" s="157">
        <f t="shared" si="75"/>
        <v>1.1852766812905648</v>
      </c>
      <c r="DK193" s="225">
        <f t="shared" ca="1" si="76"/>
        <v>1.0630404167811303</v>
      </c>
      <c r="DL193" s="50"/>
      <c r="DM193" s="371"/>
      <c r="DN193" s="372"/>
      <c r="DO193" s="372"/>
      <c r="DP193" s="372"/>
      <c r="DQ193" s="372"/>
      <c r="DR193" s="372"/>
      <c r="DS193" s="372"/>
      <c r="DT193" s="372"/>
      <c r="DU193" s="372"/>
      <c r="DV193" s="372"/>
      <c r="DW193" s="50"/>
      <c r="DX193" s="50"/>
      <c r="DY193" s="50"/>
      <c r="DZ193" s="50"/>
      <c r="EA193" s="50"/>
      <c r="EB193" s="50"/>
      <c r="EC193" s="50"/>
      <c r="ED193" s="50"/>
      <c r="EE193" s="50"/>
      <c r="EF193" s="50"/>
      <c r="EG193" s="50"/>
      <c r="EH193" s="50"/>
    </row>
    <row r="194" spans="1:138" x14ac:dyDescent="0.25">
      <c r="A194" s="32">
        <v>44084</v>
      </c>
      <c r="B194" s="33" t="str">
        <f t="shared" ca="1" si="0"/>
        <v/>
      </c>
      <c r="C194" s="51">
        <f t="shared" si="93"/>
        <v>191</v>
      </c>
      <c r="D194" s="176">
        <f>DANE!K194</f>
        <v>20</v>
      </c>
      <c r="E194" s="188">
        <f t="shared" si="1"/>
        <v>4298</v>
      </c>
      <c r="F194" s="178">
        <f t="shared" ca="1" si="17"/>
        <v>23.857142857142858</v>
      </c>
      <c r="G194" s="209">
        <f t="shared" si="38"/>
        <v>171.74322048864556</v>
      </c>
      <c r="H194" s="179">
        <f t="shared" si="42"/>
        <v>-2.9884338618156078E-2</v>
      </c>
      <c r="I194" s="213">
        <f t="shared" si="43"/>
        <v>0.79080962967290747</v>
      </c>
      <c r="J194" s="214">
        <f t="shared" ca="1" si="44"/>
        <v>1.0542714312852248</v>
      </c>
      <c r="K194" s="176">
        <f>DANE!O194</f>
        <v>20</v>
      </c>
      <c r="L194" s="188">
        <f t="shared" si="2"/>
        <v>1517</v>
      </c>
      <c r="M194" s="177">
        <f t="shared" ca="1" si="18"/>
        <v>14.285714285714286</v>
      </c>
      <c r="N194" s="209">
        <f t="shared" si="62"/>
        <v>126.51640289998804</v>
      </c>
      <c r="O194" s="179">
        <f t="shared" si="66"/>
        <v>1.8083864125163721E-2</v>
      </c>
      <c r="P194" s="213">
        <f t="shared" si="67"/>
        <v>1.126587048876146</v>
      </c>
      <c r="Q194" s="217">
        <f t="shared" ca="1" si="68"/>
        <v>0.70214098102568367</v>
      </c>
      <c r="R194" s="176">
        <f>DANE!S194</f>
        <v>21</v>
      </c>
      <c r="S194" s="188">
        <f t="shared" si="3"/>
        <v>1773</v>
      </c>
      <c r="T194" s="177">
        <f t="shared" ca="1" si="19"/>
        <v>16.285714285714285</v>
      </c>
      <c r="U194" s="209">
        <f t="shared" si="50"/>
        <v>134.03903078468164</v>
      </c>
      <c r="V194" s="179">
        <f t="shared" si="55"/>
        <v>1.6379891245588127E-2</v>
      </c>
      <c r="W194" s="213">
        <f t="shared" si="56"/>
        <v>1.114659238719117</v>
      </c>
      <c r="X194" s="214">
        <f t="shared" ca="1" si="57"/>
        <v>0.74477582621665839</v>
      </c>
      <c r="Y194" s="176">
        <f>DANE!W194</f>
        <v>6</v>
      </c>
      <c r="Z194" s="188">
        <f t="shared" si="4"/>
        <v>768</v>
      </c>
      <c r="AA194" s="177">
        <f t="shared" ca="1" si="20"/>
        <v>6.5714285714285712</v>
      </c>
      <c r="AB194" s="209">
        <f t="shared" si="94"/>
        <v>48.096410973064849</v>
      </c>
      <c r="AC194" s="179">
        <f t="shared" si="95"/>
        <v>-2.0688601074619617E-2</v>
      </c>
      <c r="AD194" s="213">
        <f t="shared" si="96"/>
        <v>0.85517979247766274</v>
      </c>
      <c r="AE194" s="217">
        <f t="shared" ca="1" si="97"/>
        <v>0.78903679537335381</v>
      </c>
      <c r="AF194" s="176">
        <f>DANE!AA194</f>
        <v>13</v>
      </c>
      <c r="AG194" s="188">
        <f t="shared" si="5"/>
        <v>5544</v>
      </c>
      <c r="AH194" s="177">
        <f t="shared" ca="1" si="21"/>
        <v>19.857142857142858</v>
      </c>
      <c r="AI194" s="209">
        <f t="shared" si="37"/>
        <v>177.07641671374316</v>
      </c>
      <c r="AJ194" s="179">
        <f t="shared" si="39"/>
        <v>-7.4944536243496521E-2</v>
      </c>
      <c r="AK194" s="213">
        <f t="shared" si="40"/>
        <v>0.47538824629552434</v>
      </c>
      <c r="AL194" s="214">
        <f t="shared" ca="1" si="41"/>
        <v>0.53649965213682094</v>
      </c>
      <c r="AM194" s="176">
        <f>DANE!AE194</f>
        <v>99</v>
      </c>
      <c r="AN194" s="188">
        <f t="shared" si="6"/>
        <v>8519</v>
      </c>
      <c r="AO194" s="177">
        <f t="shared" ca="1" si="22"/>
        <v>97.285714285714292</v>
      </c>
      <c r="AP194" s="209">
        <f t="shared" si="49"/>
        <v>733.3991400647941</v>
      </c>
      <c r="AQ194" s="179">
        <f t="shared" si="51"/>
        <v>-9.0972786043696137E-3</v>
      </c>
      <c r="AR194" s="213">
        <f t="shared" si="52"/>
        <v>0.93631904976941271</v>
      </c>
      <c r="AS194" s="217">
        <f t="shared" ca="1" si="53"/>
        <v>0.82307865162072635</v>
      </c>
      <c r="AT194" s="176">
        <f>DANE!AI194</f>
        <v>68</v>
      </c>
      <c r="AU194" s="188">
        <f t="shared" si="7"/>
        <v>10139</v>
      </c>
      <c r="AV194" s="177">
        <f t="shared" ca="1" si="23"/>
        <v>64.857142857142861</v>
      </c>
      <c r="AW194" s="209">
        <f t="shared" si="33"/>
        <v>522.37829238316374</v>
      </c>
      <c r="AX194" s="179">
        <f t="shared" si="34"/>
        <v>-1.4581397156325532E-2</v>
      </c>
      <c r="AY194" s="213">
        <f t="shared" si="35"/>
        <v>0.89793021990572131</v>
      </c>
      <c r="AZ194" s="214">
        <f t="shared" ca="1" si="36"/>
        <v>0.72311280834568337</v>
      </c>
      <c r="BA194" s="176">
        <f>DANE!AM194</f>
        <v>24</v>
      </c>
      <c r="BB194" s="188">
        <f t="shared" si="8"/>
        <v>1762</v>
      </c>
      <c r="BC194" s="177">
        <f t="shared" ca="1" si="24"/>
        <v>14.571428571428571</v>
      </c>
      <c r="BD194" s="209">
        <f t="shared" si="77"/>
        <v>97.439524427775353</v>
      </c>
      <c r="BE194" s="179">
        <f t="shared" si="80"/>
        <v>0.13725671588195756</v>
      </c>
      <c r="BF194" s="213">
        <f t="shared" si="81"/>
        <v>1.960797011173703</v>
      </c>
      <c r="BG194" s="217">
        <f t="shared" ca="1" si="82"/>
        <v>1.2396051269045849</v>
      </c>
      <c r="BH194" s="176">
        <f>DANE!AQ194</f>
        <v>17</v>
      </c>
      <c r="BI194" s="188">
        <f t="shared" si="9"/>
        <v>2801</v>
      </c>
      <c r="BJ194" s="177">
        <f t="shared" ca="1" si="25"/>
        <v>37.285714285714285</v>
      </c>
      <c r="BK194" s="209">
        <f t="shared" si="61"/>
        <v>233.37721995052831</v>
      </c>
      <c r="BL194" s="179">
        <f t="shared" si="63"/>
        <v>-7.5514431943488697E-2</v>
      </c>
      <c r="BM194" s="213">
        <f t="shared" si="64"/>
        <v>0.47139897639557904</v>
      </c>
      <c r="BN194" s="214">
        <f t="shared" ca="1" si="65"/>
        <v>0.90390937473172595</v>
      </c>
      <c r="BO194" s="176">
        <f>DANE!AU194</f>
        <v>16</v>
      </c>
      <c r="BP194" s="188">
        <f t="shared" si="10"/>
        <v>1408</v>
      </c>
      <c r="BQ194" s="177">
        <f t="shared" ca="1" si="26"/>
        <v>11.714285714285714</v>
      </c>
      <c r="BR194" s="209">
        <f t="shared" si="78"/>
        <v>79.079791816263878</v>
      </c>
      <c r="BS194" s="179">
        <f t="shared" si="83"/>
        <v>7.4554572042489262E-2</v>
      </c>
      <c r="BT194" s="213">
        <f t="shared" si="84"/>
        <v>1.5218820042974248</v>
      </c>
      <c r="BU194" s="217">
        <f t="shared" ca="1" si="85"/>
        <v>1.1115195319212834</v>
      </c>
      <c r="BV194" s="176">
        <f>DANE!AY194</f>
        <v>32</v>
      </c>
      <c r="BW194" s="188">
        <f t="shared" si="11"/>
        <v>2908</v>
      </c>
      <c r="BX194" s="177">
        <f t="shared" ca="1" si="27"/>
        <v>34.857142857142854</v>
      </c>
      <c r="BY194" s="209">
        <f t="shared" si="69"/>
        <v>284.76774845462182</v>
      </c>
      <c r="BZ194" s="179">
        <f t="shared" si="71"/>
        <v>-3.4344203226731193E-2</v>
      </c>
      <c r="CA194" s="213">
        <f t="shared" si="72"/>
        <v>0.75959057741288161</v>
      </c>
      <c r="CB194" s="214">
        <f t="shared" ca="1" si="73"/>
        <v>0.7242662088422408</v>
      </c>
      <c r="CC194" s="176">
        <f>DANE!BC194</f>
        <v>51</v>
      </c>
      <c r="CD194" s="188">
        <f t="shared" si="12"/>
        <v>21012</v>
      </c>
      <c r="CE194" s="177">
        <f t="shared" ca="1" si="28"/>
        <v>46.857142857142854</v>
      </c>
      <c r="CF194" s="209">
        <f t="shared" si="45"/>
        <v>437.50919698375714</v>
      </c>
      <c r="CG194" s="179">
        <f t="shared" si="46"/>
        <v>-2.9756895682111623E-2</v>
      </c>
      <c r="CH194" s="213">
        <f t="shared" si="47"/>
        <v>0.79170173022521861</v>
      </c>
      <c r="CI194" s="217">
        <f t="shared" ca="1" si="48"/>
        <v>0.63242464157440037</v>
      </c>
      <c r="CJ194" s="176">
        <f>DANE!BG194</f>
        <v>18</v>
      </c>
      <c r="CK194" s="188">
        <f t="shared" si="13"/>
        <v>1589</v>
      </c>
      <c r="CL194" s="177">
        <f t="shared" ca="1" si="29"/>
        <v>15.857142857142858</v>
      </c>
      <c r="CM194" s="209">
        <f t="shared" si="79"/>
        <v>113.76618588617507</v>
      </c>
      <c r="CN194" s="179">
        <f t="shared" si="86"/>
        <v>1.82495284152141E-2</v>
      </c>
      <c r="CO194" s="213">
        <f t="shared" si="87"/>
        <v>1.1277466989064986</v>
      </c>
      <c r="CP194" s="214">
        <f t="shared" ca="1" si="88"/>
        <v>0.93978188999635337</v>
      </c>
      <c r="CQ194" s="176">
        <f>DANE!BK194</f>
        <v>13</v>
      </c>
      <c r="CR194" s="188">
        <f t="shared" si="14"/>
        <v>1027</v>
      </c>
      <c r="CS194" s="177">
        <f t="shared" ca="1" si="30"/>
        <v>12.857142857142858</v>
      </c>
      <c r="CT194" s="209">
        <f t="shared" si="89"/>
        <v>99.770844236915181</v>
      </c>
      <c r="CU194" s="179">
        <f t="shared" si="90"/>
        <v>-1.444007787580889E-2</v>
      </c>
      <c r="CV194" s="213">
        <f t="shared" si="91"/>
        <v>0.89891945486933778</v>
      </c>
      <c r="CW194" s="217">
        <f t="shared" ca="1" si="92"/>
        <v>0.82591457794953194</v>
      </c>
      <c r="CX194" s="176">
        <f>DANE!BO194</f>
        <v>76</v>
      </c>
      <c r="CY194" s="188">
        <f t="shared" si="15"/>
        <v>6173</v>
      </c>
      <c r="CZ194" s="177">
        <f t="shared" ca="1" si="31"/>
        <v>49</v>
      </c>
      <c r="DA194" s="209">
        <f t="shared" si="54"/>
        <v>356.48066521788616</v>
      </c>
      <c r="DB194" s="179">
        <f t="shared" si="58"/>
        <v>8.9397216252609601E-2</v>
      </c>
      <c r="DC194" s="213">
        <f t="shared" si="59"/>
        <v>1.6257805137682673</v>
      </c>
      <c r="DD194" s="214">
        <f t="shared" ca="1" si="60"/>
        <v>0.89203424489030247</v>
      </c>
      <c r="DE194" s="176">
        <f>DANE!BS194</f>
        <v>12</v>
      </c>
      <c r="DF194" s="188">
        <f t="shared" si="16"/>
        <v>1215</v>
      </c>
      <c r="DG194" s="177">
        <f t="shared" ca="1" si="32"/>
        <v>8.8571428571428577</v>
      </c>
      <c r="DH194" s="209">
        <f t="shared" si="70"/>
        <v>69.157029656427511</v>
      </c>
      <c r="DI194" s="179">
        <f t="shared" si="74"/>
        <v>3.7098224794780484E-2</v>
      </c>
      <c r="DJ194" s="157">
        <f t="shared" si="75"/>
        <v>1.2596875735634634</v>
      </c>
      <c r="DK194" s="225">
        <f t="shared" ca="1" si="76"/>
        <v>0.98059556826209382</v>
      </c>
      <c r="DL194" s="50"/>
      <c r="DM194" s="371"/>
      <c r="DN194" s="372"/>
      <c r="DO194" s="372"/>
      <c r="DP194" s="372"/>
      <c r="DQ194" s="372"/>
      <c r="DR194" s="372"/>
      <c r="DS194" s="372"/>
      <c r="DT194" s="372"/>
      <c r="DU194" s="372"/>
      <c r="DV194" s="372"/>
      <c r="DW194" s="50"/>
      <c r="DX194" s="50"/>
      <c r="DY194" s="50"/>
      <c r="DZ194" s="50"/>
      <c r="EA194" s="50"/>
      <c r="EB194" s="50"/>
      <c r="EC194" s="50"/>
      <c r="ED194" s="50"/>
      <c r="EE194" s="50"/>
      <c r="EF194" s="50"/>
      <c r="EG194" s="50"/>
      <c r="EH194" s="50"/>
    </row>
    <row r="195" spans="1:138" x14ac:dyDescent="0.25">
      <c r="A195" s="32">
        <v>44085</v>
      </c>
      <c r="B195" s="33" t="str">
        <f t="shared" ca="1" si="0"/>
        <v/>
      </c>
      <c r="C195" s="51">
        <f t="shared" si="93"/>
        <v>192</v>
      </c>
      <c r="D195" s="176">
        <f>DANE!K195</f>
        <v>47</v>
      </c>
      <c r="E195" s="188">
        <f t="shared" si="1"/>
        <v>4345</v>
      </c>
      <c r="F195" s="178">
        <f t="shared" ca="1" si="17"/>
        <v>26.714285714285715</v>
      </c>
      <c r="G195" s="209">
        <f t="shared" si="38"/>
        <v>194.20847470455334</v>
      </c>
      <c r="H195" s="179">
        <f t="shared" si="42"/>
        <v>0.13080722576407619</v>
      </c>
      <c r="I195" s="213">
        <f t="shared" si="43"/>
        <v>1.9156505803485335</v>
      </c>
      <c r="J195" s="214">
        <f t="shared" ca="1" si="44"/>
        <v>1.1673595206002549</v>
      </c>
      <c r="K195" s="176">
        <f>DANE!O195</f>
        <v>15</v>
      </c>
      <c r="L195" s="188">
        <f t="shared" si="2"/>
        <v>1532</v>
      </c>
      <c r="M195" s="177">
        <f t="shared" ca="1" si="18"/>
        <v>14.857142857142858</v>
      </c>
      <c r="N195" s="209">
        <f t="shared" si="62"/>
        <v>123.44263105713262</v>
      </c>
      <c r="O195" s="179">
        <f t="shared" si="66"/>
        <v>-2.4295441321432895E-2</v>
      </c>
      <c r="P195" s="213">
        <f t="shared" si="67"/>
        <v>0.82993191074996975</v>
      </c>
      <c r="Q195" s="217">
        <f t="shared" ca="1" si="68"/>
        <v>0.75685238849431191</v>
      </c>
      <c r="R195" s="176">
        <f>DANE!S195</f>
        <v>26</v>
      </c>
      <c r="S195" s="188">
        <f t="shared" si="3"/>
        <v>1799</v>
      </c>
      <c r="T195" s="177">
        <f t="shared" ca="1" si="19"/>
        <v>16.142857142857142</v>
      </c>
      <c r="U195" s="209">
        <f t="shared" si="50"/>
        <v>140.89059781544142</v>
      </c>
      <c r="V195" s="179">
        <f t="shared" si="55"/>
        <v>5.1116208395792118E-2</v>
      </c>
      <c r="W195" s="213">
        <f t="shared" si="56"/>
        <v>1.3578134587705448</v>
      </c>
      <c r="X195" s="214">
        <f t="shared" ca="1" si="57"/>
        <v>0.78448609947397663</v>
      </c>
      <c r="Y195" s="176">
        <f>DANE!W195</f>
        <v>5</v>
      </c>
      <c r="Z195" s="188">
        <f t="shared" si="4"/>
        <v>773</v>
      </c>
      <c r="AA195" s="177">
        <f t="shared" ca="1" si="20"/>
        <v>5.4285714285714288</v>
      </c>
      <c r="AB195" s="209">
        <f t="shared" si="94"/>
        <v>46.225495119769874</v>
      </c>
      <c r="AC195" s="179">
        <f t="shared" si="95"/>
        <v>-3.8899281993052086E-2</v>
      </c>
      <c r="AD195" s="213">
        <f t="shared" si="96"/>
        <v>0.72770502604863541</v>
      </c>
      <c r="AE195" s="217">
        <f t="shared" ca="1" si="97"/>
        <v>0.67923939832408242</v>
      </c>
      <c r="AF195" s="176">
        <f>DANE!AA195</f>
        <v>28</v>
      </c>
      <c r="AG195" s="188">
        <f t="shared" si="5"/>
        <v>5572</v>
      </c>
      <c r="AH195" s="177">
        <f t="shared" ca="1" si="21"/>
        <v>17.714285714285715</v>
      </c>
      <c r="AI195" s="209">
        <f t="shared" si="37"/>
        <v>179.779785754637</v>
      </c>
      <c r="AJ195" s="179">
        <f t="shared" si="39"/>
        <v>1.5266680290148623E-2</v>
      </c>
      <c r="AK195" s="213">
        <f t="shared" si="40"/>
        <v>1.1068667620310404</v>
      </c>
      <c r="AL195" s="214">
        <f t="shared" ca="1" si="41"/>
        <v>0.54508862588775686</v>
      </c>
      <c r="AM195" s="176">
        <f>DANE!AE195</f>
        <v>116</v>
      </c>
      <c r="AN195" s="188">
        <f t="shared" si="6"/>
        <v>8635</v>
      </c>
      <c r="AO195" s="177">
        <f t="shared" ca="1" si="22"/>
        <v>96.714285714285708</v>
      </c>
      <c r="AP195" s="209">
        <f t="shared" si="49"/>
        <v>744.62783434125208</v>
      </c>
      <c r="AQ195" s="179">
        <f t="shared" si="51"/>
        <v>1.5310481923207542E-2</v>
      </c>
      <c r="AR195" s="213">
        <f t="shared" si="52"/>
        <v>1.1071733734624527</v>
      </c>
      <c r="AS195" s="217">
        <f t="shared" ca="1" si="53"/>
        <v>0.84464236459172348</v>
      </c>
      <c r="AT195" s="176">
        <f>DANE!AI195</f>
        <v>78</v>
      </c>
      <c r="AU195" s="188">
        <f t="shared" si="7"/>
        <v>10217</v>
      </c>
      <c r="AV195" s="177">
        <f t="shared" ca="1" si="23"/>
        <v>58.714285714285715</v>
      </c>
      <c r="AW195" s="209">
        <f t="shared" si="33"/>
        <v>525.75282204271184</v>
      </c>
      <c r="AX195" s="179">
        <f t="shared" si="34"/>
        <v>6.4599347039346142E-3</v>
      </c>
      <c r="AY195" s="213">
        <f t="shared" si="35"/>
        <v>1.0452195429275424</v>
      </c>
      <c r="AZ195" s="214">
        <f t="shared" ca="1" si="36"/>
        <v>0.69877766655086238</v>
      </c>
      <c r="BA195" s="176">
        <f>DANE!AM195</f>
        <v>16</v>
      </c>
      <c r="BB195" s="188">
        <f t="shared" si="8"/>
        <v>1778</v>
      </c>
      <c r="BC195" s="177">
        <f t="shared" ca="1" si="24"/>
        <v>15.571428571428571</v>
      </c>
      <c r="BD195" s="209">
        <f t="shared" si="77"/>
        <v>99.519592366664597</v>
      </c>
      <c r="BE195" s="179">
        <f t="shared" si="80"/>
        <v>2.1347271049450188E-2</v>
      </c>
      <c r="BF195" s="213">
        <f t="shared" si="81"/>
        <v>1.1494308973461513</v>
      </c>
      <c r="BG195" s="217">
        <f t="shared" ca="1" si="82"/>
        <v>1.2933563622003035</v>
      </c>
      <c r="BH195" s="176">
        <f>DANE!AQ195</f>
        <v>46</v>
      </c>
      <c r="BI195" s="188">
        <f t="shared" si="9"/>
        <v>2847</v>
      </c>
      <c r="BJ195" s="177">
        <f t="shared" ca="1" si="25"/>
        <v>30.714285714285715</v>
      </c>
      <c r="BK195" s="209">
        <f t="shared" si="61"/>
        <v>246.03761710045285</v>
      </c>
      <c r="BL195" s="179">
        <f t="shared" si="63"/>
        <v>5.4248641545255813E-2</v>
      </c>
      <c r="BM195" s="213">
        <f t="shared" si="64"/>
        <v>1.3797404908167907</v>
      </c>
      <c r="BN195" s="214">
        <f t="shared" ca="1" si="65"/>
        <v>0.75412104134615621</v>
      </c>
      <c r="BO195" s="176">
        <f>DANE!AU195</f>
        <v>33</v>
      </c>
      <c r="BP195" s="188">
        <f t="shared" si="10"/>
        <v>1441</v>
      </c>
      <c r="BQ195" s="177">
        <f t="shared" ca="1" si="26"/>
        <v>15.285714285714286</v>
      </c>
      <c r="BR195" s="209">
        <f t="shared" si="78"/>
        <v>100.78267869965475</v>
      </c>
      <c r="BS195" s="179">
        <f t="shared" si="83"/>
        <v>0.27444289349946632</v>
      </c>
      <c r="BT195" s="213">
        <f t="shared" si="84"/>
        <v>2.9211002544962641</v>
      </c>
      <c r="BU195" s="217">
        <f t="shared" ca="1" si="85"/>
        <v>1.4173628124159561</v>
      </c>
      <c r="BV195" s="176">
        <f>DANE!AY195</f>
        <v>39</v>
      </c>
      <c r="BW195" s="188">
        <f t="shared" si="11"/>
        <v>2947</v>
      </c>
      <c r="BX195" s="177">
        <f t="shared" ca="1" si="27"/>
        <v>34.571428571428569</v>
      </c>
      <c r="BY195" s="209">
        <f t="shared" si="69"/>
        <v>283.08664153253301</v>
      </c>
      <c r="BZ195" s="179">
        <f t="shared" si="71"/>
        <v>-5.9034315901707619E-3</v>
      </c>
      <c r="CA195" s="213">
        <f t="shared" si="72"/>
        <v>0.95867597886880462</v>
      </c>
      <c r="CB195" s="214">
        <f t="shared" ca="1" si="73"/>
        <v>0.75277954011132608</v>
      </c>
      <c r="CC195" s="176">
        <f>DANE!BC195</f>
        <v>45</v>
      </c>
      <c r="CD195" s="188">
        <f t="shared" si="12"/>
        <v>21057</v>
      </c>
      <c r="CE195" s="177">
        <f t="shared" ca="1" si="28"/>
        <v>45.571428571428569</v>
      </c>
      <c r="CF195" s="209">
        <f t="shared" si="45"/>
        <v>420.00788312893474</v>
      </c>
      <c r="CG195" s="179">
        <f t="shared" si="46"/>
        <v>-4.0002162184197811E-2</v>
      </c>
      <c r="CH195" s="213">
        <f t="shared" si="47"/>
        <v>0.71998486471061529</v>
      </c>
      <c r="CI195" s="217">
        <f t="shared" ca="1" si="48"/>
        <v>0.65085210009805405</v>
      </c>
      <c r="CJ195" s="176">
        <f>DANE!BG195</f>
        <v>15</v>
      </c>
      <c r="CK195" s="188">
        <f t="shared" si="13"/>
        <v>1604</v>
      </c>
      <c r="CL195" s="177">
        <f t="shared" ca="1" si="29"/>
        <v>15.857142857142858</v>
      </c>
      <c r="CM195" s="209">
        <f t="shared" si="79"/>
        <v>112.5138736167215</v>
      </c>
      <c r="CN195" s="179">
        <f t="shared" si="86"/>
        <v>-1.1007772298058121E-2</v>
      </c>
      <c r="CO195" s="213">
        <f t="shared" si="87"/>
        <v>0.9229455939135931</v>
      </c>
      <c r="CP195" s="214">
        <f t="shared" ca="1" si="88"/>
        <v>0.94838684578315668</v>
      </c>
      <c r="CQ195" s="176">
        <f>DANE!BK195</f>
        <v>17</v>
      </c>
      <c r="CR195" s="188">
        <f t="shared" si="14"/>
        <v>1044</v>
      </c>
      <c r="CS195" s="177">
        <f t="shared" ca="1" si="30"/>
        <v>13.142857142857142</v>
      </c>
      <c r="CT195" s="209">
        <f t="shared" si="89"/>
        <v>102.51786648878445</v>
      </c>
      <c r="CU195" s="179">
        <f t="shared" si="90"/>
        <v>2.7533316700680686E-2</v>
      </c>
      <c r="CV195" s="213">
        <f t="shared" si="91"/>
        <v>1.1927332169047649</v>
      </c>
      <c r="CW195" s="217">
        <f t="shared" ca="1" si="92"/>
        <v>0.87117707003296496</v>
      </c>
      <c r="CX195" s="176">
        <f>DANE!BO195</f>
        <v>57</v>
      </c>
      <c r="CY195" s="188">
        <f t="shared" si="15"/>
        <v>6230</v>
      </c>
      <c r="CZ195" s="177">
        <f t="shared" ca="1" si="31"/>
        <v>43.857142857142854</v>
      </c>
      <c r="DA195" s="209">
        <f t="shared" si="54"/>
        <v>362.5548559010453</v>
      </c>
      <c r="DB195" s="179">
        <f t="shared" si="58"/>
        <v>1.703932716644397E-2</v>
      </c>
      <c r="DC195" s="213">
        <f t="shared" si="59"/>
        <v>1.1192752901651077</v>
      </c>
      <c r="DD195" s="214">
        <f t="shared" ca="1" si="60"/>
        <v>0.82187348781468506</v>
      </c>
      <c r="DE195" s="176">
        <f>DANE!BS195</f>
        <v>11</v>
      </c>
      <c r="DF195" s="188">
        <f t="shared" si="16"/>
        <v>1226</v>
      </c>
      <c r="DG195" s="177">
        <f t="shared" ca="1" si="32"/>
        <v>10.142857142857142</v>
      </c>
      <c r="DH195" s="209">
        <f t="shared" si="70"/>
        <v>70.277453991223581</v>
      </c>
      <c r="DI195" s="179">
        <f t="shared" si="74"/>
        <v>1.6201163357685313E-2</v>
      </c>
      <c r="DJ195" s="157">
        <f t="shared" si="75"/>
        <v>1.1134081435037972</v>
      </c>
      <c r="DK195" s="225">
        <f t="shared" ca="1" si="76"/>
        <v>1.1120795770666443</v>
      </c>
      <c r="DL195" s="92"/>
      <c r="DM195" s="380"/>
      <c r="DN195" s="372"/>
      <c r="DO195" s="372"/>
      <c r="DP195" s="372"/>
      <c r="DQ195" s="372"/>
      <c r="DR195" s="372"/>
      <c r="DS195" s="372"/>
      <c r="DT195" s="88"/>
      <c r="DU195" s="88"/>
      <c r="DV195" s="88"/>
      <c r="DW195" s="50"/>
      <c r="DX195" s="50"/>
      <c r="DY195" s="50"/>
      <c r="DZ195" s="50"/>
      <c r="EA195" s="50"/>
      <c r="EB195" s="50"/>
      <c r="EC195" s="50"/>
      <c r="ED195" s="50"/>
      <c r="EE195" s="50"/>
      <c r="EF195" s="50"/>
      <c r="EG195" s="50"/>
      <c r="EH195" s="50"/>
    </row>
    <row r="196" spans="1:138" x14ac:dyDescent="0.25">
      <c r="A196" s="61">
        <v>44086</v>
      </c>
      <c r="B196" s="62">
        <f t="shared" ca="1" si="0"/>
        <v>44086</v>
      </c>
      <c r="C196" s="12">
        <f t="shared" si="93"/>
        <v>193</v>
      </c>
      <c r="D196" s="176">
        <f>DANE!K196</f>
        <v>11</v>
      </c>
      <c r="E196" s="198">
        <f t="shared" si="1"/>
        <v>4356</v>
      </c>
      <c r="F196" s="178">
        <f t="shared" ca="1" si="17"/>
        <v>25</v>
      </c>
      <c r="G196" s="211">
        <f t="shared" si="38"/>
        <v>177.46440688961715</v>
      </c>
      <c r="H196" s="200">
        <f t="shared" si="42"/>
        <v>-8.621697812316742E-2</v>
      </c>
      <c r="I196" s="213">
        <f t="shared" si="43"/>
        <v>0.39648115313782806</v>
      </c>
      <c r="J196" s="214">
        <f t="shared" ca="1" si="44"/>
        <v>1.0895940364754244</v>
      </c>
      <c r="K196" s="176">
        <f>DANE!O196</f>
        <v>54</v>
      </c>
      <c r="L196" s="198">
        <f t="shared" si="2"/>
        <v>1586</v>
      </c>
      <c r="M196" s="177">
        <f t="shared" ca="1" si="18"/>
        <v>20.714285714285715</v>
      </c>
      <c r="N196" s="211">
        <f t="shared" si="62"/>
        <v>159.80796947754226</v>
      </c>
      <c r="O196" s="200">
        <f t="shared" si="66"/>
        <v>0.29459302761927336</v>
      </c>
      <c r="P196" s="213">
        <f t="shared" si="67"/>
        <v>3.0621511933349135</v>
      </c>
      <c r="Q196" s="217">
        <f t="shared" ca="1" si="68"/>
        <v>1.1123698775563429</v>
      </c>
      <c r="R196" s="176">
        <f>DANE!S196</f>
        <v>29</v>
      </c>
      <c r="S196" s="198">
        <f t="shared" si="3"/>
        <v>1828</v>
      </c>
      <c r="T196" s="177">
        <f t="shared" ca="1" si="19"/>
        <v>18.142857142857142</v>
      </c>
      <c r="U196" s="211">
        <f t="shared" si="50"/>
        <v>149.76336955609264</v>
      </c>
      <c r="V196" s="200">
        <f t="shared" si="55"/>
        <v>6.2976322609362742E-2</v>
      </c>
      <c r="W196" s="213">
        <f t="shared" si="56"/>
        <v>1.4408342582655393</v>
      </c>
      <c r="X196" s="214">
        <f t="shared" ca="1" si="57"/>
        <v>0.90558433942904437</v>
      </c>
      <c r="Y196" s="176">
        <f>DANE!W196</f>
        <v>7</v>
      </c>
      <c r="Z196" s="198">
        <f t="shared" si="4"/>
        <v>780</v>
      </c>
      <c r="AA196" s="177">
        <f t="shared" ca="1" si="20"/>
        <v>4.4285714285714288</v>
      </c>
      <c r="AB196" s="211">
        <f t="shared" si="94"/>
        <v>46.621852959802752</v>
      </c>
      <c r="AC196" s="200">
        <f t="shared" si="95"/>
        <v>8.5744422857108888E-3</v>
      </c>
      <c r="AD196" s="213">
        <f t="shared" si="96"/>
        <v>1.0600210959999763</v>
      </c>
      <c r="AE196" s="217">
        <f t="shared" ca="1" si="97"/>
        <v>0.61571312069353945</v>
      </c>
      <c r="AF196" s="176">
        <f>DANE!AA196</f>
        <v>37</v>
      </c>
      <c r="AG196" s="198">
        <f t="shared" si="5"/>
        <v>5609</v>
      </c>
      <c r="AH196" s="177">
        <f t="shared" ca="1" si="21"/>
        <v>18.571428571428573</v>
      </c>
      <c r="AI196" s="211">
        <f t="shared" si="37"/>
        <v>191.09695921826031</v>
      </c>
      <c r="AJ196" s="200">
        <f t="shared" si="39"/>
        <v>6.2950199968916168E-2</v>
      </c>
      <c r="AK196" s="213">
        <f t="shared" si="40"/>
        <v>1.4406513997824133</v>
      </c>
      <c r="AL196" s="214">
        <f t="shared" ca="1" si="41"/>
        <v>0.64380688444127998</v>
      </c>
      <c r="AM196" s="176">
        <f>DANE!AE196</f>
        <v>93</v>
      </c>
      <c r="AN196" s="198">
        <f t="shared" si="6"/>
        <v>8728</v>
      </c>
      <c r="AO196" s="177">
        <f t="shared" ca="1" si="22"/>
        <v>92.857142857142861</v>
      </c>
      <c r="AP196" s="211">
        <f t="shared" si="49"/>
        <v>731.25242943535898</v>
      </c>
      <c r="AQ196" s="200">
        <f t="shared" si="51"/>
        <v>-1.7962536839259965E-2</v>
      </c>
      <c r="AR196" s="213">
        <f t="shared" si="52"/>
        <v>0.87426224212518022</v>
      </c>
      <c r="AS196" s="217">
        <f t="shared" ca="1" si="53"/>
        <v>0.83207346775627289</v>
      </c>
      <c r="AT196" s="176">
        <f>DANE!AI196</f>
        <v>64</v>
      </c>
      <c r="AU196" s="198">
        <f t="shared" si="7"/>
        <v>10281</v>
      </c>
      <c r="AV196" s="177">
        <f t="shared" ca="1" si="23"/>
        <v>58.142857142857146</v>
      </c>
      <c r="AW196" s="211">
        <f t="shared" si="33"/>
        <v>514.6452760366102</v>
      </c>
      <c r="AX196" s="200">
        <f t="shared" si="34"/>
        <v>-2.1126935587231659E-2</v>
      </c>
      <c r="AY196" s="213">
        <f t="shared" si="35"/>
        <v>0.85211145088937834</v>
      </c>
      <c r="AZ196" s="214">
        <f t="shared" ca="1" si="36"/>
        <v>0.72583369539447085</v>
      </c>
      <c r="BA196" s="176">
        <f>DANE!AM196</f>
        <v>14</v>
      </c>
      <c r="BB196" s="198">
        <f t="shared" si="8"/>
        <v>1792</v>
      </c>
      <c r="BC196" s="177">
        <f t="shared" ca="1" si="24"/>
        <v>16.285714285714285</v>
      </c>
      <c r="BD196" s="211">
        <f t="shared" si="77"/>
        <v>99.302507742855369</v>
      </c>
      <c r="BE196" s="200">
        <f t="shared" si="80"/>
        <v>-2.1813254922650131E-3</v>
      </c>
      <c r="BF196" s="213">
        <f t="shared" si="81"/>
        <v>0.98473072155414487</v>
      </c>
      <c r="BG196" s="217">
        <f t="shared" ca="1" si="82"/>
        <v>1.3198800184054531</v>
      </c>
      <c r="BH196" s="176">
        <f>DANE!AQ196</f>
        <v>39</v>
      </c>
      <c r="BI196" s="198">
        <f t="shared" si="9"/>
        <v>2886</v>
      </c>
      <c r="BJ196" s="177">
        <f t="shared" ca="1" si="25"/>
        <v>28</v>
      </c>
      <c r="BK196" s="211">
        <f t="shared" si="61"/>
        <v>249.88938608610246</v>
      </c>
      <c r="BL196" s="200">
        <f t="shared" si="63"/>
        <v>1.5655203586519062E-2</v>
      </c>
      <c r="BM196" s="213">
        <f t="shared" si="64"/>
        <v>1.1095864251056335</v>
      </c>
      <c r="BN196" s="214">
        <f t="shared" ca="1" si="65"/>
        <v>0.73099933311433152</v>
      </c>
      <c r="BO196" s="176">
        <f>DANE!AU196</f>
        <v>5</v>
      </c>
      <c r="BP196" s="198">
        <f t="shared" si="10"/>
        <v>1446</v>
      </c>
      <c r="BQ196" s="177">
        <f t="shared" ca="1" si="26"/>
        <v>14.428571428571429</v>
      </c>
      <c r="BR196" s="211">
        <f t="shared" si="78"/>
        <v>91.385153171132657</v>
      </c>
      <c r="BS196" s="200">
        <f t="shared" si="83"/>
        <v>-9.324544306396064E-2</v>
      </c>
      <c r="BT196" s="213">
        <f t="shared" si="84"/>
        <v>0.34728189855227554</v>
      </c>
      <c r="BU196" s="217">
        <f t="shared" ca="1" si="85"/>
        <v>1.3087532644897213</v>
      </c>
      <c r="BV196" s="176">
        <f>DANE!AY196</f>
        <v>79</v>
      </c>
      <c r="BW196" s="198">
        <f t="shared" si="11"/>
        <v>3026</v>
      </c>
      <c r="BX196" s="177">
        <f t="shared" ca="1" si="27"/>
        <v>39.857142857142854</v>
      </c>
      <c r="BY196" s="211">
        <f t="shared" si="69"/>
        <v>321.64569274217115</v>
      </c>
      <c r="BZ196" s="200">
        <f t="shared" si="71"/>
        <v>0.13620936332739969</v>
      </c>
      <c r="CA196" s="213">
        <f t="shared" si="72"/>
        <v>1.9534655432917978</v>
      </c>
      <c r="CB196" s="214">
        <f t="shared" ca="1" si="73"/>
        <v>0.9168013116297502</v>
      </c>
      <c r="CC196" s="176">
        <f>DANE!BC196</f>
        <v>72</v>
      </c>
      <c r="CD196" s="198">
        <f t="shared" si="12"/>
        <v>21129</v>
      </c>
      <c r="CE196" s="177">
        <f t="shared" ca="1" si="28"/>
        <v>49</v>
      </c>
      <c r="CF196" s="211">
        <f t="shared" si="45"/>
        <v>432.00675696765836</v>
      </c>
      <c r="CG196" s="200">
        <f t="shared" si="46"/>
        <v>2.8568211028172988E-2</v>
      </c>
      <c r="CH196" s="213">
        <f t="shared" si="47"/>
        <v>1.1999774771972109</v>
      </c>
      <c r="CI196" s="217">
        <f t="shared" ca="1" si="48"/>
        <v>0.74257370798050182</v>
      </c>
      <c r="CJ196" s="176">
        <f>DANE!BG196</f>
        <v>17</v>
      </c>
      <c r="CK196" s="198">
        <f t="shared" si="13"/>
        <v>1621</v>
      </c>
      <c r="CL196" s="177">
        <f t="shared" ca="1" si="29"/>
        <v>14.571428571428571</v>
      </c>
      <c r="CM196" s="211">
        <f t="shared" si="79"/>
        <v>113.44046310004701</v>
      </c>
      <c r="CN196" s="200">
        <f t="shared" si="86"/>
        <v>8.2353353727909282E-3</v>
      </c>
      <c r="CO196" s="213">
        <f t="shared" si="87"/>
        <v>1.0576473476095365</v>
      </c>
      <c r="CP196" s="214">
        <f t="shared" ca="1" si="88"/>
        <v>0.88158211299090794</v>
      </c>
      <c r="CQ196" s="176">
        <f>DANE!BK196</f>
        <v>18</v>
      </c>
      <c r="CR196" s="198">
        <f t="shared" si="14"/>
        <v>1062</v>
      </c>
      <c r="CS196" s="177">
        <f t="shared" ca="1" si="30"/>
        <v>13.428571428571429</v>
      </c>
      <c r="CT196" s="211">
        <f t="shared" si="89"/>
        <v>105.87245699038668</v>
      </c>
      <c r="CU196" s="200">
        <f t="shared" si="90"/>
        <v>3.2722008528818021E-2</v>
      </c>
      <c r="CV196" s="213">
        <f t="shared" si="91"/>
        <v>1.2290540597017261</v>
      </c>
      <c r="CW196" s="217">
        <f t="shared" ca="1" si="92"/>
        <v>0.91087736944885822</v>
      </c>
      <c r="CX196" s="176">
        <f>DANE!BO196</f>
        <v>50</v>
      </c>
      <c r="CY196" s="198">
        <f t="shared" si="15"/>
        <v>6280</v>
      </c>
      <c r="CZ196" s="177">
        <f t="shared" ca="1" si="31"/>
        <v>42.571428571428569</v>
      </c>
      <c r="DA196" s="211">
        <f t="shared" si="54"/>
        <v>360.76130505803883</v>
      </c>
      <c r="DB196" s="200">
        <f t="shared" si="58"/>
        <v>-4.9469778540105896E-3</v>
      </c>
      <c r="DC196" s="213">
        <f t="shared" si="59"/>
        <v>0.96537115502192583</v>
      </c>
      <c r="DD196" s="214">
        <f t="shared" ca="1" si="60"/>
        <v>0.82553947276849027</v>
      </c>
      <c r="DE196" s="176">
        <f>DANE!BS196</f>
        <v>14</v>
      </c>
      <c r="DF196" s="198">
        <f t="shared" si="16"/>
        <v>1240</v>
      </c>
      <c r="DG196" s="177">
        <f t="shared" ca="1" si="32"/>
        <v>10.142857142857142</v>
      </c>
      <c r="DH196" s="211">
        <f t="shared" si="70"/>
        <v>74.237817706763082</v>
      </c>
      <c r="DI196" s="200">
        <f t="shared" si="74"/>
        <v>5.6353261118908496E-2</v>
      </c>
      <c r="DJ196" s="157">
        <f t="shared" si="75"/>
        <v>1.3944728278323595</v>
      </c>
      <c r="DK196" s="225">
        <f t="shared" ca="1" si="76"/>
        <v>1.0931184661369646</v>
      </c>
      <c r="DL196" s="75"/>
      <c r="DM196" s="380"/>
      <c r="DN196" s="372"/>
      <c r="DO196" s="372"/>
      <c r="DP196" s="372"/>
      <c r="DQ196" s="372"/>
      <c r="DR196" s="372"/>
      <c r="DS196" s="372"/>
      <c r="DT196" s="146"/>
      <c r="DU196" s="146"/>
      <c r="DV196" s="146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</row>
    <row r="197" spans="1:138" x14ac:dyDescent="0.25">
      <c r="A197" s="61">
        <v>44087</v>
      </c>
      <c r="B197" s="62">
        <f t="shared" ca="1" si="0"/>
        <v>44087</v>
      </c>
      <c r="C197" s="12">
        <f t="shared" si="93"/>
        <v>194</v>
      </c>
      <c r="D197" s="176">
        <f>DANE!K197</f>
        <v>16</v>
      </c>
      <c r="E197" s="198">
        <f t="shared" si="1"/>
        <v>4372</v>
      </c>
      <c r="F197" s="178">
        <f t="shared" ca="1" si="17"/>
        <v>26.142857142857142</v>
      </c>
      <c r="G197" s="211">
        <f t="shared" si="38"/>
        <v>168.112348762529</v>
      </c>
      <c r="H197" s="200">
        <f t="shared" si="42"/>
        <v>-5.2698218707625893E-2</v>
      </c>
      <c r="I197" s="213">
        <f t="shared" si="43"/>
        <v>0.63111246904661877</v>
      </c>
      <c r="J197" s="214">
        <f t="shared" ca="1" si="44"/>
        <v>1.1326046964457885</v>
      </c>
      <c r="K197" s="176">
        <f>DANE!O197</f>
        <v>21</v>
      </c>
      <c r="L197" s="198">
        <f t="shared" si="2"/>
        <v>1607</v>
      </c>
      <c r="M197" s="177">
        <f t="shared" ca="1" si="18"/>
        <v>21</v>
      </c>
      <c r="N197" s="211">
        <f t="shared" si="62"/>
        <v>157.97825955217908</v>
      </c>
      <c r="O197" s="200">
        <f t="shared" si="66"/>
        <v>-1.1449428531912508E-2</v>
      </c>
      <c r="P197" s="213">
        <f t="shared" si="67"/>
        <v>0.91985400027661246</v>
      </c>
      <c r="Q197" s="217">
        <f t="shared" ca="1" si="68"/>
        <v>1.1162609436169648</v>
      </c>
      <c r="R197" s="176">
        <f>DANE!S197</f>
        <v>26</v>
      </c>
      <c r="S197" s="198">
        <f t="shared" si="3"/>
        <v>1854</v>
      </c>
      <c r="T197" s="177">
        <f t="shared" ca="1" si="19"/>
        <v>20</v>
      </c>
      <c r="U197" s="211">
        <f t="shared" si="50"/>
        <v>154.36860247665084</v>
      </c>
      <c r="V197" s="200">
        <f t="shared" si="55"/>
        <v>3.0750062142754754E-2</v>
      </c>
      <c r="W197" s="213">
        <f t="shared" si="56"/>
        <v>1.2152504349992832</v>
      </c>
      <c r="X197" s="214">
        <f t="shared" ca="1" si="57"/>
        <v>1.00122264718452</v>
      </c>
      <c r="Y197" s="176">
        <f>DANE!W197</f>
        <v>6</v>
      </c>
      <c r="Z197" s="198">
        <f t="shared" si="4"/>
        <v>786</v>
      </c>
      <c r="AA197" s="177">
        <f t="shared" ca="1" si="20"/>
        <v>5</v>
      </c>
      <c r="AB197" s="211">
        <f t="shared" si="94"/>
        <v>45.961588251259506</v>
      </c>
      <c r="AC197" s="200">
        <f t="shared" si="95"/>
        <v>-1.416212927256503E-2</v>
      </c>
      <c r="AD197" s="213">
        <f t="shared" si="96"/>
        <v>0.90086509509204482</v>
      </c>
      <c r="AE197" s="217">
        <f t="shared" ca="1" si="97"/>
        <v>0.71576505481737041</v>
      </c>
      <c r="AF197" s="176">
        <f>DANE!AA197</f>
        <v>18</v>
      </c>
      <c r="AG197" s="198">
        <f t="shared" si="5"/>
        <v>5627</v>
      </c>
      <c r="AH197" s="177">
        <f t="shared" ca="1" si="21"/>
        <v>18.285714285714285</v>
      </c>
      <c r="AI197" s="211">
        <f t="shared" si="37"/>
        <v>181.79739361565171</v>
      </c>
      <c r="AJ197" s="200">
        <f t="shared" si="39"/>
        <v>-4.8664121295552115E-2</v>
      </c>
      <c r="AK197" s="213">
        <f t="shared" si="40"/>
        <v>0.65935115093113517</v>
      </c>
      <c r="AL197" s="214">
        <f t="shared" ca="1" si="41"/>
        <v>0.66634729959023076</v>
      </c>
      <c r="AM197" s="176">
        <f>DANE!AE197</f>
        <v>66</v>
      </c>
      <c r="AN197" s="198">
        <f t="shared" si="6"/>
        <v>8794</v>
      </c>
      <c r="AO197" s="177">
        <f t="shared" ca="1" si="22"/>
        <v>89.428571428571431</v>
      </c>
      <c r="AP197" s="211">
        <f t="shared" si="49"/>
        <v>692.78779665887919</v>
      </c>
      <c r="AQ197" s="200">
        <f t="shared" si="51"/>
        <v>-5.2601032459038105E-2</v>
      </c>
      <c r="AR197" s="213">
        <f t="shared" si="52"/>
        <v>0.63179277278673318</v>
      </c>
      <c r="AS197" s="217">
        <f t="shared" ca="1" si="53"/>
        <v>0.81867286401432826</v>
      </c>
      <c r="AT197" s="176">
        <f>DANE!AI197</f>
        <v>85</v>
      </c>
      <c r="AU197" s="198">
        <f t="shared" si="7"/>
        <v>10366</v>
      </c>
      <c r="AV197" s="177">
        <f t="shared" ca="1" si="23"/>
        <v>61.857142857142854</v>
      </c>
      <c r="AW197" s="211">
        <f t="shared" si="33"/>
        <v>526.12452231709449</v>
      </c>
      <c r="AX197" s="200">
        <f t="shared" si="34"/>
        <v>2.2305162050428873E-2</v>
      </c>
      <c r="AY197" s="213">
        <f t="shared" si="35"/>
        <v>1.1561361343530021</v>
      </c>
      <c r="AZ197" s="214">
        <f t="shared" ca="1" si="36"/>
        <v>0.80469393867840722</v>
      </c>
      <c r="BA197" s="176">
        <f>DANE!AM197</f>
        <v>5</v>
      </c>
      <c r="BB197" s="198">
        <f t="shared" si="8"/>
        <v>1797</v>
      </c>
      <c r="BC197" s="177">
        <f t="shared" ca="1" si="24"/>
        <v>11.857142857142858</v>
      </c>
      <c r="BD197" s="211">
        <f t="shared" si="77"/>
        <v>90.116435208161747</v>
      </c>
      <c r="BE197" s="200">
        <f t="shared" si="80"/>
        <v>-9.2505947165816088E-2</v>
      </c>
      <c r="BF197" s="213">
        <f t="shared" si="81"/>
        <v>0.35245836983928736</v>
      </c>
      <c r="BG197" s="217">
        <f t="shared" ca="1" si="82"/>
        <v>0.90012827314185484</v>
      </c>
      <c r="BH197" s="176">
        <f>DANE!AQ197</f>
        <v>33</v>
      </c>
      <c r="BI197" s="198">
        <f t="shared" si="9"/>
        <v>2919</v>
      </c>
      <c r="BJ197" s="177">
        <f t="shared" ca="1" si="25"/>
        <v>28</v>
      </c>
      <c r="BK197" s="211">
        <f t="shared" si="61"/>
        <v>247.1909023595164</v>
      </c>
      <c r="BL197" s="200">
        <f t="shared" si="63"/>
        <v>-1.079871285792133E-2</v>
      </c>
      <c r="BM197" s="213">
        <f t="shared" si="64"/>
        <v>0.92440900999455067</v>
      </c>
      <c r="BN197" s="214">
        <f t="shared" ca="1" si="65"/>
        <v>0.76357199991326397</v>
      </c>
      <c r="BO197" s="176">
        <f>DANE!AU197</f>
        <v>17</v>
      </c>
      <c r="BP197" s="198">
        <f t="shared" si="10"/>
        <v>1463</v>
      </c>
      <c r="BQ197" s="177">
        <f t="shared" ca="1" si="26"/>
        <v>14.857142857142858</v>
      </c>
      <c r="BR197" s="211">
        <f t="shared" si="78"/>
        <v>95.33013128954228</v>
      </c>
      <c r="BS197" s="200">
        <f t="shared" si="83"/>
        <v>4.3168698432031388E-2</v>
      </c>
      <c r="BT197" s="213">
        <f t="shared" si="84"/>
        <v>1.3021808890242197</v>
      </c>
      <c r="BU197" s="217">
        <f t="shared" ca="1" si="85"/>
        <v>1.2964537009973722</v>
      </c>
      <c r="BV197" s="176">
        <f>DANE!AY197</f>
        <v>55</v>
      </c>
      <c r="BW197" s="198">
        <f t="shared" si="11"/>
        <v>3081</v>
      </c>
      <c r="BX197" s="177">
        <f t="shared" ca="1" si="27"/>
        <v>41.285714285714285</v>
      </c>
      <c r="BY197" s="211">
        <f t="shared" si="69"/>
        <v>330.69630806471815</v>
      </c>
      <c r="BZ197" s="200">
        <f t="shared" si="71"/>
        <v>2.8138462683540148E-2</v>
      </c>
      <c r="CA197" s="213">
        <f t="shared" si="72"/>
        <v>1.196969238784781</v>
      </c>
      <c r="CB197" s="214">
        <f t="shared" ca="1" si="73"/>
        <v>0.96100840767676543</v>
      </c>
      <c r="CC197" s="176">
        <f>DANE!BC197</f>
        <v>53</v>
      </c>
      <c r="CD197" s="198">
        <f t="shared" si="12"/>
        <v>21182</v>
      </c>
      <c r="CE197" s="177">
        <f t="shared" ca="1" si="28"/>
        <v>51.571428571428569</v>
      </c>
      <c r="CF197" s="211">
        <f t="shared" si="45"/>
        <v>423.29150597227863</v>
      </c>
      <c r="CG197" s="200">
        <f t="shared" si="46"/>
        <v>-2.0173876576731854E-2</v>
      </c>
      <c r="CH197" s="213">
        <f t="shared" si="47"/>
        <v>0.85878286396287695</v>
      </c>
      <c r="CI197" s="217">
        <f t="shared" ca="1" si="48"/>
        <v>0.80322193608218329</v>
      </c>
      <c r="CJ197" s="176">
        <f>DANE!BG197</f>
        <v>13</v>
      </c>
      <c r="CK197" s="198">
        <f t="shared" si="13"/>
        <v>1634</v>
      </c>
      <c r="CL197" s="177">
        <f t="shared" ca="1" si="29"/>
        <v>14.285714285714286</v>
      </c>
      <c r="CM197" s="211">
        <f t="shared" si="79"/>
        <v>110.23468265718316</v>
      </c>
      <c r="CN197" s="200">
        <f t="shared" si="86"/>
        <v>-2.8259585294856983E-2</v>
      </c>
      <c r="CO197" s="213">
        <f t="shared" si="87"/>
        <v>0.80218290293600114</v>
      </c>
      <c r="CP197" s="214">
        <f t="shared" ca="1" si="88"/>
        <v>0.87924455979918636</v>
      </c>
      <c r="CQ197" s="176">
        <f>DANE!BK197</f>
        <v>13</v>
      </c>
      <c r="CR197" s="198">
        <f t="shared" si="14"/>
        <v>1075</v>
      </c>
      <c r="CS197" s="177">
        <f t="shared" ca="1" si="30"/>
        <v>14</v>
      </c>
      <c r="CT197" s="211">
        <f t="shared" si="89"/>
        <v>103.7478202774743</v>
      </c>
      <c r="CU197" s="200">
        <f t="shared" si="90"/>
        <v>-2.0067888979900559E-2</v>
      </c>
      <c r="CV197" s="213">
        <f t="shared" si="91"/>
        <v>0.85952477714069608</v>
      </c>
      <c r="CW197" s="217">
        <f t="shared" ca="1" si="92"/>
        <v>0.9566976572584398</v>
      </c>
      <c r="CX197" s="176">
        <f>DANE!BO197</f>
        <v>73</v>
      </c>
      <c r="CY197" s="198">
        <f t="shared" si="15"/>
        <v>6353</v>
      </c>
      <c r="CZ197" s="177">
        <f t="shared" ca="1" si="31"/>
        <v>48</v>
      </c>
      <c r="DA197" s="211">
        <f t="shared" si="54"/>
        <v>382.2239757640333</v>
      </c>
      <c r="DB197" s="200">
        <f t="shared" si="58"/>
        <v>5.9492718329482649E-2</v>
      </c>
      <c r="DC197" s="213">
        <f t="shared" si="59"/>
        <v>1.4164490283063786</v>
      </c>
      <c r="DD197" s="214">
        <f t="shared" ca="1" si="60"/>
        <v>0.94756109179763259</v>
      </c>
      <c r="DE197" s="176">
        <f>DANE!BS197</f>
        <v>2</v>
      </c>
      <c r="DF197" s="198">
        <f t="shared" si="16"/>
        <v>1242</v>
      </c>
      <c r="DG197" s="177">
        <f t="shared" ca="1" si="32"/>
        <v>9.8571428571428577</v>
      </c>
      <c r="DH197" s="211">
        <f t="shared" si="70"/>
        <v>65.632415177225511</v>
      </c>
      <c r="DI197" s="200">
        <f t="shared" si="74"/>
        <v>-0.11591669576722508</v>
      </c>
      <c r="DJ197" s="157">
        <f t="shared" si="75"/>
        <v>0.18858312962942447</v>
      </c>
      <c r="DK197" s="225">
        <f t="shared" ca="1" si="76"/>
        <v>1.0620900808883538</v>
      </c>
      <c r="DL197" s="75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</row>
    <row r="198" spans="1:138" x14ac:dyDescent="0.25">
      <c r="A198" s="32">
        <v>44088</v>
      </c>
      <c r="B198" s="33">
        <f t="shared" ca="1" si="0"/>
        <v>44088</v>
      </c>
      <c r="C198" s="51">
        <f t="shared" si="93"/>
        <v>195</v>
      </c>
      <c r="D198" s="176">
        <f>DANE!K198</f>
        <v>9</v>
      </c>
      <c r="E198" s="188">
        <f t="shared" si="1"/>
        <v>4381</v>
      </c>
      <c r="F198" s="178">
        <f t="shared" ca="1" si="17"/>
        <v>26.571428571428573</v>
      </c>
      <c r="G198" s="209">
        <f t="shared" si="38"/>
        <v>153.09629893931057</v>
      </c>
      <c r="H198" s="179">
        <f t="shared" si="42"/>
        <v>-8.9321515841942659E-2</v>
      </c>
      <c r="I198" s="213">
        <f t="shared" si="43"/>
        <v>0.37474938910640132</v>
      </c>
      <c r="J198" s="214">
        <f t="shared" ca="1" si="44"/>
        <v>1.1470365467008354</v>
      </c>
      <c r="K198" s="176">
        <f>DANE!O198</f>
        <v>24</v>
      </c>
      <c r="L198" s="188">
        <f t="shared" si="2"/>
        <v>1631</v>
      </c>
      <c r="M198" s="177">
        <f t="shared" ca="1" si="18"/>
        <v>22.285714285714285</v>
      </c>
      <c r="N198" s="209">
        <f t="shared" si="62"/>
        <v>159.40993675901066</v>
      </c>
      <c r="O198" s="179">
        <f t="shared" si="66"/>
        <v>9.0624951236325489E-3</v>
      </c>
      <c r="P198" s="213">
        <f t="shared" si="67"/>
        <v>1.0634374658654278</v>
      </c>
      <c r="Q198" s="217">
        <f t="shared" ca="1" si="68"/>
        <v>1.1659411398914632</v>
      </c>
      <c r="R198" s="176">
        <f>DANE!S198</f>
        <v>4</v>
      </c>
      <c r="S198" s="188">
        <f t="shared" si="3"/>
        <v>1858</v>
      </c>
      <c r="T198" s="177">
        <f t="shared" ca="1" si="19"/>
        <v>18.714285714285715</v>
      </c>
      <c r="U198" s="209">
        <f t="shared" si="50"/>
        <v>136.31594497998643</v>
      </c>
      <c r="V198" s="179">
        <f t="shared" si="55"/>
        <v>-0.11694513785207701</v>
      </c>
      <c r="W198" s="213">
        <f t="shared" si="56"/>
        <v>0.18138403503546086</v>
      </c>
      <c r="X198" s="214">
        <f t="shared" ca="1" si="57"/>
        <v>0.94375542304546056</v>
      </c>
      <c r="Y198" s="176">
        <f>DANE!W198</f>
        <v>5</v>
      </c>
      <c r="Z198" s="188">
        <f t="shared" si="4"/>
        <v>791</v>
      </c>
      <c r="AA198" s="177">
        <f t="shared" ca="1" si="20"/>
        <v>5.5714285714285712</v>
      </c>
      <c r="AB198" s="209">
        <f t="shared" si="94"/>
        <v>44.395647072508154</v>
      </c>
      <c r="AC198" s="179">
        <f t="shared" si="95"/>
        <v>-3.4070649825910654E-2</v>
      </c>
      <c r="AD198" s="213">
        <f t="shared" si="96"/>
        <v>0.76150545121862545</v>
      </c>
      <c r="AE198" s="217">
        <f t="shared" ca="1" si="97"/>
        <v>0.80838337545100625</v>
      </c>
      <c r="AF198" s="176">
        <f>DANE!AA198</f>
        <v>24</v>
      </c>
      <c r="AG198" s="188">
        <f t="shared" si="5"/>
        <v>5651</v>
      </c>
      <c r="AH198" s="177">
        <f t="shared" ca="1" si="21"/>
        <v>20.571428571428573</v>
      </c>
      <c r="AI198" s="209">
        <f t="shared" si="37"/>
        <v>179.82633738484435</v>
      </c>
      <c r="AJ198" s="179">
        <f t="shared" si="39"/>
        <v>-1.0842048896336139E-2</v>
      </c>
      <c r="AK198" s="213">
        <f t="shared" si="40"/>
        <v>0.92410565772564701</v>
      </c>
      <c r="AL198" s="214">
        <f t="shared" ca="1" si="41"/>
        <v>0.76750410053640616</v>
      </c>
      <c r="AM198" s="176">
        <f>DANE!AE198</f>
        <v>52</v>
      </c>
      <c r="AN198" s="188">
        <f t="shared" si="6"/>
        <v>8846</v>
      </c>
      <c r="AO198" s="177">
        <f t="shared" ca="1" si="22"/>
        <v>84.285714285714292</v>
      </c>
      <c r="AP198" s="209">
        <f t="shared" si="49"/>
        <v>645.81811142189645</v>
      </c>
      <c r="AQ198" s="179">
        <f t="shared" si="51"/>
        <v>-6.7798084007114914E-2</v>
      </c>
      <c r="AR198" s="213">
        <f t="shared" si="52"/>
        <v>0.52541341195019564</v>
      </c>
      <c r="AS198" s="217">
        <f t="shared" ca="1" si="53"/>
        <v>0.78824349985405895</v>
      </c>
      <c r="AT198" s="176">
        <f>DANE!AI198</f>
        <v>61</v>
      </c>
      <c r="AU198" s="188">
        <f t="shared" si="7"/>
        <v>10427</v>
      </c>
      <c r="AV198" s="177">
        <f t="shared" ca="1" si="23"/>
        <v>67</v>
      </c>
      <c r="AW198" s="209">
        <f t="shared" si="33"/>
        <v>511.9638762717953</v>
      </c>
      <c r="AX198" s="179">
        <f t="shared" si="34"/>
        <v>-2.6915008604682728E-2</v>
      </c>
      <c r="AY198" s="213">
        <f t="shared" si="35"/>
        <v>0.81159493976722086</v>
      </c>
      <c r="AZ198" s="214">
        <f t="shared" ca="1" si="36"/>
        <v>0.88187528313582764</v>
      </c>
      <c r="BA198" s="176">
        <f>DANE!AM198</f>
        <v>26</v>
      </c>
      <c r="BB198" s="188">
        <f t="shared" si="8"/>
        <v>1823</v>
      </c>
      <c r="BC198" s="177">
        <f t="shared" ca="1" si="24"/>
        <v>14.857142857142858</v>
      </c>
      <c r="BD198" s="209">
        <f t="shared" si="77"/>
        <v>103.24265874985294</v>
      </c>
      <c r="BE198" s="179">
        <f t="shared" si="80"/>
        <v>0.14565848628355821</v>
      </c>
      <c r="BF198" s="213">
        <f t="shared" si="81"/>
        <v>2.0196094039849077</v>
      </c>
      <c r="BG198" s="217">
        <f t="shared" ca="1" si="82"/>
        <v>1.139450244840803</v>
      </c>
      <c r="BH198" s="176">
        <f>DANE!AQ198</f>
        <v>41</v>
      </c>
      <c r="BI198" s="188">
        <f t="shared" si="9"/>
        <v>2960</v>
      </c>
      <c r="BJ198" s="177">
        <f t="shared" ca="1" si="25"/>
        <v>30.571428571428573</v>
      </c>
      <c r="BK198" s="209">
        <f t="shared" si="61"/>
        <v>252.87791630815693</v>
      </c>
      <c r="BL198" s="179">
        <f t="shared" si="63"/>
        <v>2.3006566561941218E-2</v>
      </c>
      <c r="BM198" s="213">
        <f t="shared" si="64"/>
        <v>1.1610459659335886</v>
      </c>
      <c r="BN198" s="214">
        <f t="shared" ca="1" si="65"/>
        <v>0.85695349339610249</v>
      </c>
      <c r="BO198" s="176">
        <f>DANE!AU198</f>
        <v>8</v>
      </c>
      <c r="BP198" s="188">
        <f t="shared" si="10"/>
        <v>1471</v>
      </c>
      <c r="BQ198" s="177">
        <f t="shared" ca="1" si="26"/>
        <v>13.285714285714286</v>
      </c>
      <c r="BR198" s="209">
        <f t="shared" si="78"/>
        <v>89.711541105321956</v>
      </c>
      <c r="BS198" s="179">
        <f t="shared" si="83"/>
        <v>-5.8938240283706429E-2</v>
      </c>
      <c r="BT198" s="213">
        <f t="shared" si="84"/>
        <v>0.58743231801405504</v>
      </c>
      <c r="BU198" s="217">
        <f t="shared" ca="1" si="85"/>
        <v>1.1253617082185672</v>
      </c>
      <c r="BV198" s="176">
        <f>DANE!AY198</f>
        <v>46</v>
      </c>
      <c r="BW198" s="188">
        <f t="shared" si="11"/>
        <v>3127</v>
      </c>
      <c r="BX198" s="177">
        <f t="shared" ca="1" si="27"/>
        <v>45</v>
      </c>
      <c r="BY198" s="209">
        <f t="shared" si="69"/>
        <v>329.453978341187</v>
      </c>
      <c r="BZ198" s="179">
        <f t="shared" si="71"/>
        <v>-3.7567087785208334E-3</v>
      </c>
      <c r="CA198" s="213">
        <f t="shared" si="72"/>
        <v>0.97370303855035412</v>
      </c>
      <c r="CB198" s="214">
        <f t="shared" ca="1" si="73"/>
        <v>1.0428381310385608</v>
      </c>
      <c r="CC198" s="176">
        <f>DANE!BC198</f>
        <v>45</v>
      </c>
      <c r="CD198" s="188">
        <f t="shared" si="12"/>
        <v>21227</v>
      </c>
      <c r="CE198" s="177">
        <f t="shared" ca="1" si="28"/>
        <v>53.571428571428569</v>
      </c>
      <c r="CF198" s="209">
        <f t="shared" si="45"/>
        <v>407.82129083338168</v>
      </c>
      <c r="CG198" s="179">
        <f t="shared" si="46"/>
        <v>-3.6547426349514536E-2</v>
      </c>
      <c r="CH198" s="213">
        <f t="shared" si="47"/>
        <v>0.74416801555339829</v>
      </c>
      <c r="CI198" s="217">
        <f t="shared" ca="1" si="48"/>
        <v>0.84975506330345973</v>
      </c>
      <c r="CJ198" s="176">
        <f>DANE!BG198</f>
        <v>4</v>
      </c>
      <c r="CK198" s="188">
        <f t="shared" si="13"/>
        <v>1638</v>
      </c>
      <c r="CL198" s="177">
        <f t="shared" ca="1" si="29"/>
        <v>13.571428571428571</v>
      </c>
      <c r="CM198" s="209">
        <f t="shared" si="79"/>
        <v>98.486870849014139</v>
      </c>
      <c r="CN198" s="179">
        <f t="shared" si="86"/>
        <v>-0.10657092237207527</v>
      </c>
      <c r="CO198" s="213">
        <f t="shared" si="87"/>
        <v>0.25400354339547304</v>
      </c>
      <c r="CP198" s="214">
        <f t="shared" ca="1" si="88"/>
        <v>0.84350259695115859</v>
      </c>
      <c r="CQ198" s="176">
        <f>DANE!BK198</f>
        <v>2</v>
      </c>
      <c r="CR198" s="188">
        <f t="shared" si="14"/>
        <v>1077</v>
      </c>
      <c r="CS198" s="177">
        <f t="shared" ca="1" si="30"/>
        <v>12.142857142857142</v>
      </c>
      <c r="CT198" s="209">
        <f t="shared" si="89"/>
        <v>90.926703094977981</v>
      </c>
      <c r="CU198" s="179">
        <f t="shared" si="90"/>
        <v>-0.12357962941492315</v>
      </c>
      <c r="CV198" s="213">
        <f t="shared" si="91"/>
        <v>0.13494259409553788</v>
      </c>
      <c r="CW198" s="217">
        <f t="shared" ca="1" si="92"/>
        <v>0.83864513491129655</v>
      </c>
      <c r="CX198" s="176">
        <f>DANE!BO198</f>
        <v>23</v>
      </c>
      <c r="CY198" s="188">
        <f t="shared" si="15"/>
        <v>6376</v>
      </c>
      <c r="CZ198" s="177">
        <f t="shared" ca="1" si="31"/>
        <v>48.285714285714285</v>
      </c>
      <c r="DA198" s="209">
        <f t="shared" si="54"/>
        <v>350.62055065488573</v>
      </c>
      <c r="DB198" s="179">
        <f t="shared" si="58"/>
        <v>-8.2683000316699132E-2</v>
      </c>
      <c r="DC198" s="213">
        <f t="shared" si="59"/>
        <v>0.42121899778310601</v>
      </c>
      <c r="DD198" s="214">
        <f t="shared" ca="1" si="60"/>
        <v>0.95632357446881677</v>
      </c>
      <c r="DE198" s="176">
        <f>DANE!BS198</f>
        <v>3</v>
      </c>
      <c r="DF198" s="188">
        <f t="shared" si="16"/>
        <v>1245</v>
      </c>
      <c r="DG198" s="177">
        <f t="shared" ca="1" si="32"/>
        <v>9.8571428571428577</v>
      </c>
      <c r="DH198" s="209">
        <f t="shared" si="70"/>
        <v>59.256355866193296</v>
      </c>
      <c r="DI198" s="179">
        <f t="shared" si="74"/>
        <v>-9.7148021961634454E-2</v>
      </c>
      <c r="DJ198" s="157">
        <f t="shared" si="75"/>
        <v>0.31996384626855878</v>
      </c>
      <c r="DK198" s="225">
        <f t="shared" ca="1" si="76"/>
        <v>1.0602895647049877</v>
      </c>
      <c r="DL198" s="146"/>
      <c r="DM198" s="380"/>
      <c r="DN198" s="372"/>
      <c r="DO198" s="372"/>
      <c r="DP198" s="372"/>
      <c r="DQ198" s="372"/>
      <c r="DR198" s="372"/>
      <c r="DS198" s="372"/>
      <c r="DT198" s="88"/>
      <c r="DU198" s="88"/>
      <c r="DV198" s="88"/>
      <c r="DW198" s="146"/>
      <c r="DX198" s="146"/>
      <c r="DY198" s="146"/>
      <c r="DZ198" s="146"/>
      <c r="EA198" s="146"/>
      <c r="EB198" s="146"/>
      <c r="EC198" s="146"/>
      <c r="ED198" s="146"/>
      <c r="EE198" s="146"/>
      <c r="EF198" s="146"/>
      <c r="EG198" s="146"/>
      <c r="EH198" s="146"/>
    </row>
    <row r="199" spans="1:138" x14ac:dyDescent="0.25">
      <c r="A199" s="32">
        <v>44089</v>
      </c>
      <c r="B199" s="33">
        <f t="shared" ca="1" si="0"/>
        <v>44089</v>
      </c>
      <c r="C199" s="51">
        <f t="shared" si="93"/>
        <v>196</v>
      </c>
      <c r="D199" s="176">
        <f>DANE!K199</f>
        <v>60</v>
      </c>
      <c r="E199" s="188">
        <f t="shared" si="1"/>
        <v>4441</v>
      </c>
      <c r="F199" s="178">
        <f t="shared" ca="1" si="17"/>
        <v>28.142857142857142</v>
      </c>
      <c r="G199" s="209">
        <f t="shared" si="38"/>
        <v>191.22539909083764</v>
      </c>
      <c r="H199" s="179">
        <f t="shared" si="42"/>
        <v>0.24905304971900044</v>
      </c>
      <c r="I199" s="213">
        <f t="shared" si="43"/>
        <v>2.7433713480330031</v>
      </c>
      <c r="J199" s="214">
        <f t="shared" ca="1" si="44"/>
        <v>1.1826301874175742</v>
      </c>
      <c r="K199" s="176">
        <f>DANE!O199</f>
        <v>22</v>
      </c>
      <c r="L199" s="188">
        <f t="shared" si="2"/>
        <v>1653</v>
      </c>
      <c r="M199" s="177">
        <f t="shared" ca="1" si="18"/>
        <v>24.285714285714285</v>
      </c>
      <c r="N199" s="209">
        <f t="shared" si="62"/>
        <v>158.63708865058058</v>
      </c>
      <c r="O199" s="179">
        <f t="shared" si="66"/>
        <v>-4.8481802586650682E-3</v>
      </c>
      <c r="P199" s="213">
        <f t="shared" si="67"/>
        <v>0.96606273818934452</v>
      </c>
      <c r="Q199" s="217">
        <f t="shared" ca="1" si="68"/>
        <v>1.2471138420036272</v>
      </c>
      <c r="R199" s="176">
        <f>DANE!S199</f>
        <v>22</v>
      </c>
      <c r="S199" s="188">
        <f t="shared" si="3"/>
        <v>1880</v>
      </c>
      <c r="T199" s="177">
        <f t="shared" ca="1" si="19"/>
        <v>21</v>
      </c>
      <c r="U199" s="209">
        <f t="shared" si="50"/>
        <v>138.8422385542741</v>
      </c>
      <c r="V199" s="179">
        <f t="shared" si="55"/>
        <v>1.8532634422617121E-2</v>
      </c>
      <c r="W199" s="213">
        <f t="shared" si="56"/>
        <v>1.1297284409583199</v>
      </c>
      <c r="X199" s="214">
        <f t="shared" ca="1" si="57"/>
        <v>1.064228860661826</v>
      </c>
      <c r="Y199" s="176">
        <f>DANE!W199</f>
        <v>5</v>
      </c>
      <c r="Z199" s="188">
        <f t="shared" si="4"/>
        <v>796</v>
      </c>
      <c r="AA199" s="177">
        <f t="shared" ca="1" si="20"/>
        <v>5.7142857142857144</v>
      </c>
      <c r="AB199" s="209">
        <f t="shared" si="94"/>
        <v>43.053411776435567</v>
      </c>
      <c r="AC199" s="179">
        <f t="shared" si="95"/>
        <v>-3.0233488744525177E-2</v>
      </c>
      <c r="AD199" s="213">
        <f t="shared" si="96"/>
        <v>0.7883655787883237</v>
      </c>
      <c r="AE199" s="217">
        <f t="shared" ca="1" si="97"/>
        <v>0.84695244030186101</v>
      </c>
      <c r="AF199" s="176">
        <f>DANE!AA199</f>
        <v>17</v>
      </c>
      <c r="AG199" s="188">
        <f t="shared" si="5"/>
        <v>5668</v>
      </c>
      <c r="AH199" s="177">
        <f t="shared" ca="1" si="21"/>
        <v>21.285714285714285</v>
      </c>
      <c r="AI199" s="209">
        <f t="shared" si="37"/>
        <v>171.13686061558087</v>
      </c>
      <c r="AJ199" s="179">
        <f t="shared" si="39"/>
        <v>-4.8321491143242412E-2</v>
      </c>
      <c r="AK199" s="213">
        <f t="shared" si="40"/>
        <v>0.66174956199730306</v>
      </c>
      <c r="AL199" s="214">
        <f t="shared" ca="1" si="41"/>
        <v>0.80991432480717973</v>
      </c>
      <c r="AM199" s="176">
        <f>DANE!AE199</f>
        <v>120</v>
      </c>
      <c r="AN199" s="188">
        <f t="shared" si="6"/>
        <v>8966</v>
      </c>
      <c r="AO199" s="177">
        <f t="shared" ca="1" si="22"/>
        <v>87.571428571428569</v>
      </c>
      <c r="AP199" s="209">
        <f t="shared" si="49"/>
        <v>673.55838121876843</v>
      </c>
      <c r="AQ199" s="179">
        <f t="shared" si="51"/>
        <v>4.2953688207653835E-2</v>
      </c>
      <c r="AR199" s="213">
        <f t="shared" si="52"/>
        <v>1.3006758174535769</v>
      </c>
      <c r="AS199" s="217">
        <f t="shared" ca="1" si="53"/>
        <v>0.85326352126558924</v>
      </c>
      <c r="AT199" s="176">
        <f>DANE!AI199</f>
        <v>98</v>
      </c>
      <c r="AU199" s="188">
        <f t="shared" si="7"/>
        <v>10525</v>
      </c>
      <c r="AV199" s="177">
        <f t="shared" ca="1" si="23"/>
        <v>73.571428571428569</v>
      </c>
      <c r="AW199" s="209">
        <f t="shared" si="33"/>
        <v>536.82617966153884</v>
      </c>
      <c r="AX199" s="179">
        <f t="shared" si="34"/>
        <v>4.8562612602269725E-2</v>
      </c>
      <c r="AY199" s="213">
        <f t="shared" si="35"/>
        <v>1.3399382882158881</v>
      </c>
      <c r="AZ199" s="214">
        <f t="shared" ca="1" si="36"/>
        <v>0.9833049564594637</v>
      </c>
      <c r="BA199" s="176">
        <f>DANE!AM199</f>
        <v>28</v>
      </c>
      <c r="BB199" s="188">
        <f t="shared" si="8"/>
        <v>1851</v>
      </c>
      <c r="BC199" s="177">
        <f t="shared" ca="1" si="24"/>
        <v>17.857142857142858</v>
      </c>
      <c r="BD199" s="209">
        <f t="shared" si="77"/>
        <v>116.49370749987395</v>
      </c>
      <c r="BE199" s="179">
        <f t="shared" si="80"/>
        <v>0.1283485810078471</v>
      </c>
      <c r="BF199" s="213">
        <f t="shared" si="81"/>
        <v>1.8984400670549297</v>
      </c>
      <c r="BG199" s="217">
        <f t="shared" ca="1" si="82"/>
        <v>1.3346675038142295</v>
      </c>
      <c r="BH199" s="176">
        <f>DANE!AQ199</f>
        <v>20</v>
      </c>
      <c r="BI199" s="188">
        <f t="shared" si="9"/>
        <v>2980</v>
      </c>
      <c r="BJ199" s="177">
        <f t="shared" ca="1" si="25"/>
        <v>31.142857142857142</v>
      </c>
      <c r="BK199" s="209">
        <f t="shared" si="61"/>
        <v>236.75249969270595</v>
      </c>
      <c r="BL199" s="179">
        <f t="shared" si="63"/>
        <v>-6.3767595252566645E-2</v>
      </c>
      <c r="BM199" s="213">
        <f t="shared" si="64"/>
        <v>0.55362683323203354</v>
      </c>
      <c r="BN199" s="214">
        <f t="shared" ca="1" si="65"/>
        <v>0.88180352816237417</v>
      </c>
      <c r="BO199" s="176">
        <f>DANE!AU199</f>
        <v>11</v>
      </c>
      <c r="BP199" s="188">
        <f t="shared" si="10"/>
        <v>1482</v>
      </c>
      <c r="BQ199" s="177">
        <f t="shared" ca="1" si="26"/>
        <v>13.571428571428571</v>
      </c>
      <c r="BR199" s="209">
        <f t="shared" si="78"/>
        <v>87.895606661704534</v>
      </c>
      <c r="BS199" s="179">
        <f t="shared" si="83"/>
        <v>-2.0241926749262985E-2</v>
      </c>
      <c r="BT199" s="213">
        <f t="shared" si="84"/>
        <v>0.85830651275515912</v>
      </c>
      <c r="BU199" s="217">
        <f t="shared" ca="1" si="85"/>
        <v>1.139363673353248</v>
      </c>
      <c r="BV199" s="176">
        <f>DANE!AY199</f>
        <v>41</v>
      </c>
      <c r="BW199" s="188">
        <f t="shared" si="11"/>
        <v>3168</v>
      </c>
      <c r="BX199" s="177">
        <f t="shared" ca="1" si="27"/>
        <v>47.142857142857146</v>
      </c>
      <c r="BY199" s="209">
        <f t="shared" si="69"/>
        <v>323.38912429244601</v>
      </c>
      <c r="BZ199" s="179">
        <f t="shared" si="71"/>
        <v>-1.8408805015127601E-2</v>
      </c>
      <c r="CA199" s="213">
        <f t="shared" si="72"/>
        <v>0.87113836489410679</v>
      </c>
      <c r="CB199" s="214">
        <f t="shared" ca="1" si="73"/>
        <v>1.0858660628971653</v>
      </c>
      <c r="CC199" s="176">
        <f>DANE!BC199</f>
        <v>62</v>
      </c>
      <c r="CD199" s="188">
        <f t="shared" si="12"/>
        <v>21289</v>
      </c>
      <c r="CE199" s="177">
        <f t="shared" ca="1" si="28"/>
        <v>55</v>
      </c>
      <c r="CF199" s="209">
        <f t="shared" si="45"/>
        <v>411.5611064286129</v>
      </c>
      <c r="CG199" s="179">
        <f t="shared" si="46"/>
        <v>9.1702313716601654E-3</v>
      </c>
      <c r="CH199" s="213">
        <f t="shared" si="47"/>
        <v>1.0641916196016212</v>
      </c>
      <c r="CI199" s="217">
        <f t="shared" ca="1" si="48"/>
        <v>0.89242669398722463</v>
      </c>
      <c r="CJ199" s="176">
        <f>DANE!BG199</f>
        <v>33</v>
      </c>
      <c r="CK199" s="188">
        <f t="shared" si="13"/>
        <v>1671</v>
      </c>
      <c r="CL199" s="177">
        <f t="shared" ca="1" si="29"/>
        <v>16.714285714285715</v>
      </c>
      <c r="CM199" s="209">
        <f t="shared" si="79"/>
        <v>117.41731787058356</v>
      </c>
      <c r="CN199" s="179">
        <f t="shared" si="86"/>
        <v>0.1922128996319809</v>
      </c>
      <c r="CO199" s="213">
        <f t="shared" si="87"/>
        <v>2.3454902974238667</v>
      </c>
      <c r="CP199" s="214">
        <f t="shared" ca="1" si="88"/>
        <v>1.0838274930021075</v>
      </c>
      <c r="CQ199" s="176">
        <f>DANE!BK199</f>
        <v>21</v>
      </c>
      <c r="CR199" s="188">
        <f t="shared" si="14"/>
        <v>1098</v>
      </c>
      <c r="CS199" s="177">
        <f t="shared" ca="1" si="30"/>
        <v>14.571428571428571</v>
      </c>
      <c r="CT199" s="209">
        <f t="shared" si="89"/>
        <v>98.937174081409708</v>
      </c>
      <c r="CU199" s="179">
        <f t="shared" si="90"/>
        <v>8.8098113246934145E-2</v>
      </c>
      <c r="CV199" s="213">
        <f t="shared" si="91"/>
        <v>1.6166867927285391</v>
      </c>
      <c r="CW199" s="217">
        <f t="shared" ca="1" si="92"/>
        <v>1.0327755130951872</v>
      </c>
      <c r="CX199" s="176">
        <f>DANE!BO199</f>
        <v>28</v>
      </c>
      <c r="CY199" s="188">
        <f t="shared" si="15"/>
        <v>6404</v>
      </c>
      <c r="CZ199" s="177">
        <f t="shared" ca="1" si="31"/>
        <v>47.857142857142854</v>
      </c>
      <c r="DA199" s="209">
        <f t="shared" si="54"/>
        <v>328.53190056133064</v>
      </c>
      <c r="DB199" s="179">
        <f t="shared" si="58"/>
        <v>-6.2998731969070604E-2</v>
      </c>
      <c r="DC199" s="213">
        <f t="shared" si="59"/>
        <v>0.55900887621650575</v>
      </c>
      <c r="DD199" s="214">
        <f t="shared" ca="1" si="60"/>
        <v>0.95264995591551993</v>
      </c>
      <c r="DE199" s="176">
        <f>DANE!BS199</f>
        <v>17</v>
      </c>
      <c r="DF199" s="188">
        <f t="shared" si="16"/>
        <v>1262</v>
      </c>
      <c r="DG199" s="177">
        <f t="shared" ca="1" si="32"/>
        <v>10</v>
      </c>
      <c r="DH199" s="209">
        <f t="shared" si="70"/>
        <v>67.791162171022819</v>
      </c>
      <c r="DI199" s="179">
        <f t="shared" si="74"/>
        <v>0.14403191320272812</v>
      </c>
      <c r="DJ199" s="157">
        <f t="shared" si="75"/>
        <v>2.0082233924190969</v>
      </c>
      <c r="DK199" s="225">
        <f t="shared" ca="1" si="76"/>
        <v>1.0670879420724666</v>
      </c>
      <c r="DL199" s="146"/>
      <c r="DM199" s="380"/>
      <c r="DN199" s="372"/>
      <c r="DO199" s="372"/>
      <c r="DP199" s="372"/>
      <c r="DQ199" s="372"/>
      <c r="DR199" s="372"/>
      <c r="DS199" s="372"/>
      <c r="DT199" s="89"/>
      <c r="DU199" s="89"/>
      <c r="DV199" s="89"/>
      <c r="DW199" s="146"/>
      <c r="DX199" s="146"/>
      <c r="DY199" s="146"/>
      <c r="DZ199" s="146"/>
      <c r="EA199" s="146"/>
      <c r="EB199" s="146"/>
      <c r="EC199" s="146"/>
      <c r="ED199" s="146"/>
      <c r="EE199" s="146"/>
      <c r="EF199" s="146"/>
      <c r="EG199" s="146"/>
      <c r="EH199" s="146"/>
    </row>
    <row r="200" spans="1:138" x14ac:dyDescent="0.25">
      <c r="A200" s="32">
        <v>44090</v>
      </c>
      <c r="B200" s="33">
        <f t="shared" ca="1" si="0"/>
        <v>44090</v>
      </c>
      <c r="C200" s="51">
        <f t="shared" si="93"/>
        <v>197</v>
      </c>
      <c r="D200" s="176">
        <f>DANE!K200</f>
        <v>47</v>
      </c>
      <c r="E200" s="188">
        <f t="shared" si="1"/>
        <v>4488</v>
      </c>
      <c r="F200" s="178">
        <f t="shared" ca="1" si="17"/>
        <v>30</v>
      </c>
      <c r="G200" s="209">
        <f t="shared" si="38"/>
        <v>210.90748493500371</v>
      </c>
      <c r="H200" s="179">
        <f t="shared" si="42"/>
        <v>0.10292610677108067</v>
      </c>
      <c r="I200" s="213">
        <f t="shared" si="43"/>
        <v>1.7204827473975648</v>
      </c>
      <c r="J200" s="214">
        <f t="shared" ca="1" si="44"/>
        <v>1.2246653309632654</v>
      </c>
      <c r="K200" s="176">
        <f>DANE!O200</f>
        <v>35</v>
      </c>
      <c r="L200" s="188">
        <f t="shared" si="2"/>
        <v>1688</v>
      </c>
      <c r="M200" s="177">
        <f t="shared" ca="1" si="18"/>
        <v>27.285714285714285</v>
      </c>
      <c r="N200" s="209">
        <f t="shared" si="62"/>
        <v>170.97464741478336</v>
      </c>
      <c r="O200" s="179">
        <f t="shared" si="66"/>
        <v>7.7772221295474647E-2</v>
      </c>
      <c r="P200" s="213">
        <f t="shared" si="67"/>
        <v>1.5444055490683226</v>
      </c>
      <c r="Q200" s="217">
        <f t="shared" ca="1" si="68"/>
        <v>1.3589185580515337</v>
      </c>
      <c r="R200" s="176">
        <f>DANE!S200</f>
        <v>42</v>
      </c>
      <c r="S200" s="188">
        <f t="shared" si="3"/>
        <v>1922</v>
      </c>
      <c r="T200" s="177">
        <f t="shared" ca="1" si="19"/>
        <v>24.285714285714285</v>
      </c>
      <c r="U200" s="209">
        <f t="shared" si="50"/>
        <v>161.00763304652065</v>
      </c>
      <c r="V200" s="179">
        <f t="shared" si="55"/>
        <v>0.15964446211072855</v>
      </c>
      <c r="W200" s="213">
        <f t="shared" si="56"/>
        <v>2.1175112347751002</v>
      </c>
      <c r="X200" s="214">
        <f t="shared" ca="1" si="57"/>
        <v>1.2224544430747666</v>
      </c>
      <c r="Y200" s="176">
        <f>DANE!W200</f>
        <v>4</v>
      </c>
      <c r="Z200" s="188">
        <f t="shared" si="4"/>
        <v>800</v>
      </c>
      <c r="AA200" s="177">
        <f t="shared" ca="1" si="20"/>
        <v>5.4285714285714288</v>
      </c>
      <c r="AB200" s="209">
        <f t="shared" si="94"/>
        <v>40.902924379801917</v>
      </c>
      <c r="AC200" s="179">
        <f t="shared" si="95"/>
        <v>-4.9949291075943883E-2</v>
      </c>
      <c r="AD200" s="213">
        <f t="shared" si="96"/>
        <v>0.65035496246839286</v>
      </c>
      <c r="AE200" s="217">
        <f t="shared" ca="1" si="97"/>
        <v>0.82057100029909447</v>
      </c>
      <c r="AF200" s="176">
        <f>DANE!AA200</f>
        <v>31</v>
      </c>
      <c r="AG200" s="188">
        <f t="shared" si="5"/>
        <v>5699</v>
      </c>
      <c r="AH200" s="177">
        <f t="shared" ca="1" si="21"/>
        <v>24</v>
      </c>
      <c r="AI200" s="209">
        <f t="shared" si="37"/>
        <v>177.68873767049791</v>
      </c>
      <c r="AJ200" s="179">
        <f t="shared" si="39"/>
        <v>3.8284429382132404E-2</v>
      </c>
      <c r="AK200" s="213">
        <f t="shared" si="40"/>
        <v>1.2679910056749268</v>
      </c>
      <c r="AL200" s="214">
        <f t="shared" ca="1" si="41"/>
        <v>0.93372911206257003</v>
      </c>
      <c r="AM200" s="176">
        <f>DANE!AE200</f>
        <v>111</v>
      </c>
      <c r="AN200" s="188">
        <f t="shared" si="6"/>
        <v>9077</v>
      </c>
      <c r="AO200" s="177">
        <f t="shared" ca="1" si="22"/>
        <v>93.857142857142861</v>
      </c>
      <c r="AP200" s="209">
        <f t="shared" si="49"/>
        <v>688.33575533037299</v>
      </c>
      <c r="AQ200" s="179">
        <f t="shared" si="51"/>
        <v>2.1939262465809836E-2</v>
      </c>
      <c r="AR200" s="213">
        <f t="shared" si="52"/>
        <v>1.1535748372606689</v>
      </c>
      <c r="AS200" s="217">
        <f t="shared" ca="1" si="53"/>
        <v>0.93274450068688863</v>
      </c>
      <c r="AT200" s="176">
        <f>DANE!AI200</f>
        <v>70</v>
      </c>
      <c r="AU200" s="188">
        <f t="shared" si="7"/>
        <v>10595</v>
      </c>
      <c r="AV200" s="177">
        <f t="shared" ca="1" si="23"/>
        <v>74.857142857142861</v>
      </c>
      <c r="AW200" s="209">
        <f t="shared" si="33"/>
        <v>530.13672542417612</v>
      </c>
      <c r="AX200" s="179">
        <f t="shared" si="34"/>
        <v>-1.2461117752454488E-2</v>
      </c>
      <c r="AY200" s="213">
        <f t="shared" si="35"/>
        <v>0.91277217573281855</v>
      </c>
      <c r="AZ200" s="214">
        <f t="shared" ca="1" si="36"/>
        <v>1.0022432502559389</v>
      </c>
      <c r="BA200" s="176">
        <f>DANE!AM200</f>
        <v>19</v>
      </c>
      <c r="BB200" s="188">
        <f t="shared" si="8"/>
        <v>1870</v>
      </c>
      <c r="BC200" s="177">
        <f t="shared" ca="1" si="24"/>
        <v>18.857142857142858</v>
      </c>
      <c r="BD200" s="209">
        <f t="shared" si="77"/>
        <v>118.85174928560625</v>
      </c>
      <c r="BE200" s="179">
        <f t="shared" si="80"/>
        <v>2.0241795341047485E-2</v>
      </c>
      <c r="BF200" s="213">
        <f t="shared" si="81"/>
        <v>1.1416925673873324</v>
      </c>
      <c r="BG200" s="217">
        <f t="shared" ca="1" si="82"/>
        <v>1.3581655769057797</v>
      </c>
      <c r="BH200" s="176">
        <f>DANE!AQ200</f>
        <v>34</v>
      </c>
      <c r="BI200" s="188">
        <f t="shared" si="9"/>
        <v>3014</v>
      </c>
      <c r="BJ200" s="177">
        <f t="shared" ca="1" si="25"/>
        <v>32.857142857142854</v>
      </c>
      <c r="BK200" s="209">
        <f t="shared" si="61"/>
        <v>236.93071402231939</v>
      </c>
      <c r="BL200" s="179">
        <f t="shared" si="63"/>
        <v>7.5274529242459298E-4</v>
      </c>
      <c r="BM200" s="213">
        <f t="shared" si="64"/>
        <v>1.0052692170469721</v>
      </c>
      <c r="BN200" s="214">
        <f t="shared" ca="1" si="65"/>
        <v>0.94358241693216427</v>
      </c>
      <c r="BO200" s="176">
        <f>DANE!AU200</f>
        <v>27</v>
      </c>
      <c r="BP200" s="188">
        <f t="shared" si="10"/>
        <v>1509</v>
      </c>
      <c r="BQ200" s="177">
        <f t="shared" ca="1" si="26"/>
        <v>16.714285714285715</v>
      </c>
      <c r="BR200" s="209">
        <f t="shared" si="78"/>
        <v>102.33909142431818</v>
      </c>
      <c r="BS200" s="179">
        <f t="shared" si="83"/>
        <v>0.164325445960049</v>
      </c>
      <c r="BT200" s="213">
        <f t="shared" si="84"/>
        <v>2.1502781217203433</v>
      </c>
      <c r="BU200" s="217">
        <f t="shared" ca="1" si="85"/>
        <v>1.3840659998371059</v>
      </c>
      <c r="BV200" s="176">
        <f>DANE!AY200</f>
        <v>53</v>
      </c>
      <c r="BW200" s="188">
        <f t="shared" si="11"/>
        <v>3221</v>
      </c>
      <c r="BX200" s="177">
        <f t="shared" ca="1" si="27"/>
        <v>49.285714285714285</v>
      </c>
      <c r="BY200" s="209">
        <f t="shared" si="69"/>
        <v>330.19067796495375</v>
      </c>
      <c r="BZ200" s="179">
        <f t="shared" si="71"/>
        <v>2.1032103931723386E-2</v>
      </c>
      <c r="CA200" s="213">
        <f t="shared" si="72"/>
        <v>1.1472247275220637</v>
      </c>
      <c r="CB200" s="214">
        <f t="shared" ca="1" si="73"/>
        <v>1.1229667813321129</v>
      </c>
      <c r="CC200" s="176">
        <f>DANE!BC200</f>
        <v>62</v>
      </c>
      <c r="CD200" s="188">
        <f t="shared" si="12"/>
        <v>21351</v>
      </c>
      <c r="CE200" s="177">
        <f t="shared" ca="1" si="28"/>
        <v>55.714285714285715</v>
      </c>
      <c r="CF200" s="209">
        <f t="shared" si="45"/>
        <v>414.76666265309677</v>
      </c>
      <c r="CG200" s="179">
        <f t="shared" si="46"/>
        <v>7.7887734638012714E-3</v>
      </c>
      <c r="CH200" s="213">
        <f t="shared" si="47"/>
        <v>1.0545214142466088</v>
      </c>
      <c r="CI200" s="217">
        <f t="shared" ca="1" si="48"/>
        <v>0.91904685507107853</v>
      </c>
      <c r="CJ200" s="176">
        <f>DANE!BG200</f>
        <v>8</v>
      </c>
      <c r="CK200" s="188">
        <f t="shared" si="13"/>
        <v>1679</v>
      </c>
      <c r="CL200" s="177">
        <f t="shared" ca="1" si="29"/>
        <v>15.428571428571429</v>
      </c>
      <c r="CM200" s="209">
        <f t="shared" si="79"/>
        <v>108.64341531764306</v>
      </c>
      <c r="CN200" s="179">
        <f t="shared" si="86"/>
        <v>-7.4724092766375608E-2</v>
      </c>
      <c r="CO200" s="213">
        <f t="shared" si="87"/>
        <v>0.47693135063537073</v>
      </c>
      <c r="CP200" s="214">
        <f t="shared" ca="1" si="88"/>
        <v>0.99813539068861989</v>
      </c>
      <c r="CQ200" s="176">
        <f>DANE!BK200</f>
        <v>13</v>
      </c>
      <c r="CR200" s="188">
        <f t="shared" si="14"/>
        <v>1111</v>
      </c>
      <c r="CS200" s="177">
        <f t="shared" ca="1" si="30"/>
        <v>13.857142857142858</v>
      </c>
      <c r="CT200" s="209">
        <f t="shared" si="89"/>
        <v>97.803292069779758</v>
      </c>
      <c r="CU200" s="179">
        <f t="shared" si="90"/>
        <v>-1.1460626626519007E-2</v>
      </c>
      <c r="CV200" s="213">
        <f t="shared" si="91"/>
        <v>0.91977561361436699</v>
      </c>
      <c r="CW200" s="217">
        <f t="shared" ca="1" si="92"/>
        <v>0.97880521557928124</v>
      </c>
      <c r="CX200" s="176">
        <f>DANE!BO200</f>
        <v>20</v>
      </c>
      <c r="CY200" s="188">
        <f t="shared" si="15"/>
        <v>6424</v>
      </c>
      <c r="CZ200" s="177">
        <f t="shared" ca="1" si="31"/>
        <v>46.714285714285715</v>
      </c>
      <c r="DA200" s="209">
        <f t="shared" si="54"/>
        <v>301.59877190971201</v>
      </c>
      <c r="DB200" s="179">
        <f t="shared" si="58"/>
        <v>-8.198025398934046E-2</v>
      </c>
      <c r="DC200" s="213">
        <f t="shared" si="59"/>
        <v>0.42613822207461671</v>
      </c>
      <c r="DD200" s="214">
        <f t="shared" ca="1" si="60"/>
        <v>0.93332029761941526</v>
      </c>
      <c r="DE200" s="176">
        <f>DANE!BS200</f>
        <v>24</v>
      </c>
      <c r="DF200" s="188">
        <f t="shared" si="16"/>
        <v>1286</v>
      </c>
      <c r="DG200" s="177">
        <f t="shared" ca="1" si="32"/>
        <v>11.857142857142858</v>
      </c>
      <c r="DH200" s="209">
        <f t="shared" si="70"/>
        <v>82.106710432305277</v>
      </c>
      <c r="DI200" s="179">
        <f t="shared" si="74"/>
        <v>0.21117130615296648</v>
      </c>
      <c r="DJ200" s="157">
        <f t="shared" si="75"/>
        <v>2.4781991430707655</v>
      </c>
      <c r="DK200" s="225">
        <f t="shared" ca="1" si="76"/>
        <v>1.2517911508982096</v>
      </c>
      <c r="DL200" s="146"/>
      <c r="DM200" s="88"/>
      <c r="DN200" s="88"/>
      <c r="DO200" s="88"/>
      <c r="DP200" s="88"/>
      <c r="DQ200" s="88"/>
      <c r="DR200" s="88"/>
      <c r="DS200" s="88"/>
      <c r="DT200" s="88"/>
      <c r="DU200" s="88"/>
      <c r="DV200" s="88"/>
      <c r="DW200" s="146"/>
      <c r="DX200" s="146"/>
      <c r="DY200" s="146"/>
      <c r="DZ200" s="146"/>
      <c r="EA200" s="146"/>
      <c r="EB200" s="146"/>
      <c r="EC200" s="146"/>
      <c r="ED200" s="146"/>
      <c r="EE200" s="146"/>
      <c r="EF200" s="146"/>
      <c r="EG200" s="146"/>
      <c r="EH200" s="146"/>
    </row>
    <row r="201" spans="1:138" x14ac:dyDescent="0.25">
      <c r="A201" s="32">
        <v>44091</v>
      </c>
      <c r="B201" s="33">
        <f t="shared" ca="1" si="0"/>
        <v>44091</v>
      </c>
      <c r="C201" s="51">
        <f t="shared" si="93"/>
        <v>198</v>
      </c>
      <c r="D201" s="176">
        <f>DANE!K201</f>
        <v>25</v>
      </c>
      <c r="E201" s="188">
        <f t="shared" si="1"/>
        <v>4513</v>
      </c>
      <c r="F201" s="178">
        <f t="shared" ca="1" si="17"/>
        <v>30.714285714285715</v>
      </c>
      <c r="G201" s="209">
        <f t="shared" si="38"/>
        <v>205.77784423000318</v>
      </c>
      <c r="H201" s="179">
        <f t="shared" si="42"/>
        <v>-2.4321757507000521E-2</v>
      </c>
      <c r="I201" s="213">
        <f t="shared" si="43"/>
        <v>0.8297476974509963</v>
      </c>
      <c r="J201" s="214">
        <f t="shared" ca="1" si="44"/>
        <v>1.2302279120744208</v>
      </c>
      <c r="K201" s="176">
        <f>DANE!O201</f>
        <v>15</v>
      </c>
      <c r="L201" s="188">
        <f t="shared" si="2"/>
        <v>1703</v>
      </c>
      <c r="M201" s="177">
        <f t="shared" ca="1" si="18"/>
        <v>26.571428571428573</v>
      </c>
      <c r="N201" s="209">
        <f t="shared" si="62"/>
        <v>161.54969778410003</v>
      </c>
      <c r="O201" s="179">
        <f t="shared" si="66"/>
        <v>-5.5124837355672175E-2</v>
      </c>
      <c r="P201" s="213">
        <f t="shared" si="67"/>
        <v>0.61412613851029474</v>
      </c>
      <c r="Q201" s="217">
        <f t="shared" ca="1" si="68"/>
        <v>1.2857098565706979</v>
      </c>
      <c r="R201" s="176">
        <f>DANE!S201</f>
        <v>3</v>
      </c>
      <c r="S201" s="188">
        <f t="shared" si="3"/>
        <v>1925</v>
      </c>
      <c r="T201" s="177">
        <f t="shared" ca="1" si="19"/>
        <v>21.714285714285715</v>
      </c>
      <c r="U201" s="209">
        <f t="shared" si="50"/>
        <v>141.00654261130342</v>
      </c>
      <c r="V201" s="179">
        <f t="shared" si="55"/>
        <v>-0.12422448586296671</v>
      </c>
      <c r="W201" s="213">
        <f t="shared" si="56"/>
        <v>0.13042859895923298</v>
      </c>
      <c r="X201" s="214">
        <f t="shared" ca="1" si="57"/>
        <v>1.0818500659662116</v>
      </c>
      <c r="Y201" s="176">
        <f>DANE!W201</f>
        <v>4</v>
      </c>
      <c r="Z201" s="188">
        <f t="shared" si="4"/>
        <v>804</v>
      </c>
      <c r="AA201" s="177">
        <f t="shared" ca="1" si="20"/>
        <v>5.1428571428571432</v>
      </c>
      <c r="AB201" s="209">
        <f t="shared" si="94"/>
        <v>39.059649468401645</v>
      </c>
      <c r="AC201" s="179">
        <f t="shared" si="95"/>
        <v>-4.5064624091046432E-2</v>
      </c>
      <c r="AD201" s="213">
        <f t="shared" si="96"/>
        <v>0.68454763136267494</v>
      </c>
      <c r="AE201" s="217">
        <f t="shared" ca="1" si="97"/>
        <v>0.79619497728266775</v>
      </c>
      <c r="AF201" s="176">
        <f>DANE!AA201</f>
        <v>41</v>
      </c>
      <c r="AG201" s="188">
        <f t="shared" si="5"/>
        <v>5740</v>
      </c>
      <c r="AH201" s="177">
        <f t="shared" ca="1" si="21"/>
        <v>28</v>
      </c>
      <c r="AI201" s="209">
        <f t="shared" si="37"/>
        <v>193.30463228899822</v>
      </c>
      <c r="AJ201" s="179">
        <f t="shared" si="39"/>
        <v>8.7883423694854967E-2</v>
      </c>
      <c r="AK201" s="213">
        <f t="shared" si="40"/>
        <v>1.6151839658639848</v>
      </c>
      <c r="AL201" s="214">
        <f t="shared" ca="1" si="41"/>
        <v>1.0965570720009215</v>
      </c>
      <c r="AM201" s="176">
        <f>DANE!AE201</f>
        <v>124</v>
      </c>
      <c r="AN201" s="188">
        <f t="shared" si="6"/>
        <v>9201</v>
      </c>
      <c r="AO201" s="177">
        <f t="shared" ca="1" si="22"/>
        <v>97.428571428571431</v>
      </c>
      <c r="AP201" s="209">
        <f t="shared" si="49"/>
        <v>714.00207599746261</v>
      </c>
      <c r="AQ201" s="179">
        <f t="shared" si="51"/>
        <v>3.7287501729110148E-2</v>
      </c>
      <c r="AR201" s="213">
        <f t="shared" si="52"/>
        <v>1.261012512103771</v>
      </c>
      <c r="AS201" s="217">
        <f t="shared" ca="1" si="53"/>
        <v>0.97912928102036834</v>
      </c>
      <c r="AT201" s="176">
        <f>DANE!AI201</f>
        <v>168</v>
      </c>
      <c r="AU201" s="188">
        <f t="shared" si="7"/>
        <v>10763</v>
      </c>
      <c r="AV201" s="177">
        <f t="shared" ca="1" si="23"/>
        <v>89.142857142857139</v>
      </c>
      <c r="AW201" s="209">
        <f t="shared" si="33"/>
        <v>622.40290750643669</v>
      </c>
      <c r="AX201" s="179">
        <f t="shared" si="34"/>
        <v>0.17404223789332085</v>
      </c>
      <c r="AY201" s="213">
        <f t="shared" si="35"/>
        <v>2.2182956652532457</v>
      </c>
      <c r="AZ201" s="214">
        <f t="shared" ca="1" si="36"/>
        <v>1.1908668853055853</v>
      </c>
      <c r="BA201" s="176">
        <f>DANE!AM201</f>
        <v>19</v>
      </c>
      <c r="BB201" s="188">
        <f t="shared" si="8"/>
        <v>1889</v>
      </c>
      <c r="BC201" s="177">
        <f t="shared" ca="1" si="24"/>
        <v>18.142857142857142</v>
      </c>
      <c r="BD201" s="209">
        <f t="shared" si="77"/>
        <v>120.87292795909107</v>
      </c>
      <c r="BE201" s="179">
        <f t="shared" si="80"/>
        <v>1.7005880734896381E-2</v>
      </c>
      <c r="BF201" s="213">
        <f t="shared" si="81"/>
        <v>1.1190411651442747</v>
      </c>
      <c r="BG201" s="217">
        <f t="shared" ca="1" si="82"/>
        <v>1.2379147417587184</v>
      </c>
      <c r="BH201" s="176">
        <f>DANE!AQ201</f>
        <v>41</v>
      </c>
      <c r="BI201" s="188">
        <f t="shared" si="9"/>
        <v>3055</v>
      </c>
      <c r="BJ201" s="177">
        <f t="shared" ca="1" si="25"/>
        <v>36.285714285714285</v>
      </c>
      <c r="BK201" s="209">
        <f t="shared" si="61"/>
        <v>244.08346916198806</v>
      </c>
      <c r="BL201" s="179">
        <f t="shared" si="63"/>
        <v>3.0189227129897838E-2</v>
      </c>
      <c r="BM201" s="213">
        <f t="shared" si="64"/>
        <v>1.2113245899092848</v>
      </c>
      <c r="BN201" s="214">
        <f t="shared" ca="1" si="65"/>
        <v>1.0492860760055507</v>
      </c>
      <c r="BO201" s="176">
        <f>DANE!AU201</f>
        <v>23</v>
      </c>
      <c r="BP201" s="188">
        <f t="shared" si="10"/>
        <v>1532</v>
      </c>
      <c r="BQ201" s="177">
        <f t="shared" ca="1" si="26"/>
        <v>17.714285714285715</v>
      </c>
      <c r="BR201" s="209">
        <f t="shared" si="78"/>
        <v>110.71922122084416</v>
      </c>
      <c r="BS201" s="179">
        <f t="shared" si="83"/>
        <v>8.1885911628629737E-2</v>
      </c>
      <c r="BT201" s="213">
        <f t="shared" si="84"/>
        <v>1.5732013814004082</v>
      </c>
      <c r="BU201" s="217">
        <f t="shared" ca="1" si="85"/>
        <v>1.3913973394232464</v>
      </c>
      <c r="BV201" s="176">
        <f>DANE!AY201</f>
        <v>134</v>
      </c>
      <c r="BW201" s="188">
        <f t="shared" si="11"/>
        <v>3355</v>
      </c>
      <c r="BX201" s="177">
        <f t="shared" ca="1" si="27"/>
        <v>63.857142857142854</v>
      </c>
      <c r="BY201" s="209">
        <f t="shared" si="69"/>
        <v>417.02058111281752</v>
      </c>
      <c r="BZ201" s="179">
        <f t="shared" si="71"/>
        <v>0.26296897199829444</v>
      </c>
      <c r="CA201" s="213">
        <f t="shared" si="72"/>
        <v>2.8407828039880609</v>
      </c>
      <c r="CB201" s="214">
        <f t="shared" ca="1" si="73"/>
        <v>1.4202799565571385</v>
      </c>
      <c r="CC201" s="176">
        <f>DANE!BC201</f>
        <v>64</v>
      </c>
      <c r="CD201" s="188">
        <f t="shared" si="12"/>
        <v>21415</v>
      </c>
      <c r="CE201" s="177">
        <f t="shared" ca="1" si="28"/>
        <v>57.571428571428569</v>
      </c>
      <c r="CF201" s="209">
        <f t="shared" si="45"/>
        <v>419.51428227408297</v>
      </c>
      <c r="CG201" s="179">
        <f t="shared" si="46"/>
        <v>1.1446483163853074E-2</v>
      </c>
      <c r="CH201" s="213">
        <f t="shared" si="47"/>
        <v>1.0801253821469716</v>
      </c>
      <c r="CI201" s="217">
        <f t="shared" ca="1" si="48"/>
        <v>0.96025023391704334</v>
      </c>
      <c r="CJ201" s="176">
        <f>DANE!BG201</f>
        <v>32</v>
      </c>
      <c r="CK201" s="188">
        <f t="shared" si="13"/>
        <v>1711</v>
      </c>
      <c r="CL201" s="177">
        <f t="shared" ca="1" si="29"/>
        <v>17.428571428571427</v>
      </c>
      <c r="CM201" s="209">
        <f t="shared" si="79"/>
        <v>125.12292741512263</v>
      </c>
      <c r="CN201" s="179">
        <f t="shared" si="86"/>
        <v>0.15168440764953928</v>
      </c>
      <c r="CO201" s="213">
        <f t="shared" si="87"/>
        <v>2.0617908535467748</v>
      </c>
      <c r="CP201" s="214">
        <f t="shared" ca="1" si="88"/>
        <v>1.1315702699229451</v>
      </c>
      <c r="CQ201" s="176">
        <f>DANE!BK201</f>
        <v>29</v>
      </c>
      <c r="CR201" s="188">
        <f t="shared" si="14"/>
        <v>1140</v>
      </c>
      <c r="CS201" s="177">
        <f t="shared" ca="1" si="30"/>
        <v>16.142857142857142</v>
      </c>
      <c r="CT201" s="209">
        <f t="shared" si="89"/>
        <v>112.83139320266837</v>
      </c>
      <c r="CU201" s="179">
        <f t="shared" si="90"/>
        <v>0.1536563935104199</v>
      </c>
      <c r="CV201" s="213">
        <f t="shared" si="91"/>
        <v>2.0755947545729394</v>
      </c>
      <c r="CW201" s="217">
        <f t="shared" ca="1" si="92"/>
        <v>1.14690168696551</v>
      </c>
      <c r="CX201" s="176">
        <f>DANE!BO201</f>
        <v>74</v>
      </c>
      <c r="CY201" s="188">
        <f t="shared" si="15"/>
        <v>6498</v>
      </c>
      <c r="CZ201" s="177">
        <f t="shared" ca="1" si="31"/>
        <v>46.428571428571431</v>
      </c>
      <c r="DA201" s="209">
        <f t="shared" si="54"/>
        <v>332.51323306546743</v>
      </c>
      <c r="DB201" s="179">
        <f t="shared" si="58"/>
        <v>0.10250194641047847</v>
      </c>
      <c r="DC201" s="213">
        <f t="shared" si="59"/>
        <v>1.7175136248733494</v>
      </c>
      <c r="DD201" s="214">
        <f t="shared" ca="1" si="60"/>
        <v>0.94642502777728432</v>
      </c>
      <c r="DE201" s="176">
        <f>DANE!BS201</f>
        <v>41</v>
      </c>
      <c r="DF201" s="188">
        <f t="shared" si="16"/>
        <v>1327</v>
      </c>
      <c r="DG201" s="177">
        <f t="shared" ca="1" si="32"/>
        <v>16</v>
      </c>
      <c r="DH201" s="209">
        <f t="shared" si="70"/>
        <v>111.37718037054739</v>
      </c>
      <c r="DI201" s="179">
        <f t="shared" si="74"/>
        <v>0.35649302942631972</v>
      </c>
      <c r="DJ201" s="157">
        <f t="shared" si="75"/>
        <v>3.4954512059842382</v>
      </c>
      <c r="DK201" s="225">
        <f t="shared" ca="1" si="76"/>
        <v>1.5711859555297487</v>
      </c>
      <c r="DL201" s="146"/>
      <c r="DM201" s="371"/>
      <c r="DN201" s="372"/>
      <c r="DO201" s="372"/>
      <c r="DP201" s="372"/>
      <c r="DQ201" s="372"/>
      <c r="DR201" s="372"/>
      <c r="DS201" s="372"/>
      <c r="DT201" s="372"/>
      <c r="DU201" s="372"/>
      <c r="DV201" s="372"/>
      <c r="DW201" s="146"/>
      <c r="DX201" s="146"/>
      <c r="DY201" s="146"/>
      <c r="DZ201" s="146"/>
      <c r="EA201" s="146"/>
      <c r="EB201" s="146"/>
      <c r="EC201" s="146"/>
      <c r="ED201" s="146"/>
      <c r="EE201" s="146"/>
      <c r="EF201" s="146"/>
      <c r="EG201" s="146"/>
      <c r="EH201" s="146"/>
    </row>
    <row r="202" spans="1:138" x14ac:dyDescent="0.25">
      <c r="A202" s="32">
        <v>44092</v>
      </c>
      <c r="B202" s="33">
        <f t="shared" ca="1" si="0"/>
        <v>44092</v>
      </c>
      <c r="C202" s="51">
        <f t="shared" si="93"/>
        <v>199</v>
      </c>
      <c r="D202" s="176">
        <f>DANE!K202</f>
        <v>37</v>
      </c>
      <c r="E202" s="188">
        <f t="shared" si="1"/>
        <v>4550</v>
      </c>
      <c r="F202" s="178">
        <f t="shared" ca="1" si="17"/>
        <v>29.285714285714285</v>
      </c>
      <c r="G202" s="209">
        <f t="shared" si="38"/>
        <v>213.38100934000275</v>
      </c>
      <c r="H202" s="179">
        <f t="shared" si="42"/>
        <v>3.6948414628648327E-2</v>
      </c>
      <c r="I202" s="213">
        <f t="shared" si="43"/>
        <v>1.2586389024005382</v>
      </c>
      <c r="J202" s="214">
        <f t="shared" ca="1" si="44"/>
        <v>1.1363691009389929</v>
      </c>
      <c r="K202" s="176">
        <f>DANE!O202</f>
        <v>42</v>
      </c>
      <c r="L202" s="188">
        <f t="shared" si="2"/>
        <v>1745</v>
      </c>
      <c r="M202" s="177">
        <f t="shared" ca="1" si="18"/>
        <v>30.428571428571427</v>
      </c>
      <c r="N202" s="209">
        <f t="shared" si="62"/>
        <v>180.4711695292286</v>
      </c>
      <c r="O202" s="179">
        <f t="shared" si="66"/>
        <v>0.11712477339583641</v>
      </c>
      <c r="P202" s="213">
        <f t="shared" si="67"/>
        <v>1.8198734137708548</v>
      </c>
      <c r="Q202" s="217">
        <f t="shared" ca="1" si="68"/>
        <v>1.4271300712879673</v>
      </c>
      <c r="R202" s="176">
        <f>DANE!S202</f>
        <v>39</v>
      </c>
      <c r="S202" s="188">
        <f t="shared" si="3"/>
        <v>1964</v>
      </c>
      <c r="T202" s="177">
        <f t="shared" ca="1" si="19"/>
        <v>23.571428571428573</v>
      </c>
      <c r="U202" s="209">
        <f t="shared" si="50"/>
        <v>159.86275080968863</v>
      </c>
      <c r="V202" s="179">
        <f t="shared" si="55"/>
        <v>0.13372576796215738</v>
      </c>
      <c r="W202" s="213">
        <f t="shared" si="56"/>
        <v>1.9360803757351017</v>
      </c>
      <c r="X202" s="214">
        <f t="shared" ca="1" si="57"/>
        <v>1.164459625532577</v>
      </c>
      <c r="Y202" s="176">
        <f>DANE!W202</f>
        <v>15</v>
      </c>
      <c r="Z202" s="188">
        <f t="shared" si="4"/>
        <v>819</v>
      </c>
      <c r="AA202" s="177">
        <f t="shared" ca="1" si="20"/>
        <v>6.5714285714285712</v>
      </c>
      <c r="AB202" s="209">
        <f t="shared" si="94"/>
        <v>48.479699544344271</v>
      </c>
      <c r="AC202" s="179">
        <f t="shared" si="95"/>
        <v>0.24117088105368761</v>
      </c>
      <c r="AD202" s="213">
        <f t="shared" si="96"/>
        <v>2.6881961673758132</v>
      </c>
      <c r="AE202" s="217">
        <f t="shared" ca="1" si="97"/>
        <v>1.0762651403294075</v>
      </c>
      <c r="AF202" s="176">
        <f>DANE!AA202</f>
        <v>77</v>
      </c>
      <c r="AG202" s="188">
        <f t="shared" si="5"/>
        <v>5817</v>
      </c>
      <c r="AH202" s="177">
        <f t="shared" ca="1" si="21"/>
        <v>35</v>
      </c>
      <c r="AI202" s="209">
        <f t="shared" si="37"/>
        <v>242.68968481914135</v>
      </c>
      <c r="AJ202" s="179">
        <f t="shared" si="39"/>
        <v>0.25547785350694796</v>
      </c>
      <c r="AK202" s="213">
        <f t="shared" si="40"/>
        <v>2.7883449745486359</v>
      </c>
      <c r="AL202" s="214">
        <f t="shared" ca="1" si="41"/>
        <v>1.336768245217721</v>
      </c>
      <c r="AM202" s="176">
        <f>DANE!AE202</f>
        <v>92</v>
      </c>
      <c r="AN202" s="188">
        <f t="shared" si="6"/>
        <v>9293</v>
      </c>
      <c r="AO202" s="177">
        <f t="shared" ca="1" si="22"/>
        <v>94</v>
      </c>
      <c r="AP202" s="209">
        <f t="shared" si="49"/>
        <v>704.00177942639652</v>
      </c>
      <c r="AQ202" s="179">
        <f t="shared" si="51"/>
        <v>-1.4005976883324393E-2</v>
      </c>
      <c r="AR202" s="213">
        <f t="shared" si="52"/>
        <v>0.90195816181672928</v>
      </c>
      <c r="AS202" s="217">
        <f t="shared" ca="1" si="53"/>
        <v>0.94981282221383645</v>
      </c>
      <c r="AT202" s="176">
        <f>DANE!AI202</f>
        <v>88</v>
      </c>
      <c r="AU202" s="188">
        <f t="shared" si="7"/>
        <v>10851</v>
      </c>
      <c r="AV202" s="177">
        <f t="shared" ca="1" si="23"/>
        <v>90.571428571428569</v>
      </c>
      <c r="AW202" s="209">
        <f t="shared" si="33"/>
        <v>621.48820643408862</v>
      </c>
      <c r="AX202" s="179">
        <f t="shared" si="34"/>
        <v>-1.4696285337301492E-3</v>
      </c>
      <c r="AY202" s="213">
        <f t="shared" si="35"/>
        <v>0.98971260026388896</v>
      </c>
      <c r="AZ202" s="214">
        <f t="shared" ca="1" si="36"/>
        <v>1.1829373220679205</v>
      </c>
      <c r="BA202" s="176">
        <f>DANE!AM202</f>
        <v>19</v>
      </c>
      <c r="BB202" s="188">
        <f t="shared" si="8"/>
        <v>1908</v>
      </c>
      <c r="BC202" s="177">
        <f t="shared" ca="1" si="24"/>
        <v>18.571428571428573</v>
      </c>
      <c r="BD202" s="209">
        <f t="shared" si="77"/>
        <v>122.60536682207807</v>
      </c>
      <c r="BE202" s="179">
        <f t="shared" si="80"/>
        <v>1.4332728529363766E-2</v>
      </c>
      <c r="BF202" s="213">
        <f t="shared" si="81"/>
        <v>1.1003290997055464</v>
      </c>
      <c r="BG202" s="217">
        <f t="shared" ca="1" si="82"/>
        <v>1.2309001992386317</v>
      </c>
      <c r="BH202" s="176">
        <f>DANE!AQ202</f>
        <v>47</v>
      </c>
      <c r="BI202" s="188">
        <f t="shared" si="9"/>
        <v>3102</v>
      </c>
      <c r="BJ202" s="177">
        <f t="shared" ca="1" si="25"/>
        <v>36.428571428571431</v>
      </c>
      <c r="BK202" s="209">
        <f t="shared" si="61"/>
        <v>256.21440213884694</v>
      </c>
      <c r="BL202" s="179">
        <f t="shared" si="63"/>
        <v>4.9699936740935438E-2</v>
      </c>
      <c r="BM202" s="213">
        <f t="shared" si="64"/>
        <v>1.347899557186548</v>
      </c>
      <c r="BN202" s="214">
        <f t="shared" ca="1" si="65"/>
        <v>1.04473737120123</v>
      </c>
      <c r="BO202" s="176">
        <f>DANE!AU202</f>
        <v>15</v>
      </c>
      <c r="BP202" s="188">
        <f t="shared" si="10"/>
        <v>1547</v>
      </c>
      <c r="BQ202" s="177">
        <f t="shared" ca="1" si="26"/>
        <v>15.142857142857142</v>
      </c>
      <c r="BR202" s="209">
        <f t="shared" si="78"/>
        <v>109.90218961786643</v>
      </c>
      <c r="BS202" s="179">
        <f t="shared" si="83"/>
        <v>-7.3793113243459107E-3</v>
      </c>
      <c r="BT202" s="213">
        <f t="shared" si="84"/>
        <v>0.9483448207295786</v>
      </c>
      <c r="BU202" s="217">
        <f t="shared" ca="1" si="85"/>
        <v>1.109575134599434</v>
      </c>
      <c r="BV202" s="176">
        <f>DANE!AY202</f>
        <v>73</v>
      </c>
      <c r="BW202" s="188">
        <f t="shared" si="11"/>
        <v>3428</v>
      </c>
      <c r="BX202" s="177">
        <f t="shared" ca="1" si="27"/>
        <v>68.714285714285708</v>
      </c>
      <c r="BY202" s="209">
        <f t="shared" si="69"/>
        <v>430.44621238241507</v>
      </c>
      <c r="BZ202" s="179">
        <f t="shared" si="71"/>
        <v>3.2194169491038808E-2</v>
      </c>
      <c r="CA202" s="213">
        <f t="shared" si="72"/>
        <v>1.2253591864372717</v>
      </c>
      <c r="CB202" s="214">
        <f t="shared" ca="1" si="73"/>
        <v>1.458377557638348</v>
      </c>
      <c r="CC202" s="176">
        <f>DANE!BC202</f>
        <v>65</v>
      </c>
      <c r="CD202" s="188">
        <f t="shared" si="12"/>
        <v>21480</v>
      </c>
      <c r="CE202" s="177">
        <f t="shared" ca="1" si="28"/>
        <v>60.428571428571431</v>
      </c>
      <c r="CF202" s="209">
        <f t="shared" si="45"/>
        <v>424.58367052064256</v>
      </c>
      <c r="CG202" s="179">
        <f t="shared" si="46"/>
        <v>1.2083946746889488E-2</v>
      </c>
      <c r="CH202" s="213">
        <f t="shared" si="47"/>
        <v>1.0845876272282264</v>
      </c>
      <c r="CI202" s="217">
        <f t="shared" ca="1" si="48"/>
        <v>1.0123363428481307</v>
      </c>
      <c r="CJ202" s="176">
        <f>DANE!BG202</f>
        <v>27</v>
      </c>
      <c r="CK202" s="188">
        <f t="shared" si="13"/>
        <v>1738</v>
      </c>
      <c r="CL202" s="177">
        <f t="shared" ca="1" si="29"/>
        <v>19.142857142857142</v>
      </c>
      <c r="CM202" s="209">
        <f t="shared" si="79"/>
        <v>134.24822349867657</v>
      </c>
      <c r="CN202" s="179">
        <f t="shared" si="86"/>
        <v>7.2930647260823531E-2</v>
      </c>
      <c r="CO202" s="213">
        <f t="shared" si="87"/>
        <v>1.5105145308257648</v>
      </c>
      <c r="CP202" s="214">
        <f t="shared" ca="1" si="88"/>
        <v>1.2155086894818268</v>
      </c>
      <c r="CQ202" s="176">
        <f>DANE!BK202</f>
        <v>26</v>
      </c>
      <c r="CR202" s="188">
        <f t="shared" si="14"/>
        <v>1166</v>
      </c>
      <c r="CS202" s="177">
        <f t="shared" ca="1" si="30"/>
        <v>17.428571428571427</v>
      </c>
      <c r="CT202" s="209">
        <f t="shared" si="89"/>
        <v>122.71262274514432</v>
      </c>
      <c r="CU202" s="179">
        <f t="shared" si="90"/>
        <v>8.7575179761604394E-2</v>
      </c>
      <c r="CV202" s="213">
        <f t="shared" si="91"/>
        <v>1.6130262583312307</v>
      </c>
      <c r="CW202" s="217">
        <f t="shared" ca="1" si="92"/>
        <v>1.2069435500264336</v>
      </c>
      <c r="CX202" s="176">
        <f>DANE!BO202</f>
        <v>75</v>
      </c>
      <c r="CY202" s="188">
        <f t="shared" si="15"/>
        <v>6573</v>
      </c>
      <c r="CZ202" s="177">
        <f t="shared" ca="1" si="31"/>
        <v>49</v>
      </c>
      <c r="DA202" s="209">
        <f t="shared" si="54"/>
        <v>360.01134262754351</v>
      </c>
      <c r="DB202" s="179">
        <f t="shared" si="58"/>
        <v>8.2697790125730336E-2</v>
      </c>
      <c r="DC202" s="213">
        <f t="shared" si="59"/>
        <v>1.5788845308801123</v>
      </c>
      <c r="DD202" s="214">
        <f t="shared" ca="1" si="60"/>
        <v>1.0120834907365706</v>
      </c>
      <c r="DE202" s="176">
        <f>DANE!BS202</f>
        <v>20</v>
      </c>
      <c r="DF202" s="188">
        <f t="shared" si="16"/>
        <v>1347</v>
      </c>
      <c r="DG202" s="177">
        <f t="shared" ca="1" si="32"/>
        <v>17.285714285714285</v>
      </c>
      <c r="DH202" s="209">
        <f t="shared" si="70"/>
        <v>115.46615460332634</v>
      </c>
      <c r="DI202" s="179">
        <f t="shared" si="74"/>
        <v>3.6712854636605986E-2</v>
      </c>
      <c r="DJ202" s="157">
        <f t="shared" si="75"/>
        <v>1.256989982456242</v>
      </c>
      <c r="DK202" s="225">
        <f t="shared" ca="1" si="76"/>
        <v>1.5916976468086692</v>
      </c>
      <c r="DL202" s="146"/>
      <c r="DM202" s="371"/>
      <c r="DN202" s="372"/>
      <c r="DO202" s="372"/>
      <c r="DP202" s="372"/>
      <c r="DQ202" s="372"/>
      <c r="DR202" s="372"/>
      <c r="DS202" s="372"/>
      <c r="DT202" s="372"/>
      <c r="DU202" s="372"/>
      <c r="DV202" s="372"/>
      <c r="DW202" s="146"/>
      <c r="DX202" s="146"/>
      <c r="DY202" s="146"/>
      <c r="DZ202" s="146"/>
      <c r="EA202" s="146"/>
      <c r="EB202" s="146"/>
      <c r="EC202" s="146"/>
      <c r="ED202" s="146"/>
      <c r="EE202" s="146"/>
      <c r="EF202" s="146"/>
      <c r="EG202" s="146"/>
      <c r="EH202" s="146"/>
    </row>
    <row r="203" spans="1:138" x14ac:dyDescent="0.25">
      <c r="A203" s="61">
        <v>44093</v>
      </c>
      <c r="B203" s="62">
        <f t="shared" ca="1" si="0"/>
        <v>44093</v>
      </c>
      <c r="C203" s="12">
        <f t="shared" si="93"/>
        <v>200</v>
      </c>
      <c r="D203" s="176">
        <f>DANE!K203</f>
        <v>83</v>
      </c>
      <c r="E203" s="198">
        <f t="shared" si="1"/>
        <v>4633</v>
      </c>
      <c r="F203" s="178">
        <f t="shared" ca="1" si="17"/>
        <v>39.571428571428569</v>
      </c>
      <c r="G203" s="211">
        <f t="shared" si="38"/>
        <v>265.89800800571663</v>
      </c>
      <c r="H203" s="200">
        <f t="shared" si="42"/>
        <v>0.2461184283838162</v>
      </c>
      <c r="I203" s="213">
        <f t="shared" si="43"/>
        <v>2.7228289986867136</v>
      </c>
      <c r="J203" s="214">
        <f t="shared" ca="1" si="44"/>
        <v>1.4687045074459764</v>
      </c>
      <c r="K203" s="176">
        <f>DANE!O203</f>
        <v>35</v>
      </c>
      <c r="L203" s="198">
        <f t="shared" si="2"/>
        <v>1780</v>
      </c>
      <c r="M203" s="177">
        <f t="shared" ca="1" si="18"/>
        <v>27.714285714285715</v>
      </c>
      <c r="N203" s="211">
        <f t="shared" si="62"/>
        <v>189.68957388219596</v>
      </c>
      <c r="O203" s="200">
        <f t="shared" si="66"/>
        <v>5.1079650988100724E-2</v>
      </c>
      <c r="P203" s="213">
        <f t="shared" si="67"/>
        <v>1.3575575569167051</v>
      </c>
      <c r="Q203" s="217">
        <f t="shared" ca="1" si="68"/>
        <v>1.1836166946567945</v>
      </c>
      <c r="R203" s="176">
        <f>DANE!S203</f>
        <v>122</v>
      </c>
      <c r="S203" s="198">
        <f t="shared" si="3"/>
        <v>2086</v>
      </c>
      <c r="T203" s="177">
        <f t="shared" ca="1" si="19"/>
        <v>36.857142857142854</v>
      </c>
      <c r="U203" s="211">
        <f t="shared" si="50"/>
        <v>259.02521497973316</v>
      </c>
      <c r="V203" s="200">
        <f t="shared" si="55"/>
        <v>0.62029749687026337</v>
      </c>
      <c r="W203" s="213">
        <f t="shared" si="56"/>
        <v>5.3420824780918439</v>
      </c>
      <c r="X203" s="214">
        <f t="shared" ca="1" si="57"/>
        <v>1.7217807997934773</v>
      </c>
      <c r="Y203" s="176">
        <f>DANE!W203</f>
        <v>8</v>
      </c>
      <c r="Z203" s="198">
        <f t="shared" si="4"/>
        <v>827</v>
      </c>
      <c r="AA203" s="177">
        <f t="shared" ca="1" si="20"/>
        <v>6.7142857142857144</v>
      </c>
      <c r="AB203" s="211">
        <f t="shared" si="94"/>
        <v>49.554028180866524</v>
      </c>
      <c r="AC203" s="200">
        <f t="shared" si="95"/>
        <v>2.2160381492042192E-2</v>
      </c>
      <c r="AD203" s="213">
        <f t="shared" si="96"/>
        <v>1.1551226704442954</v>
      </c>
      <c r="AE203" s="217">
        <f t="shared" ca="1" si="97"/>
        <v>1.0898510795357386</v>
      </c>
      <c r="AF203" s="176">
        <f>DANE!AA203</f>
        <v>61</v>
      </c>
      <c r="AG203" s="198">
        <f t="shared" si="5"/>
        <v>5878</v>
      </c>
      <c r="AH203" s="177">
        <f t="shared" ca="1" si="21"/>
        <v>38.428571428571431</v>
      </c>
      <c r="AI203" s="211">
        <f t="shared" si="37"/>
        <v>269.01972984497831</v>
      </c>
      <c r="AJ203" s="200">
        <f t="shared" si="39"/>
        <v>0.10849264172665105</v>
      </c>
      <c r="AK203" s="213">
        <f t="shared" si="40"/>
        <v>1.7594484920865574</v>
      </c>
      <c r="AL203" s="214">
        <f t="shared" ca="1" si="41"/>
        <v>1.3823106869754558</v>
      </c>
      <c r="AM203" s="176">
        <f>DANE!AE203</f>
        <v>149</v>
      </c>
      <c r="AN203" s="198">
        <f t="shared" si="6"/>
        <v>9442</v>
      </c>
      <c r="AO203" s="177">
        <f t="shared" ca="1" si="22"/>
        <v>102</v>
      </c>
      <c r="AP203" s="211">
        <f t="shared" si="49"/>
        <v>752.43009665119712</v>
      </c>
      <c r="AQ203" s="200">
        <f t="shared" si="51"/>
        <v>6.8790049457344848E-2</v>
      </c>
      <c r="AR203" s="213">
        <f t="shared" si="52"/>
        <v>1.481530346201414</v>
      </c>
      <c r="AS203" s="217">
        <f t="shared" ca="1" si="53"/>
        <v>1.0365654085104412</v>
      </c>
      <c r="AT203" s="176">
        <f>DANE!AI203</f>
        <v>88</v>
      </c>
      <c r="AU203" s="198">
        <f t="shared" si="7"/>
        <v>10939</v>
      </c>
      <c r="AV203" s="177">
        <f t="shared" ca="1" si="23"/>
        <v>94</v>
      </c>
      <c r="AW203" s="211">
        <f t="shared" si="33"/>
        <v>620.70417694350454</v>
      </c>
      <c r="AX203" s="200">
        <f t="shared" si="34"/>
        <v>-1.2615355890381466E-3</v>
      </c>
      <c r="AY203" s="213">
        <f t="shared" si="35"/>
        <v>0.99116925087673302</v>
      </c>
      <c r="AZ203" s="214">
        <f t="shared" ca="1" si="36"/>
        <v>1.2028027220661139</v>
      </c>
      <c r="BA203" s="176">
        <f>DANE!AM203</f>
        <v>35</v>
      </c>
      <c r="BB203" s="198">
        <f t="shared" si="8"/>
        <v>1943</v>
      </c>
      <c r="BC203" s="177">
        <f t="shared" ca="1" si="24"/>
        <v>21.571428571428573</v>
      </c>
      <c r="BD203" s="211">
        <f t="shared" si="77"/>
        <v>140.09031441892407</v>
      </c>
      <c r="BE203" s="200">
        <f t="shared" si="80"/>
        <v>0.14261160053637562</v>
      </c>
      <c r="BF203" s="213">
        <f t="shared" si="81"/>
        <v>1.9982812037546294</v>
      </c>
      <c r="BG203" s="217">
        <f t="shared" ca="1" si="82"/>
        <v>1.3756931252672724</v>
      </c>
      <c r="BH203" s="176">
        <f>DANE!AQ203</f>
        <v>69</v>
      </c>
      <c r="BI203" s="198">
        <f t="shared" si="9"/>
        <v>3171</v>
      </c>
      <c r="BJ203" s="177">
        <f t="shared" ca="1" si="25"/>
        <v>40.714285714285715</v>
      </c>
      <c r="BK203" s="211">
        <f t="shared" si="61"/>
        <v>288.61234469044024</v>
      </c>
      <c r="BL203" s="200">
        <f t="shared" si="63"/>
        <v>0.12644856136555629</v>
      </c>
      <c r="BM203" s="213">
        <f t="shared" si="64"/>
        <v>1.885139929558894</v>
      </c>
      <c r="BN203" s="214">
        <f t="shared" ca="1" si="65"/>
        <v>1.1555307289802674</v>
      </c>
      <c r="BO203" s="176">
        <f>DANE!AU203</f>
        <v>24</v>
      </c>
      <c r="BP203" s="198">
        <f t="shared" si="10"/>
        <v>1571</v>
      </c>
      <c r="BQ203" s="177">
        <f t="shared" ca="1" si="26"/>
        <v>17.857142857142858</v>
      </c>
      <c r="BR203" s="211">
        <f t="shared" si="78"/>
        <v>118.20187681531408</v>
      </c>
      <c r="BS203" s="200">
        <f t="shared" si="83"/>
        <v>7.5518852047497351E-2</v>
      </c>
      <c r="BT203" s="213">
        <f t="shared" si="84"/>
        <v>1.5286319643324815</v>
      </c>
      <c r="BU203" s="217">
        <f t="shared" ca="1" si="85"/>
        <v>1.2783394297108921</v>
      </c>
      <c r="BV203" s="176">
        <f>DANE!AY203</f>
        <v>96</v>
      </c>
      <c r="BW203" s="198">
        <f t="shared" si="11"/>
        <v>3524</v>
      </c>
      <c r="BX203" s="177">
        <f t="shared" ca="1" si="27"/>
        <v>71.142857142857139</v>
      </c>
      <c r="BY203" s="211">
        <f t="shared" si="69"/>
        <v>464.95389632778438</v>
      </c>
      <c r="BZ203" s="200">
        <f t="shared" si="71"/>
        <v>8.0167237979346301E-2</v>
      </c>
      <c r="CA203" s="213">
        <f t="shared" si="72"/>
        <v>1.5611706658554243</v>
      </c>
      <c r="CB203" s="214">
        <f t="shared" ca="1" si="73"/>
        <v>1.4023354322902948</v>
      </c>
      <c r="CC203" s="176">
        <f>DANE!BC203</f>
        <v>64</v>
      </c>
      <c r="CD203" s="198">
        <f t="shared" si="12"/>
        <v>21544</v>
      </c>
      <c r="CE203" s="177">
        <f t="shared" ca="1" si="28"/>
        <v>59.285714285714285</v>
      </c>
      <c r="CF203" s="211">
        <f t="shared" si="45"/>
        <v>427.92886044626505</v>
      </c>
      <c r="CG203" s="200">
        <f t="shared" si="46"/>
        <v>7.8787531360320039E-3</v>
      </c>
      <c r="CH203" s="213">
        <f t="shared" si="47"/>
        <v>1.055151271952224</v>
      </c>
      <c r="CI203" s="217">
        <f t="shared" ca="1" si="48"/>
        <v>0.99164688495598963</v>
      </c>
      <c r="CJ203" s="176">
        <f>DANE!BG203</f>
        <v>21</v>
      </c>
      <c r="CK203" s="198">
        <f t="shared" si="13"/>
        <v>1759</v>
      </c>
      <c r="CL203" s="177">
        <f t="shared" ca="1" si="29"/>
        <v>19.714285714285715</v>
      </c>
      <c r="CM203" s="211">
        <f t="shared" si="79"/>
        <v>136.06990585600849</v>
      </c>
      <c r="CN203" s="200">
        <f t="shared" si="86"/>
        <v>1.3569508108611072E-2</v>
      </c>
      <c r="CO203" s="213">
        <f t="shared" si="87"/>
        <v>1.0949865567602775</v>
      </c>
      <c r="CP203" s="214">
        <f t="shared" ca="1" si="88"/>
        <v>1.220842862217647</v>
      </c>
      <c r="CQ203" s="176">
        <f>DANE!BK203</f>
        <v>22</v>
      </c>
      <c r="CR203" s="198">
        <f t="shared" si="14"/>
        <v>1188</v>
      </c>
      <c r="CS203" s="177">
        <f t="shared" ca="1" si="30"/>
        <v>18</v>
      </c>
      <c r="CT203" s="211">
        <f t="shared" si="89"/>
        <v>127.18224806726657</v>
      </c>
      <c r="CU203" s="200">
        <f t="shared" si="90"/>
        <v>3.6423517174797859E-2</v>
      </c>
      <c r="CV203" s="213">
        <f t="shared" si="91"/>
        <v>1.2549646202235851</v>
      </c>
      <c r="CW203" s="217">
        <f t="shared" ca="1" si="92"/>
        <v>1.2106450586724136</v>
      </c>
      <c r="CX203" s="176">
        <f>DANE!BO203</f>
        <v>94</v>
      </c>
      <c r="CY203" s="198">
        <f t="shared" si="15"/>
        <v>6667</v>
      </c>
      <c r="CZ203" s="177">
        <f t="shared" ca="1" si="31"/>
        <v>55.285714285714285</v>
      </c>
      <c r="DA203" s="211">
        <f t="shared" si="54"/>
        <v>402.58115082360877</v>
      </c>
      <c r="DB203" s="200">
        <f t="shared" si="58"/>
        <v>0.11824574160738777</v>
      </c>
      <c r="DC203" s="213">
        <f t="shared" si="59"/>
        <v>1.8277201912517143</v>
      </c>
      <c r="DD203" s="214">
        <f t="shared" ca="1" si="60"/>
        <v>1.135276210197969</v>
      </c>
      <c r="DE203" s="176">
        <f>DANE!BS203</f>
        <v>31</v>
      </c>
      <c r="DF203" s="198">
        <f t="shared" si="16"/>
        <v>1378</v>
      </c>
      <c r="DG203" s="177">
        <f t="shared" ca="1" si="32"/>
        <v>19.714285714285715</v>
      </c>
      <c r="DH203" s="211">
        <f t="shared" si="70"/>
        <v>129.97098965999402</v>
      </c>
      <c r="DI203" s="200">
        <f t="shared" si="74"/>
        <v>0.1256197983426203</v>
      </c>
      <c r="DJ203" s="157">
        <f t="shared" si="75"/>
        <v>1.8793385883983422</v>
      </c>
      <c r="DK203" s="225">
        <f t="shared" ca="1" si="76"/>
        <v>1.660964184032381</v>
      </c>
      <c r="DL203" s="226"/>
      <c r="DM203" s="380"/>
      <c r="DN203" s="372"/>
      <c r="DO203" s="372"/>
      <c r="DP203" s="372"/>
      <c r="DQ203" s="372"/>
      <c r="DR203" s="372"/>
      <c r="DS203" s="372"/>
      <c r="DT203" s="88"/>
      <c r="DU203" s="88"/>
      <c r="DV203" s="88"/>
      <c r="DW203" s="226"/>
      <c r="DX203" s="226"/>
      <c r="DY203" s="226"/>
      <c r="DZ203" s="226"/>
      <c r="EA203" s="226"/>
      <c r="EB203" s="226"/>
      <c r="EC203" s="226"/>
      <c r="ED203" s="226"/>
      <c r="EE203" s="226"/>
      <c r="EF203" s="226"/>
      <c r="EG203" s="226"/>
      <c r="EH203" s="226"/>
    </row>
    <row r="204" spans="1:138" x14ac:dyDescent="0.25">
      <c r="A204" s="61">
        <v>44094</v>
      </c>
      <c r="B204" s="62">
        <f t="shared" ca="1" si="0"/>
        <v>44094</v>
      </c>
      <c r="C204" s="12">
        <f t="shared" si="93"/>
        <v>201</v>
      </c>
      <c r="D204" s="176">
        <f>DANE!K204</f>
        <v>45</v>
      </c>
      <c r="E204" s="198">
        <f t="shared" si="1"/>
        <v>4678</v>
      </c>
      <c r="F204" s="178">
        <f t="shared" ca="1" si="17"/>
        <v>43.714285714285715</v>
      </c>
      <c r="G204" s="211">
        <f t="shared" si="38"/>
        <v>272.91257829061431</v>
      </c>
      <c r="H204" s="200">
        <f t="shared" si="42"/>
        <v>2.6380680086730338E-2</v>
      </c>
      <c r="I204" s="213">
        <f t="shared" si="43"/>
        <v>1.1846647606071123</v>
      </c>
      <c r="J204" s="214">
        <f t="shared" ca="1" si="44"/>
        <v>1.5477834062403328</v>
      </c>
      <c r="K204" s="176">
        <f>DANE!O204</f>
        <v>26</v>
      </c>
      <c r="L204" s="198">
        <f t="shared" si="2"/>
        <v>1806</v>
      </c>
      <c r="M204" s="177">
        <f t="shared" ca="1" si="18"/>
        <v>28.428571428571427</v>
      </c>
      <c r="N204" s="211">
        <f t="shared" si="62"/>
        <v>188.59106332759654</v>
      </c>
      <c r="O204" s="200">
        <f t="shared" si="66"/>
        <v>-5.7910961162347752E-3</v>
      </c>
      <c r="P204" s="213">
        <f t="shared" si="67"/>
        <v>0.9594623271863566</v>
      </c>
      <c r="Q204" s="217">
        <f t="shared" ca="1" si="68"/>
        <v>1.1892750270724723</v>
      </c>
      <c r="R204" s="176">
        <f>DANE!S204</f>
        <v>35</v>
      </c>
      <c r="S204" s="198">
        <f t="shared" si="3"/>
        <v>2121</v>
      </c>
      <c r="T204" s="177">
        <f t="shared" ca="1" si="19"/>
        <v>38.142857142857146</v>
      </c>
      <c r="U204" s="211">
        <f t="shared" si="50"/>
        <v>257.02161283977131</v>
      </c>
      <c r="V204" s="200">
        <f t="shared" si="55"/>
        <v>-7.7351625405218697E-3</v>
      </c>
      <c r="W204" s="213">
        <f t="shared" si="56"/>
        <v>0.94585386221634693</v>
      </c>
      <c r="X204" s="214">
        <f t="shared" ca="1" si="57"/>
        <v>1.683295575110201</v>
      </c>
      <c r="Y204" s="176">
        <f>DANE!W204</f>
        <v>10</v>
      </c>
      <c r="Z204" s="198">
        <f t="shared" si="4"/>
        <v>837</v>
      </c>
      <c r="AA204" s="177">
        <f t="shared" ca="1" si="20"/>
        <v>7.2857142857142856</v>
      </c>
      <c r="AB204" s="211">
        <f t="shared" si="94"/>
        <v>52.474881297885595</v>
      </c>
      <c r="AC204" s="200">
        <f t="shared" si="95"/>
        <v>5.8942798885254936E-2</v>
      </c>
      <c r="AD204" s="213">
        <f t="shared" si="96"/>
        <v>1.4125995921967847</v>
      </c>
      <c r="AE204" s="217">
        <f t="shared" ca="1" si="97"/>
        <v>1.1629560076935586</v>
      </c>
      <c r="AF204" s="176">
        <f>DANE!AA204</f>
        <v>54</v>
      </c>
      <c r="AG204" s="198">
        <f t="shared" si="5"/>
        <v>5932</v>
      </c>
      <c r="AH204" s="177">
        <f t="shared" ca="1" si="21"/>
        <v>43.571428571428569</v>
      </c>
      <c r="AI204" s="211">
        <f t="shared" si="37"/>
        <v>284.58833986712432</v>
      </c>
      <c r="AJ204" s="200">
        <f t="shared" si="39"/>
        <v>5.7871629085039081E-2</v>
      </c>
      <c r="AK204" s="213">
        <f t="shared" si="40"/>
        <v>1.4051014035952736</v>
      </c>
      <c r="AL204" s="214">
        <f t="shared" ca="1" si="41"/>
        <v>1.4888464373560468</v>
      </c>
      <c r="AM204" s="176">
        <f>DANE!AE204</f>
        <v>103</v>
      </c>
      <c r="AN204" s="198">
        <f t="shared" si="6"/>
        <v>9545</v>
      </c>
      <c r="AO204" s="177">
        <f t="shared" ca="1" si="22"/>
        <v>107.28571428571429</v>
      </c>
      <c r="AP204" s="211">
        <f t="shared" si="49"/>
        <v>747.94008284388326</v>
      </c>
      <c r="AQ204" s="200">
        <f t="shared" si="51"/>
        <v>-5.9673500931147448E-3</v>
      </c>
      <c r="AR204" s="213">
        <f t="shared" si="52"/>
        <v>0.95822854934819679</v>
      </c>
      <c r="AS204" s="217">
        <f t="shared" ca="1" si="53"/>
        <v>1.0831990908763647</v>
      </c>
      <c r="AT204" s="176">
        <f>DANE!AI204</f>
        <v>164</v>
      </c>
      <c r="AU204" s="198">
        <f t="shared" si="7"/>
        <v>11103</v>
      </c>
      <c r="AV204" s="177">
        <f t="shared" ca="1" si="23"/>
        <v>105.28571428571429</v>
      </c>
      <c r="AW204" s="211">
        <f t="shared" si="33"/>
        <v>696.03215166586108</v>
      </c>
      <c r="AX204" s="200">
        <f t="shared" si="34"/>
        <v>0.12135889771724989</v>
      </c>
      <c r="AY204" s="213">
        <f t="shared" si="35"/>
        <v>1.8495122840207494</v>
      </c>
      <c r="AZ204" s="214">
        <f t="shared" ca="1" si="36"/>
        <v>1.301856457732935</v>
      </c>
      <c r="BA204" s="176">
        <f>DANE!AM204</f>
        <v>84</v>
      </c>
      <c r="BB204" s="198">
        <f t="shared" si="8"/>
        <v>2027</v>
      </c>
      <c r="BC204" s="177">
        <f t="shared" ca="1" si="24"/>
        <v>32.857142857142854</v>
      </c>
      <c r="BD204" s="211">
        <f t="shared" si="77"/>
        <v>204.07741235907778</v>
      </c>
      <c r="BE204" s="200">
        <f t="shared" si="80"/>
        <v>0.45675604488121585</v>
      </c>
      <c r="BF204" s="213">
        <f t="shared" si="81"/>
        <v>4.1972923141685108</v>
      </c>
      <c r="BG204" s="217">
        <f t="shared" ca="1" si="82"/>
        <v>1.9249551173143045</v>
      </c>
      <c r="BH204" s="176">
        <f>DANE!AQ204</f>
        <v>62</v>
      </c>
      <c r="BI204" s="198">
        <f t="shared" si="9"/>
        <v>3233</v>
      </c>
      <c r="BJ204" s="177">
        <f t="shared" ca="1" si="25"/>
        <v>44.857142857142854</v>
      </c>
      <c r="BK204" s="211">
        <f t="shared" si="61"/>
        <v>309.38200973466309</v>
      </c>
      <c r="BL204" s="200">
        <f t="shared" si="63"/>
        <v>7.1963883133619844E-2</v>
      </c>
      <c r="BM204" s="213">
        <f t="shared" si="64"/>
        <v>1.503747181935339</v>
      </c>
      <c r="BN204" s="214">
        <f t="shared" ca="1" si="65"/>
        <v>1.2382933249718084</v>
      </c>
      <c r="BO204" s="176">
        <f>DANE!AU204</f>
        <v>21</v>
      </c>
      <c r="BP204" s="198">
        <f t="shared" si="10"/>
        <v>1592</v>
      </c>
      <c r="BQ204" s="177">
        <f t="shared" ca="1" si="26"/>
        <v>18.428571428571427</v>
      </c>
      <c r="BR204" s="211">
        <f t="shared" si="78"/>
        <v>122.31589441312636</v>
      </c>
      <c r="BS204" s="200">
        <f t="shared" si="83"/>
        <v>3.4805010788790385E-2</v>
      </c>
      <c r="BT204" s="213">
        <f t="shared" si="84"/>
        <v>1.2436350755215326</v>
      </c>
      <c r="BU204" s="217">
        <f t="shared" ca="1" si="85"/>
        <v>1.2699757420676512</v>
      </c>
      <c r="BV204" s="176">
        <f>DANE!AY204</f>
        <v>55</v>
      </c>
      <c r="BW204" s="198">
        <f t="shared" si="11"/>
        <v>3579</v>
      </c>
      <c r="BX204" s="177">
        <f t="shared" ca="1" si="27"/>
        <v>71.142857142857139</v>
      </c>
      <c r="BY204" s="211">
        <f t="shared" si="69"/>
        <v>453.53191113810095</v>
      </c>
      <c r="BZ204" s="200">
        <f t="shared" si="71"/>
        <v>-2.4565844656630483E-2</v>
      </c>
      <c r="CA204" s="213">
        <f t="shared" si="72"/>
        <v>0.82803908740358656</v>
      </c>
      <c r="CB204" s="214">
        <f t="shared" ca="1" si="73"/>
        <v>1.3496311249501241</v>
      </c>
      <c r="CC204" s="176">
        <f>DANE!BC204</f>
        <v>74</v>
      </c>
      <c r="CD204" s="198">
        <f t="shared" si="12"/>
        <v>21618</v>
      </c>
      <c r="CE204" s="177">
        <f t="shared" ca="1" si="28"/>
        <v>62.285714285714285</v>
      </c>
      <c r="CF204" s="211">
        <f t="shared" si="45"/>
        <v>440.79616609679863</v>
      </c>
      <c r="CG204" s="200">
        <f t="shared" si="46"/>
        <v>3.0068796101097105E-2</v>
      </c>
      <c r="CH204" s="213">
        <f t="shared" si="47"/>
        <v>1.2104815727076796</v>
      </c>
      <c r="CI204" s="217">
        <f t="shared" ca="1" si="48"/>
        <v>1.0418895576338187</v>
      </c>
      <c r="CJ204" s="176">
        <f>DANE!BG204</f>
        <v>18</v>
      </c>
      <c r="CK204" s="198">
        <f t="shared" si="13"/>
        <v>1777</v>
      </c>
      <c r="CL204" s="177">
        <f t="shared" ca="1" si="29"/>
        <v>20.428571428571427</v>
      </c>
      <c r="CM204" s="211">
        <f t="shared" si="79"/>
        <v>134.63134787657873</v>
      </c>
      <c r="CN204" s="200">
        <f t="shared" si="86"/>
        <v>-1.0572197947664244E-2</v>
      </c>
      <c r="CO204" s="213">
        <f t="shared" si="87"/>
        <v>0.92599461436635033</v>
      </c>
      <c r="CP204" s="214">
        <f t="shared" ca="1" si="88"/>
        <v>1.2385302495648396</v>
      </c>
      <c r="CQ204" s="176">
        <f>DANE!BK204</f>
        <v>23</v>
      </c>
      <c r="CR204" s="198">
        <f t="shared" si="14"/>
        <v>1211</v>
      </c>
      <c r="CS204" s="177">
        <f t="shared" ca="1" si="30"/>
        <v>19.428571428571427</v>
      </c>
      <c r="CT204" s="211">
        <f t="shared" si="89"/>
        <v>132.01335548622848</v>
      </c>
      <c r="CU204" s="200">
        <f t="shared" si="90"/>
        <v>3.7985705492536492E-2</v>
      </c>
      <c r="CV204" s="213">
        <f t="shared" si="91"/>
        <v>1.2658999384477554</v>
      </c>
      <c r="CW204" s="217">
        <f t="shared" ca="1" si="92"/>
        <v>1.2686986531448508</v>
      </c>
      <c r="CX204" s="176">
        <f>DANE!BO204</f>
        <v>123</v>
      </c>
      <c r="CY204" s="198">
        <f t="shared" si="15"/>
        <v>6790</v>
      </c>
      <c r="CZ204" s="177">
        <f t="shared" ca="1" si="31"/>
        <v>62.428571428571431</v>
      </c>
      <c r="DA204" s="211">
        <f t="shared" si="54"/>
        <v>468.06955784880756</v>
      </c>
      <c r="DB204" s="200">
        <f t="shared" si="58"/>
        <v>0.16267131953699587</v>
      </c>
      <c r="DC204" s="213">
        <f t="shared" si="59"/>
        <v>2.1386992367589714</v>
      </c>
      <c r="DD204" s="214">
        <f t="shared" ca="1" si="60"/>
        <v>1.2384548114054823</v>
      </c>
      <c r="DE204" s="176">
        <f>DANE!BS204</f>
        <v>13</v>
      </c>
      <c r="DF204" s="198">
        <f t="shared" si="16"/>
        <v>1391</v>
      </c>
      <c r="DG204" s="177">
        <f t="shared" ca="1" si="32"/>
        <v>21.285714285714285</v>
      </c>
      <c r="DH204" s="211">
        <f t="shared" si="70"/>
        <v>124.40370542285203</v>
      </c>
      <c r="DI204" s="200">
        <f t="shared" si="74"/>
        <v>-4.2834822229992138E-2</v>
      </c>
      <c r="DJ204" s="157">
        <f t="shared" si="75"/>
        <v>0.70015624439005508</v>
      </c>
      <c r="DK204" s="225">
        <f t="shared" ca="1" si="76"/>
        <v>1.7340460575696139</v>
      </c>
      <c r="DL204" s="50"/>
      <c r="DM204" s="380"/>
      <c r="DN204" s="372"/>
      <c r="DO204" s="372"/>
      <c r="DP204" s="372"/>
      <c r="DQ204" s="372"/>
      <c r="DR204" s="372"/>
      <c r="DS204" s="372"/>
      <c r="DT204" s="88"/>
      <c r="DU204" s="88"/>
      <c r="DV204" s="88"/>
      <c r="DW204" s="50"/>
      <c r="DX204" s="50"/>
      <c r="DY204" s="50"/>
      <c r="DZ204" s="50"/>
      <c r="EA204" s="50"/>
      <c r="EB204" s="50"/>
      <c r="EC204" s="50"/>
      <c r="ED204" s="50"/>
      <c r="EE204" s="50"/>
      <c r="EF204" s="50"/>
      <c r="EG204" s="50"/>
      <c r="EH204" s="50"/>
    </row>
    <row r="205" spans="1:138" x14ac:dyDescent="0.25">
      <c r="A205" s="32">
        <v>44095</v>
      </c>
      <c r="B205" s="33">
        <f t="shared" ca="1" si="0"/>
        <v>44095</v>
      </c>
      <c r="C205" s="51">
        <f t="shared" si="93"/>
        <v>202</v>
      </c>
      <c r="D205" s="176">
        <f>DANE!K205</f>
        <v>9</v>
      </c>
      <c r="E205" s="188">
        <f t="shared" si="1"/>
        <v>4687</v>
      </c>
      <c r="F205" s="178">
        <f t="shared" ca="1" si="17"/>
        <v>43.714285714285715</v>
      </c>
      <c r="G205" s="209">
        <f t="shared" si="38"/>
        <v>242.92506710624085</v>
      </c>
      <c r="H205" s="179">
        <f t="shared" si="42"/>
        <v>-0.10987954960595803</v>
      </c>
      <c r="I205" s="213">
        <f t="shared" si="43"/>
        <v>0.23084315275829381</v>
      </c>
      <c r="J205" s="214">
        <f t="shared" ca="1" si="44"/>
        <v>1.5272253724763174</v>
      </c>
      <c r="K205" s="176">
        <f>DANE!O205</f>
        <v>21</v>
      </c>
      <c r="L205" s="188">
        <f t="shared" si="2"/>
        <v>1827</v>
      </c>
      <c r="M205" s="177">
        <f t="shared" ca="1" si="18"/>
        <v>28</v>
      </c>
      <c r="N205" s="209">
        <f t="shared" si="62"/>
        <v>182.64948285222562</v>
      </c>
      <c r="O205" s="179">
        <f t="shared" si="66"/>
        <v>-3.1505100880893623E-2</v>
      </c>
      <c r="P205" s="213">
        <f t="shared" si="67"/>
        <v>0.7794642938337446</v>
      </c>
      <c r="Q205" s="217">
        <f t="shared" ca="1" si="68"/>
        <v>1.1487074310679459</v>
      </c>
      <c r="R205" s="176">
        <f>DANE!S205</f>
        <v>48</v>
      </c>
      <c r="S205" s="188">
        <f t="shared" si="3"/>
        <v>2169</v>
      </c>
      <c r="T205" s="177">
        <f t="shared" ca="1" si="19"/>
        <v>44.428571428571431</v>
      </c>
      <c r="U205" s="209">
        <f t="shared" si="50"/>
        <v>268.30423957694688</v>
      </c>
      <c r="V205" s="179">
        <f t="shared" si="55"/>
        <v>4.3897579711357687E-2</v>
      </c>
      <c r="W205" s="213">
        <f t="shared" si="56"/>
        <v>1.3072830579795038</v>
      </c>
      <c r="X205" s="214">
        <f t="shared" ca="1" si="57"/>
        <v>1.8441382926736356</v>
      </c>
      <c r="Y205" s="176">
        <f>DANE!W205</f>
        <v>15</v>
      </c>
      <c r="Z205" s="188">
        <f t="shared" si="4"/>
        <v>852</v>
      </c>
      <c r="AA205" s="177">
        <f t="shared" ca="1" si="20"/>
        <v>8.7142857142857135</v>
      </c>
      <c r="AB205" s="209">
        <f t="shared" si="94"/>
        <v>59.978469683901942</v>
      </c>
      <c r="AC205" s="179">
        <f t="shared" si="95"/>
        <v>0.14299390871263759</v>
      </c>
      <c r="AD205" s="213">
        <f t="shared" si="96"/>
        <v>2.0009573609884632</v>
      </c>
      <c r="AE205" s="217">
        <f t="shared" ca="1" si="97"/>
        <v>1.340020566232107</v>
      </c>
      <c r="AF205" s="176">
        <f>DANE!AA205</f>
        <v>93</v>
      </c>
      <c r="AG205" s="188">
        <f t="shared" si="5"/>
        <v>6025</v>
      </c>
      <c r="AH205" s="177">
        <f t="shared" ca="1" si="21"/>
        <v>53.428571428571431</v>
      </c>
      <c r="AI205" s="209">
        <f t="shared" si="37"/>
        <v>336.93286274324942</v>
      </c>
      <c r="AJ205" s="179">
        <f t="shared" si="39"/>
        <v>0.18393066595969818</v>
      </c>
      <c r="AK205" s="213">
        <f t="shared" si="40"/>
        <v>2.2875146617178874</v>
      </c>
      <c r="AL205" s="214">
        <f t="shared" ca="1" si="41"/>
        <v>1.6836191522120811</v>
      </c>
      <c r="AM205" s="176">
        <f>DANE!AE205</f>
        <v>83</v>
      </c>
      <c r="AN205" s="188">
        <f t="shared" si="6"/>
        <v>9628</v>
      </c>
      <c r="AO205" s="177">
        <f t="shared" ca="1" si="22"/>
        <v>111.71428571428571</v>
      </c>
      <c r="AP205" s="209">
        <f t="shared" si="49"/>
        <v>724.09149958047146</v>
      </c>
      <c r="AQ205" s="179">
        <f t="shared" si="51"/>
        <v>-3.188568684904896E-2</v>
      </c>
      <c r="AR205" s="213">
        <f t="shared" si="52"/>
        <v>0.77680019205665729</v>
      </c>
      <c r="AS205" s="217">
        <f t="shared" ca="1" si="53"/>
        <v>1.1191114880344306</v>
      </c>
      <c r="AT205" s="176">
        <f>DANE!AI205</f>
        <v>120</v>
      </c>
      <c r="AU205" s="188">
        <f t="shared" si="7"/>
        <v>11223</v>
      </c>
      <c r="AV205" s="177">
        <f t="shared" ca="1" si="23"/>
        <v>113.71428571428571</v>
      </c>
      <c r="AW205" s="209">
        <f t="shared" si="33"/>
        <v>716.59898714216672</v>
      </c>
      <c r="AX205" s="179">
        <f t="shared" si="34"/>
        <v>2.9548685972453477E-2</v>
      </c>
      <c r="AY205" s="213">
        <f t="shared" si="35"/>
        <v>1.2068408018071743</v>
      </c>
      <c r="AZ205" s="214">
        <f t="shared" ca="1" si="36"/>
        <v>1.3583201523100712</v>
      </c>
      <c r="BA205" s="176">
        <f>DANE!AM205</f>
        <v>70</v>
      </c>
      <c r="BB205" s="188">
        <f t="shared" si="8"/>
        <v>2097</v>
      </c>
      <c r="BC205" s="177">
        <f t="shared" ca="1" si="24"/>
        <v>39.142857142857146</v>
      </c>
      <c r="BD205" s="209">
        <f t="shared" si="77"/>
        <v>244.92349630778097</v>
      </c>
      <c r="BE205" s="179">
        <f t="shared" si="80"/>
        <v>0.20014995033763844</v>
      </c>
      <c r="BF205" s="213">
        <f t="shared" si="81"/>
        <v>2.4010496523634695</v>
      </c>
      <c r="BG205" s="217">
        <f t="shared" ca="1" si="82"/>
        <v>1.9794465813683846</v>
      </c>
      <c r="BH205" s="176">
        <f>DANE!AQ205</f>
        <v>58</v>
      </c>
      <c r="BI205" s="188">
        <f t="shared" si="9"/>
        <v>3291</v>
      </c>
      <c r="BJ205" s="177">
        <f t="shared" ca="1" si="25"/>
        <v>47.285714285714285</v>
      </c>
      <c r="BK205" s="209">
        <f t="shared" si="61"/>
        <v>323.18457977256838</v>
      </c>
      <c r="BL205" s="179">
        <f t="shared" si="63"/>
        <v>4.4613356961973542E-2</v>
      </c>
      <c r="BM205" s="213">
        <f t="shared" si="64"/>
        <v>1.3122934987338148</v>
      </c>
      <c r="BN205" s="214">
        <f t="shared" ca="1" si="65"/>
        <v>1.2599001153718408</v>
      </c>
      <c r="BO205" s="176">
        <f>DANE!AU205</f>
        <v>13</v>
      </c>
      <c r="BP205" s="188">
        <f t="shared" si="10"/>
        <v>1605</v>
      </c>
      <c r="BQ205" s="177">
        <f t="shared" ca="1" si="26"/>
        <v>19.142857142857142</v>
      </c>
      <c r="BR205" s="209">
        <f t="shared" si="78"/>
        <v>117.84219521125117</v>
      </c>
      <c r="BS205" s="179">
        <f t="shared" si="83"/>
        <v>-3.6574962095809981E-2</v>
      </c>
      <c r="BT205" s="213">
        <f t="shared" si="84"/>
        <v>0.74397526532933012</v>
      </c>
      <c r="BU205" s="217">
        <f t="shared" ca="1" si="85"/>
        <v>1.2923390202555478</v>
      </c>
      <c r="BV205" s="176">
        <f>DANE!AY205</f>
        <v>90</v>
      </c>
      <c r="BW205" s="188">
        <f t="shared" si="11"/>
        <v>3669</v>
      </c>
      <c r="BX205" s="177">
        <f t="shared" ca="1" si="27"/>
        <v>77.428571428571431</v>
      </c>
      <c r="BY205" s="209">
        <f t="shared" si="69"/>
        <v>478.74163811837229</v>
      </c>
      <c r="BZ205" s="179">
        <f t="shared" si="71"/>
        <v>5.5585343304751386E-2</v>
      </c>
      <c r="CA205" s="213">
        <f t="shared" si="72"/>
        <v>1.3890974031332597</v>
      </c>
      <c r="CB205" s="214">
        <f t="shared" ca="1" si="73"/>
        <v>1.4089731770333962</v>
      </c>
      <c r="CC205" s="176">
        <f>DANE!BC205</f>
        <v>45</v>
      </c>
      <c r="CD205" s="188">
        <f t="shared" si="12"/>
        <v>21663</v>
      </c>
      <c r="CE205" s="177">
        <f t="shared" ca="1" si="28"/>
        <v>62.285714285714285</v>
      </c>
      <c r="CF205" s="209">
        <f t="shared" si="45"/>
        <v>422.82528522582743</v>
      </c>
      <c r="CG205" s="179">
        <f t="shared" si="46"/>
        <v>-4.0769140598706573E-2</v>
      </c>
      <c r="CH205" s="213">
        <f t="shared" si="47"/>
        <v>0.71461601580905398</v>
      </c>
      <c r="CI205" s="217">
        <f t="shared" ca="1" si="48"/>
        <v>1.0376678433846265</v>
      </c>
      <c r="CJ205" s="176">
        <f>DANE!BG205</f>
        <v>8</v>
      </c>
      <c r="CK205" s="188">
        <f t="shared" si="13"/>
        <v>1785</v>
      </c>
      <c r="CL205" s="177">
        <f t="shared" ca="1" si="29"/>
        <v>21</v>
      </c>
      <c r="CM205" s="209">
        <f t="shared" si="79"/>
        <v>123.39829817992464</v>
      </c>
      <c r="CN205" s="179">
        <f t="shared" si="86"/>
        <v>-8.3435617884118796E-2</v>
      </c>
      <c r="CO205" s="213">
        <f t="shared" si="87"/>
        <v>0.41595067481116843</v>
      </c>
      <c r="CP205" s="214">
        <f t="shared" ca="1" si="88"/>
        <v>1.2616655540527966</v>
      </c>
      <c r="CQ205" s="176">
        <f>DANE!BK205</f>
        <v>11</v>
      </c>
      <c r="CR205" s="188">
        <f t="shared" si="14"/>
        <v>1222</v>
      </c>
      <c r="CS205" s="177">
        <f t="shared" ca="1" si="30"/>
        <v>20.714285714285715</v>
      </c>
      <c r="CT205" s="209">
        <f t="shared" si="89"/>
        <v>124.15430470248155</v>
      </c>
      <c r="CU205" s="179">
        <f t="shared" si="90"/>
        <v>-5.9532240164645867E-2</v>
      </c>
      <c r="CV205" s="213">
        <f t="shared" si="91"/>
        <v>0.58327431884747893</v>
      </c>
      <c r="CW205" s="217">
        <f t="shared" ca="1" si="92"/>
        <v>1.3327460423951281</v>
      </c>
      <c r="CX205" s="176">
        <f>DANE!BO205</f>
        <v>52</v>
      </c>
      <c r="CY205" s="188">
        <f t="shared" si="15"/>
        <v>6842</v>
      </c>
      <c r="CZ205" s="177">
        <f t="shared" ca="1" si="31"/>
        <v>66.571428571428569</v>
      </c>
      <c r="DA205" s="209">
        <f t="shared" si="54"/>
        <v>453.20247815612078</v>
      </c>
      <c r="DB205" s="179">
        <f t="shared" si="58"/>
        <v>-3.1762543501043156E-2</v>
      </c>
      <c r="DC205" s="213">
        <f t="shared" si="59"/>
        <v>0.77766219549269788</v>
      </c>
      <c r="DD205" s="214">
        <f t="shared" ca="1" si="60"/>
        <v>1.2893752682211381</v>
      </c>
      <c r="DE205" s="176">
        <f>DANE!BS205</f>
        <v>12</v>
      </c>
      <c r="DF205" s="188">
        <f t="shared" si="16"/>
        <v>1403</v>
      </c>
      <c r="DG205" s="177">
        <f t="shared" ca="1" si="32"/>
        <v>22.571428571428573</v>
      </c>
      <c r="DH205" s="209">
        <f t="shared" si="70"/>
        <v>118.63174750530175</v>
      </c>
      <c r="DI205" s="179">
        <f t="shared" si="74"/>
        <v>-4.6396993545579843E-2</v>
      </c>
      <c r="DJ205" s="157">
        <f t="shared" si="75"/>
        <v>0.67522104518094106</v>
      </c>
      <c r="DK205" s="225">
        <f t="shared" ca="1" si="76"/>
        <v>1.7847970859856683</v>
      </c>
      <c r="DL205" s="75"/>
      <c r="DM205" s="380"/>
      <c r="DN205" s="372"/>
      <c r="DO205" s="372"/>
      <c r="DP205" s="372"/>
      <c r="DQ205" s="372"/>
      <c r="DR205" s="372"/>
      <c r="DS205" s="372"/>
      <c r="DT205" s="146"/>
      <c r="DU205" s="146"/>
      <c r="DV205" s="146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</row>
    <row r="206" spans="1:138" x14ac:dyDescent="0.25">
      <c r="A206" s="32">
        <v>44096</v>
      </c>
      <c r="B206" s="33">
        <f t="shared" ca="1" si="0"/>
        <v>44096</v>
      </c>
      <c r="C206" s="51">
        <f t="shared" si="93"/>
        <v>203</v>
      </c>
      <c r="D206" s="176">
        <f>DANE!K206</f>
        <v>47</v>
      </c>
      <c r="E206" s="188">
        <f t="shared" si="1"/>
        <v>4734</v>
      </c>
      <c r="F206" s="178">
        <f t="shared" ca="1" si="17"/>
        <v>41.857142857142854</v>
      </c>
      <c r="G206" s="209">
        <f t="shared" si="38"/>
        <v>255.22148609106361</v>
      </c>
      <c r="H206" s="179">
        <f t="shared" si="42"/>
        <v>5.0618156171775591E-2</v>
      </c>
      <c r="I206" s="213">
        <f t="shared" si="43"/>
        <v>1.3543270932024292</v>
      </c>
      <c r="J206" s="214">
        <f t="shared" ca="1" si="44"/>
        <v>1.3287904789290927</v>
      </c>
      <c r="K206" s="176">
        <f>DANE!O206</f>
        <v>13</v>
      </c>
      <c r="L206" s="188">
        <f t="shared" si="2"/>
        <v>1840</v>
      </c>
      <c r="M206" s="177">
        <f t="shared" ca="1" si="18"/>
        <v>26.714285714285715</v>
      </c>
      <c r="N206" s="209">
        <f t="shared" si="62"/>
        <v>169.55669958762198</v>
      </c>
      <c r="O206" s="179">
        <f t="shared" si="66"/>
        <v>-7.1682564112138691E-2</v>
      </c>
      <c r="P206" s="213">
        <f t="shared" si="67"/>
        <v>0.49822205121502916</v>
      </c>
      <c r="Q206" s="217">
        <f t="shared" ca="1" si="68"/>
        <v>1.0818730472144724</v>
      </c>
      <c r="R206" s="176">
        <f>DANE!S206</f>
        <v>21</v>
      </c>
      <c r="S206" s="188">
        <f t="shared" si="3"/>
        <v>2190</v>
      </c>
      <c r="T206" s="177">
        <f t="shared" ca="1" si="19"/>
        <v>44.285714285714285</v>
      </c>
      <c r="U206" s="209">
        <f t="shared" si="50"/>
        <v>250.97506249452593</v>
      </c>
      <c r="V206" s="179">
        <f t="shared" si="55"/>
        <v>-6.4587787020231283E-2</v>
      </c>
      <c r="W206" s="213">
        <f t="shared" si="56"/>
        <v>0.54788549085838101</v>
      </c>
      <c r="X206" s="214">
        <f t="shared" ca="1" si="57"/>
        <v>1.7610178712307873</v>
      </c>
      <c r="Y206" s="176">
        <f>DANE!W206</f>
        <v>8</v>
      </c>
      <c r="Z206" s="188">
        <f t="shared" si="4"/>
        <v>860</v>
      </c>
      <c r="AA206" s="177">
        <f t="shared" ca="1" si="20"/>
        <v>9.1428571428571423</v>
      </c>
      <c r="AB206" s="209">
        <f t="shared" si="94"/>
        <v>59.410116871915953</v>
      </c>
      <c r="AC206" s="179">
        <f t="shared" si="95"/>
        <v>-9.4759472020762969E-3</v>
      </c>
      <c r="AD206" s="213">
        <f t="shared" si="96"/>
        <v>0.93366836958546595</v>
      </c>
      <c r="AE206" s="217">
        <f t="shared" ca="1" si="97"/>
        <v>1.3607781077745558</v>
      </c>
      <c r="AF206" s="176">
        <f>DANE!AA206</f>
        <v>51</v>
      </c>
      <c r="AG206" s="188">
        <f t="shared" si="5"/>
        <v>6076</v>
      </c>
      <c r="AH206" s="177">
        <f t="shared" ca="1" si="21"/>
        <v>58.285714285714285</v>
      </c>
      <c r="AI206" s="209">
        <f t="shared" si="37"/>
        <v>339.79959663707098</v>
      </c>
      <c r="AJ206" s="179">
        <f t="shared" si="39"/>
        <v>8.5083237962634648E-3</v>
      </c>
      <c r="AK206" s="213">
        <f t="shared" si="40"/>
        <v>1.0595582665738443</v>
      </c>
      <c r="AL206" s="214">
        <f t="shared" ca="1" si="41"/>
        <v>1.7404489671515873</v>
      </c>
      <c r="AM206" s="176">
        <f>DANE!AE206</f>
        <v>112</v>
      </c>
      <c r="AN206" s="188">
        <f t="shared" si="6"/>
        <v>9740</v>
      </c>
      <c r="AO206" s="177">
        <f t="shared" ca="1" si="22"/>
        <v>110.57142857142857</v>
      </c>
      <c r="AP206" s="209">
        <f t="shared" si="49"/>
        <v>732.64985678326127</v>
      </c>
      <c r="AQ206" s="179">
        <f t="shared" si="51"/>
        <v>1.181944161442083E-2</v>
      </c>
      <c r="AR206" s="213">
        <f t="shared" si="52"/>
        <v>1.0827360913009458</v>
      </c>
      <c r="AS206" s="217">
        <f t="shared" ca="1" si="53"/>
        <v>1.0879772414411977</v>
      </c>
      <c r="AT206" s="176">
        <f>DANE!AI206</f>
        <v>108</v>
      </c>
      <c r="AU206" s="188">
        <f t="shared" si="7"/>
        <v>11331</v>
      </c>
      <c r="AV206" s="177">
        <f t="shared" ca="1" si="23"/>
        <v>115.14285714285714</v>
      </c>
      <c r="AW206" s="209">
        <f t="shared" si="33"/>
        <v>722.22770326471436</v>
      </c>
      <c r="AX206" s="179">
        <f t="shared" si="34"/>
        <v>7.8547642733842685E-3</v>
      </c>
      <c r="AY206" s="213">
        <f t="shared" si="35"/>
        <v>1.0549833499136898</v>
      </c>
      <c r="AZ206" s="214">
        <f t="shared" ca="1" si="36"/>
        <v>1.3176123039811856</v>
      </c>
      <c r="BA206" s="176">
        <f>DANE!AM206</f>
        <v>28</v>
      </c>
      <c r="BB206" s="188">
        <f t="shared" si="8"/>
        <v>2125</v>
      </c>
      <c r="BC206" s="177">
        <f t="shared" ca="1" si="24"/>
        <v>39.142857142857146</v>
      </c>
      <c r="BD206" s="209">
        <f t="shared" si="77"/>
        <v>237.93442540666942</v>
      </c>
      <c r="BE206" s="179">
        <f t="shared" si="80"/>
        <v>-2.8535730570858713E-2</v>
      </c>
      <c r="BF206" s="213">
        <f t="shared" si="81"/>
        <v>0.80024988600398905</v>
      </c>
      <c r="BG206" s="217">
        <f t="shared" ca="1" si="82"/>
        <v>1.8225622697896786</v>
      </c>
      <c r="BH206" s="176">
        <f>DANE!AQ206</f>
        <v>30</v>
      </c>
      <c r="BI206" s="188">
        <f t="shared" si="9"/>
        <v>3321</v>
      </c>
      <c r="BJ206" s="177">
        <f t="shared" ca="1" si="25"/>
        <v>48.714285714285715</v>
      </c>
      <c r="BK206" s="209">
        <f t="shared" si="61"/>
        <v>307.01535409077292</v>
      </c>
      <c r="BL206" s="179">
        <f t="shared" si="63"/>
        <v>-5.0030931838313829E-2</v>
      </c>
      <c r="BM206" s="213">
        <f t="shared" si="64"/>
        <v>0.64978347713180318</v>
      </c>
      <c r="BN206" s="214">
        <f t="shared" ca="1" si="65"/>
        <v>1.2736367787860938</v>
      </c>
      <c r="BO206" s="176">
        <f>DANE!AU206</f>
        <v>21</v>
      </c>
      <c r="BP206" s="188">
        <f t="shared" si="10"/>
        <v>1626</v>
      </c>
      <c r="BQ206" s="177">
        <f t="shared" ca="1" si="26"/>
        <v>20.571428571428573</v>
      </c>
      <c r="BR206" s="209">
        <f t="shared" si="78"/>
        <v>122.00759589535815</v>
      </c>
      <c r="BS206" s="179">
        <f t="shared" si="83"/>
        <v>3.5347276725792749E-2</v>
      </c>
      <c r="BT206" s="213">
        <f t="shared" si="84"/>
        <v>1.2474309370805492</v>
      </c>
      <c r="BU206" s="217">
        <f t="shared" ca="1" si="85"/>
        <v>1.3479282237306034</v>
      </c>
      <c r="BV206" s="176">
        <f>DANE!AY206</f>
        <v>83</v>
      </c>
      <c r="BW206" s="188">
        <f t="shared" si="11"/>
        <v>3752</v>
      </c>
      <c r="BX206" s="177">
        <f t="shared" ca="1" si="27"/>
        <v>83.428571428571431</v>
      </c>
      <c r="BY206" s="209">
        <f t="shared" si="69"/>
        <v>493.34997553003342</v>
      </c>
      <c r="BZ206" s="179">
        <f t="shared" si="71"/>
        <v>3.0514031470245982E-2</v>
      </c>
      <c r="CA206" s="213">
        <f t="shared" si="72"/>
        <v>1.2135982202917219</v>
      </c>
      <c r="CB206" s="214">
        <f t="shared" ca="1" si="73"/>
        <v>1.45789601351877</v>
      </c>
      <c r="CC206" s="176">
        <f>DANE!BC206</f>
        <v>72</v>
      </c>
      <c r="CD206" s="188">
        <f t="shared" si="12"/>
        <v>21735</v>
      </c>
      <c r="CE206" s="177">
        <f t="shared" ca="1" si="28"/>
        <v>63.714285714285715</v>
      </c>
      <c r="CF206" s="209">
        <f t="shared" si="45"/>
        <v>434.42167305070927</v>
      </c>
      <c r="CG206" s="179">
        <f t="shared" si="46"/>
        <v>2.7425956370344104E-2</v>
      </c>
      <c r="CH206" s="213">
        <f t="shared" si="47"/>
        <v>1.1919816945924087</v>
      </c>
      <c r="CI206" s="217">
        <f t="shared" ca="1" si="48"/>
        <v>1.0559235683833106</v>
      </c>
      <c r="CJ206" s="176">
        <f>DANE!BG206</f>
        <v>21</v>
      </c>
      <c r="CK206" s="188">
        <f t="shared" si="13"/>
        <v>1806</v>
      </c>
      <c r="CL206" s="177">
        <f t="shared" ca="1" si="29"/>
        <v>19.285714285714285</v>
      </c>
      <c r="CM206" s="209">
        <f t="shared" si="79"/>
        <v>126.76996986850683</v>
      </c>
      <c r="CN206" s="179">
        <f t="shared" si="86"/>
        <v>2.7323486128358339E-2</v>
      </c>
      <c r="CO206" s="213">
        <f t="shared" si="87"/>
        <v>1.1912644028985084</v>
      </c>
      <c r="CP206" s="214">
        <f t="shared" ca="1" si="88"/>
        <v>1.0967761405491736</v>
      </c>
      <c r="CQ206" s="176">
        <f>DANE!BK206</f>
        <v>21</v>
      </c>
      <c r="CR206" s="188">
        <f t="shared" si="14"/>
        <v>1243</v>
      </c>
      <c r="CS206" s="177">
        <f t="shared" ca="1" si="30"/>
        <v>20.714285714285715</v>
      </c>
      <c r="CT206" s="209">
        <f t="shared" si="89"/>
        <v>127.41797545926991</v>
      </c>
      <c r="CU206" s="179">
        <f t="shared" si="90"/>
        <v>2.6287213839337176E-2</v>
      </c>
      <c r="CV206" s="213">
        <f t="shared" si="91"/>
        <v>1.1840104968753602</v>
      </c>
      <c r="CW206" s="217">
        <f t="shared" ca="1" si="92"/>
        <v>1.2709351429875311</v>
      </c>
      <c r="CX206" s="176">
        <f>DANE!BO206</f>
        <v>36</v>
      </c>
      <c r="CY206" s="188">
        <f t="shared" si="15"/>
        <v>6878</v>
      </c>
      <c r="CZ206" s="177">
        <f t="shared" ca="1" si="31"/>
        <v>67.714285714285708</v>
      </c>
      <c r="DA206" s="209">
        <f t="shared" si="54"/>
        <v>424.45926699096071</v>
      </c>
      <c r="DB206" s="179">
        <f t="shared" si="58"/>
        <v>-6.3422449237487397E-2</v>
      </c>
      <c r="DC206" s="213">
        <f t="shared" si="59"/>
        <v>0.55604285533758824</v>
      </c>
      <c r="DD206" s="214">
        <f t="shared" ca="1" si="60"/>
        <v>1.2889515509527214</v>
      </c>
      <c r="DE206" s="176">
        <f>DANE!BS206</f>
        <v>39</v>
      </c>
      <c r="DF206" s="188">
        <f t="shared" si="16"/>
        <v>1442</v>
      </c>
      <c r="DG206" s="177">
        <f t="shared" ca="1" si="32"/>
        <v>25.714285714285715</v>
      </c>
      <c r="DH206" s="209">
        <f t="shared" si="70"/>
        <v>140.68435500454436</v>
      </c>
      <c r="DI206" s="179">
        <f t="shared" si="74"/>
        <v>0.18589128090064647</v>
      </c>
      <c r="DJ206" s="157">
        <f t="shared" si="75"/>
        <v>2.3012389663045254</v>
      </c>
      <c r="DK206" s="225">
        <f t="shared" ca="1" si="76"/>
        <v>1.826656453683587</v>
      </c>
      <c r="DL206" s="75"/>
      <c r="DM206" s="88"/>
      <c r="DN206" s="88"/>
      <c r="DO206" s="88"/>
      <c r="DP206" s="88"/>
      <c r="DQ206" s="88"/>
      <c r="DR206" s="88"/>
      <c r="DS206" s="88"/>
      <c r="DT206" s="88"/>
      <c r="DU206" s="88"/>
      <c r="DV206" s="88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</row>
    <row r="207" spans="1:138" x14ac:dyDescent="0.25">
      <c r="A207" s="32">
        <v>44097</v>
      </c>
      <c r="B207" s="33">
        <f t="shared" ca="1" si="0"/>
        <v>44097</v>
      </c>
      <c r="C207" s="51">
        <f t="shared" si="93"/>
        <v>204</v>
      </c>
      <c r="D207" s="176">
        <f>DANE!K207</f>
        <v>46</v>
      </c>
      <c r="E207" s="188">
        <f t="shared" si="1"/>
        <v>4780</v>
      </c>
      <c r="F207" s="178">
        <f t="shared" ca="1" si="17"/>
        <v>41.714285714285715</v>
      </c>
      <c r="G207" s="209">
        <f t="shared" si="38"/>
        <v>264.76127379234026</v>
      </c>
      <c r="H207" s="179">
        <f t="shared" si="42"/>
        <v>3.737846623882142E-2</v>
      </c>
      <c r="I207" s="213">
        <f t="shared" si="43"/>
        <v>1.26164926367175</v>
      </c>
      <c r="J207" s="214">
        <f t="shared" ca="1" si="44"/>
        <v>1.2632428383968333</v>
      </c>
      <c r="K207" s="176">
        <f>DANE!O207</f>
        <v>54</v>
      </c>
      <c r="L207" s="188">
        <f t="shared" si="2"/>
        <v>1894</v>
      </c>
      <c r="M207" s="177">
        <f t="shared" ca="1" si="18"/>
        <v>29.428571428571427</v>
      </c>
      <c r="N207" s="209">
        <f t="shared" si="62"/>
        <v>199.33431393224743</v>
      </c>
      <c r="O207" s="179">
        <f t="shared" si="66"/>
        <v>0.17562039375057098</v>
      </c>
      <c r="P207" s="213">
        <f t="shared" si="67"/>
        <v>2.2293427562539971</v>
      </c>
      <c r="Q207" s="217">
        <f t="shared" ca="1" si="68"/>
        <v>1.1797212196695688</v>
      </c>
      <c r="R207" s="176">
        <f>DANE!S207</f>
        <v>46</v>
      </c>
      <c r="S207" s="188">
        <f t="shared" si="3"/>
        <v>2236</v>
      </c>
      <c r="T207" s="177">
        <f t="shared" ca="1" si="19"/>
        <v>44.857142857142854</v>
      </c>
      <c r="U207" s="209">
        <f t="shared" si="50"/>
        <v>261.12148213816511</v>
      </c>
      <c r="V207" s="179">
        <f t="shared" si="55"/>
        <v>4.0427999271284105E-2</v>
      </c>
      <c r="W207" s="213">
        <f t="shared" si="56"/>
        <v>1.2829959948989886</v>
      </c>
      <c r="X207" s="214">
        <f t="shared" ca="1" si="57"/>
        <v>1.6418014083913428</v>
      </c>
      <c r="Y207" s="176">
        <f>DANE!W207</f>
        <v>17</v>
      </c>
      <c r="Z207" s="188">
        <f t="shared" si="4"/>
        <v>877</v>
      </c>
      <c r="AA207" s="177">
        <f t="shared" ca="1" si="20"/>
        <v>11</v>
      </c>
      <c r="AB207" s="209">
        <f t="shared" si="94"/>
        <v>67.922957318785109</v>
      </c>
      <c r="AC207" s="179">
        <f t="shared" si="95"/>
        <v>0.1432894075132396</v>
      </c>
      <c r="AD207" s="213">
        <f t="shared" si="96"/>
        <v>2.0030258525926774</v>
      </c>
      <c r="AE207" s="217">
        <f t="shared" ca="1" si="97"/>
        <v>1.5540168063637394</v>
      </c>
      <c r="AF207" s="176">
        <f>DANE!AA207</f>
        <v>84</v>
      </c>
      <c r="AG207" s="188">
        <f t="shared" si="5"/>
        <v>6160</v>
      </c>
      <c r="AH207" s="177">
        <f t="shared" ca="1" si="21"/>
        <v>65.857142857142861</v>
      </c>
      <c r="AI207" s="209">
        <f t="shared" si="37"/>
        <v>375.25679711748944</v>
      </c>
      <c r="AJ207" s="179">
        <f t="shared" si="39"/>
        <v>0.10434738837635867</v>
      </c>
      <c r="AK207" s="213">
        <f t="shared" si="40"/>
        <v>1.7304317186345108</v>
      </c>
      <c r="AL207" s="214">
        <f t="shared" ca="1" si="41"/>
        <v>1.8065119261458136</v>
      </c>
      <c r="AM207" s="176">
        <f>DANE!AE207</f>
        <v>135</v>
      </c>
      <c r="AN207" s="188">
        <f t="shared" si="6"/>
        <v>9875</v>
      </c>
      <c r="AO207" s="177">
        <f t="shared" ca="1" si="22"/>
        <v>114</v>
      </c>
      <c r="AP207" s="209">
        <f t="shared" si="49"/>
        <v>762.98559152850976</v>
      </c>
      <c r="AQ207" s="179">
        <f t="shared" si="51"/>
        <v>4.1405501501684809E-2</v>
      </c>
      <c r="AR207" s="213">
        <f t="shared" si="52"/>
        <v>1.2898385105117938</v>
      </c>
      <c r="AS207" s="217">
        <f t="shared" ca="1" si="53"/>
        <v>1.1074434804770728</v>
      </c>
      <c r="AT207" s="176">
        <f>DANE!AI207</f>
        <v>164</v>
      </c>
      <c r="AU207" s="188">
        <f t="shared" si="7"/>
        <v>11495</v>
      </c>
      <c r="AV207" s="177">
        <f t="shared" ca="1" si="23"/>
        <v>128.57142857142858</v>
      </c>
      <c r="AW207" s="209">
        <f t="shared" si="33"/>
        <v>783.05231708404096</v>
      </c>
      <c r="AX207" s="179">
        <f t="shared" si="34"/>
        <v>8.4218056915261907E-2</v>
      </c>
      <c r="AY207" s="213">
        <f t="shared" si="35"/>
        <v>1.5895263984068335</v>
      </c>
      <c r="AZ207" s="214">
        <f t="shared" ca="1" si="36"/>
        <v>1.4142914786489023</v>
      </c>
      <c r="BA207" s="176">
        <f>DANE!AM207</f>
        <v>24</v>
      </c>
      <c r="BB207" s="188">
        <f t="shared" si="8"/>
        <v>2149</v>
      </c>
      <c r="BC207" s="177">
        <f t="shared" ca="1" si="24"/>
        <v>39.857142857142854</v>
      </c>
      <c r="BD207" s="209">
        <f t="shared" si="77"/>
        <v>227.94379320571667</v>
      </c>
      <c r="BE207" s="179">
        <f t="shared" si="80"/>
        <v>-4.198901518297362E-2</v>
      </c>
      <c r="BF207" s="213">
        <f t="shared" si="81"/>
        <v>0.70607689371918458</v>
      </c>
      <c r="BG207" s="217">
        <f t="shared" ca="1" si="82"/>
        <v>1.7603314592656578</v>
      </c>
      <c r="BH207" s="176">
        <f>DANE!AQ207</f>
        <v>24</v>
      </c>
      <c r="BI207" s="188">
        <f t="shared" si="9"/>
        <v>3345</v>
      </c>
      <c r="BJ207" s="177">
        <f t="shared" ca="1" si="25"/>
        <v>47.285714285714285</v>
      </c>
      <c r="BK207" s="209">
        <f t="shared" si="61"/>
        <v>287.15601779209106</v>
      </c>
      <c r="BL207" s="179">
        <f t="shared" si="63"/>
        <v>-6.4685156732617988E-2</v>
      </c>
      <c r="BM207" s="213">
        <f t="shared" si="64"/>
        <v>0.54720390287167409</v>
      </c>
      <c r="BN207" s="214">
        <f t="shared" ca="1" si="65"/>
        <v>1.208198876761051</v>
      </c>
      <c r="BO207" s="176">
        <f>DANE!AU207</f>
        <v>22</v>
      </c>
      <c r="BP207" s="188">
        <f t="shared" si="10"/>
        <v>1648</v>
      </c>
      <c r="BQ207" s="177">
        <f t="shared" ca="1" si="26"/>
        <v>19.857142857142858</v>
      </c>
      <c r="BR207" s="209">
        <f t="shared" si="78"/>
        <v>126.57793933887842</v>
      </c>
      <c r="BS207" s="179">
        <f t="shared" si="83"/>
        <v>3.7459499222000106E-2</v>
      </c>
      <c r="BT207" s="213">
        <f t="shared" si="84"/>
        <v>1.2622164945540009</v>
      </c>
      <c r="BU207" s="217">
        <f t="shared" ca="1" si="85"/>
        <v>1.2210622769925545</v>
      </c>
      <c r="BV207" s="176">
        <f>DANE!AY207</f>
        <v>114</v>
      </c>
      <c r="BW207" s="188">
        <f t="shared" si="11"/>
        <v>3866</v>
      </c>
      <c r="BX207" s="177">
        <f t="shared" ca="1" si="27"/>
        <v>92.142857142857139</v>
      </c>
      <c r="BY207" s="209">
        <f t="shared" si="69"/>
        <v>536.87140759717158</v>
      </c>
      <c r="BZ207" s="179">
        <f t="shared" si="71"/>
        <v>8.8216143155537122E-2</v>
      </c>
      <c r="CA207" s="213">
        <f t="shared" si="72"/>
        <v>1.61751300208876</v>
      </c>
      <c r="CB207" s="214">
        <f t="shared" ca="1" si="73"/>
        <v>1.5250800527425838</v>
      </c>
      <c r="CC207" s="176">
        <f>DANE!BC207</f>
        <v>82</v>
      </c>
      <c r="CD207" s="188">
        <f t="shared" si="12"/>
        <v>21817</v>
      </c>
      <c r="CE207" s="177">
        <f t="shared" ca="1" si="28"/>
        <v>66.571428571428569</v>
      </c>
      <c r="CF207" s="209">
        <f t="shared" si="45"/>
        <v>454.36143404346512</v>
      </c>
      <c r="CG207" s="179">
        <f t="shared" si="46"/>
        <v>4.5899553889035175E-2</v>
      </c>
      <c r="CH207" s="213">
        <f t="shared" si="47"/>
        <v>1.3212968772232463</v>
      </c>
      <c r="CI207" s="217">
        <f t="shared" ca="1" si="48"/>
        <v>1.0940343488085442</v>
      </c>
      <c r="CJ207" s="176">
        <f>DANE!BG207</f>
        <v>36</v>
      </c>
      <c r="CK207" s="188">
        <f t="shared" si="13"/>
        <v>1842</v>
      </c>
      <c r="CL207" s="177">
        <f t="shared" ca="1" si="29"/>
        <v>23.285714285714285</v>
      </c>
      <c r="CM207" s="209">
        <f t="shared" si="79"/>
        <v>144.65997417300588</v>
      </c>
      <c r="CN207" s="179">
        <f t="shared" si="86"/>
        <v>0.14112178399234135</v>
      </c>
      <c r="CO207" s="213">
        <f t="shared" si="87"/>
        <v>1.9878524879463895</v>
      </c>
      <c r="CP207" s="214">
        <f t="shared" ca="1" si="88"/>
        <v>1.3126220173078906</v>
      </c>
      <c r="CQ207" s="176">
        <f>DANE!BK207</f>
        <v>34</v>
      </c>
      <c r="CR207" s="188">
        <f t="shared" si="14"/>
        <v>1277</v>
      </c>
      <c r="CS207" s="177">
        <f t="shared" ca="1" si="30"/>
        <v>23.714285714285715</v>
      </c>
      <c r="CT207" s="209">
        <f t="shared" si="89"/>
        <v>143.21540753651709</v>
      </c>
      <c r="CU207" s="179">
        <f t="shared" si="90"/>
        <v>0.12398118884173406</v>
      </c>
      <c r="CV207" s="213">
        <f t="shared" si="91"/>
        <v>1.8678683218921384</v>
      </c>
      <c r="CW207" s="217">
        <f t="shared" ca="1" si="92"/>
        <v>1.4063769584557839</v>
      </c>
      <c r="CX207" s="176">
        <f>DANE!BO207</f>
        <v>76</v>
      </c>
      <c r="CY207" s="188">
        <f t="shared" si="15"/>
        <v>6954</v>
      </c>
      <c r="CZ207" s="177">
        <f t="shared" ca="1" si="31"/>
        <v>75.714285714285708</v>
      </c>
      <c r="DA207" s="209">
        <f t="shared" si="54"/>
        <v>439.82222884939495</v>
      </c>
      <c r="DB207" s="179">
        <f t="shared" si="58"/>
        <v>3.6194195893858062E-2</v>
      </c>
      <c r="DC207" s="213">
        <f t="shared" si="59"/>
        <v>1.2533593712570066</v>
      </c>
      <c r="DD207" s="214">
        <f t="shared" ca="1" si="60"/>
        <v>1.4071260008359201</v>
      </c>
      <c r="DE207" s="176">
        <f>DANE!BS207</f>
        <v>16</v>
      </c>
      <c r="DF207" s="188">
        <f t="shared" si="16"/>
        <v>1458</v>
      </c>
      <c r="DG207" s="177">
        <f t="shared" ca="1" si="32"/>
        <v>24.571428571428573</v>
      </c>
      <c r="DH207" s="209">
        <f t="shared" si="70"/>
        <v>136.58659000389517</v>
      </c>
      <c r="DI207" s="179">
        <f t="shared" si="74"/>
        <v>-2.912736814635021E-2</v>
      </c>
      <c r="DJ207" s="157">
        <f t="shared" si="75"/>
        <v>0.79610842297554851</v>
      </c>
      <c r="DK207" s="225">
        <f t="shared" ca="1" si="76"/>
        <v>1.5863577793842703</v>
      </c>
      <c r="DL207" s="146"/>
      <c r="DM207" s="380"/>
      <c r="DN207" s="372"/>
      <c r="DO207" s="372"/>
      <c r="DP207" s="372"/>
      <c r="DQ207" s="372"/>
      <c r="DR207" s="372"/>
      <c r="DS207" s="372"/>
      <c r="DT207" s="88"/>
      <c r="DU207" s="88"/>
      <c r="DV207" s="88"/>
      <c r="DW207" s="146"/>
      <c r="DX207" s="146"/>
      <c r="DY207" s="146"/>
      <c r="DZ207" s="146"/>
      <c r="EA207" s="146"/>
      <c r="EB207" s="146"/>
      <c r="EC207" s="146"/>
      <c r="ED207" s="146"/>
      <c r="EE207" s="146"/>
      <c r="EF207" s="146"/>
      <c r="EG207" s="146"/>
      <c r="EH207" s="146"/>
    </row>
    <row r="208" spans="1:138" x14ac:dyDescent="0.25">
      <c r="A208" s="32">
        <v>44098</v>
      </c>
      <c r="B208" s="33">
        <f t="shared" ca="1" si="0"/>
        <v>44098</v>
      </c>
      <c r="C208" s="51">
        <f t="shared" si="93"/>
        <v>205</v>
      </c>
      <c r="D208" s="176">
        <f>DANE!K208</f>
        <v>58</v>
      </c>
      <c r="E208" s="188">
        <f t="shared" si="1"/>
        <v>4838</v>
      </c>
      <c r="F208" s="178">
        <f t="shared" ca="1" si="17"/>
        <v>46.428571428571431</v>
      </c>
      <c r="G208" s="209">
        <f t="shared" si="38"/>
        <v>284.93823467914882</v>
      </c>
      <c r="H208" s="179">
        <f t="shared" si="42"/>
        <v>7.6208127411540996E-2</v>
      </c>
      <c r="I208" s="213">
        <f t="shared" si="43"/>
        <v>1.5334568918807872</v>
      </c>
      <c r="J208" s="214">
        <f t="shared" ca="1" si="44"/>
        <v>1.3637727233153749</v>
      </c>
      <c r="K208" s="176">
        <f>DANE!O208</f>
        <v>41</v>
      </c>
      <c r="L208" s="188">
        <f t="shared" si="2"/>
        <v>1935</v>
      </c>
      <c r="M208" s="177">
        <f t="shared" ca="1" si="18"/>
        <v>33.142857142857146</v>
      </c>
      <c r="N208" s="209">
        <f t="shared" si="62"/>
        <v>211.85798337049781</v>
      </c>
      <c r="O208" s="179">
        <f t="shared" si="66"/>
        <v>6.2827464028632332E-2</v>
      </c>
      <c r="P208" s="213">
        <f t="shared" si="67"/>
        <v>1.4397922482004264</v>
      </c>
      <c r="Q208" s="217">
        <f t="shared" ca="1" si="68"/>
        <v>1.2976735210538735</v>
      </c>
      <c r="R208" s="176">
        <f>DANE!S208</f>
        <v>58</v>
      </c>
      <c r="S208" s="188">
        <f t="shared" si="3"/>
        <v>2294</v>
      </c>
      <c r="T208" s="177">
        <f t="shared" ca="1" si="19"/>
        <v>52.714285714285715</v>
      </c>
      <c r="U208" s="209">
        <f t="shared" si="50"/>
        <v>281.81841326128438</v>
      </c>
      <c r="V208" s="179">
        <f t="shared" si="55"/>
        <v>7.9261694417650672E-2</v>
      </c>
      <c r="W208" s="213">
        <f t="shared" si="56"/>
        <v>1.5548318609235547</v>
      </c>
      <c r="X208" s="214">
        <f t="shared" ca="1" si="57"/>
        <v>1.84528758867196</v>
      </c>
      <c r="Y208" s="176">
        <f>DANE!W208</f>
        <v>20</v>
      </c>
      <c r="Z208" s="188">
        <f t="shared" si="4"/>
        <v>897</v>
      </c>
      <c r="AA208" s="177">
        <f t="shared" ca="1" si="20"/>
        <v>13.285714285714286</v>
      </c>
      <c r="AB208" s="209">
        <f t="shared" si="94"/>
        <v>78.219677701815812</v>
      </c>
      <c r="AC208" s="179">
        <f t="shared" si="95"/>
        <v>0.15159411176260712</v>
      </c>
      <c r="AD208" s="213">
        <f t="shared" si="96"/>
        <v>2.06115878233825</v>
      </c>
      <c r="AE208" s="217">
        <f t="shared" ca="1" si="97"/>
        <v>1.7506755422173927</v>
      </c>
      <c r="AF208" s="176">
        <f>DANE!AA208</f>
        <v>84</v>
      </c>
      <c r="AG208" s="188">
        <f t="shared" si="5"/>
        <v>6244</v>
      </c>
      <c r="AH208" s="177">
        <f t="shared" ca="1" si="21"/>
        <v>72</v>
      </c>
      <c r="AI208" s="209">
        <f t="shared" si="37"/>
        <v>405.6486832435624</v>
      </c>
      <c r="AJ208" s="179">
        <f t="shared" si="39"/>
        <v>8.0989568635468426E-2</v>
      </c>
      <c r="AK208" s="213">
        <f t="shared" si="40"/>
        <v>1.566926980448279</v>
      </c>
      <c r="AL208" s="214">
        <f t="shared" ca="1" si="41"/>
        <v>1.7996180710864274</v>
      </c>
      <c r="AM208" s="176">
        <f>DANE!AE208</f>
        <v>183</v>
      </c>
      <c r="AN208" s="188">
        <f t="shared" si="6"/>
        <v>10058</v>
      </c>
      <c r="AO208" s="177">
        <f t="shared" ca="1" si="22"/>
        <v>122.42857142857143</v>
      </c>
      <c r="AP208" s="209">
        <f t="shared" si="49"/>
        <v>836.98764988157984</v>
      </c>
      <c r="AQ208" s="179">
        <f t="shared" si="51"/>
        <v>9.6990112493238245E-2</v>
      </c>
      <c r="AR208" s="213">
        <f t="shared" si="52"/>
        <v>1.6789307874526678</v>
      </c>
      <c r="AS208" s="217">
        <f t="shared" ca="1" si="53"/>
        <v>1.1671460912412006</v>
      </c>
      <c r="AT208" s="176">
        <f>DANE!AI208</f>
        <v>149</v>
      </c>
      <c r="AU208" s="188">
        <f t="shared" si="7"/>
        <v>11644</v>
      </c>
      <c r="AV208" s="177">
        <f t="shared" ca="1" si="23"/>
        <v>125.85714285714286</v>
      </c>
      <c r="AW208" s="209">
        <f t="shared" si="33"/>
        <v>820.18770035774946</v>
      </c>
      <c r="AX208" s="179">
        <f t="shared" si="34"/>
        <v>4.7423885305639096E-2</v>
      </c>
      <c r="AY208" s="213">
        <f t="shared" si="35"/>
        <v>1.3319671971394738</v>
      </c>
      <c r="AZ208" s="214">
        <f t="shared" ca="1" si="36"/>
        <v>1.2876731260612204</v>
      </c>
      <c r="BA208" s="176">
        <f>DANE!AM208</f>
        <v>19</v>
      </c>
      <c r="BB208" s="188">
        <f t="shared" si="8"/>
        <v>2168</v>
      </c>
      <c r="BC208" s="177">
        <f t="shared" ca="1" si="24"/>
        <v>39.857142857142854</v>
      </c>
      <c r="BD208" s="209">
        <f t="shared" si="77"/>
        <v>214.38039417632859</v>
      </c>
      <c r="BE208" s="179">
        <f t="shared" si="80"/>
        <v>-5.9503261039212711E-2</v>
      </c>
      <c r="BF208" s="213">
        <f t="shared" si="81"/>
        <v>0.58347717272551103</v>
      </c>
      <c r="BG208" s="217">
        <f t="shared" ca="1" si="82"/>
        <v>1.6838223174915488</v>
      </c>
      <c r="BH208" s="176">
        <f>DANE!AQ208</f>
        <v>62</v>
      </c>
      <c r="BI208" s="188">
        <f t="shared" si="9"/>
        <v>3407</v>
      </c>
      <c r="BJ208" s="177">
        <f t="shared" ca="1" si="25"/>
        <v>50.285714285714285</v>
      </c>
      <c r="BK208" s="209">
        <f t="shared" si="61"/>
        <v>308.13372953607808</v>
      </c>
      <c r="BL208" s="179">
        <f t="shared" si="63"/>
        <v>7.3053359303705975E-2</v>
      </c>
      <c r="BM208" s="213">
        <f t="shared" si="64"/>
        <v>1.5113735151259418</v>
      </c>
      <c r="BN208" s="214">
        <f t="shared" ca="1" si="65"/>
        <v>1.2510630089348591</v>
      </c>
      <c r="BO208" s="176">
        <f>DANE!AU208</f>
        <v>38</v>
      </c>
      <c r="BP208" s="188">
        <f t="shared" si="10"/>
        <v>1686</v>
      </c>
      <c r="BQ208" s="177">
        <f t="shared" ca="1" si="26"/>
        <v>22</v>
      </c>
      <c r="BR208" s="209">
        <f t="shared" si="78"/>
        <v>146.49537657618151</v>
      </c>
      <c r="BS208" s="179">
        <f t="shared" si="83"/>
        <v>0.15735314811832657</v>
      </c>
      <c r="BT208" s="213">
        <f t="shared" si="84"/>
        <v>2.101472036828286</v>
      </c>
      <c r="BU208" s="217">
        <f t="shared" ca="1" si="85"/>
        <v>1.2965295134822514</v>
      </c>
      <c r="BV208" s="176">
        <f>DANE!AY208</f>
        <v>143</v>
      </c>
      <c r="BW208" s="188">
        <f t="shared" si="11"/>
        <v>4009</v>
      </c>
      <c r="BX208" s="177">
        <f t="shared" ca="1" si="27"/>
        <v>93.428571428571431</v>
      </c>
      <c r="BY208" s="209">
        <f t="shared" si="69"/>
        <v>603.17549222614707</v>
      </c>
      <c r="BZ208" s="179">
        <f t="shared" si="71"/>
        <v>0.1235008676020332</v>
      </c>
      <c r="CA208" s="213">
        <f t="shared" si="72"/>
        <v>1.8645060732142325</v>
      </c>
      <c r="CB208" s="214">
        <f t="shared" ca="1" si="73"/>
        <v>1.3856119483463221</v>
      </c>
      <c r="CC208" s="176">
        <f>DANE!BC208</f>
        <v>110</v>
      </c>
      <c r="CD208" s="188">
        <f t="shared" si="12"/>
        <v>21927</v>
      </c>
      <c r="CE208" s="177">
        <f t="shared" ca="1" si="28"/>
        <v>73.142857142857139</v>
      </c>
      <c r="CF208" s="209">
        <f t="shared" si="45"/>
        <v>499.45265775154155</v>
      </c>
      <c r="CG208" s="179">
        <f t="shared" si="46"/>
        <v>9.9240869337873669E-2</v>
      </c>
      <c r="CH208" s="213">
        <f t="shared" si="47"/>
        <v>1.6946860853651158</v>
      </c>
      <c r="CI208" s="217">
        <f t="shared" ca="1" si="48"/>
        <v>1.1818287349825649</v>
      </c>
      <c r="CJ208" s="176">
        <f>DANE!BG208</f>
        <v>36</v>
      </c>
      <c r="CK208" s="188">
        <f t="shared" si="13"/>
        <v>1878</v>
      </c>
      <c r="CL208" s="177">
        <f t="shared" ca="1" si="29"/>
        <v>23.857142857142858</v>
      </c>
      <c r="CM208" s="209">
        <f t="shared" si="79"/>
        <v>159.99426357686218</v>
      </c>
      <c r="CN208" s="179">
        <f t="shared" si="86"/>
        <v>0.10600229601532545</v>
      </c>
      <c r="CO208" s="213">
        <f t="shared" si="87"/>
        <v>1.7420160721072782</v>
      </c>
      <c r="CP208" s="214">
        <f t="shared" ca="1" si="88"/>
        <v>1.2669399056736768</v>
      </c>
      <c r="CQ208" s="176">
        <f>DANE!BK208</f>
        <v>23</v>
      </c>
      <c r="CR208" s="188">
        <f t="shared" si="14"/>
        <v>1300</v>
      </c>
      <c r="CS208" s="177">
        <f t="shared" ca="1" si="30"/>
        <v>22.857142857142858</v>
      </c>
      <c r="CT208" s="209">
        <f t="shared" si="89"/>
        <v>145.75606360272894</v>
      </c>
      <c r="CU208" s="179">
        <f t="shared" si="90"/>
        <v>1.7740102897546378E-2</v>
      </c>
      <c r="CV208" s="213">
        <f t="shared" si="91"/>
        <v>1.1241807202828247</v>
      </c>
      <c r="CW208" s="217">
        <f t="shared" ca="1" si="92"/>
        <v>1.2704606678429105</v>
      </c>
      <c r="CX208" s="176">
        <f>DANE!BO208</f>
        <v>84</v>
      </c>
      <c r="CY208" s="188">
        <f t="shared" si="15"/>
        <v>7038</v>
      </c>
      <c r="CZ208" s="177">
        <f t="shared" ca="1" si="31"/>
        <v>77.142857142857139</v>
      </c>
      <c r="DA208" s="209">
        <f t="shared" si="54"/>
        <v>460.99048187091</v>
      </c>
      <c r="DB208" s="179">
        <f t="shared" si="58"/>
        <v>4.8129111338671204E-2</v>
      </c>
      <c r="DC208" s="213">
        <f t="shared" si="59"/>
        <v>1.3369037793706984</v>
      </c>
      <c r="DD208" s="214">
        <f t="shared" ca="1" si="60"/>
        <v>1.352753165764113</v>
      </c>
      <c r="DE208" s="176">
        <f>DANE!BS208</f>
        <v>28</v>
      </c>
      <c r="DF208" s="188">
        <f t="shared" si="16"/>
        <v>1486</v>
      </c>
      <c r="DG208" s="177">
        <f t="shared" ca="1" si="32"/>
        <v>22.714285714285715</v>
      </c>
      <c r="DH208" s="209">
        <f t="shared" si="70"/>
        <v>145.07422000333872</v>
      </c>
      <c r="DI208" s="179">
        <f t="shared" si="74"/>
        <v>6.2141019840977842E-2</v>
      </c>
      <c r="DJ208" s="157">
        <f t="shared" si="75"/>
        <v>1.4349871388868449</v>
      </c>
      <c r="DK208" s="225">
        <f t="shared" ca="1" si="76"/>
        <v>1.2920057697989284</v>
      </c>
      <c r="DL208" s="146"/>
      <c r="DM208" s="380"/>
      <c r="DN208" s="372"/>
      <c r="DO208" s="372"/>
      <c r="DP208" s="372"/>
      <c r="DQ208" s="372"/>
      <c r="DR208" s="372"/>
      <c r="DS208" s="372"/>
      <c r="DT208" s="89"/>
      <c r="DU208" s="89"/>
      <c r="DV208" s="89"/>
      <c r="DW208" s="146"/>
      <c r="DX208" s="146"/>
      <c r="DY208" s="146"/>
      <c r="DZ208" s="146"/>
      <c r="EA208" s="146"/>
      <c r="EB208" s="146"/>
      <c r="EC208" s="146"/>
      <c r="ED208" s="146"/>
      <c r="EE208" s="146"/>
      <c r="EF208" s="146"/>
      <c r="EG208" s="146"/>
      <c r="EH208" s="146"/>
    </row>
    <row r="209" spans="1:138" x14ac:dyDescent="0.25">
      <c r="A209" s="32">
        <v>44099</v>
      </c>
      <c r="B209" s="33">
        <f t="shared" ca="1" si="0"/>
        <v>44099</v>
      </c>
      <c r="C209" s="51">
        <f t="shared" si="93"/>
        <v>206</v>
      </c>
      <c r="D209" s="176">
        <f>DANE!K209</f>
        <v>52</v>
      </c>
      <c r="E209" s="188">
        <f t="shared" si="1"/>
        <v>4890</v>
      </c>
      <c r="F209" s="178">
        <f t="shared" ca="1" si="17"/>
        <v>48.571428571428569</v>
      </c>
      <c r="G209" s="209">
        <f t="shared" si="38"/>
        <v>296.23277258212761</v>
      </c>
      <c r="H209" s="179">
        <f t="shared" si="42"/>
        <v>3.9638548037250469E-2</v>
      </c>
      <c r="I209" s="213">
        <f t="shared" si="43"/>
        <v>1.2774698362607533</v>
      </c>
      <c r="J209" s="214">
        <f t="shared" ca="1" si="44"/>
        <v>1.3664628567239772</v>
      </c>
      <c r="K209" s="176">
        <f>DANE!O209</f>
        <v>162</v>
      </c>
      <c r="L209" s="188">
        <f t="shared" si="2"/>
        <v>2097</v>
      </c>
      <c r="M209" s="177">
        <f t="shared" ca="1" si="18"/>
        <v>50.285714285714285</v>
      </c>
      <c r="N209" s="209">
        <f t="shared" si="62"/>
        <v>343.5925571747124</v>
      </c>
      <c r="O209" s="179">
        <f t="shared" si="66"/>
        <v>0.62180604057689348</v>
      </c>
      <c r="P209" s="213">
        <f t="shared" si="67"/>
        <v>5.3526422840382546</v>
      </c>
      <c r="Q209" s="217">
        <f t="shared" ca="1" si="68"/>
        <v>1.8023547882349307</v>
      </c>
      <c r="R209" s="176">
        <f>DANE!S209</f>
        <v>59</v>
      </c>
      <c r="S209" s="188">
        <f t="shared" si="3"/>
        <v>2353</v>
      </c>
      <c r="T209" s="177">
        <f t="shared" ca="1" si="19"/>
        <v>55.571428571428569</v>
      </c>
      <c r="U209" s="209">
        <f t="shared" si="50"/>
        <v>300.5586399382438</v>
      </c>
      <c r="V209" s="179">
        <f t="shared" si="55"/>
        <v>6.649752392007352E-2</v>
      </c>
      <c r="W209" s="213">
        <f t="shared" si="56"/>
        <v>1.4654826674405146</v>
      </c>
      <c r="X209" s="214">
        <f t="shared" ca="1" si="57"/>
        <v>1.778059344629876</v>
      </c>
      <c r="Y209" s="176">
        <f>DANE!W209</f>
        <v>15</v>
      </c>
      <c r="Z209" s="188">
        <f t="shared" si="4"/>
        <v>912</v>
      </c>
      <c r="AA209" s="177">
        <f t="shared" ca="1" si="20"/>
        <v>13.285714285714286</v>
      </c>
      <c r="AB209" s="209">
        <f t="shared" si="94"/>
        <v>82.045438030127841</v>
      </c>
      <c r="AC209" s="179">
        <f t="shared" si="95"/>
        <v>4.8910458860446274E-2</v>
      </c>
      <c r="AD209" s="213">
        <f t="shared" si="96"/>
        <v>1.342373212023124</v>
      </c>
      <c r="AE209" s="217">
        <f t="shared" ca="1" si="97"/>
        <v>1.5584151200241518</v>
      </c>
      <c r="AF209" s="176">
        <f>DANE!AA209</f>
        <v>78</v>
      </c>
      <c r="AG209" s="188">
        <f t="shared" si="5"/>
        <v>6322</v>
      </c>
      <c r="AH209" s="177">
        <f t="shared" ca="1" si="21"/>
        <v>72.142857142857139</v>
      </c>
      <c r="AI209" s="209">
        <f t="shared" si="37"/>
        <v>425.69887135162492</v>
      </c>
      <c r="AJ209" s="179">
        <f t="shared" si="39"/>
        <v>4.9427469966724487E-2</v>
      </c>
      <c r="AK209" s="213">
        <f t="shared" si="40"/>
        <v>1.3459922897670715</v>
      </c>
      <c r="AL209" s="214">
        <f t="shared" ca="1" si="41"/>
        <v>1.5935676875462035</v>
      </c>
      <c r="AM209" s="176">
        <f>DANE!AE209</f>
        <v>241</v>
      </c>
      <c r="AN209" s="188">
        <f t="shared" si="6"/>
        <v>10299</v>
      </c>
      <c r="AO209" s="177">
        <f t="shared" ca="1" si="22"/>
        <v>143.71428571428572</v>
      </c>
      <c r="AP209" s="209">
        <f t="shared" si="49"/>
        <v>958.41798561278279</v>
      </c>
      <c r="AQ209" s="179">
        <f t="shared" si="51"/>
        <v>0.14508020010615852</v>
      </c>
      <c r="AR209" s="213">
        <f t="shared" si="52"/>
        <v>2.0155614007431097</v>
      </c>
      <c r="AS209" s="217">
        <f t="shared" ca="1" si="53"/>
        <v>1.3262322682306835</v>
      </c>
      <c r="AT209" s="176">
        <f>DANE!AI209</f>
        <v>295</v>
      </c>
      <c r="AU209" s="188">
        <f t="shared" si="7"/>
        <v>11939</v>
      </c>
      <c r="AV209" s="177">
        <f t="shared" ca="1" si="23"/>
        <v>155.42857142857142</v>
      </c>
      <c r="AW209" s="209">
        <f t="shared" si="33"/>
        <v>998.01802887807105</v>
      </c>
      <c r="AX209" s="179">
        <f t="shared" si="34"/>
        <v>0.21681662434434892</v>
      </c>
      <c r="AY209" s="213">
        <f t="shared" si="35"/>
        <v>2.5177163704104428</v>
      </c>
      <c r="AZ209" s="214">
        <f t="shared" ca="1" si="36"/>
        <v>1.5059593789392995</v>
      </c>
      <c r="BA209" s="176">
        <f>DANE!AM209</f>
        <v>38</v>
      </c>
      <c r="BB209" s="188">
        <f t="shared" si="8"/>
        <v>2206</v>
      </c>
      <c r="BC209" s="177">
        <f t="shared" ca="1" si="24"/>
        <v>42.571428571428569</v>
      </c>
      <c r="BD209" s="209">
        <f t="shared" si="77"/>
        <v>221.75462357971023</v>
      </c>
      <c r="BE209" s="179">
        <f t="shared" si="80"/>
        <v>3.4397872210815625E-2</v>
      </c>
      <c r="BF209" s="213">
        <f t="shared" si="81"/>
        <v>1.2407851054757093</v>
      </c>
      <c r="BG209" s="217">
        <f t="shared" ca="1" si="82"/>
        <v>1.7038874611730004</v>
      </c>
      <c r="BH209" s="176">
        <f>DANE!AQ209</f>
        <v>55</v>
      </c>
      <c r="BI209" s="188">
        <f t="shared" si="9"/>
        <v>3462</v>
      </c>
      <c r="BJ209" s="177">
        <f t="shared" ca="1" si="25"/>
        <v>51.428571428571431</v>
      </c>
      <c r="BK209" s="209">
        <f t="shared" si="61"/>
        <v>319.11462531663835</v>
      </c>
      <c r="BL209" s="179">
        <f t="shared" si="63"/>
        <v>3.5636786005520914E-2</v>
      </c>
      <c r="BM209" s="213">
        <f t="shared" si="64"/>
        <v>1.2494575020386465</v>
      </c>
      <c r="BN209" s="214">
        <f t="shared" ca="1" si="65"/>
        <v>1.2369998581994446</v>
      </c>
      <c r="BO209" s="176">
        <f>DANE!AU209</f>
        <v>54</v>
      </c>
      <c r="BP209" s="188">
        <f t="shared" si="10"/>
        <v>1740</v>
      </c>
      <c r="BQ209" s="177">
        <f t="shared" ca="1" si="26"/>
        <v>27.571428571428573</v>
      </c>
      <c r="BR209" s="209">
        <f t="shared" si="78"/>
        <v>179.56746563672704</v>
      </c>
      <c r="BS209" s="179">
        <f t="shared" si="83"/>
        <v>0.22575517284907043</v>
      </c>
      <c r="BT209" s="213">
        <f t="shared" si="84"/>
        <v>2.5802862099434929</v>
      </c>
      <c r="BU209" s="217">
        <f t="shared" ca="1" si="85"/>
        <v>1.5296639976556676</v>
      </c>
      <c r="BV209" s="176">
        <f>DANE!AY209</f>
        <v>128</v>
      </c>
      <c r="BW209" s="188">
        <f t="shared" si="11"/>
        <v>4137</v>
      </c>
      <c r="BX209" s="177">
        <f t="shared" ca="1" si="27"/>
        <v>101.28571428571429</v>
      </c>
      <c r="BY209" s="209">
        <f t="shared" si="69"/>
        <v>645.00756476526897</v>
      </c>
      <c r="BZ209" s="179">
        <f t="shared" si="71"/>
        <v>6.9353070670580066E-2</v>
      </c>
      <c r="CA209" s="213">
        <f t="shared" si="72"/>
        <v>1.4854714946940604</v>
      </c>
      <c r="CB209" s="214">
        <f t="shared" ca="1" si="73"/>
        <v>1.4227708495258635</v>
      </c>
      <c r="CC209" s="176">
        <f>DANE!BC209</f>
        <v>126</v>
      </c>
      <c r="CD209" s="188">
        <f t="shared" si="12"/>
        <v>22053</v>
      </c>
      <c r="CE209" s="177">
        <f t="shared" ca="1" si="28"/>
        <v>81.857142857142861</v>
      </c>
      <c r="CF209" s="209">
        <f t="shared" si="45"/>
        <v>554.10227807274987</v>
      </c>
      <c r="CG209" s="179">
        <f t="shared" si="46"/>
        <v>0.1094190199472207</v>
      </c>
      <c r="CH209" s="213">
        <f t="shared" si="47"/>
        <v>1.7659331396305449</v>
      </c>
      <c r="CI209" s="217">
        <f t="shared" ca="1" si="48"/>
        <v>1.279163808182896</v>
      </c>
      <c r="CJ209" s="176">
        <f>DANE!BG209</f>
        <v>52</v>
      </c>
      <c r="CK209" s="188">
        <f t="shared" si="13"/>
        <v>1930</v>
      </c>
      <c r="CL209" s="177">
        <f t="shared" ca="1" si="29"/>
        <v>27.428571428571427</v>
      </c>
      <c r="CM209" s="209">
        <f t="shared" si="79"/>
        <v>189.13794020873902</v>
      </c>
      <c r="CN209" s="179">
        <f t="shared" si="86"/>
        <v>0.18215450967012983</v>
      </c>
      <c r="CO209" s="213">
        <f t="shared" si="87"/>
        <v>2.2750815676909086</v>
      </c>
      <c r="CP209" s="214">
        <f t="shared" ca="1" si="88"/>
        <v>1.3761637680829828</v>
      </c>
      <c r="CQ209" s="176">
        <f>DANE!BK209</f>
        <v>87</v>
      </c>
      <c r="CR209" s="188">
        <f t="shared" si="14"/>
        <v>1387</v>
      </c>
      <c r="CS209" s="177">
        <f t="shared" ca="1" si="30"/>
        <v>31.571428571428573</v>
      </c>
      <c r="CT209" s="209">
        <f t="shared" si="89"/>
        <v>211.9337688023391</v>
      </c>
      <c r="CU209" s="179">
        <f t="shared" si="90"/>
        <v>0.45403054640651763</v>
      </c>
      <c r="CV209" s="213">
        <f t="shared" si="91"/>
        <v>4.1782138248456242</v>
      </c>
      <c r="CW209" s="217">
        <f t="shared" ca="1" si="92"/>
        <v>1.6369160344878237</v>
      </c>
      <c r="CX209" s="176">
        <f>DANE!BO209</f>
        <v>84</v>
      </c>
      <c r="CY209" s="188">
        <f t="shared" si="15"/>
        <v>7122</v>
      </c>
      <c r="CZ209" s="177">
        <f t="shared" ca="1" si="31"/>
        <v>78.428571428571431</v>
      </c>
      <c r="DA209" s="209">
        <f t="shared" si="54"/>
        <v>479.13469874649434</v>
      </c>
      <c r="DB209" s="179">
        <f t="shared" si="58"/>
        <v>3.935920065409336E-2</v>
      </c>
      <c r="DC209" s="213">
        <f t="shared" si="59"/>
        <v>1.2755144045786535</v>
      </c>
      <c r="DD209" s="214">
        <f t="shared" ca="1" si="60"/>
        <v>1.3094145762924756</v>
      </c>
      <c r="DE209" s="176">
        <f>DANE!BS209</f>
        <v>61</v>
      </c>
      <c r="DF209" s="188">
        <f t="shared" si="16"/>
        <v>1547</v>
      </c>
      <c r="DG209" s="177">
        <f t="shared" ca="1" si="32"/>
        <v>28.571428571428573</v>
      </c>
      <c r="DH209" s="209">
        <f t="shared" si="70"/>
        <v>185.3493314314332</v>
      </c>
      <c r="DI209" s="179">
        <f t="shared" si="74"/>
        <v>0.27761728739377395</v>
      </c>
      <c r="DJ209" s="157">
        <f t="shared" si="75"/>
        <v>2.9433210117564177</v>
      </c>
      <c r="DK209" s="225">
        <f t="shared" ca="1" si="76"/>
        <v>1.5329102025560961</v>
      </c>
      <c r="DL209" s="146"/>
      <c r="DM209" s="88"/>
      <c r="DN209" s="88"/>
      <c r="DO209" s="88"/>
      <c r="DP209" s="88"/>
      <c r="DQ209" s="88"/>
      <c r="DR209" s="88"/>
      <c r="DS209" s="88"/>
      <c r="DT209" s="88"/>
      <c r="DU209" s="88"/>
      <c r="DV209" s="88"/>
      <c r="DW209" s="146"/>
      <c r="DX209" s="146"/>
      <c r="DY209" s="146"/>
      <c r="DZ209" s="146"/>
      <c r="EA209" s="146"/>
      <c r="EB209" s="146"/>
      <c r="EC209" s="146"/>
      <c r="ED209" s="146"/>
      <c r="EE209" s="146"/>
      <c r="EF209" s="146"/>
      <c r="EG209" s="146"/>
      <c r="EH209" s="146"/>
    </row>
    <row r="210" spans="1:138" x14ac:dyDescent="0.25">
      <c r="A210" s="61">
        <v>44100</v>
      </c>
      <c r="B210" s="62">
        <f t="shared" ca="1" si="0"/>
        <v>44100</v>
      </c>
      <c r="C210" s="12">
        <f t="shared" si="93"/>
        <v>207</v>
      </c>
      <c r="D210" s="176">
        <f>DANE!K210</f>
        <v>63</v>
      </c>
      <c r="E210" s="198">
        <f t="shared" si="1"/>
        <v>4953</v>
      </c>
      <c r="F210" s="178">
        <f t="shared" ca="1" si="17"/>
        <v>45.714285714285715</v>
      </c>
      <c r="G210" s="211">
        <f t="shared" si="38"/>
        <v>316.91380507039514</v>
      </c>
      <c r="H210" s="200">
        <f t="shared" si="42"/>
        <v>6.981345213090466E-2</v>
      </c>
      <c r="I210" s="213">
        <f t="shared" si="43"/>
        <v>1.4886941649163328</v>
      </c>
      <c r="J210" s="214">
        <f t="shared" ca="1" si="44"/>
        <v>1.1901578804710655</v>
      </c>
      <c r="K210" s="176">
        <f>DANE!O210</f>
        <v>166</v>
      </c>
      <c r="L210" s="198">
        <f t="shared" si="2"/>
        <v>2263</v>
      </c>
      <c r="M210" s="177">
        <f t="shared" ca="1" si="18"/>
        <v>69</v>
      </c>
      <c r="N210" s="211">
        <f t="shared" si="62"/>
        <v>460.50790614975352</v>
      </c>
      <c r="O210" s="200">
        <f t="shared" si="66"/>
        <v>0.34027322924690473</v>
      </c>
      <c r="P210" s="213">
        <f t="shared" si="67"/>
        <v>3.3819126047283334</v>
      </c>
      <c r="Q210" s="217">
        <f t="shared" ca="1" si="68"/>
        <v>2.0915483664937344</v>
      </c>
      <c r="R210" s="176">
        <f>DANE!S210</f>
        <v>60</v>
      </c>
      <c r="S210" s="198">
        <f t="shared" si="3"/>
        <v>2413</v>
      </c>
      <c r="T210" s="177">
        <f t="shared" ca="1" si="19"/>
        <v>46.714285714285715</v>
      </c>
      <c r="U210" s="211">
        <f t="shared" si="50"/>
        <v>317.62169137563757</v>
      </c>
      <c r="V210" s="200">
        <f t="shared" si="55"/>
        <v>5.6771122736314406E-2</v>
      </c>
      <c r="W210" s="213">
        <f t="shared" si="56"/>
        <v>1.3973978591542009</v>
      </c>
      <c r="X210" s="214">
        <f t="shared" ca="1" si="57"/>
        <v>1.2145329704959273</v>
      </c>
      <c r="Y210" s="176">
        <f>DANE!W210</f>
        <v>12</v>
      </c>
      <c r="Z210" s="198">
        <f t="shared" si="4"/>
        <v>924</v>
      </c>
      <c r="AA210" s="177">
        <f t="shared" ca="1" si="20"/>
        <v>13.857142857142858</v>
      </c>
      <c r="AB210" s="211">
        <f t="shared" si="94"/>
        <v>82.324661168681018</v>
      </c>
      <c r="AC210" s="200">
        <f t="shared" si="95"/>
        <v>3.4032743959590355E-3</v>
      </c>
      <c r="AD210" s="213">
        <f t="shared" si="96"/>
        <v>1.0238229207717133</v>
      </c>
      <c r="AE210" s="217">
        <f t="shared" ca="1" si="97"/>
        <v>1.5396580129280686</v>
      </c>
      <c r="AF210" s="176">
        <f>DANE!AA210</f>
        <v>104</v>
      </c>
      <c r="AG210" s="198">
        <f t="shared" si="5"/>
        <v>6426</v>
      </c>
      <c r="AH210" s="177">
        <f t="shared" ca="1" si="21"/>
        <v>78.285714285714292</v>
      </c>
      <c r="AI210" s="211">
        <f t="shared" si="37"/>
        <v>468.88474687282138</v>
      </c>
      <c r="AJ210" s="200">
        <f t="shared" si="39"/>
        <v>0.10144700497813905</v>
      </c>
      <c r="AK210" s="213">
        <f t="shared" si="40"/>
        <v>1.7101290348469735</v>
      </c>
      <c r="AL210" s="214">
        <f t="shared" ca="1" si="41"/>
        <v>1.5865220507976916</v>
      </c>
      <c r="AM210" s="176">
        <f>DANE!AE210</f>
        <v>259</v>
      </c>
      <c r="AN210" s="198">
        <f t="shared" si="6"/>
        <v>10558</v>
      </c>
      <c r="AO210" s="177">
        <f t="shared" ca="1" si="22"/>
        <v>159.42857142857142</v>
      </c>
      <c r="AP210" s="211">
        <f t="shared" si="49"/>
        <v>1080.5011305252424</v>
      </c>
      <c r="AQ210" s="200">
        <f t="shared" si="51"/>
        <v>0.12737985591370493</v>
      </c>
      <c r="AR210" s="213">
        <f t="shared" si="52"/>
        <v>1.8916589913959345</v>
      </c>
      <c r="AS210" s="217">
        <f t="shared" ca="1" si="53"/>
        <v>1.3848220746870437</v>
      </c>
      <c r="AT210" s="176">
        <f>DANE!AI210</f>
        <v>146</v>
      </c>
      <c r="AU210" s="198">
        <f t="shared" si="7"/>
        <v>12085</v>
      </c>
      <c r="AV210" s="177">
        <f t="shared" ca="1" si="23"/>
        <v>163.71428571428572</v>
      </c>
      <c r="AW210" s="211">
        <f t="shared" si="33"/>
        <v>1001.4440247526323</v>
      </c>
      <c r="AX210" s="200">
        <f t="shared" si="34"/>
        <v>3.4327995842045578E-3</v>
      </c>
      <c r="AY210" s="213">
        <f t="shared" si="35"/>
        <v>1.024029597089432</v>
      </c>
      <c r="AZ210" s="214">
        <f t="shared" ca="1" si="36"/>
        <v>1.5106537141125422</v>
      </c>
      <c r="BA210" s="176">
        <f>DANE!AM210</f>
        <v>32</v>
      </c>
      <c r="BB210" s="198">
        <f t="shared" si="8"/>
        <v>2238</v>
      </c>
      <c r="BC210" s="177">
        <f t="shared" ca="1" si="24"/>
        <v>42.142857142857146</v>
      </c>
      <c r="BD210" s="211">
        <f t="shared" si="77"/>
        <v>222.07539163975164</v>
      </c>
      <c r="BE210" s="200">
        <f t="shared" si="80"/>
        <v>1.4464999866219952E-3</v>
      </c>
      <c r="BF210" s="213">
        <f t="shared" si="81"/>
        <v>1.010125499906354</v>
      </c>
      <c r="BG210" s="217">
        <f t="shared" ca="1" si="82"/>
        <v>1.5627223606232465</v>
      </c>
      <c r="BH210" s="176">
        <f>DANE!AQ210</f>
        <v>72</v>
      </c>
      <c r="BI210" s="198">
        <f t="shared" si="9"/>
        <v>3534</v>
      </c>
      <c r="BJ210" s="177">
        <f t="shared" ca="1" si="25"/>
        <v>51.857142857142854</v>
      </c>
      <c r="BK210" s="211">
        <f t="shared" si="61"/>
        <v>345.52682169997576</v>
      </c>
      <c r="BL210" s="200">
        <f t="shared" si="63"/>
        <v>8.2767113406758339E-2</v>
      </c>
      <c r="BM210" s="213">
        <f t="shared" si="64"/>
        <v>1.5793697938473084</v>
      </c>
      <c r="BN210" s="214">
        <f t="shared" ca="1" si="65"/>
        <v>1.1933184102406469</v>
      </c>
      <c r="BO210" s="176">
        <f>DANE!AU210</f>
        <v>76</v>
      </c>
      <c r="BP210" s="198">
        <f t="shared" si="10"/>
        <v>1816</v>
      </c>
      <c r="BQ210" s="177">
        <f t="shared" ca="1" si="26"/>
        <v>35</v>
      </c>
      <c r="BR210" s="211">
        <f t="shared" si="78"/>
        <v>229.91497054576604</v>
      </c>
      <c r="BS210" s="200">
        <f t="shared" si="83"/>
        <v>0.28038211003598079</v>
      </c>
      <c r="BT210" s="213">
        <f t="shared" si="84"/>
        <v>2.9626747702518657</v>
      </c>
      <c r="BU210" s="217">
        <f t="shared" ca="1" si="85"/>
        <v>1.7345272556441511</v>
      </c>
      <c r="BV210" s="176">
        <f>DANE!AY210</f>
        <v>151</v>
      </c>
      <c r="BW210" s="198">
        <f t="shared" si="11"/>
        <v>4288</v>
      </c>
      <c r="BX210" s="177">
        <f t="shared" ca="1" si="27"/>
        <v>109.14285714285714</v>
      </c>
      <c r="BY210" s="211">
        <f t="shared" si="69"/>
        <v>703.86362694165916</v>
      </c>
      <c r="BZ210" s="200">
        <f t="shared" si="71"/>
        <v>9.124863860753181E-2</v>
      </c>
      <c r="CA210" s="213">
        <f t="shared" si="72"/>
        <v>1.6387404702527228</v>
      </c>
      <c r="CB210" s="214">
        <f t="shared" ca="1" si="73"/>
        <v>1.4338522501540489</v>
      </c>
      <c r="CC210" s="176">
        <f>DANE!BC210</f>
        <v>141</v>
      </c>
      <c r="CD210" s="198">
        <f t="shared" si="12"/>
        <v>22194</v>
      </c>
      <c r="CE210" s="177">
        <f t="shared" ca="1" si="28"/>
        <v>92.857142857142861</v>
      </c>
      <c r="CF210" s="211">
        <f t="shared" si="45"/>
        <v>615.94480977664284</v>
      </c>
      <c r="CG210" s="200">
        <f t="shared" si="46"/>
        <v>0.11160851371878582</v>
      </c>
      <c r="CH210" s="213">
        <f t="shared" si="47"/>
        <v>1.7812595960315007</v>
      </c>
      <c r="CI210" s="217">
        <f t="shared" ca="1" si="48"/>
        <v>1.3828935687656501</v>
      </c>
      <c r="CJ210" s="176">
        <f>DANE!BG210</f>
        <v>41</v>
      </c>
      <c r="CK210" s="198">
        <f t="shared" si="13"/>
        <v>1971</v>
      </c>
      <c r="CL210" s="177">
        <f t="shared" ca="1" si="29"/>
        <v>30.285714285714285</v>
      </c>
      <c r="CM210" s="211">
        <f t="shared" si="79"/>
        <v>203.11823446463347</v>
      </c>
      <c r="CN210" s="200">
        <f t="shared" si="86"/>
        <v>7.3915863948107521E-2</v>
      </c>
      <c r="CO210" s="213">
        <f t="shared" si="87"/>
        <v>1.5174110476367528</v>
      </c>
      <c r="CP210" s="214">
        <f t="shared" ca="1" si="88"/>
        <v>1.4365101239224793</v>
      </c>
      <c r="CQ210" s="176">
        <f>DANE!BK210</f>
        <v>43</v>
      </c>
      <c r="CR210" s="198">
        <f t="shared" si="14"/>
        <v>1430</v>
      </c>
      <c r="CS210" s="177">
        <f t="shared" ca="1" si="30"/>
        <v>34.571428571428569</v>
      </c>
      <c r="CT210" s="211">
        <f t="shared" si="89"/>
        <v>224.65751611629068</v>
      </c>
      <c r="CU210" s="200">
        <f t="shared" si="90"/>
        <v>6.0036432069579398E-2</v>
      </c>
      <c r="CV210" s="213">
        <f t="shared" si="91"/>
        <v>1.4202550244870558</v>
      </c>
      <c r="CW210" s="217">
        <f t="shared" ca="1" si="92"/>
        <v>1.6605289493826052</v>
      </c>
      <c r="CX210" s="176">
        <f>DANE!BO210</f>
        <v>167</v>
      </c>
      <c r="CY210" s="198">
        <f t="shared" si="15"/>
        <v>7289</v>
      </c>
      <c r="CZ210" s="177">
        <f t="shared" ca="1" si="31"/>
        <v>88.857142857142861</v>
      </c>
      <c r="DA210" s="211">
        <f t="shared" si="54"/>
        <v>577.68688463985234</v>
      </c>
      <c r="DB210" s="200">
        <f t="shared" si="58"/>
        <v>0.20568784968233125</v>
      </c>
      <c r="DC210" s="213">
        <f t="shared" si="59"/>
        <v>2.4398149477763189</v>
      </c>
      <c r="DD210" s="214">
        <f t="shared" ca="1" si="60"/>
        <v>1.3968566843674191</v>
      </c>
      <c r="DE210" s="176">
        <f>DANE!BS210</f>
        <v>51</v>
      </c>
      <c r="DF210" s="198">
        <f t="shared" si="16"/>
        <v>1598</v>
      </c>
      <c r="DG210" s="177">
        <f t="shared" ca="1" si="32"/>
        <v>31.428571428571427</v>
      </c>
      <c r="DH210" s="211">
        <f t="shared" si="70"/>
        <v>209.87085551265704</v>
      </c>
      <c r="DI210" s="200">
        <f t="shared" si="74"/>
        <v>0.13229896159779331</v>
      </c>
      <c r="DJ210" s="157">
        <f t="shared" si="75"/>
        <v>1.926092731184553</v>
      </c>
      <c r="DK210" s="225">
        <f t="shared" ca="1" si="76"/>
        <v>1.5395893658112694</v>
      </c>
      <c r="DL210" s="146"/>
      <c r="DM210" s="371"/>
      <c r="DN210" s="372"/>
      <c r="DO210" s="372"/>
      <c r="DP210" s="372"/>
      <c r="DQ210" s="372"/>
      <c r="DR210" s="372"/>
      <c r="DS210" s="372"/>
      <c r="DT210" s="372"/>
      <c r="DU210" s="372"/>
      <c r="DV210" s="372"/>
      <c r="DW210" s="146"/>
      <c r="DX210" s="146"/>
      <c r="DY210" s="146"/>
      <c r="DZ210" s="146"/>
      <c r="EA210" s="146"/>
      <c r="EB210" s="146"/>
      <c r="EC210" s="146"/>
      <c r="ED210" s="146"/>
      <c r="EE210" s="146"/>
      <c r="EF210" s="146"/>
      <c r="EG210" s="146"/>
      <c r="EH210" s="146"/>
    </row>
    <row r="211" spans="1:138" x14ac:dyDescent="0.25">
      <c r="A211" s="61">
        <v>44101</v>
      </c>
      <c r="B211" s="62">
        <f t="shared" ca="1" si="0"/>
        <v>44101</v>
      </c>
      <c r="C211" s="12">
        <f t="shared" si="93"/>
        <v>208</v>
      </c>
      <c r="D211" s="176">
        <f>DANE!K211</f>
        <v>49</v>
      </c>
      <c r="E211" s="198">
        <f t="shared" si="1"/>
        <v>5002</v>
      </c>
      <c r="F211" s="178">
        <f t="shared" ca="1" si="17"/>
        <v>46.285714285714285</v>
      </c>
      <c r="G211" s="211">
        <f t="shared" si="38"/>
        <v>320.640404346053</v>
      </c>
      <c r="H211" s="200">
        <f t="shared" si="42"/>
        <v>1.1759031055242553E-2</v>
      </c>
      <c r="I211" s="213">
        <f t="shared" si="43"/>
        <v>1.0823132173866978</v>
      </c>
      <c r="J211" s="214">
        <f t="shared" ca="1" si="44"/>
        <v>1.1755362314395776</v>
      </c>
      <c r="K211" s="176">
        <f>DANE!O211</f>
        <v>72</v>
      </c>
      <c r="L211" s="198">
        <f t="shared" si="2"/>
        <v>2335</v>
      </c>
      <c r="M211" s="177">
        <f t="shared" ca="1" si="18"/>
        <v>75.571428571428569</v>
      </c>
      <c r="N211" s="211">
        <f t="shared" si="62"/>
        <v>466.72106241407448</v>
      </c>
      <c r="O211" s="200">
        <f t="shared" si="66"/>
        <v>1.3491964375309744E-2</v>
      </c>
      <c r="P211" s="213">
        <f t="shared" si="67"/>
        <v>1.0944437506271683</v>
      </c>
      <c r="Q211" s="217">
        <f t="shared" ca="1" si="68"/>
        <v>2.1108314269852788</v>
      </c>
      <c r="R211" s="176">
        <f>DANE!S211</f>
        <v>77</v>
      </c>
      <c r="S211" s="198">
        <f t="shared" si="3"/>
        <v>2490</v>
      </c>
      <c r="T211" s="177">
        <f t="shared" ca="1" si="19"/>
        <v>52.714285714285715</v>
      </c>
      <c r="U211" s="211">
        <f t="shared" si="50"/>
        <v>349.24716403626081</v>
      </c>
      <c r="V211" s="200">
        <f t="shared" si="55"/>
        <v>9.9569624869295062E-2</v>
      </c>
      <c r="W211" s="213">
        <f t="shared" si="56"/>
        <v>1.6969873740850656</v>
      </c>
      <c r="X211" s="214">
        <f t="shared" ca="1" si="57"/>
        <v>1.3218377579057443</v>
      </c>
      <c r="Y211" s="176">
        <f>DANE!W211</f>
        <v>6</v>
      </c>
      <c r="Z211" s="198">
        <f t="shared" si="4"/>
        <v>930</v>
      </c>
      <c r="AA211" s="177">
        <f t="shared" ca="1" si="20"/>
        <v>13.285714285714286</v>
      </c>
      <c r="AB211" s="211">
        <f t="shared" si="94"/>
        <v>76.563995287440875</v>
      </c>
      <c r="AC211" s="200">
        <f t="shared" si="95"/>
        <v>-6.997497225572169E-2</v>
      </c>
      <c r="AD211" s="213">
        <f t="shared" si="96"/>
        <v>0.51017519420994817</v>
      </c>
      <c r="AE211" s="217">
        <f t="shared" ca="1" si="97"/>
        <v>1.4107402417870918</v>
      </c>
      <c r="AF211" s="176">
        <f>DANE!AA211</f>
        <v>86</v>
      </c>
      <c r="AG211" s="198">
        <f t="shared" si="5"/>
        <v>6512</v>
      </c>
      <c r="AH211" s="177">
        <f t="shared" ca="1" si="21"/>
        <v>82.857142857142861</v>
      </c>
      <c r="AI211" s="211">
        <f t="shared" si="37"/>
        <v>487.90121160527548</v>
      </c>
      <c r="AJ211" s="200">
        <f t="shared" si="39"/>
        <v>4.0556799638466492E-2</v>
      </c>
      <c r="AK211" s="213">
        <f t="shared" si="40"/>
        <v>1.2838975974692655</v>
      </c>
      <c r="AL211" s="214">
        <f t="shared" ca="1" si="41"/>
        <v>1.5692072213511188</v>
      </c>
      <c r="AM211" s="176">
        <f>DANE!AE211</f>
        <v>152</v>
      </c>
      <c r="AN211" s="198">
        <f t="shared" si="6"/>
        <v>10710</v>
      </c>
      <c r="AO211" s="177">
        <f t="shared" ca="1" si="22"/>
        <v>166.42857142857142</v>
      </c>
      <c r="AP211" s="211">
        <f t="shared" si="49"/>
        <v>1078.1438261644935</v>
      </c>
      <c r="AQ211" s="200">
        <f t="shared" si="51"/>
        <v>-2.1816769035706641E-3</v>
      </c>
      <c r="AR211" s="213">
        <f t="shared" si="52"/>
        <v>0.98472826167500538</v>
      </c>
      <c r="AS211" s="217">
        <f t="shared" ca="1" si="53"/>
        <v>1.3886077478765877</v>
      </c>
      <c r="AT211" s="176">
        <f>DANE!AI211</f>
        <v>193</v>
      </c>
      <c r="AU211" s="198">
        <f t="shared" si="7"/>
        <v>12278</v>
      </c>
      <c r="AV211" s="177">
        <f t="shared" ca="1" si="23"/>
        <v>167.85714285714286</v>
      </c>
      <c r="AW211" s="211">
        <f t="shared" si="33"/>
        <v>1051.3805926451137</v>
      </c>
      <c r="AX211" s="200">
        <f t="shared" si="34"/>
        <v>4.9864562230341532E-2</v>
      </c>
      <c r="AY211" s="213">
        <f t="shared" si="35"/>
        <v>1.3490519356123907</v>
      </c>
      <c r="AZ211" s="214">
        <f t="shared" ca="1" si="36"/>
        <v>1.4391593786256338</v>
      </c>
      <c r="BA211" s="176">
        <f>DANE!AM211</f>
        <v>16</v>
      </c>
      <c r="BB211" s="198">
        <f t="shared" si="8"/>
        <v>2254</v>
      </c>
      <c r="BC211" s="177">
        <f t="shared" ca="1" si="24"/>
        <v>32.428571428571431</v>
      </c>
      <c r="BD211" s="211">
        <f t="shared" si="77"/>
        <v>206.35033569121572</v>
      </c>
      <c r="BE211" s="200">
        <f t="shared" si="80"/>
        <v>-7.0809538294296676E-2</v>
      </c>
      <c r="BF211" s="213">
        <f t="shared" si="81"/>
        <v>0.50433323193992319</v>
      </c>
      <c r="BG211" s="217">
        <f t="shared" ca="1" si="82"/>
        <v>1.0351567774477342</v>
      </c>
      <c r="BH211" s="176">
        <f>DANE!AQ211</f>
        <v>70</v>
      </c>
      <c r="BI211" s="198">
        <f t="shared" si="9"/>
        <v>3604</v>
      </c>
      <c r="BJ211" s="177">
        <f t="shared" ca="1" si="25"/>
        <v>53</v>
      </c>
      <c r="BK211" s="211">
        <f t="shared" si="61"/>
        <v>366.16584717140779</v>
      </c>
      <c r="BL211" s="200">
        <f t="shared" si="63"/>
        <v>5.9732050235316025E-2</v>
      </c>
      <c r="BM211" s="213">
        <f t="shared" si="64"/>
        <v>1.4181243516472122</v>
      </c>
      <c r="BN211" s="214">
        <f t="shared" ca="1" si="65"/>
        <v>1.1810865773423431</v>
      </c>
      <c r="BO211" s="176">
        <f>DANE!AU211</f>
        <v>65</v>
      </c>
      <c r="BP211" s="198">
        <f t="shared" si="10"/>
        <v>1881</v>
      </c>
      <c r="BQ211" s="177">
        <f t="shared" ca="1" si="26"/>
        <v>41.285714285714285</v>
      </c>
      <c r="BR211" s="211">
        <f t="shared" si="78"/>
        <v>262.06997475351375</v>
      </c>
      <c r="BS211" s="200">
        <f t="shared" si="83"/>
        <v>0.13985606996977629</v>
      </c>
      <c r="BT211" s="213">
        <f t="shared" si="84"/>
        <v>1.9789924897884341</v>
      </c>
      <c r="BU211" s="217">
        <f t="shared" ca="1" si="85"/>
        <v>1.8395783148251368</v>
      </c>
      <c r="BV211" s="176">
        <f>DANE!AY211</f>
        <v>191</v>
      </c>
      <c r="BW211" s="198">
        <f t="shared" si="11"/>
        <v>4479</v>
      </c>
      <c r="BX211" s="177">
        <f t="shared" ca="1" si="27"/>
        <v>128.57142857142858</v>
      </c>
      <c r="BY211" s="211">
        <f t="shared" si="69"/>
        <v>794.31168023570785</v>
      </c>
      <c r="BZ211" s="200">
        <f t="shared" si="71"/>
        <v>0.12850224082050146</v>
      </c>
      <c r="CA211" s="213">
        <f t="shared" si="72"/>
        <v>1.8995156857435103</v>
      </c>
      <c r="CB211" s="214">
        <f t="shared" ca="1" si="73"/>
        <v>1.5869203356311812</v>
      </c>
      <c r="CC211" s="176">
        <f>DANE!BC211</f>
        <v>93</v>
      </c>
      <c r="CD211" s="198">
        <f t="shared" si="12"/>
        <v>22287</v>
      </c>
      <c r="CE211" s="177">
        <f t="shared" ca="1" si="28"/>
        <v>95.571428571428569</v>
      </c>
      <c r="CF211" s="211">
        <f t="shared" si="45"/>
        <v>620.95269409426533</v>
      </c>
      <c r="CG211" s="200">
        <f t="shared" si="46"/>
        <v>8.1304107740407285E-3</v>
      </c>
      <c r="CH211" s="213">
        <f t="shared" si="47"/>
        <v>1.056912875418285</v>
      </c>
      <c r="CI211" s="217">
        <f t="shared" ca="1" si="48"/>
        <v>1.3609551834385936</v>
      </c>
      <c r="CJ211" s="176">
        <f>DANE!BG211</f>
        <v>39</v>
      </c>
      <c r="CK211" s="198">
        <f t="shared" si="13"/>
        <v>2010</v>
      </c>
      <c r="CL211" s="177">
        <f t="shared" ca="1" si="29"/>
        <v>33.285714285714285</v>
      </c>
      <c r="CM211" s="211">
        <f t="shared" si="79"/>
        <v>213.1013438268287</v>
      </c>
      <c r="CN211" s="200">
        <f t="shared" si="86"/>
        <v>4.9149252348062625E-2</v>
      </c>
      <c r="CO211" s="213">
        <f t="shared" si="87"/>
        <v>1.3440447664364383</v>
      </c>
      <c r="CP211" s="214">
        <f t="shared" ca="1" si="88"/>
        <v>1.4962315742182064</v>
      </c>
      <c r="CQ211" s="176">
        <f>DANE!BK211</f>
        <v>82</v>
      </c>
      <c r="CR211" s="198">
        <f t="shared" si="14"/>
        <v>1512</v>
      </c>
      <c r="CS211" s="177">
        <f t="shared" ca="1" si="30"/>
        <v>43</v>
      </c>
      <c r="CT211" s="211">
        <f t="shared" si="89"/>
        <v>274.56358524253488</v>
      </c>
      <c r="CU211" s="200">
        <f t="shared" si="90"/>
        <v>0.22214288659904463</v>
      </c>
      <c r="CV211" s="213">
        <f t="shared" si="91"/>
        <v>2.5550002061933128</v>
      </c>
      <c r="CW211" s="217">
        <f t="shared" ca="1" si="92"/>
        <v>1.8446861304891136</v>
      </c>
      <c r="CX211" s="176">
        <f>DANE!BO211</f>
        <v>102</v>
      </c>
      <c r="CY211" s="198">
        <f t="shared" si="15"/>
        <v>7391</v>
      </c>
      <c r="CZ211" s="177">
        <f t="shared" ca="1" si="31"/>
        <v>85.857142857142861</v>
      </c>
      <c r="DA211" s="211">
        <f t="shared" si="54"/>
        <v>597.16018683415916</v>
      </c>
      <c r="DB211" s="200">
        <f t="shared" si="58"/>
        <v>3.3709095207254146E-2</v>
      </c>
      <c r="DC211" s="213">
        <f t="shared" si="59"/>
        <v>1.2359636664507789</v>
      </c>
      <c r="DD211" s="214">
        <f t="shared" ca="1" si="60"/>
        <v>1.2678944600376774</v>
      </c>
      <c r="DE211" s="176">
        <f>DANE!BS211</f>
        <v>57</v>
      </c>
      <c r="DF211" s="198">
        <f t="shared" si="16"/>
        <v>1655</v>
      </c>
      <c r="DG211" s="177">
        <f t="shared" ca="1" si="32"/>
        <v>37.714285714285715</v>
      </c>
      <c r="DH211" s="211">
        <f t="shared" si="70"/>
        <v>236.88930472513462</v>
      </c>
      <c r="DI211" s="200">
        <f t="shared" si="74"/>
        <v>0.12873845273312914</v>
      </c>
      <c r="DJ211" s="157">
        <f t="shared" si="75"/>
        <v>1.9011691691319039</v>
      </c>
      <c r="DK211" s="225">
        <f t="shared" ca="1" si="76"/>
        <v>1.711162640774391</v>
      </c>
      <c r="DL211" s="146"/>
      <c r="DM211" s="371"/>
      <c r="DN211" s="372"/>
      <c r="DO211" s="372"/>
      <c r="DP211" s="372"/>
      <c r="DQ211" s="372"/>
      <c r="DR211" s="372"/>
      <c r="DS211" s="372"/>
      <c r="DT211" s="372"/>
      <c r="DU211" s="372"/>
      <c r="DV211" s="372"/>
      <c r="DW211" s="146"/>
      <c r="DX211" s="146"/>
      <c r="DY211" s="146"/>
      <c r="DZ211" s="146"/>
      <c r="EA211" s="146"/>
      <c r="EB211" s="146"/>
      <c r="EC211" s="146"/>
      <c r="ED211" s="146"/>
      <c r="EE211" s="146"/>
      <c r="EF211" s="146"/>
      <c r="EG211" s="146"/>
      <c r="EH211" s="146"/>
    </row>
    <row r="212" spans="1:138" x14ac:dyDescent="0.25">
      <c r="A212" s="32">
        <v>44102</v>
      </c>
      <c r="B212" s="33">
        <f t="shared" ca="1" si="0"/>
        <v>44102</v>
      </c>
      <c r="C212" s="51">
        <f t="shared" si="93"/>
        <v>209</v>
      </c>
      <c r="D212" s="176">
        <f>DANE!K212</f>
        <v>28</v>
      </c>
      <c r="E212" s="188">
        <f t="shared" si="1"/>
        <v>5030</v>
      </c>
      <c r="F212" s="178">
        <f t="shared" ca="1" si="17"/>
        <v>49</v>
      </c>
      <c r="G212" s="209">
        <f t="shared" si="38"/>
        <v>302.83463229661686</v>
      </c>
      <c r="H212" s="179">
        <f t="shared" si="42"/>
        <v>-5.5531903678050387E-2</v>
      </c>
      <c r="I212" s="213">
        <f t="shared" si="43"/>
        <v>0.61127667425364729</v>
      </c>
      <c r="J212" s="214">
        <f t="shared" ca="1" si="44"/>
        <v>1.2298838773674852</v>
      </c>
      <c r="K212" s="176">
        <f>DANE!O212</f>
        <v>152</v>
      </c>
      <c r="L212" s="188">
        <f t="shared" si="2"/>
        <v>2487</v>
      </c>
      <c r="M212" s="177">
        <f t="shared" ca="1" si="18"/>
        <v>94.285714285714292</v>
      </c>
      <c r="N212" s="209">
        <f t="shared" si="62"/>
        <v>552.04662492634952</v>
      </c>
      <c r="O212" s="179">
        <f t="shared" si="66"/>
        <v>0.18281918127057717</v>
      </c>
      <c r="P212" s="213">
        <f t="shared" si="67"/>
        <v>2.2797342688940403</v>
      </c>
      <c r="Q212" s="217">
        <f t="shared" ca="1" si="68"/>
        <v>2.3251557091367494</v>
      </c>
      <c r="R212" s="176">
        <f>DANE!S212</f>
        <v>87</v>
      </c>
      <c r="S212" s="188">
        <f t="shared" si="3"/>
        <v>2577</v>
      </c>
      <c r="T212" s="177">
        <f t="shared" ca="1" si="19"/>
        <v>58.285714285714285</v>
      </c>
      <c r="U212" s="209">
        <f t="shared" si="50"/>
        <v>386.35471203108074</v>
      </c>
      <c r="V212" s="179">
        <f t="shared" si="55"/>
        <v>0.10625010541522166</v>
      </c>
      <c r="W212" s="213">
        <f t="shared" si="56"/>
        <v>1.7437507379065518</v>
      </c>
      <c r="X212" s="214">
        <f t="shared" ca="1" si="57"/>
        <v>1.3841902836096083</v>
      </c>
      <c r="Y212" s="176">
        <f>DANE!W212</f>
        <v>39</v>
      </c>
      <c r="Z212" s="188">
        <f t="shared" si="4"/>
        <v>969</v>
      </c>
      <c r="AA212" s="177">
        <f t="shared" ca="1" si="20"/>
        <v>16.714285714285715</v>
      </c>
      <c r="AB212" s="209">
        <f t="shared" si="94"/>
        <v>104.62628167494933</v>
      </c>
      <c r="AC212" s="179">
        <f t="shared" si="95"/>
        <v>0.36652066395118788</v>
      </c>
      <c r="AD212" s="213">
        <f t="shared" si="96"/>
        <v>3.5656446476583152</v>
      </c>
      <c r="AE212" s="217">
        <f t="shared" ca="1" si="97"/>
        <v>1.634266997025642</v>
      </c>
      <c r="AF212" s="176">
        <f>DANE!AA212</f>
        <v>57</v>
      </c>
      <c r="AG212" s="188">
        <f t="shared" si="5"/>
        <v>6569</v>
      </c>
      <c r="AH212" s="177">
        <f t="shared" ca="1" si="21"/>
        <v>77.714285714285708</v>
      </c>
      <c r="AI212" s="209">
        <f t="shared" si="37"/>
        <v>475.20103851880759</v>
      </c>
      <c r="AJ212" s="179">
        <f t="shared" si="39"/>
        <v>-2.603021428186706E-2</v>
      </c>
      <c r="AK212" s="213">
        <f t="shared" si="40"/>
        <v>0.8177885000269306</v>
      </c>
      <c r="AL212" s="214">
        <f t="shared" ca="1" si="41"/>
        <v>1.3592463411095534</v>
      </c>
      <c r="AM212" s="176">
        <f>DANE!AE212</f>
        <v>134</v>
      </c>
      <c r="AN212" s="188">
        <f t="shared" si="6"/>
        <v>10844</v>
      </c>
      <c r="AO212" s="177">
        <f t="shared" ca="1" si="22"/>
        <v>173.71428571428572</v>
      </c>
      <c r="AP212" s="209">
        <f t="shared" si="49"/>
        <v>1058.123279569566</v>
      </c>
      <c r="AQ212" s="179">
        <f t="shared" si="51"/>
        <v>-1.8569458089975607E-2</v>
      </c>
      <c r="AR212" s="213">
        <f t="shared" si="52"/>
        <v>0.87001379337017071</v>
      </c>
      <c r="AS212" s="217">
        <f t="shared" ca="1" si="53"/>
        <v>1.4019239766356613</v>
      </c>
      <c r="AT212" s="176">
        <f>DANE!AI212</f>
        <v>152</v>
      </c>
      <c r="AU212" s="188">
        <f t="shared" si="7"/>
        <v>12430</v>
      </c>
      <c r="AV212" s="177">
        <f t="shared" ca="1" si="23"/>
        <v>172.42857142857142</v>
      </c>
      <c r="AW212" s="209">
        <f t="shared" si="33"/>
        <v>1053.1833651243833</v>
      </c>
      <c r="AX212" s="179">
        <f t="shared" si="34"/>
        <v>1.714671634497366E-3</v>
      </c>
      <c r="AY212" s="213">
        <f t="shared" si="35"/>
        <v>1.0120027014414816</v>
      </c>
      <c r="AZ212" s="214">
        <f t="shared" ca="1" si="36"/>
        <v>1.4113253642876777</v>
      </c>
      <c r="BA212" s="176">
        <f>DANE!AM212</f>
        <v>35</v>
      </c>
      <c r="BB212" s="188">
        <f t="shared" si="8"/>
        <v>2289</v>
      </c>
      <c r="BC212" s="177">
        <f t="shared" ca="1" si="24"/>
        <v>27.428571428571427</v>
      </c>
      <c r="BD212" s="209">
        <f t="shared" si="77"/>
        <v>211.87171630675635</v>
      </c>
      <c r="BE212" s="179">
        <f t="shared" si="80"/>
        <v>2.6757313464238187E-2</v>
      </c>
      <c r="BF212" s="213">
        <f t="shared" si="81"/>
        <v>1.1873011942496674</v>
      </c>
      <c r="BG212" s="217">
        <f t="shared" ca="1" si="82"/>
        <v>0.86176414057433415</v>
      </c>
      <c r="BH212" s="176">
        <f>DANE!AQ212</f>
        <v>73</v>
      </c>
      <c r="BI212" s="188">
        <f t="shared" si="9"/>
        <v>3677</v>
      </c>
      <c r="BJ212" s="177">
        <f t="shared" ca="1" si="25"/>
        <v>55.142857142857146</v>
      </c>
      <c r="BK212" s="209">
        <f t="shared" si="61"/>
        <v>386.85644043263528</v>
      </c>
      <c r="BL212" s="179">
        <f t="shared" si="63"/>
        <v>5.6506070735597332E-2</v>
      </c>
      <c r="BM212" s="213">
        <f t="shared" si="64"/>
        <v>1.3955424951491813</v>
      </c>
      <c r="BN212" s="214">
        <f t="shared" ca="1" si="65"/>
        <v>1.1929792911159667</v>
      </c>
      <c r="BO212" s="176">
        <f>DANE!AU212</f>
        <v>59</v>
      </c>
      <c r="BP212" s="188">
        <f t="shared" si="10"/>
        <v>1940</v>
      </c>
      <c r="BQ212" s="177">
        <f t="shared" ca="1" si="26"/>
        <v>47.857142857142854</v>
      </c>
      <c r="BR212" s="209">
        <f t="shared" si="78"/>
        <v>283.63140693158323</v>
      </c>
      <c r="BS212" s="179">
        <f t="shared" si="83"/>
        <v>8.2273569104392E-2</v>
      </c>
      <c r="BT212" s="213">
        <f t="shared" si="84"/>
        <v>1.575914983730744</v>
      </c>
      <c r="BU212" s="217">
        <f t="shared" ca="1" si="85"/>
        <v>1.9584268460253391</v>
      </c>
      <c r="BV212" s="176">
        <f>DANE!AY212</f>
        <v>150</v>
      </c>
      <c r="BW212" s="188">
        <f t="shared" si="11"/>
        <v>4629</v>
      </c>
      <c r="BX212" s="177">
        <f t="shared" ca="1" si="27"/>
        <v>137.14285714285714</v>
      </c>
      <c r="BY212" s="209">
        <f t="shared" si="69"/>
        <v>830.83858305917818</v>
      </c>
      <c r="BZ212" s="179">
        <f t="shared" si="71"/>
        <v>4.5985604558441286E-2</v>
      </c>
      <c r="CA212" s="213">
        <f t="shared" si="72"/>
        <v>1.321899231909089</v>
      </c>
      <c r="CB212" s="214">
        <f t="shared" ca="1" si="73"/>
        <v>1.5773205968848711</v>
      </c>
      <c r="CC212" s="176">
        <f>DANE!BC212</f>
        <v>83</v>
      </c>
      <c r="CD212" s="188">
        <f t="shared" si="12"/>
        <v>22370</v>
      </c>
      <c r="CE212" s="177">
        <f t="shared" ca="1" si="28"/>
        <v>101</v>
      </c>
      <c r="CF212" s="209">
        <f t="shared" si="45"/>
        <v>615.24516636651322</v>
      </c>
      <c r="CG212" s="179">
        <f t="shared" si="46"/>
        <v>-9.1915660919665194E-3</v>
      </c>
      <c r="CH212" s="213">
        <f t="shared" si="47"/>
        <v>0.93565903735623435</v>
      </c>
      <c r="CI212" s="217">
        <f t="shared" ca="1" si="48"/>
        <v>1.3925327579453339</v>
      </c>
      <c r="CJ212" s="176">
        <f>DANE!BG212</f>
        <v>18</v>
      </c>
      <c r="CK212" s="188">
        <f t="shared" si="13"/>
        <v>2028</v>
      </c>
      <c r="CL212" s="177">
        <f t="shared" ca="1" si="29"/>
        <v>34.714285714285715</v>
      </c>
      <c r="CM212" s="209">
        <f t="shared" si="79"/>
        <v>200.65829470871032</v>
      </c>
      <c r="CN212" s="179">
        <f t="shared" si="86"/>
        <v>-5.8390289308686408E-2</v>
      </c>
      <c r="CO212" s="213">
        <f t="shared" si="87"/>
        <v>0.59126797483919513</v>
      </c>
      <c r="CP212" s="214">
        <f t="shared" ca="1" si="88"/>
        <v>1.5212769027936386</v>
      </c>
      <c r="CQ212" s="176">
        <f>DANE!BK212</f>
        <v>14</v>
      </c>
      <c r="CR212" s="188">
        <f t="shared" si="14"/>
        <v>1526</v>
      </c>
      <c r="CS212" s="177">
        <f t="shared" ca="1" si="30"/>
        <v>43.428571428571431</v>
      </c>
      <c r="CT212" s="209">
        <f t="shared" si="89"/>
        <v>249.34021592217277</v>
      </c>
      <c r="CU212" s="179">
        <f t="shared" si="90"/>
        <v>-9.1867132701086804E-2</v>
      </c>
      <c r="CV212" s="213">
        <f t="shared" si="91"/>
        <v>0.35693007109239239</v>
      </c>
      <c r="CW212" s="217">
        <f t="shared" ca="1" si="92"/>
        <v>1.8123512379526725</v>
      </c>
      <c r="CX212" s="176">
        <f>DANE!BO212</f>
        <v>200</v>
      </c>
      <c r="CY212" s="188">
        <f t="shared" si="15"/>
        <v>7591</v>
      </c>
      <c r="CZ212" s="177">
        <f t="shared" ca="1" si="31"/>
        <v>107</v>
      </c>
      <c r="DA212" s="209">
        <f t="shared" si="54"/>
        <v>711.85158871499357</v>
      </c>
      <c r="DB212" s="179">
        <f t="shared" si="58"/>
        <v>0.19206136713311403</v>
      </c>
      <c r="DC212" s="213">
        <f t="shared" si="59"/>
        <v>2.3444295699317985</v>
      </c>
      <c r="DD212" s="214">
        <f t="shared" ca="1" si="60"/>
        <v>1.4917183706718349</v>
      </c>
      <c r="DE212" s="176">
        <f>DANE!BS212</f>
        <v>25</v>
      </c>
      <c r="DF212" s="188">
        <f t="shared" si="16"/>
        <v>1680</v>
      </c>
      <c r="DG212" s="177">
        <f t="shared" ca="1" si="32"/>
        <v>39.571428571428569</v>
      </c>
      <c r="DH212" s="209">
        <f t="shared" si="70"/>
        <v>228.04797547868682</v>
      </c>
      <c r="DI212" s="179">
        <f t="shared" si="74"/>
        <v>-3.7322618919864256E-2</v>
      </c>
      <c r="DJ212" s="157">
        <f t="shared" si="75"/>
        <v>0.73874166756095017</v>
      </c>
      <c r="DK212" s="225">
        <f t="shared" ca="1" si="76"/>
        <v>1.7202370154001063</v>
      </c>
      <c r="DL212" s="226"/>
      <c r="DM212" s="380"/>
      <c r="DN212" s="372"/>
      <c r="DO212" s="372"/>
      <c r="DP212" s="372"/>
      <c r="DQ212" s="372"/>
      <c r="DR212" s="372"/>
      <c r="DS212" s="372"/>
      <c r="DT212" s="88"/>
      <c r="DU212" s="88"/>
      <c r="DV212" s="88"/>
      <c r="DW212" s="226"/>
      <c r="DX212" s="226"/>
      <c r="DY212" s="226"/>
      <c r="DZ212" s="226"/>
      <c r="EA212" s="226"/>
      <c r="EB212" s="226"/>
      <c r="EC212" s="226"/>
      <c r="ED212" s="226"/>
      <c r="EE212" s="226"/>
      <c r="EF212" s="226"/>
      <c r="EG212" s="226"/>
      <c r="EH212" s="226"/>
    </row>
    <row r="213" spans="1:138" x14ac:dyDescent="0.25">
      <c r="A213" s="32">
        <v>44103</v>
      </c>
      <c r="B213" s="33">
        <f t="shared" ref="B213:B296" ca="1" si="98">IF(ISBLANK(D213),"",IF(DATEDIF(A213,TODAY(),"D")&lt;$DP$2,A213,""))</f>
        <v>44103</v>
      </c>
      <c r="C213" s="51">
        <f t="shared" si="93"/>
        <v>210</v>
      </c>
      <c r="D213" s="176">
        <f>DANE!K213</f>
        <v>64</v>
      </c>
      <c r="E213" s="188">
        <f t="shared" si="1"/>
        <v>5094</v>
      </c>
      <c r="F213" s="178">
        <f t="shared" ca="1" si="17"/>
        <v>51.428571428571431</v>
      </c>
      <c r="G213" s="209">
        <f t="shared" si="38"/>
        <v>323.57254196852875</v>
      </c>
      <c r="H213" s="179">
        <f t="shared" si="42"/>
        <v>6.8479319933262367E-2</v>
      </c>
      <c r="I213" s="213">
        <f t="shared" si="43"/>
        <v>1.4793552395328367</v>
      </c>
      <c r="J213" s="214">
        <f t="shared" ca="1" si="44"/>
        <v>1.2477450411289721</v>
      </c>
      <c r="K213" s="176">
        <f>DANE!O213</f>
        <v>120</v>
      </c>
      <c r="L213" s="188">
        <f t="shared" si="2"/>
        <v>2607</v>
      </c>
      <c r="M213" s="177">
        <f t="shared" ca="1" si="18"/>
        <v>109.57142857142857</v>
      </c>
      <c r="N213" s="209">
        <f t="shared" si="62"/>
        <v>593.18282136544246</v>
      </c>
      <c r="O213" s="179">
        <f t="shared" si="66"/>
        <v>7.4515800987971018E-2</v>
      </c>
      <c r="P213" s="213">
        <f t="shared" si="67"/>
        <v>1.5216106069157971</v>
      </c>
      <c r="Q213" s="217">
        <f t="shared" ca="1" si="68"/>
        <v>2.4713540742368596</v>
      </c>
      <c r="R213" s="176">
        <f>DANE!S213</f>
        <v>29</v>
      </c>
      <c r="S213" s="188">
        <f t="shared" si="3"/>
        <v>2606</v>
      </c>
      <c r="T213" s="177">
        <f t="shared" ca="1" si="19"/>
        <v>59.428571428571431</v>
      </c>
      <c r="U213" s="209">
        <f t="shared" si="50"/>
        <v>360.16118174092639</v>
      </c>
      <c r="V213" s="179">
        <f t="shared" si="55"/>
        <v>-6.7796585558524719E-2</v>
      </c>
      <c r="W213" s="213">
        <f t="shared" si="56"/>
        <v>0.52542390109032699</v>
      </c>
      <c r="X213" s="214">
        <f t="shared" ca="1" si="57"/>
        <v>1.3809814850713149</v>
      </c>
      <c r="Y213" s="176">
        <f>DANE!W213</f>
        <v>16</v>
      </c>
      <c r="Z213" s="188">
        <f t="shared" si="4"/>
        <v>985</v>
      </c>
      <c r="AA213" s="177">
        <f t="shared" ca="1" si="20"/>
        <v>17.857142857142858</v>
      </c>
      <c r="AB213" s="209">
        <f t="shared" si="94"/>
        <v>105.67967000709943</v>
      </c>
      <c r="AC213" s="179">
        <f t="shared" si="95"/>
        <v>1.0068104450301986E-2</v>
      </c>
      <c r="AD213" s="213">
        <f t="shared" si="96"/>
        <v>1.0704767311521139</v>
      </c>
      <c r="AE213" s="217">
        <f t="shared" ca="1" si="97"/>
        <v>1.6538110486780204</v>
      </c>
      <c r="AF213" s="176">
        <f>DANE!AA213</f>
        <v>92</v>
      </c>
      <c r="AG213" s="188">
        <f t="shared" si="5"/>
        <v>6661</v>
      </c>
      <c r="AH213" s="177">
        <f t="shared" ca="1" si="21"/>
        <v>83.571428571428569</v>
      </c>
      <c r="AI213" s="209">
        <f t="shared" si="37"/>
        <v>499.31517587326368</v>
      </c>
      <c r="AJ213" s="179">
        <f t="shared" si="39"/>
        <v>5.0745127640333842E-2</v>
      </c>
      <c r="AK213" s="213">
        <f t="shared" si="40"/>
        <v>1.3552158934823368</v>
      </c>
      <c r="AL213" s="214">
        <f t="shared" ca="1" si="41"/>
        <v>1.4014831449536238</v>
      </c>
      <c r="AM213" s="176">
        <f>DANE!AE213</f>
        <v>167</v>
      </c>
      <c r="AN213" s="188">
        <f t="shared" si="6"/>
        <v>11011</v>
      </c>
      <c r="AO213" s="177">
        <f t="shared" ca="1" si="22"/>
        <v>181.57142857142858</v>
      </c>
      <c r="AP213" s="209">
        <f t="shared" si="49"/>
        <v>1073.9628110596282</v>
      </c>
      <c r="AQ213" s="179">
        <f t="shared" si="51"/>
        <v>1.496945752531365E-2</v>
      </c>
      <c r="AR213" s="213">
        <f t="shared" si="52"/>
        <v>1.1047862026771955</v>
      </c>
      <c r="AS213" s="217">
        <f t="shared" ca="1" si="53"/>
        <v>1.4050739925465539</v>
      </c>
      <c r="AT213" s="176">
        <f>DANE!AI213</f>
        <v>151</v>
      </c>
      <c r="AU213" s="188">
        <f t="shared" si="7"/>
        <v>12581</v>
      </c>
      <c r="AV213" s="177">
        <f t="shared" ca="1" si="23"/>
        <v>178.57142857142858</v>
      </c>
      <c r="AW213" s="209">
        <f t="shared" si="33"/>
        <v>1053.728598678043</v>
      </c>
      <c r="AX213" s="179">
        <f t="shared" si="34"/>
        <v>5.1770049899652016E-4</v>
      </c>
      <c r="AY213" s="213">
        <f t="shared" si="35"/>
        <v>1.0036239034929757</v>
      </c>
      <c r="AZ213" s="214">
        <f t="shared" ca="1" si="36"/>
        <v>1.40398830051329</v>
      </c>
      <c r="BA213" s="176">
        <f>DANE!AM213</f>
        <v>36</v>
      </c>
      <c r="BB213" s="188">
        <f t="shared" si="8"/>
        <v>2325</v>
      </c>
      <c r="BC213" s="177">
        <f t="shared" ca="1" si="24"/>
        <v>28.571428571428573</v>
      </c>
      <c r="BD213" s="209">
        <f t="shared" si="77"/>
        <v>217.60432826293402</v>
      </c>
      <c r="BE213" s="179">
        <f t="shared" si="80"/>
        <v>2.7056994940644924E-2</v>
      </c>
      <c r="BF213" s="213">
        <f t="shared" si="81"/>
        <v>1.1893989645845144</v>
      </c>
      <c r="BG213" s="217">
        <f t="shared" ca="1" si="82"/>
        <v>0.91735686608583766</v>
      </c>
      <c r="BH213" s="176">
        <f>DANE!AQ213</f>
        <v>115</v>
      </c>
      <c r="BI213" s="188">
        <f t="shared" si="9"/>
        <v>3792</v>
      </c>
      <c r="BJ213" s="177">
        <f t="shared" ca="1" si="25"/>
        <v>67.285714285714292</v>
      </c>
      <c r="BK213" s="209">
        <f t="shared" si="61"/>
        <v>446.59123465654454</v>
      </c>
      <c r="BL213" s="179">
        <f t="shared" si="63"/>
        <v>0.15441075288059242</v>
      </c>
      <c r="BM213" s="213">
        <f t="shared" si="64"/>
        <v>2.0808752701641469</v>
      </c>
      <c r="BN213" s="214">
        <f t="shared" ca="1" si="65"/>
        <v>1.397420975834873</v>
      </c>
      <c r="BO213" s="176">
        <f>DANE!AU213</f>
        <v>57</v>
      </c>
      <c r="BP213" s="188">
        <f t="shared" si="10"/>
        <v>1997</v>
      </c>
      <c r="BQ213" s="177">
        <f t="shared" ca="1" si="26"/>
        <v>53</v>
      </c>
      <c r="BR213" s="209">
        <f t="shared" si="78"/>
        <v>300.11263451278563</v>
      </c>
      <c r="BS213" s="179">
        <f t="shared" si="83"/>
        <v>5.8107907581539303E-2</v>
      </c>
      <c r="BT213" s="213">
        <f t="shared" si="84"/>
        <v>1.4067553530707753</v>
      </c>
      <c r="BU213" s="217">
        <f t="shared" ca="1" si="85"/>
        <v>1.9811874768810855</v>
      </c>
      <c r="BV213" s="176">
        <f>DANE!AY213</f>
        <v>127</v>
      </c>
      <c r="BW213" s="188">
        <f t="shared" si="11"/>
        <v>4756</v>
      </c>
      <c r="BX213" s="177">
        <f t="shared" ca="1" si="27"/>
        <v>143.42857142857142</v>
      </c>
      <c r="BY213" s="209">
        <f t="shared" si="69"/>
        <v>839.14735690786711</v>
      </c>
      <c r="BZ213" s="179">
        <f t="shared" si="71"/>
        <v>1.0000467019834008E-2</v>
      </c>
      <c r="CA213" s="213">
        <f t="shared" si="72"/>
        <v>1.0700032691388381</v>
      </c>
      <c r="CB213" s="214">
        <f t="shared" ca="1" si="73"/>
        <v>1.5568070324344592</v>
      </c>
      <c r="CC213" s="176">
        <f>DANE!BC213</f>
        <v>124</v>
      </c>
      <c r="CD213" s="188">
        <f t="shared" si="12"/>
        <v>22494</v>
      </c>
      <c r="CE213" s="177">
        <f t="shared" ca="1" si="28"/>
        <v>108.42857142857143</v>
      </c>
      <c r="CF213" s="209">
        <f t="shared" si="45"/>
        <v>651.35299974272561</v>
      </c>
      <c r="CG213" s="179">
        <f t="shared" si="46"/>
        <v>5.8688528330025559E-2</v>
      </c>
      <c r="CH213" s="213">
        <f t="shared" si="47"/>
        <v>1.4108196983101791</v>
      </c>
      <c r="CI213" s="217">
        <f t="shared" ca="1" si="48"/>
        <v>1.4237953299050152</v>
      </c>
      <c r="CJ213" s="176">
        <f>DANE!BG213</f>
        <v>39</v>
      </c>
      <c r="CK213" s="188">
        <f t="shared" si="13"/>
        <v>2067</v>
      </c>
      <c r="CL213" s="177">
        <f t="shared" ca="1" si="29"/>
        <v>37.285714285714285</v>
      </c>
      <c r="CM213" s="209">
        <f t="shared" si="79"/>
        <v>210.99282403603743</v>
      </c>
      <c r="CN213" s="179">
        <f t="shared" si="86"/>
        <v>5.1503125461767961E-2</v>
      </c>
      <c r="CO213" s="213">
        <f t="shared" si="87"/>
        <v>1.3605218782323758</v>
      </c>
      <c r="CP213" s="214">
        <f t="shared" ca="1" si="88"/>
        <v>1.5454565421270483</v>
      </c>
      <c r="CQ213" s="176">
        <f>DANE!BK213</f>
        <v>50</v>
      </c>
      <c r="CR213" s="188">
        <f t="shared" si="14"/>
        <v>1576</v>
      </c>
      <c r="CS213" s="177">
        <f t="shared" ca="1" si="30"/>
        <v>47.571428571428569</v>
      </c>
      <c r="CT213" s="209">
        <f t="shared" si="89"/>
        <v>263.72018507614814</v>
      </c>
      <c r="CU213" s="179">
        <f t="shared" si="90"/>
        <v>5.7672081099279328E-2</v>
      </c>
      <c r="CV213" s="213">
        <f t="shared" si="91"/>
        <v>1.4037045676949553</v>
      </c>
      <c r="CW213" s="217">
        <f t="shared" ca="1" si="92"/>
        <v>1.8437361052126149</v>
      </c>
      <c r="CX213" s="176">
        <f>DANE!BO213</f>
        <v>81</v>
      </c>
      <c r="CY213" s="188">
        <f t="shared" si="15"/>
        <v>7672</v>
      </c>
      <c r="CZ213" s="177">
        <f t="shared" ca="1" si="31"/>
        <v>113.42857142857143</v>
      </c>
      <c r="DA213" s="209">
        <f t="shared" si="54"/>
        <v>691.15850461285163</v>
      </c>
      <c r="DB213" s="179">
        <f t="shared" si="58"/>
        <v>-2.9069379671535577E-2</v>
      </c>
      <c r="DC213" s="213">
        <f t="shared" si="59"/>
        <v>0.79651434229925089</v>
      </c>
      <c r="DD213" s="214">
        <f t="shared" ca="1" si="60"/>
        <v>1.5260714402377864</v>
      </c>
      <c r="DE213" s="176">
        <f>DANE!BS213</f>
        <v>58</v>
      </c>
      <c r="DF213" s="188">
        <f t="shared" si="16"/>
        <v>1738</v>
      </c>
      <c r="DG213" s="177">
        <f t="shared" ca="1" si="32"/>
        <v>42.285714285714285</v>
      </c>
      <c r="DH213" s="209">
        <f t="shared" si="70"/>
        <v>253.46969326744588</v>
      </c>
      <c r="DI213" s="179">
        <f t="shared" si="74"/>
        <v>0.11147530573510812</v>
      </c>
      <c r="DJ213" s="157">
        <f t="shared" si="75"/>
        <v>1.780327140145757</v>
      </c>
      <c r="DK213" s="225">
        <f t="shared" ca="1" si="76"/>
        <v>1.6458210402345677</v>
      </c>
      <c r="DL213" s="50"/>
      <c r="DM213" s="380"/>
      <c r="DN213" s="372"/>
      <c r="DO213" s="372"/>
      <c r="DP213" s="372"/>
      <c r="DQ213" s="372"/>
      <c r="DR213" s="372"/>
      <c r="DS213" s="372"/>
      <c r="DT213" s="88"/>
      <c r="DU213" s="88"/>
      <c r="DV213" s="88"/>
      <c r="DW213" s="50"/>
      <c r="DX213" s="50"/>
      <c r="DY213" s="50"/>
      <c r="DZ213" s="50"/>
      <c r="EA213" s="50"/>
      <c r="EB213" s="50"/>
      <c r="EC213" s="50"/>
      <c r="ED213" s="50"/>
      <c r="EE213" s="50"/>
      <c r="EF213" s="50"/>
      <c r="EG213" s="50"/>
      <c r="EH213" s="50"/>
    </row>
    <row r="214" spans="1:138" x14ac:dyDescent="0.25">
      <c r="A214" s="32">
        <v>44104</v>
      </c>
      <c r="B214" s="33">
        <f t="shared" ca="1" si="98"/>
        <v>44104</v>
      </c>
      <c r="C214" s="51">
        <f t="shared" si="93"/>
        <v>211</v>
      </c>
      <c r="D214" s="176">
        <f>DANE!K214</f>
        <v>69</v>
      </c>
      <c r="E214" s="188">
        <f t="shared" si="1"/>
        <v>5163</v>
      </c>
      <c r="F214" s="178">
        <f t="shared" ca="1" si="17"/>
        <v>54.714285714285715</v>
      </c>
      <c r="G214" s="209">
        <f t="shared" si="38"/>
        <v>346.34789311588179</v>
      </c>
      <c r="H214" s="179">
        <f t="shared" si="42"/>
        <v>7.0387156489836539E-2</v>
      </c>
      <c r="I214" s="213">
        <f t="shared" si="43"/>
        <v>1.4927100954288557</v>
      </c>
      <c r="J214" s="214">
        <f t="shared" ca="1" si="44"/>
        <v>1.2807537313799873</v>
      </c>
      <c r="K214" s="176">
        <f>DANE!O214</f>
        <v>78</v>
      </c>
      <c r="L214" s="188">
        <f t="shared" si="2"/>
        <v>2685</v>
      </c>
      <c r="M214" s="177">
        <f t="shared" ca="1" si="18"/>
        <v>113</v>
      </c>
      <c r="N214" s="209">
        <f t="shared" si="62"/>
        <v>586.44241831323643</v>
      </c>
      <c r="O214" s="179">
        <f t="shared" si="66"/>
        <v>-1.1363112365072134E-2</v>
      </c>
      <c r="P214" s="213">
        <f t="shared" si="67"/>
        <v>0.92045821344449508</v>
      </c>
      <c r="Q214" s="217">
        <f t="shared" ca="1" si="68"/>
        <v>2.2843705681212163</v>
      </c>
      <c r="R214" s="176">
        <f>DANE!S214</f>
        <v>82</v>
      </c>
      <c r="S214" s="188">
        <f t="shared" si="3"/>
        <v>2688</v>
      </c>
      <c r="T214" s="177">
        <f t="shared" ca="1" si="19"/>
        <v>64.571428571428569</v>
      </c>
      <c r="U214" s="209">
        <f t="shared" si="50"/>
        <v>390.70958434936551</v>
      </c>
      <c r="V214" s="179">
        <f t="shared" si="55"/>
        <v>8.4818698286072941E-2</v>
      </c>
      <c r="W214" s="213">
        <f t="shared" si="56"/>
        <v>1.5937308880025105</v>
      </c>
      <c r="X214" s="214">
        <f t="shared" ca="1" si="57"/>
        <v>1.4253721840861036</v>
      </c>
      <c r="Y214" s="176">
        <f>DANE!W214</f>
        <v>33</v>
      </c>
      <c r="Z214" s="188">
        <f t="shared" si="4"/>
        <v>1018</v>
      </c>
      <c r="AA214" s="177">
        <f t="shared" ca="1" si="20"/>
        <v>20.142857142857142</v>
      </c>
      <c r="AB214" s="209">
        <f t="shared" si="94"/>
        <v>123.58257429179952</v>
      </c>
      <c r="AC214" s="179">
        <f t="shared" si="95"/>
        <v>0.1694072689997744</v>
      </c>
      <c r="AD214" s="213">
        <f t="shared" si="96"/>
        <v>2.1858508829984209</v>
      </c>
      <c r="AE214" s="217">
        <f t="shared" ca="1" si="97"/>
        <v>1.6799289101645551</v>
      </c>
      <c r="AF214" s="176">
        <f>DANE!AA214</f>
        <v>87</v>
      </c>
      <c r="AG214" s="188">
        <f t="shared" si="5"/>
        <v>6748</v>
      </c>
      <c r="AH214" s="177">
        <f t="shared" ca="1" si="21"/>
        <v>84</v>
      </c>
      <c r="AI214" s="209">
        <f t="shared" si="37"/>
        <v>514.98443646279748</v>
      </c>
      <c r="AJ214" s="179">
        <f t="shared" si="39"/>
        <v>3.1381502799568362E-2</v>
      </c>
      <c r="AK214" s="213">
        <f t="shared" si="40"/>
        <v>1.2196705195969786</v>
      </c>
      <c r="AL214" s="214">
        <f t="shared" ca="1" si="41"/>
        <v>1.328517259376834</v>
      </c>
      <c r="AM214" s="176">
        <f>DANE!AE214</f>
        <v>205</v>
      </c>
      <c r="AN214" s="188">
        <f t="shared" si="6"/>
        <v>11216</v>
      </c>
      <c r="AO214" s="177">
        <f t="shared" ca="1" si="22"/>
        <v>191.57142857142858</v>
      </c>
      <c r="AP214" s="209">
        <f t="shared" si="49"/>
        <v>1125.5395523368243</v>
      </c>
      <c r="AQ214" s="179">
        <f t="shared" si="51"/>
        <v>4.802469950175256E-2</v>
      </c>
      <c r="AR214" s="213">
        <f t="shared" si="52"/>
        <v>1.3361728965122679</v>
      </c>
      <c r="AS214" s="217">
        <f t="shared" ca="1" si="53"/>
        <v>1.4116931905466217</v>
      </c>
      <c r="AT214" s="176">
        <f>DANE!AI214</f>
        <v>159</v>
      </c>
      <c r="AU214" s="188">
        <f t="shared" si="7"/>
        <v>12740</v>
      </c>
      <c r="AV214" s="177">
        <f t="shared" ca="1" si="23"/>
        <v>177.85714285714286</v>
      </c>
      <c r="AW214" s="209">
        <f t="shared" si="33"/>
        <v>1062.1959417240369</v>
      </c>
      <c r="AX214" s="179">
        <f t="shared" si="34"/>
        <v>8.0356014410319469E-3</v>
      </c>
      <c r="AY214" s="213">
        <f t="shared" si="35"/>
        <v>1.0562492100872236</v>
      </c>
      <c r="AZ214" s="214">
        <f t="shared" ca="1" si="36"/>
        <v>1.32780584503906</v>
      </c>
      <c r="BA214" s="176">
        <f>DANE!AM214</f>
        <v>36</v>
      </c>
      <c r="BB214" s="188">
        <f t="shared" si="8"/>
        <v>2361</v>
      </c>
      <c r="BC214" s="177">
        <f t="shared" ca="1" si="24"/>
        <v>30.285714285714285</v>
      </c>
      <c r="BD214" s="209">
        <f t="shared" si="77"/>
        <v>222.51799565394344</v>
      </c>
      <c r="BE214" s="179">
        <f t="shared" si="80"/>
        <v>2.2580742902651184E-2</v>
      </c>
      <c r="BF214" s="213">
        <f t="shared" si="81"/>
        <v>1.1580652003185583</v>
      </c>
      <c r="BG214" s="217">
        <f t="shared" ca="1" si="82"/>
        <v>0.98192662417146259</v>
      </c>
      <c r="BH214" s="176">
        <f>DANE!AQ214</f>
        <v>94</v>
      </c>
      <c r="BI214" s="188">
        <f t="shared" si="9"/>
        <v>3886</v>
      </c>
      <c r="BJ214" s="177">
        <f t="shared" ca="1" si="25"/>
        <v>77.285714285714292</v>
      </c>
      <c r="BK214" s="209">
        <f t="shared" si="61"/>
        <v>476.79248684846675</v>
      </c>
      <c r="BL214" s="179">
        <f t="shared" si="63"/>
        <v>6.7626164259916077E-2</v>
      </c>
      <c r="BM214" s="213">
        <f t="shared" si="64"/>
        <v>1.4733831498194125</v>
      </c>
      <c r="BN214" s="214">
        <f t="shared" ca="1" si="65"/>
        <v>1.529732296827407</v>
      </c>
      <c r="BO214" s="176">
        <f>DANE!AU214</f>
        <v>57</v>
      </c>
      <c r="BP214" s="188">
        <f t="shared" si="10"/>
        <v>2054</v>
      </c>
      <c r="BQ214" s="177">
        <f t="shared" ca="1" si="26"/>
        <v>58</v>
      </c>
      <c r="BR214" s="209">
        <f t="shared" si="78"/>
        <v>314.23940101095911</v>
      </c>
      <c r="BS214" s="179">
        <f t="shared" si="83"/>
        <v>4.7071548724056271E-2</v>
      </c>
      <c r="BT214" s="213">
        <f t="shared" si="84"/>
        <v>1.3295008410683939</v>
      </c>
      <c r="BU214" s="217">
        <f t="shared" ca="1" si="85"/>
        <v>1.9907995263831413</v>
      </c>
      <c r="BV214" s="176">
        <f>DANE!AY214</f>
        <v>194</v>
      </c>
      <c r="BW214" s="188">
        <f t="shared" si="11"/>
        <v>4950</v>
      </c>
      <c r="BX214" s="177">
        <f t="shared" ca="1" si="27"/>
        <v>154.85714285714286</v>
      </c>
      <c r="BY214" s="209">
        <f t="shared" si="69"/>
        <v>913.26916306388614</v>
      </c>
      <c r="BZ214" s="179">
        <f t="shared" si="71"/>
        <v>8.8329904808550949E-2</v>
      </c>
      <c r="CA214" s="213">
        <f t="shared" si="72"/>
        <v>1.6183093336598566</v>
      </c>
      <c r="CB214" s="214">
        <f t="shared" ca="1" si="73"/>
        <v>1.556920794087473</v>
      </c>
      <c r="CC214" s="176">
        <f>DANE!BC214</f>
        <v>128</v>
      </c>
      <c r="CD214" s="188">
        <f t="shared" si="12"/>
        <v>22622</v>
      </c>
      <c r="CE214" s="177">
        <f t="shared" ca="1" si="28"/>
        <v>115</v>
      </c>
      <c r="CF214" s="209">
        <f t="shared" si="45"/>
        <v>686.30257120805061</v>
      </c>
      <c r="CG214" s="179">
        <f t="shared" si="46"/>
        <v>5.3656882641408783E-2</v>
      </c>
      <c r="CH214" s="213">
        <f t="shared" si="47"/>
        <v>1.3755981784898614</v>
      </c>
      <c r="CI214" s="217">
        <f t="shared" ca="1" si="48"/>
        <v>1.4315526586573888</v>
      </c>
      <c r="CJ214" s="176">
        <f>DANE!BG214</f>
        <v>50</v>
      </c>
      <c r="CK214" s="188">
        <f t="shared" si="13"/>
        <v>2117</v>
      </c>
      <c r="CL214" s="177">
        <f t="shared" ca="1" si="29"/>
        <v>39.285714285714285</v>
      </c>
      <c r="CM214" s="209">
        <f t="shared" si="79"/>
        <v>230.85099203088924</v>
      </c>
      <c r="CN214" s="179">
        <f t="shared" si="86"/>
        <v>9.411774113919652E-2</v>
      </c>
      <c r="CO214" s="213">
        <f t="shared" si="87"/>
        <v>1.6588241879743757</v>
      </c>
      <c r="CP214" s="214">
        <f t="shared" ca="1" si="88"/>
        <v>1.4984524992739037</v>
      </c>
      <c r="CQ214" s="176">
        <f>DANE!BK214</f>
        <v>67</v>
      </c>
      <c r="CR214" s="188">
        <f t="shared" si="14"/>
        <v>1643</v>
      </c>
      <c r="CS214" s="177">
        <f t="shared" ca="1" si="30"/>
        <v>52.285714285714285</v>
      </c>
      <c r="CT214" s="209">
        <f t="shared" si="89"/>
        <v>293.04587292241274</v>
      </c>
      <c r="CU214" s="179">
        <f t="shared" si="90"/>
        <v>0.11120001238356832</v>
      </c>
      <c r="CV214" s="213">
        <f t="shared" si="91"/>
        <v>1.7784000866849783</v>
      </c>
      <c r="CW214" s="217">
        <f t="shared" ca="1" si="92"/>
        <v>1.8309549287544493</v>
      </c>
      <c r="CX214" s="176">
        <f>DANE!BO214</f>
        <v>140</v>
      </c>
      <c r="CY214" s="188">
        <f t="shared" si="15"/>
        <v>7812</v>
      </c>
      <c r="CZ214" s="177">
        <f t="shared" ca="1" si="31"/>
        <v>122.57142857142857</v>
      </c>
      <c r="DA214" s="209">
        <f t="shared" si="54"/>
        <v>732.4215753824443</v>
      </c>
      <c r="DB214" s="179">
        <f t="shared" si="58"/>
        <v>5.9701313800234489E-2</v>
      </c>
      <c r="DC214" s="213">
        <f t="shared" si="59"/>
        <v>1.4179091966016415</v>
      </c>
      <c r="DD214" s="214">
        <f t="shared" ca="1" si="60"/>
        <v>1.5495785581441628</v>
      </c>
      <c r="DE214" s="176">
        <f>DANE!BS214</f>
        <v>73</v>
      </c>
      <c r="DF214" s="188">
        <f t="shared" si="16"/>
        <v>1811</v>
      </c>
      <c r="DG214" s="177">
        <f t="shared" ca="1" si="32"/>
        <v>50.428571428571431</v>
      </c>
      <c r="DH214" s="209">
        <f t="shared" si="70"/>
        <v>290.25973708638219</v>
      </c>
      <c r="DI214" s="179">
        <f t="shared" si="74"/>
        <v>0.14514573061844394</v>
      </c>
      <c r="DJ214" s="157">
        <f t="shared" si="75"/>
        <v>2.0160201143291077</v>
      </c>
      <c r="DK214" s="225">
        <f t="shared" ca="1" si="76"/>
        <v>1.8200941389993621</v>
      </c>
      <c r="DL214" s="75"/>
      <c r="DM214" s="380"/>
      <c r="DN214" s="372"/>
      <c r="DO214" s="372"/>
      <c r="DP214" s="372"/>
      <c r="DQ214" s="372"/>
      <c r="DR214" s="372"/>
      <c r="DS214" s="372"/>
      <c r="DT214" s="146"/>
      <c r="DU214" s="146"/>
      <c r="DV214" s="146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</row>
    <row r="215" spans="1:138" x14ac:dyDescent="0.25">
      <c r="A215" s="32">
        <v>44105</v>
      </c>
      <c r="B215" s="33">
        <f t="shared" ca="1" si="98"/>
        <v>44105</v>
      </c>
      <c r="C215" s="51">
        <f t="shared" si="93"/>
        <v>212</v>
      </c>
      <c r="D215" s="176">
        <f>DANE!K215</f>
        <v>96</v>
      </c>
      <c r="E215" s="188">
        <f t="shared" si="1"/>
        <v>5259</v>
      </c>
      <c r="F215" s="178">
        <f t="shared" ca="1" si="17"/>
        <v>60.142857142857146</v>
      </c>
      <c r="G215" s="209">
        <f t="shared" si="38"/>
        <v>392.86962267075586</v>
      </c>
      <c r="H215" s="179">
        <f t="shared" si="42"/>
        <v>0.13432081002816648</v>
      </c>
      <c r="I215" s="213">
        <f t="shared" si="43"/>
        <v>1.9402456701971653</v>
      </c>
      <c r="J215" s="214">
        <f t="shared" ca="1" si="44"/>
        <v>1.3388664139966127</v>
      </c>
      <c r="K215" s="176">
        <f>DANE!O215</f>
        <v>179</v>
      </c>
      <c r="L215" s="188">
        <f t="shared" si="2"/>
        <v>2864</v>
      </c>
      <c r="M215" s="177">
        <f t="shared" ca="1" si="18"/>
        <v>132.71428571428572</v>
      </c>
      <c r="N215" s="209">
        <f t="shared" si="62"/>
        <v>681.66492998277408</v>
      </c>
      <c r="O215" s="179">
        <f t="shared" si="66"/>
        <v>0.16237316520080999</v>
      </c>
      <c r="P215" s="213">
        <f t="shared" si="67"/>
        <v>2.1366121564056701</v>
      </c>
      <c r="Q215" s="217">
        <f t="shared" ca="1" si="68"/>
        <v>2.383916269293394</v>
      </c>
      <c r="R215" s="176">
        <f>DANE!S215</f>
        <v>98</v>
      </c>
      <c r="S215" s="188">
        <f t="shared" si="3"/>
        <v>2786</v>
      </c>
      <c r="T215" s="177">
        <f t="shared" ca="1" si="19"/>
        <v>70.285714285714292</v>
      </c>
      <c r="U215" s="209">
        <f t="shared" si="50"/>
        <v>432.89392944231332</v>
      </c>
      <c r="V215" s="179">
        <f t="shared" si="55"/>
        <v>0.10796854436830841</v>
      </c>
      <c r="W215" s="213">
        <f t="shared" si="56"/>
        <v>1.7557798105781588</v>
      </c>
      <c r="X215" s="214">
        <f t="shared" ca="1" si="57"/>
        <v>1.4540790340367613</v>
      </c>
      <c r="Y215" s="176">
        <f>DANE!W215</f>
        <v>28</v>
      </c>
      <c r="Z215" s="188">
        <f t="shared" si="4"/>
        <v>1046</v>
      </c>
      <c r="AA215" s="177">
        <f t="shared" ca="1" si="20"/>
        <v>21.285714285714285</v>
      </c>
      <c r="AB215" s="209">
        <f t="shared" si="94"/>
        <v>133.92792082154244</v>
      </c>
      <c r="AC215" s="179">
        <f t="shared" si="95"/>
        <v>8.3712016755014343E-2</v>
      </c>
      <c r="AD215" s="213">
        <f t="shared" si="96"/>
        <v>1.5859841172851006</v>
      </c>
      <c r="AE215" s="217">
        <f t="shared" ca="1" si="97"/>
        <v>1.6120468151569622</v>
      </c>
      <c r="AF215" s="176">
        <f>DANE!AA215</f>
        <v>117</v>
      </c>
      <c r="AG215" s="188">
        <f t="shared" si="5"/>
        <v>6865</v>
      </c>
      <c r="AH215" s="177">
        <f t="shared" ca="1" si="21"/>
        <v>88.714285714285708</v>
      </c>
      <c r="AI215" s="209">
        <f t="shared" si="37"/>
        <v>558.41523125382651</v>
      </c>
      <c r="AJ215" s="179">
        <f t="shared" si="39"/>
        <v>8.4334188988964665E-2</v>
      </c>
      <c r="AK215" s="213">
        <f t="shared" si="40"/>
        <v>1.5903393229227527</v>
      </c>
      <c r="AL215" s="214">
        <f t="shared" ca="1" si="41"/>
        <v>1.3318618797303299</v>
      </c>
      <c r="AM215" s="176">
        <f>DANE!AE215</f>
        <v>285</v>
      </c>
      <c r="AN215" s="188">
        <f t="shared" si="6"/>
        <v>11501</v>
      </c>
      <c r="AO215" s="177">
        <f t="shared" ca="1" si="22"/>
        <v>206.14285714285714</v>
      </c>
      <c r="AP215" s="209">
        <f t="shared" si="49"/>
        <v>1249.7481877172781</v>
      </c>
      <c r="AQ215" s="179">
        <f t="shared" si="51"/>
        <v>0.11035474952663743</v>
      </c>
      <c r="AR215" s="213">
        <f t="shared" si="52"/>
        <v>1.7724832466864622</v>
      </c>
      <c r="AS215" s="217">
        <f t="shared" ca="1" si="53"/>
        <v>1.425057827580021</v>
      </c>
      <c r="AT215" s="176">
        <f>DANE!AI215</f>
        <v>268</v>
      </c>
      <c r="AU215" s="188">
        <f t="shared" si="7"/>
        <v>13008</v>
      </c>
      <c r="AV215" s="177">
        <f t="shared" ca="1" si="23"/>
        <v>194.85714285714286</v>
      </c>
      <c r="AW215" s="209">
        <f t="shared" si="33"/>
        <v>1178.4536643348888</v>
      </c>
      <c r="AX215" s="179">
        <f t="shared" si="34"/>
        <v>0.1094503547266011</v>
      </c>
      <c r="AY215" s="213">
        <f t="shared" si="35"/>
        <v>1.7661524830862079</v>
      </c>
      <c r="AZ215" s="214">
        <f t="shared" ca="1" si="36"/>
        <v>1.389832314460022</v>
      </c>
      <c r="BA215" s="176">
        <f>DANE!AM215</f>
        <v>21</v>
      </c>
      <c r="BB215" s="188">
        <f t="shared" si="8"/>
        <v>2382</v>
      </c>
      <c r="BC215" s="177">
        <f t="shared" ca="1" si="24"/>
        <v>30.571428571428573</v>
      </c>
      <c r="BD215" s="209">
        <f t="shared" si="77"/>
        <v>211.72971056052296</v>
      </c>
      <c r="BE215" s="179">
        <f t="shared" si="80"/>
        <v>-4.8482753323907606E-2</v>
      </c>
      <c r="BF215" s="213">
        <f t="shared" si="81"/>
        <v>0.66062072673264671</v>
      </c>
      <c r="BG215" s="217">
        <f t="shared" ca="1" si="82"/>
        <v>0.99294713188676753</v>
      </c>
      <c r="BH215" s="176">
        <f>DANE!AQ215</f>
        <v>107</v>
      </c>
      <c r="BI215" s="188">
        <f t="shared" si="9"/>
        <v>3993</v>
      </c>
      <c r="BJ215" s="177">
        <f t="shared" ca="1" si="25"/>
        <v>83.714285714285708</v>
      </c>
      <c r="BK215" s="209">
        <f t="shared" si="61"/>
        <v>515.67927444154293</v>
      </c>
      <c r="BL215" s="179">
        <f t="shared" si="63"/>
        <v>8.1559145048850368E-2</v>
      </c>
      <c r="BM215" s="213">
        <f t="shared" si="64"/>
        <v>1.5709140153419527</v>
      </c>
      <c r="BN215" s="214">
        <f t="shared" ca="1" si="65"/>
        <v>1.5382380825725512</v>
      </c>
      <c r="BO215" s="176">
        <f>DANE!AU215</f>
        <v>64</v>
      </c>
      <c r="BP215" s="188">
        <f t="shared" si="10"/>
        <v>2118</v>
      </c>
      <c r="BQ215" s="177">
        <f t="shared" ca="1" si="26"/>
        <v>61.714285714285715</v>
      </c>
      <c r="BR215" s="209">
        <f t="shared" si="78"/>
        <v>333.34805800939353</v>
      </c>
      <c r="BS215" s="179">
        <f t="shared" si="83"/>
        <v>6.080923314186179E-2</v>
      </c>
      <c r="BT215" s="213">
        <f t="shared" si="84"/>
        <v>1.4256646319930326</v>
      </c>
      <c r="BU215" s="217">
        <f t="shared" ca="1" si="85"/>
        <v>1.8942556114066771</v>
      </c>
      <c r="BV215" s="176">
        <f>DANE!AY215</f>
        <v>180</v>
      </c>
      <c r="BW215" s="188">
        <f t="shared" si="11"/>
        <v>5130</v>
      </c>
      <c r="BX215" s="177">
        <f t="shared" ca="1" si="27"/>
        <v>160.14285714285714</v>
      </c>
      <c r="BY215" s="209">
        <f t="shared" si="69"/>
        <v>962.80213976904531</v>
      </c>
      <c r="BZ215" s="179">
        <f t="shared" si="71"/>
        <v>5.4236996833423333E-2</v>
      </c>
      <c r="CA215" s="213">
        <f t="shared" si="72"/>
        <v>1.3796589778339634</v>
      </c>
      <c r="CB215" s="214">
        <f t="shared" ca="1" si="73"/>
        <v>1.487656923318863</v>
      </c>
      <c r="CC215" s="176">
        <f>DANE!BC215</f>
        <v>148</v>
      </c>
      <c r="CD215" s="188">
        <f t="shared" si="12"/>
        <v>22770</v>
      </c>
      <c r="CE215" s="177">
        <f t="shared" ca="1" si="28"/>
        <v>120.42857142857143</v>
      </c>
      <c r="CF215" s="209">
        <f t="shared" si="45"/>
        <v>736.2593467497577</v>
      </c>
      <c r="CG215" s="179">
        <f t="shared" si="46"/>
        <v>7.2791182253290496E-2</v>
      </c>
      <c r="CH215" s="213">
        <f t="shared" si="47"/>
        <v>1.5095382757730333</v>
      </c>
      <c r="CI215" s="217">
        <f t="shared" ca="1" si="48"/>
        <v>1.4051029715728056</v>
      </c>
      <c r="CJ215" s="176">
        <f>DANE!BG215</f>
        <v>43</v>
      </c>
      <c r="CK215" s="188">
        <f t="shared" si="13"/>
        <v>2160</v>
      </c>
      <c r="CL215" s="177">
        <f t="shared" ca="1" si="29"/>
        <v>40.285714285714285</v>
      </c>
      <c r="CM215" s="209">
        <f t="shared" si="79"/>
        <v>240.87227888361937</v>
      </c>
      <c r="CN215" s="179">
        <f t="shared" si="86"/>
        <v>4.3410196181393149E-2</v>
      </c>
      <c r="CO215" s="213">
        <f t="shared" si="87"/>
        <v>1.303871373269752</v>
      </c>
      <c r="CP215" s="214">
        <f t="shared" ca="1" si="88"/>
        <v>1.4358603994399712</v>
      </c>
      <c r="CQ215" s="176">
        <f>DANE!BK215</f>
        <v>102</v>
      </c>
      <c r="CR215" s="188">
        <f t="shared" si="14"/>
        <v>1745</v>
      </c>
      <c r="CS215" s="177">
        <f t="shared" ca="1" si="30"/>
        <v>63.571428571428569</v>
      </c>
      <c r="CT215" s="209">
        <f t="shared" si="89"/>
        <v>353.18217679063952</v>
      </c>
      <c r="CU215" s="179">
        <f t="shared" si="90"/>
        <v>0.20521122945194506</v>
      </c>
      <c r="CV215" s="213">
        <f t="shared" si="91"/>
        <v>2.4364786061636154</v>
      </c>
      <c r="CW215" s="217">
        <f t="shared" ca="1" si="92"/>
        <v>2.0184260553088476</v>
      </c>
      <c r="CX215" s="176">
        <f>DANE!BO215</f>
        <v>173</v>
      </c>
      <c r="CY215" s="188">
        <f t="shared" si="15"/>
        <v>7985</v>
      </c>
      <c r="CZ215" s="177">
        <f t="shared" ca="1" si="31"/>
        <v>135.28571428571428</v>
      </c>
      <c r="DA215" s="209">
        <f t="shared" si="54"/>
        <v>800.78992175638086</v>
      </c>
      <c r="DB215" s="179">
        <f t="shared" si="58"/>
        <v>9.3345620434839127E-2</v>
      </c>
      <c r="DC215" s="213">
        <f t="shared" si="59"/>
        <v>1.6534193430438739</v>
      </c>
      <c r="DD215" s="214">
        <f t="shared" ca="1" si="60"/>
        <v>1.5947950672403308</v>
      </c>
      <c r="DE215" s="176">
        <f>DANE!BS215</f>
        <v>58</v>
      </c>
      <c r="DF215" s="188">
        <f t="shared" si="16"/>
        <v>1869</v>
      </c>
      <c r="DG215" s="177">
        <f t="shared" ca="1" si="32"/>
        <v>54.714285714285715</v>
      </c>
      <c r="DH215" s="209">
        <f t="shared" si="70"/>
        <v>306.79406035975614</v>
      </c>
      <c r="DI215" s="179">
        <f t="shared" si="74"/>
        <v>5.6963888410238903E-2</v>
      </c>
      <c r="DJ215" s="157">
        <f t="shared" si="75"/>
        <v>1.3987472188716723</v>
      </c>
      <c r="DK215" s="225">
        <f t="shared" ca="1" si="76"/>
        <v>1.814917007568623</v>
      </c>
      <c r="DL215" s="75"/>
      <c r="DM215" s="88"/>
      <c r="DN215" s="88"/>
      <c r="DO215" s="88"/>
      <c r="DP215" s="88"/>
      <c r="DQ215" s="88"/>
      <c r="DR215" s="88"/>
      <c r="DS215" s="88"/>
      <c r="DT215" s="88"/>
      <c r="DU215" s="88"/>
      <c r="DV215" s="88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</row>
    <row r="216" spans="1:138" x14ac:dyDescent="0.25">
      <c r="A216" s="32">
        <v>44106</v>
      </c>
      <c r="B216" s="33">
        <f t="shared" ca="1" si="98"/>
        <v>44106</v>
      </c>
      <c r="C216" s="51">
        <f t="shared" si="93"/>
        <v>213</v>
      </c>
      <c r="D216" s="176">
        <f>DANE!K216</f>
        <v>101</v>
      </c>
      <c r="E216" s="188">
        <f t="shared" si="1"/>
        <v>5360</v>
      </c>
      <c r="F216" s="178">
        <f t="shared" ca="1" si="17"/>
        <v>67.142857142857139</v>
      </c>
      <c r="G216" s="209">
        <f t="shared" si="38"/>
        <v>437.74539086064789</v>
      </c>
      <c r="H216" s="179">
        <f t="shared" si="42"/>
        <v>0.11422559953814534</v>
      </c>
      <c r="I216" s="213">
        <f t="shared" si="43"/>
        <v>1.7995791967670174</v>
      </c>
      <c r="J216" s="214">
        <f t="shared" ca="1" si="44"/>
        <v>1.4134534654975077</v>
      </c>
      <c r="K216" s="176">
        <f>DANE!O216</f>
        <v>218</v>
      </c>
      <c r="L216" s="188">
        <f t="shared" si="2"/>
        <v>3082</v>
      </c>
      <c r="M216" s="177">
        <f t="shared" ca="1" si="18"/>
        <v>140.71428571428572</v>
      </c>
      <c r="N216" s="209">
        <f t="shared" si="62"/>
        <v>802.28422569952068</v>
      </c>
      <c r="O216" s="179">
        <f t="shared" si="66"/>
        <v>0.17694807288941017</v>
      </c>
      <c r="P216" s="213">
        <f t="shared" si="67"/>
        <v>2.238636510225871</v>
      </c>
      <c r="Q216" s="217">
        <f t="shared" ca="1" si="68"/>
        <v>1.9390583016059106</v>
      </c>
      <c r="R216" s="176">
        <f>DANE!S216</f>
        <v>97</v>
      </c>
      <c r="S216" s="188">
        <f t="shared" si="3"/>
        <v>2883</v>
      </c>
      <c r="T216" s="177">
        <f t="shared" ca="1" si="19"/>
        <v>75.714285714285708</v>
      </c>
      <c r="U216" s="209">
        <f t="shared" si="50"/>
        <v>468.05193952198289</v>
      </c>
      <c r="V216" s="179">
        <f t="shared" si="55"/>
        <v>8.1216223394406969E-2</v>
      </c>
      <c r="W216" s="213">
        <f t="shared" si="56"/>
        <v>1.5685135637608489</v>
      </c>
      <c r="X216" s="214">
        <f t="shared" ca="1" si="57"/>
        <v>1.4687977335110947</v>
      </c>
      <c r="Y216" s="176">
        <f>DANE!W216</f>
        <v>26</v>
      </c>
      <c r="Z216" s="188">
        <f t="shared" si="4"/>
        <v>1072</v>
      </c>
      <c r="AA216" s="177">
        <f t="shared" ca="1" si="20"/>
        <v>22.857142857142858</v>
      </c>
      <c r="AB216" s="209">
        <f t="shared" si="94"/>
        <v>140.79536070417925</v>
      </c>
      <c r="AC216" s="179">
        <f t="shared" si="95"/>
        <v>5.1277133554455713E-2</v>
      </c>
      <c r="AD216" s="213">
        <f t="shared" si="96"/>
        <v>1.3589399348811901</v>
      </c>
      <c r="AE216" s="217">
        <f t="shared" ca="1" si="97"/>
        <v>1.6144134898509719</v>
      </c>
      <c r="AF216" s="176">
        <f>DANE!AA216</f>
        <v>140</v>
      </c>
      <c r="AG216" s="188">
        <f t="shared" si="5"/>
        <v>7005</v>
      </c>
      <c r="AH216" s="177">
        <f t="shared" ca="1" si="21"/>
        <v>97.571428571428569</v>
      </c>
      <c r="AI216" s="209">
        <f t="shared" si="37"/>
        <v>618.64162678899424</v>
      </c>
      <c r="AJ216" s="179">
        <f t="shared" si="39"/>
        <v>0.10785235101832663</v>
      </c>
      <c r="AK216" s="213">
        <f t="shared" si="40"/>
        <v>1.7549664571282864</v>
      </c>
      <c r="AL216" s="214">
        <f t="shared" ca="1" si="41"/>
        <v>1.390286760781932</v>
      </c>
      <c r="AM216" s="176">
        <f>DANE!AE216</f>
        <v>282</v>
      </c>
      <c r="AN216" s="188">
        <f t="shared" si="6"/>
        <v>11783</v>
      </c>
      <c r="AO216" s="177">
        <f t="shared" ca="1" si="22"/>
        <v>212</v>
      </c>
      <c r="AP216" s="209">
        <f t="shared" si="49"/>
        <v>1353.2127323290956</v>
      </c>
      <c r="AQ216" s="179">
        <f t="shared" si="51"/>
        <v>8.2788313380794065E-2</v>
      </c>
      <c r="AR216" s="213">
        <f t="shared" si="52"/>
        <v>1.5795181936655585</v>
      </c>
      <c r="AS216" s="217">
        <f t="shared" ca="1" si="53"/>
        <v>1.3627659408546564</v>
      </c>
      <c r="AT216" s="176">
        <f>DANE!AI216</f>
        <v>246</v>
      </c>
      <c r="AU216" s="188">
        <f t="shared" si="7"/>
        <v>13254</v>
      </c>
      <c r="AV216" s="177">
        <f t="shared" ca="1" si="23"/>
        <v>187.85714285714286</v>
      </c>
      <c r="AW216" s="209">
        <f t="shared" si="33"/>
        <v>1256.1031408584763</v>
      </c>
      <c r="AX216" s="179">
        <f t="shared" si="34"/>
        <v>6.5890988227706296E-2</v>
      </c>
      <c r="AY216" s="213">
        <f t="shared" si="35"/>
        <v>1.4612369175939441</v>
      </c>
      <c r="AZ216" s="214">
        <f t="shared" ca="1" si="36"/>
        <v>1.2389066783433793</v>
      </c>
      <c r="BA216" s="176">
        <f>DANE!AM216</f>
        <v>56</v>
      </c>
      <c r="BB216" s="188">
        <f t="shared" si="8"/>
        <v>2438</v>
      </c>
      <c r="BC216" s="177">
        <f t="shared" ca="1" si="24"/>
        <v>33.142857142857146</v>
      </c>
      <c r="BD216" s="209">
        <f t="shared" si="77"/>
        <v>237.48260905187684</v>
      </c>
      <c r="BE216" s="179">
        <f t="shared" si="80"/>
        <v>0.12163100975851193</v>
      </c>
      <c r="BF216" s="213">
        <f t="shared" si="81"/>
        <v>1.8514170683095834</v>
      </c>
      <c r="BG216" s="217">
        <f t="shared" ca="1" si="82"/>
        <v>1.080180269434464</v>
      </c>
      <c r="BH216" s="176">
        <f>DANE!AQ216</f>
        <v>218</v>
      </c>
      <c r="BI216" s="188">
        <f t="shared" si="9"/>
        <v>4211</v>
      </c>
      <c r="BJ216" s="177">
        <f t="shared" ca="1" si="25"/>
        <v>107</v>
      </c>
      <c r="BK216" s="209">
        <f t="shared" si="61"/>
        <v>660.01080666417965</v>
      </c>
      <c r="BL216" s="179">
        <f t="shared" si="63"/>
        <v>0.27988623816410146</v>
      </c>
      <c r="BM216" s="213">
        <f t="shared" si="64"/>
        <v>2.9592036671487101</v>
      </c>
      <c r="BN216" s="214">
        <f t="shared" ca="1" si="65"/>
        <v>1.782487534731132</v>
      </c>
      <c r="BO216" s="176">
        <f>DANE!AU216</f>
        <v>86</v>
      </c>
      <c r="BP216" s="188">
        <f t="shared" si="10"/>
        <v>2204</v>
      </c>
      <c r="BQ216" s="177">
        <f t="shared" ca="1" si="26"/>
        <v>66.285714285714292</v>
      </c>
      <c r="BR216" s="209">
        <f t="shared" si="78"/>
        <v>371.72690686519445</v>
      </c>
      <c r="BS216" s="179">
        <f t="shared" si="83"/>
        <v>0.11513146074701126</v>
      </c>
      <c r="BT216" s="213">
        <f t="shared" si="84"/>
        <v>1.8059202252290789</v>
      </c>
      <c r="BU216" s="217">
        <f t="shared" ca="1" si="85"/>
        <v>1.7836318993046176</v>
      </c>
      <c r="BV216" s="176">
        <f>DANE!AY216</f>
        <v>228</v>
      </c>
      <c r="BW216" s="188">
        <f t="shared" si="11"/>
        <v>5358</v>
      </c>
      <c r="BX216" s="177">
        <f t="shared" ca="1" si="27"/>
        <v>174.42857142857142</v>
      </c>
      <c r="BY216" s="209">
        <f t="shared" si="69"/>
        <v>1053.2589769448959</v>
      </c>
      <c r="BZ216" s="179">
        <f t="shared" si="71"/>
        <v>9.3951637038892755E-2</v>
      </c>
      <c r="CA216" s="213">
        <f t="shared" si="72"/>
        <v>1.6576614592722492</v>
      </c>
      <c r="CB216" s="214">
        <f t="shared" ca="1" si="73"/>
        <v>1.5122554896871758</v>
      </c>
      <c r="CC216" s="176">
        <f>DANE!BC216</f>
        <v>179</v>
      </c>
      <c r="CD216" s="188">
        <f t="shared" si="12"/>
        <v>22949</v>
      </c>
      <c r="CE216" s="177">
        <f t="shared" ca="1" si="28"/>
        <v>128</v>
      </c>
      <c r="CF216" s="209">
        <f t="shared" si="45"/>
        <v>810.07944007122092</v>
      </c>
      <c r="CG216" s="179">
        <f t="shared" si="46"/>
        <v>0.10026370958459756</v>
      </c>
      <c r="CH216" s="213">
        <f t="shared" si="47"/>
        <v>1.7018459670921828</v>
      </c>
      <c r="CI216" s="217">
        <f t="shared" ca="1" si="48"/>
        <v>1.3959476612101824</v>
      </c>
      <c r="CJ216" s="176">
        <f>DANE!BG216</f>
        <v>33</v>
      </c>
      <c r="CK216" s="188">
        <f t="shared" si="13"/>
        <v>2193</v>
      </c>
      <c r="CL216" s="177">
        <f t="shared" ca="1" si="29"/>
        <v>37.571428571428569</v>
      </c>
      <c r="CM216" s="209">
        <f t="shared" si="79"/>
        <v>239.46195332881663</v>
      </c>
      <c r="CN216" s="179">
        <f t="shared" si="86"/>
        <v>-5.8550762310185002E-3</v>
      </c>
      <c r="CO216" s="213">
        <f t="shared" si="87"/>
        <v>0.95901446638287047</v>
      </c>
      <c r="CP216" s="214">
        <f t="shared" ca="1" si="88"/>
        <v>1.2478508135388231</v>
      </c>
      <c r="CQ216" s="176">
        <f>DANE!BK216</f>
        <v>72</v>
      </c>
      <c r="CR216" s="188">
        <f t="shared" si="14"/>
        <v>1817</v>
      </c>
      <c r="CS216" s="177">
        <f t="shared" ca="1" si="30"/>
        <v>61.428571428571431</v>
      </c>
      <c r="CT216" s="209">
        <f t="shared" si="89"/>
        <v>374.72758010626245</v>
      </c>
      <c r="CU216" s="179">
        <f t="shared" si="90"/>
        <v>6.1003654010532614E-2</v>
      </c>
      <c r="CV216" s="213">
        <f t="shared" si="91"/>
        <v>1.4270255780737284</v>
      </c>
      <c r="CW216" s="217">
        <f t="shared" ca="1" si="92"/>
        <v>1.6253991629128623</v>
      </c>
      <c r="CX216" s="176">
        <f>DANE!BO216</f>
        <v>196</v>
      </c>
      <c r="CY216" s="188">
        <f t="shared" si="15"/>
        <v>8181</v>
      </c>
      <c r="CZ216" s="177">
        <f t="shared" ca="1" si="31"/>
        <v>151.28571428571428</v>
      </c>
      <c r="DA216" s="209">
        <f t="shared" si="54"/>
        <v>882.39136150546938</v>
      </c>
      <c r="DB216" s="179">
        <f t="shared" si="58"/>
        <v>0.1019011822352999</v>
      </c>
      <c r="DC216" s="213">
        <f t="shared" si="59"/>
        <v>1.7133082756470994</v>
      </c>
      <c r="DD216" s="214">
        <f t="shared" ca="1" si="60"/>
        <v>1.6573370488215373</v>
      </c>
      <c r="DE216" s="176">
        <f>DANE!BS216</f>
        <v>114</v>
      </c>
      <c r="DF216" s="188">
        <f t="shared" si="16"/>
        <v>1983</v>
      </c>
      <c r="DG216" s="177">
        <f t="shared" ca="1" si="32"/>
        <v>62.285714285714285</v>
      </c>
      <c r="DH216" s="209">
        <f t="shared" si="70"/>
        <v>376.96633745121954</v>
      </c>
      <c r="DI216" s="179">
        <f t="shared" si="74"/>
        <v>0.22872762598199337</v>
      </c>
      <c r="DJ216" s="157">
        <f t="shared" si="75"/>
        <v>2.6010933818739534</v>
      </c>
      <c r="DK216" s="225">
        <f t="shared" ca="1" si="76"/>
        <v>1.7660273461568428</v>
      </c>
      <c r="DL216" s="146"/>
      <c r="DM216" s="380"/>
      <c r="DN216" s="372"/>
      <c r="DO216" s="372"/>
      <c r="DP216" s="372"/>
      <c r="DQ216" s="372"/>
      <c r="DR216" s="372"/>
      <c r="DS216" s="372"/>
      <c r="DT216" s="88"/>
      <c r="DU216" s="88"/>
      <c r="DV216" s="88"/>
      <c r="DW216" s="146"/>
      <c r="DX216" s="146"/>
      <c r="DY216" s="146"/>
      <c r="DZ216" s="146"/>
      <c r="EA216" s="146"/>
      <c r="EB216" s="146"/>
      <c r="EC216" s="146"/>
      <c r="ED216" s="146"/>
      <c r="EE216" s="146"/>
      <c r="EF216" s="146"/>
      <c r="EG216" s="146"/>
      <c r="EH216" s="146"/>
    </row>
    <row r="217" spans="1:138" x14ac:dyDescent="0.25">
      <c r="A217" s="61">
        <v>44107</v>
      </c>
      <c r="B217" s="62">
        <f t="shared" ca="1" si="98"/>
        <v>44107</v>
      </c>
      <c r="C217" s="12">
        <f t="shared" si="93"/>
        <v>214</v>
      </c>
      <c r="D217" s="176">
        <f>DANE!K217</f>
        <v>63</v>
      </c>
      <c r="E217" s="198">
        <f t="shared" si="1"/>
        <v>5423</v>
      </c>
      <c r="F217" s="178">
        <f t="shared" ca="1" si="17"/>
        <v>67.142857142857139</v>
      </c>
      <c r="G217" s="211">
        <f t="shared" si="38"/>
        <v>438.21033502341248</v>
      </c>
      <c r="H217" s="200">
        <f t="shared" si="42"/>
        <v>1.0621337710728887E-3</v>
      </c>
      <c r="I217" s="213">
        <f t="shared" si="43"/>
        <v>1.0074349363975101</v>
      </c>
      <c r="J217" s="214">
        <f t="shared" ca="1" si="44"/>
        <v>1.3447021471376759</v>
      </c>
      <c r="K217" s="176">
        <f>DANE!O217</f>
        <v>110</v>
      </c>
      <c r="L217" s="198">
        <f t="shared" si="2"/>
        <v>3192</v>
      </c>
      <c r="M217" s="177">
        <f t="shared" ca="1" si="18"/>
        <v>132.71428571428572</v>
      </c>
      <c r="N217" s="211">
        <f t="shared" si="62"/>
        <v>797.67219345673209</v>
      </c>
      <c r="O217" s="200">
        <f t="shared" si="66"/>
        <v>-5.748626353418957E-3</v>
      </c>
      <c r="P217" s="213">
        <f t="shared" si="67"/>
        <v>0.95975961552606726</v>
      </c>
      <c r="Q217" s="217">
        <f t="shared" ca="1" si="68"/>
        <v>1.593036446005587</v>
      </c>
      <c r="R217" s="176">
        <f>DANE!S217</f>
        <v>116</v>
      </c>
      <c r="S217" s="198">
        <f t="shared" si="3"/>
        <v>2999</v>
      </c>
      <c r="T217" s="177">
        <f t="shared" ca="1" si="19"/>
        <v>83.714285714285708</v>
      </c>
      <c r="U217" s="211">
        <f t="shared" si="50"/>
        <v>517.1873767331283</v>
      </c>
      <c r="V217" s="200">
        <f t="shared" si="55"/>
        <v>0.10497859972832713</v>
      </c>
      <c r="W217" s="213">
        <f t="shared" si="56"/>
        <v>1.73485019809829</v>
      </c>
      <c r="X217" s="214">
        <f t="shared" ca="1" si="57"/>
        <v>1.5170052105031075</v>
      </c>
      <c r="Y217" s="176">
        <f>DANE!W217</f>
        <v>56</v>
      </c>
      <c r="Z217" s="198">
        <f t="shared" si="4"/>
        <v>1128</v>
      </c>
      <c r="AA217" s="177">
        <f t="shared" ca="1" si="20"/>
        <v>29.142857142857142</v>
      </c>
      <c r="AB217" s="211">
        <f t="shared" si="94"/>
        <v>176.68173774643935</v>
      </c>
      <c r="AC217" s="200">
        <f t="shared" si="95"/>
        <v>0.25488323523429057</v>
      </c>
      <c r="AD217" s="213">
        <f t="shared" si="96"/>
        <v>2.7841826466400343</v>
      </c>
      <c r="AE217" s="217">
        <f t="shared" ca="1" si="97"/>
        <v>1.8658934506893037</v>
      </c>
      <c r="AF217" s="176">
        <f>DANE!AA217</f>
        <v>152</v>
      </c>
      <c r="AG217" s="198">
        <f t="shared" si="5"/>
        <v>7157</v>
      </c>
      <c r="AH217" s="177">
        <f t="shared" ca="1" si="21"/>
        <v>104.42857142857143</v>
      </c>
      <c r="AI217" s="211">
        <f t="shared" si="37"/>
        <v>682.2642515334237</v>
      </c>
      <c r="AJ217" s="200">
        <f t="shared" si="39"/>
        <v>0.10284245674617336</v>
      </c>
      <c r="AK217" s="213">
        <f t="shared" si="40"/>
        <v>1.7198971972232135</v>
      </c>
      <c r="AL217" s="214">
        <f t="shared" ca="1" si="41"/>
        <v>1.3916822125499662</v>
      </c>
      <c r="AM217" s="176">
        <f>DANE!AE217</f>
        <v>290</v>
      </c>
      <c r="AN217" s="198">
        <f t="shared" si="6"/>
        <v>12073</v>
      </c>
      <c r="AO217" s="177">
        <f t="shared" ca="1" si="22"/>
        <v>216.42857142857142</v>
      </c>
      <c r="AP217" s="211">
        <f t="shared" si="49"/>
        <v>1449.8966277106535</v>
      </c>
      <c r="AQ217" s="200">
        <f t="shared" si="51"/>
        <v>7.1447668996691652E-2</v>
      </c>
      <c r="AR217" s="213">
        <f t="shared" si="52"/>
        <v>1.5001336829768417</v>
      </c>
      <c r="AS217" s="217">
        <f t="shared" ca="1" si="53"/>
        <v>1.3068337539376429</v>
      </c>
      <c r="AT217" s="176">
        <f>DANE!AI217</f>
        <v>277</v>
      </c>
      <c r="AU217" s="198">
        <f t="shared" si="7"/>
        <v>13531</v>
      </c>
      <c r="AV217" s="177">
        <f t="shared" ca="1" si="23"/>
        <v>206.57142857142858</v>
      </c>
      <c r="AW217" s="211">
        <f t="shared" si="33"/>
        <v>1353.6598350215511</v>
      </c>
      <c r="AX217" s="200">
        <f t="shared" si="34"/>
        <v>7.7666149370823348E-2</v>
      </c>
      <c r="AY217" s="213">
        <f t="shared" si="35"/>
        <v>1.5436630455957636</v>
      </c>
      <c r="AZ217" s="214">
        <f t="shared" ca="1" si="36"/>
        <v>1.3131400281299981</v>
      </c>
      <c r="BA217" s="176">
        <f>DANE!AM217</f>
        <v>53</v>
      </c>
      <c r="BB217" s="198">
        <f t="shared" si="8"/>
        <v>2491</v>
      </c>
      <c r="BC217" s="177">
        <f t="shared" ca="1" si="24"/>
        <v>36.142857142857146</v>
      </c>
      <c r="BD217" s="211">
        <f t="shared" si="77"/>
        <v>256.55652204446585</v>
      </c>
      <c r="BE217" s="200">
        <f t="shared" si="80"/>
        <v>8.0317093823162516E-2</v>
      </c>
      <c r="BF217" s="213">
        <f t="shared" si="81"/>
        <v>1.5622196567621378</v>
      </c>
      <c r="BG217" s="217">
        <f t="shared" ca="1" si="82"/>
        <v>1.1590508632710044</v>
      </c>
      <c r="BH217" s="176">
        <f>DANE!AQ217</f>
        <v>141</v>
      </c>
      <c r="BI217" s="198">
        <f t="shared" si="9"/>
        <v>4352</v>
      </c>
      <c r="BJ217" s="177">
        <f t="shared" ca="1" si="25"/>
        <v>116.85714285714286</v>
      </c>
      <c r="BK217" s="211">
        <f t="shared" si="61"/>
        <v>706.7235485692969</v>
      </c>
      <c r="BL217" s="200">
        <f t="shared" si="63"/>
        <v>7.0775722811589004E-2</v>
      </c>
      <c r="BM217" s="213">
        <f t="shared" si="64"/>
        <v>1.495430059681123</v>
      </c>
      <c r="BN217" s="214">
        <f t="shared" ca="1" si="65"/>
        <v>1.7704961441359626</v>
      </c>
      <c r="BO217" s="176">
        <f>DANE!AU217</f>
        <v>126</v>
      </c>
      <c r="BP217" s="198">
        <f t="shared" si="10"/>
        <v>2330</v>
      </c>
      <c r="BQ217" s="177">
        <f t="shared" ca="1" si="26"/>
        <v>73.428571428571431</v>
      </c>
      <c r="BR217" s="211">
        <f t="shared" si="78"/>
        <v>444.62306302730957</v>
      </c>
      <c r="BS217" s="200">
        <f t="shared" si="83"/>
        <v>0.19610137123743554</v>
      </c>
      <c r="BT217" s="213">
        <f t="shared" si="84"/>
        <v>2.3727095986620488</v>
      </c>
      <c r="BU217" s="217">
        <f t="shared" ca="1" si="85"/>
        <v>1.6993511605060725</v>
      </c>
      <c r="BV217" s="176">
        <f>DANE!AY217</f>
        <v>244</v>
      </c>
      <c r="BW217" s="198">
        <f t="shared" si="11"/>
        <v>5602</v>
      </c>
      <c r="BX217" s="177">
        <f t="shared" ca="1" si="27"/>
        <v>187.71428571428572</v>
      </c>
      <c r="BY217" s="211">
        <f t="shared" si="69"/>
        <v>1146.7934088099109</v>
      </c>
      <c r="BZ217" s="200">
        <f t="shared" si="71"/>
        <v>8.8804780127602456E-2</v>
      </c>
      <c r="CA217" s="213">
        <f t="shared" si="72"/>
        <v>1.6216334608932172</v>
      </c>
      <c r="CB217" s="214">
        <f t="shared" ca="1" si="73"/>
        <v>1.5098116312072463</v>
      </c>
      <c r="CC217" s="176">
        <f>DANE!BC217</f>
        <v>221</v>
      </c>
      <c r="CD217" s="198">
        <f t="shared" si="12"/>
        <v>23170</v>
      </c>
      <c r="CE217" s="177">
        <f t="shared" ca="1" si="28"/>
        <v>139.42857142857142</v>
      </c>
      <c r="CF217" s="211">
        <f t="shared" si="45"/>
        <v>915.35380577533226</v>
      </c>
      <c r="CG217" s="200">
        <f t="shared" si="46"/>
        <v>0.1299556074338287</v>
      </c>
      <c r="CH217" s="213">
        <f t="shared" si="47"/>
        <v>1.909689252036801</v>
      </c>
      <c r="CI217" s="217">
        <f t="shared" ca="1" si="48"/>
        <v>1.4142947549252252</v>
      </c>
      <c r="CJ217" s="176">
        <f>DANE!BG217</f>
        <v>156</v>
      </c>
      <c r="CK217" s="198">
        <f t="shared" si="13"/>
        <v>2349</v>
      </c>
      <c r="CL217" s="177">
        <f t="shared" ca="1" si="29"/>
        <v>54</v>
      </c>
      <c r="CM217" s="211">
        <f t="shared" si="79"/>
        <v>361.25310285327146</v>
      </c>
      <c r="CN217" s="200">
        <f t="shared" si="86"/>
        <v>0.50860334107948069</v>
      </c>
      <c r="CO217" s="213">
        <f t="shared" si="87"/>
        <v>4.5602233875563645</v>
      </c>
      <c r="CP217" s="214">
        <f t="shared" ca="1" si="88"/>
        <v>1.6825382906701962</v>
      </c>
      <c r="CQ217" s="176">
        <f>DANE!BK217</f>
        <v>76</v>
      </c>
      <c r="CR217" s="198">
        <f t="shared" si="14"/>
        <v>1893</v>
      </c>
      <c r="CS217" s="177">
        <f t="shared" ca="1" si="30"/>
        <v>66.142857142857139</v>
      </c>
      <c r="CT217" s="211">
        <f t="shared" si="89"/>
        <v>397.19506866251072</v>
      </c>
      <c r="CU217" s="200">
        <f t="shared" si="90"/>
        <v>5.9956858659501677E-2</v>
      </c>
      <c r="CV217" s="213">
        <f t="shared" si="91"/>
        <v>1.4196980106165118</v>
      </c>
      <c r="CW217" s="217">
        <f t="shared" ca="1" si="92"/>
        <v>1.625319589502785</v>
      </c>
      <c r="CX217" s="176">
        <f>DANE!BO217</f>
        <v>224</v>
      </c>
      <c r="CY217" s="198">
        <f t="shared" si="15"/>
        <v>8405</v>
      </c>
      <c r="CZ217" s="177">
        <f t="shared" ca="1" si="31"/>
        <v>159.42857142857142</v>
      </c>
      <c r="DA217" s="211">
        <f t="shared" si="54"/>
        <v>980.33545271897378</v>
      </c>
      <c r="DB217" s="200">
        <f t="shared" si="58"/>
        <v>0.11099847016453063</v>
      </c>
      <c r="DC217" s="213">
        <f t="shared" si="59"/>
        <v>1.7769892911517144</v>
      </c>
      <c r="DD217" s="214">
        <f t="shared" ca="1" si="60"/>
        <v>1.5626476693037368</v>
      </c>
      <c r="DE217" s="176">
        <f>DANE!BS217</f>
        <v>62</v>
      </c>
      <c r="DF217" s="198">
        <f t="shared" si="16"/>
        <v>2045</v>
      </c>
      <c r="DG217" s="177">
        <f t="shared" ca="1" si="32"/>
        <v>63.857142857142854</v>
      </c>
      <c r="DH217" s="211">
        <f t="shared" si="70"/>
        <v>385.11400352961675</v>
      </c>
      <c r="DI217" s="200">
        <f t="shared" si="74"/>
        <v>2.1613776268422209E-2</v>
      </c>
      <c r="DJ217" s="157">
        <f t="shared" si="75"/>
        <v>1.1512964338789555</v>
      </c>
      <c r="DK217" s="225">
        <f t="shared" ca="1" si="76"/>
        <v>1.6553421608274714</v>
      </c>
      <c r="DL217" s="146"/>
      <c r="DM217" s="380"/>
      <c r="DN217" s="372"/>
      <c r="DO217" s="372"/>
      <c r="DP217" s="372"/>
      <c r="DQ217" s="372"/>
      <c r="DR217" s="372"/>
      <c r="DS217" s="372"/>
      <c r="DT217" s="89"/>
      <c r="DU217" s="89"/>
      <c r="DV217" s="89"/>
      <c r="DW217" s="146"/>
      <c r="DX217" s="146"/>
      <c r="DY217" s="146"/>
      <c r="DZ217" s="146"/>
      <c r="EA217" s="146"/>
      <c r="EB217" s="146"/>
      <c r="EC217" s="146"/>
      <c r="ED217" s="146"/>
      <c r="EE217" s="146"/>
      <c r="EF217" s="146"/>
      <c r="EG217" s="146"/>
      <c r="EH217" s="146"/>
    </row>
    <row r="218" spans="1:138" x14ac:dyDescent="0.25">
      <c r="A218" s="61">
        <v>44108</v>
      </c>
      <c r="B218" s="62">
        <f t="shared" ca="1" si="98"/>
        <v>44108</v>
      </c>
      <c r="C218" s="12">
        <f t="shared" si="93"/>
        <v>215</v>
      </c>
      <c r="D218" s="176">
        <f>DANE!K218</f>
        <v>62</v>
      </c>
      <c r="E218" s="198">
        <f t="shared" si="1"/>
        <v>5485</v>
      </c>
      <c r="F218" s="178">
        <f t="shared" ca="1" si="17"/>
        <v>69</v>
      </c>
      <c r="G218" s="211">
        <f t="shared" si="38"/>
        <v>437.60885859149641</v>
      </c>
      <c r="H218" s="200">
        <f t="shared" si="42"/>
        <v>-1.3725747291741389E-3</v>
      </c>
      <c r="I218" s="213">
        <f t="shared" si="43"/>
        <v>0.99039197689578107</v>
      </c>
      <c r="J218" s="214">
        <f t="shared" ca="1" si="44"/>
        <v>1.331570541353259</v>
      </c>
      <c r="K218" s="176">
        <f>DANE!O218</f>
        <v>229</v>
      </c>
      <c r="L218" s="198">
        <f t="shared" si="2"/>
        <v>3421</v>
      </c>
      <c r="M218" s="177">
        <f t="shared" ca="1" si="18"/>
        <v>155.14285714285714</v>
      </c>
      <c r="N218" s="211">
        <f t="shared" si="62"/>
        <v>912.7190229629133</v>
      </c>
      <c r="O218" s="200">
        <f t="shared" si="66"/>
        <v>0.1442282060850372</v>
      </c>
      <c r="P218" s="213">
        <f t="shared" si="67"/>
        <v>2.0095974425952603</v>
      </c>
      <c r="Q218" s="217">
        <f t="shared" ca="1" si="68"/>
        <v>1.7237726877153143</v>
      </c>
      <c r="R218" s="176">
        <f>DANE!S218</f>
        <v>102</v>
      </c>
      <c r="S218" s="198">
        <f t="shared" si="3"/>
        <v>3101</v>
      </c>
      <c r="T218" s="177">
        <f t="shared" ca="1" si="19"/>
        <v>87.285714285714292</v>
      </c>
      <c r="U218" s="211">
        <f t="shared" si="50"/>
        <v>545.30346577125283</v>
      </c>
      <c r="V218" s="200">
        <f t="shared" si="55"/>
        <v>5.4363447955212939E-2</v>
      </c>
      <c r="W218" s="213">
        <f t="shared" si="56"/>
        <v>1.3805441356864905</v>
      </c>
      <c r="X218" s="214">
        <f t="shared" ca="1" si="57"/>
        <v>1.4717990335890254</v>
      </c>
      <c r="Y218" s="176">
        <f>DANE!W218</f>
        <v>96</v>
      </c>
      <c r="Z218" s="198">
        <f t="shared" si="4"/>
        <v>1224</v>
      </c>
      <c r="AA218" s="177">
        <f t="shared" ca="1" si="20"/>
        <v>42</v>
      </c>
      <c r="AB218" s="211">
        <f t="shared" si="94"/>
        <v>247.44148949694804</v>
      </c>
      <c r="AC218" s="200">
        <f t="shared" si="95"/>
        <v>0.40049273146757181</v>
      </c>
      <c r="AD218" s="213">
        <f t="shared" si="96"/>
        <v>3.8034491202730027</v>
      </c>
      <c r="AE218" s="217">
        <f t="shared" ca="1" si="97"/>
        <v>2.3363611544125971</v>
      </c>
      <c r="AF218" s="176">
        <f>DANE!AA218</f>
        <v>127</v>
      </c>
      <c r="AG218" s="198">
        <f t="shared" si="5"/>
        <v>7284</v>
      </c>
      <c r="AH218" s="177">
        <f t="shared" ca="1" si="21"/>
        <v>110.28571428571429</v>
      </c>
      <c r="AI218" s="211">
        <f t="shared" si="37"/>
        <v>711.79792988579175</v>
      </c>
      <c r="AJ218" s="200">
        <f t="shared" si="39"/>
        <v>4.3287741202898425E-2</v>
      </c>
      <c r="AK218" s="213">
        <f t="shared" si="40"/>
        <v>1.303014188420289</v>
      </c>
      <c r="AL218" s="214">
        <f t="shared" ca="1" si="41"/>
        <v>1.394413154114398</v>
      </c>
      <c r="AM218" s="176">
        <f>DANE!AE218</f>
        <v>185</v>
      </c>
      <c r="AN218" s="198">
        <f t="shared" si="6"/>
        <v>12258</v>
      </c>
      <c r="AO218" s="177">
        <f t="shared" ca="1" si="22"/>
        <v>221.14285714285714</v>
      </c>
      <c r="AP218" s="211">
        <f t="shared" si="49"/>
        <v>1427.7685380377031</v>
      </c>
      <c r="AQ218" s="200">
        <f t="shared" si="51"/>
        <v>-1.5261839533960464E-2</v>
      </c>
      <c r="AR218" s="213">
        <f t="shared" si="52"/>
        <v>0.89316712326227676</v>
      </c>
      <c r="AS218" s="217">
        <f t="shared" ca="1" si="53"/>
        <v>1.2937535913072533</v>
      </c>
      <c r="AT218" s="176">
        <f>DANE!AI218</f>
        <v>164</v>
      </c>
      <c r="AU218" s="198">
        <f t="shared" si="7"/>
        <v>13695</v>
      </c>
      <c r="AV218" s="177">
        <f t="shared" ca="1" si="23"/>
        <v>202.42857142857142</v>
      </c>
      <c r="AW218" s="211">
        <f t="shared" si="33"/>
        <v>1324.2798585899011</v>
      </c>
      <c r="AX218" s="200">
        <f t="shared" si="34"/>
        <v>-2.1704105914601687E-2</v>
      </c>
      <c r="AY218" s="213">
        <f t="shared" si="35"/>
        <v>0.8480712585977882</v>
      </c>
      <c r="AZ218" s="214">
        <f t="shared" ca="1" si="36"/>
        <v>1.2415713599850549</v>
      </c>
      <c r="BA218" s="176">
        <f>DANE!AM218</f>
        <v>44</v>
      </c>
      <c r="BB218" s="198">
        <f t="shared" si="8"/>
        <v>2535</v>
      </c>
      <c r="BC218" s="177">
        <f t="shared" ca="1" si="24"/>
        <v>40.142857142857146</v>
      </c>
      <c r="BD218" s="211">
        <f t="shared" si="77"/>
        <v>263.90559032382788</v>
      </c>
      <c r="BE218" s="200">
        <f t="shared" si="80"/>
        <v>2.8645026136144391E-2</v>
      </c>
      <c r="BF218" s="213">
        <f t="shared" si="81"/>
        <v>1.2005151829530107</v>
      </c>
      <c r="BG218" s="217">
        <f t="shared" ca="1" si="82"/>
        <v>1.2585054277014456</v>
      </c>
      <c r="BH218" s="176">
        <f>DANE!AQ218</f>
        <v>141</v>
      </c>
      <c r="BI218" s="198">
        <f t="shared" si="9"/>
        <v>4493</v>
      </c>
      <c r="BJ218" s="177">
        <f t="shared" ca="1" si="25"/>
        <v>127</v>
      </c>
      <c r="BK218" s="211">
        <f t="shared" si="61"/>
        <v>746.76304163082591</v>
      </c>
      <c r="BL218" s="200">
        <f t="shared" si="63"/>
        <v>5.6655099639152599E-2</v>
      </c>
      <c r="BM218" s="213">
        <f t="shared" si="64"/>
        <v>1.3965856974740682</v>
      </c>
      <c r="BN218" s="214">
        <f t="shared" ca="1" si="65"/>
        <v>1.7674191935397991</v>
      </c>
      <c r="BO218" s="176">
        <f>DANE!AU218</f>
        <v>76</v>
      </c>
      <c r="BP218" s="198">
        <f t="shared" si="10"/>
        <v>2406</v>
      </c>
      <c r="BQ218" s="177">
        <f t="shared" ca="1" si="26"/>
        <v>75</v>
      </c>
      <c r="BR218" s="211">
        <f t="shared" si="78"/>
        <v>457.10548259483681</v>
      </c>
      <c r="BS218" s="200">
        <f t="shared" si="83"/>
        <v>2.8074161251416128E-2</v>
      </c>
      <c r="BT218" s="213">
        <f t="shared" si="84"/>
        <v>1.1965191287599128</v>
      </c>
      <c r="BU218" s="217">
        <f t="shared" ca="1" si="85"/>
        <v>1.5875692517877125</v>
      </c>
      <c r="BV218" s="176">
        <f>DANE!AY218</f>
        <v>223</v>
      </c>
      <c r="BW218" s="198">
        <f t="shared" si="11"/>
        <v>5825</v>
      </c>
      <c r="BX218" s="177">
        <f t="shared" ca="1" si="27"/>
        <v>192.28571428571428</v>
      </c>
      <c r="BY218" s="211">
        <f t="shared" si="69"/>
        <v>1205.9657789799237</v>
      </c>
      <c r="BZ218" s="200">
        <f t="shared" si="71"/>
        <v>5.1598108007456282E-2</v>
      </c>
      <c r="CA218" s="213">
        <f t="shared" si="72"/>
        <v>1.361186756052194</v>
      </c>
      <c r="CB218" s="214">
        <f t="shared" ca="1" si="73"/>
        <v>1.432907498394201</v>
      </c>
      <c r="CC218" s="176">
        <f>DANE!BC218</f>
        <v>120</v>
      </c>
      <c r="CD218" s="198">
        <f t="shared" si="12"/>
        <v>23290</v>
      </c>
      <c r="CE218" s="177">
        <f t="shared" ca="1" si="28"/>
        <v>143.28571428571428</v>
      </c>
      <c r="CF218" s="211">
        <f t="shared" si="45"/>
        <v>904.58897637885627</v>
      </c>
      <c r="CG218" s="200">
        <f t="shared" si="46"/>
        <v>-1.1760293482756489E-2</v>
      </c>
      <c r="CH218" s="213">
        <f t="shared" si="47"/>
        <v>0.91767794562070459</v>
      </c>
      <c r="CI218" s="217">
        <f t="shared" ca="1" si="48"/>
        <v>1.3944040506684279</v>
      </c>
      <c r="CJ218" s="176">
        <f>DANE!BG218</f>
        <v>70</v>
      </c>
      <c r="CK218" s="198">
        <f t="shared" si="13"/>
        <v>2419</v>
      </c>
      <c r="CL218" s="177">
        <f t="shared" ca="1" si="29"/>
        <v>58.428571428571431</v>
      </c>
      <c r="CM218" s="211">
        <f t="shared" si="79"/>
        <v>379.64551673137555</v>
      </c>
      <c r="CN218" s="200">
        <f t="shared" si="86"/>
        <v>5.0912819108918372E-2</v>
      </c>
      <c r="CO218" s="213">
        <f t="shared" si="87"/>
        <v>1.3563897337624287</v>
      </c>
      <c r="CP218" s="214">
        <f t="shared" ca="1" si="88"/>
        <v>1.6843018574310518</v>
      </c>
      <c r="CQ218" s="176">
        <f>DANE!BK218</f>
        <v>69</v>
      </c>
      <c r="CR218" s="198">
        <f t="shared" si="14"/>
        <v>1962</v>
      </c>
      <c r="CS218" s="177">
        <f t="shared" ca="1" si="30"/>
        <v>64.285714285714292</v>
      </c>
      <c r="CT218" s="211">
        <f t="shared" si="89"/>
        <v>409.45291599643781</v>
      </c>
      <c r="CU218" s="200">
        <f t="shared" si="90"/>
        <v>3.0861025982027872E-2</v>
      </c>
      <c r="CV218" s="213">
        <f t="shared" si="91"/>
        <v>1.2160271818741952</v>
      </c>
      <c r="CW218" s="217">
        <f t="shared" ca="1" si="92"/>
        <v>1.434037728885768</v>
      </c>
      <c r="CX218" s="176">
        <f>DANE!BO218</f>
        <v>168</v>
      </c>
      <c r="CY218" s="198">
        <f t="shared" si="15"/>
        <v>8573</v>
      </c>
      <c r="CZ218" s="177">
        <f t="shared" ca="1" si="31"/>
        <v>168.85714285714286</v>
      </c>
      <c r="DA218" s="211">
        <f t="shared" si="54"/>
        <v>1008.2875309019776</v>
      </c>
      <c r="DB218" s="200">
        <f t="shared" si="58"/>
        <v>2.8512768874652351E-2</v>
      </c>
      <c r="DC218" s="213">
        <f t="shared" si="59"/>
        <v>1.1995893821225665</v>
      </c>
      <c r="DD218" s="214">
        <f t="shared" ca="1" si="60"/>
        <v>1.557451342971135</v>
      </c>
      <c r="DE218" s="176">
        <f>DANE!BS218</f>
        <v>58</v>
      </c>
      <c r="DF218" s="198">
        <f t="shared" si="16"/>
        <v>2103</v>
      </c>
      <c r="DG218" s="177">
        <f t="shared" ca="1" si="32"/>
        <v>64</v>
      </c>
      <c r="DH218" s="211">
        <f t="shared" si="70"/>
        <v>388.0977173111001</v>
      </c>
      <c r="DI218" s="200">
        <f t="shared" si="74"/>
        <v>7.7476117568752246E-3</v>
      </c>
      <c r="DJ218" s="157">
        <f t="shared" si="75"/>
        <v>1.0542332822981266</v>
      </c>
      <c r="DK218" s="225">
        <f t="shared" ca="1" si="76"/>
        <v>1.5343513198512173</v>
      </c>
      <c r="DL218" s="146"/>
      <c r="DM218" s="88"/>
      <c r="DN218" s="88"/>
      <c r="DO218" s="88"/>
      <c r="DP218" s="88"/>
      <c r="DQ218" s="88"/>
      <c r="DR218" s="88"/>
      <c r="DS218" s="88"/>
      <c r="DT218" s="88"/>
      <c r="DU218" s="88"/>
      <c r="DV218" s="88"/>
      <c r="DW218" s="146"/>
      <c r="DX218" s="146"/>
      <c r="DY218" s="146"/>
      <c r="DZ218" s="146"/>
      <c r="EA218" s="146"/>
      <c r="EB218" s="146"/>
      <c r="EC218" s="146"/>
      <c r="ED218" s="146"/>
      <c r="EE218" s="146"/>
      <c r="EF218" s="146"/>
      <c r="EG218" s="146"/>
      <c r="EH218" s="146"/>
    </row>
    <row r="219" spans="1:138" x14ac:dyDescent="0.25">
      <c r="A219" s="32">
        <v>44109</v>
      </c>
      <c r="B219" s="33">
        <f t="shared" ca="1" si="98"/>
        <v>44109</v>
      </c>
      <c r="C219" s="51">
        <f t="shared" si="93"/>
        <v>216</v>
      </c>
      <c r="D219" s="176">
        <f>DANE!K219</f>
        <v>87</v>
      </c>
      <c r="E219" s="188">
        <f t="shared" si="1"/>
        <v>5572</v>
      </c>
      <c r="F219" s="178">
        <f t="shared" ca="1" si="17"/>
        <v>77.428571428571431</v>
      </c>
      <c r="G219" s="209">
        <f t="shared" si="38"/>
        <v>462.09330736413983</v>
      </c>
      <c r="H219" s="179">
        <f t="shared" si="42"/>
        <v>5.59505327461833E-2</v>
      </c>
      <c r="I219" s="213">
        <f t="shared" si="43"/>
        <v>1.3916537292232831</v>
      </c>
      <c r="J219" s="214">
        <f t="shared" ca="1" si="44"/>
        <v>1.4430529777774925</v>
      </c>
      <c r="K219" s="176">
        <f>DANE!O219</f>
        <v>109</v>
      </c>
      <c r="L219" s="188">
        <f t="shared" si="2"/>
        <v>3530</v>
      </c>
      <c r="M219" s="177">
        <f t="shared" ca="1" si="18"/>
        <v>149</v>
      </c>
      <c r="N219" s="209">
        <f t="shared" si="62"/>
        <v>891.33059111106866</v>
      </c>
      <c r="O219" s="179">
        <f t="shared" si="66"/>
        <v>-2.3433752681534418E-2</v>
      </c>
      <c r="P219" s="213">
        <f t="shared" si="67"/>
        <v>0.83596373122925904</v>
      </c>
      <c r="Q219" s="217">
        <f t="shared" ca="1" si="68"/>
        <v>1.517519753763203</v>
      </c>
      <c r="R219" s="176">
        <f>DANE!S219</f>
        <v>172</v>
      </c>
      <c r="S219" s="188">
        <f t="shared" si="3"/>
        <v>3273</v>
      </c>
      <c r="T219" s="177">
        <f t="shared" ca="1" si="19"/>
        <v>99.428571428571431</v>
      </c>
      <c r="U219" s="209">
        <f t="shared" si="50"/>
        <v>639.40297066107382</v>
      </c>
      <c r="V219" s="179">
        <f t="shared" si="55"/>
        <v>0.17256355551808361</v>
      </c>
      <c r="W219" s="213">
        <f t="shared" si="56"/>
        <v>2.2079448886265851</v>
      </c>
      <c r="X219" s="214">
        <f t="shared" ca="1" si="57"/>
        <v>1.5381124836918871</v>
      </c>
      <c r="Y219" s="176">
        <f>DANE!W219</f>
        <v>54</v>
      </c>
      <c r="Z219" s="188">
        <f t="shared" si="4"/>
        <v>1278</v>
      </c>
      <c r="AA219" s="177">
        <f t="shared" ca="1" si="20"/>
        <v>44.142857142857146</v>
      </c>
      <c r="AB219" s="209">
        <f t="shared" si="94"/>
        <v>266.09270528309833</v>
      </c>
      <c r="AC219" s="179">
        <f t="shared" si="95"/>
        <v>7.5376267028090027E-2</v>
      </c>
      <c r="AD219" s="213">
        <f t="shared" si="96"/>
        <v>1.5276338691966302</v>
      </c>
      <c r="AE219" s="217">
        <f t="shared" ca="1" si="97"/>
        <v>2.045216757489499</v>
      </c>
      <c r="AF219" s="176">
        <f>DANE!AA219</f>
        <v>126</v>
      </c>
      <c r="AG219" s="188">
        <f t="shared" si="5"/>
        <v>7410</v>
      </c>
      <c r="AH219" s="177">
        <f t="shared" ca="1" si="21"/>
        <v>120.14285714285714</v>
      </c>
      <c r="AI219" s="209">
        <f t="shared" si="37"/>
        <v>736.11251133067867</v>
      </c>
      <c r="AJ219" s="179">
        <f t="shared" si="39"/>
        <v>3.4159387691375005E-2</v>
      </c>
      <c r="AK219" s="213">
        <f t="shared" si="40"/>
        <v>1.2391157138396252</v>
      </c>
      <c r="AL219" s="214">
        <f t="shared" ca="1" si="41"/>
        <v>1.4546027560876402</v>
      </c>
      <c r="AM219" s="176">
        <f>DANE!AE219</f>
        <v>217</v>
      </c>
      <c r="AN219" s="188">
        <f t="shared" si="6"/>
        <v>12475</v>
      </c>
      <c r="AO219" s="177">
        <f t="shared" ca="1" si="22"/>
        <v>233</v>
      </c>
      <c r="AP219" s="209">
        <f t="shared" si="49"/>
        <v>1440.8016040323171</v>
      </c>
      <c r="AQ219" s="179">
        <f t="shared" si="51"/>
        <v>9.1282765009840627E-3</v>
      </c>
      <c r="AR219" s="213">
        <f t="shared" si="52"/>
        <v>1.0638979355068885</v>
      </c>
      <c r="AS219" s="217">
        <f t="shared" ca="1" si="53"/>
        <v>1.321451325898213</v>
      </c>
      <c r="AT219" s="176">
        <f>DANE!AI219</f>
        <v>336</v>
      </c>
      <c r="AU219" s="188">
        <f t="shared" si="7"/>
        <v>14031</v>
      </c>
      <c r="AV219" s="177">
        <f t="shared" ca="1" si="23"/>
        <v>228.71428571428572</v>
      </c>
      <c r="AW219" s="209">
        <f t="shared" si="33"/>
        <v>1471.0970216484868</v>
      </c>
      <c r="AX219" s="179">
        <f t="shared" si="34"/>
        <v>0.11086566189635873</v>
      </c>
      <c r="AY219" s="213">
        <f t="shared" si="35"/>
        <v>1.7760596332745111</v>
      </c>
      <c r="AZ219" s="214">
        <f t="shared" ca="1" si="36"/>
        <v>1.3507223502469163</v>
      </c>
      <c r="BA219" s="176">
        <f>DANE!AM219</f>
        <v>48</v>
      </c>
      <c r="BB219" s="188">
        <f t="shared" si="8"/>
        <v>2583</v>
      </c>
      <c r="BC219" s="177">
        <f t="shared" ca="1" si="24"/>
        <v>42</v>
      </c>
      <c r="BD219" s="209">
        <f t="shared" si="77"/>
        <v>274.20479170613817</v>
      </c>
      <c r="BE219" s="179">
        <f t="shared" si="80"/>
        <v>3.9026082659607754E-2</v>
      </c>
      <c r="BF219" s="213">
        <f t="shared" si="81"/>
        <v>1.2731825786172544</v>
      </c>
      <c r="BG219" s="217">
        <f t="shared" ca="1" si="82"/>
        <v>1.2707741968968151</v>
      </c>
      <c r="BH219" s="176">
        <f>DANE!AQ219</f>
        <v>142</v>
      </c>
      <c r="BI219" s="188">
        <f t="shared" si="9"/>
        <v>4635</v>
      </c>
      <c r="BJ219" s="177">
        <f t="shared" ca="1" si="25"/>
        <v>136.85714285714286</v>
      </c>
      <c r="BK219" s="209">
        <f t="shared" si="61"/>
        <v>782.08260711213654</v>
      </c>
      <c r="BL219" s="179">
        <f t="shared" si="63"/>
        <v>4.7296884704119323E-2</v>
      </c>
      <c r="BM219" s="213">
        <f t="shared" si="64"/>
        <v>1.3310781929288353</v>
      </c>
      <c r="BN219" s="214">
        <f t="shared" ca="1" si="65"/>
        <v>1.7582100075083211</v>
      </c>
      <c r="BO219" s="176">
        <f>DANE!AU219</f>
        <v>90</v>
      </c>
      <c r="BP219" s="188">
        <f t="shared" si="10"/>
        <v>2496</v>
      </c>
      <c r="BQ219" s="177">
        <f t="shared" ca="1" si="26"/>
        <v>79.428571428571431</v>
      </c>
      <c r="BR219" s="209">
        <f t="shared" si="78"/>
        <v>481.80469936700302</v>
      </c>
      <c r="BS219" s="179">
        <f t="shared" si="83"/>
        <v>5.4033954333596958E-2</v>
      </c>
      <c r="BT219" s="213">
        <f t="shared" si="84"/>
        <v>1.3782376803351788</v>
      </c>
      <c r="BU219" s="217">
        <f t="shared" ca="1" si="85"/>
        <v>1.5593296370169174</v>
      </c>
      <c r="BV219" s="176">
        <f>DANE!AY219</f>
        <v>202</v>
      </c>
      <c r="BW219" s="188">
        <f t="shared" si="11"/>
        <v>6027</v>
      </c>
      <c r="BX219" s="177">
        <f t="shared" ca="1" si="27"/>
        <v>199.71428571428572</v>
      </c>
      <c r="BY219" s="209">
        <f t="shared" si="69"/>
        <v>1235.6849534113633</v>
      </c>
      <c r="BZ219" s="179">
        <f t="shared" si="71"/>
        <v>2.464346414255451E-2</v>
      </c>
      <c r="CA219" s="213">
        <f t="shared" si="72"/>
        <v>1.1725042489978816</v>
      </c>
      <c r="CB219" s="214">
        <f t="shared" ca="1" si="73"/>
        <v>1.4115653579783145</v>
      </c>
      <c r="CC219" s="176">
        <f>DANE!BC219</f>
        <v>125</v>
      </c>
      <c r="CD219" s="188">
        <f t="shared" si="12"/>
        <v>23415</v>
      </c>
      <c r="CE219" s="177">
        <f t="shared" ca="1" si="28"/>
        <v>149.28571428571428</v>
      </c>
      <c r="CF219" s="209">
        <f t="shared" si="45"/>
        <v>900.36197975330549</v>
      </c>
      <c r="CG219" s="179">
        <f t="shared" si="46"/>
        <v>-4.6728367644626803E-3</v>
      </c>
      <c r="CH219" s="213">
        <f t="shared" si="47"/>
        <v>0.96729014264876123</v>
      </c>
      <c r="CI219" s="217">
        <f t="shared" ca="1" si="48"/>
        <v>1.3989227799959318</v>
      </c>
      <c r="CJ219" s="176">
        <f>DANE!BG219</f>
        <v>49</v>
      </c>
      <c r="CK219" s="188">
        <f t="shared" si="13"/>
        <v>2468</v>
      </c>
      <c r="CL219" s="177">
        <f t="shared" ca="1" si="29"/>
        <v>62.857142857142854</v>
      </c>
      <c r="CM219" s="209">
        <f t="shared" si="79"/>
        <v>374.41044291260766</v>
      </c>
      <c r="CN219" s="179">
        <f t="shared" si="86"/>
        <v>-1.3789373476184232E-2</v>
      </c>
      <c r="CO219" s="213">
        <f t="shared" si="87"/>
        <v>0.90347438566671034</v>
      </c>
      <c r="CP219" s="214">
        <f t="shared" ca="1" si="88"/>
        <v>1.728902773263554</v>
      </c>
      <c r="CQ219" s="176">
        <f>DANE!BK219</f>
        <v>28</v>
      </c>
      <c r="CR219" s="188">
        <f t="shared" si="14"/>
        <v>1990</v>
      </c>
      <c r="CS219" s="177">
        <f t="shared" ca="1" si="30"/>
        <v>66.285714285714292</v>
      </c>
      <c r="CT219" s="209">
        <f t="shared" si="89"/>
        <v>378.95964228266098</v>
      </c>
      <c r="CU219" s="179">
        <f t="shared" si="90"/>
        <v>-7.4473211747848725E-2</v>
      </c>
      <c r="CV219" s="213">
        <f t="shared" si="91"/>
        <v>0.47868751776505891</v>
      </c>
      <c r="CW219" s="217">
        <f t="shared" ca="1" si="92"/>
        <v>1.4514316498390059</v>
      </c>
      <c r="CX219" s="176">
        <f>DANE!BO219</f>
        <v>180</v>
      </c>
      <c r="CY219" s="188">
        <f t="shared" si="15"/>
        <v>8753</v>
      </c>
      <c r="CZ219" s="177">
        <f t="shared" ca="1" si="31"/>
        <v>166</v>
      </c>
      <c r="DA219" s="209">
        <f t="shared" si="54"/>
        <v>1044.2464550588379</v>
      </c>
      <c r="DB219" s="179">
        <f t="shared" si="58"/>
        <v>3.5663362934472469E-2</v>
      </c>
      <c r="DC219" s="213">
        <f t="shared" si="59"/>
        <v>1.2496435405413073</v>
      </c>
      <c r="DD219" s="214">
        <f t="shared" ca="1" si="60"/>
        <v>1.4010533387724935</v>
      </c>
      <c r="DE219" s="176">
        <f>DANE!BS219</f>
        <v>41</v>
      </c>
      <c r="DF219" s="188">
        <f t="shared" si="16"/>
        <v>2144</v>
      </c>
      <c r="DG219" s="177">
        <f t="shared" ca="1" si="32"/>
        <v>66.285714285714292</v>
      </c>
      <c r="DH219" s="209">
        <f t="shared" si="70"/>
        <v>373.65518626665727</v>
      </c>
      <c r="DI219" s="179">
        <f t="shared" si="74"/>
        <v>-3.7213645945940108E-2</v>
      </c>
      <c r="DJ219" s="157">
        <f t="shared" si="75"/>
        <v>0.73950447837841926</v>
      </c>
      <c r="DK219" s="225">
        <f t="shared" ca="1" si="76"/>
        <v>1.5344602928251416</v>
      </c>
      <c r="DL219" s="146"/>
      <c r="DM219" s="371"/>
      <c r="DN219" s="372"/>
      <c r="DO219" s="372"/>
      <c r="DP219" s="372"/>
      <c r="DQ219" s="372"/>
      <c r="DR219" s="372"/>
      <c r="DS219" s="372"/>
      <c r="DT219" s="372"/>
      <c r="DU219" s="372"/>
      <c r="DV219" s="372"/>
      <c r="DW219" s="146"/>
      <c r="DX219" s="146"/>
      <c r="DY219" s="146"/>
      <c r="DZ219" s="146"/>
      <c r="EA219" s="146"/>
      <c r="EB219" s="146"/>
      <c r="EC219" s="146"/>
      <c r="ED219" s="146"/>
      <c r="EE219" s="146"/>
      <c r="EF219" s="146"/>
      <c r="EG219" s="146"/>
      <c r="EH219" s="146"/>
    </row>
    <row r="220" spans="1:138" x14ac:dyDescent="0.25">
      <c r="A220" s="32">
        <v>44110</v>
      </c>
      <c r="B220" s="33">
        <f t="shared" ca="1" si="98"/>
        <v>44110</v>
      </c>
      <c r="C220" s="51">
        <f t="shared" si="93"/>
        <v>217</v>
      </c>
      <c r="D220" s="176">
        <f>DANE!K220</f>
        <v>140</v>
      </c>
      <c r="E220" s="188">
        <f t="shared" si="1"/>
        <v>5712</v>
      </c>
      <c r="F220" s="178">
        <f t="shared" ca="1" si="17"/>
        <v>88.285714285714292</v>
      </c>
      <c r="G220" s="209">
        <f t="shared" si="38"/>
        <v>536.07997774069133</v>
      </c>
      <c r="H220" s="179">
        <f t="shared" si="42"/>
        <v>0.16011197132151572</v>
      </c>
      <c r="I220" s="213">
        <f t="shared" si="43"/>
        <v>2.12078379925061</v>
      </c>
      <c r="J220" s="214">
        <f t="shared" ca="1" si="44"/>
        <v>1.534685629165746</v>
      </c>
      <c r="K220" s="176">
        <f>DANE!O220</f>
        <v>153</v>
      </c>
      <c r="L220" s="188">
        <f t="shared" si="2"/>
        <v>3683</v>
      </c>
      <c r="M220" s="177">
        <f t="shared" ca="1" si="18"/>
        <v>153.71428571428572</v>
      </c>
      <c r="N220" s="209">
        <f t="shared" si="62"/>
        <v>916.99764952377313</v>
      </c>
      <c r="O220" s="179">
        <f t="shared" si="66"/>
        <v>2.8796339617054731E-2</v>
      </c>
      <c r="P220" s="213">
        <f t="shared" si="67"/>
        <v>1.2015743773193832</v>
      </c>
      <c r="Q220" s="217">
        <f t="shared" ca="1" si="68"/>
        <v>1.4718002923922868</v>
      </c>
      <c r="R220" s="176">
        <f>DANE!S220</f>
        <v>138</v>
      </c>
      <c r="S220" s="188">
        <f t="shared" si="3"/>
        <v>3411</v>
      </c>
      <c r="T220" s="177">
        <f t="shared" ca="1" si="19"/>
        <v>115</v>
      </c>
      <c r="U220" s="209">
        <f t="shared" si="50"/>
        <v>686.05968913806328</v>
      </c>
      <c r="V220" s="179">
        <f t="shared" si="55"/>
        <v>7.2969192540271482E-2</v>
      </c>
      <c r="W220" s="213">
        <f t="shared" si="56"/>
        <v>1.5107843477819003</v>
      </c>
      <c r="X220" s="214">
        <f t="shared" ca="1" si="57"/>
        <v>1.6788782617906832</v>
      </c>
      <c r="Y220" s="176">
        <f>DANE!W220</f>
        <v>9</v>
      </c>
      <c r="Z220" s="188">
        <f t="shared" si="4"/>
        <v>1287</v>
      </c>
      <c r="AA220" s="177">
        <f t="shared" ca="1" si="20"/>
        <v>43.142857142857146</v>
      </c>
      <c r="AB220" s="209">
        <f t="shared" si="94"/>
        <v>237.07946167122716</v>
      </c>
      <c r="AC220" s="179">
        <f t="shared" si="95"/>
        <v>-0.10903434418092642</v>
      </c>
      <c r="AD220" s="213">
        <f t="shared" si="96"/>
        <v>0.23675959073351505</v>
      </c>
      <c r="AE220" s="217">
        <f t="shared" ca="1" si="97"/>
        <v>1.9261143088582706</v>
      </c>
      <c r="AF220" s="176">
        <f>DANE!AA220</f>
        <v>155</v>
      </c>
      <c r="AG220" s="188">
        <f t="shared" si="5"/>
        <v>7565</v>
      </c>
      <c r="AH220" s="177">
        <f t="shared" ca="1" si="21"/>
        <v>129.14285714285714</v>
      </c>
      <c r="AI220" s="209">
        <f t="shared" si="37"/>
        <v>785.95358114058172</v>
      </c>
      <c r="AJ220" s="179">
        <f t="shared" si="39"/>
        <v>6.770849434389424E-2</v>
      </c>
      <c r="AK220" s="213">
        <f t="shared" si="40"/>
        <v>1.4739594604072597</v>
      </c>
      <c r="AL220" s="214">
        <f t="shared" ca="1" si="41"/>
        <v>1.4715661227912007</v>
      </c>
      <c r="AM220" s="176">
        <f>DANE!AE220</f>
        <v>268</v>
      </c>
      <c r="AN220" s="188">
        <f t="shared" si="6"/>
        <v>12743</v>
      </c>
      <c r="AO220" s="177">
        <f t="shared" ca="1" si="22"/>
        <v>247.42857142857142</v>
      </c>
      <c r="AP220" s="209">
        <f t="shared" si="49"/>
        <v>1502.9728034562718</v>
      </c>
      <c r="AQ220" s="179">
        <f t="shared" si="51"/>
        <v>4.3150423521155522E-2</v>
      </c>
      <c r="AR220" s="213">
        <f t="shared" si="52"/>
        <v>1.3020529646480887</v>
      </c>
      <c r="AS220" s="217">
        <f t="shared" ca="1" si="53"/>
        <v>1.3496322918940551</v>
      </c>
      <c r="AT220" s="176">
        <f>DANE!AI220</f>
        <v>318</v>
      </c>
      <c r="AU220" s="188">
        <f t="shared" si="7"/>
        <v>14349</v>
      </c>
      <c r="AV220" s="177">
        <f t="shared" ca="1" si="23"/>
        <v>252.57142857142858</v>
      </c>
      <c r="AW220" s="209">
        <f t="shared" si="33"/>
        <v>1578.9403042701317</v>
      </c>
      <c r="AX220" s="179">
        <f t="shared" si="34"/>
        <v>7.3308069443847768E-2</v>
      </c>
      <c r="AY220" s="213">
        <f t="shared" si="35"/>
        <v>1.5131564861069344</v>
      </c>
      <c r="AZ220" s="214">
        <f t="shared" ca="1" si="36"/>
        <v>1.4235127191917678</v>
      </c>
      <c r="BA220" s="176">
        <f>DANE!AM220</f>
        <v>53</v>
      </c>
      <c r="BB220" s="188">
        <f t="shared" si="8"/>
        <v>2636</v>
      </c>
      <c r="BC220" s="177">
        <f t="shared" ca="1" si="24"/>
        <v>44.428571428571431</v>
      </c>
      <c r="BD220" s="209">
        <f t="shared" si="77"/>
        <v>288.03267860526131</v>
      </c>
      <c r="BE220" s="179">
        <f t="shared" si="80"/>
        <v>5.0429049080740779E-2</v>
      </c>
      <c r="BF220" s="213">
        <f t="shared" si="81"/>
        <v>1.3530033435651854</v>
      </c>
      <c r="BG220" s="217">
        <f t="shared" ca="1" si="82"/>
        <v>1.2941462510369111</v>
      </c>
      <c r="BH220" s="176">
        <f>DANE!AQ220</f>
        <v>137</v>
      </c>
      <c r="BI220" s="188">
        <f t="shared" si="9"/>
        <v>4772</v>
      </c>
      <c r="BJ220" s="177">
        <f t="shared" ca="1" si="25"/>
        <v>140</v>
      </c>
      <c r="BK220" s="209">
        <f t="shared" si="61"/>
        <v>807.35652038183139</v>
      </c>
      <c r="BL220" s="179">
        <f t="shared" si="63"/>
        <v>3.2316168445453E-2</v>
      </c>
      <c r="BM220" s="213">
        <f t="shared" si="64"/>
        <v>1.226213179118171</v>
      </c>
      <c r="BN220" s="214">
        <f t="shared" ca="1" si="65"/>
        <v>1.6361154230731818</v>
      </c>
      <c r="BO220" s="176">
        <f>DANE!AU220</f>
        <v>57</v>
      </c>
      <c r="BP220" s="188">
        <f t="shared" si="10"/>
        <v>2553</v>
      </c>
      <c r="BQ220" s="177">
        <f t="shared" ca="1" si="26"/>
        <v>79.428571428571431</v>
      </c>
      <c r="BR220" s="209">
        <f t="shared" si="78"/>
        <v>469.97545660028834</v>
      </c>
      <c r="BS220" s="179">
        <f t="shared" si="83"/>
        <v>-2.4551945595914677E-2</v>
      </c>
      <c r="BT220" s="213">
        <f t="shared" si="84"/>
        <v>0.82813638082859731</v>
      </c>
      <c r="BU220" s="217">
        <f t="shared" ca="1" si="85"/>
        <v>1.4766697838394633</v>
      </c>
      <c r="BV220" s="176">
        <f>DANE!AY220</f>
        <v>199</v>
      </c>
      <c r="BW220" s="188">
        <f t="shared" si="11"/>
        <v>6226</v>
      </c>
      <c r="BX220" s="177">
        <f t="shared" ca="1" si="27"/>
        <v>210</v>
      </c>
      <c r="BY220" s="209">
        <f t="shared" si="69"/>
        <v>1258.1585314954543</v>
      </c>
      <c r="BZ220" s="179">
        <f t="shared" si="71"/>
        <v>1.8187142298729229E-2</v>
      </c>
      <c r="CA220" s="213">
        <f t="shared" si="72"/>
        <v>1.1273099960911046</v>
      </c>
      <c r="CB220" s="214">
        <f t="shared" ca="1" si="73"/>
        <v>1.4197520332572096</v>
      </c>
      <c r="CC220" s="176">
        <f>DANE!BC220</f>
        <v>218</v>
      </c>
      <c r="CD220" s="188">
        <f t="shared" si="12"/>
        <v>23633</v>
      </c>
      <c r="CE220" s="177">
        <f t="shared" ca="1" si="28"/>
        <v>162.71428571428572</v>
      </c>
      <c r="CF220" s="209">
        <f t="shared" si="45"/>
        <v>989.73883978854758</v>
      </c>
      <c r="CG220" s="179">
        <f t="shared" si="46"/>
        <v>9.9267696820928494E-2</v>
      </c>
      <c r="CH220" s="213">
        <f t="shared" si="47"/>
        <v>1.6948738777464993</v>
      </c>
      <c r="CI220" s="217">
        <f t="shared" ca="1" si="48"/>
        <v>1.4395019484868345</v>
      </c>
      <c r="CJ220" s="176">
        <f>DANE!BG220</f>
        <v>139</v>
      </c>
      <c r="CK220" s="188">
        <f t="shared" si="13"/>
        <v>2607</v>
      </c>
      <c r="CL220" s="177">
        <f t="shared" ca="1" si="29"/>
        <v>77.142857142857139</v>
      </c>
      <c r="CM220" s="209">
        <f t="shared" si="79"/>
        <v>459.92323678223516</v>
      </c>
      <c r="CN220" s="179">
        <f t="shared" si="86"/>
        <v>0.22839318584280865</v>
      </c>
      <c r="CO220" s="213">
        <f t="shared" si="87"/>
        <v>2.5987523008996609</v>
      </c>
      <c r="CP220" s="214">
        <f t="shared" ca="1" si="88"/>
        <v>1.9057928336445948</v>
      </c>
      <c r="CQ220" s="176">
        <f>DANE!BK220</f>
        <v>35</v>
      </c>
      <c r="CR220" s="188">
        <f t="shared" si="14"/>
        <v>2025</v>
      </c>
      <c r="CS220" s="177">
        <f t="shared" ca="1" si="30"/>
        <v>64.142857142857139</v>
      </c>
      <c r="CT220" s="209">
        <f t="shared" si="89"/>
        <v>359.82255052799513</v>
      </c>
      <c r="CU220" s="179">
        <f t="shared" si="90"/>
        <v>-5.0499023166144283E-2</v>
      </c>
      <c r="CV220" s="213">
        <f t="shared" si="91"/>
        <v>0.64650683783699003</v>
      </c>
      <c r="CW220" s="217">
        <f t="shared" ca="1" si="92"/>
        <v>1.3432605455735822</v>
      </c>
      <c r="CX220" s="176">
        <f>DANE!BO220</f>
        <v>106</v>
      </c>
      <c r="CY220" s="188">
        <f t="shared" si="15"/>
        <v>8859</v>
      </c>
      <c r="CZ220" s="177">
        <f t="shared" ca="1" si="31"/>
        <v>169.57142857142858</v>
      </c>
      <c r="DA220" s="209">
        <f t="shared" si="54"/>
        <v>1001.0683900504325</v>
      </c>
      <c r="DB220" s="179">
        <f t="shared" si="58"/>
        <v>-4.1348538746988156E-2</v>
      </c>
      <c r="DC220" s="213">
        <f t="shared" si="59"/>
        <v>0.71056022877108282</v>
      </c>
      <c r="DD220" s="214">
        <f t="shared" ca="1" si="60"/>
        <v>1.3887741796970408</v>
      </c>
      <c r="DE220" s="176">
        <f>DANE!BS220</f>
        <v>111</v>
      </c>
      <c r="DF220" s="188">
        <f t="shared" si="16"/>
        <v>2255</v>
      </c>
      <c r="DG220" s="177">
        <f t="shared" ca="1" si="32"/>
        <v>73.857142857142861</v>
      </c>
      <c r="DH220" s="209">
        <f t="shared" si="70"/>
        <v>431.2758739428491</v>
      </c>
      <c r="DI220" s="179">
        <f t="shared" si="74"/>
        <v>0.15420818389249147</v>
      </c>
      <c r="DJ220" s="157">
        <f t="shared" si="75"/>
        <v>2.0794572872474406</v>
      </c>
      <c r="DK220" s="225">
        <f t="shared" ca="1" si="76"/>
        <v>1.5771931709825253</v>
      </c>
      <c r="DL220" s="146"/>
      <c r="DM220" s="371"/>
      <c r="DN220" s="372"/>
      <c r="DO220" s="372"/>
      <c r="DP220" s="372"/>
      <c r="DQ220" s="372"/>
      <c r="DR220" s="372"/>
      <c r="DS220" s="372"/>
      <c r="DT220" s="372"/>
      <c r="DU220" s="372"/>
      <c r="DV220" s="372"/>
      <c r="DW220" s="146"/>
      <c r="DX220" s="146"/>
      <c r="DY220" s="146"/>
      <c r="DZ220" s="146"/>
      <c r="EA220" s="146"/>
      <c r="EB220" s="146"/>
      <c r="EC220" s="146"/>
      <c r="ED220" s="146"/>
      <c r="EE220" s="146"/>
      <c r="EF220" s="146"/>
      <c r="EG220" s="146"/>
      <c r="EH220" s="146"/>
    </row>
    <row r="221" spans="1:138" x14ac:dyDescent="0.25">
      <c r="A221" s="32">
        <v>44111</v>
      </c>
      <c r="B221" s="33">
        <f t="shared" ca="1" si="98"/>
        <v>44111</v>
      </c>
      <c r="C221" s="51">
        <f t="shared" si="93"/>
        <v>218</v>
      </c>
      <c r="D221" s="176">
        <f>DANE!K221</f>
        <v>184</v>
      </c>
      <c r="E221" s="188">
        <f t="shared" si="1"/>
        <v>5896</v>
      </c>
      <c r="F221" s="178">
        <f t="shared" ca="1" si="17"/>
        <v>104.71428571428571</v>
      </c>
      <c r="G221" s="209">
        <f t="shared" si="38"/>
        <v>643.4971237777354</v>
      </c>
      <c r="H221" s="179">
        <f t="shared" si="42"/>
        <v>0.20037522477476877</v>
      </c>
      <c r="I221" s="213">
        <f t="shared" si="43"/>
        <v>2.4026265734233814</v>
      </c>
      <c r="J221" s="214">
        <f t="shared" ca="1" si="44"/>
        <v>1.6646736974506786</v>
      </c>
      <c r="K221" s="176">
        <f>DANE!O221</f>
        <v>184</v>
      </c>
      <c r="L221" s="188">
        <f t="shared" si="2"/>
        <v>3867</v>
      </c>
      <c r="M221" s="177">
        <f t="shared" ca="1" si="18"/>
        <v>168.85714285714286</v>
      </c>
      <c r="N221" s="209">
        <f t="shared" si="62"/>
        <v>969.99798530609132</v>
      </c>
      <c r="O221" s="179">
        <f t="shared" si="66"/>
        <v>5.7797678990609183E-2</v>
      </c>
      <c r="P221" s="213">
        <f t="shared" si="67"/>
        <v>1.4045837529342644</v>
      </c>
      <c r="Q221" s="217">
        <f t="shared" ca="1" si="68"/>
        <v>1.5409610837479681</v>
      </c>
      <c r="R221" s="176">
        <f>DANE!S221</f>
        <v>106</v>
      </c>
      <c r="S221" s="188">
        <f t="shared" si="3"/>
        <v>3517</v>
      </c>
      <c r="T221" s="177">
        <f t="shared" ca="1" si="19"/>
        <v>118.42857142857143</v>
      </c>
      <c r="U221" s="209">
        <f t="shared" si="50"/>
        <v>694.05116211834002</v>
      </c>
      <c r="V221" s="179">
        <f t="shared" si="55"/>
        <v>1.1648363993396686E-2</v>
      </c>
      <c r="W221" s="213">
        <f t="shared" si="56"/>
        <v>1.0815385479537769</v>
      </c>
      <c r="X221" s="214">
        <f t="shared" ca="1" si="57"/>
        <v>1.6057079274980073</v>
      </c>
      <c r="Y221" s="176">
        <f>DANE!W221</f>
        <v>12</v>
      </c>
      <c r="Z221" s="188">
        <f t="shared" si="4"/>
        <v>1299</v>
      </c>
      <c r="AA221" s="177">
        <f t="shared" ca="1" si="20"/>
        <v>40.142857142857146</v>
      </c>
      <c r="AB221" s="209">
        <f t="shared" si="94"/>
        <v>215.21096714676617</v>
      </c>
      <c r="AC221" s="179">
        <f t="shared" si="95"/>
        <v>-9.224120204384216E-2</v>
      </c>
      <c r="AD221" s="213">
        <f t="shared" si="96"/>
        <v>0.35431158569310484</v>
      </c>
      <c r="AE221" s="217">
        <f t="shared" ca="1" si="97"/>
        <v>1.6644658378146542</v>
      </c>
      <c r="AF221" s="176">
        <f>DANE!AA221</f>
        <v>223</v>
      </c>
      <c r="AG221" s="188">
        <f t="shared" si="5"/>
        <v>7788</v>
      </c>
      <c r="AH221" s="177">
        <f t="shared" ca="1" si="21"/>
        <v>148.57142857142858</v>
      </c>
      <c r="AI221" s="209">
        <f t="shared" si="37"/>
        <v>896.6744981204987</v>
      </c>
      <c r="AJ221" s="179">
        <f t="shared" si="39"/>
        <v>0.1408746262333177</v>
      </c>
      <c r="AK221" s="213">
        <f t="shared" si="40"/>
        <v>1.9861223836332238</v>
      </c>
      <c r="AL221" s="214">
        <f t="shared" ca="1" si="41"/>
        <v>1.58105924622495</v>
      </c>
      <c r="AM221" s="176">
        <f>DANE!AE221</f>
        <v>357</v>
      </c>
      <c r="AN221" s="188">
        <f t="shared" si="6"/>
        <v>13100</v>
      </c>
      <c r="AO221" s="177">
        <f t="shared" ca="1" si="22"/>
        <v>269.14285714285717</v>
      </c>
      <c r="AP221" s="209">
        <f t="shared" si="49"/>
        <v>1645.2624029625188</v>
      </c>
      <c r="AQ221" s="179">
        <f t="shared" si="51"/>
        <v>9.4672105296273137E-2</v>
      </c>
      <c r="AR221" s="213">
        <f t="shared" si="52"/>
        <v>1.6627047370739119</v>
      </c>
      <c r="AS221" s="217">
        <f t="shared" ca="1" si="53"/>
        <v>1.3962796976885754</v>
      </c>
      <c r="AT221" s="176">
        <f>DANE!AI221</f>
        <v>527</v>
      </c>
      <c r="AU221" s="188">
        <f t="shared" si="7"/>
        <v>14876</v>
      </c>
      <c r="AV221" s="177">
        <f t="shared" ca="1" si="23"/>
        <v>305.14285714285717</v>
      </c>
      <c r="AW221" s="209">
        <f t="shared" si="33"/>
        <v>1880.377403660113</v>
      </c>
      <c r="AX221" s="179">
        <f t="shared" si="34"/>
        <v>0.19091101707567165</v>
      </c>
      <c r="AY221" s="213">
        <f t="shared" si="35"/>
        <v>2.3363771195297014</v>
      </c>
      <c r="AZ221" s="214">
        <f t="shared" ca="1" si="36"/>
        <v>1.6063881348264073</v>
      </c>
      <c r="BA221" s="176">
        <f>DANE!AM221</f>
        <v>50</v>
      </c>
      <c r="BB221" s="188">
        <f t="shared" si="8"/>
        <v>2686</v>
      </c>
      <c r="BC221" s="177">
        <f t="shared" ca="1" si="24"/>
        <v>46.428571428571431</v>
      </c>
      <c r="BD221" s="209">
        <f t="shared" si="77"/>
        <v>296.88515309022398</v>
      </c>
      <c r="BE221" s="179">
        <f t="shared" si="80"/>
        <v>3.0734271291122061E-2</v>
      </c>
      <c r="BF221" s="213">
        <f t="shared" si="81"/>
        <v>1.2151398990378544</v>
      </c>
      <c r="BG221" s="217">
        <f t="shared" ca="1" si="82"/>
        <v>1.3022997794253814</v>
      </c>
      <c r="BH221" s="176">
        <f>DANE!AQ221</f>
        <v>141</v>
      </c>
      <c r="BI221" s="188">
        <f t="shared" si="9"/>
        <v>4913</v>
      </c>
      <c r="BJ221" s="177">
        <f t="shared" ca="1" si="25"/>
        <v>146.71428571428572</v>
      </c>
      <c r="BK221" s="209">
        <f t="shared" si="61"/>
        <v>833.01987461299836</v>
      </c>
      <c r="BL221" s="179">
        <f t="shared" si="63"/>
        <v>3.1786891643644302E-2</v>
      </c>
      <c r="BM221" s="213">
        <f t="shared" si="64"/>
        <v>1.2225082415055102</v>
      </c>
      <c r="BN221" s="214">
        <f t="shared" ca="1" si="65"/>
        <v>1.6002761504569101</v>
      </c>
      <c r="BO221" s="176">
        <f>DANE!AU221</f>
        <v>84</v>
      </c>
      <c r="BP221" s="188">
        <f t="shared" si="10"/>
        <v>2637</v>
      </c>
      <c r="BQ221" s="177">
        <f t="shared" ca="1" si="26"/>
        <v>83.285714285714292</v>
      </c>
      <c r="BR221" s="209">
        <f t="shared" si="78"/>
        <v>486.83610565739002</v>
      </c>
      <c r="BS221" s="179">
        <f t="shared" si="83"/>
        <v>3.5875594821628262E-2</v>
      </c>
      <c r="BT221" s="213">
        <f t="shared" si="84"/>
        <v>1.2511291637513979</v>
      </c>
      <c r="BU221" s="217">
        <f t="shared" ca="1" si="85"/>
        <v>1.4654738299370353</v>
      </c>
      <c r="BV221" s="176">
        <f>DANE!AY221</f>
        <v>193</v>
      </c>
      <c r="BW221" s="188">
        <f t="shared" si="11"/>
        <v>6419</v>
      </c>
      <c r="BX221" s="177">
        <f t="shared" ca="1" si="27"/>
        <v>209.85714285714286</v>
      </c>
      <c r="BY221" s="209">
        <f t="shared" si="69"/>
        <v>1271.4215984246753</v>
      </c>
      <c r="BZ221" s="179">
        <f t="shared" si="71"/>
        <v>1.0541650036308529E-2</v>
      </c>
      <c r="CA221" s="213">
        <f t="shared" si="72"/>
        <v>1.0737915502541597</v>
      </c>
      <c r="CB221" s="214">
        <f t="shared" ca="1" si="73"/>
        <v>1.3419637784849672</v>
      </c>
      <c r="CC221" s="176">
        <f>DANE!BC221</f>
        <v>286</v>
      </c>
      <c r="CD221" s="188">
        <f t="shared" si="12"/>
        <v>23919</v>
      </c>
      <c r="CE221" s="177">
        <f t="shared" ca="1" si="28"/>
        <v>185.28571428571428</v>
      </c>
      <c r="CF221" s="209">
        <f t="shared" si="45"/>
        <v>1134.3475769616123</v>
      </c>
      <c r="CG221" s="179">
        <f t="shared" si="46"/>
        <v>0.14610797450765858</v>
      </c>
      <c r="CH221" s="213">
        <f t="shared" si="47"/>
        <v>2.0227558215536101</v>
      </c>
      <c r="CI221" s="217">
        <f t="shared" ca="1" si="48"/>
        <v>1.5319530403530845</v>
      </c>
      <c r="CJ221" s="176">
        <f>DANE!BG221</f>
        <v>149</v>
      </c>
      <c r="CK221" s="188">
        <f t="shared" si="13"/>
        <v>2756</v>
      </c>
      <c r="CL221" s="177">
        <f t="shared" ca="1" si="29"/>
        <v>91.285714285714292</v>
      </c>
      <c r="CM221" s="209">
        <f t="shared" si="79"/>
        <v>543.21991724191594</v>
      </c>
      <c r="CN221" s="179">
        <f t="shared" si="86"/>
        <v>0.1811099631374358</v>
      </c>
      <c r="CO221" s="213">
        <f t="shared" si="87"/>
        <v>2.2677697419620504</v>
      </c>
      <c r="CP221" s="214">
        <f t="shared" ca="1" si="88"/>
        <v>1.9927850556428337</v>
      </c>
      <c r="CQ221" s="176">
        <f>DANE!BK221</f>
        <v>119</v>
      </c>
      <c r="CR221" s="188">
        <f t="shared" si="14"/>
        <v>2144</v>
      </c>
      <c r="CS221" s="177">
        <f t="shared" ca="1" si="30"/>
        <v>71.571428571428569</v>
      </c>
      <c r="CT221" s="209">
        <f t="shared" si="89"/>
        <v>427.41932902399583</v>
      </c>
      <c r="CU221" s="179">
        <f t="shared" si="90"/>
        <v>0.18786142890936317</v>
      </c>
      <c r="CV221" s="213">
        <f t="shared" si="91"/>
        <v>2.3150300023655421</v>
      </c>
      <c r="CW221" s="217">
        <f t="shared" ca="1" si="92"/>
        <v>1.4199219620993777</v>
      </c>
      <c r="CX221" s="176">
        <f>DANE!BO221</f>
        <v>242</v>
      </c>
      <c r="CY221" s="188">
        <f t="shared" si="15"/>
        <v>9101</v>
      </c>
      <c r="CZ221" s="177">
        <f t="shared" ca="1" si="31"/>
        <v>184.14285714285714</v>
      </c>
      <c r="DA221" s="209">
        <f t="shared" si="54"/>
        <v>1100.0586200432281</v>
      </c>
      <c r="DB221" s="179">
        <f t="shared" si="58"/>
        <v>9.888458268850997E-2</v>
      </c>
      <c r="DC221" s="213">
        <f t="shared" si="59"/>
        <v>1.6921920788195699</v>
      </c>
      <c r="DD221" s="214">
        <f t="shared" ca="1" si="60"/>
        <v>1.4279574485853161</v>
      </c>
      <c r="DE221" s="176">
        <f>DANE!BS221</f>
        <v>146</v>
      </c>
      <c r="DF221" s="188">
        <f t="shared" si="16"/>
        <v>2401</v>
      </c>
      <c r="DG221" s="177">
        <f t="shared" ca="1" si="32"/>
        <v>84.285714285714292</v>
      </c>
      <c r="DH221" s="209">
        <f t="shared" si="70"/>
        <v>515.66503480815641</v>
      </c>
      <c r="DI221" s="179">
        <f t="shared" si="74"/>
        <v>0.19567327078558122</v>
      </c>
      <c r="DJ221" s="157">
        <f t="shared" si="75"/>
        <v>2.3697128954990685</v>
      </c>
      <c r="DK221" s="225">
        <f t="shared" ca="1" si="76"/>
        <v>1.6277207111496623</v>
      </c>
      <c r="DL221" s="226"/>
      <c r="DM221" s="380"/>
      <c r="DN221" s="372"/>
      <c r="DO221" s="372"/>
      <c r="DP221" s="372"/>
      <c r="DQ221" s="372"/>
      <c r="DR221" s="372"/>
      <c r="DS221" s="372"/>
      <c r="DT221" s="88"/>
      <c r="DU221" s="88"/>
      <c r="DV221" s="88"/>
      <c r="DW221" s="226"/>
      <c r="DX221" s="226"/>
      <c r="DY221" s="226"/>
      <c r="DZ221" s="226"/>
      <c r="EA221" s="226"/>
      <c r="EB221" s="226"/>
      <c r="EC221" s="226"/>
      <c r="ED221" s="226"/>
      <c r="EE221" s="226"/>
      <c r="EF221" s="226"/>
      <c r="EG221" s="226"/>
      <c r="EH221" s="226"/>
    </row>
    <row r="222" spans="1:138" x14ac:dyDescent="0.25">
      <c r="A222" s="32">
        <v>44112</v>
      </c>
      <c r="B222" s="33">
        <f t="shared" ca="1" si="98"/>
        <v>44112</v>
      </c>
      <c r="C222" s="51">
        <f t="shared" si="93"/>
        <v>219</v>
      </c>
      <c r="D222" s="176">
        <f>DANE!K222</f>
        <v>258</v>
      </c>
      <c r="E222" s="188">
        <f t="shared" si="1"/>
        <v>6154</v>
      </c>
      <c r="F222" s="178">
        <f t="shared" ca="1" si="17"/>
        <v>127.85714285714286</v>
      </c>
      <c r="G222" s="209">
        <f t="shared" si="38"/>
        <v>809.56896323805893</v>
      </c>
      <c r="H222" s="179">
        <f t="shared" si="42"/>
        <v>0.25807705011232485</v>
      </c>
      <c r="I222" s="213">
        <f t="shared" si="43"/>
        <v>2.8065393507862737</v>
      </c>
      <c r="J222" s="214">
        <f t="shared" ca="1" si="44"/>
        <v>1.7884299375348367</v>
      </c>
      <c r="K222" s="176">
        <f>DANE!O222</f>
        <v>311</v>
      </c>
      <c r="L222" s="188">
        <f t="shared" si="2"/>
        <v>4178</v>
      </c>
      <c r="M222" s="177">
        <f t="shared" ca="1" si="18"/>
        <v>187.71428571428572</v>
      </c>
      <c r="N222" s="209">
        <f t="shared" si="62"/>
        <v>1142.4268445480784</v>
      </c>
      <c r="O222" s="179">
        <f t="shared" si="66"/>
        <v>0.17776207977130556</v>
      </c>
      <c r="P222" s="213">
        <f t="shared" si="67"/>
        <v>2.2443345583991388</v>
      </c>
      <c r="Q222" s="217">
        <f t="shared" ca="1" si="68"/>
        <v>1.5563499983184634</v>
      </c>
      <c r="R222" s="176">
        <f>DANE!S222</f>
        <v>204</v>
      </c>
      <c r="S222" s="188">
        <f t="shared" si="3"/>
        <v>3721</v>
      </c>
      <c r="T222" s="177">
        <f t="shared" ca="1" si="19"/>
        <v>133.57142857142858</v>
      </c>
      <c r="U222" s="209">
        <f t="shared" si="50"/>
        <v>798.90099610143432</v>
      </c>
      <c r="V222" s="179">
        <f t="shared" si="55"/>
        <v>0.15106931549985181</v>
      </c>
      <c r="W222" s="213">
        <f t="shared" si="56"/>
        <v>2.0574852084989628</v>
      </c>
      <c r="X222" s="214">
        <f t="shared" ca="1" si="57"/>
        <v>1.6488086986295509</v>
      </c>
      <c r="Y222" s="176">
        <f>DANE!W222</f>
        <v>69</v>
      </c>
      <c r="Z222" s="188">
        <f t="shared" si="4"/>
        <v>1368</v>
      </c>
      <c r="AA222" s="177">
        <f t="shared" ca="1" si="20"/>
        <v>46</v>
      </c>
      <c r="AB222" s="209">
        <f t="shared" si="94"/>
        <v>253.46654326865672</v>
      </c>
      <c r="AC222" s="179">
        <f t="shared" si="95"/>
        <v>0.17775848800401339</v>
      </c>
      <c r="AD222" s="213">
        <f t="shared" si="96"/>
        <v>2.2443094160280941</v>
      </c>
      <c r="AE222" s="217">
        <f t="shared" ca="1" si="97"/>
        <v>1.7585123090636532</v>
      </c>
      <c r="AF222" s="176">
        <f>DANE!AA222</f>
        <v>279</v>
      </c>
      <c r="AG222" s="188">
        <f t="shared" si="5"/>
        <v>8067</v>
      </c>
      <c r="AH222" s="177">
        <f t="shared" ca="1" si="21"/>
        <v>171.71428571428572</v>
      </c>
      <c r="AI222" s="209">
        <f t="shared" si="37"/>
        <v>1047.578141246142</v>
      </c>
      <c r="AJ222" s="179">
        <f t="shared" si="39"/>
        <v>0.16829255592965936</v>
      </c>
      <c r="AK222" s="213">
        <f t="shared" si="40"/>
        <v>2.1780478915076156</v>
      </c>
      <c r="AL222" s="214">
        <f t="shared" ca="1" si="41"/>
        <v>1.6650176131656449</v>
      </c>
      <c r="AM222" s="176">
        <f>DANE!AE222</f>
        <v>548</v>
      </c>
      <c r="AN222" s="188">
        <f t="shared" si="6"/>
        <v>13648</v>
      </c>
      <c r="AO222" s="177">
        <f t="shared" ca="1" si="22"/>
        <v>306.71428571428572</v>
      </c>
      <c r="AP222" s="209">
        <f t="shared" si="49"/>
        <v>1958.2249168250162</v>
      </c>
      <c r="AQ222" s="179">
        <f t="shared" si="51"/>
        <v>0.19022042520327812</v>
      </c>
      <c r="AR222" s="213">
        <f t="shared" si="52"/>
        <v>2.3315429764229467</v>
      </c>
      <c r="AS222" s="217">
        <f t="shared" ca="1" si="53"/>
        <v>1.4761453733652161</v>
      </c>
      <c r="AT222" s="176">
        <f>DANE!AI222</f>
        <v>598</v>
      </c>
      <c r="AU222" s="188">
        <f t="shared" si="7"/>
        <v>15474</v>
      </c>
      <c r="AV222" s="177">
        <f t="shared" ca="1" si="23"/>
        <v>352.28571428571428</v>
      </c>
      <c r="AW222" s="209">
        <f t="shared" si="33"/>
        <v>2209.7520602800969</v>
      </c>
      <c r="AX222" s="179">
        <f t="shared" si="34"/>
        <v>0.17516412182940688</v>
      </c>
      <c r="AY222" s="213">
        <f t="shared" si="35"/>
        <v>2.2261488528058484</v>
      </c>
      <c r="AZ222" s="214">
        <f t="shared" ca="1" si="36"/>
        <v>1.6721019019292132</v>
      </c>
      <c r="BA222" s="176">
        <f>DANE!AM222</f>
        <v>90</v>
      </c>
      <c r="BB222" s="188">
        <f t="shared" si="8"/>
        <v>2776</v>
      </c>
      <c r="BC222" s="177">
        <f t="shared" ca="1" si="24"/>
        <v>56.285714285714285</v>
      </c>
      <c r="BD222" s="209">
        <f t="shared" si="77"/>
        <v>344.47298836304913</v>
      </c>
      <c r="BE222" s="179">
        <f t="shared" si="80"/>
        <v>0.16029038426978229</v>
      </c>
      <c r="BF222" s="213">
        <f t="shared" si="81"/>
        <v>2.122032689888476</v>
      </c>
      <c r="BG222" s="217">
        <f t="shared" ca="1" si="82"/>
        <v>1.5110729170190715</v>
      </c>
      <c r="BH222" s="176">
        <f>DANE!AQ222</f>
        <v>256</v>
      </c>
      <c r="BI222" s="188">
        <f t="shared" si="9"/>
        <v>5169</v>
      </c>
      <c r="BJ222" s="177">
        <f t="shared" ca="1" si="25"/>
        <v>168</v>
      </c>
      <c r="BK222" s="209">
        <f t="shared" si="61"/>
        <v>970.01703538257004</v>
      </c>
      <c r="BL222" s="179">
        <f t="shared" si="63"/>
        <v>0.16445845404735077</v>
      </c>
      <c r="BM222" s="213">
        <f t="shared" si="64"/>
        <v>2.1512091783314555</v>
      </c>
      <c r="BN222" s="214">
        <f t="shared" ca="1" si="65"/>
        <v>1.6831754594554105</v>
      </c>
      <c r="BO222" s="176">
        <f>DANE!AU222</f>
        <v>94</v>
      </c>
      <c r="BP222" s="188">
        <f t="shared" si="10"/>
        <v>2731</v>
      </c>
      <c r="BQ222" s="177">
        <f t="shared" ca="1" si="26"/>
        <v>87.571428571428569</v>
      </c>
      <c r="BR222" s="209">
        <f t="shared" si="78"/>
        <v>511.28809056347717</v>
      </c>
      <c r="BS222" s="179">
        <f t="shared" si="83"/>
        <v>5.0226317690773709E-2</v>
      </c>
      <c r="BT222" s="213">
        <f t="shared" si="84"/>
        <v>1.3515842238354159</v>
      </c>
      <c r="BU222" s="217">
        <f t="shared" ca="1" si="85"/>
        <v>1.4548909144859472</v>
      </c>
      <c r="BV222" s="176">
        <f>DANE!AY222</f>
        <v>313</v>
      </c>
      <c r="BW222" s="188">
        <f t="shared" si="11"/>
        <v>6732</v>
      </c>
      <c r="BX222" s="177">
        <f t="shared" ca="1" si="27"/>
        <v>228.85714285714286</v>
      </c>
      <c r="BY222" s="209">
        <f t="shared" si="69"/>
        <v>1402.7899415068646</v>
      </c>
      <c r="BZ222" s="179">
        <f t="shared" si="71"/>
        <v>0.10332398257584906</v>
      </c>
      <c r="CA222" s="213">
        <f t="shared" si="72"/>
        <v>1.7232678780309434</v>
      </c>
      <c r="CB222" s="214">
        <f t="shared" ca="1" si="73"/>
        <v>1.391050764227393</v>
      </c>
      <c r="CC222" s="176">
        <f>DANE!BC222</f>
        <v>375</v>
      </c>
      <c r="CD222" s="188">
        <f t="shared" si="12"/>
        <v>24294</v>
      </c>
      <c r="CE222" s="177">
        <f t="shared" ca="1" si="28"/>
        <v>217.71428571428572</v>
      </c>
      <c r="CF222" s="209">
        <f t="shared" si="45"/>
        <v>1347.2979231099534</v>
      </c>
      <c r="CG222" s="179">
        <f t="shared" si="46"/>
        <v>0.18772936132921073</v>
      </c>
      <c r="CH222" s="213">
        <f t="shared" si="47"/>
        <v>2.3141055293044754</v>
      </c>
      <c r="CI222" s="217">
        <f t="shared" ca="1" si="48"/>
        <v>1.6468912194290051</v>
      </c>
      <c r="CJ222" s="176">
        <f>DANE!BG222</f>
        <v>159</v>
      </c>
      <c r="CK222" s="188">
        <f t="shared" si="13"/>
        <v>2915</v>
      </c>
      <c r="CL222" s="177">
        <f t="shared" ca="1" si="29"/>
        <v>107.85714285714286</v>
      </c>
      <c r="CM222" s="209">
        <f t="shared" si="79"/>
        <v>624.61707192164226</v>
      </c>
      <c r="CN222" s="179">
        <f t="shared" si="86"/>
        <v>0.14984199234262827</v>
      </c>
      <c r="CO222" s="213">
        <f t="shared" si="87"/>
        <v>2.0488939463983979</v>
      </c>
      <c r="CP222" s="214">
        <f t="shared" ca="1" si="88"/>
        <v>2.0992168518040688</v>
      </c>
      <c r="CQ222" s="176">
        <f>DANE!BK222</f>
        <v>105</v>
      </c>
      <c r="CR222" s="188">
        <f t="shared" si="14"/>
        <v>2249</v>
      </c>
      <c r="CS222" s="177">
        <f t="shared" ca="1" si="30"/>
        <v>72</v>
      </c>
      <c r="CT222" s="209">
        <f t="shared" si="89"/>
        <v>471.35942487771075</v>
      </c>
      <c r="CU222" s="179">
        <f t="shared" si="90"/>
        <v>0.10280324933842211</v>
      </c>
      <c r="CV222" s="213">
        <f t="shared" si="91"/>
        <v>1.7196227453689548</v>
      </c>
      <c r="CW222" s="217">
        <f t="shared" ca="1" si="92"/>
        <v>1.3175139819858546</v>
      </c>
      <c r="CX222" s="176">
        <f>DANE!BO222</f>
        <v>505</v>
      </c>
      <c r="CY222" s="188">
        <f t="shared" si="15"/>
        <v>9606</v>
      </c>
      <c r="CZ222" s="177">
        <f t="shared" ca="1" si="31"/>
        <v>231.57142857142858</v>
      </c>
      <c r="DA222" s="209">
        <f t="shared" si="54"/>
        <v>1447.9073886084811</v>
      </c>
      <c r="DB222" s="179">
        <f t="shared" si="58"/>
        <v>0.31620930214753823</v>
      </c>
      <c r="DC222" s="213">
        <f t="shared" si="59"/>
        <v>3.2134651150327675</v>
      </c>
      <c r="DD222" s="214">
        <f t="shared" ca="1" si="60"/>
        <v>1.6508211302980154</v>
      </c>
      <c r="DE222" s="176">
        <f>DANE!BS222</f>
        <v>116</v>
      </c>
      <c r="DF222" s="188">
        <f t="shared" si="16"/>
        <v>2517</v>
      </c>
      <c r="DG222" s="177">
        <f t="shared" ca="1" si="32"/>
        <v>92.571428571428569</v>
      </c>
      <c r="DH222" s="209">
        <f t="shared" si="70"/>
        <v>557.99860126413409</v>
      </c>
      <c r="DI222" s="179">
        <f t="shared" si="74"/>
        <v>8.2095088087031351E-2</v>
      </c>
      <c r="DJ222" s="157">
        <f t="shared" si="75"/>
        <v>1.5746656166092194</v>
      </c>
      <c r="DK222" s="225">
        <f t="shared" ca="1" si="76"/>
        <v>1.652851910826455</v>
      </c>
      <c r="DL222" s="50"/>
      <c r="DM222" s="380"/>
      <c r="DN222" s="372"/>
      <c r="DO222" s="372"/>
      <c r="DP222" s="372"/>
      <c r="DQ222" s="372"/>
      <c r="DR222" s="372"/>
      <c r="DS222" s="372"/>
      <c r="DT222" s="88"/>
      <c r="DU222" s="88"/>
      <c r="DV222" s="88"/>
      <c r="DW222" s="50"/>
      <c r="DX222" s="50"/>
      <c r="DY222" s="50"/>
      <c r="DZ222" s="50"/>
      <c r="EA222" s="50"/>
      <c r="EB222" s="50"/>
      <c r="EC222" s="50"/>
      <c r="ED222" s="50"/>
      <c r="EE222" s="50"/>
      <c r="EF222" s="50"/>
      <c r="EG222" s="50"/>
      <c r="EH222" s="50"/>
    </row>
    <row r="223" spans="1:138" x14ac:dyDescent="0.25">
      <c r="A223" s="32">
        <v>44113</v>
      </c>
      <c r="B223" s="33">
        <f t="shared" ca="1" si="98"/>
        <v>44113</v>
      </c>
      <c r="C223" s="51">
        <f t="shared" si="93"/>
        <v>220</v>
      </c>
      <c r="D223" s="176">
        <f>DANE!K223</f>
        <v>250</v>
      </c>
      <c r="E223" s="188">
        <f t="shared" si="1"/>
        <v>6404</v>
      </c>
      <c r="F223" s="178">
        <f t="shared" ca="1" si="17"/>
        <v>149.14285714285714</v>
      </c>
      <c r="G223" s="209">
        <f t="shared" si="38"/>
        <v>943.91625420405057</v>
      </c>
      <c r="H223" s="179">
        <f t="shared" si="42"/>
        <v>0.16594916192023776</v>
      </c>
      <c r="I223" s="213">
        <f t="shared" si="43"/>
        <v>2.1616441334416643</v>
      </c>
      <c r="J223" s="214">
        <f t="shared" ca="1" si="44"/>
        <v>1.8401534999169289</v>
      </c>
      <c r="K223" s="176">
        <f>DANE!O223</f>
        <v>324</v>
      </c>
      <c r="L223" s="188">
        <f t="shared" si="2"/>
        <v>4502</v>
      </c>
      <c r="M223" s="177">
        <f t="shared" ca="1" si="18"/>
        <v>202.85714285714286</v>
      </c>
      <c r="N223" s="209">
        <f t="shared" si="62"/>
        <v>1303.2230096126386</v>
      </c>
      <c r="O223" s="179">
        <f t="shared" si="66"/>
        <v>0.1407496382214023</v>
      </c>
      <c r="P223" s="213">
        <f t="shared" si="67"/>
        <v>1.985247467549816</v>
      </c>
      <c r="Q223" s="217">
        <f t="shared" ca="1" si="68"/>
        <v>1.5201515636504557</v>
      </c>
      <c r="R223" s="176">
        <f>DANE!S223</f>
        <v>185</v>
      </c>
      <c r="S223" s="188">
        <f t="shared" si="3"/>
        <v>3906</v>
      </c>
      <c r="T223" s="177">
        <f t="shared" ca="1" si="19"/>
        <v>146.14285714285714</v>
      </c>
      <c r="U223" s="209">
        <f t="shared" si="50"/>
        <v>869.77228237265808</v>
      </c>
      <c r="V223" s="179">
        <f t="shared" si="55"/>
        <v>8.8710974973206097E-2</v>
      </c>
      <c r="W223" s="213">
        <f t="shared" si="56"/>
        <v>1.6209768248124428</v>
      </c>
      <c r="X223" s="214">
        <f t="shared" ca="1" si="57"/>
        <v>1.6563034502083498</v>
      </c>
      <c r="Y223" s="176">
        <f>DANE!W223</f>
        <v>33</v>
      </c>
      <c r="Z223" s="188">
        <f t="shared" si="4"/>
        <v>1401</v>
      </c>
      <c r="AA223" s="177">
        <f t="shared" ca="1" si="20"/>
        <v>47</v>
      </c>
      <c r="AB223" s="209">
        <f t="shared" si="94"/>
        <v>250.25703708742006</v>
      </c>
      <c r="AC223" s="179">
        <f t="shared" si="95"/>
        <v>-1.2662445070057279E-2</v>
      </c>
      <c r="AD223" s="213">
        <f t="shared" si="96"/>
        <v>0.91136288450959901</v>
      </c>
      <c r="AE223" s="217">
        <f t="shared" ca="1" si="97"/>
        <v>1.6945727304391398</v>
      </c>
      <c r="AF223" s="176">
        <f>DANE!AA223</f>
        <v>363</v>
      </c>
      <c r="AG223" s="188">
        <f t="shared" si="5"/>
        <v>8430</v>
      </c>
      <c r="AH223" s="177">
        <f t="shared" ca="1" si="21"/>
        <v>203.57142857142858</v>
      </c>
      <c r="AI223" s="209">
        <f t="shared" si="37"/>
        <v>1260.9241210681216</v>
      </c>
      <c r="AJ223" s="179">
        <f t="shared" si="39"/>
        <v>0.20365638745401357</v>
      </c>
      <c r="AK223" s="213">
        <f t="shared" si="40"/>
        <v>2.425594712178095</v>
      </c>
      <c r="AL223" s="214">
        <f t="shared" ca="1" si="41"/>
        <v>1.7608216496013314</v>
      </c>
      <c r="AM223" s="176">
        <f>DANE!AE223</f>
        <v>724</v>
      </c>
      <c r="AN223" s="188">
        <f t="shared" si="6"/>
        <v>14372</v>
      </c>
      <c r="AO223" s="177">
        <f t="shared" ca="1" si="22"/>
        <v>369.85714285714283</v>
      </c>
      <c r="AP223" s="209">
        <f t="shared" si="49"/>
        <v>2402.4785001357286</v>
      </c>
      <c r="AQ223" s="179">
        <f t="shared" si="51"/>
        <v>0.22686545324477159</v>
      </c>
      <c r="AR223" s="213">
        <f t="shared" si="52"/>
        <v>2.5880581727134011</v>
      </c>
      <c r="AS223" s="217">
        <f t="shared" ca="1" si="53"/>
        <v>1.6202225132291936</v>
      </c>
      <c r="AT223" s="176">
        <f>DANE!AI223</f>
        <v>521</v>
      </c>
      <c r="AU223" s="188">
        <f t="shared" si="7"/>
        <v>15995</v>
      </c>
      <c r="AV223" s="177">
        <f t="shared" ca="1" si="23"/>
        <v>391.57142857142856</v>
      </c>
      <c r="AW223" s="209">
        <f t="shared" si="33"/>
        <v>2415.0731945257976</v>
      </c>
      <c r="AX223" s="179">
        <f t="shared" si="34"/>
        <v>9.2915914837828115E-2</v>
      </c>
      <c r="AY223" s="213">
        <f t="shared" si="35"/>
        <v>1.6504114038647968</v>
      </c>
      <c r="AZ223" s="214">
        <f t="shared" ca="1" si="36"/>
        <v>1.6991268285393351</v>
      </c>
      <c r="BA223" s="176">
        <f>DANE!AM223</f>
        <v>116</v>
      </c>
      <c r="BB223" s="188">
        <f t="shared" si="8"/>
        <v>2892</v>
      </c>
      <c r="BC223" s="177">
        <f t="shared" ca="1" si="24"/>
        <v>64.857142857142861</v>
      </c>
      <c r="BD223" s="209">
        <f t="shared" si="77"/>
        <v>411.26256145404216</v>
      </c>
      <c r="BE223" s="179">
        <f t="shared" si="80"/>
        <v>0.19388914471459731</v>
      </c>
      <c r="BF223" s="213">
        <f t="shared" si="81"/>
        <v>2.3572240130021811</v>
      </c>
      <c r="BG223" s="217">
        <f t="shared" ca="1" si="82"/>
        <v>1.5833310519751573</v>
      </c>
      <c r="BH223" s="176">
        <f>DANE!AQ223</f>
        <v>368</v>
      </c>
      <c r="BI223" s="188">
        <f t="shared" si="9"/>
        <v>5537</v>
      </c>
      <c r="BJ223" s="177">
        <f t="shared" ca="1" si="25"/>
        <v>189.42857142857142</v>
      </c>
      <c r="BK223" s="209">
        <f t="shared" si="61"/>
        <v>1199.44317318506</v>
      </c>
      <c r="BL223" s="179">
        <f t="shared" si="63"/>
        <v>0.23651763776705778</v>
      </c>
      <c r="BM223" s="213">
        <f t="shared" si="64"/>
        <v>2.6556234643694046</v>
      </c>
      <c r="BN223" s="214">
        <f t="shared" ca="1" si="65"/>
        <v>1.6398068590583665</v>
      </c>
      <c r="BO223" s="176">
        <f>DANE!AU223</f>
        <v>117</v>
      </c>
      <c r="BP223" s="188">
        <f t="shared" si="10"/>
        <v>2848</v>
      </c>
      <c r="BQ223" s="177">
        <f t="shared" ca="1" si="26"/>
        <v>92</v>
      </c>
      <c r="BR223" s="209">
        <f t="shared" si="78"/>
        <v>555.2469347686947</v>
      </c>
      <c r="BS223" s="179">
        <f t="shared" si="83"/>
        <v>8.5976663678537166E-2</v>
      </c>
      <c r="BT223" s="213">
        <f t="shared" si="84"/>
        <v>1.6018366457497601</v>
      </c>
      <c r="BU223" s="217">
        <f t="shared" ca="1" si="85"/>
        <v>1.4257361174174732</v>
      </c>
      <c r="BV223" s="176">
        <f>DANE!AY223</f>
        <v>388</v>
      </c>
      <c r="BW223" s="188">
        <f t="shared" si="11"/>
        <v>7120</v>
      </c>
      <c r="BX223" s="177">
        <f t="shared" ca="1" si="27"/>
        <v>251.71428571428572</v>
      </c>
      <c r="BY223" s="209">
        <f t="shared" si="69"/>
        <v>1590.3913784344554</v>
      </c>
      <c r="BZ223" s="179">
        <f t="shared" si="71"/>
        <v>0.13373451817459642</v>
      </c>
      <c r="CA223" s="213">
        <f t="shared" si="72"/>
        <v>1.936141627222175</v>
      </c>
      <c r="CB223" s="214">
        <f t="shared" ca="1" si="73"/>
        <v>1.4308336453630965</v>
      </c>
      <c r="CC223" s="176">
        <f>DANE!BC223</f>
        <v>490</v>
      </c>
      <c r="CD223" s="188">
        <f t="shared" si="12"/>
        <v>24784</v>
      </c>
      <c r="CE223" s="177">
        <f t="shared" ca="1" si="28"/>
        <v>262.14285714285717</v>
      </c>
      <c r="CF223" s="209">
        <f t="shared" si="45"/>
        <v>1644.826791237103</v>
      </c>
      <c r="CG223" s="179">
        <f t="shared" si="46"/>
        <v>0.22083376142996405</v>
      </c>
      <c r="CH223" s="213">
        <f t="shared" si="47"/>
        <v>2.5458363300097484</v>
      </c>
      <c r="CI223" s="217">
        <f t="shared" ca="1" si="48"/>
        <v>1.7674612712743714</v>
      </c>
      <c r="CJ223" s="176">
        <f>DANE!BG223</f>
        <v>192</v>
      </c>
      <c r="CK223" s="188">
        <f t="shared" si="13"/>
        <v>3107</v>
      </c>
      <c r="CL223" s="177">
        <f t="shared" ca="1" si="29"/>
        <v>130.57142857142858</v>
      </c>
      <c r="CM223" s="209">
        <f t="shared" si="79"/>
        <v>727.38606164712201</v>
      </c>
      <c r="CN223" s="179">
        <f t="shared" si="86"/>
        <v>0.16453118934022992</v>
      </c>
      <c r="CO223" s="213">
        <f t="shared" si="87"/>
        <v>2.1517183253816095</v>
      </c>
      <c r="CP223" s="214">
        <f t="shared" ca="1" si="88"/>
        <v>2.2696031173753175</v>
      </c>
      <c r="CQ223" s="176">
        <f>DANE!BK223</f>
        <v>102</v>
      </c>
      <c r="CR223" s="188">
        <f t="shared" si="14"/>
        <v>2351</v>
      </c>
      <c r="CS223" s="177">
        <f t="shared" ca="1" si="30"/>
        <v>76.285714285714292</v>
      </c>
      <c r="CT223" s="209">
        <f t="shared" si="89"/>
        <v>506.02236418089495</v>
      </c>
      <c r="CU223" s="179">
        <f t="shared" si="90"/>
        <v>7.3538233190472729E-2</v>
      </c>
      <c r="CV223" s="213">
        <f t="shared" si="91"/>
        <v>1.5147676323333092</v>
      </c>
      <c r="CW223" s="217">
        <f t="shared" ca="1" si="92"/>
        <v>1.3300485611657946</v>
      </c>
      <c r="CX223" s="176">
        <f>DANE!BO223</f>
        <v>436</v>
      </c>
      <c r="CY223" s="188">
        <f t="shared" si="15"/>
        <v>10042</v>
      </c>
      <c r="CZ223" s="177">
        <f t="shared" ca="1" si="31"/>
        <v>265.85714285714283</v>
      </c>
      <c r="DA223" s="209">
        <f t="shared" si="54"/>
        <v>1677.0634759501268</v>
      </c>
      <c r="DB223" s="179">
        <f t="shared" si="58"/>
        <v>0.15826708886531565</v>
      </c>
      <c r="DC223" s="213">
        <f t="shared" si="59"/>
        <v>2.1078696220572097</v>
      </c>
      <c r="DD223" s="214">
        <f t="shared" ca="1" si="60"/>
        <v>1.7071870369280313</v>
      </c>
      <c r="DE223" s="176">
        <f>DANE!BS223</f>
        <v>130</v>
      </c>
      <c r="DF223" s="188">
        <f t="shared" si="16"/>
        <v>2647</v>
      </c>
      <c r="DG223" s="177">
        <f t="shared" ca="1" si="32"/>
        <v>94.857142857142861</v>
      </c>
      <c r="DH223" s="209">
        <f t="shared" si="70"/>
        <v>608.28451536925786</v>
      </c>
      <c r="DI223" s="179">
        <f t="shared" si="74"/>
        <v>9.0118351535652758E-2</v>
      </c>
      <c r="DJ223" s="157">
        <f t="shared" si="75"/>
        <v>1.6308284607495693</v>
      </c>
      <c r="DK223" s="225">
        <f t="shared" ca="1" si="76"/>
        <v>1.5142426363801142</v>
      </c>
      <c r="DL223" s="75"/>
      <c r="DM223" s="380"/>
      <c r="DN223" s="372"/>
      <c r="DO223" s="372"/>
      <c r="DP223" s="372"/>
      <c r="DQ223" s="372"/>
      <c r="DR223" s="372"/>
      <c r="DS223" s="372"/>
      <c r="DT223" s="146"/>
      <c r="DU223" s="146"/>
      <c r="DV223" s="146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</row>
    <row r="224" spans="1:138" x14ac:dyDescent="0.25">
      <c r="A224" s="61">
        <v>44114</v>
      </c>
      <c r="B224" s="62">
        <f t="shared" ca="1" si="98"/>
        <v>44114</v>
      </c>
      <c r="C224" s="12">
        <f t="shared" si="93"/>
        <v>221</v>
      </c>
      <c r="D224" s="176">
        <f>DANE!K224</f>
        <v>242</v>
      </c>
      <c r="E224" s="198">
        <f t="shared" si="1"/>
        <v>6646</v>
      </c>
      <c r="F224" s="178">
        <f t="shared" ca="1" si="17"/>
        <v>174.71428571428572</v>
      </c>
      <c r="G224" s="211">
        <f t="shared" si="38"/>
        <v>1051.0710750320434</v>
      </c>
      <c r="H224" s="200">
        <f t="shared" si="42"/>
        <v>0.11352153366439294</v>
      </c>
      <c r="I224" s="213">
        <f t="shared" si="43"/>
        <v>1.7946507356507506</v>
      </c>
      <c r="J224" s="214">
        <f t="shared" ca="1" si="44"/>
        <v>1.952612899810249</v>
      </c>
      <c r="K224" s="176">
        <f>DANE!O224</f>
        <v>554</v>
      </c>
      <c r="L224" s="198">
        <f t="shared" si="2"/>
        <v>5056</v>
      </c>
      <c r="M224" s="177">
        <f t="shared" ca="1" si="18"/>
        <v>266.28571428571428</v>
      </c>
      <c r="N224" s="211">
        <f t="shared" si="62"/>
        <v>1671.0482939536903</v>
      </c>
      <c r="O224" s="200">
        <f t="shared" si="66"/>
        <v>0.28224277934624681</v>
      </c>
      <c r="P224" s="213">
        <f t="shared" si="67"/>
        <v>2.9756994554237277</v>
      </c>
      <c r="Q224" s="217">
        <f t="shared" ca="1" si="68"/>
        <v>1.8081429693501214</v>
      </c>
      <c r="R224" s="176">
        <f>DANE!S224</f>
        <v>251</v>
      </c>
      <c r="S224" s="198">
        <f t="shared" si="3"/>
        <v>4157</v>
      </c>
      <c r="T224" s="177">
        <f t="shared" ca="1" si="19"/>
        <v>165.42857142857142</v>
      </c>
      <c r="U224" s="211">
        <f t="shared" si="50"/>
        <v>996.51909917656417</v>
      </c>
      <c r="V224" s="200">
        <f t="shared" si="55"/>
        <v>0.14572413880349525</v>
      </c>
      <c r="W224" s="213">
        <f t="shared" si="56"/>
        <v>2.0200689716244669</v>
      </c>
      <c r="X224" s="214">
        <f t="shared" ca="1" si="57"/>
        <v>1.6970489892835177</v>
      </c>
      <c r="Y224" s="176">
        <f>DANE!W224</f>
        <v>121</v>
      </c>
      <c r="Z224" s="198">
        <f t="shared" si="4"/>
        <v>1522</v>
      </c>
      <c r="AA224" s="177">
        <f t="shared" ca="1" si="20"/>
        <v>56.285714285714285</v>
      </c>
      <c r="AB224" s="211">
        <f t="shared" si="94"/>
        <v>335.50603178921722</v>
      </c>
      <c r="AC224" s="200">
        <f t="shared" si="95"/>
        <v>0.34064574444720963</v>
      </c>
      <c r="AD224" s="213">
        <f t="shared" si="96"/>
        <v>3.3845202111304675</v>
      </c>
      <c r="AE224" s="217">
        <f t="shared" ca="1" si="97"/>
        <v>1.7803352396520591</v>
      </c>
      <c r="AF224" s="176">
        <f>DANE!AA224</f>
        <v>411</v>
      </c>
      <c r="AG224" s="198">
        <f t="shared" si="5"/>
        <v>8841</v>
      </c>
      <c r="AH224" s="177">
        <f t="shared" ca="1" si="21"/>
        <v>240.57142857142858</v>
      </c>
      <c r="AI224" s="211">
        <f t="shared" si="37"/>
        <v>1491.7921037726758</v>
      </c>
      <c r="AJ224" s="200">
        <f t="shared" si="39"/>
        <v>0.18309427097721567</v>
      </c>
      <c r="AK224" s="213">
        <f t="shared" si="40"/>
        <v>2.2816598968405097</v>
      </c>
      <c r="AL224" s="214">
        <f t="shared" ca="1" si="41"/>
        <v>1.8410734638323742</v>
      </c>
      <c r="AM224" s="176">
        <f>DANE!AE224</f>
        <v>631</v>
      </c>
      <c r="AN224" s="198">
        <f t="shared" si="6"/>
        <v>15003</v>
      </c>
      <c r="AO224" s="177">
        <f t="shared" ca="1" si="22"/>
        <v>418.57142857142856</v>
      </c>
      <c r="AP224" s="211">
        <f t="shared" si="49"/>
        <v>2690.2672858306246</v>
      </c>
      <c r="AQ224" s="200">
        <f t="shared" si="51"/>
        <v>0.11978828766985315</v>
      </c>
      <c r="AR224" s="213">
        <f t="shared" si="52"/>
        <v>1.8385180136889723</v>
      </c>
      <c r="AS224" s="217">
        <f t="shared" ca="1" si="53"/>
        <v>1.6685631319023551</v>
      </c>
      <c r="AT224" s="176">
        <f>DANE!AI224</f>
        <v>816</v>
      </c>
      <c r="AU224" s="198">
        <f t="shared" si="7"/>
        <v>16811</v>
      </c>
      <c r="AV224" s="177">
        <f t="shared" ca="1" si="23"/>
        <v>468.57142857142856</v>
      </c>
      <c r="AW224" s="211">
        <f t="shared" si="33"/>
        <v>2886.0627381649697</v>
      </c>
      <c r="AX224" s="200">
        <f t="shared" si="34"/>
        <v>0.19502081539671573</v>
      </c>
      <c r="AY224" s="213">
        <f t="shared" si="35"/>
        <v>2.3651457077770104</v>
      </c>
      <c r="AZ224" s="214">
        <f t="shared" ca="1" si="36"/>
        <v>1.8164814945652275</v>
      </c>
      <c r="BA224" s="176">
        <f>DANE!AM224</f>
        <v>141</v>
      </c>
      <c r="BB224" s="198">
        <f t="shared" si="8"/>
        <v>3033</v>
      </c>
      <c r="BC224" s="177">
        <f t="shared" ca="1" si="24"/>
        <v>77.428571428571431</v>
      </c>
      <c r="BD224" s="211">
        <f t="shared" si="77"/>
        <v>493.51076696060761</v>
      </c>
      <c r="BE224" s="200">
        <f t="shared" si="80"/>
        <v>0.19998952789617477</v>
      </c>
      <c r="BF224" s="213">
        <f t="shared" si="81"/>
        <v>2.3999266952732237</v>
      </c>
      <c r="BG224" s="217">
        <f t="shared" ca="1" si="82"/>
        <v>1.7030034860481693</v>
      </c>
      <c r="BH224" s="176">
        <f>DANE!AQ224</f>
        <v>347</v>
      </c>
      <c r="BI224" s="198">
        <f t="shared" si="9"/>
        <v>5884</v>
      </c>
      <c r="BJ224" s="177">
        <f t="shared" ca="1" si="25"/>
        <v>218.85714285714286</v>
      </c>
      <c r="BK224" s="211">
        <f t="shared" si="61"/>
        <v>1375.0941484443372</v>
      </c>
      <c r="BL224" s="200">
        <f t="shared" si="63"/>
        <v>0.14644376589584066</v>
      </c>
      <c r="BM224" s="213">
        <f t="shared" si="64"/>
        <v>2.0251063612708844</v>
      </c>
      <c r="BN224" s="214">
        <f t="shared" ca="1" si="65"/>
        <v>1.7154749021426183</v>
      </c>
      <c r="BO224" s="176">
        <f>DANE!AU224</f>
        <v>172</v>
      </c>
      <c r="BP224" s="198">
        <f t="shared" si="10"/>
        <v>3020</v>
      </c>
      <c r="BQ224" s="177">
        <f t="shared" ca="1" si="26"/>
        <v>98.571428571428569</v>
      </c>
      <c r="BR224" s="211">
        <f t="shared" si="78"/>
        <v>647.92594408745265</v>
      </c>
      <c r="BS224" s="200">
        <f t="shared" si="83"/>
        <v>0.16691494093050016</v>
      </c>
      <c r="BT224" s="213">
        <f t="shared" si="84"/>
        <v>2.1684045865135011</v>
      </c>
      <c r="BU224" s="217">
        <f t="shared" ca="1" si="85"/>
        <v>1.3965496871105376</v>
      </c>
      <c r="BV224" s="176">
        <f>DANE!AY224</f>
        <v>362</v>
      </c>
      <c r="BW224" s="198">
        <f t="shared" si="11"/>
        <v>7482</v>
      </c>
      <c r="BX224" s="177">
        <f t="shared" ca="1" si="27"/>
        <v>268.57142857142856</v>
      </c>
      <c r="BY224" s="211">
        <f t="shared" si="69"/>
        <v>1725.1926100866763</v>
      </c>
      <c r="BZ224" s="200">
        <f t="shared" si="71"/>
        <v>8.4759785220236847E-2</v>
      </c>
      <c r="CA224" s="213">
        <f t="shared" si="72"/>
        <v>1.593318496541658</v>
      </c>
      <c r="CB224" s="214">
        <f t="shared" ca="1" si="73"/>
        <v>1.4267886504557308</v>
      </c>
      <c r="CC224" s="176">
        <f>DANE!BC224</f>
        <v>412</v>
      </c>
      <c r="CD224" s="198">
        <f t="shared" si="12"/>
        <v>25196</v>
      </c>
      <c r="CE224" s="177">
        <f t="shared" ca="1" si="28"/>
        <v>289.42857142857144</v>
      </c>
      <c r="CF224" s="211">
        <f t="shared" si="45"/>
        <v>1821.8515353460884</v>
      </c>
      <c r="CG224" s="200">
        <f t="shared" si="46"/>
        <v>0.10762515849820399</v>
      </c>
      <c r="CH224" s="213">
        <f t="shared" si="47"/>
        <v>1.7533761094874278</v>
      </c>
      <c r="CI224" s="217">
        <f t="shared" ca="1" si="48"/>
        <v>1.7451308223387467</v>
      </c>
      <c r="CJ224" s="176">
        <f>DANE!BG224</f>
        <v>218</v>
      </c>
      <c r="CK224" s="198">
        <f t="shared" si="13"/>
        <v>3325</v>
      </c>
      <c r="CL224" s="177">
        <f t="shared" ca="1" si="29"/>
        <v>139.42857142857142</v>
      </c>
      <c r="CM224" s="211">
        <f t="shared" si="79"/>
        <v>841.47376712610458</v>
      </c>
      <c r="CN224" s="200">
        <f t="shared" si="86"/>
        <v>0.1568461529502474</v>
      </c>
      <c r="CO224" s="213">
        <f t="shared" si="87"/>
        <v>2.0979230706517318</v>
      </c>
      <c r="CP224" s="214">
        <f t="shared" ca="1" si="88"/>
        <v>1.9178459292460843</v>
      </c>
      <c r="CQ224" s="176">
        <f>DANE!BK224</f>
        <v>110</v>
      </c>
      <c r="CR224" s="198">
        <f t="shared" si="14"/>
        <v>2461</v>
      </c>
      <c r="CS224" s="177">
        <f t="shared" ca="1" si="30"/>
        <v>81.142857142857139</v>
      </c>
      <c r="CT224" s="211">
        <f t="shared" si="89"/>
        <v>543.73345501219569</v>
      </c>
      <c r="CU224" s="200">
        <f t="shared" si="90"/>
        <v>7.4524553657513093E-2</v>
      </c>
      <c r="CV224" s="213">
        <f t="shared" si="91"/>
        <v>1.5216718756025918</v>
      </c>
      <c r="CW224" s="217">
        <f t="shared" ca="1" si="92"/>
        <v>1.3446162561638062</v>
      </c>
      <c r="CX224" s="176">
        <f>DANE!BO224</f>
        <v>360</v>
      </c>
      <c r="CY224" s="198">
        <f t="shared" si="15"/>
        <v>10402</v>
      </c>
      <c r="CZ224" s="177">
        <f t="shared" ca="1" si="31"/>
        <v>285.28571428571428</v>
      </c>
      <c r="DA224" s="211">
        <f t="shared" si="54"/>
        <v>1797.482979385823</v>
      </c>
      <c r="DB224" s="200">
        <f t="shared" si="58"/>
        <v>7.1803783913112498E-2</v>
      </c>
      <c r="DC224" s="213">
        <f t="shared" si="59"/>
        <v>1.5026264873917876</v>
      </c>
      <c r="DD224" s="214">
        <f t="shared" ca="1" si="60"/>
        <v>1.667992350676613</v>
      </c>
      <c r="DE224" s="176">
        <f>DANE!BS224</f>
        <v>152</v>
      </c>
      <c r="DF224" s="198">
        <f t="shared" si="16"/>
        <v>2799</v>
      </c>
      <c r="DG224" s="177">
        <f t="shared" ca="1" si="32"/>
        <v>107.71428571428571</v>
      </c>
      <c r="DH224" s="211">
        <f t="shared" si="70"/>
        <v>673.3867274593639</v>
      </c>
      <c r="DI224" s="200">
        <f t="shared" si="74"/>
        <v>0.10702592363474167</v>
      </c>
      <c r="DJ224" s="157">
        <f t="shared" si="75"/>
        <v>1.7491814654431916</v>
      </c>
      <c r="DK224" s="225">
        <f t="shared" ca="1" si="76"/>
        <v>1.5996547837464337</v>
      </c>
      <c r="DL224" s="75"/>
      <c r="DM224" s="88"/>
      <c r="DN224" s="88"/>
      <c r="DO224" s="88"/>
      <c r="DP224" s="88"/>
      <c r="DQ224" s="88"/>
      <c r="DR224" s="88"/>
      <c r="DS224" s="88"/>
      <c r="DT224" s="88"/>
      <c r="DU224" s="88"/>
      <c r="DV224" s="88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</row>
    <row r="225" spans="1:138" x14ac:dyDescent="0.25">
      <c r="A225" s="61">
        <v>44115</v>
      </c>
      <c r="B225" s="62">
        <f t="shared" ca="1" si="98"/>
        <v>44115</v>
      </c>
      <c r="C225" s="12">
        <f t="shared" si="93"/>
        <v>222</v>
      </c>
      <c r="D225" s="176">
        <f>DANE!K225</f>
        <v>186</v>
      </c>
      <c r="E225" s="198">
        <f t="shared" si="1"/>
        <v>6832</v>
      </c>
      <c r="F225" s="178">
        <f t="shared" ca="1" si="17"/>
        <v>192.42857142857142</v>
      </c>
      <c r="G225" s="211">
        <f t="shared" si="38"/>
        <v>1086.9180643131801</v>
      </c>
      <c r="H225" s="200">
        <f t="shared" si="42"/>
        <v>3.4105200050380903E-2</v>
      </c>
      <c r="I225" s="213">
        <f t="shared" si="43"/>
        <v>1.2387364003526664</v>
      </c>
      <c r="J225" s="214">
        <f t="shared" ca="1" si="44"/>
        <v>1.9880906745898042</v>
      </c>
      <c r="K225" s="176">
        <f>DANE!O225</f>
        <v>136</v>
      </c>
      <c r="L225" s="198">
        <f t="shared" si="2"/>
        <v>5192</v>
      </c>
      <c r="M225" s="177">
        <f t="shared" ca="1" si="18"/>
        <v>253</v>
      </c>
      <c r="N225" s="211">
        <f t="shared" si="62"/>
        <v>1568.3271091031631</v>
      </c>
      <c r="O225" s="200">
        <f t="shared" si="66"/>
        <v>-6.1471104828149187E-2</v>
      </c>
      <c r="P225" s="213">
        <f t="shared" si="67"/>
        <v>0.56970226620295561</v>
      </c>
      <c r="Q225" s="217">
        <f t="shared" ca="1" si="68"/>
        <v>1.602443658436935</v>
      </c>
      <c r="R225" s="176">
        <f>DANE!S225</f>
        <v>304</v>
      </c>
      <c r="S225" s="198">
        <f t="shared" si="3"/>
        <v>4461</v>
      </c>
      <c r="T225" s="177">
        <f t="shared" ca="1" si="19"/>
        <v>194.28571428571428</v>
      </c>
      <c r="U225" s="211">
        <f t="shared" si="50"/>
        <v>1158.1592278656265</v>
      </c>
      <c r="V225" s="200">
        <f t="shared" si="55"/>
        <v>0.16220474732760015</v>
      </c>
      <c r="W225" s="213">
        <f t="shared" si="56"/>
        <v>2.1354332312932014</v>
      </c>
      <c r="X225" s="214">
        <f t="shared" ca="1" si="57"/>
        <v>1.8048902886559048</v>
      </c>
      <c r="Y225" s="176">
        <f>DANE!W225</f>
        <v>94</v>
      </c>
      <c r="Z225" s="198">
        <f t="shared" si="4"/>
        <v>1616</v>
      </c>
      <c r="AA225" s="177">
        <f t="shared" ca="1" si="20"/>
        <v>56</v>
      </c>
      <c r="AB225" s="211">
        <f t="shared" si="94"/>
        <v>381.57659867647192</v>
      </c>
      <c r="AC225" s="200">
        <f t="shared" si="95"/>
        <v>0.1373166575920122</v>
      </c>
      <c r="AD225" s="213">
        <f t="shared" si="96"/>
        <v>1.9612166031440854</v>
      </c>
      <c r="AE225" s="217">
        <f t="shared" ca="1" si="97"/>
        <v>1.5171591657764996</v>
      </c>
      <c r="AF225" s="176">
        <f>DANE!AA225</f>
        <v>314</v>
      </c>
      <c r="AG225" s="198">
        <f t="shared" si="5"/>
        <v>9155</v>
      </c>
      <c r="AH225" s="177">
        <f t="shared" ca="1" si="21"/>
        <v>267.28571428571428</v>
      </c>
      <c r="AI225" s="211">
        <f t="shared" si="37"/>
        <v>1592.6789460908651</v>
      </c>
      <c r="AJ225" s="200">
        <f t="shared" si="39"/>
        <v>6.7627950344455512E-2</v>
      </c>
      <c r="AK225" s="213">
        <f t="shared" si="40"/>
        <v>1.4733956524111886</v>
      </c>
      <c r="AL225" s="214">
        <f t="shared" ca="1" si="41"/>
        <v>1.8654136729739308</v>
      </c>
      <c r="AM225" s="176">
        <f>DANE!AE225</f>
        <v>685</v>
      </c>
      <c r="AN225" s="198">
        <f t="shared" si="6"/>
        <v>15688</v>
      </c>
      <c r="AO225" s="177">
        <f t="shared" ca="1" si="22"/>
        <v>490</v>
      </c>
      <c r="AP225" s="211">
        <f t="shared" si="49"/>
        <v>2990.9433878548211</v>
      </c>
      <c r="AQ225" s="200">
        <f t="shared" si="51"/>
        <v>0.11176439739197226</v>
      </c>
      <c r="AR225" s="213">
        <f t="shared" si="52"/>
        <v>1.7823507817438058</v>
      </c>
      <c r="AS225" s="217">
        <f t="shared" ca="1" si="53"/>
        <v>1.795589368828288</v>
      </c>
      <c r="AT225" s="176">
        <f>DANE!AI225</f>
        <v>433</v>
      </c>
      <c r="AU225" s="198">
        <f t="shared" si="7"/>
        <v>17244</v>
      </c>
      <c r="AV225" s="177">
        <f t="shared" ca="1" si="23"/>
        <v>507</v>
      </c>
      <c r="AW225" s="211">
        <f t="shared" si="33"/>
        <v>2906.7680612842601</v>
      </c>
      <c r="AX225" s="200">
        <f t="shared" si="34"/>
        <v>7.1742456757732604E-3</v>
      </c>
      <c r="AY225" s="213">
        <f t="shared" si="35"/>
        <v>1.0502197197304128</v>
      </c>
      <c r="AZ225" s="214">
        <f t="shared" ca="1" si="36"/>
        <v>1.8453598461556022</v>
      </c>
      <c r="BA225" s="176">
        <f>DANE!AM225</f>
        <v>123</v>
      </c>
      <c r="BB225" s="198">
        <f t="shared" si="8"/>
        <v>3156</v>
      </c>
      <c r="BC225" s="177">
        <f t="shared" ca="1" si="24"/>
        <v>88.714285714285708</v>
      </c>
      <c r="BD225" s="211">
        <f t="shared" si="77"/>
        <v>546.00922882337795</v>
      </c>
      <c r="BE225" s="200">
        <f t="shared" si="80"/>
        <v>0.10637754103338704</v>
      </c>
      <c r="BF225" s="213">
        <f t="shared" si="81"/>
        <v>1.7446427872337091</v>
      </c>
      <c r="BG225" s="217">
        <f t="shared" ca="1" si="82"/>
        <v>1.7807360009454116</v>
      </c>
      <c r="BH225" s="176">
        <f>DANE!AQ225</f>
        <v>315</v>
      </c>
      <c r="BI225" s="198">
        <f t="shared" si="9"/>
        <v>6199</v>
      </c>
      <c r="BJ225" s="177">
        <f t="shared" ca="1" si="25"/>
        <v>243.71428571428572</v>
      </c>
      <c r="BK225" s="211">
        <f t="shared" si="61"/>
        <v>1493.6521272380035</v>
      </c>
      <c r="BL225" s="200">
        <f t="shared" si="63"/>
        <v>8.6218081087605924E-2</v>
      </c>
      <c r="BM225" s="213">
        <f t="shared" si="64"/>
        <v>1.6035265676132415</v>
      </c>
      <c r="BN225" s="214">
        <f t="shared" ca="1" si="65"/>
        <v>1.745037883591072</v>
      </c>
      <c r="BO225" s="176">
        <f>DANE!AU225</f>
        <v>110</v>
      </c>
      <c r="BP225" s="198">
        <f t="shared" si="10"/>
        <v>3130</v>
      </c>
      <c r="BQ225" s="177">
        <f t="shared" ca="1" si="26"/>
        <v>103.42857142857143</v>
      </c>
      <c r="BR225" s="211">
        <f t="shared" si="78"/>
        <v>665.36509493210235</v>
      </c>
      <c r="BS225" s="200">
        <f t="shared" si="83"/>
        <v>2.6915345810409292E-2</v>
      </c>
      <c r="BT225" s="213">
        <f t="shared" si="84"/>
        <v>1.188407420672865</v>
      </c>
      <c r="BU225" s="217">
        <f t="shared" ca="1" si="85"/>
        <v>1.3953908716695309</v>
      </c>
      <c r="BV225" s="176">
        <f>DANE!AY225</f>
        <v>331</v>
      </c>
      <c r="BW225" s="198">
        <f t="shared" si="11"/>
        <v>7813</v>
      </c>
      <c r="BX225" s="177">
        <f t="shared" ca="1" si="27"/>
        <v>284</v>
      </c>
      <c r="BY225" s="211">
        <f t="shared" si="69"/>
        <v>1809.7365229314369</v>
      </c>
      <c r="BZ225" s="200">
        <f t="shared" si="71"/>
        <v>4.9005492111697017E-2</v>
      </c>
      <c r="CA225" s="213">
        <f t="shared" si="72"/>
        <v>1.3430384447818791</v>
      </c>
      <c r="CB225" s="214">
        <f t="shared" ca="1" si="73"/>
        <v>1.4241960345599716</v>
      </c>
      <c r="CC225" s="176">
        <f>DANE!BC225</f>
        <v>354</v>
      </c>
      <c r="CD225" s="198">
        <f t="shared" si="12"/>
        <v>25550</v>
      </c>
      <c r="CE225" s="177">
        <f t="shared" ca="1" si="28"/>
        <v>322.85714285714283</v>
      </c>
      <c r="CF225" s="211">
        <f t="shared" si="45"/>
        <v>1915.5870302966473</v>
      </c>
      <c r="CG225" s="200">
        <f t="shared" si="46"/>
        <v>5.1450677034861884E-2</v>
      </c>
      <c r="CH225" s="213">
        <f t="shared" si="47"/>
        <v>1.3601547392440332</v>
      </c>
      <c r="CI225" s="217">
        <f t="shared" ca="1" si="48"/>
        <v>1.8083417928563652</v>
      </c>
      <c r="CJ225" s="176">
        <f>DANE!BG225</f>
        <v>152</v>
      </c>
      <c r="CK225" s="198">
        <f t="shared" si="13"/>
        <v>3477</v>
      </c>
      <c r="CL225" s="177">
        <f t="shared" ca="1" si="29"/>
        <v>151.14285714285714</v>
      </c>
      <c r="CM225" s="211">
        <f t="shared" si="79"/>
        <v>873.26322896523254</v>
      </c>
      <c r="CN225" s="200">
        <f t="shared" si="86"/>
        <v>3.7778315951189891E-2</v>
      </c>
      <c r="CO225" s="213">
        <f t="shared" si="87"/>
        <v>1.2644482116583293</v>
      </c>
      <c r="CP225" s="214">
        <f t="shared" ca="1" si="88"/>
        <v>1.9047114260883558</v>
      </c>
      <c r="CQ225" s="176">
        <f>DANE!BK225</f>
        <v>106</v>
      </c>
      <c r="CR225" s="198">
        <f t="shared" si="14"/>
        <v>2567</v>
      </c>
      <c r="CS225" s="177">
        <f t="shared" ca="1" si="30"/>
        <v>86.428571428571431</v>
      </c>
      <c r="CT225" s="211">
        <f t="shared" si="89"/>
        <v>572.05724715331064</v>
      </c>
      <c r="CU225" s="200">
        <f t="shared" si="90"/>
        <v>5.2091317685206001E-2</v>
      </c>
      <c r="CV225" s="213">
        <f t="shared" si="91"/>
        <v>1.364639223796442</v>
      </c>
      <c r="CW225" s="217">
        <f t="shared" ca="1" si="92"/>
        <v>1.3658465478669839</v>
      </c>
      <c r="CX225" s="176">
        <f>DANE!BO225</f>
        <v>380</v>
      </c>
      <c r="CY225" s="198">
        <f t="shared" si="15"/>
        <v>10782</v>
      </c>
      <c r="CZ225" s="177">
        <f t="shared" ca="1" si="31"/>
        <v>315.57142857142856</v>
      </c>
      <c r="DA225" s="211">
        <f t="shared" si="54"/>
        <v>1920.6996966164199</v>
      </c>
      <c r="DB225" s="200">
        <f t="shared" si="58"/>
        <v>6.8549587753369723E-2</v>
      </c>
      <c r="DC225" s="213">
        <f t="shared" si="59"/>
        <v>1.4798471142735881</v>
      </c>
      <c r="DD225" s="214">
        <f t="shared" ca="1" si="60"/>
        <v>1.7080291695553307</v>
      </c>
      <c r="DE225" s="176">
        <f>DANE!BS225</f>
        <v>155</v>
      </c>
      <c r="DF225" s="198">
        <f t="shared" si="16"/>
        <v>2954</v>
      </c>
      <c r="DG225" s="177">
        <f t="shared" ca="1" si="32"/>
        <v>121.57142857142857</v>
      </c>
      <c r="DH225" s="211">
        <f t="shared" si="70"/>
        <v>732.18862353659767</v>
      </c>
      <c r="DI225" s="200">
        <f t="shared" si="74"/>
        <v>8.7322624102035382E-2</v>
      </c>
      <c r="DJ225" s="157">
        <f t="shared" si="75"/>
        <v>1.6112583687142477</v>
      </c>
      <c r="DK225" s="225">
        <f t="shared" ca="1" si="76"/>
        <v>1.6792297960915938</v>
      </c>
      <c r="DL225" s="146"/>
      <c r="DM225" s="380"/>
      <c r="DN225" s="372"/>
      <c r="DO225" s="372"/>
      <c r="DP225" s="372"/>
      <c r="DQ225" s="372"/>
      <c r="DR225" s="372"/>
      <c r="DS225" s="372"/>
      <c r="DT225" s="88"/>
      <c r="DU225" s="88"/>
      <c r="DV225" s="88"/>
      <c r="DW225" s="146"/>
      <c r="DX225" s="146"/>
      <c r="DY225" s="146"/>
      <c r="DZ225" s="146"/>
      <c r="EA225" s="146"/>
      <c r="EB225" s="146"/>
      <c r="EC225" s="146"/>
      <c r="ED225" s="146"/>
      <c r="EE225" s="146"/>
      <c r="EF225" s="146"/>
      <c r="EG225" s="146"/>
      <c r="EH225" s="146"/>
    </row>
    <row r="226" spans="1:138" x14ac:dyDescent="0.25">
      <c r="A226" s="32">
        <v>44116</v>
      </c>
      <c r="B226" s="33">
        <f t="shared" ca="1" si="98"/>
        <v>44116</v>
      </c>
      <c r="C226" s="51">
        <f t="shared" si="93"/>
        <v>223</v>
      </c>
      <c r="D226" s="176">
        <f>DANE!K226</f>
        <v>199</v>
      </c>
      <c r="E226" s="188">
        <f t="shared" si="1"/>
        <v>7031</v>
      </c>
      <c r="F226" s="178">
        <f t="shared" ca="1" si="17"/>
        <v>208.42857142857142</v>
      </c>
      <c r="G226" s="209">
        <f t="shared" si="38"/>
        <v>1130.644055125583</v>
      </c>
      <c r="H226" s="179">
        <f t="shared" si="42"/>
        <v>4.0229334894744964E-2</v>
      </c>
      <c r="I226" s="213">
        <f t="shared" si="43"/>
        <v>1.2816053442632147</v>
      </c>
      <c r="J226" s="214">
        <f t="shared" ca="1" si="44"/>
        <v>1.9723694767383655</v>
      </c>
      <c r="K226" s="176">
        <f>DANE!O226</f>
        <v>258</v>
      </c>
      <c r="L226" s="188">
        <f t="shared" si="2"/>
        <v>5450</v>
      </c>
      <c r="M226" s="177">
        <f t="shared" ca="1" si="18"/>
        <v>274.28571428571428</v>
      </c>
      <c r="N226" s="209">
        <f t="shared" si="62"/>
        <v>1602.2803792312827</v>
      </c>
      <c r="O226" s="179">
        <f t="shared" si="66"/>
        <v>2.164935486420019E-2</v>
      </c>
      <c r="P226" s="213">
        <f t="shared" si="67"/>
        <v>1.1515454840494013</v>
      </c>
      <c r="Q226" s="217">
        <f t="shared" ca="1" si="68"/>
        <v>1.6475267659826698</v>
      </c>
      <c r="R226" s="176">
        <f>DANE!S226</f>
        <v>379</v>
      </c>
      <c r="S226" s="188">
        <f t="shared" si="3"/>
        <v>4840</v>
      </c>
      <c r="T226" s="177">
        <f t="shared" ca="1" si="19"/>
        <v>223.85714285714286</v>
      </c>
      <c r="U226" s="209">
        <f t="shared" si="50"/>
        <v>1371.7079095991085</v>
      </c>
      <c r="V226" s="179">
        <f t="shared" si="55"/>
        <v>0.18438628868590998</v>
      </c>
      <c r="W226" s="213">
        <f t="shared" si="56"/>
        <v>2.2907040208013698</v>
      </c>
      <c r="X226" s="214">
        <f t="shared" ca="1" si="57"/>
        <v>1.8167130218237317</v>
      </c>
      <c r="Y226" s="176">
        <f>DANE!W226</f>
        <v>14</v>
      </c>
      <c r="Z226" s="188">
        <f t="shared" si="4"/>
        <v>1630</v>
      </c>
      <c r="AA226" s="177">
        <f t="shared" ca="1" si="20"/>
        <v>50.285714285714285</v>
      </c>
      <c r="AB226" s="209">
        <f t="shared" si="94"/>
        <v>341.06565600840452</v>
      </c>
      <c r="AC226" s="179">
        <f t="shared" si="95"/>
        <v>-0.1061672618514415</v>
      </c>
      <c r="AD226" s="213">
        <f t="shared" si="96"/>
        <v>0.25682916703990943</v>
      </c>
      <c r="AE226" s="217">
        <f t="shared" ca="1" si="97"/>
        <v>1.3356156368969678</v>
      </c>
      <c r="AF226" s="176">
        <f>DANE!AA226</f>
        <v>344</v>
      </c>
      <c r="AG226" s="188">
        <f t="shared" si="5"/>
        <v>9499</v>
      </c>
      <c r="AH226" s="177">
        <f t="shared" ca="1" si="21"/>
        <v>298.42857142857144</v>
      </c>
      <c r="AI226" s="209">
        <f t="shared" si="37"/>
        <v>1709.1533823635987</v>
      </c>
      <c r="AJ226" s="179">
        <f t="shared" si="39"/>
        <v>7.3131145833636516E-2</v>
      </c>
      <c r="AK226" s="213">
        <f t="shared" si="40"/>
        <v>1.5119180208354557</v>
      </c>
      <c r="AL226" s="214">
        <f t="shared" ca="1" si="41"/>
        <v>1.9043854311161925</v>
      </c>
      <c r="AM226" s="176">
        <f>DANE!AE226</f>
        <v>690</v>
      </c>
      <c r="AN226" s="188">
        <f t="shared" si="6"/>
        <v>16378</v>
      </c>
      <c r="AO226" s="177">
        <f t="shared" ca="1" si="22"/>
        <v>557.57142857142856</v>
      </c>
      <c r="AP226" s="209">
        <f t="shared" si="49"/>
        <v>3253.6657610184184</v>
      </c>
      <c r="AQ226" s="179">
        <f t="shared" si="51"/>
        <v>8.7839299877898472E-2</v>
      </c>
      <c r="AR226" s="213">
        <f t="shared" si="52"/>
        <v>1.6148750991452894</v>
      </c>
      <c r="AS226" s="217">
        <f t="shared" ca="1" si="53"/>
        <v>1.8743003922052019</v>
      </c>
      <c r="AT226" s="176">
        <f>DANE!AI226</f>
        <v>441</v>
      </c>
      <c r="AU226" s="188">
        <f t="shared" si="7"/>
        <v>17685</v>
      </c>
      <c r="AV226" s="177">
        <f t="shared" ca="1" si="23"/>
        <v>522</v>
      </c>
      <c r="AW226" s="209">
        <f t="shared" si="33"/>
        <v>2932.5154811007947</v>
      </c>
      <c r="AX226" s="179">
        <f t="shared" si="34"/>
        <v>8.8577482873397721E-3</v>
      </c>
      <c r="AY226" s="213">
        <f t="shared" si="35"/>
        <v>1.0620042380113783</v>
      </c>
      <c r="AZ226" s="214">
        <f t="shared" ca="1" si="36"/>
        <v>1.7433519325465829</v>
      </c>
      <c r="BA226" s="176">
        <f>DANE!AM226</f>
        <v>153</v>
      </c>
      <c r="BB226" s="188">
        <f t="shared" si="8"/>
        <v>3309</v>
      </c>
      <c r="BC226" s="177">
        <f t="shared" ca="1" si="24"/>
        <v>103.71428571428571</v>
      </c>
      <c r="BD226" s="209">
        <f t="shared" si="77"/>
        <v>621.00791042003834</v>
      </c>
      <c r="BE226" s="179">
        <f t="shared" si="80"/>
        <v>0.13735790099789838</v>
      </c>
      <c r="BF226" s="213">
        <f t="shared" si="81"/>
        <v>1.9615053069852886</v>
      </c>
      <c r="BG226" s="217">
        <f t="shared" ca="1" si="82"/>
        <v>1.8790678192837025</v>
      </c>
      <c r="BH226" s="176">
        <f>DANE!AQ226</f>
        <v>334</v>
      </c>
      <c r="BI226" s="188">
        <f t="shared" si="9"/>
        <v>6533</v>
      </c>
      <c r="BJ226" s="177">
        <f t="shared" ca="1" si="25"/>
        <v>271.14285714285717</v>
      </c>
      <c r="BK226" s="209">
        <f t="shared" si="61"/>
        <v>1614.2732519182887</v>
      </c>
      <c r="BL226" s="179">
        <f t="shared" si="63"/>
        <v>8.0755834963615367E-2</v>
      </c>
      <c r="BM226" s="213">
        <f t="shared" si="64"/>
        <v>1.5652908447453076</v>
      </c>
      <c r="BN226" s="214">
        <f t="shared" ca="1" si="65"/>
        <v>1.7784968338505678</v>
      </c>
      <c r="BO226" s="176">
        <f>DANE!AU226</f>
        <v>130</v>
      </c>
      <c r="BP226" s="188">
        <f t="shared" si="10"/>
        <v>3260</v>
      </c>
      <c r="BQ226" s="177">
        <f t="shared" ca="1" si="26"/>
        <v>109.14285714285714</v>
      </c>
      <c r="BR226" s="209">
        <f t="shared" si="78"/>
        <v>700.31293851323062</v>
      </c>
      <c r="BS226" s="179">
        <f t="shared" si="83"/>
        <v>5.2524311610747394E-2</v>
      </c>
      <c r="BT226" s="213">
        <f t="shared" si="84"/>
        <v>1.3676701812752317</v>
      </c>
      <c r="BU226" s="217">
        <f t="shared" ca="1" si="85"/>
        <v>1.3938812289466813</v>
      </c>
      <c r="BV226" s="176">
        <f>DANE!AY226</f>
        <v>284</v>
      </c>
      <c r="BW226" s="188">
        <f t="shared" si="11"/>
        <v>8097</v>
      </c>
      <c r="BX226" s="177">
        <f t="shared" ca="1" si="27"/>
        <v>295.71428571428572</v>
      </c>
      <c r="BY226" s="209">
        <f t="shared" si="69"/>
        <v>1835.2027339412318</v>
      </c>
      <c r="BZ226" s="179">
        <f t="shared" si="71"/>
        <v>1.4071778232416081E-2</v>
      </c>
      <c r="CA226" s="213">
        <f t="shared" si="72"/>
        <v>1.0985024476269125</v>
      </c>
      <c r="CB226" s="214">
        <f t="shared" ca="1" si="73"/>
        <v>1.4136243486498332</v>
      </c>
      <c r="CC226" s="176">
        <f>DANE!BC226</f>
        <v>262</v>
      </c>
      <c r="CD226" s="188">
        <f t="shared" si="12"/>
        <v>25812</v>
      </c>
      <c r="CE226" s="177">
        <f t="shared" ca="1" si="28"/>
        <v>342.42857142857144</v>
      </c>
      <c r="CF226" s="209">
        <f t="shared" si="45"/>
        <v>1903.9317402542692</v>
      </c>
      <c r="CG226" s="179">
        <f t="shared" si="46"/>
        <v>-6.0844481916194227E-3</v>
      </c>
      <c r="CH226" s="213">
        <f t="shared" si="47"/>
        <v>0.95740886265866409</v>
      </c>
      <c r="CI226" s="217">
        <f t="shared" ca="1" si="48"/>
        <v>1.8069301814292085</v>
      </c>
      <c r="CJ226" s="176">
        <f>DANE!BG226</f>
        <v>187</v>
      </c>
      <c r="CK226" s="188">
        <f t="shared" si="13"/>
        <v>3664</v>
      </c>
      <c r="CL226" s="177">
        <f t="shared" ca="1" si="29"/>
        <v>170.85714285714286</v>
      </c>
      <c r="CM226" s="209">
        <f t="shared" si="79"/>
        <v>935.51133911305647</v>
      </c>
      <c r="CN226" s="179">
        <f t="shared" si="86"/>
        <v>7.1282183977429581E-2</v>
      </c>
      <c r="CO226" s="213">
        <f t="shared" si="87"/>
        <v>1.4989752878420071</v>
      </c>
      <c r="CP226" s="214">
        <f t="shared" ca="1" si="88"/>
        <v>1.9897829835419698</v>
      </c>
      <c r="CQ226" s="176">
        <f>DANE!BK226</f>
        <v>73</v>
      </c>
      <c r="CR226" s="188">
        <f t="shared" si="14"/>
        <v>2640</v>
      </c>
      <c r="CS226" s="177">
        <f t="shared" ca="1" si="30"/>
        <v>92.857142857142861</v>
      </c>
      <c r="CT226" s="209">
        <f t="shared" si="89"/>
        <v>563.33478327426633</v>
      </c>
      <c r="CU226" s="179">
        <f t="shared" si="90"/>
        <v>-1.5247536714986678E-2</v>
      </c>
      <c r="CV226" s="213">
        <f t="shared" si="91"/>
        <v>0.89326724299509319</v>
      </c>
      <c r="CW226" s="217">
        <f t="shared" ca="1" si="92"/>
        <v>1.4250722228998463</v>
      </c>
      <c r="CX226" s="176">
        <f>DANE!BO226</f>
        <v>530</v>
      </c>
      <c r="CY226" s="188">
        <f t="shared" si="15"/>
        <v>11312</v>
      </c>
      <c r="CZ226" s="177">
        <f t="shared" ca="1" si="31"/>
        <v>365.57142857142856</v>
      </c>
      <c r="DA226" s="209">
        <f t="shared" si="54"/>
        <v>2176.3140256712172</v>
      </c>
      <c r="DB226" s="179">
        <f t="shared" si="58"/>
        <v>0.13308396388310861</v>
      </c>
      <c r="DC226" s="213">
        <f t="shared" si="59"/>
        <v>1.9315877471817604</v>
      </c>
      <c r="DD226" s="214">
        <f t="shared" ca="1" si="60"/>
        <v>1.8054497705039663</v>
      </c>
      <c r="DE226" s="176">
        <f>DANE!BS226</f>
        <v>116</v>
      </c>
      <c r="DF226" s="188">
        <f t="shared" si="16"/>
        <v>3070</v>
      </c>
      <c r="DG226" s="177">
        <f t="shared" ca="1" si="32"/>
        <v>132.28571428571428</v>
      </c>
      <c r="DH226" s="209">
        <f t="shared" si="70"/>
        <v>743.59024874565523</v>
      </c>
      <c r="DI226" s="179">
        <f t="shared" si="74"/>
        <v>1.5571978097646115E-2</v>
      </c>
      <c r="DJ226" s="157">
        <f t="shared" si="75"/>
        <v>1.1090038466835228</v>
      </c>
      <c r="DK226" s="225">
        <f t="shared" ca="1" si="76"/>
        <v>1.7320154201351801</v>
      </c>
      <c r="DL226" s="146"/>
      <c r="DM226" s="380"/>
      <c r="DN226" s="372"/>
      <c r="DO226" s="372"/>
      <c r="DP226" s="372"/>
      <c r="DQ226" s="372"/>
      <c r="DR226" s="372"/>
      <c r="DS226" s="372"/>
      <c r="DT226" s="89"/>
      <c r="DU226" s="89"/>
      <c r="DV226" s="89"/>
      <c r="DW226" s="146"/>
      <c r="DX226" s="146"/>
      <c r="DY226" s="146"/>
      <c r="DZ226" s="146"/>
      <c r="EA226" s="146"/>
      <c r="EB226" s="146"/>
      <c r="EC226" s="146"/>
      <c r="ED226" s="146"/>
      <c r="EE226" s="146"/>
      <c r="EF226" s="146"/>
      <c r="EG226" s="146"/>
      <c r="EH226" s="146"/>
    </row>
    <row r="227" spans="1:138" x14ac:dyDescent="0.25">
      <c r="A227" s="32">
        <v>44117</v>
      </c>
      <c r="B227" s="33">
        <f t="shared" ca="1" si="98"/>
        <v>44117</v>
      </c>
      <c r="C227" s="51">
        <f t="shared" si="93"/>
        <v>224</v>
      </c>
      <c r="D227" s="176">
        <f>DANE!K227</f>
        <v>342</v>
      </c>
      <c r="E227" s="188">
        <f t="shared" si="1"/>
        <v>7373</v>
      </c>
      <c r="F227" s="178">
        <f t="shared" ca="1" si="17"/>
        <v>237.28571428571428</v>
      </c>
      <c r="G227" s="209">
        <f t="shared" si="38"/>
        <v>1311.1234758219284</v>
      </c>
      <c r="H227" s="179">
        <f t="shared" si="42"/>
        <v>0.15962532140700919</v>
      </c>
      <c r="I227" s="213">
        <f t="shared" si="43"/>
        <v>2.1173772498490644</v>
      </c>
      <c r="J227" s="214">
        <f t="shared" ca="1" si="44"/>
        <v>1.9718828268238593</v>
      </c>
      <c r="K227" s="176">
        <f>DANE!O227</f>
        <v>341</v>
      </c>
      <c r="L227" s="188">
        <f t="shared" si="2"/>
        <v>5791</v>
      </c>
      <c r="M227" s="177">
        <f t="shared" ca="1" si="18"/>
        <v>301.14285714285717</v>
      </c>
      <c r="N227" s="209">
        <f t="shared" si="62"/>
        <v>1714.3831821982424</v>
      </c>
      <c r="O227" s="179">
        <f t="shared" si="66"/>
        <v>6.9964535807860662E-2</v>
      </c>
      <c r="P227" s="213">
        <f t="shared" si="67"/>
        <v>1.4897517506550246</v>
      </c>
      <c r="Q227" s="217">
        <f t="shared" ca="1" si="68"/>
        <v>1.6886949621734755</v>
      </c>
      <c r="R227" s="176">
        <f>DANE!S227</f>
        <v>163</v>
      </c>
      <c r="S227" s="188">
        <f t="shared" si="3"/>
        <v>5003</v>
      </c>
      <c r="T227" s="177">
        <f t="shared" ca="1" si="19"/>
        <v>227.42857142857142</v>
      </c>
      <c r="U227" s="209">
        <f t="shared" si="50"/>
        <v>1338.749636799236</v>
      </c>
      <c r="V227" s="179">
        <f t="shared" si="55"/>
        <v>-2.4027179962463559E-2</v>
      </c>
      <c r="W227" s="213">
        <f t="shared" si="56"/>
        <v>0.83180974026275512</v>
      </c>
      <c r="X227" s="214">
        <f t="shared" ca="1" si="57"/>
        <v>1.7197166493209968</v>
      </c>
      <c r="Y227" s="176">
        <f>DANE!W227</f>
        <v>164</v>
      </c>
      <c r="Z227" s="188">
        <f t="shared" si="4"/>
        <v>1794</v>
      </c>
      <c r="AA227" s="177">
        <f t="shared" ca="1" si="20"/>
        <v>72.428571428571431</v>
      </c>
      <c r="AB227" s="209">
        <f t="shared" si="94"/>
        <v>456.34199086434677</v>
      </c>
      <c r="AC227" s="179">
        <f t="shared" si="95"/>
        <v>0.3379886916937237</v>
      </c>
      <c r="AD227" s="213">
        <f t="shared" si="96"/>
        <v>3.3659208418560662</v>
      </c>
      <c r="AE227" s="217">
        <f t="shared" ca="1" si="97"/>
        <v>1.7826386727716181</v>
      </c>
      <c r="AF227" s="176">
        <f>DANE!AA227</f>
        <v>349</v>
      </c>
      <c r="AG227" s="188">
        <f t="shared" si="5"/>
        <v>9848</v>
      </c>
      <c r="AH227" s="177">
        <f t="shared" ca="1" si="21"/>
        <v>326.14285714285717</v>
      </c>
      <c r="AI227" s="209">
        <f t="shared" si="37"/>
        <v>1813.9886134545131</v>
      </c>
      <c r="AJ227" s="179">
        <f t="shared" si="39"/>
        <v>6.1337520770626916E-2</v>
      </c>
      <c r="AK227" s="213">
        <f t="shared" si="40"/>
        <v>1.4293626453943884</v>
      </c>
      <c r="AL227" s="214">
        <f t="shared" ca="1" si="41"/>
        <v>1.8980144575429254</v>
      </c>
      <c r="AM227" s="176">
        <f>DANE!AE227</f>
        <v>898</v>
      </c>
      <c r="AN227" s="188">
        <f t="shared" si="6"/>
        <v>17276</v>
      </c>
      <c r="AO227" s="177">
        <f t="shared" ca="1" si="22"/>
        <v>647.57142857142856</v>
      </c>
      <c r="AP227" s="209">
        <f t="shared" si="49"/>
        <v>3686.8563665872161</v>
      </c>
      <c r="AQ227" s="179">
        <f t="shared" si="51"/>
        <v>0.13313924581890868</v>
      </c>
      <c r="AR227" s="213">
        <f t="shared" si="52"/>
        <v>1.9319747207323608</v>
      </c>
      <c r="AS227" s="217">
        <f t="shared" ca="1" si="53"/>
        <v>1.9642892145029553</v>
      </c>
      <c r="AT227" s="176">
        <f>DANE!AI227</f>
        <v>552</v>
      </c>
      <c r="AU227" s="188">
        <f t="shared" si="7"/>
        <v>18237</v>
      </c>
      <c r="AV227" s="177">
        <f t="shared" ca="1" si="23"/>
        <v>555.42857142857144</v>
      </c>
      <c r="AW227" s="209">
        <f t="shared" si="33"/>
        <v>3065.5846980863957</v>
      </c>
      <c r="AX227" s="179">
        <f t="shared" si="34"/>
        <v>4.5377157543819734E-2</v>
      </c>
      <c r="AY227" s="213">
        <f t="shared" si="35"/>
        <v>1.3176401028067382</v>
      </c>
      <c r="AZ227" s="214">
        <f t="shared" ca="1" si="36"/>
        <v>1.7154210206465552</v>
      </c>
      <c r="BA227" s="176">
        <f>DANE!AM227</f>
        <v>241</v>
      </c>
      <c r="BB227" s="188">
        <f t="shared" si="8"/>
        <v>3550</v>
      </c>
      <c r="BC227" s="177">
        <f t="shared" ca="1" si="24"/>
        <v>130.57142857142858</v>
      </c>
      <c r="BD227" s="209">
        <f t="shared" si="77"/>
        <v>773.29249464574718</v>
      </c>
      <c r="BE227" s="179">
        <f t="shared" si="80"/>
        <v>0.24522164962875651</v>
      </c>
      <c r="BF227" s="213">
        <f t="shared" si="81"/>
        <v>2.7165515474012958</v>
      </c>
      <c r="BG227" s="217">
        <f t="shared" ca="1" si="82"/>
        <v>2.0738604198317181</v>
      </c>
      <c r="BH227" s="176">
        <f>DANE!AQ227</f>
        <v>391</v>
      </c>
      <c r="BI227" s="188">
        <f t="shared" si="9"/>
        <v>6924</v>
      </c>
      <c r="BJ227" s="177">
        <f t="shared" ca="1" si="25"/>
        <v>307.42857142857144</v>
      </c>
      <c r="BK227" s="209">
        <f t="shared" si="61"/>
        <v>1774.6627873585333</v>
      </c>
      <c r="BL227" s="179">
        <f t="shared" si="63"/>
        <v>9.9357116429730177E-2</v>
      </c>
      <c r="BM227" s="213">
        <f t="shared" si="64"/>
        <v>1.6954998150081113</v>
      </c>
      <c r="BN227" s="214">
        <f t="shared" ca="1" si="65"/>
        <v>1.8455377818348448</v>
      </c>
      <c r="BO227" s="176">
        <f>DANE!AU227</f>
        <v>183</v>
      </c>
      <c r="BP227" s="188">
        <f t="shared" si="10"/>
        <v>3443</v>
      </c>
      <c r="BQ227" s="177">
        <f t="shared" ca="1" si="26"/>
        <v>127.14285714285714</v>
      </c>
      <c r="BR227" s="209">
        <f t="shared" si="78"/>
        <v>783.26823301134061</v>
      </c>
      <c r="BS227" s="179">
        <f t="shared" si="83"/>
        <v>0.11845460784178095</v>
      </c>
      <c r="BT227" s="213">
        <f t="shared" si="84"/>
        <v>1.8291822548924668</v>
      </c>
      <c r="BU227" s="217">
        <f t="shared" ca="1" si="85"/>
        <v>1.5368877823843772</v>
      </c>
      <c r="BV227" s="176">
        <f>DANE!AY227</f>
        <v>318</v>
      </c>
      <c r="BW227" s="188">
        <f t="shared" si="11"/>
        <v>8415</v>
      </c>
      <c r="BX227" s="177">
        <f t="shared" ca="1" si="27"/>
        <v>312.71428571428572</v>
      </c>
      <c r="BY227" s="209">
        <f t="shared" si="69"/>
        <v>1891.0309148067702</v>
      </c>
      <c r="BZ227" s="179">
        <f t="shared" si="71"/>
        <v>3.0420715833200211E-2</v>
      </c>
      <c r="CA227" s="213">
        <f t="shared" si="72"/>
        <v>1.2129450108324016</v>
      </c>
      <c r="CB227" s="214">
        <f t="shared" ca="1" si="73"/>
        <v>1.4258579221843042</v>
      </c>
      <c r="CC227" s="176">
        <f>DANE!BC227</f>
        <v>441</v>
      </c>
      <c r="CD227" s="188">
        <f t="shared" si="12"/>
        <v>26253</v>
      </c>
      <c r="CE227" s="177">
        <f t="shared" ca="1" si="28"/>
        <v>374.28571428571428</v>
      </c>
      <c r="CF227" s="209">
        <f t="shared" si="45"/>
        <v>2072.9414916465166</v>
      </c>
      <c r="CG227" s="179">
        <f t="shared" si="46"/>
        <v>8.8768808155735776E-2</v>
      </c>
      <c r="CH227" s="213">
        <f t="shared" si="47"/>
        <v>1.6213816570901505</v>
      </c>
      <c r="CI227" s="217">
        <f t="shared" ca="1" si="48"/>
        <v>1.7964312927640156</v>
      </c>
      <c r="CJ227" s="176">
        <f>DANE!BG227</f>
        <v>121</v>
      </c>
      <c r="CK227" s="188">
        <f t="shared" si="13"/>
        <v>3785</v>
      </c>
      <c r="CL227" s="177">
        <f t="shared" ca="1" si="29"/>
        <v>168.28571428571428</v>
      </c>
      <c r="CM227" s="209">
        <f t="shared" si="79"/>
        <v>922.86686209690561</v>
      </c>
      <c r="CN227" s="179">
        <f t="shared" si="86"/>
        <v>-1.351611304694488E-2</v>
      </c>
      <c r="CO227" s="213">
        <f t="shared" si="87"/>
        <v>0.90538720867138589</v>
      </c>
      <c r="CP227" s="214">
        <f t="shared" ca="1" si="88"/>
        <v>1.747873684652216</v>
      </c>
      <c r="CQ227" s="176">
        <f>DANE!BK227</f>
        <v>79</v>
      </c>
      <c r="CR227" s="188">
        <f t="shared" si="14"/>
        <v>2719</v>
      </c>
      <c r="CS227" s="177">
        <f t="shared" ca="1" si="30"/>
        <v>99.142857142857139</v>
      </c>
      <c r="CT227" s="209">
        <f t="shared" si="89"/>
        <v>561.85838566365692</v>
      </c>
      <c r="CU227" s="179">
        <f t="shared" si="90"/>
        <v>-2.6208174152289273E-3</v>
      </c>
      <c r="CV227" s="213">
        <f t="shared" si="91"/>
        <v>0.98165427809339756</v>
      </c>
      <c r="CW227" s="217">
        <f t="shared" ca="1" si="92"/>
        <v>1.4729504286507615</v>
      </c>
      <c r="CX227" s="176">
        <f>DANE!BO227</f>
        <v>334</v>
      </c>
      <c r="CY227" s="188">
        <f t="shared" si="15"/>
        <v>11646</v>
      </c>
      <c r="CZ227" s="177">
        <f t="shared" ca="1" si="31"/>
        <v>398.14285714285717</v>
      </c>
      <c r="DA227" s="209">
        <f t="shared" si="54"/>
        <v>2199.4120220039003</v>
      </c>
      <c r="DB227" s="179">
        <f t="shared" si="58"/>
        <v>1.0613356372391735E-2</v>
      </c>
      <c r="DC227" s="213">
        <f t="shared" si="59"/>
        <v>1.0742934946067422</v>
      </c>
      <c r="DD227" s="214">
        <f t="shared" ca="1" si="60"/>
        <v>1.8574116656233461</v>
      </c>
      <c r="DE227" s="176">
        <f>DANE!BS227</f>
        <v>151</v>
      </c>
      <c r="DF227" s="188">
        <f t="shared" si="16"/>
        <v>3221</v>
      </c>
      <c r="DG227" s="177">
        <f t="shared" ca="1" si="32"/>
        <v>138</v>
      </c>
      <c r="DH227" s="209">
        <f t="shared" si="70"/>
        <v>788.36307035341883</v>
      </c>
      <c r="DI227" s="179">
        <f t="shared" si="74"/>
        <v>6.021168470577689E-2</v>
      </c>
      <c r="DJ227" s="157">
        <f t="shared" si="75"/>
        <v>1.4214817929404382</v>
      </c>
      <c r="DK227" s="225">
        <f t="shared" ca="1" si="76"/>
        <v>1.6380189209484652</v>
      </c>
      <c r="DL227" s="146"/>
      <c r="DM227" s="88"/>
      <c r="DN227" s="88"/>
      <c r="DO227" s="88"/>
      <c r="DP227" s="88"/>
      <c r="DQ227" s="88"/>
      <c r="DR227" s="88"/>
      <c r="DS227" s="88"/>
      <c r="DT227" s="88"/>
      <c r="DU227" s="88"/>
      <c r="DV227" s="88"/>
      <c r="DW227" s="146"/>
      <c r="DX227" s="146"/>
      <c r="DY227" s="146"/>
      <c r="DZ227" s="146"/>
      <c r="EA227" s="146"/>
      <c r="EB227" s="146"/>
      <c r="EC227" s="146"/>
      <c r="ED227" s="146"/>
      <c r="EE227" s="146"/>
      <c r="EF227" s="146"/>
      <c r="EG227" s="146"/>
      <c r="EH227" s="146"/>
    </row>
    <row r="228" spans="1:138" x14ac:dyDescent="0.25">
      <c r="A228" s="32">
        <v>44118</v>
      </c>
      <c r="B228" s="33">
        <f t="shared" ca="1" si="98"/>
        <v>44118</v>
      </c>
      <c r="C228" s="51">
        <f t="shared" si="93"/>
        <v>225</v>
      </c>
      <c r="D228" s="176">
        <f>DANE!K228</f>
        <v>315</v>
      </c>
      <c r="E228" s="188">
        <f t="shared" si="1"/>
        <v>7688</v>
      </c>
      <c r="F228" s="178">
        <f t="shared" ca="1" si="17"/>
        <v>256</v>
      </c>
      <c r="G228" s="209">
        <f t="shared" si="38"/>
        <v>1438.8201221330817</v>
      </c>
      <c r="H228" s="179">
        <f t="shared" si="42"/>
        <v>9.7394828683928236E-2</v>
      </c>
      <c r="I228" s="213">
        <f t="shared" si="43"/>
        <v>1.6817638007874978</v>
      </c>
      <c r="J228" s="214">
        <f t="shared" ca="1" si="44"/>
        <v>1.8689024307330189</v>
      </c>
      <c r="K228" s="176">
        <f>DANE!O228</f>
        <v>356</v>
      </c>
      <c r="L228" s="188">
        <f t="shared" si="2"/>
        <v>6147</v>
      </c>
      <c r="M228" s="177">
        <f t="shared" ca="1" si="18"/>
        <v>325.71428571428572</v>
      </c>
      <c r="N228" s="209">
        <f t="shared" si="62"/>
        <v>1825.471299027065</v>
      </c>
      <c r="O228" s="179">
        <f t="shared" si="66"/>
        <v>6.4797717326170665E-2</v>
      </c>
      <c r="P228" s="213">
        <f t="shared" si="67"/>
        <v>1.4535840212831947</v>
      </c>
      <c r="Q228" s="217">
        <f t="shared" ca="1" si="68"/>
        <v>1.695695000509037</v>
      </c>
      <c r="R228" s="176">
        <f>DANE!S228</f>
        <v>256</v>
      </c>
      <c r="S228" s="188">
        <f t="shared" si="3"/>
        <v>5259</v>
      </c>
      <c r="T228" s="177">
        <f t="shared" ca="1" si="19"/>
        <v>248.85714285714286</v>
      </c>
      <c r="U228" s="209">
        <f t="shared" si="50"/>
        <v>1403.4996886850595</v>
      </c>
      <c r="V228" s="179">
        <f t="shared" si="55"/>
        <v>4.8366064950450226E-2</v>
      </c>
      <c r="W228" s="213">
        <f t="shared" si="56"/>
        <v>1.3385624546531516</v>
      </c>
      <c r="X228" s="214">
        <f t="shared" ca="1" si="57"/>
        <v>1.7564343502780504</v>
      </c>
      <c r="Y228" s="176">
        <f>DANE!W228</f>
        <v>145</v>
      </c>
      <c r="Z228" s="188">
        <f t="shared" si="4"/>
        <v>1939</v>
      </c>
      <c r="AA228" s="177">
        <f t="shared" ca="1" si="20"/>
        <v>91.428571428571431</v>
      </c>
      <c r="AB228" s="209">
        <f t="shared" si="94"/>
        <v>536.15027788372583</v>
      </c>
      <c r="AC228" s="179">
        <f t="shared" si="95"/>
        <v>0.17488701153320571</v>
      </c>
      <c r="AD228" s="213">
        <f t="shared" si="96"/>
        <v>2.2242090807324399</v>
      </c>
      <c r="AE228" s="217">
        <f t="shared" ca="1" si="97"/>
        <v>2.049766886348666</v>
      </c>
      <c r="AF228" s="176">
        <f>DANE!AA228</f>
        <v>405</v>
      </c>
      <c r="AG228" s="188">
        <f t="shared" si="5"/>
        <v>10253</v>
      </c>
      <c r="AH228" s="177">
        <f t="shared" ca="1" si="21"/>
        <v>352.14285714285717</v>
      </c>
      <c r="AI228" s="209">
        <f t="shared" si="37"/>
        <v>1959.8473829610114</v>
      </c>
      <c r="AJ228" s="179">
        <f t="shared" si="39"/>
        <v>8.0407764648934885E-2</v>
      </c>
      <c r="AK228" s="213">
        <f t="shared" si="40"/>
        <v>1.5628543525425442</v>
      </c>
      <c r="AL228" s="214">
        <f t="shared" ca="1" si="41"/>
        <v>1.8375475959585423</v>
      </c>
      <c r="AM228" s="176">
        <f>DANE!AE228</f>
        <v>1137</v>
      </c>
      <c r="AN228" s="188">
        <f t="shared" si="6"/>
        <v>18413</v>
      </c>
      <c r="AO228" s="177">
        <f t="shared" ca="1" si="22"/>
        <v>759</v>
      </c>
      <c r="AP228" s="209">
        <f t="shared" si="49"/>
        <v>4297.1625999319003</v>
      </c>
      <c r="AQ228" s="179">
        <f t="shared" si="51"/>
        <v>0.16553566851035795</v>
      </c>
      <c r="AR228" s="213">
        <f t="shared" si="52"/>
        <v>2.1587496795725056</v>
      </c>
      <c r="AS228" s="217">
        <f t="shared" ca="1" si="53"/>
        <v>2.0351527777170402</v>
      </c>
      <c r="AT228" s="176">
        <f>DANE!AI228</f>
        <v>1188</v>
      </c>
      <c r="AU228" s="188">
        <f t="shared" si="7"/>
        <v>19425</v>
      </c>
      <c r="AV228" s="177">
        <f t="shared" ca="1" si="23"/>
        <v>649.85714285714289</v>
      </c>
      <c r="AW228" s="209">
        <f t="shared" si="33"/>
        <v>3815.6440269311965</v>
      </c>
      <c r="AX228" s="179">
        <f t="shared" si="34"/>
        <v>0.24467088751878363</v>
      </c>
      <c r="AY228" s="213">
        <f t="shared" si="35"/>
        <v>2.7126962126314855</v>
      </c>
      <c r="AZ228" s="214">
        <f t="shared" ca="1" si="36"/>
        <v>1.7691808910896669</v>
      </c>
      <c r="BA228" s="176">
        <f>DANE!AM228</f>
        <v>233</v>
      </c>
      <c r="BB228" s="188">
        <f t="shared" si="8"/>
        <v>3783</v>
      </c>
      <c r="BC228" s="177">
        <f t="shared" ca="1" si="24"/>
        <v>156.71428571428572</v>
      </c>
      <c r="BD228" s="209">
        <f t="shared" si="77"/>
        <v>895.82213826778332</v>
      </c>
      <c r="BE228" s="179">
        <f t="shared" si="80"/>
        <v>0.15845187231277624</v>
      </c>
      <c r="BF228" s="213">
        <f t="shared" si="81"/>
        <v>2.1091631061894338</v>
      </c>
      <c r="BG228" s="217">
        <f t="shared" ca="1" si="82"/>
        <v>2.2015780208533724</v>
      </c>
      <c r="BH228" s="176">
        <f>DANE!AQ228</f>
        <v>319</v>
      </c>
      <c r="BI228" s="188">
        <f t="shared" si="9"/>
        <v>7243</v>
      </c>
      <c r="BJ228" s="177">
        <f t="shared" ca="1" si="25"/>
        <v>332.85714285714283</v>
      </c>
      <c r="BK228" s="209">
        <f t="shared" si="61"/>
        <v>1840.1395320216</v>
      </c>
      <c r="BL228" s="179">
        <f t="shared" si="63"/>
        <v>3.6895316185969314E-2</v>
      </c>
      <c r="BM228" s="213">
        <f t="shared" si="64"/>
        <v>1.2582672133017851</v>
      </c>
      <c r="BN228" s="214">
        <f t="shared" ca="1" si="65"/>
        <v>1.85064620637717</v>
      </c>
      <c r="BO228" s="176">
        <f>DANE!AU228</f>
        <v>174</v>
      </c>
      <c r="BP228" s="188">
        <f t="shared" si="10"/>
        <v>3617</v>
      </c>
      <c r="BQ228" s="177">
        <f t="shared" ca="1" si="26"/>
        <v>140</v>
      </c>
      <c r="BR228" s="209">
        <f t="shared" si="78"/>
        <v>845.37277115257768</v>
      </c>
      <c r="BS228" s="179">
        <f t="shared" si="83"/>
        <v>7.9288978569283922E-2</v>
      </c>
      <c r="BT228" s="213">
        <f t="shared" si="84"/>
        <v>1.5550228499849874</v>
      </c>
      <c r="BU228" s="217">
        <f t="shared" ca="1" si="85"/>
        <v>1.5803011661320328</v>
      </c>
      <c r="BV228" s="176">
        <f>DANE!AY228</f>
        <v>344</v>
      </c>
      <c r="BW228" s="188">
        <f t="shared" si="11"/>
        <v>8759</v>
      </c>
      <c r="BX228" s="177">
        <f t="shared" ca="1" si="27"/>
        <v>334.28571428571428</v>
      </c>
      <c r="BY228" s="209">
        <f t="shared" si="69"/>
        <v>1964.883641262946</v>
      </c>
      <c r="BZ228" s="179">
        <f t="shared" si="71"/>
        <v>3.9054214226699843E-2</v>
      </c>
      <c r="CA228" s="213">
        <f t="shared" si="72"/>
        <v>1.273379499586899</v>
      </c>
      <c r="CB228" s="214">
        <f t="shared" ca="1" si="73"/>
        <v>1.4543704863746956</v>
      </c>
      <c r="CC228" s="176">
        <f>DANE!BC228</f>
        <v>520</v>
      </c>
      <c r="CD228" s="188">
        <f t="shared" si="12"/>
        <v>26773</v>
      </c>
      <c r="CE228" s="177">
        <f t="shared" ca="1" si="28"/>
        <v>407.71428571428572</v>
      </c>
      <c r="CF228" s="209">
        <f t="shared" si="45"/>
        <v>2296.8069928398718</v>
      </c>
      <c r="CG228" s="179">
        <f t="shared" si="46"/>
        <v>0.10799412433755717</v>
      </c>
      <c r="CH228" s="213">
        <f t="shared" si="47"/>
        <v>1.7559588703629001</v>
      </c>
      <c r="CI228" s="217">
        <f t="shared" ca="1" si="48"/>
        <v>1.7583174425939141</v>
      </c>
      <c r="CJ228" s="176">
        <f>DANE!BG228</f>
        <v>255</v>
      </c>
      <c r="CK228" s="188">
        <f t="shared" si="13"/>
        <v>4040</v>
      </c>
      <c r="CL228" s="177">
        <f t="shared" ca="1" si="29"/>
        <v>183.42857142857142</v>
      </c>
      <c r="CM228" s="209">
        <f t="shared" si="79"/>
        <v>1046.0287389402049</v>
      </c>
      <c r="CN228" s="179">
        <f t="shared" si="86"/>
        <v>0.13345573657662299</v>
      </c>
      <c r="CO228" s="213">
        <f t="shared" si="87"/>
        <v>1.934190156036361</v>
      </c>
      <c r="CP228" s="214">
        <f t="shared" ca="1" si="88"/>
        <v>1.7002194580914034</v>
      </c>
      <c r="CQ228" s="176">
        <f>DANE!BK228</f>
        <v>196</v>
      </c>
      <c r="CR228" s="188">
        <f t="shared" si="14"/>
        <v>2915</v>
      </c>
      <c r="CS228" s="177">
        <f t="shared" ca="1" si="30"/>
        <v>110.14285714285714</v>
      </c>
      <c r="CT228" s="209">
        <f t="shared" si="89"/>
        <v>677.59290199742031</v>
      </c>
      <c r="CU228" s="179">
        <f t="shared" si="90"/>
        <v>0.20598520781541757</v>
      </c>
      <c r="CV228" s="213">
        <f t="shared" si="91"/>
        <v>2.4418964547079232</v>
      </c>
      <c r="CW228" s="217">
        <f t="shared" ca="1" si="92"/>
        <v>1.491074207556816</v>
      </c>
      <c r="CX228" s="176">
        <f>DANE!BO228</f>
        <v>508</v>
      </c>
      <c r="CY228" s="188">
        <f t="shared" si="15"/>
        <v>12154</v>
      </c>
      <c r="CZ228" s="177">
        <f t="shared" ca="1" si="31"/>
        <v>436.14285714285717</v>
      </c>
      <c r="DA228" s="209">
        <f t="shared" si="54"/>
        <v>2393.2103045747717</v>
      </c>
      <c r="DB228" s="179">
        <f t="shared" si="58"/>
        <v>8.8113677943026048E-2</v>
      </c>
      <c r="DC228" s="213">
        <f t="shared" si="59"/>
        <v>1.6167957456011823</v>
      </c>
      <c r="DD228" s="214">
        <f t="shared" ca="1" si="60"/>
        <v>1.8466407608778626</v>
      </c>
      <c r="DE228" s="176">
        <f>DANE!BS228</f>
        <v>175</v>
      </c>
      <c r="DF228" s="188">
        <f t="shared" si="16"/>
        <v>3396</v>
      </c>
      <c r="DG228" s="177">
        <f t="shared" ca="1" si="32"/>
        <v>142.14285714285714</v>
      </c>
      <c r="DH228" s="209">
        <f t="shared" si="70"/>
        <v>850.73977458864476</v>
      </c>
      <c r="DI228" s="179">
        <f t="shared" si="74"/>
        <v>7.9121798801740917E-2</v>
      </c>
      <c r="DJ228" s="157">
        <f t="shared" si="75"/>
        <v>1.5538525916121864</v>
      </c>
      <c r="DK228" s="225">
        <f t="shared" ca="1" si="76"/>
        <v>1.5214674489646249</v>
      </c>
      <c r="DL228" s="146"/>
      <c r="DM228" s="371"/>
      <c r="DN228" s="372"/>
      <c r="DO228" s="372"/>
      <c r="DP228" s="372"/>
      <c r="DQ228" s="372"/>
      <c r="DR228" s="372"/>
      <c r="DS228" s="372"/>
      <c r="DT228" s="372"/>
      <c r="DU228" s="372"/>
      <c r="DV228" s="372"/>
      <c r="DW228" s="146"/>
      <c r="DX228" s="146"/>
      <c r="DY228" s="146"/>
      <c r="DZ228" s="146"/>
      <c r="EA228" s="146"/>
      <c r="EB228" s="146"/>
      <c r="EC228" s="146"/>
      <c r="ED228" s="146"/>
      <c r="EE228" s="146"/>
      <c r="EF228" s="146"/>
      <c r="EG228" s="146"/>
      <c r="EH228" s="146"/>
    </row>
    <row r="229" spans="1:138" x14ac:dyDescent="0.25">
      <c r="A229" s="32">
        <v>44119</v>
      </c>
      <c r="B229" s="33">
        <f t="shared" ca="1" si="98"/>
        <v>44119</v>
      </c>
      <c r="C229" s="51">
        <f t="shared" si="93"/>
        <v>226</v>
      </c>
      <c r="D229" s="176">
        <f>DANE!K229</f>
        <v>382</v>
      </c>
      <c r="E229" s="188">
        <f t="shared" si="1"/>
        <v>8070</v>
      </c>
      <c r="F229" s="178">
        <f t="shared" ca="1" si="17"/>
        <v>273.71428571428572</v>
      </c>
      <c r="G229" s="209">
        <f t="shared" si="38"/>
        <v>1615.2743903997844</v>
      </c>
      <c r="H229" s="179">
        <f t="shared" si="42"/>
        <v>0.12263817106276319</v>
      </c>
      <c r="I229" s="213">
        <f t="shared" si="43"/>
        <v>1.8584671974393423</v>
      </c>
      <c r="J229" s="214">
        <f t="shared" ca="1" si="44"/>
        <v>1.7334635516834571</v>
      </c>
      <c r="K229" s="176">
        <f>DANE!O229</f>
        <v>318</v>
      </c>
      <c r="L229" s="188">
        <f t="shared" si="2"/>
        <v>6465</v>
      </c>
      <c r="M229" s="177">
        <f t="shared" ca="1" si="18"/>
        <v>326.71428571428572</v>
      </c>
      <c r="N229" s="209">
        <f t="shared" si="62"/>
        <v>1882.6896848803415</v>
      </c>
      <c r="O229" s="179">
        <f t="shared" si="66"/>
        <v>3.1344445614550374E-2</v>
      </c>
      <c r="P229" s="213">
        <f t="shared" si="67"/>
        <v>1.2194111193018526</v>
      </c>
      <c r="Q229" s="217">
        <f t="shared" ca="1" si="68"/>
        <v>1.5492773663522819</v>
      </c>
      <c r="R229" s="176">
        <f>DANE!S229</f>
        <v>315</v>
      </c>
      <c r="S229" s="188">
        <f t="shared" si="3"/>
        <v>5574</v>
      </c>
      <c r="T229" s="177">
        <f t="shared" ca="1" si="19"/>
        <v>264.71428571428572</v>
      </c>
      <c r="U229" s="209">
        <f t="shared" si="50"/>
        <v>1517.9997331586226</v>
      </c>
      <c r="V229" s="179">
        <f t="shared" si="55"/>
        <v>8.1581809669539943E-2</v>
      </c>
      <c r="W229" s="213">
        <f t="shared" si="56"/>
        <v>1.5710726676867797</v>
      </c>
      <c r="X229" s="214">
        <f t="shared" ca="1" si="57"/>
        <v>1.6869468444477385</v>
      </c>
      <c r="Y229" s="176">
        <f>DANE!W229</f>
        <v>177</v>
      </c>
      <c r="Z229" s="188">
        <f t="shared" si="4"/>
        <v>2116</v>
      </c>
      <c r="AA229" s="177">
        <f t="shared" ca="1" si="20"/>
        <v>106.85714285714286</v>
      </c>
      <c r="AB229" s="209">
        <f t="shared" si="94"/>
        <v>636.55738104319357</v>
      </c>
      <c r="AC229" s="179">
        <f t="shared" si="95"/>
        <v>0.18727417908984631</v>
      </c>
      <c r="AD229" s="213">
        <f t="shared" si="96"/>
        <v>2.3109192536289243</v>
      </c>
      <c r="AE229" s="217">
        <f t="shared" ca="1" si="97"/>
        <v>2.0592825774344989</v>
      </c>
      <c r="AF229" s="176">
        <f>DANE!AA229</f>
        <v>691</v>
      </c>
      <c r="AG229" s="188">
        <f t="shared" si="5"/>
        <v>10944</v>
      </c>
      <c r="AH229" s="177">
        <f t="shared" ca="1" si="21"/>
        <v>411</v>
      </c>
      <c r="AI229" s="209">
        <f t="shared" si="37"/>
        <v>2370.8691853951527</v>
      </c>
      <c r="AJ229" s="179">
        <f t="shared" si="39"/>
        <v>0.20972133136874879</v>
      </c>
      <c r="AK229" s="213">
        <f t="shared" si="40"/>
        <v>2.4680493195812416</v>
      </c>
      <c r="AL229" s="214">
        <f t="shared" ca="1" si="41"/>
        <v>1.878976371397632</v>
      </c>
      <c r="AM229" s="176">
        <f>DANE!AE229</f>
        <v>1303</v>
      </c>
      <c r="AN229" s="188">
        <f t="shared" si="6"/>
        <v>19716</v>
      </c>
      <c r="AO229" s="177">
        <f t="shared" ca="1" si="22"/>
        <v>866.85714285714289</v>
      </c>
      <c r="AP229" s="209">
        <f t="shared" si="49"/>
        <v>4986.2822285130578</v>
      </c>
      <c r="AQ229" s="179">
        <f t="shared" si="51"/>
        <v>0.16036619805638222</v>
      </c>
      <c r="AR229" s="213">
        <f t="shared" si="52"/>
        <v>2.1225633863946758</v>
      </c>
      <c r="AS229" s="217">
        <f t="shared" ca="1" si="53"/>
        <v>2.0052985505701444</v>
      </c>
      <c r="AT229" s="176">
        <f>DANE!AI229</f>
        <v>1306</v>
      </c>
      <c r="AU229" s="188">
        <f t="shared" si="7"/>
        <v>20731</v>
      </c>
      <c r="AV229" s="177">
        <f t="shared" ca="1" si="23"/>
        <v>751</v>
      </c>
      <c r="AW229" s="209">
        <f t="shared" si="33"/>
        <v>4576.5520230838829</v>
      </c>
      <c r="AX229" s="179">
        <f t="shared" si="34"/>
        <v>0.19941797263636798</v>
      </c>
      <c r="AY229" s="213">
        <f t="shared" si="35"/>
        <v>2.3959258084545763</v>
      </c>
      <c r="AZ229" s="214">
        <f t="shared" ca="1" si="36"/>
        <v>1.7934347418966285</v>
      </c>
      <c r="BA229" s="176">
        <f>DANE!AM229</f>
        <v>282</v>
      </c>
      <c r="BB229" s="188">
        <f t="shared" si="8"/>
        <v>4065</v>
      </c>
      <c r="BC229" s="177">
        <f t="shared" ca="1" si="24"/>
        <v>184.14285714285714</v>
      </c>
      <c r="BD229" s="209">
        <f t="shared" si="77"/>
        <v>1049.8475470866715</v>
      </c>
      <c r="BE229" s="179">
        <f t="shared" si="80"/>
        <v>0.17193748874829237</v>
      </c>
      <c r="BF229" s="213">
        <f t="shared" si="81"/>
        <v>2.2035624212380469</v>
      </c>
      <c r="BG229" s="217">
        <f t="shared" ca="1" si="82"/>
        <v>2.2132251253318826</v>
      </c>
      <c r="BH229" s="176">
        <f>DANE!AQ229</f>
        <v>420</v>
      </c>
      <c r="BI229" s="188">
        <f t="shared" si="9"/>
        <v>7663</v>
      </c>
      <c r="BJ229" s="177">
        <f t="shared" ca="1" si="25"/>
        <v>356.28571428571428</v>
      </c>
      <c r="BK229" s="209">
        <f t="shared" si="61"/>
        <v>1997.2624560185143</v>
      </c>
      <c r="BL229" s="179">
        <f t="shared" si="63"/>
        <v>8.5386418400726999E-2</v>
      </c>
      <c r="BM229" s="213">
        <f t="shared" si="64"/>
        <v>1.5977049288050891</v>
      </c>
      <c r="BN229" s="214">
        <f t="shared" ca="1" si="65"/>
        <v>1.7715741707305459</v>
      </c>
      <c r="BO229" s="176">
        <f>DANE!AU229</f>
        <v>139</v>
      </c>
      <c r="BP229" s="188">
        <f t="shared" si="10"/>
        <v>3756</v>
      </c>
      <c r="BQ229" s="177">
        <f t="shared" ca="1" si="26"/>
        <v>146.42857142857142</v>
      </c>
      <c r="BR229" s="209">
        <f t="shared" si="78"/>
        <v>863.60523241649526</v>
      </c>
      <c r="BS229" s="179">
        <f t="shared" si="83"/>
        <v>2.1567362808550729E-2</v>
      </c>
      <c r="BT229" s="213">
        <f t="shared" si="84"/>
        <v>1.1509715396598552</v>
      </c>
      <c r="BU229" s="217">
        <f t="shared" ca="1" si="85"/>
        <v>1.5516422112498096</v>
      </c>
      <c r="BV229" s="176">
        <f>DANE!AY229</f>
        <v>458</v>
      </c>
      <c r="BW229" s="188">
        <f t="shared" si="11"/>
        <v>9217</v>
      </c>
      <c r="BX229" s="177">
        <f t="shared" ca="1" si="27"/>
        <v>355</v>
      </c>
      <c r="BY229" s="209">
        <f t="shared" si="69"/>
        <v>2142.1859782253823</v>
      </c>
      <c r="BZ229" s="179">
        <f t="shared" si="71"/>
        <v>9.0235540282921661E-2</v>
      </c>
      <c r="CA229" s="213">
        <f t="shared" si="72"/>
        <v>1.6316487819804517</v>
      </c>
      <c r="CB229" s="214">
        <f t="shared" ca="1" si="73"/>
        <v>1.4412820440817682</v>
      </c>
      <c r="CC229" s="176">
        <f>DANE!BC229</f>
        <v>822</v>
      </c>
      <c r="CD229" s="188">
        <f t="shared" si="12"/>
        <v>27595</v>
      </c>
      <c r="CE229" s="177">
        <f t="shared" ca="1" si="28"/>
        <v>471.57142857142856</v>
      </c>
      <c r="CF229" s="209">
        <f t="shared" si="45"/>
        <v>2790.6917081484617</v>
      </c>
      <c r="CG229" s="179">
        <f t="shared" si="46"/>
        <v>0.21503100471578127</v>
      </c>
      <c r="CH229" s="213">
        <f t="shared" si="47"/>
        <v>2.5052170330104691</v>
      </c>
      <c r="CI229" s="217">
        <f t="shared" ca="1" si="48"/>
        <v>1.7856190859804848</v>
      </c>
      <c r="CJ229" s="176">
        <f>DANE!BG229</f>
        <v>283</v>
      </c>
      <c r="CK229" s="188">
        <f t="shared" si="13"/>
        <v>4323</v>
      </c>
      <c r="CL229" s="177">
        <f t="shared" ca="1" si="29"/>
        <v>201.14285714285714</v>
      </c>
      <c r="CM229" s="209">
        <f t="shared" si="79"/>
        <v>1179.5960619487471</v>
      </c>
      <c r="CN229" s="179">
        <f t="shared" si="86"/>
        <v>0.12768991714689151</v>
      </c>
      <c r="CO229" s="213">
        <f t="shared" si="87"/>
        <v>1.8938294200282406</v>
      </c>
      <c r="CP229" s="214">
        <f t="shared" ca="1" si="88"/>
        <v>1.6780673828956665</v>
      </c>
      <c r="CQ229" s="176">
        <f>DANE!BK229</f>
        <v>191</v>
      </c>
      <c r="CR229" s="188">
        <f t="shared" si="14"/>
        <v>3106</v>
      </c>
      <c r="CS229" s="177">
        <f t="shared" ca="1" si="30"/>
        <v>122.42857142857143</v>
      </c>
      <c r="CT229" s="209">
        <f t="shared" si="89"/>
        <v>771.79391599778887</v>
      </c>
      <c r="CU229" s="179">
        <f t="shared" si="90"/>
        <v>0.13902302359230911</v>
      </c>
      <c r="CV229" s="213">
        <f t="shared" si="91"/>
        <v>1.9731611651461638</v>
      </c>
      <c r="CW229" s="217">
        <f t="shared" ca="1" si="92"/>
        <v>1.527293981810703</v>
      </c>
      <c r="CX229" s="176">
        <f>DANE!BO229</f>
        <v>835</v>
      </c>
      <c r="CY229" s="188">
        <f t="shared" si="15"/>
        <v>12989</v>
      </c>
      <c r="CZ229" s="177">
        <f t="shared" ca="1" si="31"/>
        <v>483.28571428571428</v>
      </c>
      <c r="DA229" s="209">
        <f t="shared" si="54"/>
        <v>2886.3231182069471</v>
      </c>
      <c r="DB229" s="179">
        <f t="shared" si="58"/>
        <v>0.20604658633199069</v>
      </c>
      <c r="DC229" s="213">
        <f t="shared" si="59"/>
        <v>2.4423261043239348</v>
      </c>
      <c r="DD229" s="214">
        <f t="shared" ca="1" si="60"/>
        <v>1.736478045062315</v>
      </c>
      <c r="DE229" s="176">
        <f>DANE!BS229</f>
        <v>177</v>
      </c>
      <c r="DF229" s="188">
        <f t="shared" si="16"/>
        <v>3573</v>
      </c>
      <c r="DG229" s="177">
        <f t="shared" ca="1" si="32"/>
        <v>150.85714285714286</v>
      </c>
      <c r="DH229" s="209">
        <f t="shared" si="70"/>
        <v>906.20552107598132</v>
      </c>
      <c r="DI229" s="179">
        <f t="shared" si="74"/>
        <v>6.5197076878362389E-2</v>
      </c>
      <c r="DJ229" s="157">
        <f t="shared" si="75"/>
        <v>1.4563795381485367</v>
      </c>
      <c r="DK229" s="225">
        <f t="shared" ca="1" si="76"/>
        <v>1.5045694377559562</v>
      </c>
      <c r="DL229" s="146"/>
      <c r="DM229" s="371"/>
      <c r="DN229" s="372"/>
      <c r="DO229" s="372"/>
      <c r="DP229" s="372"/>
      <c r="DQ229" s="372"/>
      <c r="DR229" s="372"/>
      <c r="DS229" s="372"/>
      <c r="DT229" s="372"/>
      <c r="DU229" s="372"/>
      <c r="DV229" s="372"/>
      <c r="DW229" s="146"/>
      <c r="DX229" s="146"/>
      <c r="DY229" s="146"/>
      <c r="DZ229" s="146"/>
      <c r="EA229" s="146"/>
      <c r="EB229" s="146"/>
      <c r="EC229" s="146"/>
      <c r="ED229" s="146"/>
      <c r="EE229" s="146"/>
      <c r="EF229" s="146"/>
      <c r="EG229" s="146"/>
      <c r="EH229" s="146"/>
    </row>
    <row r="230" spans="1:138" x14ac:dyDescent="0.25">
      <c r="A230" s="32">
        <v>44120</v>
      </c>
      <c r="B230" s="33">
        <f t="shared" ca="1" si="98"/>
        <v>44120</v>
      </c>
      <c r="C230" s="51">
        <f t="shared" si="93"/>
        <v>227</v>
      </c>
      <c r="D230" s="176">
        <f>DANE!K230</f>
        <v>441</v>
      </c>
      <c r="E230" s="188">
        <f t="shared" si="1"/>
        <v>8511</v>
      </c>
      <c r="F230" s="178">
        <f t="shared" ca="1" si="17"/>
        <v>301</v>
      </c>
      <c r="G230" s="209">
        <f t="shared" si="38"/>
        <v>1825.5209060569582</v>
      </c>
      <c r="H230" s="179">
        <f t="shared" si="42"/>
        <v>0.1301614864364545</v>
      </c>
      <c r="I230" s="213">
        <f t="shared" si="43"/>
        <v>1.9111304050551816</v>
      </c>
      <c r="J230" s="214">
        <f t="shared" ca="1" si="44"/>
        <v>1.6976758761996742</v>
      </c>
      <c r="K230" s="176">
        <f>DANE!O230</f>
        <v>470</v>
      </c>
      <c r="L230" s="188">
        <f t="shared" si="2"/>
        <v>6935</v>
      </c>
      <c r="M230" s="177">
        <f t="shared" ca="1" si="18"/>
        <v>347.57142857142856</v>
      </c>
      <c r="N230" s="209">
        <f t="shared" si="62"/>
        <v>2083.7340156117216</v>
      </c>
      <c r="O230" s="179">
        <f t="shared" si="66"/>
        <v>0.10678569726383662</v>
      </c>
      <c r="P230" s="213">
        <f t="shared" si="67"/>
        <v>1.7474998808468563</v>
      </c>
      <c r="Q230" s="217">
        <f t="shared" ca="1" si="68"/>
        <v>1.515313425394716</v>
      </c>
      <c r="R230" s="176">
        <f>DANE!S230</f>
        <v>284</v>
      </c>
      <c r="S230" s="188">
        <f t="shared" si="3"/>
        <v>5858</v>
      </c>
      <c r="T230" s="177">
        <f t="shared" ca="1" si="19"/>
        <v>278.85714285714283</v>
      </c>
      <c r="U230" s="209">
        <f t="shared" si="50"/>
        <v>1585.1426284216766</v>
      </c>
      <c r="V230" s="179">
        <f t="shared" si="55"/>
        <v>4.4231164074939898E-2</v>
      </c>
      <c r="W230" s="213">
        <f t="shared" si="56"/>
        <v>1.3096181485245793</v>
      </c>
      <c r="X230" s="214">
        <f t="shared" ca="1" si="57"/>
        <v>1.642467033549472</v>
      </c>
      <c r="Y230" s="176">
        <f>DANE!W230</f>
        <v>147</v>
      </c>
      <c r="Z230" s="188">
        <f t="shared" si="4"/>
        <v>2263</v>
      </c>
      <c r="AA230" s="177">
        <f t="shared" ca="1" si="20"/>
        <v>123.14285714285714</v>
      </c>
      <c r="AB230" s="209">
        <f t="shared" si="94"/>
        <v>692.62061232273743</v>
      </c>
      <c r="AC230" s="179">
        <f t="shared" si="95"/>
        <v>8.8072549229838704E-2</v>
      </c>
      <c r="AD230" s="213">
        <f t="shared" si="96"/>
        <v>1.616507844608871</v>
      </c>
      <c r="AE230" s="217">
        <f t="shared" ca="1" si="97"/>
        <v>2.1600175717343948</v>
      </c>
      <c r="AF230" s="176">
        <f>DANE!AA230</f>
        <v>648</v>
      </c>
      <c r="AG230" s="188">
        <f t="shared" si="5"/>
        <v>11592</v>
      </c>
      <c r="AH230" s="177">
        <f t="shared" ca="1" si="21"/>
        <v>451.71428571428572</v>
      </c>
      <c r="AI230" s="209">
        <f t="shared" si="37"/>
        <v>2680.1735874815595</v>
      </c>
      <c r="AJ230" s="179">
        <f t="shared" si="39"/>
        <v>0.13046034087066469</v>
      </c>
      <c r="AK230" s="213">
        <f t="shared" si="40"/>
        <v>1.9132223860946529</v>
      </c>
      <c r="AL230" s="214">
        <f t="shared" ca="1" si="41"/>
        <v>1.805780324814283</v>
      </c>
      <c r="AM230" s="176">
        <f>DANE!AE230</f>
        <v>1105</v>
      </c>
      <c r="AN230" s="188">
        <f t="shared" si="6"/>
        <v>20821</v>
      </c>
      <c r="AO230" s="177">
        <f t="shared" ca="1" si="22"/>
        <v>921.28571428571433</v>
      </c>
      <c r="AP230" s="209">
        <f t="shared" si="49"/>
        <v>5378.9561958683353</v>
      </c>
      <c r="AQ230" s="179">
        <f t="shared" si="51"/>
        <v>7.8750850705932754E-2</v>
      </c>
      <c r="AR230" s="213">
        <f t="shared" si="52"/>
        <v>1.5512559549415292</v>
      </c>
      <c r="AS230" s="217">
        <f t="shared" ca="1" si="53"/>
        <v>1.8571839480313057</v>
      </c>
      <c r="AT230" s="176">
        <f>DANE!AI230</f>
        <v>911</v>
      </c>
      <c r="AU230" s="188">
        <f t="shared" si="7"/>
        <v>21642</v>
      </c>
      <c r="AV230" s="177">
        <f t="shared" ca="1" si="23"/>
        <v>806.71428571428567</v>
      </c>
      <c r="AW230" s="209">
        <f t="shared" si="33"/>
        <v>4833.7588769290433</v>
      </c>
      <c r="AX230" s="179">
        <f t="shared" si="34"/>
        <v>5.6201011710961174E-2</v>
      </c>
      <c r="AY230" s="213">
        <f t="shared" si="35"/>
        <v>1.3934070819767284</v>
      </c>
      <c r="AZ230" s="214">
        <f t="shared" ca="1" si="36"/>
        <v>1.7567198387697616</v>
      </c>
      <c r="BA230" s="176">
        <f>DANE!AM230</f>
        <v>221</v>
      </c>
      <c r="BB230" s="188">
        <f t="shared" si="8"/>
        <v>4286</v>
      </c>
      <c r="BC230" s="177">
        <f t="shared" ca="1" si="24"/>
        <v>199.14285714285714</v>
      </c>
      <c r="BD230" s="209">
        <f t="shared" si="77"/>
        <v>1120.8693260742898</v>
      </c>
      <c r="BE230" s="179">
        <f t="shared" si="80"/>
        <v>6.764961177906624E-2</v>
      </c>
      <c r="BF230" s="213">
        <f t="shared" si="81"/>
        <v>1.4735472824534637</v>
      </c>
      <c r="BG230" s="217">
        <f t="shared" ca="1" si="82"/>
        <v>2.0869855923963518</v>
      </c>
      <c r="BH230" s="176">
        <f>DANE!AQ230</f>
        <v>563</v>
      </c>
      <c r="BI230" s="188">
        <f t="shared" si="9"/>
        <v>8226</v>
      </c>
      <c r="BJ230" s="177">
        <f t="shared" ca="1" si="25"/>
        <v>384.14285714285717</v>
      </c>
      <c r="BK230" s="209">
        <f t="shared" si="61"/>
        <v>2274.9392480158695</v>
      </c>
      <c r="BL230" s="179">
        <f t="shared" si="63"/>
        <v>0.13902869458173059</v>
      </c>
      <c r="BM230" s="213">
        <f t="shared" si="64"/>
        <v>1.9732008620721142</v>
      </c>
      <c r="BN230" s="214">
        <f t="shared" ca="1" si="65"/>
        <v>1.6740852275452192</v>
      </c>
      <c r="BO230" s="176">
        <f>DANE!AU230</f>
        <v>201</v>
      </c>
      <c r="BP230" s="188">
        <f t="shared" si="10"/>
        <v>3957</v>
      </c>
      <c r="BQ230" s="177">
        <f t="shared" ca="1" si="26"/>
        <v>158.42857142857142</v>
      </c>
      <c r="BR230" s="209">
        <f t="shared" si="78"/>
        <v>941.23305635699603</v>
      </c>
      <c r="BS230" s="179">
        <f t="shared" si="83"/>
        <v>8.9888088939997085E-2</v>
      </c>
      <c r="BT230" s="213">
        <f t="shared" si="84"/>
        <v>1.6292166225799796</v>
      </c>
      <c r="BU230" s="217">
        <f t="shared" ca="1" si="85"/>
        <v>1.5555536365112697</v>
      </c>
      <c r="BV230" s="176">
        <f>DANE!AY230</f>
        <v>547</v>
      </c>
      <c r="BW230" s="188">
        <f t="shared" si="11"/>
        <v>9764</v>
      </c>
      <c r="BX230" s="177">
        <f t="shared" ca="1" si="27"/>
        <v>377.71428571428572</v>
      </c>
      <c r="BY230" s="209">
        <f t="shared" si="69"/>
        <v>2383.1594099074709</v>
      </c>
      <c r="BZ230" s="179">
        <f t="shared" si="71"/>
        <v>0.11248950097307353</v>
      </c>
      <c r="CA230" s="213">
        <f t="shared" si="72"/>
        <v>1.7874265068115147</v>
      </c>
      <c r="CB230" s="214">
        <f t="shared" ca="1" si="73"/>
        <v>1.4200370268802451</v>
      </c>
      <c r="CC230" s="176">
        <f>DANE!BC230</f>
        <v>769</v>
      </c>
      <c r="CD230" s="188">
        <f t="shared" si="12"/>
        <v>28364</v>
      </c>
      <c r="CE230" s="177">
        <f t="shared" ca="1" si="28"/>
        <v>511.42857142857144</v>
      </c>
      <c r="CF230" s="209">
        <f t="shared" si="45"/>
        <v>3161.0214641272532</v>
      </c>
      <c r="CG230" s="179">
        <f t="shared" si="46"/>
        <v>0.13270177959732213</v>
      </c>
      <c r="CH230" s="213">
        <f t="shared" si="47"/>
        <v>1.928912457181255</v>
      </c>
      <c r="CI230" s="217">
        <f t="shared" ca="1" si="48"/>
        <v>1.6974871041478428</v>
      </c>
      <c r="CJ230" s="176">
        <f>DANE!BG230</f>
        <v>314</v>
      </c>
      <c r="CK230" s="188">
        <f t="shared" si="13"/>
        <v>4637</v>
      </c>
      <c r="CL230" s="177">
        <f t="shared" ca="1" si="29"/>
        <v>218.57142857142858</v>
      </c>
      <c r="CM230" s="209">
        <f t="shared" si="79"/>
        <v>1325.0823388132119</v>
      </c>
      <c r="CN230" s="179">
        <f t="shared" si="86"/>
        <v>0.12333567528541488</v>
      </c>
      <c r="CO230" s="213">
        <f t="shared" si="87"/>
        <v>1.8633497269979042</v>
      </c>
      <c r="CP230" s="214">
        <f t="shared" ca="1" si="88"/>
        <v>1.6368718688408515</v>
      </c>
      <c r="CQ230" s="176">
        <f>DANE!BK230</f>
        <v>181</v>
      </c>
      <c r="CR230" s="188">
        <f t="shared" si="14"/>
        <v>3287</v>
      </c>
      <c r="CS230" s="177">
        <f t="shared" ca="1" si="30"/>
        <v>133.71428571428572</v>
      </c>
      <c r="CT230" s="209">
        <f t="shared" si="89"/>
        <v>842.53764228381908</v>
      </c>
      <c r="CU230" s="179">
        <f t="shared" si="90"/>
        <v>9.1661419997813104E-2</v>
      </c>
      <c r="CV230" s="213">
        <f t="shared" si="91"/>
        <v>1.6416299399846919</v>
      </c>
      <c r="CW230" s="217">
        <f t="shared" ca="1" si="92"/>
        <v>1.5454171686180433</v>
      </c>
      <c r="CX230" s="176">
        <f>DANE!BO230</f>
        <v>592</v>
      </c>
      <c r="CY230" s="188">
        <f t="shared" si="15"/>
        <v>13581</v>
      </c>
      <c r="CZ230" s="177">
        <f t="shared" ca="1" si="31"/>
        <v>505.57142857142856</v>
      </c>
      <c r="DA230" s="209">
        <f t="shared" si="54"/>
        <v>3065.9912441773836</v>
      </c>
      <c r="DB230" s="179">
        <f t="shared" si="58"/>
        <v>6.2248098571185122E-2</v>
      </c>
      <c r="DC230" s="213">
        <f t="shared" si="59"/>
        <v>1.435736689998296</v>
      </c>
      <c r="DD230" s="214">
        <f t="shared" ca="1" si="60"/>
        <v>1.6404590547681845</v>
      </c>
      <c r="DE230" s="176">
        <f>DANE!BS230</f>
        <v>311</v>
      </c>
      <c r="DF230" s="188">
        <f t="shared" si="16"/>
        <v>3884</v>
      </c>
      <c r="DG230" s="177">
        <f t="shared" ca="1" si="32"/>
        <v>176.71428571428572</v>
      </c>
      <c r="DH230" s="209">
        <f t="shared" si="70"/>
        <v>1087.7475894936983</v>
      </c>
      <c r="DI230" s="179">
        <f t="shared" si="74"/>
        <v>0.20033211473062248</v>
      </c>
      <c r="DJ230" s="157">
        <f t="shared" si="75"/>
        <v>2.4023248031143574</v>
      </c>
      <c r="DK230" s="225">
        <f t="shared" ca="1" si="76"/>
        <v>1.614783200950926</v>
      </c>
      <c r="DL230" s="226"/>
      <c r="DM230" s="380"/>
      <c r="DN230" s="372"/>
      <c r="DO230" s="372"/>
      <c r="DP230" s="372"/>
      <c r="DQ230" s="372"/>
      <c r="DR230" s="372"/>
      <c r="DS230" s="372"/>
      <c r="DT230" s="88"/>
      <c r="DU230" s="88"/>
      <c r="DV230" s="88"/>
      <c r="DW230" s="226"/>
      <c r="DX230" s="226"/>
      <c r="DY230" s="226"/>
      <c r="DZ230" s="226"/>
      <c r="EA230" s="226"/>
      <c r="EB230" s="226"/>
      <c r="EC230" s="226"/>
      <c r="ED230" s="226"/>
      <c r="EE230" s="226"/>
      <c r="EF230" s="226"/>
      <c r="EG230" s="226"/>
      <c r="EH230" s="226"/>
    </row>
    <row r="231" spans="1:138" x14ac:dyDescent="0.25">
      <c r="A231" s="61">
        <v>44121</v>
      </c>
      <c r="B231" s="62">
        <f t="shared" ca="1" si="98"/>
        <v>44121</v>
      </c>
      <c r="C231" s="12">
        <f t="shared" si="93"/>
        <v>228</v>
      </c>
      <c r="D231" s="176">
        <f>DANE!K231</f>
        <v>524</v>
      </c>
      <c r="E231" s="198">
        <f t="shared" si="1"/>
        <v>9035</v>
      </c>
      <c r="F231" s="178">
        <f t="shared" ca="1" si="17"/>
        <v>341.28571428571428</v>
      </c>
      <c r="G231" s="211">
        <f t="shared" si="38"/>
        <v>2088.7322051916785</v>
      </c>
      <c r="H231" s="200">
        <f t="shared" si="42"/>
        <v>0.14418421518011793</v>
      </c>
      <c r="I231" s="213">
        <f t="shared" si="43"/>
        <v>2.0092895062608256</v>
      </c>
      <c r="J231" s="214">
        <f t="shared" ca="1" si="44"/>
        <v>1.7283385577153993</v>
      </c>
      <c r="K231" s="176">
        <f>DANE!O231</f>
        <v>470</v>
      </c>
      <c r="L231" s="198">
        <f t="shared" si="2"/>
        <v>7405</v>
      </c>
      <c r="M231" s="177">
        <f t="shared" ca="1" si="18"/>
        <v>335.57142857142856</v>
      </c>
      <c r="N231" s="211">
        <f t="shared" si="62"/>
        <v>2256.0577276671902</v>
      </c>
      <c r="O231" s="200">
        <f t="shared" si="66"/>
        <v>8.2699476403604019E-2</v>
      </c>
      <c r="P231" s="213">
        <f t="shared" si="67"/>
        <v>1.5788963348252283</v>
      </c>
      <c r="Q231" s="217">
        <f t="shared" ca="1" si="68"/>
        <v>1.3157701224520735</v>
      </c>
      <c r="R231" s="176">
        <f>DANE!S231</f>
        <v>429</v>
      </c>
      <c r="S231" s="198">
        <f t="shared" si="3"/>
        <v>6287</v>
      </c>
      <c r="T231" s="177">
        <f t="shared" ca="1" si="19"/>
        <v>304.28571428571428</v>
      </c>
      <c r="U231" s="211">
        <f t="shared" si="50"/>
        <v>1787.6936815042943</v>
      </c>
      <c r="V231" s="200">
        <f t="shared" si="55"/>
        <v>0.12778096396555647</v>
      </c>
      <c r="W231" s="213">
        <f t="shared" si="56"/>
        <v>1.8944667477588952</v>
      </c>
      <c r="X231" s="214">
        <f t="shared" ca="1" si="57"/>
        <v>1.6245238587115334</v>
      </c>
      <c r="Y231" s="176">
        <f>DANE!W231</f>
        <v>157</v>
      </c>
      <c r="Z231" s="198">
        <f t="shared" si="4"/>
        <v>2420</v>
      </c>
      <c r="AA231" s="177">
        <f t="shared" ca="1" si="20"/>
        <v>128.28571428571428</v>
      </c>
      <c r="AB231" s="211">
        <f t="shared" si="94"/>
        <v>750.67481056234647</v>
      </c>
      <c r="AC231" s="200">
        <f t="shared" si="95"/>
        <v>8.3818178677821056E-2</v>
      </c>
      <c r="AD231" s="213">
        <f t="shared" si="96"/>
        <v>1.5867272507447474</v>
      </c>
      <c r="AE231" s="217">
        <f t="shared" ca="1" si="97"/>
        <v>1.9031900059650062</v>
      </c>
      <c r="AF231" s="176">
        <f>DANE!AA231</f>
        <v>821</v>
      </c>
      <c r="AG231" s="198">
        <f t="shared" si="5"/>
        <v>12413</v>
      </c>
      <c r="AH231" s="177">
        <f t="shared" ca="1" si="21"/>
        <v>510.28571428571428</v>
      </c>
      <c r="AI231" s="211">
        <f t="shared" si="37"/>
        <v>3118.2916464127657</v>
      </c>
      <c r="AJ231" s="200">
        <f t="shared" si="39"/>
        <v>0.16346629971191021</v>
      </c>
      <c r="AK231" s="213">
        <f t="shared" si="40"/>
        <v>2.1442640979833714</v>
      </c>
      <c r="AL231" s="214">
        <f t="shared" ca="1" si="41"/>
        <v>1.7861523535489776</v>
      </c>
      <c r="AM231" s="176">
        <f>DANE!AE231</f>
        <v>1254</v>
      </c>
      <c r="AN231" s="198">
        <f t="shared" si="6"/>
        <v>22075</v>
      </c>
      <c r="AO231" s="177">
        <f t="shared" ca="1" si="22"/>
        <v>1010.2857142857143</v>
      </c>
      <c r="AP231" s="211">
        <f t="shared" si="49"/>
        <v>5864.5338821728592</v>
      </c>
      <c r="AQ231" s="200">
        <f t="shared" si="51"/>
        <v>9.027359000943419E-2</v>
      </c>
      <c r="AR231" s="213">
        <f t="shared" si="52"/>
        <v>1.6319151300660395</v>
      </c>
      <c r="AS231" s="217">
        <f t="shared" ca="1" si="53"/>
        <v>1.8276692503708867</v>
      </c>
      <c r="AT231" s="176">
        <f>DANE!AI231</f>
        <v>1485</v>
      </c>
      <c r="AU231" s="198">
        <f t="shared" si="7"/>
        <v>23127</v>
      </c>
      <c r="AV231" s="177">
        <f t="shared" ca="1" si="23"/>
        <v>902.28571428571433</v>
      </c>
      <c r="AW231" s="211">
        <f t="shared" si="33"/>
        <v>5628.2218945106088</v>
      </c>
      <c r="AX231" s="200">
        <f t="shared" si="34"/>
        <v>0.16435718822745651</v>
      </c>
      <c r="AY231" s="213">
        <f t="shared" si="35"/>
        <v>2.1505003175921957</v>
      </c>
      <c r="AZ231" s="214">
        <f t="shared" ca="1" si="36"/>
        <v>1.7260562116005023</v>
      </c>
      <c r="BA231" s="176">
        <f>DANE!AM231</f>
        <v>283</v>
      </c>
      <c r="BB231" s="198">
        <f t="shared" si="8"/>
        <v>4569</v>
      </c>
      <c r="BC231" s="177">
        <f t="shared" ca="1" si="24"/>
        <v>219.42857142857142</v>
      </c>
      <c r="BD231" s="211">
        <f t="shared" si="77"/>
        <v>1243.7451366351056</v>
      </c>
      <c r="BE231" s="200">
        <f t="shared" si="80"/>
        <v>0.10962545561949989</v>
      </c>
      <c r="BF231" s="213">
        <f t="shared" si="81"/>
        <v>1.7673781893364993</v>
      </c>
      <c r="BG231" s="217">
        <f t="shared" ca="1" si="82"/>
        <v>1.9966215201196766</v>
      </c>
      <c r="BH231" s="176">
        <f>DANE!AQ231</f>
        <v>704</v>
      </c>
      <c r="BI231" s="198">
        <f t="shared" si="9"/>
        <v>8930</v>
      </c>
      <c r="BJ231" s="177">
        <f t="shared" ca="1" si="25"/>
        <v>435.14285714285717</v>
      </c>
      <c r="BK231" s="211">
        <f t="shared" si="61"/>
        <v>2653.9479268707455</v>
      </c>
      <c r="BL231" s="200">
        <f t="shared" si="63"/>
        <v>0.16660167043380852</v>
      </c>
      <c r="BM231" s="213">
        <f t="shared" si="64"/>
        <v>2.1662116930366597</v>
      </c>
      <c r="BN231" s="214">
        <f t="shared" ca="1" si="65"/>
        <v>1.694243132083187</v>
      </c>
      <c r="BO231" s="176">
        <f>DANE!AU231</f>
        <v>149</v>
      </c>
      <c r="BP231" s="198">
        <f t="shared" si="10"/>
        <v>4106</v>
      </c>
      <c r="BQ231" s="177">
        <f t="shared" ca="1" si="26"/>
        <v>155.14285714285714</v>
      </c>
      <c r="BR231" s="211">
        <f t="shared" si="78"/>
        <v>955.77119116313952</v>
      </c>
      <c r="BS231" s="200">
        <f t="shared" si="83"/>
        <v>1.5445839590900838E-2</v>
      </c>
      <c r="BT231" s="213">
        <f t="shared" si="84"/>
        <v>1.1081208771363058</v>
      </c>
      <c r="BU231" s="217">
        <f t="shared" ca="1" si="85"/>
        <v>1.4040845351716702</v>
      </c>
      <c r="BV231" s="176">
        <f>DANE!AY231</f>
        <v>563</v>
      </c>
      <c r="BW231" s="198">
        <f t="shared" si="11"/>
        <v>10327</v>
      </c>
      <c r="BX231" s="177">
        <f t="shared" ca="1" si="27"/>
        <v>406.42857142857144</v>
      </c>
      <c r="BY231" s="211">
        <f t="shared" si="69"/>
        <v>2605.7080656349754</v>
      </c>
      <c r="BZ231" s="200">
        <f t="shared" si="71"/>
        <v>9.3383873022638106E-2</v>
      </c>
      <c r="CA231" s="213">
        <f t="shared" si="72"/>
        <v>1.6536871111584668</v>
      </c>
      <c r="CB231" s="214">
        <f t="shared" ca="1" si="73"/>
        <v>1.4286611146826467</v>
      </c>
      <c r="CC231" s="176">
        <f>DANE!BC231</f>
        <v>765</v>
      </c>
      <c r="CD231" s="198">
        <f t="shared" si="12"/>
        <v>29129</v>
      </c>
      <c r="CE231" s="177">
        <f t="shared" ca="1" si="28"/>
        <v>561.85714285714289</v>
      </c>
      <c r="CF231" s="211">
        <f t="shared" si="45"/>
        <v>3474.4469692519315</v>
      </c>
      <c r="CG231" s="200">
        <f t="shared" si="46"/>
        <v>9.9153235332811604E-2</v>
      </c>
      <c r="CH231" s="213">
        <f t="shared" si="47"/>
        <v>1.6940726473296812</v>
      </c>
      <c r="CI231" s="217">
        <f t="shared" ca="1" si="48"/>
        <v>1.6890151809824505</v>
      </c>
      <c r="CJ231" s="176">
        <f>DANE!BG231</f>
        <v>396</v>
      </c>
      <c r="CK231" s="198">
        <f t="shared" si="13"/>
        <v>5033</v>
      </c>
      <c r="CL231" s="177">
        <f t="shared" ca="1" si="29"/>
        <v>244</v>
      </c>
      <c r="CM231" s="211">
        <f t="shared" si="79"/>
        <v>1531.7848618398959</v>
      </c>
      <c r="CN231" s="200">
        <f t="shared" si="86"/>
        <v>0.15599221042506214</v>
      </c>
      <c r="CO231" s="213">
        <f t="shared" si="87"/>
        <v>2.0919454729754348</v>
      </c>
      <c r="CP231" s="214">
        <f t="shared" ca="1" si="88"/>
        <v>1.6360179263156662</v>
      </c>
      <c r="CQ231" s="176">
        <f>DANE!BK231</f>
        <v>224</v>
      </c>
      <c r="CR231" s="198">
        <f t="shared" si="14"/>
        <v>3511</v>
      </c>
      <c r="CS231" s="177">
        <f t="shared" ca="1" si="30"/>
        <v>150</v>
      </c>
      <c r="CT231" s="211">
        <f t="shared" si="89"/>
        <v>946.17512195755921</v>
      </c>
      <c r="CU231" s="200">
        <f t="shared" si="90"/>
        <v>0.1230063494763461</v>
      </c>
      <c r="CV231" s="213">
        <f t="shared" si="91"/>
        <v>1.8610444463344229</v>
      </c>
      <c r="CW231" s="217">
        <f t="shared" ca="1" si="92"/>
        <v>1.5938989644368764</v>
      </c>
      <c r="CX231" s="176">
        <f>DANE!BO231</f>
        <v>1058</v>
      </c>
      <c r="CY231" s="198">
        <f t="shared" si="15"/>
        <v>14639</v>
      </c>
      <c r="CZ231" s="177">
        <f t="shared" ca="1" si="31"/>
        <v>605.28571428571433</v>
      </c>
      <c r="DA231" s="211">
        <f t="shared" si="54"/>
        <v>3685.9924950091863</v>
      </c>
      <c r="DB231" s="200">
        <f t="shared" si="58"/>
        <v>0.20221885891202251</v>
      </c>
      <c r="DC231" s="213">
        <f t="shared" si="59"/>
        <v>2.4155320123841575</v>
      </c>
      <c r="DD231" s="214">
        <f t="shared" ca="1" si="60"/>
        <v>1.7708741297670945</v>
      </c>
      <c r="DE231" s="176">
        <f>DANE!BS231</f>
        <v>340</v>
      </c>
      <c r="DF231" s="198">
        <f t="shared" si="16"/>
        <v>4224</v>
      </c>
      <c r="DG231" s="177">
        <f t="shared" ca="1" si="32"/>
        <v>203.57142857142858</v>
      </c>
      <c r="DH231" s="211">
        <f t="shared" si="70"/>
        <v>1272.3550767088843</v>
      </c>
      <c r="DI231" s="200">
        <f t="shared" si="74"/>
        <v>0.16971537238810444</v>
      </c>
      <c r="DJ231" s="157">
        <f t="shared" si="75"/>
        <v>2.1880076067167309</v>
      </c>
      <c r="DK231" s="225">
        <f t="shared" ca="1" si="76"/>
        <v>1.6774726497042884</v>
      </c>
      <c r="DL231" s="50"/>
      <c r="DM231" s="380"/>
      <c r="DN231" s="372"/>
      <c r="DO231" s="372"/>
      <c r="DP231" s="372"/>
      <c r="DQ231" s="372"/>
      <c r="DR231" s="372"/>
      <c r="DS231" s="372"/>
      <c r="DT231" s="88"/>
      <c r="DU231" s="88"/>
      <c r="DV231" s="88"/>
      <c r="DW231" s="50"/>
      <c r="DX231" s="50"/>
      <c r="DY231" s="50"/>
      <c r="DZ231" s="50"/>
      <c r="EA231" s="50"/>
      <c r="EB231" s="50"/>
      <c r="EC231" s="50"/>
      <c r="ED231" s="50"/>
      <c r="EE231" s="50"/>
      <c r="EF231" s="50"/>
      <c r="EG231" s="50"/>
      <c r="EH231" s="50"/>
    </row>
    <row r="232" spans="1:138" x14ac:dyDescent="0.25">
      <c r="A232" s="61">
        <v>44122</v>
      </c>
      <c r="B232" s="62">
        <f t="shared" ca="1" si="98"/>
        <v>44122</v>
      </c>
      <c r="C232" s="12">
        <f t="shared" si="93"/>
        <v>229</v>
      </c>
      <c r="D232" s="176">
        <f>DANE!K232</f>
        <v>369</v>
      </c>
      <c r="E232" s="198">
        <f t="shared" si="1"/>
        <v>9404</v>
      </c>
      <c r="F232" s="178">
        <f t="shared" ca="1" si="17"/>
        <v>367.42857142857144</v>
      </c>
      <c r="G232" s="211">
        <f t="shared" si="38"/>
        <v>2159.3418901642963</v>
      </c>
      <c r="H232" s="200">
        <f t="shared" si="42"/>
        <v>3.3805044417428341E-2</v>
      </c>
      <c r="I232" s="213">
        <f t="shared" si="43"/>
        <v>1.2366353109219985</v>
      </c>
      <c r="J232" s="214">
        <f t="shared" ca="1" si="44"/>
        <v>1.7280384020824466</v>
      </c>
      <c r="K232" s="176">
        <f>DANE!O232</f>
        <v>523</v>
      </c>
      <c r="L232" s="198">
        <f t="shared" si="2"/>
        <v>7928</v>
      </c>
      <c r="M232" s="177">
        <f t="shared" ca="1" si="18"/>
        <v>390.85714285714283</v>
      </c>
      <c r="N232" s="211">
        <f t="shared" si="62"/>
        <v>2456.7637665718776</v>
      </c>
      <c r="O232" s="200">
        <f t="shared" si="66"/>
        <v>8.896316634247721E-2</v>
      </c>
      <c r="P232" s="213">
        <f t="shared" si="67"/>
        <v>1.6227421643973405</v>
      </c>
      <c r="Q232" s="217">
        <f t="shared" ca="1" si="68"/>
        <v>1.4662043936226998</v>
      </c>
      <c r="R232" s="176">
        <f>DANE!S232</f>
        <v>580</v>
      </c>
      <c r="S232" s="198">
        <f t="shared" si="3"/>
        <v>6867</v>
      </c>
      <c r="T232" s="177">
        <f t="shared" ca="1" si="19"/>
        <v>343.71428571428572</v>
      </c>
      <c r="U232" s="211">
        <f t="shared" si="50"/>
        <v>2112.3088698608235</v>
      </c>
      <c r="V232" s="200">
        <f t="shared" si="55"/>
        <v>0.1815832274371382</v>
      </c>
      <c r="W232" s="213">
        <f t="shared" si="56"/>
        <v>2.2710825920599675</v>
      </c>
      <c r="X232" s="214">
        <f t="shared" ca="1" si="57"/>
        <v>1.6439023388210712</v>
      </c>
      <c r="Y232" s="176">
        <f>DANE!W232</f>
        <v>169</v>
      </c>
      <c r="Z232" s="198">
        <f t="shared" si="4"/>
        <v>2589</v>
      </c>
      <c r="AA232" s="177">
        <f t="shared" ca="1" si="20"/>
        <v>139</v>
      </c>
      <c r="AB232" s="211">
        <f t="shared" si="94"/>
        <v>812.43555191058272</v>
      </c>
      <c r="AC232" s="200">
        <f t="shared" si="95"/>
        <v>8.2273629645265398E-2</v>
      </c>
      <c r="AD232" s="213">
        <f t="shared" si="96"/>
        <v>1.5759154075168578</v>
      </c>
      <c r="AE232" s="217">
        <f t="shared" ca="1" si="97"/>
        <v>1.8481469780182593</v>
      </c>
      <c r="AF232" s="176">
        <f>DANE!AA232</f>
        <v>584</v>
      </c>
      <c r="AG232" s="198">
        <f t="shared" si="5"/>
        <v>12997</v>
      </c>
      <c r="AH232" s="177">
        <f t="shared" ca="1" si="21"/>
        <v>548.85714285714289</v>
      </c>
      <c r="AI232" s="211">
        <f t="shared" si="37"/>
        <v>3256.8214112109422</v>
      </c>
      <c r="AJ232" s="200">
        <f t="shared" si="39"/>
        <v>4.4424890454854989E-2</v>
      </c>
      <c r="AK232" s="213">
        <f t="shared" si="40"/>
        <v>1.3109742331839849</v>
      </c>
      <c r="AL232" s="214">
        <f t="shared" ca="1" si="41"/>
        <v>1.7629492936593769</v>
      </c>
      <c r="AM232" s="176">
        <f>DANE!AE232</f>
        <v>934</v>
      </c>
      <c r="AN232" s="198">
        <f t="shared" si="6"/>
        <v>23009</v>
      </c>
      <c r="AO232" s="177">
        <f t="shared" ca="1" si="22"/>
        <v>1045.8571428571429</v>
      </c>
      <c r="AP232" s="211">
        <f t="shared" si="49"/>
        <v>5960.7433275767371</v>
      </c>
      <c r="AQ232" s="200">
        <f t="shared" si="51"/>
        <v>1.6405301314114242E-2</v>
      </c>
      <c r="AR232" s="213">
        <f t="shared" si="52"/>
        <v>1.1148371091987996</v>
      </c>
      <c r="AS232" s="217">
        <f t="shared" ca="1" si="53"/>
        <v>1.7323101542930284</v>
      </c>
      <c r="AT232" s="176">
        <f>DANE!AI232</f>
        <v>1342</v>
      </c>
      <c r="AU232" s="198">
        <f t="shared" si="7"/>
        <v>24469</v>
      </c>
      <c r="AV232" s="177">
        <f t="shared" ca="1" si="23"/>
        <v>1032.1428571428571</v>
      </c>
      <c r="AW232" s="211">
        <f t="shared" si="33"/>
        <v>6166.1901952948083</v>
      </c>
      <c r="AX232" s="200">
        <f t="shared" si="34"/>
        <v>9.5584060271130714E-2</v>
      </c>
      <c r="AY232" s="213">
        <f t="shared" si="35"/>
        <v>1.6690884218979152</v>
      </c>
      <c r="AZ232" s="214">
        <f t="shared" ca="1" si="36"/>
        <v>1.8144660261958596</v>
      </c>
      <c r="BA232" s="176">
        <f>DANE!AM232</f>
        <v>312</v>
      </c>
      <c r="BB232" s="198">
        <f t="shared" si="8"/>
        <v>4881</v>
      </c>
      <c r="BC232" s="177">
        <f t="shared" ca="1" si="24"/>
        <v>246.42857142857142</v>
      </c>
      <c r="BD232" s="211">
        <f t="shared" si="77"/>
        <v>1378.0672599729478</v>
      </c>
      <c r="BE232" s="200">
        <f t="shared" si="80"/>
        <v>0.10799810940466824</v>
      </c>
      <c r="BF232" s="213">
        <f t="shared" si="81"/>
        <v>1.7559867658326778</v>
      </c>
      <c r="BG232" s="217">
        <f t="shared" ca="1" si="82"/>
        <v>1.9982420884909577</v>
      </c>
      <c r="BH232" s="176">
        <f>DANE!AQ232</f>
        <v>721</v>
      </c>
      <c r="BI232" s="198">
        <f t="shared" si="9"/>
        <v>9651</v>
      </c>
      <c r="BJ232" s="177">
        <f t="shared" ca="1" si="25"/>
        <v>493.14285714285717</v>
      </c>
      <c r="BK232" s="211">
        <f t="shared" si="61"/>
        <v>2995.8125087463536</v>
      </c>
      <c r="BL232" s="200">
        <f t="shared" si="63"/>
        <v>0.12881359819244781</v>
      </c>
      <c r="BM232" s="213">
        <f t="shared" si="64"/>
        <v>1.9016951873471348</v>
      </c>
      <c r="BN232" s="214">
        <f t="shared" ca="1" si="65"/>
        <v>1.7368386491880288</v>
      </c>
      <c r="BO232" s="176">
        <f>DANE!AU232</f>
        <v>139</v>
      </c>
      <c r="BP232" s="198">
        <f t="shared" si="10"/>
        <v>4245</v>
      </c>
      <c r="BQ232" s="177">
        <f t="shared" ca="1" si="26"/>
        <v>159.28571428571428</v>
      </c>
      <c r="BR232" s="211">
        <f t="shared" si="78"/>
        <v>958.2324495684054</v>
      </c>
      <c r="BS232" s="200">
        <f t="shared" si="83"/>
        <v>2.5751544177331988E-3</v>
      </c>
      <c r="BT232" s="213">
        <f t="shared" si="84"/>
        <v>1.0180260809241324</v>
      </c>
      <c r="BU232" s="217">
        <f t="shared" ca="1" si="85"/>
        <v>1.379744343778994</v>
      </c>
      <c r="BV232" s="176">
        <f>DANE!AY232</f>
        <v>427</v>
      </c>
      <c r="BW232" s="198">
        <f t="shared" si="11"/>
        <v>10754</v>
      </c>
      <c r="BX232" s="177">
        <f t="shared" ca="1" si="27"/>
        <v>420.14285714285717</v>
      </c>
      <c r="BY232" s="211">
        <f t="shared" si="69"/>
        <v>2660.4640562585505</v>
      </c>
      <c r="BZ232" s="200">
        <f t="shared" si="71"/>
        <v>2.1013862353084386E-2</v>
      </c>
      <c r="CA232" s="213">
        <f t="shared" si="72"/>
        <v>1.1470970364715907</v>
      </c>
      <c r="CB232" s="214">
        <f t="shared" ca="1" si="73"/>
        <v>1.4006694849240338</v>
      </c>
      <c r="CC232" s="176">
        <f>DANE!BC232</f>
        <v>974</v>
      </c>
      <c r="CD232" s="198">
        <f t="shared" si="12"/>
        <v>30103</v>
      </c>
      <c r="CE232" s="177">
        <f t="shared" ca="1" si="28"/>
        <v>650.42857142857144</v>
      </c>
      <c r="CF232" s="211">
        <f t="shared" si="45"/>
        <v>3952.0974022159417</v>
      </c>
      <c r="CG232" s="200">
        <f t="shared" si="46"/>
        <v>0.13747524057529395</v>
      </c>
      <c r="CH232" s="213">
        <f t="shared" si="47"/>
        <v>1.9623266840270577</v>
      </c>
      <c r="CI232" s="217">
        <f t="shared" ca="1" si="48"/>
        <v>1.7750397445228825</v>
      </c>
      <c r="CJ232" s="176">
        <f>DANE!BG232</f>
        <v>211</v>
      </c>
      <c r="CK232" s="198">
        <f t="shared" si="13"/>
        <v>5244</v>
      </c>
      <c r="CL232" s="177">
        <f t="shared" ca="1" si="29"/>
        <v>252.42857142857142</v>
      </c>
      <c r="CM232" s="211">
        <f t="shared" si="79"/>
        <v>1523.9584530056252</v>
      </c>
      <c r="CN232" s="200">
        <f t="shared" si="86"/>
        <v>-5.1093394570240749E-3</v>
      </c>
      <c r="CO232" s="213">
        <f t="shared" si="87"/>
        <v>0.96423462380083147</v>
      </c>
      <c r="CP232" s="214">
        <f t="shared" ca="1" si="88"/>
        <v>1.593130270907452</v>
      </c>
      <c r="CQ232" s="176">
        <f>DANE!BK232</f>
        <v>210</v>
      </c>
      <c r="CR232" s="198">
        <f t="shared" si="14"/>
        <v>3721</v>
      </c>
      <c r="CS232" s="177">
        <f t="shared" ca="1" si="30"/>
        <v>164.85714285714286</v>
      </c>
      <c r="CT232" s="211">
        <f t="shared" si="89"/>
        <v>1021.0072473921937</v>
      </c>
      <c r="CU232" s="200">
        <f t="shared" si="90"/>
        <v>7.9089085834145478E-2</v>
      </c>
      <c r="CV232" s="213">
        <f t="shared" si="91"/>
        <v>1.5536236008390185</v>
      </c>
      <c r="CW232" s="217">
        <f t="shared" ca="1" si="92"/>
        <v>1.6208967325858157</v>
      </c>
      <c r="CX232" s="176">
        <f>DANE!BO232</f>
        <v>724</v>
      </c>
      <c r="CY232" s="198">
        <f t="shared" si="15"/>
        <v>15363</v>
      </c>
      <c r="CZ232" s="177">
        <f t="shared" ca="1" si="31"/>
        <v>654.42857142857144</v>
      </c>
      <c r="DA232" s="211">
        <f t="shared" si="54"/>
        <v>3883.422138579303</v>
      </c>
      <c r="DB232" s="200">
        <f t="shared" si="58"/>
        <v>5.3562139325415162E-2</v>
      </c>
      <c r="DC232" s="213">
        <f t="shared" si="59"/>
        <v>1.3749349752779061</v>
      </c>
      <c r="DD232" s="214">
        <f t="shared" ca="1" si="60"/>
        <v>1.7558866813391398</v>
      </c>
      <c r="DE232" s="176">
        <f>DANE!BS232</f>
        <v>317</v>
      </c>
      <c r="DF232" s="198">
        <f t="shared" si="16"/>
        <v>4541</v>
      </c>
      <c r="DG232" s="177">
        <f t="shared" ca="1" si="32"/>
        <v>226.71428571428572</v>
      </c>
      <c r="DH232" s="211">
        <f t="shared" si="70"/>
        <v>1407.5900657504724</v>
      </c>
      <c r="DI232" s="200">
        <f t="shared" si="74"/>
        <v>0.10628714540235996</v>
      </c>
      <c r="DJ232" s="157">
        <f t="shared" si="75"/>
        <v>1.7440100178165197</v>
      </c>
      <c r="DK232" s="225">
        <f t="shared" ca="1" si="76"/>
        <v>1.6964371710046131</v>
      </c>
      <c r="DL232" s="75"/>
      <c r="DM232" s="380"/>
      <c r="DN232" s="372"/>
      <c r="DO232" s="372"/>
      <c r="DP232" s="372"/>
      <c r="DQ232" s="372"/>
      <c r="DR232" s="372"/>
      <c r="DS232" s="372"/>
      <c r="DT232" s="146"/>
      <c r="DU232" s="146"/>
      <c r="DV232" s="146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</row>
    <row r="233" spans="1:138" x14ac:dyDescent="0.25">
      <c r="A233" s="32">
        <v>44123</v>
      </c>
      <c r="B233" s="33">
        <f t="shared" ca="1" si="98"/>
        <v>44123</v>
      </c>
      <c r="C233" s="51">
        <f t="shared" si="93"/>
        <v>230</v>
      </c>
      <c r="D233" s="176">
        <f>DANE!K233</f>
        <v>406</v>
      </c>
      <c r="E233" s="188">
        <f t="shared" si="1"/>
        <v>9810</v>
      </c>
      <c r="F233" s="178">
        <f t="shared" ca="1" si="17"/>
        <v>397</v>
      </c>
      <c r="G233" s="209">
        <f t="shared" si="38"/>
        <v>2256.8644772836824</v>
      </c>
      <c r="H233" s="179">
        <f t="shared" si="42"/>
        <v>4.5163106205458735E-2</v>
      </c>
      <c r="I233" s="213">
        <f t="shared" si="43"/>
        <v>1.3161417434382112</v>
      </c>
      <c r="J233" s="214">
        <f t="shared" ca="1" si="44"/>
        <v>1.73297217339316</v>
      </c>
      <c r="K233" s="176">
        <f>DANE!O233</f>
        <v>473</v>
      </c>
      <c r="L233" s="188">
        <f t="shared" si="2"/>
        <v>8401</v>
      </c>
      <c r="M233" s="177">
        <f t="shared" ca="1" si="18"/>
        <v>421.57142857142856</v>
      </c>
      <c r="N233" s="209">
        <f t="shared" si="62"/>
        <v>2578.7975142044666</v>
      </c>
      <c r="O233" s="179">
        <f t="shared" si="66"/>
        <v>4.9672560826990952E-2</v>
      </c>
      <c r="P233" s="213">
        <f t="shared" si="67"/>
        <v>1.3477079257889366</v>
      </c>
      <c r="Q233" s="217">
        <f t="shared" ca="1" si="68"/>
        <v>1.4942275995854906</v>
      </c>
      <c r="R233" s="176">
        <f>DANE!S233</f>
        <v>526</v>
      </c>
      <c r="S233" s="188">
        <f t="shared" si="3"/>
        <v>7393</v>
      </c>
      <c r="T233" s="177">
        <f t="shared" ca="1" si="19"/>
        <v>364.71428571428572</v>
      </c>
      <c r="U233" s="209">
        <f t="shared" si="50"/>
        <v>2336.5504598807061</v>
      </c>
      <c r="V233" s="179">
        <f t="shared" si="55"/>
        <v>0.1061594699617284</v>
      </c>
      <c r="W233" s="213">
        <f t="shared" si="56"/>
        <v>1.7431162897320989</v>
      </c>
      <c r="X233" s="214">
        <f t="shared" ca="1" si="57"/>
        <v>1.5656755200968895</v>
      </c>
      <c r="Y233" s="176">
        <f>DANE!W233</f>
        <v>93</v>
      </c>
      <c r="Z233" s="188">
        <f t="shared" si="4"/>
        <v>2682</v>
      </c>
      <c r="AA233" s="177">
        <f t="shared" ca="1" si="20"/>
        <v>150.28571428571428</v>
      </c>
      <c r="AB233" s="209">
        <f t="shared" si="94"/>
        <v>789.3733302090709</v>
      </c>
      <c r="AC233" s="179">
        <f t="shared" si="95"/>
        <v>-2.8386524503115372E-2</v>
      </c>
      <c r="AD233" s="213">
        <f t="shared" si="96"/>
        <v>0.80129432847819237</v>
      </c>
      <c r="AE233" s="217">
        <f t="shared" ca="1" si="97"/>
        <v>1.9259277153665855</v>
      </c>
      <c r="AF233" s="176">
        <f>DANE!AA233</f>
        <v>679</v>
      </c>
      <c r="AG233" s="188">
        <f t="shared" si="5"/>
        <v>13676</v>
      </c>
      <c r="AH233" s="177">
        <f t="shared" ca="1" si="21"/>
        <v>596.71428571428567</v>
      </c>
      <c r="AI233" s="209">
        <f t="shared" si="37"/>
        <v>3470.5612096093791</v>
      </c>
      <c r="AJ233" s="179">
        <f t="shared" si="39"/>
        <v>6.5628344760532892E-2</v>
      </c>
      <c r="AK233" s="213">
        <f t="shared" si="40"/>
        <v>1.4593984133237303</v>
      </c>
      <c r="AL233" s="214">
        <f t="shared" ca="1" si="41"/>
        <v>1.7554464925862734</v>
      </c>
      <c r="AM233" s="176">
        <f>DANE!AE233</f>
        <v>1201</v>
      </c>
      <c r="AN233" s="188">
        <f t="shared" si="6"/>
        <v>24210</v>
      </c>
      <c r="AO233" s="177">
        <f t="shared" ca="1" si="22"/>
        <v>1118.8571428571429</v>
      </c>
      <c r="AP233" s="209">
        <f t="shared" si="49"/>
        <v>6310.2085664943461</v>
      </c>
      <c r="AQ233" s="179">
        <f t="shared" si="51"/>
        <v>5.8627795177968102E-2</v>
      </c>
      <c r="AR233" s="213">
        <f t="shared" si="52"/>
        <v>1.4103945662457766</v>
      </c>
      <c r="AS233" s="217">
        <f t="shared" ca="1" si="53"/>
        <v>1.7030986495930982</v>
      </c>
      <c r="AT233" s="176">
        <f>DANE!AI233</f>
        <v>849</v>
      </c>
      <c r="AU233" s="188">
        <f t="shared" si="7"/>
        <v>25318</v>
      </c>
      <c r="AV233" s="177">
        <f t="shared" ca="1" si="23"/>
        <v>1090.4285714285713</v>
      </c>
      <c r="AW233" s="209">
        <f t="shared" si="33"/>
        <v>6134.3058816812645</v>
      </c>
      <c r="AX233" s="179">
        <f t="shared" si="34"/>
        <v>-5.1708287619596166E-3</v>
      </c>
      <c r="AY233" s="213">
        <f t="shared" si="35"/>
        <v>0.96380419866628264</v>
      </c>
      <c r="AZ233" s="214">
        <f t="shared" ca="1" si="36"/>
        <v>1.8004374491465602</v>
      </c>
      <c r="BA233" s="176">
        <f>DANE!AM233</f>
        <v>348</v>
      </c>
      <c r="BB233" s="188">
        <f t="shared" si="8"/>
        <v>5229</v>
      </c>
      <c r="BC233" s="177">
        <f t="shared" ca="1" si="24"/>
        <v>274.28571428571428</v>
      </c>
      <c r="BD233" s="209">
        <f t="shared" si="77"/>
        <v>1529.200508548241</v>
      </c>
      <c r="BE233" s="179">
        <f t="shared" si="80"/>
        <v>0.10967044422654673</v>
      </c>
      <c r="BF233" s="213">
        <f t="shared" si="81"/>
        <v>1.767693109585827</v>
      </c>
      <c r="BG233" s="217">
        <f t="shared" ca="1" si="82"/>
        <v>1.9705546317196061</v>
      </c>
      <c r="BH233" s="176">
        <f>DANE!AQ233</f>
        <v>458</v>
      </c>
      <c r="BI233" s="188">
        <f t="shared" si="9"/>
        <v>10109</v>
      </c>
      <c r="BJ233" s="177">
        <f t="shared" ca="1" si="25"/>
        <v>510.85714285714283</v>
      </c>
      <c r="BK233" s="209">
        <f t="shared" si="61"/>
        <v>3025.8392932111606</v>
      </c>
      <c r="BL233" s="179">
        <f t="shared" si="63"/>
        <v>1.0022918449383252E-2</v>
      </c>
      <c r="BM233" s="213">
        <f t="shared" si="64"/>
        <v>1.0701604291456828</v>
      </c>
      <c r="BN233" s="214">
        <f t="shared" ca="1" si="65"/>
        <v>1.6661057326737969</v>
      </c>
      <c r="BO233" s="176">
        <f>DANE!AU233</f>
        <v>283</v>
      </c>
      <c r="BP233" s="188">
        <f t="shared" si="10"/>
        <v>4528</v>
      </c>
      <c r="BQ233" s="177">
        <f t="shared" ca="1" si="26"/>
        <v>181.14285714285714</v>
      </c>
      <c r="BR233" s="209">
        <f t="shared" si="78"/>
        <v>1104.342099630062</v>
      </c>
      <c r="BS233" s="179">
        <f t="shared" si="83"/>
        <v>0.15247829493508111</v>
      </c>
      <c r="BT233" s="213">
        <f t="shared" si="84"/>
        <v>2.067348064545568</v>
      </c>
      <c r="BU233" s="217">
        <f t="shared" ca="1" si="85"/>
        <v>1.4796983271033279</v>
      </c>
      <c r="BV233" s="176">
        <f>DANE!AY233</f>
        <v>481</v>
      </c>
      <c r="BW233" s="188">
        <f t="shared" si="11"/>
        <v>11235</v>
      </c>
      <c r="BX233" s="177">
        <f t="shared" ca="1" si="27"/>
        <v>448.28571428571428</v>
      </c>
      <c r="BY233" s="209">
        <f t="shared" si="69"/>
        <v>2761.3977625073294</v>
      </c>
      <c r="BZ233" s="179">
        <f t="shared" si="71"/>
        <v>3.7938383723448398E-2</v>
      </c>
      <c r="CA233" s="213">
        <f t="shared" si="72"/>
        <v>1.2655686860641389</v>
      </c>
      <c r="CB233" s="214">
        <f t="shared" ca="1" si="73"/>
        <v>1.4245360904150661</v>
      </c>
      <c r="CC233" s="176">
        <f>DANE!BC233</f>
        <v>685</v>
      </c>
      <c r="CD233" s="188">
        <f t="shared" si="12"/>
        <v>30788</v>
      </c>
      <c r="CE233" s="177">
        <f t="shared" ca="1" si="28"/>
        <v>710.85714285714289</v>
      </c>
      <c r="CF233" s="209">
        <f t="shared" si="45"/>
        <v>4072.5120590422362</v>
      </c>
      <c r="CG233" s="179">
        <f t="shared" si="46"/>
        <v>3.0468544818449562E-2</v>
      </c>
      <c r="CH233" s="213">
        <f t="shared" si="47"/>
        <v>1.2132798137291469</v>
      </c>
      <c r="CI233" s="217">
        <f t="shared" ca="1" si="48"/>
        <v>1.8115927375329515</v>
      </c>
      <c r="CJ233" s="176">
        <f>DANE!BG233</f>
        <v>170</v>
      </c>
      <c r="CK233" s="188">
        <f t="shared" si="13"/>
        <v>5414</v>
      </c>
      <c r="CL233" s="177">
        <f t="shared" ca="1" si="29"/>
        <v>250</v>
      </c>
      <c r="CM233" s="209">
        <f t="shared" si="79"/>
        <v>1476.2501025762504</v>
      </c>
      <c r="CN233" s="179">
        <f t="shared" si="86"/>
        <v>-3.130554532853707E-2</v>
      </c>
      <c r="CO233" s="213">
        <f t="shared" si="87"/>
        <v>0.78086118270024052</v>
      </c>
      <c r="CP233" s="214">
        <f t="shared" ca="1" si="88"/>
        <v>1.4905425416014852</v>
      </c>
      <c r="CQ233" s="176">
        <f>DANE!BK233</f>
        <v>190</v>
      </c>
      <c r="CR233" s="188">
        <f t="shared" si="14"/>
        <v>3911</v>
      </c>
      <c r="CS233" s="177">
        <f t="shared" ca="1" si="30"/>
        <v>181.57142857142858</v>
      </c>
      <c r="CT233" s="209">
        <f t="shared" si="89"/>
        <v>1065.1490691933091</v>
      </c>
      <c r="CU233" s="179">
        <f t="shared" si="90"/>
        <v>4.3233602811204572E-2</v>
      </c>
      <c r="CV233" s="213">
        <f t="shared" si="91"/>
        <v>1.3026352196784321</v>
      </c>
      <c r="CW233" s="217">
        <f t="shared" ca="1" si="92"/>
        <v>1.6793778721120074</v>
      </c>
      <c r="CX233" s="176">
        <f>DANE!BO233</f>
        <v>423</v>
      </c>
      <c r="CY233" s="188">
        <f t="shared" si="15"/>
        <v>15786</v>
      </c>
      <c r="CZ233" s="177">
        <f t="shared" ca="1" si="31"/>
        <v>639.14285714285711</v>
      </c>
      <c r="DA233" s="209">
        <f t="shared" si="54"/>
        <v>3751.6475473536884</v>
      </c>
      <c r="DB233" s="179">
        <f t="shared" si="58"/>
        <v>-3.3932595150168894E-2</v>
      </c>
      <c r="DC233" s="213">
        <f t="shared" si="59"/>
        <v>0.76247183394881768</v>
      </c>
      <c r="DD233" s="214">
        <f t="shared" ca="1" si="60"/>
        <v>1.5888701223058626</v>
      </c>
      <c r="DE233" s="176">
        <f>DANE!BS233</f>
        <v>217</v>
      </c>
      <c r="DF233" s="188">
        <f t="shared" si="16"/>
        <v>4758</v>
      </c>
      <c r="DG233" s="177">
        <f t="shared" ca="1" si="32"/>
        <v>241.14285714285714</v>
      </c>
      <c r="DH233" s="209">
        <f t="shared" si="70"/>
        <v>1423.5057706432622</v>
      </c>
      <c r="DI233" s="179">
        <f t="shared" si="74"/>
        <v>1.1307059690211833E-2</v>
      </c>
      <c r="DJ233" s="157">
        <f t="shared" si="75"/>
        <v>1.0791494178314829</v>
      </c>
      <c r="DK233" s="225">
        <f t="shared" ca="1" si="76"/>
        <v>1.6921722525971785</v>
      </c>
      <c r="DL233" s="75"/>
      <c r="DM233" s="88"/>
      <c r="DN233" s="88"/>
      <c r="DO233" s="88"/>
      <c r="DP233" s="88"/>
      <c r="DQ233" s="88"/>
      <c r="DR233" s="88"/>
      <c r="DS233" s="88"/>
      <c r="DT233" s="88"/>
      <c r="DU233" s="88"/>
      <c r="DV233" s="88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</row>
    <row r="234" spans="1:138" x14ac:dyDescent="0.25">
      <c r="A234" s="32">
        <v>44124</v>
      </c>
      <c r="B234" s="33">
        <f t="shared" ca="1" si="98"/>
        <v>44124</v>
      </c>
      <c r="C234" s="51">
        <f t="shared" si="93"/>
        <v>231</v>
      </c>
      <c r="D234" s="176">
        <f>DANE!K234</f>
        <v>567</v>
      </c>
      <c r="E234" s="188">
        <f t="shared" si="1"/>
        <v>10377</v>
      </c>
      <c r="F234" s="178">
        <f t="shared" ca="1" si="17"/>
        <v>429.14285714285717</v>
      </c>
      <c r="G234" s="209">
        <f t="shared" si="38"/>
        <v>2501.4552662431565</v>
      </c>
      <c r="H234" s="179">
        <f t="shared" si="42"/>
        <v>0.108376374133842</v>
      </c>
      <c r="I234" s="213">
        <f t="shared" si="43"/>
        <v>1.758634618936894</v>
      </c>
      <c r="J234" s="214">
        <f t="shared" ca="1" si="44"/>
        <v>1.681723226119993</v>
      </c>
      <c r="K234" s="176">
        <f>DANE!O234</f>
        <v>446</v>
      </c>
      <c r="L234" s="188">
        <f t="shared" si="2"/>
        <v>8847</v>
      </c>
      <c r="M234" s="177">
        <f t="shared" ca="1" si="18"/>
        <v>436.57142857142856</v>
      </c>
      <c r="N234" s="209">
        <f t="shared" si="62"/>
        <v>2656.3978693181143</v>
      </c>
      <c r="O234" s="179">
        <f t="shared" si="66"/>
        <v>3.0091682144957669E-2</v>
      </c>
      <c r="P234" s="213">
        <f t="shared" si="67"/>
        <v>1.2106417750147036</v>
      </c>
      <c r="Q234" s="217">
        <f t="shared" ca="1" si="68"/>
        <v>1.4543547459225876</v>
      </c>
      <c r="R234" s="176">
        <f>DANE!S234</f>
        <v>219</v>
      </c>
      <c r="S234" s="188">
        <f t="shared" si="3"/>
        <v>7612</v>
      </c>
      <c r="T234" s="177">
        <f t="shared" ca="1" si="19"/>
        <v>372.71428571428572</v>
      </c>
      <c r="U234" s="209">
        <f t="shared" si="50"/>
        <v>2221.7575370406053</v>
      </c>
      <c r="V234" s="179">
        <f t="shared" si="55"/>
        <v>-4.912922909696614E-2</v>
      </c>
      <c r="W234" s="213">
        <f t="shared" si="56"/>
        <v>0.65609539632123703</v>
      </c>
      <c r="X234" s="214">
        <f t="shared" ca="1" si="57"/>
        <v>1.5405734709623871</v>
      </c>
      <c r="Y234" s="176">
        <f>DANE!W234</f>
        <v>228</v>
      </c>
      <c r="Z234" s="188">
        <f t="shared" si="4"/>
        <v>2910</v>
      </c>
      <c r="AA234" s="177">
        <f t="shared" ca="1" si="20"/>
        <v>159.42857142857142</v>
      </c>
      <c r="AB234" s="209">
        <f t="shared" si="94"/>
        <v>904.60571160777511</v>
      </c>
      <c r="AC234" s="179">
        <f t="shared" si="95"/>
        <v>0.14597957264173611</v>
      </c>
      <c r="AD234" s="213">
        <f t="shared" si="96"/>
        <v>2.0218570084921526</v>
      </c>
      <c r="AE234" s="217">
        <f t="shared" ca="1" si="97"/>
        <v>1.7339185963145975</v>
      </c>
      <c r="AF234" s="176">
        <f>DANE!AA234</f>
        <v>625</v>
      </c>
      <c r="AG234" s="188">
        <f t="shared" si="5"/>
        <v>14301</v>
      </c>
      <c r="AH234" s="177">
        <f t="shared" ca="1" si="21"/>
        <v>636.14285714285711</v>
      </c>
      <c r="AI234" s="209">
        <f t="shared" si="37"/>
        <v>3599.7667510937536</v>
      </c>
      <c r="AJ234" s="179">
        <f t="shared" si="39"/>
        <v>3.7229005247516392E-2</v>
      </c>
      <c r="AK234" s="213">
        <f t="shared" si="40"/>
        <v>1.2606030367326149</v>
      </c>
      <c r="AL234" s="214">
        <f t="shared" ca="1" si="41"/>
        <v>1.7313379770631629</v>
      </c>
      <c r="AM234" s="176">
        <f>DANE!AE234</f>
        <v>1486</v>
      </c>
      <c r="AN234" s="188">
        <f t="shared" si="6"/>
        <v>25696</v>
      </c>
      <c r="AO234" s="177">
        <f t="shared" ca="1" si="22"/>
        <v>1202.8571428571429</v>
      </c>
      <c r="AP234" s="209">
        <f t="shared" si="49"/>
        <v>6894.7501998522966</v>
      </c>
      <c r="AQ234" s="179">
        <f t="shared" si="51"/>
        <v>9.2634280974756164E-2</v>
      </c>
      <c r="AR234" s="213">
        <f t="shared" si="52"/>
        <v>1.6484399668232932</v>
      </c>
      <c r="AS234" s="217">
        <f t="shared" ca="1" si="53"/>
        <v>1.6625936847489453</v>
      </c>
      <c r="AT234" s="176">
        <f>DANE!AI234</f>
        <v>1282</v>
      </c>
      <c r="AU234" s="188">
        <f t="shared" si="7"/>
        <v>26600</v>
      </c>
      <c r="AV234" s="177">
        <f t="shared" ca="1" si="23"/>
        <v>1194.7142857142858</v>
      </c>
      <c r="AW234" s="209">
        <f t="shared" si="33"/>
        <v>6539.9764700125124</v>
      </c>
      <c r="AX234" s="179">
        <f t="shared" si="34"/>
        <v>6.6131457438842856E-2</v>
      </c>
      <c r="AY234" s="213">
        <f t="shared" si="35"/>
        <v>1.4629202020719001</v>
      </c>
      <c r="AZ234" s="214">
        <f t="shared" ca="1" si="36"/>
        <v>1.8211917490415834</v>
      </c>
      <c r="BA234" s="176">
        <f>DANE!AM234</f>
        <v>307</v>
      </c>
      <c r="BB234" s="188">
        <f t="shared" si="8"/>
        <v>5536</v>
      </c>
      <c r="BC234" s="177">
        <f t="shared" ca="1" si="24"/>
        <v>283.71428571428572</v>
      </c>
      <c r="BD234" s="209">
        <f t="shared" si="77"/>
        <v>1617.7432930413495</v>
      </c>
      <c r="BE234" s="179">
        <f t="shared" si="80"/>
        <v>5.7901356949696066E-2</v>
      </c>
      <c r="BF234" s="213">
        <f t="shared" si="81"/>
        <v>1.4053094986478725</v>
      </c>
      <c r="BG234" s="217">
        <f t="shared" ca="1" si="82"/>
        <v>1.7832343390405456</v>
      </c>
      <c r="BH234" s="176">
        <f>DANE!AQ234</f>
        <v>667</v>
      </c>
      <c r="BI234" s="188">
        <f t="shared" si="9"/>
        <v>10776</v>
      </c>
      <c r="BJ234" s="177">
        <f t="shared" ca="1" si="25"/>
        <v>550.28571428571433</v>
      </c>
      <c r="BK234" s="209">
        <f t="shared" si="61"/>
        <v>3260.5765370381378</v>
      </c>
      <c r="BL234" s="179">
        <f t="shared" si="63"/>
        <v>7.7577564794547693E-2</v>
      </c>
      <c r="BM234" s="213">
        <f t="shared" si="64"/>
        <v>1.5430429535618337</v>
      </c>
      <c r="BN234" s="214">
        <f t="shared" ca="1" si="65"/>
        <v>1.6443261810386143</v>
      </c>
      <c r="BO234" s="176">
        <f>DANE!AU234</f>
        <v>209</v>
      </c>
      <c r="BP234" s="188">
        <f t="shared" si="10"/>
        <v>4737</v>
      </c>
      <c r="BQ234" s="177">
        <f t="shared" ca="1" si="26"/>
        <v>184.85714285714286</v>
      </c>
      <c r="BR234" s="209">
        <f t="shared" si="78"/>
        <v>1155.578942540053</v>
      </c>
      <c r="BS234" s="179">
        <f t="shared" si="83"/>
        <v>4.6395806994186543E-2</v>
      </c>
      <c r="BT234" s="213">
        <f t="shared" si="84"/>
        <v>1.3247706489593059</v>
      </c>
      <c r="BU234" s="217">
        <f t="shared" ca="1" si="85"/>
        <v>1.4076395262557335</v>
      </c>
      <c r="BV234" s="176">
        <f>DANE!AY234</f>
        <v>484</v>
      </c>
      <c r="BW234" s="188">
        <f t="shared" si="11"/>
        <v>11719</v>
      </c>
      <c r="BX234" s="177">
        <f t="shared" ca="1" si="27"/>
        <v>472</v>
      </c>
      <c r="BY234" s="209">
        <f t="shared" si="69"/>
        <v>2850.9123678634255</v>
      </c>
      <c r="BZ234" s="179">
        <f t="shared" si="71"/>
        <v>3.2416411199963274E-2</v>
      </c>
      <c r="CA234" s="213">
        <f t="shared" si="72"/>
        <v>1.226914878399743</v>
      </c>
      <c r="CB234" s="214">
        <f t="shared" ca="1" si="73"/>
        <v>1.4265317857818292</v>
      </c>
      <c r="CC234" s="176">
        <f>DANE!BC234</f>
        <v>895</v>
      </c>
      <c r="CD234" s="188">
        <f t="shared" si="12"/>
        <v>31683</v>
      </c>
      <c r="CE234" s="177">
        <f t="shared" ca="1" si="28"/>
        <v>775.71428571428567</v>
      </c>
      <c r="CF234" s="209">
        <f t="shared" si="45"/>
        <v>4385.7246220362031</v>
      </c>
      <c r="CG234" s="179">
        <f t="shared" si="46"/>
        <v>7.6908934449571031E-2</v>
      </c>
      <c r="CH234" s="213">
        <f t="shared" si="47"/>
        <v>1.5383625411469972</v>
      </c>
      <c r="CI234" s="217">
        <f t="shared" ca="1" si="48"/>
        <v>1.7997328638267867</v>
      </c>
      <c r="CJ234" s="176">
        <f>DANE!BG234</f>
        <v>312</v>
      </c>
      <c r="CK234" s="188">
        <f t="shared" si="13"/>
        <v>5726</v>
      </c>
      <c r="CL234" s="177">
        <f t="shared" ca="1" si="29"/>
        <v>277.28571428571428</v>
      </c>
      <c r="CM234" s="209">
        <f t="shared" si="79"/>
        <v>1577.3572307796433</v>
      </c>
      <c r="CN234" s="179">
        <f t="shared" si="86"/>
        <v>6.8489159138378844E-2</v>
      </c>
      <c r="CO234" s="213">
        <f t="shared" si="87"/>
        <v>1.4794241139686519</v>
      </c>
      <c r="CP234" s="214">
        <f t="shared" ca="1" si="88"/>
        <v>1.572547813786809</v>
      </c>
      <c r="CQ234" s="176">
        <f>DANE!BK234</f>
        <v>165</v>
      </c>
      <c r="CR234" s="188">
        <f t="shared" si="14"/>
        <v>4076</v>
      </c>
      <c r="CS234" s="177">
        <f t="shared" ca="1" si="30"/>
        <v>193.85714285714286</v>
      </c>
      <c r="CT234" s="209">
        <f t="shared" si="89"/>
        <v>1077.9849164514078</v>
      </c>
      <c r="CU234" s="179">
        <f t="shared" si="90"/>
        <v>1.2050751983306872E-2</v>
      </c>
      <c r="CV234" s="213">
        <f t="shared" si="91"/>
        <v>1.0843552638831482</v>
      </c>
      <c r="CW234" s="217">
        <f t="shared" ca="1" si="92"/>
        <v>1.6940494415105432</v>
      </c>
      <c r="CX234" s="176">
        <f>DANE!BO234</f>
        <v>1186</v>
      </c>
      <c r="CY234" s="188">
        <f t="shared" si="15"/>
        <v>16972</v>
      </c>
      <c r="CZ234" s="177">
        <f t="shared" ca="1" si="31"/>
        <v>760.85714285714289</v>
      </c>
      <c r="DA234" s="209">
        <f t="shared" si="54"/>
        <v>4401.6978977317331</v>
      </c>
      <c r="DB234" s="179">
        <f t="shared" si="58"/>
        <v>0.17327063434745429</v>
      </c>
      <c r="DC234" s="213">
        <f t="shared" si="59"/>
        <v>2.21289444043218</v>
      </c>
      <c r="DD234" s="214">
        <f t="shared" ca="1" si="60"/>
        <v>1.7515274002809249</v>
      </c>
      <c r="DE234" s="176">
        <f>DANE!BS234</f>
        <v>213</v>
      </c>
      <c r="DF234" s="188">
        <f t="shared" si="16"/>
        <v>4971</v>
      </c>
      <c r="DG234" s="177">
        <f t="shared" ca="1" si="32"/>
        <v>250</v>
      </c>
      <c r="DH234" s="209">
        <f t="shared" si="70"/>
        <v>1433.1478034085105</v>
      </c>
      <c r="DI234" s="179">
        <f t="shared" si="74"/>
        <v>6.7734412912785463E-3</v>
      </c>
      <c r="DJ234" s="157">
        <f t="shared" si="75"/>
        <v>1.0474140890389498</v>
      </c>
      <c r="DK234" s="225">
        <f t="shared" ca="1" si="76"/>
        <v>1.6387340091826805</v>
      </c>
      <c r="DL234" s="146"/>
      <c r="DM234" s="380"/>
      <c r="DN234" s="372"/>
      <c r="DO234" s="372"/>
      <c r="DP234" s="372"/>
      <c r="DQ234" s="372"/>
      <c r="DR234" s="372"/>
      <c r="DS234" s="372"/>
      <c r="DT234" s="88"/>
      <c r="DU234" s="88"/>
      <c r="DV234" s="88"/>
      <c r="DW234" s="146"/>
      <c r="DX234" s="146"/>
      <c r="DY234" s="146"/>
      <c r="DZ234" s="146"/>
      <c r="EA234" s="146"/>
      <c r="EB234" s="146"/>
      <c r="EC234" s="146"/>
      <c r="ED234" s="146"/>
      <c r="EE234" s="146"/>
      <c r="EF234" s="146"/>
      <c r="EG234" s="146"/>
      <c r="EH234" s="146"/>
    </row>
    <row r="235" spans="1:138" x14ac:dyDescent="0.25">
      <c r="A235" s="32">
        <v>44125</v>
      </c>
      <c r="B235" s="33">
        <f t="shared" ca="1" si="98"/>
        <v>44125</v>
      </c>
      <c r="C235" s="51">
        <f t="shared" si="93"/>
        <v>232</v>
      </c>
      <c r="D235" s="176">
        <f>DANE!K235</f>
        <v>462</v>
      </c>
      <c r="E235" s="188">
        <f t="shared" si="1"/>
        <v>10839</v>
      </c>
      <c r="F235" s="178">
        <f t="shared" ca="1" si="17"/>
        <v>450.14285714285717</v>
      </c>
      <c r="G235" s="209">
        <f t="shared" si="38"/>
        <v>2606.1045139227058</v>
      </c>
      <c r="H235" s="179">
        <f t="shared" si="42"/>
        <v>4.1835346444838932E-2</v>
      </c>
      <c r="I235" s="213">
        <f t="shared" si="43"/>
        <v>1.2928474251138726</v>
      </c>
      <c r="J235" s="214">
        <f t="shared" ca="1" si="44"/>
        <v>1.6261637438809036</v>
      </c>
      <c r="K235" s="176">
        <f>DANE!O235</f>
        <v>771</v>
      </c>
      <c r="L235" s="188">
        <f t="shared" si="2"/>
        <v>9618</v>
      </c>
      <c r="M235" s="177">
        <f t="shared" ca="1" si="18"/>
        <v>495.85714285714283</v>
      </c>
      <c r="N235" s="209">
        <f t="shared" si="62"/>
        <v>3047.9124594155269</v>
      </c>
      <c r="O235" s="179">
        <f t="shared" si="66"/>
        <v>0.14738552331315966</v>
      </c>
      <c r="P235" s="213">
        <f t="shared" si="67"/>
        <v>2.0316986631921177</v>
      </c>
      <c r="Q235" s="217">
        <f t="shared" ca="1" si="68"/>
        <v>1.5369425519095767</v>
      </c>
      <c r="R235" s="176">
        <f>DANE!S235</f>
        <v>658</v>
      </c>
      <c r="S235" s="188">
        <f t="shared" si="3"/>
        <v>8270</v>
      </c>
      <c r="T235" s="177">
        <f t="shared" ca="1" si="19"/>
        <v>430.14285714285717</v>
      </c>
      <c r="U235" s="209">
        <f t="shared" si="50"/>
        <v>2562.3636031776618</v>
      </c>
      <c r="V235" s="179">
        <f t="shared" si="55"/>
        <v>0.15330478706994552</v>
      </c>
      <c r="W235" s="213">
        <f t="shared" si="56"/>
        <v>2.0731335094896188</v>
      </c>
      <c r="X235" s="214">
        <f t="shared" ca="1" si="57"/>
        <v>1.6455121930818823</v>
      </c>
      <c r="Y235" s="176">
        <f>DANE!W235</f>
        <v>283</v>
      </c>
      <c r="Z235" s="188">
        <f t="shared" si="4"/>
        <v>3193</v>
      </c>
      <c r="AA235" s="177">
        <f t="shared" ca="1" si="20"/>
        <v>179.14285714285714</v>
      </c>
      <c r="AB235" s="209">
        <f t="shared" si="94"/>
        <v>1058.3763242352359</v>
      </c>
      <c r="AC235" s="179">
        <f t="shared" si="95"/>
        <v>0.16998633841716626</v>
      </c>
      <c r="AD235" s="213">
        <f t="shared" si="96"/>
        <v>2.189904368920164</v>
      </c>
      <c r="AE235" s="217">
        <f t="shared" ca="1" si="97"/>
        <v>1.7290179231985585</v>
      </c>
      <c r="AF235" s="176">
        <f>DANE!AA235</f>
        <v>675</v>
      </c>
      <c r="AG235" s="188">
        <f t="shared" si="5"/>
        <v>14976</v>
      </c>
      <c r="AH235" s="177">
        <f t="shared" ca="1" si="21"/>
        <v>674.71428571428567</v>
      </c>
      <c r="AI235" s="209">
        <f t="shared" si="37"/>
        <v>3760.5143580803606</v>
      </c>
      <c r="AJ235" s="179">
        <f t="shared" si="39"/>
        <v>4.4655006310552053E-2</v>
      </c>
      <c r="AK235" s="213">
        <f t="shared" si="40"/>
        <v>1.3125850441738645</v>
      </c>
      <c r="AL235" s="214">
        <f t="shared" ca="1" si="41"/>
        <v>1.6955852187247802</v>
      </c>
      <c r="AM235" s="176">
        <f>DANE!AE235</f>
        <v>1315</v>
      </c>
      <c r="AN235" s="188">
        <f t="shared" si="6"/>
        <v>27011</v>
      </c>
      <c r="AO235" s="177">
        <f t="shared" ca="1" si="22"/>
        <v>1228.2857142857142</v>
      </c>
      <c r="AP235" s="209">
        <f t="shared" si="49"/>
        <v>7224.785885587683</v>
      </c>
      <c r="AQ235" s="179">
        <f t="shared" si="51"/>
        <v>4.7867678475495244E-2</v>
      </c>
      <c r="AR235" s="213">
        <f t="shared" si="52"/>
        <v>1.3350737493284668</v>
      </c>
      <c r="AS235" s="217">
        <f t="shared" ca="1" si="53"/>
        <v>1.544925694714083</v>
      </c>
      <c r="AT235" s="176">
        <f>DANE!AI235</f>
        <v>1162</v>
      </c>
      <c r="AU235" s="188">
        <f t="shared" si="7"/>
        <v>27762</v>
      </c>
      <c r="AV235" s="177">
        <f t="shared" ca="1" si="23"/>
        <v>1191</v>
      </c>
      <c r="AW235" s="209">
        <f t="shared" si="33"/>
        <v>6767.6941171535827</v>
      </c>
      <c r="AX235" s="179">
        <f t="shared" si="34"/>
        <v>3.4819337376092212E-2</v>
      </c>
      <c r="AY235" s="213">
        <f t="shared" si="35"/>
        <v>1.2437353616326454</v>
      </c>
      <c r="AZ235" s="214">
        <f t="shared" ca="1" si="36"/>
        <v>1.611340198898892</v>
      </c>
      <c r="BA235" s="176">
        <f>DANE!AM235</f>
        <v>362</v>
      </c>
      <c r="BB235" s="188">
        <f t="shared" si="8"/>
        <v>5898</v>
      </c>
      <c r="BC235" s="177">
        <f t="shared" ca="1" si="24"/>
        <v>302.14285714285717</v>
      </c>
      <c r="BD235" s="209">
        <f t="shared" si="77"/>
        <v>1748.6371083211568</v>
      </c>
      <c r="BE235" s="179">
        <f t="shared" si="80"/>
        <v>8.0911363281703105E-2</v>
      </c>
      <c r="BF235" s="213">
        <f t="shared" si="81"/>
        <v>1.5663795429719216</v>
      </c>
      <c r="BG235" s="217">
        <f t="shared" ca="1" si="82"/>
        <v>1.7056938300094724</v>
      </c>
      <c r="BH235" s="176">
        <f>DANE!AQ235</f>
        <v>881</v>
      </c>
      <c r="BI235" s="188">
        <f t="shared" si="9"/>
        <v>11657</v>
      </c>
      <c r="BJ235" s="177">
        <f t="shared" ca="1" si="25"/>
        <v>630.57142857142856</v>
      </c>
      <c r="BK235" s="209">
        <f t="shared" si="61"/>
        <v>3675.7798888898324</v>
      </c>
      <c r="BL235" s="179">
        <f t="shared" si="63"/>
        <v>0.12734047096740123</v>
      </c>
      <c r="BM235" s="213">
        <f t="shared" si="64"/>
        <v>1.8913832967718087</v>
      </c>
      <c r="BN235" s="214">
        <f t="shared" ca="1" si="65"/>
        <v>1.7347713358200461</v>
      </c>
      <c r="BO235" s="176">
        <f>DANE!AU235</f>
        <v>268</v>
      </c>
      <c r="BP235" s="188">
        <f t="shared" si="10"/>
        <v>5005</v>
      </c>
      <c r="BQ235" s="177">
        <f t="shared" ca="1" si="26"/>
        <v>198.28571428571428</v>
      </c>
      <c r="BR235" s="209">
        <f t="shared" si="78"/>
        <v>1258.4962364629027</v>
      </c>
      <c r="BS235" s="179">
        <f t="shared" si="83"/>
        <v>8.9061240330867764E-2</v>
      </c>
      <c r="BT235" s="213">
        <f t="shared" si="84"/>
        <v>1.6234286823160744</v>
      </c>
      <c r="BU235" s="217">
        <f t="shared" ca="1" si="85"/>
        <v>1.4174117880173174</v>
      </c>
      <c r="BV235" s="176">
        <f>DANE!AY235</f>
        <v>548</v>
      </c>
      <c r="BW235" s="188">
        <f t="shared" si="11"/>
        <v>12267</v>
      </c>
      <c r="BX235" s="177">
        <f t="shared" ca="1" si="27"/>
        <v>501.14285714285717</v>
      </c>
      <c r="BY235" s="209">
        <f t="shared" si="69"/>
        <v>2991.6391724543651</v>
      </c>
      <c r="BZ235" s="179">
        <f t="shared" si="71"/>
        <v>4.9362023953196839E-2</v>
      </c>
      <c r="CA235" s="213">
        <f t="shared" si="72"/>
        <v>1.345534167672378</v>
      </c>
      <c r="CB235" s="214">
        <f t="shared" ca="1" si="73"/>
        <v>1.4368395955083262</v>
      </c>
      <c r="CC235" s="176">
        <f>DANE!BC235</f>
        <v>1008</v>
      </c>
      <c r="CD235" s="188">
        <f t="shared" si="12"/>
        <v>32691</v>
      </c>
      <c r="CE235" s="177">
        <f t="shared" ca="1" si="28"/>
        <v>845.42857142857144</v>
      </c>
      <c r="CF235" s="209">
        <f t="shared" si="45"/>
        <v>4767.1925331738885</v>
      </c>
      <c r="CG235" s="179">
        <f t="shared" si="46"/>
        <v>8.6979449010772036E-2</v>
      </c>
      <c r="CH235" s="213">
        <f t="shared" si="47"/>
        <v>1.6088561430754043</v>
      </c>
      <c r="CI235" s="217">
        <f t="shared" ca="1" si="48"/>
        <v>1.7787181885000014</v>
      </c>
      <c r="CJ235" s="176">
        <f>DANE!BG235</f>
        <v>259</v>
      </c>
      <c r="CK235" s="188">
        <f t="shared" si="13"/>
        <v>5985</v>
      </c>
      <c r="CL235" s="177">
        <f t="shared" ca="1" si="29"/>
        <v>277.85714285714283</v>
      </c>
      <c r="CM235" s="209">
        <f t="shared" si="79"/>
        <v>1611.0204835254085</v>
      </c>
      <c r="CN235" s="179">
        <f t="shared" si="86"/>
        <v>2.1341552876469494E-2</v>
      </c>
      <c r="CO235" s="213">
        <f t="shared" si="87"/>
        <v>1.1493908701352864</v>
      </c>
      <c r="CP235" s="214">
        <f t="shared" ca="1" si="88"/>
        <v>1.4604336300866556</v>
      </c>
      <c r="CQ235" s="176">
        <f>DANE!BK235</f>
        <v>348</v>
      </c>
      <c r="CR235" s="188">
        <f t="shared" si="14"/>
        <v>4424</v>
      </c>
      <c r="CS235" s="177">
        <f t="shared" ca="1" si="30"/>
        <v>215.57142857142858</v>
      </c>
      <c r="CT235" s="209">
        <f t="shared" si="89"/>
        <v>1271.9870712440638</v>
      </c>
      <c r="CU235" s="179">
        <f t="shared" si="90"/>
        <v>0.1799674112614553</v>
      </c>
      <c r="CV235" s="213">
        <f t="shared" si="91"/>
        <v>2.259771878830187</v>
      </c>
      <c r="CW235" s="217">
        <f t="shared" ca="1" si="92"/>
        <v>1.6680316449565804</v>
      </c>
      <c r="CX235" s="176">
        <f>DANE!BO235</f>
        <v>755</v>
      </c>
      <c r="CY235" s="188">
        <f t="shared" si="15"/>
        <v>17727</v>
      </c>
      <c r="CZ235" s="177">
        <f t="shared" ca="1" si="31"/>
        <v>796.14285714285711</v>
      </c>
      <c r="DA235" s="209">
        <f t="shared" si="54"/>
        <v>4527.8839123414855</v>
      </c>
      <c r="DB235" s="179">
        <f t="shared" si="58"/>
        <v>2.8667577271665586E-2</v>
      </c>
      <c r="DC235" s="213">
        <f t="shared" si="59"/>
        <v>1.200673040901659</v>
      </c>
      <c r="DD235" s="214">
        <f t="shared" ca="1" si="60"/>
        <v>1.6920812996095644</v>
      </c>
      <c r="DE235" s="176">
        <f>DANE!BS235</f>
        <v>285</v>
      </c>
      <c r="DF235" s="188">
        <f t="shared" si="16"/>
        <v>5256</v>
      </c>
      <c r="DG235" s="177">
        <f t="shared" ca="1" si="32"/>
        <v>265.71428571428572</v>
      </c>
      <c r="DH235" s="209">
        <f t="shared" si="70"/>
        <v>1513.4124029215805</v>
      </c>
      <c r="DI235" s="179">
        <f t="shared" si="74"/>
        <v>5.6005807162508671E-2</v>
      </c>
      <c r="DJ235" s="157">
        <f t="shared" si="75"/>
        <v>1.3920406501375608</v>
      </c>
      <c r="DK235" s="225">
        <f t="shared" ca="1" si="76"/>
        <v>1.6156180175434485</v>
      </c>
      <c r="DL235" s="146"/>
      <c r="DM235" s="380"/>
      <c r="DN235" s="372"/>
      <c r="DO235" s="372"/>
      <c r="DP235" s="372"/>
      <c r="DQ235" s="372"/>
      <c r="DR235" s="372"/>
      <c r="DS235" s="372"/>
      <c r="DT235" s="89"/>
      <c r="DU235" s="89"/>
      <c r="DV235" s="89"/>
      <c r="DW235" s="146"/>
      <c r="DX235" s="146"/>
      <c r="DY235" s="146"/>
      <c r="DZ235" s="146"/>
      <c r="EA235" s="146"/>
      <c r="EB235" s="146"/>
      <c r="EC235" s="146"/>
      <c r="ED235" s="146"/>
      <c r="EE235" s="146"/>
      <c r="EF235" s="146"/>
      <c r="EG235" s="146"/>
      <c r="EH235" s="146"/>
    </row>
    <row r="236" spans="1:138" x14ac:dyDescent="0.25">
      <c r="A236" s="32">
        <v>44126</v>
      </c>
      <c r="B236" s="33">
        <f t="shared" ca="1" si="98"/>
        <v>44126</v>
      </c>
      <c r="C236" s="51">
        <f t="shared" si="93"/>
        <v>233</v>
      </c>
      <c r="D236" s="176">
        <f>DANE!K236</f>
        <v>610</v>
      </c>
      <c r="E236" s="188">
        <f t="shared" si="1"/>
        <v>11449</v>
      </c>
      <c r="F236" s="178">
        <f t="shared" ca="1" si="17"/>
        <v>482.71428571428572</v>
      </c>
      <c r="G236" s="209">
        <f t="shared" si="38"/>
        <v>2843.8038690766052</v>
      </c>
      <c r="H236" s="179">
        <f t="shared" si="42"/>
        <v>9.1208680958122665E-2</v>
      </c>
      <c r="I236" s="213">
        <f t="shared" si="43"/>
        <v>1.6384607667068587</v>
      </c>
      <c r="J236" s="214">
        <f t="shared" ca="1" si="44"/>
        <v>1.5947342537762632</v>
      </c>
      <c r="K236" s="176">
        <f>DANE!O236</f>
        <v>905</v>
      </c>
      <c r="L236" s="188">
        <f t="shared" si="2"/>
        <v>10523</v>
      </c>
      <c r="M236" s="177">
        <f t="shared" ca="1" si="18"/>
        <v>579.71428571428567</v>
      </c>
      <c r="N236" s="209">
        <f t="shared" si="62"/>
        <v>3517.4963937847374</v>
      </c>
      <c r="O236" s="179">
        <f t="shared" si="66"/>
        <v>0.15406739551150322</v>
      </c>
      <c r="P236" s="213">
        <f t="shared" si="67"/>
        <v>2.0784717685805227</v>
      </c>
      <c r="Q236" s="217">
        <f t="shared" ca="1" si="68"/>
        <v>1.6596655018065294</v>
      </c>
      <c r="R236" s="176">
        <f>DANE!S236</f>
        <v>411</v>
      </c>
      <c r="S236" s="188">
        <f t="shared" si="3"/>
        <v>8681</v>
      </c>
      <c r="T236" s="177">
        <f t="shared" ca="1" si="19"/>
        <v>443.85714285714283</v>
      </c>
      <c r="U236" s="209">
        <f t="shared" si="50"/>
        <v>2607.3116598665674</v>
      </c>
      <c r="V236" s="179">
        <f t="shared" si="55"/>
        <v>1.7541638756171912E-2</v>
      </c>
      <c r="W236" s="213">
        <f t="shared" si="56"/>
        <v>1.1227914712932034</v>
      </c>
      <c r="X236" s="214">
        <f t="shared" ca="1" si="57"/>
        <v>1.5814720221685143</v>
      </c>
      <c r="Y236" s="176">
        <f>DANE!W236</f>
        <v>297</v>
      </c>
      <c r="Z236" s="188">
        <f t="shared" si="4"/>
        <v>3490</v>
      </c>
      <c r="AA236" s="177">
        <f t="shared" ca="1" si="20"/>
        <v>196.28571428571428</v>
      </c>
      <c r="AB236" s="209">
        <f t="shared" si="94"/>
        <v>1204.1797064873451</v>
      </c>
      <c r="AC236" s="179">
        <f t="shared" si="95"/>
        <v>0.13776137930661309</v>
      </c>
      <c r="AD236" s="213">
        <f t="shared" si="96"/>
        <v>1.9643296551462917</v>
      </c>
      <c r="AE236" s="217">
        <f t="shared" ca="1" si="97"/>
        <v>1.6795051234153253</v>
      </c>
      <c r="AF236" s="176">
        <f>DANE!AA236</f>
        <v>863</v>
      </c>
      <c r="AG236" s="188">
        <f t="shared" si="5"/>
        <v>15839</v>
      </c>
      <c r="AH236" s="177">
        <f t="shared" ca="1" si="21"/>
        <v>699.28571428571433</v>
      </c>
      <c r="AI236" s="209">
        <f t="shared" si="37"/>
        <v>4086.2980212117377</v>
      </c>
      <c r="AJ236" s="179">
        <f t="shared" si="39"/>
        <v>8.6632740128050126E-2</v>
      </c>
      <c r="AK236" s="213">
        <f t="shared" si="40"/>
        <v>1.6064291808963509</v>
      </c>
      <c r="AL236" s="214">
        <f t="shared" ca="1" si="41"/>
        <v>1.5724966274840815</v>
      </c>
      <c r="AM236" s="176">
        <f>DANE!AE236</f>
        <v>1331</v>
      </c>
      <c r="AN236" s="188">
        <f t="shared" si="6"/>
        <v>28342</v>
      </c>
      <c r="AO236" s="177">
        <f t="shared" ca="1" si="22"/>
        <v>1232.2857142857142</v>
      </c>
      <c r="AP236" s="209">
        <f t="shared" si="49"/>
        <v>7523.6736162180141</v>
      </c>
      <c r="AQ236" s="179">
        <f t="shared" si="51"/>
        <v>4.1369770033817248E-2</v>
      </c>
      <c r="AR236" s="213">
        <f t="shared" si="52"/>
        <v>1.2895883902367207</v>
      </c>
      <c r="AS236" s="217">
        <f t="shared" ca="1" si="53"/>
        <v>1.4259292666915182</v>
      </c>
      <c r="AT236" s="176">
        <f>DANE!AI236</f>
        <v>1579</v>
      </c>
      <c r="AU236" s="188">
        <f t="shared" si="7"/>
        <v>29341</v>
      </c>
      <c r="AV236" s="177">
        <f t="shared" ca="1" si="23"/>
        <v>1230</v>
      </c>
      <c r="AW236" s="209">
        <f t="shared" si="33"/>
        <v>7379.8806718459282</v>
      </c>
      <c r="AX236" s="179">
        <f t="shared" si="34"/>
        <v>9.0457184396186094E-2</v>
      </c>
      <c r="AY236" s="213">
        <f t="shared" si="35"/>
        <v>1.6332002907733028</v>
      </c>
      <c r="AZ236" s="214">
        <f t="shared" ca="1" si="36"/>
        <v>1.5023794106587101</v>
      </c>
      <c r="BA236" s="176">
        <f>DANE!AM236</f>
        <v>404</v>
      </c>
      <c r="BB236" s="188">
        <f t="shared" si="8"/>
        <v>6302</v>
      </c>
      <c r="BC236" s="177">
        <f t="shared" ca="1" si="24"/>
        <v>319.57142857142856</v>
      </c>
      <c r="BD236" s="209">
        <f t="shared" si="77"/>
        <v>1902.8318071324202</v>
      </c>
      <c r="BE236" s="179">
        <f t="shared" si="80"/>
        <v>8.8179930574219398E-2</v>
      </c>
      <c r="BF236" s="213">
        <f t="shared" si="81"/>
        <v>1.6172595140195358</v>
      </c>
      <c r="BG236" s="217">
        <f t="shared" ca="1" si="82"/>
        <v>1.6219362718353996</v>
      </c>
      <c r="BH236" s="176">
        <f>DANE!AQ236</f>
        <v>777</v>
      </c>
      <c r="BI236" s="188">
        <f t="shared" si="9"/>
        <v>12434</v>
      </c>
      <c r="BJ236" s="177">
        <f t="shared" ca="1" si="25"/>
        <v>681.57142857142856</v>
      </c>
      <c r="BK236" s="209">
        <f t="shared" si="61"/>
        <v>3927.6684761912852</v>
      </c>
      <c r="BL236" s="179">
        <f t="shared" si="63"/>
        <v>6.8526569847883037E-2</v>
      </c>
      <c r="BM236" s="213">
        <f t="shared" si="64"/>
        <v>1.4796859889351812</v>
      </c>
      <c r="BN236" s="214">
        <f t="shared" ca="1" si="65"/>
        <v>1.7179114872672019</v>
      </c>
      <c r="BO236" s="176">
        <f>DANE!AU236</f>
        <v>224</v>
      </c>
      <c r="BP236" s="188">
        <f t="shared" si="10"/>
        <v>5229</v>
      </c>
      <c r="BQ236" s="177">
        <f t="shared" ca="1" si="26"/>
        <v>210.42857142857142</v>
      </c>
      <c r="BR236" s="209">
        <f t="shared" si="78"/>
        <v>1302.7110598253453</v>
      </c>
      <c r="BS236" s="179">
        <f t="shared" si="83"/>
        <v>3.5133059663898222E-2</v>
      </c>
      <c r="BT236" s="213">
        <f t="shared" si="84"/>
        <v>1.2459314176472875</v>
      </c>
      <c r="BU236" s="217">
        <f t="shared" ca="1" si="85"/>
        <v>1.4309774848726649</v>
      </c>
      <c r="BV236" s="176">
        <f>DANE!AY236</f>
        <v>710</v>
      </c>
      <c r="BW236" s="188">
        <f t="shared" si="11"/>
        <v>12977</v>
      </c>
      <c r="BX236" s="177">
        <f t="shared" ca="1" si="27"/>
        <v>537.14285714285711</v>
      </c>
      <c r="BY236" s="209">
        <f t="shared" si="69"/>
        <v>3274.2621478180272</v>
      </c>
      <c r="BZ236" s="179">
        <f t="shared" si="71"/>
        <v>9.4470943543567776E-2</v>
      </c>
      <c r="CA236" s="213">
        <f t="shared" si="72"/>
        <v>1.6612966048049744</v>
      </c>
      <c r="CB236" s="214">
        <f t="shared" ca="1" si="73"/>
        <v>1.4410749987689724</v>
      </c>
      <c r="CC236" s="176">
        <f>DANE!BC236</f>
        <v>1168</v>
      </c>
      <c r="CD236" s="188">
        <f t="shared" si="12"/>
        <v>33859</v>
      </c>
      <c r="CE236" s="177">
        <f t="shared" ca="1" si="28"/>
        <v>894.85714285714289</v>
      </c>
      <c r="CF236" s="209">
        <f t="shared" si="45"/>
        <v>5254.1650284347616</v>
      </c>
      <c r="CG236" s="179">
        <f t="shared" si="46"/>
        <v>0.10215079249938702</v>
      </c>
      <c r="CH236" s="213">
        <f t="shared" si="47"/>
        <v>1.7150555474957092</v>
      </c>
      <c r="CI236" s="217">
        <f t="shared" ca="1" si="48"/>
        <v>1.6658379762836073</v>
      </c>
      <c r="CJ236" s="176">
        <f>DANE!BG236</f>
        <v>486</v>
      </c>
      <c r="CK236" s="188">
        <f t="shared" si="13"/>
        <v>6471</v>
      </c>
      <c r="CL236" s="177">
        <f t="shared" ca="1" si="29"/>
        <v>306.85714285714283</v>
      </c>
      <c r="CM236" s="209">
        <f t="shared" si="79"/>
        <v>1866.8747001646359</v>
      </c>
      <c r="CN236" s="179">
        <f t="shared" si="86"/>
        <v>0.1588149990987946</v>
      </c>
      <c r="CO236" s="213">
        <f t="shared" si="87"/>
        <v>2.1117049936915624</v>
      </c>
      <c r="CP236" s="214">
        <f t="shared" ca="1" si="88"/>
        <v>1.4915587120385589</v>
      </c>
      <c r="CQ236" s="176">
        <f>DANE!BK236</f>
        <v>311</v>
      </c>
      <c r="CR236" s="188">
        <f t="shared" si="14"/>
        <v>4735</v>
      </c>
      <c r="CS236" s="177">
        <f t="shared" ca="1" si="30"/>
        <v>232.71428571428572</v>
      </c>
      <c r="CT236" s="209">
        <f t="shared" si="89"/>
        <v>1401.2746324949119</v>
      </c>
      <c r="CU236" s="179">
        <f t="shared" si="90"/>
        <v>0.10164219760850138</v>
      </c>
      <c r="CV236" s="213">
        <f t="shared" si="91"/>
        <v>1.7114953832595097</v>
      </c>
      <c r="CW236" s="217">
        <f t="shared" ca="1" si="92"/>
        <v>1.6306508189727731</v>
      </c>
      <c r="CX236" s="176">
        <f>DANE!BO236</f>
        <v>1516</v>
      </c>
      <c r="CY236" s="188">
        <f t="shared" si="15"/>
        <v>19243</v>
      </c>
      <c r="CZ236" s="177">
        <f t="shared" ca="1" si="31"/>
        <v>893.42857142857144</v>
      </c>
      <c r="DA236" s="209">
        <f t="shared" si="54"/>
        <v>5397.0433534355598</v>
      </c>
      <c r="DB236" s="179">
        <f t="shared" si="58"/>
        <v>0.19195709473139067</v>
      </c>
      <c r="DC236" s="213">
        <f t="shared" si="59"/>
        <v>2.3436996631197347</v>
      </c>
      <c r="DD236" s="214">
        <f t="shared" ca="1" si="60"/>
        <v>1.6779918080089644</v>
      </c>
      <c r="DE236" s="176">
        <f>DANE!BS236</f>
        <v>515</v>
      </c>
      <c r="DF236" s="188">
        <f t="shared" si="16"/>
        <v>5771</v>
      </c>
      <c r="DG236" s="177">
        <f t="shared" ca="1" si="32"/>
        <v>314</v>
      </c>
      <c r="DH236" s="209">
        <f t="shared" si="70"/>
        <v>1812.2106310756405</v>
      </c>
      <c r="DI236" s="179">
        <f t="shared" si="74"/>
        <v>0.19743344747092226</v>
      </c>
      <c r="DJ236" s="157">
        <f t="shared" si="75"/>
        <v>2.3820341322964556</v>
      </c>
      <c r="DK236" s="225">
        <f t="shared" ca="1" si="76"/>
        <v>1.7478543881360082</v>
      </c>
      <c r="DL236" s="146"/>
      <c r="DM236" s="88"/>
      <c r="DN236" s="88"/>
      <c r="DO236" s="88"/>
      <c r="DP236" s="88"/>
      <c r="DQ236" s="88"/>
      <c r="DR236" s="88"/>
      <c r="DS236" s="88"/>
      <c r="DT236" s="88"/>
      <c r="DU236" s="88"/>
      <c r="DV236" s="88"/>
      <c r="DW236" s="146"/>
      <c r="DX236" s="146"/>
      <c r="DY236" s="146"/>
      <c r="DZ236" s="146"/>
      <c r="EA236" s="146"/>
      <c r="EB236" s="146"/>
      <c r="EC236" s="146"/>
      <c r="ED236" s="146"/>
      <c r="EE236" s="146"/>
      <c r="EF236" s="146"/>
      <c r="EG236" s="146"/>
      <c r="EH236" s="146"/>
    </row>
    <row r="237" spans="1:138" x14ac:dyDescent="0.25">
      <c r="A237" s="32">
        <v>44127</v>
      </c>
      <c r="B237" s="33">
        <f t="shared" ca="1" si="98"/>
        <v>44127</v>
      </c>
      <c r="C237" s="51">
        <f t="shared" si="93"/>
        <v>234</v>
      </c>
      <c r="D237" s="176">
        <f>DANE!K237</f>
        <v>667</v>
      </c>
      <c r="E237" s="188">
        <f t="shared" si="1"/>
        <v>12116</v>
      </c>
      <c r="F237" s="178">
        <f t="shared" ca="1" si="17"/>
        <v>515</v>
      </c>
      <c r="G237" s="209">
        <f t="shared" si="38"/>
        <v>3104.5461734942332</v>
      </c>
      <c r="H237" s="179">
        <f t="shared" si="42"/>
        <v>9.1687864712798259E-2</v>
      </c>
      <c r="I237" s="213">
        <f t="shared" si="43"/>
        <v>1.6418150529895879</v>
      </c>
      <c r="J237" s="214">
        <f t="shared" ca="1" si="44"/>
        <v>1.5562606320526069</v>
      </c>
      <c r="K237" s="176">
        <f>DANE!O237</f>
        <v>1207</v>
      </c>
      <c r="L237" s="188">
        <f t="shared" si="2"/>
        <v>11730</v>
      </c>
      <c r="M237" s="177">
        <f t="shared" ca="1" si="18"/>
        <v>685</v>
      </c>
      <c r="N237" s="209">
        <f t="shared" si="62"/>
        <v>4221.9969089583465</v>
      </c>
      <c r="O237" s="179">
        <f t="shared" si="66"/>
        <v>0.20028464461781134</v>
      </c>
      <c r="P237" s="213">
        <f t="shared" si="67"/>
        <v>2.4019925123246795</v>
      </c>
      <c r="Q237" s="217">
        <f t="shared" ca="1" si="68"/>
        <v>1.7531644491605043</v>
      </c>
      <c r="R237" s="176">
        <f>DANE!S237</f>
        <v>743</v>
      </c>
      <c r="S237" s="188">
        <f t="shared" si="3"/>
        <v>9424</v>
      </c>
      <c r="T237" s="177">
        <f t="shared" ca="1" si="19"/>
        <v>509.42857142857144</v>
      </c>
      <c r="U237" s="209">
        <f t="shared" si="50"/>
        <v>2977.838565599915</v>
      </c>
      <c r="V237" s="179">
        <f t="shared" si="55"/>
        <v>0.14211070791295805</v>
      </c>
      <c r="W237" s="213">
        <f t="shared" si="56"/>
        <v>1.9947749553907064</v>
      </c>
      <c r="X237" s="214">
        <f t="shared" ca="1" si="57"/>
        <v>1.6793515660065323</v>
      </c>
      <c r="Y237" s="176">
        <f>DANE!W237</f>
        <v>449</v>
      </c>
      <c r="Z237" s="188">
        <f t="shared" si="4"/>
        <v>3939</v>
      </c>
      <c r="AA237" s="177">
        <f t="shared" ca="1" si="20"/>
        <v>239.42857142857142</v>
      </c>
      <c r="AB237" s="209">
        <f t="shared" si="94"/>
        <v>1481.1540341320101</v>
      </c>
      <c r="AC237" s="179">
        <f t="shared" si="95"/>
        <v>0.23001079170534564</v>
      </c>
      <c r="AD237" s="213">
        <f t="shared" si="96"/>
        <v>2.6100755419374195</v>
      </c>
      <c r="AE237" s="217">
        <f t="shared" ca="1" si="97"/>
        <v>1.8214433658908324</v>
      </c>
      <c r="AF237" s="176">
        <f>DANE!AA237</f>
        <v>800</v>
      </c>
      <c r="AG237" s="188">
        <f t="shared" si="5"/>
        <v>16639</v>
      </c>
      <c r="AH237" s="177">
        <f t="shared" ca="1" si="21"/>
        <v>721</v>
      </c>
      <c r="AI237" s="209">
        <f t="shared" si="37"/>
        <v>4302.5411610386327</v>
      </c>
      <c r="AJ237" s="179">
        <f t="shared" si="39"/>
        <v>5.2919081942724031E-2</v>
      </c>
      <c r="AK237" s="213">
        <f t="shared" si="40"/>
        <v>1.3704335735990683</v>
      </c>
      <c r="AL237" s="214">
        <f t="shared" ca="1" si="41"/>
        <v>1.4949553685561408</v>
      </c>
      <c r="AM237" s="176">
        <f>DANE!AE237</f>
        <v>1554</v>
      </c>
      <c r="AN237" s="188">
        <f t="shared" si="6"/>
        <v>29896</v>
      </c>
      <c r="AO237" s="177">
        <f t="shared" ca="1" si="22"/>
        <v>1296.4285714285713</v>
      </c>
      <c r="AP237" s="209">
        <f t="shared" si="49"/>
        <v>8002.8630996154416</v>
      </c>
      <c r="AQ237" s="179">
        <f t="shared" si="51"/>
        <v>6.369089195529265E-2</v>
      </c>
      <c r="AR237" s="213">
        <f t="shared" si="52"/>
        <v>1.4458362436870487</v>
      </c>
      <c r="AS237" s="217">
        <f t="shared" ca="1" si="53"/>
        <v>1.4108693079408781</v>
      </c>
      <c r="AT237" s="176">
        <f>DANE!AI237</f>
        <v>2075</v>
      </c>
      <c r="AU237" s="188">
        <f t="shared" si="7"/>
        <v>31416</v>
      </c>
      <c r="AV237" s="177">
        <f t="shared" ca="1" si="23"/>
        <v>1396.2857142857142</v>
      </c>
      <c r="AW237" s="209">
        <f t="shared" si="33"/>
        <v>8400.6120044393683</v>
      </c>
      <c r="AX237" s="179">
        <f t="shared" si="34"/>
        <v>0.13831271506699372</v>
      </c>
      <c r="AY237" s="213">
        <f t="shared" si="35"/>
        <v>1.9681890054689561</v>
      </c>
      <c r="AZ237" s="214">
        <f t="shared" ca="1" si="36"/>
        <v>1.5844911140147426</v>
      </c>
      <c r="BA237" s="176">
        <f>DANE!AM237</f>
        <v>401</v>
      </c>
      <c r="BB237" s="188">
        <f t="shared" si="8"/>
        <v>6703</v>
      </c>
      <c r="BC237" s="177">
        <f t="shared" ca="1" si="24"/>
        <v>345.28571428571428</v>
      </c>
      <c r="BD237" s="209">
        <f t="shared" si="77"/>
        <v>2031.9986918277889</v>
      </c>
      <c r="BE237" s="179">
        <f t="shared" si="80"/>
        <v>6.78813987716676E-2</v>
      </c>
      <c r="BF237" s="213">
        <f t="shared" si="81"/>
        <v>1.4751697914016733</v>
      </c>
      <c r="BG237" s="217">
        <f t="shared" ca="1" si="82"/>
        <v>1.6221680588280007</v>
      </c>
      <c r="BH237" s="176">
        <f>DANE!AQ237</f>
        <v>852</v>
      </c>
      <c r="BI237" s="188">
        <f t="shared" si="9"/>
        <v>13286</v>
      </c>
      <c r="BJ237" s="177">
        <f t="shared" ca="1" si="25"/>
        <v>722.85714285714289</v>
      </c>
      <c r="BK237" s="209">
        <f t="shared" si="61"/>
        <v>4218.5729795925308</v>
      </c>
      <c r="BL237" s="179">
        <f t="shared" si="63"/>
        <v>7.4065442428414882E-2</v>
      </c>
      <c r="BM237" s="213">
        <f t="shared" si="64"/>
        <v>1.5184580969989043</v>
      </c>
      <c r="BN237" s="214">
        <f t="shared" ca="1" si="65"/>
        <v>1.6529482351138864</v>
      </c>
      <c r="BO237" s="176">
        <f>DANE!AU237</f>
        <v>226</v>
      </c>
      <c r="BP237" s="188">
        <f t="shared" si="10"/>
        <v>5455</v>
      </c>
      <c r="BQ237" s="177">
        <f t="shared" ca="1" si="26"/>
        <v>214</v>
      </c>
      <c r="BR237" s="209">
        <f t="shared" si="78"/>
        <v>1342.6094798502961</v>
      </c>
      <c r="BS237" s="179">
        <f t="shared" si="83"/>
        <v>3.0627221381155714E-2</v>
      </c>
      <c r="BT237" s="213">
        <f t="shared" si="84"/>
        <v>1.21439054966809</v>
      </c>
      <c r="BU237" s="217">
        <f t="shared" ca="1" si="85"/>
        <v>1.3717166173138235</v>
      </c>
      <c r="BV237" s="176">
        <f>DANE!AY237</f>
        <v>741</v>
      </c>
      <c r="BW237" s="188">
        <f t="shared" si="11"/>
        <v>13718</v>
      </c>
      <c r="BX237" s="177">
        <f t="shared" ca="1" si="27"/>
        <v>564.85714285714289</v>
      </c>
      <c r="BY237" s="209">
        <f t="shared" si="69"/>
        <v>3547.5104124154523</v>
      </c>
      <c r="BZ237" s="179">
        <f t="shared" si="71"/>
        <v>8.3453386522370568E-2</v>
      </c>
      <c r="CA237" s="213">
        <f t="shared" si="72"/>
        <v>1.5841737056565939</v>
      </c>
      <c r="CB237" s="214">
        <f t="shared" ca="1" si="73"/>
        <v>1.4120388843182694</v>
      </c>
      <c r="CC237" s="176">
        <f>DANE!BC237</f>
        <v>1305</v>
      </c>
      <c r="CD237" s="188">
        <f t="shared" si="12"/>
        <v>35164</v>
      </c>
      <c r="CE237" s="177">
        <f t="shared" ca="1" si="28"/>
        <v>971.42857142857144</v>
      </c>
      <c r="CF237" s="209">
        <f t="shared" si="45"/>
        <v>5808.5700243726533</v>
      </c>
      <c r="CG237" s="179">
        <f t="shared" si="46"/>
        <v>0.10551724069143892</v>
      </c>
      <c r="CH237" s="213">
        <f t="shared" si="47"/>
        <v>1.7386206848400725</v>
      </c>
      <c r="CI237" s="217">
        <f t="shared" ca="1" si="48"/>
        <v>1.6386534373777242</v>
      </c>
      <c r="CJ237" s="176">
        <f>DANE!BG237</f>
        <v>639</v>
      </c>
      <c r="CK237" s="188">
        <f t="shared" si="13"/>
        <v>7110</v>
      </c>
      <c r="CL237" s="177">
        <f t="shared" ca="1" si="29"/>
        <v>353.28571428571428</v>
      </c>
      <c r="CM237" s="209">
        <f t="shared" si="79"/>
        <v>2239.1783144268311</v>
      </c>
      <c r="CN237" s="179">
        <f t="shared" si="86"/>
        <v>0.19942613943472612</v>
      </c>
      <c r="CO237" s="213">
        <f t="shared" si="87"/>
        <v>2.3959829760430829</v>
      </c>
      <c r="CP237" s="214">
        <f t="shared" ca="1" si="88"/>
        <v>1.5676491761878701</v>
      </c>
      <c r="CQ237" s="176">
        <f>DANE!BK237</f>
        <v>365</v>
      </c>
      <c r="CR237" s="188">
        <f t="shared" si="14"/>
        <v>5100</v>
      </c>
      <c r="CS237" s="177">
        <f t="shared" ca="1" si="30"/>
        <v>259</v>
      </c>
      <c r="CT237" s="209">
        <f t="shared" si="89"/>
        <v>1566.0925421384959</v>
      </c>
      <c r="CU237" s="179">
        <f t="shared" si="90"/>
        <v>0.11761999098644389</v>
      </c>
      <c r="CV237" s="213">
        <f t="shared" si="91"/>
        <v>1.8233399369051073</v>
      </c>
      <c r="CW237" s="217">
        <f t="shared" ca="1" si="92"/>
        <v>1.6566093899614036</v>
      </c>
      <c r="CX237" s="176">
        <f>DANE!BO237</f>
        <v>1050</v>
      </c>
      <c r="CY237" s="188">
        <f t="shared" si="15"/>
        <v>20293</v>
      </c>
      <c r="CZ237" s="177">
        <f t="shared" ca="1" si="31"/>
        <v>958.85714285714289</v>
      </c>
      <c r="DA237" s="209">
        <f t="shared" si="54"/>
        <v>5676.0371600876233</v>
      </c>
      <c r="DB237" s="179">
        <f t="shared" si="58"/>
        <v>5.1693823521811497E-2</v>
      </c>
      <c r="DC237" s="213">
        <f t="shared" si="59"/>
        <v>1.3618567646526805</v>
      </c>
      <c r="DD237" s="214">
        <f t="shared" ca="1" si="60"/>
        <v>1.6674375329595907</v>
      </c>
      <c r="DE237" s="176">
        <f>DANE!BS237</f>
        <v>558</v>
      </c>
      <c r="DF237" s="188">
        <f t="shared" si="16"/>
        <v>6329</v>
      </c>
      <c r="DG237" s="177">
        <f t="shared" ca="1" si="32"/>
        <v>349.28571428571428</v>
      </c>
      <c r="DH237" s="209">
        <f t="shared" si="70"/>
        <v>2111.3233980648347</v>
      </c>
      <c r="DI237" s="179">
        <f t="shared" si="74"/>
        <v>0.16505408469635524</v>
      </c>
      <c r="DJ237" s="157">
        <f t="shared" si="75"/>
        <v>2.1553785928744871</v>
      </c>
      <c r="DK237" s="225">
        <f t="shared" ca="1" si="76"/>
        <v>1.7125763581017408</v>
      </c>
      <c r="DL237" s="146"/>
      <c r="DM237" s="371"/>
      <c r="DN237" s="372"/>
      <c r="DO237" s="372"/>
      <c r="DP237" s="372"/>
      <c r="DQ237" s="372"/>
      <c r="DR237" s="372"/>
      <c r="DS237" s="372"/>
      <c r="DT237" s="372"/>
      <c r="DU237" s="372"/>
      <c r="DV237" s="372"/>
      <c r="DW237" s="146"/>
      <c r="DX237" s="146"/>
      <c r="DY237" s="146"/>
      <c r="DZ237" s="146"/>
      <c r="EA237" s="146"/>
      <c r="EB237" s="146"/>
      <c r="EC237" s="146"/>
      <c r="ED237" s="146"/>
      <c r="EE237" s="146"/>
      <c r="EF237" s="146"/>
      <c r="EG237" s="146"/>
      <c r="EH237" s="146"/>
    </row>
    <row r="238" spans="1:138" x14ac:dyDescent="0.25">
      <c r="A238" s="61">
        <v>44128</v>
      </c>
      <c r="B238" s="62">
        <f t="shared" ca="1" si="98"/>
        <v>44128</v>
      </c>
      <c r="C238" s="12">
        <f t="shared" si="93"/>
        <v>235</v>
      </c>
      <c r="D238" s="176">
        <f>DANE!K238</f>
        <v>645</v>
      </c>
      <c r="E238" s="198">
        <f t="shared" si="1"/>
        <v>12761</v>
      </c>
      <c r="F238" s="178">
        <f t="shared" ca="1" si="17"/>
        <v>532.28571428571433</v>
      </c>
      <c r="G238" s="211">
        <f t="shared" si="38"/>
        <v>3306.0395772807715</v>
      </c>
      <c r="H238" s="200">
        <f t="shared" si="42"/>
        <v>6.4902691899651505E-2</v>
      </c>
      <c r="I238" s="213">
        <f t="shared" si="43"/>
        <v>1.4543188432975604</v>
      </c>
      <c r="J238" s="214">
        <f t="shared" ca="1" si="44"/>
        <v>1.4769791087721402</v>
      </c>
      <c r="K238" s="176">
        <f>DANE!O238</f>
        <v>777</v>
      </c>
      <c r="L238" s="198">
        <f t="shared" si="2"/>
        <v>12507</v>
      </c>
      <c r="M238" s="177">
        <f t="shared" ca="1" si="18"/>
        <v>728.85714285714289</v>
      </c>
      <c r="N238" s="211">
        <f t="shared" si="62"/>
        <v>4395.8544933928688</v>
      </c>
      <c r="O238" s="200">
        <f t="shared" si="66"/>
        <v>4.1178993775582033E-2</v>
      </c>
      <c r="P238" s="213">
        <f t="shared" si="67"/>
        <v>1.2882529564290741</v>
      </c>
      <c r="Q238" s="217">
        <f t="shared" ca="1" si="68"/>
        <v>1.7116439665324819</v>
      </c>
      <c r="R238" s="176">
        <f>DANE!S238</f>
        <v>715</v>
      </c>
      <c r="S238" s="198">
        <f t="shared" si="3"/>
        <v>10139</v>
      </c>
      <c r="T238" s="177">
        <f t="shared" ca="1" si="19"/>
        <v>550.28571428571433</v>
      </c>
      <c r="U238" s="211">
        <f t="shared" si="50"/>
        <v>3267.4330562284986</v>
      </c>
      <c r="V238" s="200">
        <f t="shared" si="55"/>
        <v>9.7249895939285722E-2</v>
      </c>
      <c r="W238" s="213">
        <f t="shared" si="56"/>
        <v>1.6807492715750001</v>
      </c>
      <c r="X238" s="214">
        <f t="shared" ca="1" si="57"/>
        <v>1.6488204979802616</v>
      </c>
      <c r="Y238" s="176">
        <f>DANE!W238</f>
        <v>379</v>
      </c>
      <c r="Z238" s="198">
        <f t="shared" si="4"/>
        <v>4318</v>
      </c>
      <c r="AA238" s="177">
        <f t="shared" ca="1" si="20"/>
        <v>271.14285714285717</v>
      </c>
      <c r="AB238" s="211">
        <f t="shared" si="94"/>
        <v>1648.5606006845801</v>
      </c>
      <c r="AC238" s="200">
        <f t="shared" si="95"/>
        <v>0.11302441386568821</v>
      </c>
      <c r="AD238" s="213">
        <f t="shared" si="96"/>
        <v>1.7911708970598175</v>
      </c>
      <c r="AE238" s="217">
        <f t="shared" ca="1" si="97"/>
        <v>1.8506496010786992</v>
      </c>
      <c r="AF238" s="176">
        <f>DANE!AA238</f>
        <v>1001</v>
      </c>
      <c r="AG238" s="198">
        <f t="shared" si="5"/>
        <v>17640</v>
      </c>
      <c r="AH238" s="177">
        <f t="shared" ca="1" si="21"/>
        <v>746.71428571428567</v>
      </c>
      <c r="AI238" s="211">
        <f t="shared" si="37"/>
        <v>4688.8924237474002</v>
      </c>
      <c r="AJ238" s="200">
        <f t="shared" si="39"/>
        <v>8.9796064290411676E-2</v>
      </c>
      <c r="AK238" s="213">
        <f t="shared" si="40"/>
        <v>1.6285724500328818</v>
      </c>
      <c r="AL238" s="214">
        <f t="shared" ca="1" si="41"/>
        <v>1.4212851331346423</v>
      </c>
      <c r="AM238" s="176">
        <f>DANE!AE238</f>
        <v>1482</v>
      </c>
      <c r="AN238" s="198">
        <f t="shared" si="6"/>
        <v>31378</v>
      </c>
      <c r="AO238" s="177">
        <f t="shared" ca="1" si="22"/>
        <v>1329</v>
      </c>
      <c r="AP238" s="211">
        <f t="shared" si="49"/>
        <v>8341.5969425275216</v>
      </c>
      <c r="AQ238" s="200">
        <f t="shared" si="51"/>
        <v>4.2326582211353471E-2</v>
      </c>
      <c r="AR238" s="213">
        <f t="shared" si="52"/>
        <v>1.2962860754794743</v>
      </c>
      <c r="AS238" s="217">
        <f t="shared" ca="1" si="53"/>
        <v>1.362922300142797</v>
      </c>
      <c r="AT238" s="176">
        <f>DANE!AI238</f>
        <v>2026</v>
      </c>
      <c r="AU238" s="198">
        <f t="shared" si="7"/>
        <v>33442</v>
      </c>
      <c r="AV238" s="177">
        <f t="shared" ca="1" si="23"/>
        <v>1473.5714285714287</v>
      </c>
      <c r="AW238" s="211">
        <f t="shared" si="33"/>
        <v>9226.5245752337451</v>
      </c>
      <c r="AX238" s="200">
        <f t="shared" si="34"/>
        <v>9.8315762037089305E-2</v>
      </c>
      <c r="AY238" s="213">
        <f t="shared" si="35"/>
        <v>1.6882103342596251</v>
      </c>
      <c r="AZ238" s="214">
        <f t="shared" ca="1" si="36"/>
        <v>1.5184496878243756</v>
      </c>
      <c r="BA238" s="176">
        <f>DANE!AM238</f>
        <v>558</v>
      </c>
      <c r="BB238" s="198">
        <f t="shared" si="8"/>
        <v>7261</v>
      </c>
      <c r="BC238" s="177">
        <f t="shared" ca="1" si="24"/>
        <v>384.57142857142856</v>
      </c>
      <c r="BD238" s="211">
        <f t="shared" si="77"/>
        <v>2299.7131644238189</v>
      </c>
      <c r="BE238" s="200">
        <f t="shared" si="80"/>
        <v>0.13174933314313308</v>
      </c>
      <c r="BF238" s="213">
        <f t="shared" si="81"/>
        <v>1.9222453320019315</v>
      </c>
      <c r="BG238" s="217">
        <f t="shared" ca="1" si="82"/>
        <v>1.6442919363516342</v>
      </c>
      <c r="BH238" s="176">
        <f>DANE!AQ238</f>
        <v>891</v>
      </c>
      <c r="BI238" s="198">
        <f t="shared" si="9"/>
        <v>14177</v>
      </c>
      <c r="BJ238" s="177">
        <f t="shared" ca="1" si="25"/>
        <v>749.57142857142856</v>
      </c>
      <c r="BK238" s="211">
        <f t="shared" si="61"/>
        <v>4506.9196967935986</v>
      </c>
      <c r="BL238" s="200">
        <f t="shared" si="63"/>
        <v>6.8351719549703996E-2</v>
      </c>
      <c r="BM238" s="213">
        <f t="shared" si="64"/>
        <v>1.478462036847928</v>
      </c>
      <c r="BN238" s="214">
        <f t="shared" ca="1" si="65"/>
        <v>1.5546982842297816</v>
      </c>
      <c r="BO238" s="176">
        <f>DANE!AU238</f>
        <v>308</v>
      </c>
      <c r="BP238" s="198">
        <f t="shared" si="10"/>
        <v>5763</v>
      </c>
      <c r="BQ238" s="177">
        <f t="shared" ca="1" si="26"/>
        <v>236.71428571428572</v>
      </c>
      <c r="BR238" s="211">
        <f t="shared" si="78"/>
        <v>1458.8081255859681</v>
      </c>
      <c r="BS238" s="200">
        <f t="shared" si="83"/>
        <v>8.6546868229046336E-2</v>
      </c>
      <c r="BT238" s="213">
        <f t="shared" si="84"/>
        <v>1.6058280776033245</v>
      </c>
      <c r="BU238" s="217">
        <f t="shared" ca="1" si="85"/>
        <v>1.442817645951969</v>
      </c>
      <c r="BV238" s="176">
        <f>DANE!AY238</f>
        <v>776</v>
      </c>
      <c r="BW238" s="198">
        <f t="shared" si="11"/>
        <v>14494</v>
      </c>
      <c r="BX238" s="177">
        <f t="shared" ca="1" si="27"/>
        <v>595.28571428571433</v>
      </c>
      <c r="BY238" s="211">
        <f t="shared" si="69"/>
        <v>3816.7232106418164</v>
      </c>
      <c r="BZ238" s="200">
        <f t="shared" si="71"/>
        <v>7.5887810585187482E-2</v>
      </c>
      <c r="CA238" s="213">
        <f t="shared" si="72"/>
        <v>1.5312146740963124</v>
      </c>
      <c r="CB238" s="214">
        <f t="shared" ca="1" si="73"/>
        <v>1.3945428218808189</v>
      </c>
      <c r="CC238" s="176">
        <f>DANE!BC238</f>
        <v>1262</v>
      </c>
      <c r="CD238" s="198">
        <f t="shared" si="12"/>
        <v>36426</v>
      </c>
      <c r="CE238" s="177">
        <f t="shared" ca="1" si="28"/>
        <v>1042.4285714285713</v>
      </c>
      <c r="CF238" s="211">
        <f t="shared" si="45"/>
        <v>6240.7743066051316</v>
      </c>
      <c r="CG238" s="200">
        <f t="shared" si="46"/>
        <v>7.4408035096238334E-2</v>
      </c>
      <c r="CH238" s="213">
        <f t="shared" si="47"/>
        <v>1.5208562456736683</v>
      </c>
      <c r="CI238" s="217">
        <f t="shared" ca="1" si="48"/>
        <v>1.6139082371411508</v>
      </c>
      <c r="CJ238" s="176">
        <f>DANE!BG238</f>
        <v>412</v>
      </c>
      <c r="CK238" s="198">
        <f t="shared" si="13"/>
        <v>7522</v>
      </c>
      <c r="CL238" s="177">
        <f t="shared" ca="1" si="29"/>
        <v>355.57142857142856</v>
      </c>
      <c r="CM238" s="211">
        <f t="shared" si="79"/>
        <v>2331.2956980801409</v>
      </c>
      <c r="CN238" s="200">
        <f t="shared" si="86"/>
        <v>4.1138922728844576E-2</v>
      </c>
      <c r="CO238" s="213">
        <f t="shared" si="87"/>
        <v>1.2879724591019119</v>
      </c>
      <c r="CP238" s="214">
        <f t="shared" ca="1" si="88"/>
        <v>1.4527958884916525</v>
      </c>
      <c r="CQ238" s="176">
        <f>DANE!BK238</f>
        <v>344</v>
      </c>
      <c r="CR238" s="198">
        <f t="shared" si="14"/>
        <v>5444</v>
      </c>
      <c r="CS238" s="177">
        <f t="shared" ca="1" si="30"/>
        <v>276.14285714285717</v>
      </c>
      <c r="CT238" s="211">
        <f t="shared" si="89"/>
        <v>1686.3650361187108</v>
      </c>
      <c r="CU238" s="200">
        <f t="shared" si="90"/>
        <v>7.679782052724872E-2</v>
      </c>
      <c r="CV238" s="213">
        <f t="shared" si="91"/>
        <v>1.5375847436907411</v>
      </c>
      <c r="CW238" s="217">
        <f t="shared" ca="1" si="92"/>
        <v>1.6104008610123066</v>
      </c>
      <c r="CX238" s="176">
        <f>DANE!BO238</f>
        <v>1472</v>
      </c>
      <c r="CY238" s="198">
        <f t="shared" si="15"/>
        <v>21765</v>
      </c>
      <c r="CZ238" s="177">
        <f t="shared" ca="1" si="31"/>
        <v>1018</v>
      </c>
      <c r="DA238" s="211">
        <f t="shared" si="54"/>
        <v>6337.1747086465348</v>
      </c>
      <c r="DB238" s="200">
        <f t="shared" si="58"/>
        <v>0.11647872096536895</v>
      </c>
      <c r="DC238" s="213">
        <f t="shared" si="59"/>
        <v>1.8153510467575826</v>
      </c>
      <c r="DD238" s="214">
        <f t="shared" ca="1" si="60"/>
        <v>1.5816973950129369</v>
      </c>
      <c r="DE238" s="176">
        <f>DANE!BS238</f>
        <v>580</v>
      </c>
      <c r="DF238" s="198">
        <f t="shared" si="16"/>
        <v>6909</v>
      </c>
      <c r="DG238" s="177">
        <f t="shared" ca="1" si="32"/>
        <v>383.57142857142856</v>
      </c>
      <c r="DH238" s="211">
        <f t="shared" si="70"/>
        <v>2389.7057697698583</v>
      </c>
      <c r="DI238" s="200">
        <f t="shared" si="74"/>
        <v>0.13185207531928989</v>
      </c>
      <c r="DJ238" s="157">
        <f t="shared" si="75"/>
        <v>1.9229645272350293</v>
      </c>
      <c r="DK238" s="225">
        <f t="shared" ca="1" si="76"/>
        <v>1.6747130610329264</v>
      </c>
      <c r="DL238" s="146"/>
      <c r="DM238" s="371"/>
      <c r="DN238" s="372"/>
      <c r="DO238" s="372"/>
      <c r="DP238" s="372"/>
      <c r="DQ238" s="372"/>
      <c r="DR238" s="372"/>
      <c r="DS238" s="372"/>
      <c r="DT238" s="372"/>
      <c r="DU238" s="372"/>
      <c r="DV238" s="372"/>
      <c r="DW238" s="146"/>
      <c r="DX238" s="146"/>
      <c r="DY238" s="146"/>
      <c r="DZ238" s="146"/>
      <c r="EA238" s="146"/>
      <c r="EB238" s="146"/>
      <c r="EC238" s="146"/>
      <c r="ED238" s="146"/>
      <c r="EE238" s="146"/>
      <c r="EF238" s="146"/>
      <c r="EG238" s="146"/>
      <c r="EH238" s="146"/>
    </row>
    <row r="239" spans="1:138" x14ac:dyDescent="0.25">
      <c r="A239" s="61">
        <v>44129</v>
      </c>
      <c r="B239" s="62">
        <f t="shared" ca="1" si="98"/>
        <v>44129</v>
      </c>
      <c r="C239" s="12">
        <f t="shared" si="93"/>
        <v>236</v>
      </c>
      <c r="D239" s="176">
        <f>DANE!K239</f>
        <v>585</v>
      </c>
      <c r="E239" s="198">
        <f t="shared" si="1"/>
        <v>13346</v>
      </c>
      <c r="F239" s="178">
        <f t="shared" ca="1" si="17"/>
        <v>563.14285714285711</v>
      </c>
      <c r="G239" s="211">
        <f t="shared" si="38"/>
        <v>3418.7482090978042</v>
      </c>
      <c r="H239" s="200">
        <f t="shared" si="42"/>
        <v>3.4091737011126749E-2</v>
      </c>
      <c r="I239" s="213">
        <f t="shared" si="43"/>
        <v>1.2386421590778873</v>
      </c>
      <c r="J239" s="214">
        <f t="shared" ca="1" si="44"/>
        <v>1.4772658013658386</v>
      </c>
      <c r="K239" s="176">
        <f>DANE!O239</f>
        <v>1150</v>
      </c>
      <c r="L239" s="198">
        <f t="shared" si="2"/>
        <v>13657</v>
      </c>
      <c r="M239" s="177">
        <f t="shared" ca="1" si="18"/>
        <v>818.42857142857144</v>
      </c>
      <c r="N239" s="211">
        <f t="shared" si="62"/>
        <v>4917.8752800510301</v>
      </c>
      <c r="O239" s="200">
        <f t="shared" si="66"/>
        <v>0.11875297224755228</v>
      </c>
      <c r="P239" s="213">
        <f t="shared" si="67"/>
        <v>1.8312708057328662</v>
      </c>
      <c r="Q239" s="217">
        <f t="shared" ca="1" si="68"/>
        <v>1.7414337724375568</v>
      </c>
      <c r="R239" s="176">
        <f>DANE!S239</f>
        <v>700</v>
      </c>
      <c r="S239" s="198">
        <f t="shared" si="3"/>
        <v>10839</v>
      </c>
      <c r="T239" s="177">
        <f t="shared" ca="1" si="19"/>
        <v>567.42857142857144</v>
      </c>
      <c r="U239" s="211">
        <f t="shared" si="50"/>
        <v>3500.6569053387134</v>
      </c>
      <c r="V239" s="200">
        <f t="shared" si="55"/>
        <v>7.1378309852633437E-2</v>
      </c>
      <c r="W239" s="213">
        <f t="shared" si="56"/>
        <v>1.499648168968434</v>
      </c>
      <c r="X239" s="214">
        <f t="shared" ca="1" si="57"/>
        <v>1.5386155803957569</v>
      </c>
      <c r="Y239" s="176">
        <f>DANE!W239</f>
        <v>312</v>
      </c>
      <c r="Z239" s="198">
        <f t="shared" si="4"/>
        <v>4630</v>
      </c>
      <c r="AA239" s="177">
        <f t="shared" ca="1" si="20"/>
        <v>291.57142857142856</v>
      </c>
      <c r="AB239" s="211">
        <f t="shared" si="94"/>
        <v>1725.0519434439259</v>
      </c>
      <c r="AC239" s="200">
        <f t="shared" si="95"/>
        <v>4.639886621552284E-2</v>
      </c>
      <c r="AD239" s="213">
        <f t="shared" si="96"/>
        <v>1.3247920635086599</v>
      </c>
      <c r="AE239" s="217">
        <f t="shared" ca="1" si="97"/>
        <v>1.8147748376489568</v>
      </c>
      <c r="AF239" s="176">
        <f>DANE!AA239</f>
        <v>818</v>
      </c>
      <c r="AG239" s="198">
        <f t="shared" si="5"/>
        <v>18458</v>
      </c>
      <c r="AH239" s="177">
        <f t="shared" ca="1" si="21"/>
        <v>780.14285714285711</v>
      </c>
      <c r="AI239" s="211">
        <f t="shared" si="37"/>
        <v>4837.0506489263435</v>
      </c>
      <c r="AJ239" s="200">
        <f t="shared" si="39"/>
        <v>3.1597701928195228E-2</v>
      </c>
      <c r="AK239" s="213">
        <f t="shared" si="40"/>
        <v>1.2211839134973665</v>
      </c>
      <c r="AL239" s="214">
        <f t="shared" ca="1" si="41"/>
        <v>1.4084579446079821</v>
      </c>
      <c r="AM239" s="176">
        <f>DANE!AE239</f>
        <v>1119</v>
      </c>
      <c r="AN239" s="198">
        <f t="shared" si="6"/>
        <v>32497</v>
      </c>
      <c r="AO239" s="177">
        <f t="shared" ca="1" si="22"/>
        <v>1355.4285714285713</v>
      </c>
      <c r="AP239" s="211">
        <f t="shared" si="49"/>
        <v>8268.9402364521629</v>
      </c>
      <c r="AQ239" s="200">
        <f t="shared" si="51"/>
        <v>-8.7101674386755416E-3</v>
      </c>
      <c r="AR239" s="213">
        <f t="shared" si="52"/>
        <v>0.93902882792927123</v>
      </c>
      <c r="AS239" s="217">
        <f t="shared" ca="1" si="53"/>
        <v>1.3378068313900069</v>
      </c>
      <c r="AT239" s="176">
        <f>DANE!AI239</f>
        <v>1850</v>
      </c>
      <c r="AU239" s="198">
        <f t="shared" si="7"/>
        <v>35292</v>
      </c>
      <c r="AV239" s="177">
        <f t="shared" ca="1" si="23"/>
        <v>1546.1428571428571</v>
      </c>
      <c r="AW239" s="211">
        <f t="shared" si="33"/>
        <v>9758.4496359146397</v>
      </c>
      <c r="AX239" s="200">
        <f t="shared" si="34"/>
        <v>5.7651725342900181E-2</v>
      </c>
      <c r="AY239" s="213">
        <f t="shared" si="35"/>
        <v>1.4035620774003013</v>
      </c>
      <c r="AZ239" s="214">
        <f t="shared" ca="1" si="36"/>
        <v>1.4805173528961448</v>
      </c>
      <c r="BA239" s="176">
        <f>DANE!AM239</f>
        <v>381</v>
      </c>
      <c r="BB239" s="198">
        <f t="shared" si="8"/>
        <v>7642</v>
      </c>
      <c r="BC239" s="177">
        <f t="shared" ca="1" si="24"/>
        <v>394.42857142857144</v>
      </c>
      <c r="BD239" s="211">
        <f t="shared" si="77"/>
        <v>2352.1827123632734</v>
      </c>
      <c r="BE239" s="200">
        <f t="shared" si="80"/>
        <v>2.2815692300739814E-2</v>
      </c>
      <c r="BF239" s="213">
        <f t="shared" si="81"/>
        <v>1.1597098461051787</v>
      </c>
      <c r="BG239" s="217">
        <f t="shared" ca="1" si="82"/>
        <v>1.5591095192477058</v>
      </c>
      <c r="BH239" s="176">
        <f>DANE!AQ239</f>
        <v>912</v>
      </c>
      <c r="BI239" s="198">
        <f t="shared" si="9"/>
        <v>15089</v>
      </c>
      <c r="BJ239" s="177">
        <f t="shared" ca="1" si="25"/>
        <v>776.85714285714289</v>
      </c>
      <c r="BK239" s="211">
        <f t="shared" si="61"/>
        <v>4775.0740258230853</v>
      </c>
      <c r="BL239" s="200">
        <f t="shared" si="63"/>
        <v>5.9498359649110745E-2</v>
      </c>
      <c r="BM239" s="213">
        <f t="shared" si="64"/>
        <v>1.4164885175437751</v>
      </c>
      <c r="BN239" s="214">
        <f t="shared" ca="1" si="65"/>
        <v>1.4853830456864447</v>
      </c>
      <c r="BO239" s="176">
        <f>DANE!AU239</f>
        <v>212</v>
      </c>
      <c r="BP239" s="198">
        <f t="shared" si="10"/>
        <v>5975</v>
      </c>
      <c r="BQ239" s="177">
        <f t="shared" ca="1" si="26"/>
        <v>247.14285714285714</v>
      </c>
      <c r="BR239" s="211">
        <f t="shared" si="78"/>
        <v>1462.4069647879728</v>
      </c>
      <c r="BS239" s="200">
        <f t="shared" si="83"/>
        <v>2.4669722761237814E-3</v>
      </c>
      <c r="BT239" s="213">
        <f t="shared" si="84"/>
        <v>1.0172688059328665</v>
      </c>
      <c r="BU239" s="217">
        <f t="shared" ca="1" si="85"/>
        <v>1.4427094638103595</v>
      </c>
      <c r="BV239" s="176">
        <f>DANE!AY239</f>
        <v>499</v>
      </c>
      <c r="BW239" s="198">
        <f t="shared" si="11"/>
        <v>14993</v>
      </c>
      <c r="BX239" s="177">
        <f t="shared" ca="1" si="27"/>
        <v>605.57142857142856</v>
      </c>
      <c r="BY239" s="211">
        <f t="shared" si="69"/>
        <v>3770.477037692986</v>
      </c>
      <c r="BZ239" s="200">
        <f t="shared" si="71"/>
        <v>-1.2116721699882909E-2</v>
      </c>
      <c r="CA239" s="213">
        <f t="shared" si="72"/>
        <v>0.91518294810081957</v>
      </c>
      <c r="CB239" s="214">
        <f t="shared" ca="1" si="73"/>
        <v>1.3614122378278513</v>
      </c>
      <c r="CC239" s="176">
        <f>DANE!BC239</f>
        <v>1134</v>
      </c>
      <c r="CD239" s="198">
        <f t="shared" si="12"/>
        <v>37560</v>
      </c>
      <c r="CE239" s="177">
        <f t="shared" ca="1" si="28"/>
        <v>1065.2857142857142</v>
      </c>
      <c r="CF239" s="211">
        <f t="shared" si="45"/>
        <v>6483.235119947256</v>
      </c>
      <c r="CG239" s="200">
        <f t="shared" si="46"/>
        <v>3.8851078637070373E-2</v>
      </c>
      <c r="CH239" s="213">
        <f t="shared" si="47"/>
        <v>1.2719575504594927</v>
      </c>
      <c r="CI239" s="217">
        <f t="shared" ca="1" si="48"/>
        <v>1.5152840752029273</v>
      </c>
      <c r="CJ239" s="176">
        <f>DANE!BG239</f>
        <v>405</v>
      </c>
      <c r="CK239" s="198">
        <f t="shared" si="13"/>
        <v>7927</v>
      </c>
      <c r="CL239" s="177">
        <f t="shared" ca="1" si="29"/>
        <v>383.28571428571428</v>
      </c>
      <c r="CM239" s="211">
        <f t="shared" si="79"/>
        <v>2403.2534554972635</v>
      </c>
      <c r="CN239" s="200">
        <f t="shared" si="86"/>
        <v>3.0865993308519787E-2</v>
      </c>
      <c r="CO239" s="213">
        <f t="shared" si="87"/>
        <v>1.2160619531596386</v>
      </c>
      <c r="CP239" s="214">
        <f t="shared" ca="1" si="88"/>
        <v>1.4887712212571962</v>
      </c>
      <c r="CQ239" s="176">
        <f>DANE!BK239</f>
        <v>340</v>
      </c>
      <c r="CR239" s="198">
        <f t="shared" si="14"/>
        <v>5784</v>
      </c>
      <c r="CS239" s="177">
        <f t="shared" ca="1" si="30"/>
        <v>294.71428571428572</v>
      </c>
      <c r="CT239" s="211">
        <f t="shared" si="89"/>
        <v>1785.4557452446093</v>
      </c>
      <c r="CU239" s="200">
        <f t="shared" si="90"/>
        <v>5.875994046577411E-2</v>
      </c>
      <c r="CV239" s="213">
        <f t="shared" si="91"/>
        <v>1.4113195832604188</v>
      </c>
      <c r="CW239" s="217">
        <f t="shared" ca="1" si="92"/>
        <v>1.590071715643935</v>
      </c>
      <c r="CX239" s="176">
        <f>DANE!BO239</f>
        <v>851</v>
      </c>
      <c r="CY239" s="198">
        <f t="shared" si="15"/>
        <v>22616</v>
      </c>
      <c r="CZ239" s="177">
        <f t="shared" ca="1" si="31"/>
        <v>1036.1428571428571</v>
      </c>
      <c r="DA239" s="211">
        <f t="shared" si="54"/>
        <v>6282.8640359827441</v>
      </c>
      <c r="DB239" s="200">
        <f t="shared" si="58"/>
        <v>-8.5701712767502526E-3</v>
      </c>
      <c r="DC239" s="213">
        <f t="shared" si="59"/>
        <v>0.9400088010627482</v>
      </c>
      <c r="DD239" s="214">
        <f t="shared" ca="1" si="60"/>
        <v>1.5195650844107715</v>
      </c>
      <c r="DE239" s="176">
        <f>DANE!BS239</f>
        <v>474</v>
      </c>
      <c r="DF239" s="198">
        <f t="shared" si="16"/>
        <v>7383</v>
      </c>
      <c r="DG239" s="177">
        <f t="shared" ca="1" si="32"/>
        <v>406</v>
      </c>
      <c r="DH239" s="211">
        <f t="shared" si="70"/>
        <v>2522.3192312313072</v>
      </c>
      <c r="DI239" s="200">
        <f t="shared" si="74"/>
        <v>5.5493635718266807E-2</v>
      </c>
      <c r="DJ239" s="157">
        <f t="shared" si="75"/>
        <v>1.3884554500278676</v>
      </c>
      <c r="DK239" s="225">
        <f t="shared" ca="1" si="76"/>
        <v>1.6239195513488336</v>
      </c>
      <c r="DL239" s="226"/>
      <c r="DM239" s="380"/>
      <c r="DN239" s="372"/>
      <c r="DO239" s="372"/>
      <c r="DP239" s="372"/>
      <c r="DQ239" s="372"/>
      <c r="DR239" s="372"/>
      <c r="DS239" s="372"/>
      <c r="DT239" s="88"/>
      <c r="DU239" s="88"/>
      <c r="DV239" s="88"/>
      <c r="DW239" s="226"/>
      <c r="DX239" s="226"/>
      <c r="DY239" s="226"/>
      <c r="DZ239" s="226"/>
      <c r="EA239" s="226"/>
      <c r="EB239" s="226"/>
      <c r="EC239" s="226"/>
      <c r="ED239" s="226"/>
      <c r="EE239" s="226"/>
      <c r="EF239" s="226"/>
      <c r="EG239" s="226"/>
      <c r="EH239" s="226"/>
    </row>
    <row r="240" spans="1:138" x14ac:dyDescent="0.25">
      <c r="A240" s="32">
        <v>44130</v>
      </c>
      <c r="B240" s="33">
        <f t="shared" ca="1" si="98"/>
        <v>44130</v>
      </c>
      <c r="C240" s="51">
        <f t="shared" si="93"/>
        <v>237</v>
      </c>
      <c r="D240" s="176">
        <f>DANE!K240</f>
        <v>462</v>
      </c>
      <c r="E240" s="188">
        <f t="shared" si="1"/>
        <v>13808</v>
      </c>
      <c r="F240" s="178">
        <f t="shared" ca="1" si="17"/>
        <v>571.14285714285711</v>
      </c>
      <c r="G240" s="209">
        <f t="shared" si="38"/>
        <v>3392.3556077981179</v>
      </c>
      <c r="H240" s="179">
        <f t="shared" si="42"/>
        <v>-7.7199605485573806E-3</v>
      </c>
      <c r="I240" s="213">
        <f t="shared" si="43"/>
        <v>0.94596027616009837</v>
      </c>
      <c r="J240" s="214">
        <f t="shared" ca="1" si="44"/>
        <v>1.424382734611823</v>
      </c>
      <c r="K240" s="176">
        <f>DANE!O240</f>
        <v>525</v>
      </c>
      <c r="L240" s="188">
        <f t="shared" si="2"/>
        <v>14182</v>
      </c>
      <c r="M240" s="177">
        <f t="shared" ca="1" si="18"/>
        <v>825.85714285714289</v>
      </c>
      <c r="N240" s="209">
        <f t="shared" si="62"/>
        <v>4740.3216686151691</v>
      </c>
      <c r="O240" s="179">
        <f t="shared" si="66"/>
        <v>-3.6103723930554554E-2</v>
      </c>
      <c r="P240" s="213">
        <f t="shared" si="67"/>
        <v>0.74727393248611818</v>
      </c>
      <c r="Q240" s="217">
        <f t="shared" ca="1" si="68"/>
        <v>1.6556574876800116</v>
      </c>
      <c r="R240" s="176">
        <f>DANE!S240</f>
        <v>750</v>
      </c>
      <c r="S240" s="188">
        <f t="shared" si="3"/>
        <v>11589</v>
      </c>
      <c r="T240" s="177">
        <f t="shared" ca="1" si="19"/>
        <v>599.42857142857144</v>
      </c>
      <c r="U240" s="209">
        <f t="shared" si="50"/>
        <v>3750.5630617188972</v>
      </c>
      <c r="V240" s="179">
        <f t="shared" si="55"/>
        <v>7.1388360281483682E-2</v>
      </c>
      <c r="W240" s="213">
        <f t="shared" si="56"/>
        <v>1.4997185219703857</v>
      </c>
      <c r="X240" s="214">
        <f t="shared" ca="1" si="57"/>
        <v>1.5038444707155121</v>
      </c>
      <c r="Y240" s="176">
        <f>DANE!W240</f>
        <v>363</v>
      </c>
      <c r="Z240" s="188">
        <f t="shared" si="4"/>
        <v>4993</v>
      </c>
      <c r="AA240" s="177">
        <f t="shared" ca="1" si="20"/>
        <v>330.14285714285717</v>
      </c>
      <c r="AB240" s="209">
        <f t="shared" si="94"/>
        <v>1841.6159515233651</v>
      </c>
      <c r="AC240" s="179">
        <f t="shared" si="95"/>
        <v>6.7571303300426211E-2</v>
      </c>
      <c r="AD240" s="213">
        <f t="shared" si="96"/>
        <v>1.4729991231029835</v>
      </c>
      <c r="AE240" s="217">
        <f t="shared" ca="1" si="97"/>
        <v>1.9107326654524983</v>
      </c>
      <c r="AF240" s="176">
        <f>DANE!AA240</f>
        <v>695</v>
      </c>
      <c r="AG240" s="188">
        <f t="shared" si="5"/>
        <v>19153</v>
      </c>
      <c r="AH240" s="177">
        <f t="shared" ca="1" si="21"/>
        <v>782.42857142857144</v>
      </c>
      <c r="AI240" s="209">
        <f t="shared" si="37"/>
        <v>4841.0434133654371</v>
      </c>
      <c r="AJ240" s="179">
        <f t="shared" si="39"/>
        <v>8.2545433754759555E-4</v>
      </c>
      <c r="AK240" s="213">
        <f t="shared" si="40"/>
        <v>1.0057781803628332</v>
      </c>
      <c r="AL240" s="214">
        <f t="shared" ca="1" si="41"/>
        <v>1.3436550541849972</v>
      </c>
      <c r="AM240" s="176">
        <f>DANE!AE240</f>
        <v>1144</v>
      </c>
      <c r="AN240" s="188">
        <f t="shared" si="6"/>
        <v>33641</v>
      </c>
      <c r="AO240" s="177">
        <f t="shared" ca="1" si="22"/>
        <v>1347.2857142857142</v>
      </c>
      <c r="AP240" s="209">
        <f t="shared" si="49"/>
        <v>8231.6630598161391</v>
      </c>
      <c r="AQ240" s="179">
        <f t="shared" si="51"/>
        <v>-4.5080960280368147E-3</v>
      </c>
      <c r="AR240" s="213">
        <f t="shared" si="52"/>
        <v>0.96844332780374232</v>
      </c>
      <c r="AS240" s="217">
        <f t="shared" ca="1" si="53"/>
        <v>1.2746709401840024</v>
      </c>
      <c r="AT240" s="176">
        <f>DANE!AI240</f>
        <v>1654</v>
      </c>
      <c r="AU240" s="188">
        <f t="shared" si="7"/>
        <v>36946</v>
      </c>
      <c r="AV240" s="177">
        <f t="shared" ca="1" si="23"/>
        <v>1661.1428571428571</v>
      </c>
      <c r="AW240" s="209">
        <f t="shared" si="33"/>
        <v>10018.385402212549</v>
      </c>
      <c r="AX240" s="179">
        <f t="shared" si="34"/>
        <v>2.6636994194369882E-2</v>
      </c>
      <c r="AY240" s="213">
        <f t="shared" si="35"/>
        <v>1.1864589593605892</v>
      </c>
      <c r="AZ240" s="214">
        <f t="shared" ca="1" si="36"/>
        <v>1.5123251758524743</v>
      </c>
      <c r="BA240" s="176">
        <f>DANE!AM240</f>
        <v>335</v>
      </c>
      <c r="BB240" s="188">
        <f t="shared" si="8"/>
        <v>7977</v>
      </c>
      <c r="BC240" s="177">
        <f t="shared" ca="1" si="24"/>
        <v>392.57142857142856</v>
      </c>
      <c r="BD240" s="209">
        <f t="shared" si="77"/>
        <v>2351.1566105970915</v>
      </c>
      <c r="BE240" s="179">
        <f t="shared" si="80"/>
        <v>-4.3623386941355835E-4</v>
      </c>
      <c r="BF240" s="213">
        <f t="shared" si="81"/>
        <v>0.9969463629141051</v>
      </c>
      <c r="BG240" s="217">
        <f t="shared" ca="1" si="82"/>
        <v>1.4490028411517455</v>
      </c>
      <c r="BH240" s="176">
        <f>DANE!AQ240</f>
        <v>729</v>
      </c>
      <c r="BI240" s="188">
        <f t="shared" si="9"/>
        <v>15818</v>
      </c>
      <c r="BJ240" s="177">
        <f t="shared" ca="1" si="25"/>
        <v>815.57142857142856</v>
      </c>
      <c r="BK240" s="209">
        <f t="shared" si="61"/>
        <v>4821.9205935626451</v>
      </c>
      <c r="BL240" s="179">
        <f t="shared" si="63"/>
        <v>9.810647434200721E-3</v>
      </c>
      <c r="BM240" s="213">
        <f t="shared" si="64"/>
        <v>1.0686745320394051</v>
      </c>
      <c r="BN240" s="214">
        <f t="shared" ca="1" si="65"/>
        <v>1.4851707746712626</v>
      </c>
      <c r="BO240" s="176">
        <f>DANE!AU240</f>
        <v>206</v>
      </c>
      <c r="BP240" s="188">
        <f t="shared" si="10"/>
        <v>6181</v>
      </c>
      <c r="BQ240" s="177">
        <f t="shared" ca="1" si="26"/>
        <v>236.14285714285714</v>
      </c>
      <c r="BR240" s="209">
        <f t="shared" si="78"/>
        <v>1459.4916841039767</v>
      </c>
      <c r="BS240" s="179">
        <f t="shared" si="83"/>
        <v>-1.9934811267934491E-3</v>
      </c>
      <c r="BT240" s="213">
        <f t="shared" si="84"/>
        <v>0.98604563211244589</v>
      </c>
      <c r="BU240" s="217">
        <f t="shared" ca="1" si="85"/>
        <v>1.2882376877484849</v>
      </c>
      <c r="BV240" s="176">
        <f>DANE!AY240</f>
        <v>672</v>
      </c>
      <c r="BW240" s="188">
        <f t="shared" si="11"/>
        <v>15665</v>
      </c>
      <c r="BX240" s="177">
        <f t="shared" ca="1" si="27"/>
        <v>632.85714285714289</v>
      </c>
      <c r="BY240" s="209">
        <f t="shared" si="69"/>
        <v>3903.8374608797026</v>
      </c>
      <c r="BZ240" s="179">
        <f t="shared" si="71"/>
        <v>3.5369642051530668E-2</v>
      </c>
      <c r="CA240" s="213">
        <f t="shared" si="72"/>
        <v>1.2475874943607148</v>
      </c>
      <c r="CB240" s="214">
        <f t="shared" ca="1" si="73"/>
        <v>1.3588434961559339</v>
      </c>
      <c r="CC240" s="176">
        <f>DANE!BC240</f>
        <v>1002</v>
      </c>
      <c r="CD240" s="188">
        <f t="shared" si="12"/>
        <v>38562</v>
      </c>
      <c r="CE240" s="177">
        <f t="shared" ca="1" si="28"/>
        <v>1110.5714285714287</v>
      </c>
      <c r="CF240" s="209">
        <f t="shared" si="45"/>
        <v>6559.0586742405058</v>
      </c>
      <c r="CG240" s="179">
        <f t="shared" si="46"/>
        <v>1.169532693021731E-2</v>
      </c>
      <c r="CH240" s="213">
        <f t="shared" si="47"/>
        <v>1.0818672885115213</v>
      </c>
      <c r="CI240" s="217">
        <f t="shared" ca="1" si="48"/>
        <v>1.4965108573146952</v>
      </c>
      <c r="CJ240" s="176">
        <f>DANE!BG240</f>
        <v>316</v>
      </c>
      <c r="CK240" s="188">
        <f t="shared" si="13"/>
        <v>8243</v>
      </c>
      <c r="CL240" s="177">
        <f t="shared" ca="1" si="29"/>
        <v>404.14285714285717</v>
      </c>
      <c r="CM240" s="209">
        <f t="shared" si="79"/>
        <v>2375.9315332833689</v>
      </c>
      <c r="CN240" s="179">
        <f t="shared" si="86"/>
        <v>-1.1368722741830551E-2</v>
      </c>
      <c r="CO240" s="213">
        <f t="shared" si="87"/>
        <v>0.92041894080718611</v>
      </c>
      <c r="CP240" s="214">
        <f t="shared" ca="1" si="88"/>
        <v>1.5087080438439029</v>
      </c>
      <c r="CQ240" s="176">
        <f>DANE!BK240</f>
        <v>370</v>
      </c>
      <c r="CR240" s="188">
        <f t="shared" si="14"/>
        <v>6154</v>
      </c>
      <c r="CS240" s="177">
        <f t="shared" ca="1" si="30"/>
        <v>320.42857142857144</v>
      </c>
      <c r="CT240" s="209">
        <f t="shared" si="89"/>
        <v>1900.3906387810937</v>
      </c>
      <c r="CU240" s="179">
        <f t="shared" si="90"/>
        <v>6.4372860454594033E-2</v>
      </c>
      <c r="CV240" s="213">
        <f t="shared" si="91"/>
        <v>1.4506100231821581</v>
      </c>
      <c r="CW240" s="217">
        <f t="shared" ca="1" si="92"/>
        <v>1.6112109732873243</v>
      </c>
      <c r="CX240" s="176">
        <f>DANE!BO240</f>
        <v>458</v>
      </c>
      <c r="CY240" s="188">
        <f t="shared" si="15"/>
        <v>23074</v>
      </c>
      <c r="CZ240" s="177">
        <f t="shared" ca="1" si="31"/>
        <v>1041.1428571428571</v>
      </c>
      <c r="DA240" s="209">
        <f t="shared" si="54"/>
        <v>5843.3120308423522</v>
      </c>
      <c r="DB240" s="179">
        <f t="shared" si="58"/>
        <v>-6.996045157479501E-2</v>
      </c>
      <c r="DC240" s="213">
        <f t="shared" si="59"/>
        <v>0.51027683897643494</v>
      </c>
      <c r="DD240" s="214">
        <f t="shared" ca="1" si="60"/>
        <v>1.4835372279861454</v>
      </c>
      <c r="DE240" s="176">
        <f>DANE!BS240</f>
        <v>560</v>
      </c>
      <c r="DF240" s="188">
        <f t="shared" si="16"/>
        <v>7943</v>
      </c>
      <c r="DG240" s="177">
        <f t="shared" ca="1" si="32"/>
        <v>455</v>
      </c>
      <c r="DH240" s="209">
        <f t="shared" si="70"/>
        <v>2721.9879124839777</v>
      </c>
      <c r="DI240" s="179">
        <f t="shared" si="74"/>
        <v>7.9160749670532091E-2</v>
      </c>
      <c r="DJ240" s="157">
        <f t="shared" si="75"/>
        <v>1.5541252476937246</v>
      </c>
      <c r="DK240" s="225">
        <f t="shared" ca="1" si="76"/>
        <v>1.6917732413291535</v>
      </c>
      <c r="DL240" s="50"/>
      <c r="DM240" s="380"/>
      <c r="DN240" s="372"/>
      <c r="DO240" s="372"/>
      <c r="DP240" s="372"/>
      <c r="DQ240" s="372"/>
      <c r="DR240" s="372"/>
      <c r="DS240" s="372"/>
      <c r="DT240" s="88"/>
      <c r="DU240" s="88"/>
      <c r="DV240" s="88"/>
      <c r="DW240" s="50"/>
      <c r="DX240" s="50"/>
      <c r="DY240" s="50"/>
      <c r="DZ240" s="50"/>
      <c r="EA240" s="50"/>
      <c r="EB240" s="50"/>
      <c r="EC240" s="50"/>
      <c r="ED240" s="50"/>
      <c r="EE240" s="50"/>
      <c r="EF240" s="50"/>
      <c r="EG240" s="50"/>
      <c r="EH240" s="50"/>
    </row>
    <row r="241" spans="1:138" x14ac:dyDescent="0.25">
      <c r="A241" s="32">
        <v>44131</v>
      </c>
      <c r="B241" s="33">
        <f t="shared" ca="1" si="98"/>
        <v>44131</v>
      </c>
      <c r="C241" s="51">
        <f t="shared" si="93"/>
        <v>238</v>
      </c>
      <c r="D241" s="176">
        <f>DANE!K241</f>
        <v>917</v>
      </c>
      <c r="E241" s="188">
        <f t="shared" si="1"/>
        <v>14725</v>
      </c>
      <c r="F241" s="178">
        <f t="shared" ca="1" si="17"/>
        <v>621.14285714285711</v>
      </c>
      <c r="G241" s="209">
        <f t="shared" si="38"/>
        <v>3824.7333781126727</v>
      </c>
      <c r="H241" s="179">
        <f t="shared" si="42"/>
        <v>0.12745649934830944</v>
      </c>
      <c r="I241" s="213">
        <f t="shared" si="43"/>
        <v>1.8921954954381661</v>
      </c>
      <c r="J241" s="214">
        <f t="shared" ca="1" si="44"/>
        <v>1.4434628598262902</v>
      </c>
      <c r="K241" s="176">
        <f>DANE!O241</f>
        <v>1499</v>
      </c>
      <c r="L241" s="188">
        <f t="shared" si="2"/>
        <v>15681</v>
      </c>
      <c r="M241" s="177">
        <f t="shared" ca="1" si="18"/>
        <v>976.28571428571433</v>
      </c>
      <c r="N241" s="209">
        <f t="shared" si="62"/>
        <v>5562.1328588130018</v>
      </c>
      <c r="O241" s="179">
        <f t="shared" si="66"/>
        <v>0.17336612315550212</v>
      </c>
      <c r="P241" s="213">
        <f t="shared" si="67"/>
        <v>2.2135628620885148</v>
      </c>
      <c r="Q241" s="217">
        <f t="shared" ca="1" si="68"/>
        <v>1.7989319286905558</v>
      </c>
      <c r="R241" s="176">
        <f>DANE!S241</f>
        <v>400</v>
      </c>
      <c r="S241" s="188">
        <f t="shared" si="3"/>
        <v>11989</v>
      </c>
      <c r="T241" s="177">
        <f t="shared" ca="1" si="19"/>
        <v>625.28571428571433</v>
      </c>
      <c r="U241" s="209">
        <f t="shared" si="50"/>
        <v>3614.768338616198</v>
      </c>
      <c r="V241" s="179">
        <f t="shared" si="55"/>
        <v>-3.6206489763823346E-2</v>
      </c>
      <c r="W241" s="213">
        <f t="shared" si="56"/>
        <v>0.74655457165323658</v>
      </c>
      <c r="X241" s="214">
        <f t="shared" ca="1" si="57"/>
        <v>1.5167672100486549</v>
      </c>
      <c r="Y241" s="176">
        <f>DANE!W241</f>
        <v>323</v>
      </c>
      <c r="Z241" s="188">
        <f t="shared" si="4"/>
        <v>5316</v>
      </c>
      <c r="AA241" s="177">
        <f t="shared" ca="1" si="20"/>
        <v>343.71428571428572</v>
      </c>
      <c r="AB241" s="209">
        <f t="shared" si="94"/>
        <v>1901.5279584485988</v>
      </c>
      <c r="AC241" s="179">
        <f t="shared" si="95"/>
        <v>3.2532302337887106E-2</v>
      </c>
      <c r="AD241" s="213">
        <f t="shared" si="96"/>
        <v>1.2277261163652098</v>
      </c>
      <c r="AE241" s="217">
        <f t="shared" ca="1" si="97"/>
        <v>1.7972853951486496</v>
      </c>
      <c r="AF241" s="176">
        <f>DANE!AA241</f>
        <v>1421</v>
      </c>
      <c r="AG241" s="188">
        <f t="shared" si="5"/>
        <v>20574</v>
      </c>
      <c r="AH241" s="177">
        <f t="shared" ca="1" si="21"/>
        <v>896.14285714285711</v>
      </c>
      <c r="AI241" s="209">
        <f t="shared" si="37"/>
        <v>5570.4657828846603</v>
      </c>
      <c r="AJ241" s="179">
        <f t="shared" si="39"/>
        <v>0.15067461851413913</v>
      </c>
      <c r="AK241" s="213">
        <f t="shared" si="40"/>
        <v>2.0547223295989738</v>
      </c>
      <c r="AL241" s="214">
        <f t="shared" ca="1" si="41"/>
        <v>1.4571006674516198</v>
      </c>
      <c r="AM241" s="176">
        <f>DANE!AE241</f>
        <v>1884</v>
      </c>
      <c r="AN241" s="188">
        <f t="shared" si="6"/>
        <v>35525</v>
      </c>
      <c r="AO241" s="177">
        <f t="shared" ca="1" si="22"/>
        <v>1404.1428571428571</v>
      </c>
      <c r="AP241" s="209">
        <f t="shared" si="49"/>
        <v>8939.71119412812</v>
      </c>
      <c r="AQ241" s="179">
        <f t="shared" si="51"/>
        <v>8.6015198771728599E-2</v>
      </c>
      <c r="AR241" s="213">
        <f t="shared" si="52"/>
        <v>1.6021063914021001</v>
      </c>
      <c r="AS241" s="217">
        <f t="shared" ca="1" si="53"/>
        <v>1.268051857980975</v>
      </c>
      <c r="AT241" s="176">
        <f>DANE!AI241</f>
        <v>3529</v>
      </c>
      <c r="AU241" s="188">
        <f t="shared" si="7"/>
        <v>40475</v>
      </c>
      <c r="AV241" s="177">
        <f t="shared" ca="1" si="23"/>
        <v>1982.1428571428571</v>
      </c>
      <c r="AW241" s="209">
        <f t="shared" si="33"/>
        <v>12116.187487610756</v>
      </c>
      <c r="AX241" s="179">
        <f t="shared" si="34"/>
        <v>0.20939522699285554</v>
      </c>
      <c r="AY241" s="213">
        <f t="shared" si="35"/>
        <v>2.4657665889499887</v>
      </c>
      <c r="AZ241" s="214">
        <f t="shared" ca="1" si="36"/>
        <v>1.6555889454064869</v>
      </c>
      <c r="BA241" s="176">
        <f>DANE!AM241</f>
        <v>385</v>
      </c>
      <c r="BB241" s="188">
        <f t="shared" si="8"/>
        <v>8362</v>
      </c>
      <c r="BC241" s="177">
        <f t="shared" ca="1" si="24"/>
        <v>403.71428571428572</v>
      </c>
      <c r="BD241" s="209">
        <f t="shared" si="77"/>
        <v>2400.2770947975068</v>
      </c>
      <c r="BE241" s="179">
        <f t="shared" si="80"/>
        <v>2.0892051162827861E-2</v>
      </c>
      <c r="BF241" s="213">
        <f t="shared" si="81"/>
        <v>1.146244358139795</v>
      </c>
      <c r="BG241" s="217">
        <f t="shared" ca="1" si="82"/>
        <v>1.4119935353648772</v>
      </c>
      <c r="BH241" s="176">
        <f>DANE!AQ241</f>
        <v>742</v>
      </c>
      <c r="BI241" s="188">
        <f t="shared" si="9"/>
        <v>16560</v>
      </c>
      <c r="BJ241" s="177">
        <f t="shared" ca="1" si="25"/>
        <v>826.28571428571433</v>
      </c>
      <c r="BK241" s="209">
        <f t="shared" si="61"/>
        <v>4875.0747944822679</v>
      </c>
      <c r="BL241" s="179">
        <f t="shared" si="63"/>
        <v>1.1023450073106688E-2</v>
      </c>
      <c r="BM241" s="213">
        <f t="shared" si="64"/>
        <v>1.0771641505117469</v>
      </c>
      <c r="BN241" s="214">
        <f t="shared" ca="1" si="65"/>
        <v>1.4186166599498213</v>
      </c>
      <c r="BO241" s="176">
        <f>DANE!AU241</f>
        <v>426</v>
      </c>
      <c r="BP241" s="188">
        <f t="shared" si="10"/>
        <v>6607</v>
      </c>
      <c r="BQ241" s="177">
        <f t="shared" ca="1" si="26"/>
        <v>267.14285714285717</v>
      </c>
      <c r="BR241" s="209">
        <f t="shared" si="78"/>
        <v>1676.992872089123</v>
      </c>
      <c r="BS241" s="179">
        <f t="shared" si="83"/>
        <v>0.14902530131144698</v>
      </c>
      <c r="BT241" s="213">
        <f t="shared" si="84"/>
        <v>2.043177109180129</v>
      </c>
      <c r="BU241" s="217">
        <f t="shared" ca="1" si="85"/>
        <v>1.3908671820657454</v>
      </c>
      <c r="BV241" s="176">
        <f>DANE!AY241</f>
        <v>643</v>
      </c>
      <c r="BW241" s="188">
        <f t="shared" si="11"/>
        <v>16308</v>
      </c>
      <c r="BX241" s="177">
        <f t="shared" ca="1" si="27"/>
        <v>655.57142857142856</v>
      </c>
      <c r="BY241" s="209">
        <f t="shared" si="69"/>
        <v>3989.1463950397451</v>
      </c>
      <c r="BZ241" s="179">
        <f t="shared" si="71"/>
        <v>2.1852583519401645E-2</v>
      </c>
      <c r="CA241" s="213">
        <f t="shared" si="72"/>
        <v>1.1529680846358115</v>
      </c>
      <c r="CB241" s="214">
        <f t="shared" ca="1" si="73"/>
        <v>1.3482796684753722</v>
      </c>
      <c r="CC241" s="176">
        <f>DANE!BC241</f>
        <v>1298</v>
      </c>
      <c r="CD241" s="188">
        <f t="shared" si="12"/>
        <v>39860</v>
      </c>
      <c r="CE241" s="177">
        <f t="shared" ca="1" si="28"/>
        <v>1168.1428571428571</v>
      </c>
      <c r="CF241" s="209">
        <f t="shared" si="45"/>
        <v>6920.0502922061478</v>
      </c>
      <c r="CG241" s="179">
        <f t="shared" si="46"/>
        <v>5.5037107593406673E-2</v>
      </c>
      <c r="CH241" s="213">
        <f t="shared" si="47"/>
        <v>1.3852597531538469</v>
      </c>
      <c r="CI241" s="217">
        <f t="shared" ca="1" si="48"/>
        <v>1.4746390304585308</v>
      </c>
      <c r="CJ241" s="176">
        <f>DANE!BG241</f>
        <v>434</v>
      </c>
      <c r="CK241" s="188">
        <f t="shared" si="13"/>
        <v>8677</v>
      </c>
      <c r="CL241" s="177">
        <f t="shared" ca="1" si="29"/>
        <v>421.57142857142856</v>
      </c>
      <c r="CM241" s="209">
        <f t="shared" si="79"/>
        <v>2470.5127428143164</v>
      </c>
      <c r="CN241" s="179">
        <f t="shared" si="86"/>
        <v>3.9808053475447989E-2</v>
      </c>
      <c r="CO241" s="213">
        <f t="shared" si="87"/>
        <v>1.2786563743281358</v>
      </c>
      <c r="CP241" s="214">
        <f t="shared" ca="1" si="88"/>
        <v>1.4800269381809721</v>
      </c>
      <c r="CQ241" s="176">
        <f>DANE!BK241</f>
        <v>301</v>
      </c>
      <c r="CR241" s="188">
        <f t="shared" si="14"/>
        <v>6455</v>
      </c>
      <c r="CS241" s="177">
        <f t="shared" ca="1" si="30"/>
        <v>339.85714285714283</v>
      </c>
      <c r="CT241" s="209">
        <f t="shared" si="89"/>
        <v>1929.9062618123662</v>
      </c>
      <c r="CU241" s="179">
        <f t="shared" si="90"/>
        <v>1.5531345202901958E-2</v>
      </c>
      <c r="CV241" s="213">
        <f t="shared" si="91"/>
        <v>1.1087194164203138</v>
      </c>
      <c r="CW241" s="217">
        <f t="shared" ca="1" si="92"/>
        <v>1.6146915665069195</v>
      </c>
      <c r="CX241" s="176">
        <f>DANE!BO241</f>
        <v>1577</v>
      </c>
      <c r="CY241" s="188">
        <f t="shared" si="15"/>
        <v>24651</v>
      </c>
      <c r="CZ241" s="177">
        <f t="shared" ca="1" si="31"/>
        <v>1097</v>
      </c>
      <c r="DA241" s="209">
        <f t="shared" si="54"/>
        <v>6585.5531692934455</v>
      </c>
      <c r="DB241" s="179">
        <f t="shared" si="58"/>
        <v>0.1270240463855726</v>
      </c>
      <c r="DC241" s="213">
        <f t="shared" si="59"/>
        <v>1.8891683246990083</v>
      </c>
      <c r="DD241" s="214">
        <f t="shared" ca="1" si="60"/>
        <v>1.437290640024264</v>
      </c>
      <c r="DE241" s="176">
        <f>DANE!BS241</f>
        <v>521</v>
      </c>
      <c r="DF241" s="188">
        <f t="shared" si="16"/>
        <v>8464</v>
      </c>
      <c r="DG241" s="177">
        <f t="shared" ca="1" si="32"/>
        <v>499</v>
      </c>
      <c r="DH241" s="209">
        <f t="shared" si="70"/>
        <v>2854.132496414838</v>
      </c>
      <c r="DI241" s="179">
        <f t="shared" si="74"/>
        <v>4.8547086974486398E-2</v>
      </c>
      <c r="DJ241" s="157">
        <f t="shared" si="75"/>
        <v>1.3398296088214048</v>
      </c>
      <c r="DK241" s="225">
        <f t="shared" ca="1" si="76"/>
        <v>1.7335468870123611</v>
      </c>
      <c r="DL241" s="75"/>
      <c r="DM241" s="380"/>
      <c r="DN241" s="372"/>
      <c r="DO241" s="372"/>
      <c r="DP241" s="372"/>
      <c r="DQ241" s="372"/>
      <c r="DR241" s="372"/>
      <c r="DS241" s="372"/>
      <c r="DT241" s="146"/>
      <c r="DU241" s="146"/>
      <c r="DV241" s="146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</row>
    <row r="242" spans="1:138" x14ac:dyDescent="0.25">
      <c r="A242" s="32">
        <v>44132</v>
      </c>
      <c r="B242" s="33">
        <f t="shared" ca="1" si="98"/>
        <v>44132</v>
      </c>
      <c r="C242" s="51">
        <f t="shared" si="93"/>
        <v>239</v>
      </c>
      <c r="D242" s="176">
        <f>DANE!K242</f>
        <v>1140</v>
      </c>
      <c r="E242" s="188">
        <f t="shared" si="1"/>
        <v>15865</v>
      </c>
      <c r="F242" s="178">
        <f t="shared" ca="1" si="17"/>
        <v>718</v>
      </c>
      <c r="G242" s="209">
        <f t="shared" si="38"/>
        <v>4418.3428955251484</v>
      </c>
      <c r="H242" s="179">
        <f t="shared" si="42"/>
        <v>0.15520284912131427</v>
      </c>
      <c r="I242" s="213">
        <f t="shared" si="43"/>
        <v>2.0864199438491999</v>
      </c>
      <c r="J242" s="214">
        <f t="shared" ca="1" si="44"/>
        <v>1.5568303625027657</v>
      </c>
      <c r="K242" s="176">
        <f>DANE!O242</f>
        <v>1215</v>
      </c>
      <c r="L242" s="188">
        <f t="shared" si="2"/>
        <v>16896</v>
      </c>
      <c r="M242" s="177">
        <f t="shared" ca="1" si="18"/>
        <v>1039.7142857142858</v>
      </c>
      <c r="N242" s="209">
        <f t="shared" si="62"/>
        <v>5982.5424504111452</v>
      </c>
      <c r="O242" s="179">
        <f t="shared" si="66"/>
        <v>7.5584241202009281E-2</v>
      </c>
      <c r="P242" s="213">
        <f t="shared" si="67"/>
        <v>1.529089688414065</v>
      </c>
      <c r="Q242" s="217">
        <f t="shared" ca="1" si="68"/>
        <v>1.7271306465794056</v>
      </c>
      <c r="R242" s="176">
        <f>DANE!S242</f>
        <v>700</v>
      </c>
      <c r="S242" s="188">
        <f t="shared" si="3"/>
        <v>12689</v>
      </c>
      <c r="T242" s="177">
        <f t="shared" ca="1" si="19"/>
        <v>631.28571428571433</v>
      </c>
      <c r="U242" s="209">
        <f t="shared" si="50"/>
        <v>3798.3728616710273</v>
      </c>
      <c r="V242" s="179">
        <f t="shared" si="55"/>
        <v>5.0792887913009829E-2</v>
      </c>
      <c r="W242" s="213">
        <f t="shared" si="56"/>
        <v>1.3555502153910688</v>
      </c>
      <c r="X242" s="214">
        <f t="shared" ca="1" si="57"/>
        <v>1.4142553108917195</v>
      </c>
      <c r="Y242" s="176">
        <f>DANE!W242</f>
        <v>380</v>
      </c>
      <c r="Z242" s="188">
        <f t="shared" si="4"/>
        <v>5696</v>
      </c>
      <c r="AA242" s="177">
        <f t="shared" ca="1" si="20"/>
        <v>357.57142857142856</v>
      </c>
      <c r="AB242" s="209">
        <f t="shared" si="94"/>
        <v>2009.8811072416563</v>
      </c>
      <c r="AC242" s="179">
        <f t="shared" si="95"/>
        <v>5.6982148651371731E-2</v>
      </c>
      <c r="AD242" s="213">
        <f t="shared" si="96"/>
        <v>1.3988750405596022</v>
      </c>
      <c r="AE242" s="217">
        <f t="shared" ca="1" si="97"/>
        <v>1.6842812053828549</v>
      </c>
      <c r="AF242" s="176">
        <f>DANE!AA242</f>
        <v>1860</v>
      </c>
      <c r="AG242" s="188">
        <f t="shared" si="5"/>
        <v>22434</v>
      </c>
      <c r="AH242" s="177">
        <f t="shared" ca="1" si="21"/>
        <v>1065.4285714285713</v>
      </c>
      <c r="AI242" s="209">
        <f t="shared" si="37"/>
        <v>6634.6849567582804</v>
      </c>
      <c r="AJ242" s="179">
        <f t="shared" si="39"/>
        <v>0.19104671231325923</v>
      </c>
      <c r="AK242" s="213">
        <f t="shared" si="40"/>
        <v>2.3373269861928145</v>
      </c>
      <c r="AL242" s="214">
        <f t="shared" ca="1" si="41"/>
        <v>1.6034923734543267</v>
      </c>
      <c r="AM242" s="176">
        <f>DANE!AE242</f>
        <v>2165</v>
      </c>
      <c r="AN242" s="188">
        <f t="shared" si="6"/>
        <v>37690</v>
      </c>
      <c r="AO242" s="177">
        <f t="shared" ca="1" si="22"/>
        <v>1525.5714285714287</v>
      </c>
      <c r="AP242" s="209">
        <f t="shared" si="49"/>
        <v>9827.6095949669616</v>
      </c>
      <c r="AQ242" s="179">
        <f t="shared" si="51"/>
        <v>9.9320703047100764E-2</v>
      </c>
      <c r="AR242" s="213">
        <f t="shared" si="52"/>
        <v>1.6952449213297054</v>
      </c>
      <c r="AS242" s="217">
        <f t="shared" ca="1" si="53"/>
        <v>1.3195048825525804</v>
      </c>
      <c r="AT242" s="176">
        <f>DANE!AI242</f>
        <v>2644</v>
      </c>
      <c r="AU242" s="188">
        <f t="shared" si="7"/>
        <v>43119</v>
      </c>
      <c r="AV242" s="177">
        <f t="shared" ca="1" si="23"/>
        <v>2193.8571428571427</v>
      </c>
      <c r="AW242" s="209">
        <f t="shared" si="33"/>
        <v>13029.30356080922</v>
      </c>
      <c r="AX242" s="179">
        <f t="shared" si="34"/>
        <v>7.536331656572319E-2</v>
      </c>
      <c r="AY242" s="213">
        <f t="shared" si="35"/>
        <v>1.5275432159600624</v>
      </c>
      <c r="AZ242" s="214">
        <f t="shared" ca="1" si="36"/>
        <v>1.6961329245961179</v>
      </c>
      <c r="BA242" s="176">
        <f>DANE!AM242</f>
        <v>395</v>
      </c>
      <c r="BB242" s="188">
        <f t="shared" si="8"/>
        <v>8757</v>
      </c>
      <c r="BC242" s="177">
        <f t="shared" ca="1" si="24"/>
        <v>408.42857142857144</v>
      </c>
      <c r="BD242" s="209">
        <f t="shared" si="77"/>
        <v>2452.3803669692916</v>
      </c>
      <c r="BE242" s="179">
        <f t="shared" si="80"/>
        <v>2.1707190509260888E-2</v>
      </c>
      <c r="BF242" s="213">
        <f t="shared" si="81"/>
        <v>1.1519503335648262</v>
      </c>
      <c r="BG242" s="217">
        <f t="shared" ca="1" si="82"/>
        <v>1.3527893625924352</v>
      </c>
      <c r="BH242" s="176">
        <f>DANE!AQ242</f>
        <v>1039</v>
      </c>
      <c r="BI242" s="188">
        <f t="shared" si="9"/>
        <v>17599</v>
      </c>
      <c r="BJ242" s="177">
        <f t="shared" ca="1" si="25"/>
        <v>848.85714285714289</v>
      </c>
      <c r="BK242" s="209">
        <f t="shared" si="61"/>
        <v>5217.635538127658</v>
      </c>
      <c r="BL242" s="179">
        <f t="shared" si="63"/>
        <v>7.0267792410715221E-2</v>
      </c>
      <c r="BM242" s="213">
        <f t="shared" si="64"/>
        <v>1.4918745468750065</v>
      </c>
      <c r="BN242" s="214">
        <f t="shared" ca="1" si="65"/>
        <v>1.3615439813931351</v>
      </c>
      <c r="BO242" s="176">
        <f>DANE!AU242</f>
        <v>290</v>
      </c>
      <c r="BP242" s="188">
        <f t="shared" si="10"/>
        <v>6897</v>
      </c>
      <c r="BQ242" s="177">
        <f t="shared" ca="1" si="26"/>
        <v>270.28571428571428</v>
      </c>
      <c r="BR242" s="209">
        <f t="shared" si="78"/>
        <v>1727.4224617906771</v>
      </c>
      <c r="BS242" s="179">
        <f t="shared" si="83"/>
        <v>3.0071439503932484E-2</v>
      </c>
      <c r="BT242" s="213">
        <f t="shared" si="84"/>
        <v>1.2105000765275273</v>
      </c>
      <c r="BU242" s="217">
        <f t="shared" ca="1" si="85"/>
        <v>1.3318773812388101</v>
      </c>
      <c r="BV242" s="176">
        <f>DANE!AY242</f>
        <v>901</v>
      </c>
      <c r="BW242" s="188">
        <f t="shared" si="11"/>
        <v>17209</v>
      </c>
      <c r="BX242" s="177">
        <f t="shared" ca="1" si="27"/>
        <v>706</v>
      </c>
      <c r="BY242" s="209">
        <f t="shared" si="69"/>
        <v>4320.268338605496</v>
      </c>
      <c r="BZ242" s="179">
        <f t="shared" si="71"/>
        <v>8.300571369791801E-2</v>
      </c>
      <c r="CA242" s="213">
        <f t="shared" si="72"/>
        <v>1.5810399958854262</v>
      </c>
      <c r="CB242" s="214">
        <f t="shared" ca="1" si="73"/>
        <v>1.3819233582200934</v>
      </c>
      <c r="CC242" s="176">
        <f>DANE!BC242</f>
        <v>1868</v>
      </c>
      <c r="CD242" s="188">
        <f t="shared" si="12"/>
        <v>41728</v>
      </c>
      <c r="CE242" s="177">
        <f t="shared" ca="1" si="28"/>
        <v>1291</v>
      </c>
      <c r="CF242" s="209">
        <f t="shared" si="45"/>
        <v>7799.4716790338416</v>
      </c>
      <c r="CG242" s="179">
        <f t="shared" si="46"/>
        <v>0.1270830918408441</v>
      </c>
      <c r="CH242" s="213">
        <f t="shared" si="47"/>
        <v>1.8895816428859087</v>
      </c>
      <c r="CI242" s="217">
        <f t="shared" ca="1" si="48"/>
        <v>1.5147426732886029</v>
      </c>
      <c r="CJ242" s="176">
        <f>DANE!BG242</f>
        <v>536</v>
      </c>
      <c r="CK242" s="188">
        <f t="shared" si="13"/>
        <v>9213</v>
      </c>
      <c r="CL242" s="177">
        <f t="shared" ca="1" si="29"/>
        <v>461.14285714285717</v>
      </c>
      <c r="CM242" s="209">
        <f t="shared" si="79"/>
        <v>2653.5823509837001</v>
      </c>
      <c r="CN242" s="179">
        <f t="shared" si="86"/>
        <v>7.4101867598884569E-2</v>
      </c>
      <c r="CO242" s="213">
        <f t="shared" si="87"/>
        <v>1.5187130731921921</v>
      </c>
      <c r="CP242" s="214">
        <f t="shared" ca="1" si="88"/>
        <v>1.5327872529033872</v>
      </c>
      <c r="CQ242" s="176">
        <f>DANE!BK242</f>
        <v>442</v>
      </c>
      <c r="CR242" s="188">
        <f t="shared" si="14"/>
        <v>6897</v>
      </c>
      <c r="CS242" s="177">
        <f t="shared" ca="1" si="30"/>
        <v>353.28571428571428</v>
      </c>
      <c r="CT242" s="209">
        <f t="shared" si="89"/>
        <v>2096.2053672677425</v>
      </c>
      <c r="CU242" s="179">
        <f t="shared" si="90"/>
        <v>8.616952478262109E-2</v>
      </c>
      <c r="CV242" s="213">
        <f t="shared" si="91"/>
        <v>1.6031866734783478</v>
      </c>
      <c r="CW242" s="217">
        <f t="shared" ca="1" si="92"/>
        <v>1.520893680028085</v>
      </c>
      <c r="CX242" s="176">
        <f>DANE!BO242</f>
        <v>2885</v>
      </c>
      <c r="CY242" s="188">
        <f t="shared" si="15"/>
        <v>27536</v>
      </c>
      <c r="CZ242" s="177">
        <f t="shared" ca="1" si="31"/>
        <v>1401.2857142857142</v>
      </c>
      <c r="DA242" s="209">
        <f t="shared" si="54"/>
        <v>8529.7598593943821</v>
      </c>
      <c r="DB242" s="179">
        <f t="shared" si="58"/>
        <v>0.29522298888515813</v>
      </c>
      <c r="DC242" s="213">
        <f t="shared" si="59"/>
        <v>3.066560922196107</v>
      </c>
      <c r="DD242" s="214">
        <f t="shared" ca="1" si="60"/>
        <v>1.7038460516377565</v>
      </c>
      <c r="DE242" s="176">
        <f>DANE!BS242</f>
        <v>360</v>
      </c>
      <c r="DF242" s="188">
        <f t="shared" si="16"/>
        <v>8824</v>
      </c>
      <c r="DG242" s="177">
        <f t="shared" ca="1" si="32"/>
        <v>509.71428571428572</v>
      </c>
      <c r="DH242" s="209">
        <f t="shared" si="70"/>
        <v>2806.39928264129</v>
      </c>
      <c r="DI242" s="179">
        <f t="shared" si="74"/>
        <v>-1.672424592534057E-2</v>
      </c>
      <c r="DJ242" s="157">
        <f t="shared" si="75"/>
        <v>0.88293027852261596</v>
      </c>
      <c r="DK242" s="225">
        <f t="shared" ca="1" si="76"/>
        <v>1.6608168339245122</v>
      </c>
      <c r="DL242" s="75"/>
      <c r="DM242" s="88"/>
      <c r="DN242" s="88"/>
      <c r="DO242" s="88"/>
      <c r="DP242" s="88"/>
      <c r="DQ242" s="88"/>
      <c r="DR242" s="88"/>
      <c r="DS242" s="88"/>
      <c r="DT242" s="88"/>
      <c r="DU242" s="88"/>
      <c r="DV242" s="88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</row>
    <row r="243" spans="1:138" x14ac:dyDescent="0.25">
      <c r="A243" s="32">
        <v>44133</v>
      </c>
      <c r="B243" s="33">
        <f t="shared" ca="1" si="98"/>
        <v>44133</v>
      </c>
      <c r="C243" s="51">
        <f t="shared" si="93"/>
        <v>240</v>
      </c>
      <c r="D243" s="176">
        <f>DANE!K243</f>
        <v>857</v>
      </c>
      <c r="E243" s="188">
        <f t="shared" si="1"/>
        <v>16722</v>
      </c>
      <c r="F243" s="178">
        <f t="shared" ca="1" si="17"/>
        <v>753.28571428571433</v>
      </c>
      <c r="G243" s="209">
        <f t="shared" si="38"/>
        <v>4644.1510533072706</v>
      </c>
      <c r="H243" s="179">
        <f t="shared" si="42"/>
        <v>5.1106979046560266E-2</v>
      </c>
      <c r="I243" s="213">
        <f t="shared" si="43"/>
        <v>1.3577488533259219</v>
      </c>
      <c r="J243" s="214">
        <f t="shared" ca="1" si="44"/>
        <v>1.5167286605912034</v>
      </c>
      <c r="K243" s="176">
        <f>DANE!O243</f>
        <v>1403</v>
      </c>
      <c r="L243" s="188">
        <f t="shared" si="2"/>
        <v>18299</v>
      </c>
      <c r="M243" s="177">
        <f t="shared" ca="1" si="18"/>
        <v>1110.8571428571429</v>
      </c>
      <c r="N243" s="209">
        <f t="shared" si="62"/>
        <v>6530.8935289238389</v>
      </c>
      <c r="O243" s="179">
        <f t="shared" si="66"/>
        <v>9.1658535323056289E-2</v>
      </c>
      <c r="P243" s="213">
        <f t="shared" si="67"/>
        <v>1.641609747261394</v>
      </c>
      <c r="Q243" s="217">
        <f t="shared" ca="1" si="68"/>
        <v>1.6647217863909591</v>
      </c>
      <c r="R243" s="176">
        <f>DANE!S243</f>
        <v>1700</v>
      </c>
      <c r="S243" s="188">
        <f t="shared" si="3"/>
        <v>14389</v>
      </c>
      <c r="T243" s="177">
        <f t="shared" ca="1" si="19"/>
        <v>815.42857142857144</v>
      </c>
      <c r="U243" s="209">
        <f t="shared" si="50"/>
        <v>4955.7481671465957</v>
      </c>
      <c r="V243" s="179">
        <f t="shared" si="55"/>
        <v>0.30470292086238254</v>
      </c>
      <c r="W243" s="213">
        <f t="shared" si="56"/>
        <v>3.1329204460366777</v>
      </c>
      <c r="X243" s="214">
        <f t="shared" ca="1" si="57"/>
        <v>1.7014165929979299</v>
      </c>
      <c r="Y243" s="176">
        <f>DANE!W243</f>
        <v>321</v>
      </c>
      <c r="Z243" s="188">
        <f t="shared" si="4"/>
        <v>6017</v>
      </c>
      <c r="AA243" s="177">
        <f t="shared" ca="1" si="20"/>
        <v>361</v>
      </c>
      <c r="AB243" s="209">
        <f t="shared" si="94"/>
        <v>2043.7552347785627</v>
      </c>
      <c r="AC243" s="179">
        <f t="shared" si="95"/>
        <v>1.6853796682230093E-2</v>
      </c>
      <c r="AD243" s="213">
        <f t="shared" si="96"/>
        <v>1.1179765767756107</v>
      </c>
      <c r="AE243" s="217">
        <f t="shared" ca="1" si="97"/>
        <v>1.563373622758472</v>
      </c>
      <c r="AF243" s="176">
        <f>DANE!AA243</f>
        <v>1794</v>
      </c>
      <c r="AG243" s="188">
        <f t="shared" si="5"/>
        <v>24228</v>
      </c>
      <c r="AH243" s="177">
        <f t="shared" ca="1" si="21"/>
        <v>1198.4285714285713</v>
      </c>
      <c r="AI243" s="209">
        <f t="shared" si="37"/>
        <v>7480.8728200785263</v>
      </c>
      <c r="AJ243" s="179">
        <f t="shared" si="39"/>
        <v>0.12754002169436768</v>
      </c>
      <c r="AK243" s="213">
        <f t="shared" si="40"/>
        <v>1.8927801518605738</v>
      </c>
      <c r="AL243" s="214">
        <f t="shared" ca="1" si="41"/>
        <v>1.6443996550206446</v>
      </c>
      <c r="AM243" s="176">
        <f>DANE!AE243</f>
        <v>1927</v>
      </c>
      <c r="AN243" s="188">
        <f t="shared" si="6"/>
        <v>39617</v>
      </c>
      <c r="AO243" s="177">
        <f t="shared" ca="1" si="22"/>
        <v>1610.7142857142858</v>
      </c>
      <c r="AP243" s="209">
        <f t="shared" si="49"/>
        <v>10350.66536711454</v>
      </c>
      <c r="AQ243" s="179">
        <f t="shared" si="51"/>
        <v>5.3223092257902858E-2</v>
      </c>
      <c r="AR243" s="213">
        <f t="shared" si="52"/>
        <v>1.37256164580532</v>
      </c>
      <c r="AS243" s="217">
        <f t="shared" ca="1" si="53"/>
        <v>1.3313582047766661</v>
      </c>
      <c r="AT243" s="176">
        <f>DANE!AI243</f>
        <v>2255</v>
      </c>
      <c r="AU243" s="188">
        <f t="shared" si="7"/>
        <v>45374</v>
      </c>
      <c r="AV243" s="177">
        <f t="shared" ca="1" si="23"/>
        <v>2290.4285714285716</v>
      </c>
      <c r="AW243" s="209">
        <f t="shared" si="33"/>
        <v>13422.974480693618</v>
      </c>
      <c r="AX243" s="179">
        <f t="shared" si="34"/>
        <v>3.0214271856288555E-2</v>
      </c>
      <c r="AY243" s="213">
        <f t="shared" si="35"/>
        <v>1.2114999029940199</v>
      </c>
      <c r="AZ243" s="214">
        <f t="shared" ca="1" si="36"/>
        <v>1.6358900120562205</v>
      </c>
      <c r="BA243" s="176">
        <f>DANE!AM243</f>
        <v>482</v>
      </c>
      <c r="BB243" s="188">
        <f t="shared" si="8"/>
        <v>9239</v>
      </c>
      <c r="BC243" s="177">
        <f t="shared" ca="1" si="24"/>
        <v>419.57142857142856</v>
      </c>
      <c r="BD243" s="209">
        <f t="shared" si="77"/>
        <v>2584.0403145451073</v>
      </c>
      <c r="BE243" s="179">
        <f t="shared" si="80"/>
        <v>5.3686593380505715E-2</v>
      </c>
      <c r="BF243" s="213">
        <f t="shared" si="81"/>
        <v>1.37580615366354</v>
      </c>
      <c r="BG243" s="217">
        <f t="shared" ca="1" si="82"/>
        <v>1.3182960253987215</v>
      </c>
      <c r="BH243" s="176">
        <f>DANE!AQ243</f>
        <v>1306</v>
      </c>
      <c r="BI243" s="188">
        <f t="shared" si="9"/>
        <v>18905</v>
      </c>
      <c r="BJ243" s="177">
        <f t="shared" ca="1" si="25"/>
        <v>924.42857142857144</v>
      </c>
      <c r="BK243" s="209">
        <f t="shared" si="61"/>
        <v>5778.2590326808504</v>
      </c>
      <c r="BL243" s="179">
        <f t="shared" si="63"/>
        <v>0.10744780666577018</v>
      </c>
      <c r="BM243" s="213">
        <f t="shared" si="64"/>
        <v>1.7521346466603913</v>
      </c>
      <c r="BN243" s="214">
        <f t="shared" ca="1" si="65"/>
        <v>1.4004652182110224</v>
      </c>
      <c r="BO243" s="176">
        <f>DANE!AU243</f>
        <v>858</v>
      </c>
      <c r="BP243" s="188">
        <f t="shared" si="10"/>
        <v>7755</v>
      </c>
      <c r="BQ243" s="177">
        <f t="shared" ca="1" si="26"/>
        <v>360.85714285714283</v>
      </c>
      <c r="BR243" s="209">
        <f t="shared" si="78"/>
        <v>2338.6478243920092</v>
      </c>
      <c r="BS243" s="179">
        <f t="shared" si="83"/>
        <v>0.35383664165610362</v>
      </c>
      <c r="BT243" s="213">
        <f t="shared" si="84"/>
        <v>3.4768564915927254</v>
      </c>
      <c r="BU243" s="217">
        <f t="shared" ca="1" si="85"/>
        <v>1.6505809632310153</v>
      </c>
      <c r="BV243" s="176">
        <f>DANE!AY243</f>
        <v>953</v>
      </c>
      <c r="BW243" s="188">
        <f t="shared" si="11"/>
        <v>18162</v>
      </c>
      <c r="BX243" s="177">
        <f t="shared" ca="1" si="27"/>
        <v>740.71428571428567</v>
      </c>
      <c r="BY243" s="209">
        <f t="shared" si="69"/>
        <v>4656.0871473761399</v>
      </c>
      <c r="BZ243" s="179">
        <f t="shared" si="71"/>
        <v>7.7731007069584052E-2</v>
      </c>
      <c r="CA243" s="213">
        <f t="shared" si="72"/>
        <v>1.5441170494870884</v>
      </c>
      <c r="CB243" s="214">
        <f t="shared" ca="1" si="73"/>
        <v>1.3651834217461096</v>
      </c>
      <c r="CC243" s="176">
        <f>DANE!BC243</f>
        <v>1994</v>
      </c>
      <c r="CD243" s="188">
        <f t="shared" si="12"/>
        <v>43722</v>
      </c>
      <c r="CE243" s="177">
        <f t="shared" ca="1" si="28"/>
        <v>1409</v>
      </c>
      <c r="CF243" s="209">
        <f t="shared" si="45"/>
        <v>8679.2614391718635</v>
      </c>
      <c r="CG243" s="179">
        <f t="shared" si="46"/>
        <v>0.11280119940726623</v>
      </c>
      <c r="CH243" s="213">
        <f t="shared" si="47"/>
        <v>1.7896083958508635</v>
      </c>
      <c r="CI243" s="217">
        <f t="shared" ca="1" si="48"/>
        <v>1.5253930801964819</v>
      </c>
      <c r="CJ243" s="176">
        <f>DANE!BG243</f>
        <v>599</v>
      </c>
      <c r="CK243" s="188">
        <f t="shared" si="13"/>
        <v>9812</v>
      </c>
      <c r="CL243" s="177">
        <f t="shared" ca="1" si="29"/>
        <v>477.28571428571428</v>
      </c>
      <c r="CM243" s="209">
        <f t="shared" si="79"/>
        <v>2873.4991579860289</v>
      </c>
      <c r="CN243" s="179">
        <f t="shared" si="86"/>
        <v>8.2875440786981516E-2</v>
      </c>
      <c r="CO243" s="213">
        <f t="shared" si="87"/>
        <v>1.5801280855088706</v>
      </c>
      <c r="CP243" s="214">
        <f t="shared" ca="1" si="88"/>
        <v>1.456847694591574</v>
      </c>
      <c r="CQ243" s="176">
        <f>DANE!BK243</f>
        <v>525</v>
      </c>
      <c r="CR243" s="188">
        <f t="shared" si="14"/>
        <v>7422</v>
      </c>
      <c r="CS243" s="177">
        <f t="shared" ca="1" si="30"/>
        <v>383.85714285714283</v>
      </c>
      <c r="CT243" s="209">
        <f t="shared" si="89"/>
        <v>2321.7474576580653</v>
      </c>
      <c r="CU243" s="179">
        <f t="shared" si="90"/>
        <v>0.10759541689576968</v>
      </c>
      <c r="CV243" s="213">
        <f t="shared" si="91"/>
        <v>1.7531679182703876</v>
      </c>
      <c r="CW243" s="217">
        <f t="shared" ca="1" si="92"/>
        <v>1.5268468993153534</v>
      </c>
      <c r="CX243" s="176">
        <f>DANE!BO243</f>
        <v>2633</v>
      </c>
      <c r="CY243" s="188">
        <f t="shared" si="15"/>
        <v>30169</v>
      </c>
      <c r="CZ243" s="177">
        <f t="shared" ca="1" si="31"/>
        <v>1560.8571428571429</v>
      </c>
      <c r="DA243" s="209">
        <f t="shared" si="54"/>
        <v>9944.2227366237566</v>
      </c>
      <c r="DB243" s="179">
        <f t="shared" si="58"/>
        <v>0.16582681113484504</v>
      </c>
      <c r="DC243" s="213">
        <f t="shared" si="59"/>
        <v>2.1607876779439152</v>
      </c>
      <c r="DD243" s="214">
        <f t="shared" ca="1" si="60"/>
        <v>1.6777157680412109</v>
      </c>
      <c r="DE243" s="176">
        <f>DANE!BS243</f>
        <v>549</v>
      </c>
      <c r="DF243" s="188">
        <f t="shared" si="16"/>
        <v>9373</v>
      </c>
      <c r="DG243" s="177">
        <f t="shared" ca="1" si="32"/>
        <v>514.57142857142856</v>
      </c>
      <c r="DH243" s="209">
        <f t="shared" si="70"/>
        <v>2954.4850994068202</v>
      </c>
      <c r="DI243" s="179">
        <f t="shared" si="74"/>
        <v>5.2767194490641642E-2</v>
      </c>
      <c r="DJ243" s="157">
        <f t="shared" si="75"/>
        <v>1.3693703614344916</v>
      </c>
      <c r="DK243" s="225">
        <f t="shared" ca="1" si="76"/>
        <v>1.5161505809442317</v>
      </c>
      <c r="DL243" s="146"/>
      <c r="DM243" s="380"/>
      <c r="DN243" s="372"/>
      <c r="DO243" s="372"/>
      <c r="DP243" s="372"/>
      <c r="DQ243" s="372"/>
      <c r="DR243" s="372"/>
      <c r="DS243" s="372"/>
      <c r="DT243" s="88"/>
      <c r="DU243" s="88"/>
      <c r="DV243" s="88"/>
      <c r="DW243" s="146"/>
      <c r="DX243" s="146"/>
      <c r="DY243" s="146"/>
      <c r="DZ243" s="146"/>
      <c r="EA243" s="146"/>
      <c r="EB243" s="146"/>
      <c r="EC243" s="146"/>
      <c r="ED243" s="146"/>
      <c r="EE243" s="146"/>
      <c r="EF243" s="146"/>
      <c r="EG243" s="146"/>
      <c r="EH243" s="146"/>
    </row>
    <row r="244" spans="1:138" x14ac:dyDescent="0.25">
      <c r="A244" s="32">
        <v>44134</v>
      </c>
      <c r="B244" s="33">
        <f t="shared" ca="1" si="98"/>
        <v>44134</v>
      </c>
      <c r="C244" s="51">
        <f t="shared" si="93"/>
        <v>241</v>
      </c>
      <c r="D244" s="176">
        <f>DANE!K244</f>
        <v>999</v>
      </c>
      <c r="E244" s="188">
        <f t="shared" si="1"/>
        <v>17721</v>
      </c>
      <c r="F244" s="178">
        <f t="shared" ca="1" si="17"/>
        <v>800.71428571428567</v>
      </c>
      <c r="G244" s="209">
        <f t="shared" si="38"/>
        <v>4979.7009028348039</v>
      </c>
      <c r="H244" s="179">
        <f t="shared" si="42"/>
        <v>7.2252139449378139E-2</v>
      </c>
      <c r="I244" s="213">
        <f t="shared" si="43"/>
        <v>1.5057649761456471</v>
      </c>
      <c r="J244" s="214">
        <f t="shared" ca="1" si="44"/>
        <v>1.4972929353277831</v>
      </c>
      <c r="K244" s="176">
        <f>DANE!O244</f>
        <v>1954</v>
      </c>
      <c r="L244" s="188">
        <f t="shared" si="2"/>
        <v>20253</v>
      </c>
      <c r="M244" s="177">
        <f t="shared" ca="1" si="18"/>
        <v>1217.5714285714287</v>
      </c>
      <c r="N244" s="209">
        <f t="shared" si="62"/>
        <v>7551.9087390775767</v>
      </c>
      <c r="O244" s="179">
        <f t="shared" si="66"/>
        <v>0.15633622040106673</v>
      </c>
      <c r="P244" s="213">
        <f t="shared" si="67"/>
        <v>2.0943535428074673</v>
      </c>
      <c r="Q244" s="217">
        <f t="shared" ca="1" si="68"/>
        <v>1.6207733621742142</v>
      </c>
      <c r="R244" s="176">
        <f>DANE!S244</f>
        <v>1455</v>
      </c>
      <c r="S244" s="188">
        <f t="shared" si="3"/>
        <v>15844</v>
      </c>
      <c r="T244" s="177">
        <f t="shared" ca="1" si="19"/>
        <v>917.14285714285711</v>
      </c>
      <c r="U244" s="209">
        <f t="shared" si="50"/>
        <v>5702.7841432685109</v>
      </c>
      <c r="V244" s="179">
        <f t="shared" si="55"/>
        <v>0.1507413110848288</v>
      </c>
      <c r="W244" s="213">
        <f t="shared" si="56"/>
        <v>2.0551891775938014</v>
      </c>
      <c r="X244" s="214">
        <f t="shared" ca="1" si="57"/>
        <v>1.7100471961698005</v>
      </c>
      <c r="Y244" s="176">
        <f>DANE!W244</f>
        <v>394</v>
      </c>
      <c r="Z244" s="188">
        <f t="shared" si="4"/>
        <v>6411</v>
      </c>
      <c r="AA244" s="177">
        <f t="shared" ca="1" si="20"/>
        <v>353.14285714285717</v>
      </c>
      <c r="AB244" s="209">
        <f t="shared" si="94"/>
        <v>2145.7902012387681</v>
      </c>
      <c r="AC244" s="179">
        <f t="shared" si="95"/>
        <v>4.9925237975603623E-2</v>
      </c>
      <c r="AD244" s="213">
        <f t="shared" si="96"/>
        <v>1.3494766658292254</v>
      </c>
      <c r="AE244" s="217">
        <f t="shared" ca="1" si="97"/>
        <v>1.3832880690287299</v>
      </c>
      <c r="AF244" s="176">
        <f>DANE!AA244</f>
        <v>1554</v>
      </c>
      <c r="AG244" s="188">
        <f t="shared" si="5"/>
        <v>25782</v>
      </c>
      <c r="AH244" s="177">
        <f t="shared" ca="1" si="21"/>
        <v>1306.1428571428571</v>
      </c>
      <c r="AI244" s="209">
        <f t="shared" si="37"/>
        <v>7966.176702924452</v>
      </c>
      <c r="AJ244" s="179">
        <f t="shared" si="39"/>
        <v>6.4872628437604093E-2</v>
      </c>
      <c r="AK244" s="213">
        <f t="shared" si="40"/>
        <v>1.4541083990632286</v>
      </c>
      <c r="AL244" s="214">
        <f t="shared" ca="1" si="41"/>
        <v>1.6563532015155247</v>
      </c>
      <c r="AM244" s="176">
        <f>DANE!AE244</f>
        <v>1914</v>
      </c>
      <c r="AN244" s="188">
        <f t="shared" si="6"/>
        <v>41531</v>
      </c>
      <c r="AO244" s="177">
        <f t="shared" ca="1" si="22"/>
        <v>1662.1428571428571</v>
      </c>
      <c r="AP244" s="209">
        <f t="shared" si="49"/>
        <v>10785.998886098178</v>
      </c>
      <c r="AQ244" s="179">
        <f t="shared" si="51"/>
        <v>4.205850576203065E-2</v>
      </c>
      <c r="AR244" s="213">
        <f t="shared" si="52"/>
        <v>1.2944095403342146</v>
      </c>
      <c r="AS244" s="217">
        <f t="shared" ca="1" si="53"/>
        <v>1.309725818583404</v>
      </c>
      <c r="AT244" s="176">
        <f>DANE!AI244</f>
        <v>3416</v>
      </c>
      <c r="AU244" s="188">
        <f t="shared" si="7"/>
        <v>48790</v>
      </c>
      <c r="AV244" s="177">
        <f t="shared" ca="1" si="23"/>
        <v>2482</v>
      </c>
      <c r="AW244" s="209">
        <f t="shared" si="33"/>
        <v>14921.406697737388</v>
      </c>
      <c r="AX244" s="179">
        <f t="shared" si="34"/>
        <v>0.11163190537231357</v>
      </c>
      <c r="AY244" s="213">
        <f t="shared" si="35"/>
        <v>1.7814233376061952</v>
      </c>
      <c r="AZ244" s="214">
        <f t="shared" ca="1" si="36"/>
        <v>1.6092092023615403</v>
      </c>
      <c r="BA244" s="176">
        <f>DANE!AM244</f>
        <v>550</v>
      </c>
      <c r="BB244" s="188">
        <f t="shared" si="8"/>
        <v>9789</v>
      </c>
      <c r="BC244" s="177">
        <f t="shared" ca="1" si="24"/>
        <v>440.85714285714283</v>
      </c>
      <c r="BD244" s="209">
        <f t="shared" si="77"/>
        <v>2764.891698181521</v>
      </c>
      <c r="BE244" s="179">
        <f t="shared" si="80"/>
        <v>6.9987833633412405E-2</v>
      </c>
      <c r="BF244" s="213">
        <f t="shared" si="81"/>
        <v>1.4899148354338869</v>
      </c>
      <c r="BG244" s="217">
        <f t="shared" ca="1" si="82"/>
        <v>1.320402460260466</v>
      </c>
      <c r="BH244" s="176">
        <f>DANE!AQ244</f>
        <v>1274</v>
      </c>
      <c r="BI244" s="188">
        <f t="shared" si="9"/>
        <v>20179</v>
      </c>
      <c r="BJ244" s="177">
        <f t="shared" ca="1" si="25"/>
        <v>984.71428571428567</v>
      </c>
      <c r="BK244" s="209">
        <f t="shared" si="61"/>
        <v>6226.7934565835867</v>
      </c>
      <c r="BL244" s="179">
        <f t="shared" si="63"/>
        <v>7.7624492319555399E-2</v>
      </c>
      <c r="BM244" s="213">
        <f t="shared" si="64"/>
        <v>1.5433714462368879</v>
      </c>
      <c r="BN244" s="214">
        <f t="shared" ca="1" si="65"/>
        <v>1.4040242681021629</v>
      </c>
      <c r="BO244" s="176">
        <f>DANE!AU244</f>
        <v>358</v>
      </c>
      <c r="BP244" s="188">
        <f t="shared" si="10"/>
        <v>8113</v>
      </c>
      <c r="BQ244" s="177">
        <f t="shared" ca="1" si="26"/>
        <v>379.71428571428572</v>
      </c>
      <c r="BR244" s="209">
        <f t="shared" si="78"/>
        <v>2362.555278050294</v>
      </c>
      <c r="BS244" s="179">
        <f t="shared" si="83"/>
        <v>1.0222767792966067E-2</v>
      </c>
      <c r="BT244" s="213">
        <f t="shared" si="84"/>
        <v>1.0715593745507626</v>
      </c>
      <c r="BU244" s="217">
        <f t="shared" ca="1" si="85"/>
        <v>1.6301765096428258</v>
      </c>
      <c r="BV244" s="176">
        <f>DANE!AY244</f>
        <v>1049</v>
      </c>
      <c r="BW244" s="188">
        <f t="shared" si="11"/>
        <v>19211</v>
      </c>
      <c r="BX244" s="177">
        <f t="shared" ca="1" si="27"/>
        <v>784.71428571428567</v>
      </c>
      <c r="BY244" s="209">
        <f t="shared" si="69"/>
        <v>5039.9318406081202</v>
      </c>
      <c r="BZ244" s="179">
        <f t="shared" si="71"/>
        <v>8.2439327504488305E-2</v>
      </c>
      <c r="CA244" s="213">
        <f t="shared" si="72"/>
        <v>1.5770752925314182</v>
      </c>
      <c r="CB244" s="214">
        <f t="shared" ca="1" si="73"/>
        <v>1.3641693627282272</v>
      </c>
      <c r="CC244" s="176">
        <f>DANE!BC244</f>
        <v>1761</v>
      </c>
      <c r="CD244" s="188">
        <f t="shared" si="12"/>
        <v>45483</v>
      </c>
      <c r="CE244" s="177">
        <f t="shared" ca="1" si="28"/>
        <v>1474.1428571428571</v>
      </c>
      <c r="CF244" s="209">
        <f t="shared" si="45"/>
        <v>9200.3669478615975</v>
      </c>
      <c r="CG244" s="179">
        <f t="shared" si="46"/>
        <v>6.0040305542340668E-2</v>
      </c>
      <c r="CH244" s="213">
        <f t="shared" si="47"/>
        <v>1.4202821387963847</v>
      </c>
      <c r="CI244" s="217">
        <f t="shared" ca="1" si="48"/>
        <v>1.4799161450473837</v>
      </c>
      <c r="CJ244" s="176">
        <f>DANE!BG244</f>
        <v>607</v>
      </c>
      <c r="CK244" s="188">
        <f t="shared" si="13"/>
        <v>10419</v>
      </c>
      <c r="CL244" s="177">
        <f t="shared" ca="1" si="29"/>
        <v>472.71428571428572</v>
      </c>
      <c r="CM244" s="209">
        <f t="shared" si="79"/>
        <v>3069.999278273739</v>
      </c>
      <c r="CN244" s="179">
        <f t="shared" si="86"/>
        <v>6.8383566336394086E-2</v>
      </c>
      <c r="CO244" s="213">
        <f t="shared" si="87"/>
        <v>1.4786849643547586</v>
      </c>
      <c r="CP244" s="214">
        <f t="shared" ca="1" si="88"/>
        <v>1.3258051214932418</v>
      </c>
      <c r="CQ244" s="176">
        <f>DANE!BK244</f>
        <v>594</v>
      </c>
      <c r="CR244" s="188">
        <f t="shared" si="14"/>
        <v>8016</v>
      </c>
      <c r="CS244" s="177">
        <f t="shared" ca="1" si="30"/>
        <v>416.57142857142856</v>
      </c>
      <c r="CT244" s="209">
        <f t="shared" si="89"/>
        <v>2584.0692494211989</v>
      </c>
      <c r="CU244" s="179">
        <f t="shared" si="90"/>
        <v>0.11298463616182283</v>
      </c>
      <c r="CV244" s="213">
        <f t="shared" si="91"/>
        <v>1.7908924531327599</v>
      </c>
      <c r="CW244" s="217">
        <f t="shared" ca="1" si="92"/>
        <v>1.5222115444907323</v>
      </c>
      <c r="CX244" s="176">
        <f>DANE!BO244</f>
        <v>3082</v>
      </c>
      <c r="CY244" s="188">
        <f t="shared" si="15"/>
        <v>33251</v>
      </c>
      <c r="CZ244" s="177">
        <f t="shared" ca="1" si="31"/>
        <v>1851.1428571428571</v>
      </c>
      <c r="DA244" s="209">
        <f t="shared" si="54"/>
        <v>11605.619488534649</v>
      </c>
      <c r="DB244" s="179">
        <f t="shared" si="58"/>
        <v>0.16707155460145759</v>
      </c>
      <c r="DC244" s="213">
        <f t="shared" si="59"/>
        <v>2.1695008822102029</v>
      </c>
      <c r="DD244" s="214">
        <f t="shared" ca="1" si="60"/>
        <v>1.7930934991208571</v>
      </c>
      <c r="DE244" s="176">
        <f>DANE!BS244</f>
        <v>668</v>
      </c>
      <c r="DF244" s="188">
        <f t="shared" si="16"/>
        <v>10041</v>
      </c>
      <c r="DG244" s="177">
        <f t="shared" ca="1" si="32"/>
        <v>530.28571428571433</v>
      </c>
      <c r="DH244" s="209">
        <f t="shared" si="70"/>
        <v>3200.4157994915604</v>
      </c>
      <c r="DI244" s="179">
        <f t="shared" si="74"/>
        <v>8.3239783519001811E-2</v>
      </c>
      <c r="DJ244" s="157">
        <f t="shared" si="75"/>
        <v>1.5826784846330129</v>
      </c>
      <c r="DK244" s="225">
        <f t="shared" ca="1" si="76"/>
        <v>1.4343362797668779</v>
      </c>
      <c r="DL244" s="146"/>
      <c r="DM244" s="380"/>
      <c r="DN244" s="372"/>
      <c r="DO244" s="372"/>
      <c r="DP244" s="372"/>
      <c r="DQ244" s="372"/>
      <c r="DR244" s="372"/>
      <c r="DS244" s="372"/>
      <c r="DT244" s="89"/>
      <c r="DU244" s="89"/>
      <c r="DV244" s="89"/>
      <c r="DW244" s="146"/>
      <c r="DX244" s="146"/>
      <c r="DY244" s="146"/>
      <c r="DZ244" s="146"/>
      <c r="EA244" s="146"/>
      <c r="EB244" s="146"/>
      <c r="EC244" s="146"/>
      <c r="ED244" s="146"/>
      <c r="EE244" s="146"/>
      <c r="EF244" s="146"/>
      <c r="EG244" s="146"/>
      <c r="EH244" s="146"/>
    </row>
    <row r="245" spans="1:138" x14ac:dyDescent="0.25">
      <c r="A245" s="61">
        <v>44135</v>
      </c>
      <c r="B245" s="62">
        <f t="shared" ca="1" si="98"/>
        <v>44135</v>
      </c>
      <c r="C245" s="12">
        <f t="shared" si="93"/>
        <v>242</v>
      </c>
      <c r="D245" s="176">
        <f>DANE!K245</f>
        <v>1229</v>
      </c>
      <c r="E245" s="198">
        <f t="shared" si="1"/>
        <v>18950</v>
      </c>
      <c r="F245" s="178">
        <f t="shared" ca="1" si="17"/>
        <v>884.14285714285711</v>
      </c>
      <c r="G245" s="211">
        <f t="shared" si="38"/>
        <v>5497.3150595726893</v>
      </c>
      <c r="H245" s="200">
        <f t="shared" si="42"/>
        <v>0.10394482858262075</v>
      </c>
      <c r="I245" s="213">
        <f t="shared" si="43"/>
        <v>1.7276138000783452</v>
      </c>
      <c r="J245" s="214">
        <f t="shared" ca="1" si="44"/>
        <v>1.5363350720107523</v>
      </c>
      <c r="K245" s="176">
        <f>DANE!O245</f>
        <v>1461</v>
      </c>
      <c r="L245" s="198">
        <f t="shared" si="2"/>
        <v>21714</v>
      </c>
      <c r="M245" s="177">
        <f t="shared" ca="1" si="18"/>
        <v>1315.2857142857142</v>
      </c>
      <c r="N245" s="211">
        <f t="shared" si="62"/>
        <v>7934.0646334950661</v>
      </c>
      <c r="O245" s="200">
        <f t="shared" si="66"/>
        <v>5.0603881431989822E-2</v>
      </c>
      <c r="P245" s="213">
        <f t="shared" si="67"/>
        <v>1.3542271700239288</v>
      </c>
      <c r="Q245" s="217">
        <f t="shared" ca="1" si="68"/>
        <v>1.6301982498306222</v>
      </c>
      <c r="R245" s="176">
        <f>DANE!S245</f>
        <v>1559</v>
      </c>
      <c r="S245" s="198">
        <f t="shared" si="3"/>
        <v>17403</v>
      </c>
      <c r="T245" s="177">
        <f t="shared" ca="1" si="19"/>
        <v>1037.7142857142858</v>
      </c>
      <c r="U245" s="211">
        <f t="shared" si="50"/>
        <v>6447.1006942301528</v>
      </c>
      <c r="V245" s="200">
        <f t="shared" si="55"/>
        <v>0.13051809997757377</v>
      </c>
      <c r="W245" s="213">
        <f t="shared" si="56"/>
        <v>1.9136266998430165</v>
      </c>
      <c r="X245" s="214">
        <f t="shared" ca="1" si="57"/>
        <v>1.7433154002080886</v>
      </c>
      <c r="Y245" s="176">
        <f>DANE!W245</f>
        <v>498</v>
      </c>
      <c r="Z245" s="198">
        <f t="shared" si="4"/>
        <v>6909</v>
      </c>
      <c r="AA245" s="177">
        <f t="shared" ca="1" si="20"/>
        <v>370.14285714285717</v>
      </c>
      <c r="AB245" s="211">
        <f t="shared" si="94"/>
        <v>2337.2487439189445</v>
      </c>
      <c r="AC245" s="200">
        <f t="shared" si="95"/>
        <v>8.9225191992044262E-2</v>
      </c>
      <c r="AD245" s="213">
        <f t="shared" si="96"/>
        <v>1.6245763439443097</v>
      </c>
      <c r="AE245" s="217">
        <f t="shared" ca="1" si="97"/>
        <v>1.3594888471550861</v>
      </c>
      <c r="AF245" s="176">
        <f>DANE!AA245</f>
        <v>1700</v>
      </c>
      <c r="AG245" s="198">
        <f t="shared" si="5"/>
        <v>27482</v>
      </c>
      <c r="AH245" s="177">
        <f t="shared" ca="1" si="21"/>
        <v>1406</v>
      </c>
      <c r="AI245" s="211">
        <f t="shared" si="37"/>
        <v>8528.1514596495308</v>
      </c>
      <c r="AJ245" s="200">
        <f t="shared" si="39"/>
        <v>7.0545103088006197E-2</v>
      </c>
      <c r="AK245" s="213">
        <f t="shared" si="40"/>
        <v>1.4938157216160435</v>
      </c>
      <c r="AL245" s="214">
        <f t="shared" ca="1" si="41"/>
        <v>1.637102240313119</v>
      </c>
      <c r="AM245" s="176">
        <f>DANE!AE245</f>
        <v>1707</v>
      </c>
      <c r="AN245" s="198">
        <f t="shared" si="6"/>
        <v>43238</v>
      </c>
      <c r="AO245" s="177">
        <f t="shared" ca="1" si="22"/>
        <v>1694.2857142857142</v>
      </c>
      <c r="AP245" s="211">
        <f t="shared" si="49"/>
        <v>10952.141902369867</v>
      </c>
      <c r="AQ245" s="200">
        <f t="shared" si="51"/>
        <v>1.5403581812513216E-2</v>
      </c>
      <c r="AR245" s="213">
        <f t="shared" si="52"/>
        <v>1.1078250726875924</v>
      </c>
      <c r="AS245" s="217">
        <f t="shared" ca="1" si="53"/>
        <v>1.2828028181845639</v>
      </c>
      <c r="AT245" s="176">
        <f>DANE!AI245</f>
        <v>3138</v>
      </c>
      <c r="AU245" s="198">
        <f t="shared" si="7"/>
        <v>51928</v>
      </c>
      <c r="AV245" s="177">
        <f t="shared" ca="1" si="23"/>
        <v>2640.8571428571427</v>
      </c>
      <c r="AW245" s="211">
        <f t="shared" si="33"/>
        <v>15927.777169489191</v>
      </c>
      <c r="AX245" s="200">
        <f t="shared" si="34"/>
        <v>6.7444745132803352E-2</v>
      </c>
      <c r="AY245" s="213">
        <f t="shared" si="35"/>
        <v>1.4721132159296235</v>
      </c>
      <c r="AZ245" s="214">
        <f t="shared" ca="1" si="36"/>
        <v>1.578338185457254</v>
      </c>
      <c r="BA245" s="176">
        <f>DANE!AM245</f>
        <v>471</v>
      </c>
      <c r="BB245" s="198">
        <f t="shared" si="8"/>
        <v>10260</v>
      </c>
      <c r="BC245" s="177">
        <f t="shared" ca="1" si="24"/>
        <v>428.42857142857144</v>
      </c>
      <c r="BD245" s="211">
        <f t="shared" si="77"/>
        <v>2840.9071698698754</v>
      </c>
      <c r="BE245" s="200">
        <f t="shared" si="80"/>
        <v>2.7493110033333334E-2</v>
      </c>
      <c r="BF245" s="213">
        <f t="shared" si="81"/>
        <v>1.1924517702333333</v>
      </c>
      <c r="BG245" s="217">
        <f t="shared" ca="1" si="82"/>
        <v>1.2161462371506662</v>
      </c>
      <c r="BH245" s="176">
        <f>DANE!AQ245</f>
        <v>1404</v>
      </c>
      <c r="BI245" s="198">
        <f t="shared" si="9"/>
        <v>21583</v>
      </c>
      <c r="BJ245" s="177">
        <f t="shared" ca="1" si="25"/>
        <v>1058</v>
      </c>
      <c r="BK245" s="211">
        <f t="shared" si="61"/>
        <v>6741.2515342145034</v>
      </c>
      <c r="BL245" s="200">
        <f t="shared" si="63"/>
        <v>8.2620064599538037E-2</v>
      </c>
      <c r="BM245" s="213">
        <f t="shared" si="64"/>
        <v>1.5783404521967663</v>
      </c>
      <c r="BN245" s="214">
        <f t="shared" ca="1" si="65"/>
        <v>1.4182926131519971</v>
      </c>
      <c r="BO245" s="176">
        <f>DANE!AU245</f>
        <v>612</v>
      </c>
      <c r="BP245" s="198">
        <f t="shared" si="10"/>
        <v>8725</v>
      </c>
      <c r="BQ245" s="177">
        <f t="shared" ca="1" si="26"/>
        <v>423.14285714285717</v>
      </c>
      <c r="BR245" s="211">
        <f t="shared" si="78"/>
        <v>2637.0473811859665</v>
      </c>
      <c r="BS245" s="200">
        <f t="shared" si="83"/>
        <v>0.11618441510591786</v>
      </c>
      <c r="BT245" s="213">
        <f t="shared" si="84"/>
        <v>1.813290905741425</v>
      </c>
      <c r="BU245" s="217">
        <f t="shared" ca="1" si="85"/>
        <v>1.6598140565196975</v>
      </c>
      <c r="BV245" s="176">
        <f>DANE!AY245</f>
        <v>1212</v>
      </c>
      <c r="BW245" s="198">
        <f t="shared" si="11"/>
        <v>20423</v>
      </c>
      <c r="BX245" s="177">
        <f t="shared" ca="1" si="27"/>
        <v>847</v>
      </c>
      <c r="BY245" s="211">
        <f t="shared" si="69"/>
        <v>5531.9415776641035</v>
      </c>
      <c r="BZ245" s="200">
        <f t="shared" si="71"/>
        <v>9.7622299788208494E-2</v>
      </c>
      <c r="CA245" s="213">
        <f t="shared" si="72"/>
        <v>1.6833560985174594</v>
      </c>
      <c r="CB245" s="214">
        <f t="shared" ca="1" si="73"/>
        <v>1.3859038519312481</v>
      </c>
      <c r="CC245" s="176">
        <f>DANE!BC245</f>
        <v>2274</v>
      </c>
      <c r="CD245" s="198">
        <f t="shared" si="12"/>
        <v>47757</v>
      </c>
      <c r="CE245" s="177">
        <f t="shared" ca="1" si="28"/>
        <v>1618.7142857142858</v>
      </c>
      <c r="CF245" s="211">
        <f t="shared" si="45"/>
        <v>10160.028812452798</v>
      </c>
      <c r="CG245" s="200">
        <f t="shared" si="46"/>
        <v>0.10430691189053612</v>
      </c>
      <c r="CH245" s="213">
        <f t="shared" si="47"/>
        <v>1.730148383233753</v>
      </c>
      <c r="CI245" s="217">
        <f t="shared" ca="1" si="48"/>
        <v>1.5098150218416815</v>
      </c>
      <c r="CJ245" s="176">
        <f>DANE!BG245</f>
        <v>831</v>
      </c>
      <c r="CK245" s="198">
        <f t="shared" si="13"/>
        <v>11250</v>
      </c>
      <c r="CL245" s="177">
        <f t="shared" ca="1" si="29"/>
        <v>532.57142857142856</v>
      </c>
      <c r="CM245" s="211">
        <f t="shared" si="79"/>
        <v>3462.4279528060624</v>
      </c>
      <c r="CN245" s="200">
        <f t="shared" si="86"/>
        <v>0.12782695986592743</v>
      </c>
      <c r="CO245" s="213">
        <f t="shared" si="87"/>
        <v>1.894788719061492</v>
      </c>
      <c r="CP245" s="214">
        <f t="shared" ca="1" si="88"/>
        <v>1.4124931586303247</v>
      </c>
      <c r="CQ245" s="176">
        <f>DANE!BK245</f>
        <v>737</v>
      </c>
      <c r="CR245" s="198">
        <f t="shared" si="14"/>
        <v>8753</v>
      </c>
      <c r="CS245" s="177">
        <f t="shared" ca="1" si="30"/>
        <v>472.71428571428572</v>
      </c>
      <c r="CT245" s="211">
        <f t="shared" si="89"/>
        <v>2951.916499503885</v>
      </c>
      <c r="CU245" s="200">
        <f t="shared" si="90"/>
        <v>0.14235193200224008</v>
      </c>
      <c r="CV245" s="213">
        <f t="shared" si="91"/>
        <v>1.9964635240156805</v>
      </c>
      <c r="CW245" s="217">
        <f t="shared" ca="1" si="92"/>
        <v>1.5877656559657238</v>
      </c>
      <c r="CX245" s="176">
        <f>DANE!BO245</f>
        <v>2329</v>
      </c>
      <c r="CY245" s="198">
        <f t="shared" si="15"/>
        <v>35580</v>
      </c>
      <c r="CZ245" s="177">
        <f t="shared" ca="1" si="31"/>
        <v>1973.5714285714287</v>
      </c>
      <c r="DA245" s="211">
        <f t="shared" si="54"/>
        <v>12276.673847315415</v>
      </c>
      <c r="DB245" s="200">
        <f t="shared" si="58"/>
        <v>5.7821502716309967E-2</v>
      </c>
      <c r="DC245" s="213">
        <f t="shared" si="59"/>
        <v>1.4047505190141698</v>
      </c>
      <c r="DD245" s="214">
        <f t="shared" ca="1" si="60"/>
        <v>1.7344362808717979</v>
      </c>
      <c r="DE245" s="176">
        <f>DANE!BS245</f>
        <v>735</v>
      </c>
      <c r="DF245" s="198">
        <f t="shared" si="16"/>
        <v>10776</v>
      </c>
      <c r="DG245" s="177">
        <f t="shared" ca="1" si="32"/>
        <v>552.42857142857144</v>
      </c>
      <c r="DH245" s="211">
        <f t="shared" si="70"/>
        <v>3478.2135424213375</v>
      </c>
      <c r="DI245" s="200">
        <f t="shared" si="74"/>
        <v>8.6800516037294245E-2</v>
      </c>
      <c r="DJ245" s="157">
        <f t="shared" si="75"/>
        <v>1.6076036122610597</v>
      </c>
      <c r="DK245" s="225">
        <f t="shared" ca="1" si="76"/>
        <v>1.3892847204848822</v>
      </c>
      <c r="DL245" s="146"/>
      <c r="DM245" s="88"/>
      <c r="DN245" s="88"/>
      <c r="DO245" s="88"/>
      <c r="DP245" s="88"/>
      <c r="DQ245" s="88"/>
      <c r="DR245" s="88"/>
      <c r="DS245" s="88"/>
      <c r="DT245" s="88"/>
      <c r="DU245" s="88"/>
      <c r="DV245" s="88"/>
      <c r="DW245" s="146"/>
      <c r="DX245" s="146"/>
      <c r="DY245" s="146"/>
      <c r="DZ245" s="146"/>
      <c r="EA245" s="146"/>
      <c r="EB245" s="146"/>
      <c r="EC245" s="146"/>
      <c r="ED245" s="146"/>
      <c r="EE245" s="146"/>
      <c r="EF245" s="146"/>
      <c r="EG245" s="146"/>
      <c r="EH245" s="146"/>
    </row>
    <row r="246" spans="1:138" x14ac:dyDescent="0.25">
      <c r="A246" s="61">
        <v>44136</v>
      </c>
      <c r="B246" s="62">
        <f t="shared" ca="1" si="98"/>
        <v>44136</v>
      </c>
      <c r="C246" s="12">
        <f t="shared" si="93"/>
        <v>243</v>
      </c>
      <c r="D246" s="176">
        <f>DANE!K246</f>
        <v>524</v>
      </c>
      <c r="E246" s="198">
        <f t="shared" si="1"/>
        <v>19474</v>
      </c>
      <c r="F246" s="178">
        <f t="shared" ca="1" si="17"/>
        <v>875.42857142857144</v>
      </c>
      <c r="G246" s="211">
        <f t="shared" si="38"/>
        <v>5235.9843367765916</v>
      </c>
      <c r="H246" s="200">
        <f t="shared" si="42"/>
        <v>-4.7537883487509473E-2</v>
      </c>
      <c r="I246" s="213">
        <f t="shared" si="43"/>
        <v>0.66723481558743369</v>
      </c>
      <c r="J246" s="214">
        <f t="shared" ca="1" si="44"/>
        <v>1.4547054515121158</v>
      </c>
      <c r="K246" s="176">
        <f>DANE!O246</f>
        <v>1734</v>
      </c>
      <c r="L246" s="198">
        <f t="shared" si="2"/>
        <v>23448</v>
      </c>
      <c r="M246" s="177">
        <f t="shared" ca="1" si="18"/>
        <v>1398.7142857142858</v>
      </c>
      <c r="N246" s="211">
        <f t="shared" si="62"/>
        <v>8534.6268287100575</v>
      </c>
      <c r="O246" s="200">
        <f t="shared" si="66"/>
        <v>7.5694139505696881E-2</v>
      </c>
      <c r="P246" s="213">
        <f t="shared" si="67"/>
        <v>1.5298589765398782</v>
      </c>
      <c r="Q246" s="217">
        <f t="shared" ca="1" si="68"/>
        <v>1.5871394170887665</v>
      </c>
      <c r="R246" s="176">
        <f>DANE!S246</f>
        <v>1768</v>
      </c>
      <c r="S246" s="198">
        <f t="shared" si="3"/>
        <v>19171</v>
      </c>
      <c r="T246" s="177">
        <f t="shared" ca="1" si="19"/>
        <v>1190.2857142857142</v>
      </c>
      <c r="U246" s="211">
        <f t="shared" si="50"/>
        <v>7294.0863093401313</v>
      </c>
      <c r="V246" s="200">
        <f t="shared" si="55"/>
        <v>0.13137465277500476</v>
      </c>
      <c r="W246" s="213">
        <f t="shared" si="56"/>
        <v>1.9196225694250333</v>
      </c>
      <c r="X246" s="214">
        <f t="shared" ca="1" si="57"/>
        <v>1.8033117431304599</v>
      </c>
      <c r="Y246" s="176">
        <f>DANE!W246</f>
        <v>401</v>
      </c>
      <c r="Z246" s="198">
        <f t="shared" si="4"/>
        <v>7310</v>
      </c>
      <c r="AA246" s="177">
        <f t="shared" ca="1" si="20"/>
        <v>382.85714285714283</v>
      </c>
      <c r="AB246" s="211">
        <f t="shared" si="94"/>
        <v>2404.3560662162381</v>
      </c>
      <c r="AC246" s="200">
        <f t="shared" si="95"/>
        <v>2.8712101128257544E-2</v>
      </c>
      <c r="AD246" s="213">
        <f t="shared" si="96"/>
        <v>1.2009847078978029</v>
      </c>
      <c r="AE246" s="217">
        <f t="shared" ca="1" si="97"/>
        <v>1.3418020820678207</v>
      </c>
      <c r="AF246" s="176">
        <f>DANE!AA246</f>
        <v>1670</v>
      </c>
      <c r="AG246" s="198">
        <f t="shared" si="5"/>
        <v>29152</v>
      </c>
      <c r="AH246" s="177">
        <f t="shared" ca="1" si="21"/>
        <v>1527.7142857142858</v>
      </c>
      <c r="AI246" s="211">
        <f t="shared" si="37"/>
        <v>8979.8441082710269</v>
      </c>
      <c r="AJ246" s="200">
        <f t="shared" si="39"/>
        <v>5.2964895236518074E-2</v>
      </c>
      <c r="AK246" s="213">
        <f t="shared" si="40"/>
        <v>1.3707542666556265</v>
      </c>
      <c r="AL246" s="214">
        <f t="shared" ca="1" si="41"/>
        <v>1.6584694336214423</v>
      </c>
      <c r="AM246" s="176">
        <f>DANE!AE246</f>
        <v>1480</v>
      </c>
      <c r="AN246" s="198">
        <f t="shared" si="6"/>
        <v>44718</v>
      </c>
      <c r="AO246" s="177">
        <f t="shared" ca="1" si="22"/>
        <v>1745.8571428571429</v>
      </c>
      <c r="AP246" s="211">
        <f t="shared" si="49"/>
        <v>10867.550202031316</v>
      </c>
      <c r="AQ246" s="200">
        <f t="shared" si="51"/>
        <v>-7.7237586120251856E-3</v>
      </c>
      <c r="AR246" s="213">
        <f t="shared" si="52"/>
        <v>0.9459336897158237</v>
      </c>
      <c r="AS246" s="217">
        <f t="shared" ca="1" si="53"/>
        <v>1.2837892270112141</v>
      </c>
      <c r="AT246" s="176">
        <f>DANE!AI246</f>
        <v>2380</v>
      </c>
      <c r="AU246" s="198">
        <f t="shared" si="7"/>
        <v>54308</v>
      </c>
      <c r="AV246" s="177">
        <f t="shared" ca="1" si="23"/>
        <v>2716.5714285714284</v>
      </c>
      <c r="AW246" s="211">
        <f t="shared" si="33"/>
        <v>16032.380430990735</v>
      </c>
      <c r="AX246" s="200">
        <f t="shared" si="34"/>
        <v>6.5673483743808152E-3</v>
      </c>
      <c r="AY246" s="213">
        <f t="shared" si="35"/>
        <v>1.0459714386206658</v>
      </c>
      <c r="AZ246" s="214">
        <f t="shared" ca="1" si="36"/>
        <v>1.5272538084887348</v>
      </c>
      <c r="BA246" s="176">
        <f>DANE!AM246</f>
        <v>461</v>
      </c>
      <c r="BB246" s="198">
        <f t="shared" si="8"/>
        <v>10721</v>
      </c>
      <c r="BC246" s="177">
        <f t="shared" ca="1" si="24"/>
        <v>439.85714285714283</v>
      </c>
      <c r="BD246" s="211">
        <f t="shared" si="77"/>
        <v>2896.0632884598936</v>
      </c>
      <c r="BE246" s="200">
        <f t="shared" si="80"/>
        <v>1.9414966872199686E-2</v>
      </c>
      <c r="BF246" s="213">
        <f t="shared" si="81"/>
        <v>1.1359047681053978</v>
      </c>
      <c r="BG246" s="217">
        <f t="shared" ca="1" si="82"/>
        <v>1.2127455117221262</v>
      </c>
      <c r="BH246" s="176">
        <f>DANE!AQ246</f>
        <v>1241</v>
      </c>
      <c r="BI246" s="198">
        <f t="shared" si="9"/>
        <v>22824</v>
      </c>
      <c r="BJ246" s="177">
        <f t="shared" ca="1" si="25"/>
        <v>1105</v>
      </c>
      <c r="BK246" s="211">
        <f t="shared" si="61"/>
        <v>7019.2156007552894</v>
      </c>
      <c r="BL246" s="200">
        <f t="shared" si="63"/>
        <v>4.123330291563948E-2</v>
      </c>
      <c r="BM246" s="213">
        <f t="shared" si="64"/>
        <v>1.2886331204094763</v>
      </c>
      <c r="BN246" s="214">
        <f t="shared" ca="1" si="65"/>
        <v>1.4000275564185258</v>
      </c>
      <c r="BO246" s="176">
        <f>DANE!AU246</f>
        <v>644</v>
      </c>
      <c r="BP246" s="198">
        <f t="shared" si="10"/>
        <v>9369</v>
      </c>
      <c r="BQ246" s="177">
        <f t="shared" ca="1" si="26"/>
        <v>484.85714285714283</v>
      </c>
      <c r="BR246" s="211">
        <f t="shared" si="78"/>
        <v>2904.3263267308284</v>
      </c>
      <c r="BS246" s="200">
        <f t="shared" si="83"/>
        <v>0.10135538233092264</v>
      </c>
      <c r="BT246" s="213">
        <f t="shared" si="84"/>
        <v>1.7094876763164586</v>
      </c>
      <c r="BU246" s="217">
        <f t="shared" ca="1" si="85"/>
        <v>1.7587024665744961</v>
      </c>
      <c r="BV246" s="176">
        <f>DANE!AY246</f>
        <v>1020</v>
      </c>
      <c r="BW246" s="198">
        <f t="shared" si="11"/>
        <v>21443</v>
      </c>
      <c r="BX246" s="177">
        <f t="shared" ca="1" si="27"/>
        <v>921.42857142857144</v>
      </c>
      <c r="BY246" s="211">
        <f t="shared" si="69"/>
        <v>5761.6642094263752</v>
      </c>
      <c r="BZ246" s="200">
        <f t="shared" si="71"/>
        <v>4.1526583124052711E-2</v>
      </c>
      <c r="CA246" s="213">
        <f t="shared" si="72"/>
        <v>1.290686081868369</v>
      </c>
      <c r="CB246" s="214">
        <f t="shared" ca="1" si="73"/>
        <v>1.4395471567551839</v>
      </c>
      <c r="CC246" s="176">
        <f>DANE!BC246</f>
        <v>1493</v>
      </c>
      <c r="CD246" s="198">
        <f t="shared" si="12"/>
        <v>49250</v>
      </c>
      <c r="CE246" s="177">
        <f t="shared" ca="1" si="28"/>
        <v>1670</v>
      </c>
      <c r="CF246" s="211">
        <f t="shared" si="45"/>
        <v>10201.596124959542</v>
      </c>
      <c r="CG246" s="200">
        <f t="shared" si="46"/>
        <v>4.0912593137331045E-3</v>
      </c>
      <c r="CH246" s="213">
        <f t="shared" si="47"/>
        <v>1.0286388151961317</v>
      </c>
      <c r="CI246" s="217">
        <f t="shared" ca="1" si="48"/>
        <v>1.4750552025183443</v>
      </c>
      <c r="CJ246" s="176">
        <f>DANE!BG246</f>
        <v>262</v>
      </c>
      <c r="CK246" s="198">
        <f t="shared" si="13"/>
        <v>11512</v>
      </c>
      <c r="CL246" s="177">
        <f t="shared" ca="1" si="29"/>
        <v>512.14285714285711</v>
      </c>
      <c r="CM246" s="211">
        <f t="shared" si="79"/>
        <v>3229.7953881194821</v>
      </c>
      <c r="CN246" s="200">
        <f t="shared" si="86"/>
        <v>-6.718769830229894E-2</v>
      </c>
      <c r="CO246" s="213">
        <f t="shared" si="87"/>
        <v>0.52968611188390735</v>
      </c>
      <c r="CP246" s="214">
        <f t="shared" ca="1" si="88"/>
        <v>1.3144394670195061</v>
      </c>
      <c r="CQ246" s="176">
        <f>DANE!BK246</f>
        <v>539</v>
      </c>
      <c r="CR246" s="198">
        <f t="shared" si="14"/>
        <v>9292</v>
      </c>
      <c r="CS246" s="177">
        <f t="shared" ca="1" si="30"/>
        <v>501.14285714285717</v>
      </c>
      <c r="CT246" s="211">
        <f t="shared" si="89"/>
        <v>3069.2141424319016</v>
      </c>
      <c r="CU246" s="200">
        <f t="shared" si="90"/>
        <v>3.9736097869885627E-2</v>
      </c>
      <c r="CV246" s="213">
        <f t="shared" si="91"/>
        <v>1.2781526850891993</v>
      </c>
      <c r="CW246" s="217">
        <f t="shared" ca="1" si="92"/>
        <v>1.5687418133698352</v>
      </c>
      <c r="CX246" s="176">
        <f>DANE!BO246</f>
        <v>843</v>
      </c>
      <c r="CY246" s="198">
        <f t="shared" si="15"/>
        <v>36423</v>
      </c>
      <c r="CZ246" s="177">
        <f t="shared" ca="1" si="31"/>
        <v>1972.4285714285713</v>
      </c>
      <c r="DA246" s="211">
        <f t="shared" si="54"/>
        <v>11365.863297698928</v>
      </c>
      <c r="DB246" s="200">
        <f t="shared" si="58"/>
        <v>-7.4190335341983243E-2</v>
      </c>
      <c r="DC246" s="213">
        <f t="shared" si="59"/>
        <v>0.48066765260611721</v>
      </c>
      <c r="DD246" s="214">
        <f t="shared" ca="1" si="60"/>
        <v>1.6688161168065652</v>
      </c>
      <c r="DE246" s="176">
        <f>DANE!BS246</f>
        <v>711</v>
      </c>
      <c r="DF246" s="198">
        <f t="shared" si="16"/>
        <v>11487</v>
      </c>
      <c r="DG246" s="177">
        <f t="shared" ca="1" si="32"/>
        <v>586.28571428571433</v>
      </c>
      <c r="DH246" s="211">
        <f t="shared" si="70"/>
        <v>3692.3258935040039</v>
      </c>
      <c r="DI246" s="200">
        <f t="shared" si="74"/>
        <v>6.155813853039438E-2</v>
      </c>
      <c r="DJ246" s="157">
        <f t="shared" si="75"/>
        <v>1.4309069697127605</v>
      </c>
      <c r="DK246" s="225">
        <f t="shared" ca="1" si="76"/>
        <v>1.3953492232970099</v>
      </c>
      <c r="DL246" s="146"/>
      <c r="DM246" s="371"/>
      <c r="DN246" s="372"/>
      <c r="DO246" s="372"/>
      <c r="DP246" s="372"/>
      <c r="DQ246" s="372"/>
      <c r="DR246" s="372"/>
      <c r="DS246" s="372"/>
      <c r="DT246" s="372"/>
      <c r="DU246" s="372"/>
      <c r="DV246" s="372"/>
      <c r="DW246" s="146"/>
      <c r="DX246" s="146"/>
      <c r="DY246" s="146"/>
      <c r="DZ246" s="146"/>
      <c r="EA246" s="146"/>
      <c r="EB246" s="146"/>
      <c r="EC246" s="146"/>
      <c r="ED246" s="146"/>
      <c r="EE246" s="146"/>
      <c r="EF246" s="146"/>
      <c r="EG246" s="146"/>
      <c r="EH246" s="146"/>
    </row>
    <row r="247" spans="1:138" x14ac:dyDescent="0.25">
      <c r="A247" s="32">
        <v>44137</v>
      </c>
      <c r="B247" s="33">
        <f t="shared" ca="1" si="98"/>
        <v>44137</v>
      </c>
      <c r="C247" s="51">
        <f t="shared" si="93"/>
        <v>244</v>
      </c>
      <c r="D247" s="176">
        <f>DANE!K247</f>
        <v>737</v>
      </c>
      <c r="E247" s="188">
        <f t="shared" si="1"/>
        <v>20211</v>
      </c>
      <c r="F247" s="178">
        <f t="shared" ca="1" si="17"/>
        <v>914.71428571428567</v>
      </c>
      <c r="G247" s="209">
        <f t="shared" si="38"/>
        <v>5224.9865743799364</v>
      </c>
      <c r="H247" s="179">
        <f t="shared" si="42"/>
        <v>-2.100419269669869E-3</v>
      </c>
      <c r="I247" s="213">
        <f t="shared" si="43"/>
        <v>0.98529706511231097</v>
      </c>
      <c r="J247" s="214">
        <f t="shared" ca="1" si="44"/>
        <v>1.4603249927910036</v>
      </c>
      <c r="K247" s="176">
        <f>DANE!O247</f>
        <v>1379</v>
      </c>
      <c r="L247" s="188">
        <f t="shared" si="2"/>
        <v>24827</v>
      </c>
      <c r="M247" s="177">
        <f t="shared" ca="1" si="18"/>
        <v>1520.7142857142858</v>
      </c>
      <c r="N247" s="209">
        <f t="shared" si="62"/>
        <v>8694.3944246086212</v>
      </c>
      <c r="O247" s="179">
        <f t="shared" si="66"/>
        <v>1.8719927549862351E-2</v>
      </c>
      <c r="P247" s="213">
        <f t="shared" si="67"/>
        <v>1.1310394928490364</v>
      </c>
      <c r="Q247" s="217">
        <f t="shared" ca="1" si="68"/>
        <v>1.6419630685691835</v>
      </c>
      <c r="R247" s="176">
        <f>DANE!S247</f>
        <v>1043</v>
      </c>
      <c r="S247" s="188">
        <f t="shared" si="3"/>
        <v>20214</v>
      </c>
      <c r="T247" s="177">
        <f t="shared" ca="1" si="19"/>
        <v>1232.1428571428571</v>
      </c>
      <c r="U247" s="209">
        <f t="shared" si="50"/>
        <v>7295.073979434399</v>
      </c>
      <c r="V247" s="179">
        <f t="shared" si="55"/>
        <v>1.354069656405111E-4</v>
      </c>
      <c r="W247" s="213">
        <f t="shared" si="56"/>
        <v>1.0009478487594836</v>
      </c>
      <c r="X247" s="214">
        <f t="shared" ca="1" si="57"/>
        <v>1.7320587898146171</v>
      </c>
      <c r="Y247" s="176">
        <f>DANE!W247</f>
        <v>295</v>
      </c>
      <c r="Z247" s="188">
        <f t="shared" si="4"/>
        <v>7605</v>
      </c>
      <c r="AA247" s="177">
        <f t="shared" ca="1" si="20"/>
        <v>373.14285714285717</v>
      </c>
      <c r="AB247" s="209">
        <f t="shared" si="94"/>
        <v>2355.8766281853473</v>
      </c>
      <c r="AC247" s="179">
        <f t="shared" si="95"/>
        <v>-2.0163169137915361E-2</v>
      </c>
      <c r="AD247" s="213">
        <f t="shared" si="96"/>
        <v>0.85885781603459244</v>
      </c>
      <c r="AE247" s="217">
        <f t="shared" ca="1" si="97"/>
        <v>1.2540676096294789</v>
      </c>
      <c r="AF247" s="176">
        <f>DANE!AA247</f>
        <v>1180</v>
      </c>
      <c r="AG247" s="188">
        <f t="shared" si="5"/>
        <v>30332</v>
      </c>
      <c r="AH247" s="177">
        <f t="shared" ca="1" si="21"/>
        <v>1597</v>
      </c>
      <c r="AI247" s="209">
        <f t="shared" si="37"/>
        <v>8877.0092356608802</v>
      </c>
      <c r="AJ247" s="179">
        <f t="shared" si="39"/>
        <v>-1.1451743634995737E-2</v>
      </c>
      <c r="AK247" s="213">
        <f t="shared" si="40"/>
        <v>0.91983779455502979</v>
      </c>
      <c r="AL247" s="214">
        <f t="shared" ca="1" si="41"/>
        <v>1.6461922356488987</v>
      </c>
      <c r="AM247" s="176">
        <f>DANE!AE247</f>
        <v>1746</v>
      </c>
      <c r="AN247" s="188">
        <f t="shared" si="6"/>
        <v>46464</v>
      </c>
      <c r="AO247" s="177">
        <f t="shared" ca="1" si="22"/>
        <v>1831.8571428571429</v>
      </c>
      <c r="AP247" s="209">
        <f t="shared" si="49"/>
        <v>11061.043030312558</v>
      </c>
      <c r="AQ247" s="179">
        <f t="shared" si="51"/>
        <v>1.7804640851355327E-2</v>
      </c>
      <c r="AR247" s="213">
        <f t="shared" si="52"/>
        <v>1.1246324859594874</v>
      </c>
      <c r="AS247" s="217">
        <f t="shared" ca="1" si="53"/>
        <v>1.3061019638906064</v>
      </c>
      <c r="AT247" s="176">
        <f>DANE!AI247</f>
        <v>2218</v>
      </c>
      <c r="AU247" s="188">
        <f t="shared" si="7"/>
        <v>56526</v>
      </c>
      <c r="AV247" s="177">
        <f t="shared" ca="1" si="23"/>
        <v>2797.1428571428573</v>
      </c>
      <c r="AW247" s="209">
        <f t="shared" si="33"/>
        <v>15960.040369420631</v>
      </c>
      <c r="AX247" s="179">
        <f t="shared" si="34"/>
        <v>-4.5121223190456991E-3</v>
      </c>
      <c r="AY247" s="213">
        <f t="shared" si="35"/>
        <v>0.96841514376668014</v>
      </c>
      <c r="AZ247" s="214">
        <f t="shared" ca="1" si="36"/>
        <v>1.4961046919753191</v>
      </c>
      <c r="BA247" s="176">
        <f>DANE!AM247</f>
        <v>355</v>
      </c>
      <c r="BB247" s="188">
        <f t="shared" si="8"/>
        <v>11076</v>
      </c>
      <c r="BC247" s="177">
        <f t="shared" ca="1" si="24"/>
        <v>442.71428571428572</v>
      </c>
      <c r="BD247" s="209">
        <f t="shared" si="77"/>
        <v>2837.3399615370517</v>
      </c>
      <c r="BE247" s="179">
        <f t="shared" si="80"/>
        <v>-2.0276948765878135E-2</v>
      </c>
      <c r="BF247" s="213">
        <f t="shared" si="81"/>
        <v>0.85806135863885302</v>
      </c>
      <c r="BG247" s="217">
        <f t="shared" ca="1" si="82"/>
        <v>1.1929047968256619</v>
      </c>
      <c r="BH247" s="176">
        <f>DANE!AQ247</f>
        <v>1049</v>
      </c>
      <c r="BI247" s="188">
        <f t="shared" si="9"/>
        <v>23873</v>
      </c>
      <c r="BJ247" s="177">
        <f t="shared" ca="1" si="25"/>
        <v>1150.7142857142858</v>
      </c>
      <c r="BK247" s="209">
        <f t="shared" si="61"/>
        <v>7065.4705149331057</v>
      </c>
      <c r="BL247" s="179">
        <f t="shared" si="63"/>
        <v>6.5897554383197955E-3</v>
      </c>
      <c r="BM247" s="213">
        <f t="shared" si="64"/>
        <v>1.0461282880682385</v>
      </c>
      <c r="BN247" s="214">
        <f t="shared" ca="1" si="65"/>
        <v>1.3968066644226449</v>
      </c>
      <c r="BO247" s="176">
        <f>DANE!AU247</f>
        <v>543</v>
      </c>
      <c r="BP247" s="188">
        <f t="shared" si="10"/>
        <v>9912</v>
      </c>
      <c r="BQ247" s="177">
        <f t="shared" ca="1" si="26"/>
        <v>533</v>
      </c>
      <c r="BR247" s="209">
        <f t="shared" si="78"/>
        <v>3032.4225657692818</v>
      </c>
      <c r="BS247" s="179">
        <f t="shared" si="83"/>
        <v>4.410531897172907E-2</v>
      </c>
      <c r="BT247" s="213">
        <f t="shared" si="84"/>
        <v>1.3087372328021036</v>
      </c>
      <c r="BU247" s="217">
        <f t="shared" ca="1" si="85"/>
        <v>1.8048012666730187</v>
      </c>
      <c r="BV247" s="176">
        <f>DANE!AY247</f>
        <v>967</v>
      </c>
      <c r="BW247" s="188">
        <f t="shared" si="11"/>
        <v>22410</v>
      </c>
      <c r="BX247" s="177">
        <f t="shared" ca="1" si="27"/>
        <v>963.57142857142856</v>
      </c>
      <c r="BY247" s="209">
        <f t="shared" si="69"/>
        <v>5905.5693223654653</v>
      </c>
      <c r="BZ247" s="179">
        <f t="shared" si="71"/>
        <v>2.4976310265296953E-2</v>
      </c>
      <c r="CA247" s="213">
        <f t="shared" si="72"/>
        <v>1.1748341718570787</v>
      </c>
      <c r="CB247" s="214">
        <f t="shared" ca="1" si="73"/>
        <v>1.4291538249689502</v>
      </c>
      <c r="CC247" s="176">
        <f>DANE!BC247</f>
        <v>1362</v>
      </c>
      <c r="CD247" s="188">
        <f t="shared" si="12"/>
        <v>50612</v>
      </c>
      <c r="CE247" s="177">
        <f t="shared" ca="1" si="28"/>
        <v>1721.4285714285713</v>
      </c>
      <c r="CF247" s="209">
        <f t="shared" si="45"/>
        <v>10106.225249965322</v>
      </c>
      <c r="CG247" s="179">
        <f t="shared" si="46"/>
        <v>-9.348622884695703E-3</v>
      </c>
      <c r="CH247" s="213">
        <f t="shared" si="47"/>
        <v>0.93455963980713008</v>
      </c>
      <c r="CI247" s="217">
        <f t="shared" ca="1" si="48"/>
        <v>1.454011252703431</v>
      </c>
      <c r="CJ247" s="176">
        <f>DANE!BG247</f>
        <v>294</v>
      </c>
      <c r="CK247" s="188">
        <f t="shared" si="13"/>
        <v>11806</v>
      </c>
      <c r="CL247" s="177">
        <f t="shared" ca="1" si="29"/>
        <v>509</v>
      </c>
      <c r="CM247" s="209">
        <f t="shared" si="79"/>
        <v>3062.3960469595563</v>
      </c>
      <c r="CN247" s="179">
        <f t="shared" si="86"/>
        <v>-5.1829704685222341E-2</v>
      </c>
      <c r="CO247" s="213">
        <f t="shared" si="87"/>
        <v>0.63719206720344357</v>
      </c>
      <c r="CP247" s="214">
        <f t="shared" ca="1" si="88"/>
        <v>1.2739784850761142</v>
      </c>
      <c r="CQ247" s="176">
        <f>DANE!BK247</f>
        <v>582</v>
      </c>
      <c r="CR247" s="188">
        <f t="shared" si="14"/>
        <v>9874</v>
      </c>
      <c r="CS247" s="177">
        <f t="shared" ca="1" si="30"/>
        <v>531.42857142857144</v>
      </c>
      <c r="CT247" s="209">
        <f t="shared" si="89"/>
        <v>3212.7549792273444</v>
      </c>
      <c r="CU247" s="179">
        <f t="shared" si="90"/>
        <v>4.6767944540261952E-2</v>
      </c>
      <c r="CV247" s="213">
        <f t="shared" si="91"/>
        <v>1.3273756117818336</v>
      </c>
      <c r="CW247" s="217">
        <f t="shared" ca="1" si="92"/>
        <v>1.5511368974555033</v>
      </c>
      <c r="CX247" s="176">
        <f>DANE!BO247</f>
        <v>1256</v>
      </c>
      <c r="CY247" s="188">
        <f t="shared" si="15"/>
        <v>37679</v>
      </c>
      <c r="CZ247" s="177">
        <f t="shared" ca="1" si="31"/>
        <v>2086.4285714285716</v>
      </c>
      <c r="DA247" s="209">
        <f t="shared" si="54"/>
        <v>10998.168540884797</v>
      </c>
      <c r="DB247" s="179">
        <f t="shared" si="58"/>
        <v>-3.2350798807211839E-2</v>
      </c>
      <c r="DC247" s="213">
        <f t="shared" si="59"/>
        <v>0.7735444083495171</v>
      </c>
      <c r="DD247" s="214">
        <f t="shared" ca="1" si="60"/>
        <v>1.7064257695741483</v>
      </c>
      <c r="DE247" s="176">
        <f>DANE!BS247</f>
        <v>572</v>
      </c>
      <c r="DF247" s="188">
        <f t="shared" si="16"/>
        <v>12059</v>
      </c>
      <c r="DG247" s="177">
        <f t="shared" ca="1" si="32"/>
        <v>588</v>
      </c>
      <c r="DH247" s="209">
        <f t="shared" si="70"/>
        <v>3736.8507658605749</v>
      </c>
      <c r="DI247" s="179">
        <f t="shared" si="74"/>
        <v>1.2058760153025672E-2</v>
      </c>
      <c r="DJ247" s="157">
        <f t="shared" si="75"/>
        <v>1.0844113210711797</v>
      </c>
      <c r="DK247" s="225">
        <f t="shared" ca="1" si="76"/>
        <v>1.3282472337795037</v>
      </c>
      <c r="DL247" s="146"/>
      <c r="DM247" s="371"/>
      <c r="DN247" s="372"/>
      <c r="DO247" s="372"/>
      <c r="DP247" s="372"/>
      <c r="DQ247" s="372"/>
      <c r="DR247" s="372"/>
      <c r="DS247" s="372"/>
      <c r="DT247" s="372"/>
      <c r="DU247" s="372"/>
      <c r="DV247" s="372"/>
      <c r="DW247" s="146"/>
      <c r="DX247" s="146"/>
      <c r="DY247" s="146"/>
      <c r="DZ247" s="146"/>
      <c r="EA247" s="146"/>
      <c r="EB247" s="146"/>
      <c r="EC247" s="146"/>
      <c r="ED247" s="146"/>
      <c r="EE247" s="146"/>
      <c r="EF247" s="146"/>
      <c r="EG247" s="146"/>
      <c r="EH247" s="146"/>
    </row>
    <row r="248" spans="1:138" x14ac:dyDescent="0.25">
      <c r="A248" s="32">
        <v>44138</v>
      </c>
      <c r="B248" s="33">
        <f t="shared" ca="1" si="98"/>
        <v>44138</v>
      </c>
      <c r="C248" s="51">
        <f t="shared" si="93"/>
        <v>245</v>
      </c>
      <c r="D248" s="176">
        <f>DANE!K248</f>
        <v>1964</v>
      </c>
      <c r="E248" s="188">
        <f t="shared" si="1"/>
        <v>22175</v>
      </c>
      <c r="F248" s="178">
        <f t="shared" ca="1" si="17"/>
        <v>1064.2857142857142</v>
      </c>
      <c r="G248" s="209">
        <f t="shared" si="38"/>
        <v>6442.5599208970889</v>
      </c>
      <c r="H248" s="179">
        <f t="shared" si="42"/>
        <v>0.23302899044513722</v>
      </c>
      <c r="I248" s="213">
        <f t="shared" si="43"/>
        <v>2.6312029331159605</v>
      </c>
      <c r="J248" s="214">
        <f t="shared" ca="1" si="44"/>
        <v>1.5658974838878312</v>
      </c>
      <c r="K248" s="176">
        <f>DANE!O248</f>
        <v>551</v>
      </c>
      <c r="L248" s="188">
        <f t="shared" si="2"/>
        <v>25378</v>
      </c>
      <c r="M248" s="177">
        <f t="shared" ca="1" si="18"/>
        <v>1385.2857142857142</v>
      </c>
      <c r="N248" s="209">
        <f t="shared" si="62"/>
        <v>8003.3380782359618</v>
      </c>
      <c r="O248" s="179">
        <f t="shared" si="66"/>
        <v>-7.9482976343549921E-2</v>
      </c>
      <c r="P248" s="213">
        <f t="shared" si="67"/>
        <v>0.44361916559515047</v>
      </c>
      <c r="Q248" s="217">
        <f t="shared" ca="1" si="68"/>
        <v>1.3891139690701313</v>
      </c>
      <c r="R248" s="176">
        <f>DANE!S248</f>
        <v>1290</v>
      </c>
      <c r="S248" s="188">
        <f t="shared" si="3"/>
        <v>21504</v>
      </c>
      <c r="T248" s="177">
        <f t="shared" ca="1" si="19"/>
        <v>1359.2857142857142</v>
      </c>
      <c r="U248" s="209">
        <f t="shared" si="50"/>
        <v>7542.9205538009137</v>
      </c>
      <c r="V248" s="179">
        <f t="shared" si="55"/>
        <v>3.3974511439530418E-2</v>
      </c>
      <c r="W248" s="213">
        <f t="shared" si="56"/>
        <v>1.2378215800767129</v>
      </c>
      <c r="X248" s="214">
        <f t="shared" ca="1" si="57"/>
        <v>1.8022397910179708</v>
      </c>
      <c r="Y248" s="176">
        <f>DANE!W248</f>
        <v>286</v>
      </c>
      <c r="Z248" s="188">
        <f t="shared" si="4"/>
        <v>7891</v>
      </c>
      <c r="AA248" s="177">
        <f t="shared" ca="1" si="20"/>
        <v>367.85714285714283</v>
      </c>
      <c r="AB248" s="209">
        <f t="shared" si="94"/>
        <v>2305.3228241588695</v>
      </c>
      <c r="AC248" s="179">
        <f t="shared" si="95"/>
        <v>-2.1458595675877004E-2</v>
      </c>
      <c r="AD248" s="213">
        <f t="shared" si="96"/>
        <v>0.8497898302688609</v>
      </c>
      <c r="AE248" s="217">
        <f t="shared" ca="1" si="97"/>
        <v>1.2000767116157149</v>
      </c>
      <c r="AF248" s="176">
        <f>DANE!AA248</f>
        <v>1110</v>
      </c>
      <c r="AG248" s="188">
        <f t="shared" si="5"/>
        <v>31442</v>
      </c>
      <c r="AH248" s="177">
        <f t="shared" ca="1" si="21"/>
        <v>1552.5714285714287</v>
      </c>
      <c r="AI248" s="209">
        <f t="shared" si="37"/>
        <v>8718.8650591378973</v>
      </c>
      <c r="AJ248" s="179">
        <f t="shared" si="39"/>
        <v>-1.7815028950030072E-2</v>
      </c>
      <c r="AK248" s="213">
        <f t="shared" si="40"/>
        <v>0.87529479734978954</v>
      </c>
      <c r="AL248" s="214">
        <f t="shared" ca="1" si="41"/>
        <v>1.4777025881847297</v>
      </c>
      <c r="AM248" s="176">
        <f>DANE!AE248</f>
        <v>2106</v>
      </c>
      <c r="AN248" s="188">
        <f t="shared" si="6"/>
        <v>48570</v>
      </c>
      <c r="AO248" s="177">
        <f t="shared" ca="1" si="22"/>
        <v>1863.5714285714287</v>
      </c>
      <c r="AP248" s="209">
        <f t="shared" si="49"/>
        <v>11586.894025982194</v>
      </c>
      <c r="AQ248" s="179">
        <f t="shared" si="51"/>
        <v>4.754081457133405E-2</v>
      </c>
      <c r="AR248" s="213">
        <f t="shared" si="52"/>
        <v>1.3327857019993383</v>
      </c>
      <c r="AS248" s="217">
        <f t="shared" ca="1" si="53"/>
        <v>1.2676275796902117</v>
      </c>
      <c r="AT248" s="176">
        <f>DANE!AI248</f>
        <v>2959</v>
      </c>
      <c r="AU248" s="188">
        <f t="shared" si="7"/>
        <v>59485</v>
      </c>
      <c r="AV248" s="177">
        <f t="shared" ca="1" si="23"/>
        <v>2715.7142857142858</v>
      </c>
      <c r="AW248" s="209">
        <f t="shared" si="33"/>
        <v>16639.034602360542</v>
      </c>
      <c r="AX248" s="179">
        <f t="shared" si="34"/>
        <v>4.2543390694729129E-2</v>
      </c>
      <c r="AY248" s="213">
        <f t="shared" si="35"/>
        <v>1.297803734863104</v>
      </c>
      <c r="AZ248" s="214">
        <f t="shared" ca="1" si="36"/>
        <v>1.329252855677193</v>
      </c>
      <c r="BA248" s="176">
        <f>DANE!AM248</f>
        <v>445</v>
      </c>
      <c r="BB248" s="188">
        <f t="shared" si="8"/>
        <v>11521</v>
      </c>
      <c r="BC248" s="177">
        <f t="shared" ca="1" si="24"/>
        <v>451.28571428571428</v>
      </c>
      <c r="BD248" s="209">
        <f t="shared" si="77"/>
        <v>2877.0056813174733</v>
      </c>
      <c r="BE248" s="179">
        <f t="shared" si="80"/>
        <v>1.3979896775899121E-2</v>
      </c>
      <c r="BF248" s="213">
        <f t="shared" si="81"/>
        <v>1.0978592774312939</v>
      </c>
      <c r="BG248" s="217">
        <f t="shared" ca="1" si="82"/>
        <v>1.1859926424387333</v>
      </c>
      <c r="BH248" s="176">
        <f>DANE!AQ248</f>
        <v>929</v>
      </c>
      <c r="BI248" s="188">
        <f t="shared" si="9"/>
        <v>24802</v>
      </c>
      <c r="BJ248" s="177">
        <f t="shared" ca="1" si="25"/>
        <v>1177.4285714285713</v>
      </c>
      <c r="BK248" s="209">
        <f t="shared" si="61"/>
        <v>6985.1175842283765</v>
      </c>
      <c r="BL248" s="179">
        <f t="shared" si="63"/>
        <v>-1.1372622748180844E-2</v>
      </c>
      <c r="BM248" s="213">
        <f t="shared" si="64"/>
        <v>0.92039164076273405</v>
      </c>
      <c r="BN248" s="214">
        <f t="shared" ca="1" si="65"/>
        <v>1.3744105916013571</v>
      </c>
      <c r="BO248" s="176">
        <f>DANE!AU248</f>
        <v>316</v>
      </c>
      <c r="BP248" s="188">
        <f t="shared" si="10"/>
        <v>10228</v>
      </c>
      <c r="BQ248" s="177">
        <f t="shared" ca="1" si="26"/>
        <v>517.28571428571433</v>
      </c>
      <c r="BR248" s="209">
        <f t="shared" si="78"/>
        <v>2915.2193420879562</v>
      </c>
      <c r="BS248" s="179">
        <f t="shared" si="83"/>
        <v>-3.8650030178624818E-2</v>
      </c>
      <c r="BT248" s="213">
        <f t="shared" si="84"/>
        <v>0.72944978874962629</v>
      </c>
      <c r="BU248" s="217">
        <f t="shared" ca="1" si="85"/>
        <v>1.617125935182947</v>
      </c>
      <c r="BV248" s="176">
        <f>DANE!AY248</f>
        <v>1317</v>
      </c>
      <c r="BW248" s="188">
        <f t="shared" si="11"/>
        <v>23727</v>
      </c>
      <c r="BX248" s="177">
        <f t="shared" ca="1" si="27"/>
        <v>1059.8571428571429</v>
      </c>
      <c r="BY248" s="209">
        <f t="shared" si="69"/>
        <v>6378.9165620275417</v>
      </c>
      <c r="BZ248" s="179">
        <f t="shared" si="71"/>
        <v>8.015268534219458E-2</v>
      </c>
      <c r="CA248" s="213">
        <f t="shared" si="72"/>
        <v>1.5610687973953621</v>
      </c>
      <c r="CB248" s="214">
        <f t="shared" ca="1" si="73"/>
        <v>1.487453926791743</v>
      </c>
      <c r="CC248" s="176">
        <f>DANE!BC248</f>
        <v>2407</v>
      </c>
      <c r="CD248" s="188">
        <f t="shared" si="12"/>
        <v>53019</v>
      </c>
      <c r="CE248" s="177">
        <f t="shared" ca="1" si="28"/>
        <v>1879.8571428571429</v>
      </c>
      <c r="CF248" s="209">
        <f t="shared" si="45"/>
        <v>11069.478785684563</v>
      </c>
      <c r="CG248" s="179">
        <f t="shared" si="46"/>
        <v>9.5312890015245427E-2</v>
      </c>
      <c r="CH248" s="213">
        <f t="shared" si="47"/>
        <v>1.6671902301067181</v>
      </c>
      <c r="CI248" s="217">
        <f t="shared" ca="1" si="48"/>
        <v>1.4942870351252697</v>
      </c>
      <c r="CJ248" s="176">
        <f>DANE!BG248</f>
        <v>551</v>
      </c>
      <c r="CK248" s="188">
        <f t="shared" si="13"/>
        <v>12357</v>
      </c>
      <c r="CL248" s="177">
        <f t="shared" ca="1" si="29"/>
        <v>525.71428571428567</v>
      </c>
      <c r="CM248" s="209">
        <f t="shared" si="79"/>
        <v>3175.9108973939055</v>
      </c>
      <c r="CN248" s="179">
        <f t="shared" si="86"/>
        <v>3.706733181916505E-2</v>
      </c>
      <c r="CO248" s="213">
        <f t="shared" si="87"/>
        <v>1.2594713227341554</v>
      </c>
      <c r="CP248" s="214">
        <f t="shared" ca="1" si="88"/>
        <v>1.2712377634198313</v>
      </c>
      <c r="CQ248" s="176">
        <f>DANE!BK248</f>
        <v>565</v>
      </c>
      <c r="CR248" s="188">
        <f t="shared" si="14"/>
        <v>10439</v>
      </c>
      <c r="CS248" s="177">
        <f t="shared" ca="1" si="30"/>
        <v>569.14285714285711</v>
      </c>
      <c r="CT248" s="209">
        <f t="shared" si="89"/>
        <v>3318.7899821948668</v>
      </c>
      <c r="CU248" s="179">
        <f t="shared" si="90"/>
        <v>3.3004385224864978E-2</v>
      </c>
      <c r="CV248" s="213">
        <f t="shared" si="91"/>
        <v>1.231030696574055</v>
      </c>
      <c r="CW248" s="217">
        <f t="shared" ca="1" si="92"/>
        <v>1.5686099374774665</v>
      </c>
      <c r="CX248" s="176">
        <f>DANE!BO248</f>
        <v>2114</v>
      </c>
      <c r="CY248" s="188">
        <f t="shared" si="15"/>
        <v>39793</v>
      </c>
      <c r="CZ248" s="177">
        <f t="shared" ca="1" si="31"/>
        <v>2163.1428571428573</v>
      </c>
      <c r="DA248" s="209">
        <f t="shared" si="54"/>
        <v>11541.001606472684</v>
      </c>
      <c r="DB248" s="179">
        <f t="shared" si="58"/>
        <v>4.9356678211463063E-2</v>
      </c>
      <c r="DC248" s="213">
        <f t="shared" si="59"/>
        <v>1.3454967474802415</v>
      </c>
      <c r="DD248" s="214">
        <f t="shared" ca="1" si="60"/>
        <v>1.6287584014000387</v>
      </c>
      <c r="DE248" s="176">
        <f>DANE!BS248</f>
        <v>454</v>
      </c>
      <c r="DF248" s="188">
        <f t="shared" si="16"/>
        <v>12513</v>
      </c>
      <c r="DG248" s="177">
        <f t="shared" ca="1" si="32"/>
        <v>578.42857142857144</v>
      </c>
      <c r="DH248" s="209">
        <f t="shared" si="70"/>
        <v>3657.0149421662072</v>
      </c>
      <c r="DI248" s="179">
        <f t="shared" si="74"/>
        <v>-2.1364466685086365E-2</v>
      </c>
      <c r="DJ248" s="157">
        <f t="shared" si="75"/>
        <v>0.8504487332043954</v>
      </c>
      <c r="DK248" s="225">
        <f t="shared" ca="1" si="76"/>
        <v>1.2583356801199308</v>
      </c>
      <c r="DL248" s="226"/>
      <c r="DM248" s="380"/>
      <c r="DN248" s="372"/>
      <c r="DO248" s="372"/>
      <c r="DP248" s="372"/>
      <c r="DQ248" s="372"/>
      <c r="DR248" s="372"/>
      <c r="DS248" s="372"/>
      <c r="DT248" s="88"/>
      <c r="DU248" s="88"/>
      <c r="DV248" s="88"/>
      <c r="DW248" s="226"/>
      <c r="DX248" s="226"/>
      <c r="DY248" s="226"/>
      <c r="DZ248" s="226"/>
      <c r="EA248" s="226"/>
      <c r="EB248" s="226"/>
      <c r="EC248" s="226"/>
      <c r="ED248" s="226"/>
      <c r="EE248" s="226"/>
      <c r="EF248" s="226"/>
      <c r="EG248" s="226"/>
      <c r="EH248" s="226"/>
    </row>
    <row r="249" spans="1:138" x14ac:dyDescent="0.25">
      <c r="A249" s="32">
        <v>44139</v>
      </c>
      <c r="B249" s="33">
        <f t="shared" ca="1" si="98"/>
        <v>44139</v>
      </c>
      <c r="C249" s="51">
        <f t="shared" si="93"/>
        <v>246</v>
      </c>
      <c r="D249" s="176">
        <f>DANE!K249</f>
        <v>2324</v>
      </c>
      <c r="E249" s="188">
        <f t="shared" si="1"/>
        <v>24499</v>
      </c>
      <c r="F249" s="178">
        <f t="shared" ca="1" si="17"/>
        <v>1233.4285714285713</v>
      </c>
      <c r="G249" s="209">
        <f t="shared" si="38"/>
        <v>7846.1942179117905</v>
      </c>
      <c r="H249" s="179">
        <f t="shared" si="42"/>
        <v>0.21786903253501347</v>
      </c>
      <c r="I249" s="213">
        <f t="shared" si="43"/>
        <v>2.5250832277450943</v>
      </c>
      <c r="J249" s="214">
        <f t="shared" ca="1" si="44"/>
        <v>1.6285636673015307</v>
      </c>
      <c r="K249" s="176">
        <f>DANE!O249</f>
        <v>1429</v>
      </c>
      <c r="L249" s="188">
        <f t="shared" si="2"/>
        <v>26807</v>
      </c>
      <c r="M249" s="177">
        <f t="shared" ca="1" si="18"/>
        <v>1415.8571428571429</v>
      </c>
      <c r="N249" s="209">
        <f t="shared" si="62"/>
        <v>8289.0040670593953</v>
      </c>
      <c r="O249" s="179">
        <f t="shared" si="66"/>
        <v>3.5693355201408407E-2</v>
      </c>
      <c r="P249" s="213">
        <f t="shared" si="67"/>
        <v>1.2498534864098589</v>
      </c>
      <c r="Q249" s="217">
        <f t="shared" ca="1" si="68"/>
        <v>1.3492230830695304</v>
      </c>
      <c r="R249" s="176">
        <f>DANE!S249</f>
        <v>1543</v>
      </c>
      <c r="S249" s="188">
        <f t="shared" si="3"/>
        <v>23047</v>
      </c>
      <c r="T249" s="177">
        <f t="shared" ca="1" si="19"/>
        <v>1479.7142857142858</v>
      </c>
      <c r="U249" s="209">
        <f t="shared" si="50"/>
        <v>8008.3604746864976</v>
      </c>
      <c r="V249" s="179">
        <f t="shared" si="55"/>
        <v>6.1705531374189868E-2</v>
      </c>
      <c r="W249" s="213">
        <f t="shared" si="56"/>
        <v>1.4319387196193292</v>
      </c>
      <c r="X249" s="214">
        <f t="shared" ca="1" si="57"/>
        <v>1.8131524344791505</v>
      </c>
      <c r="Y249" s="176">
        <f>DANE!W249</f>
        <v>434</v>
      </c>
      <c r="Z249" s="188">
        <f t="shared" si="4"/>
        <v>8325</v>
      </c>
      <c r="AA249" s="177">
        <f t="shared" ca="1" si="20"/>
        <v>375.57142857142856</v>
      </c>
      <c r="AB249" s="209">
        <f t="shared" si="94"/>
        <v>2409.9909921361741</v>
      </c>
      <c r="AC249" s="179">
        <f t="shared" si="95"/>
        <v>4.5402824663176758E-2</v>
      </c>
      <c r="AD249" s="213">
        <f t="shared" si="96"/>
        <v>1.3178197726422374</v>
      </c>
      <c r="AE249" s="217">
        <f t="shared" ca="1" si="97"/>
        <v>1.1884973876275198</v>
      </c>
      <c r="AF249" s="176">
        <f>DANE!AA249</f>
        <v>1766</v>
      </c>
      <c r="AG249" s="188">
        <f t="shared" si="5"/>
        <v>33208</v>
      </c>
      <c r="AH249" s="177">
        <f t="shared" ca="1" si="21"/>
        <v>1539.1428571428571</v>
      </c>
      <c r="AI249" s="209">
        <f t="shared" si="37"/>
        <v>9239.3129078324837</v>
      </c>
      <c r="AJ249" s="179">
        <f t="shared" si="39"/>
        <v>5.9692155477177107E-2</v>
      </c>
      <c r="AK249" s="213">
        <f t="shared" si="40"/>
        <v>1.4178450883402398</v>
      </c>
      <c r="AL249" s="214">
        <f t="shared" ca="1" si="41"/>
        <v>1.3463480313486473</v>
      </c>
      <c r="AM249" s="176">
        <f>DANE!AE249</f>
        <v>2245</v>
      </c>
      <c r="AN249" s="188">
        <f t="shared" si="6"/>
        <v>50815</v>
      </c>
      <c r="AO249" s="177">
        <f t="shared" ca="1" si="22"/>
        <v>1875</v>
      </c>
      <c r="AP249" s="209">
        <f t="shared" si="49"/>
        <v>12176.623450841882</v>
      </c>
      <c r="AQ249" s="179">
        <f t="shared" si="51"/>
        <v>5.0896247392725955E-2</v>
      </c>
      <c r="AR249" s="213">
        <f t="shared" si="52"/>
        <v>1.3562737317490816</v>
      </c>
      <c r="AS249" s="217">
        <f t="shared" ca="1" si="53"/>
        <v>1.2192031240358372</v>
      </c>
      <c r="AT249" s="176">
        <f>DANE!AI249</f>
        <v>2797</v>
      </c>
      <c r="AU249" s="188">
        <f t="shared" si="7"/>
        <v>62282</v>
      </c>
      <c r="AV249" s="177">
        <f t="shared" ca="1" si="23"/>
        <v>2737.5714285714284</v>
      </c>
      <c r="AW249" s="209">
        <f t="shared" si="33"/>
        <v>17059.029659166179</v>
      </c>
      <c r="AX249" s="179">
        <f t="shared" si="34"/>
        <v>2.5241551979587426E-2</v>
      </c>
      <c r="AY249" s="213">
        <f t="shared" si="35"/>
        <v>1.1766908638571121</v>
      </c>
      <c r="AZ249" s="214">
        <f t="shared" ca="1" si="36"/>
        <v>1.2791310910910574</v>
      </c>
      <c r="BA249" s="176">
        <f>DANE!AM249</f>
        <v>644</v>
      </c>
      <c r="BB249" s="188">
        <f t="shared" si="8"/>
        <v>12165</v>
      </c>
      <c r="BC249" s="177">
        <f t="shared" ca="1" si="24"/>
        <v>486.85714285714283</v>
      </c>
      <c r="BD249" s="209">
        <f t="shared" si="77"/>
        <v>3110.0048697006914</v>
      </c>
      <c r="BE249" s="179">
        <f t="shared" si="80"/>
        <v>8.0986697348654615E-2</v>
      </c>
      <c r="BF249" s="213">
        <f t="shared" si="81"/>
        <v>1.5669068814405822</v>
      </c>
      <c r="BG249" s="217">
        <f t="shared" ca="1" si="82"/>
        <v>1.2452721492781269</v>
      </c>
      <c r="BH249" s="176">
        <f>DANE!AQ249</f>
        <v>1280</v>
      </c>
      <c r="BI249" s="188">
        <f t="shared" si="9"/>
        <v>26082</v>
      </c>
      <c r="BJ249" s="177">
        <f t="shared" ca="1" si="25"/>
        <v>1211.8571428571429</v>
      </c>
      <c r="BK249" s="209">
        <f t="shared" si="61"/>
        <v>7267.2436436243233</v>
      </c>
      <c r="BL249" s="179">
        <f t="shared" si="63"/>
        <v>4.038959344549279E-2</v>
      </c>
      <c r="BM249" s="213">
        <f t="shared" si="64"/>
        <v>1.2827271541184495</v>
      </c>
      <c r="BN249" s="214">
        <f t="shared" ca="1" si="65"/>
        <v>1.3445323926361348</v>
      </c>
      <c r="BO249" s="176">
        <f>DANE!AU249</f>
        <v>625</v>
      </c>
      <c r="BP249" s="188">
        <f t="shared" si="10"/>
        <v>10853</v>
      </c>
      <c r="BQ249" s="177">
        <f t="shared" ca="1" si="26"/>
        <v>565.14285714285711</v>
      </c>
      <c r="BR249" s="209">
        <f t="shared" si="78"/>
        <v>3123.759436075391</v>
      </c>
      <c r="BS249" s="179">
        <f t="shared" si="83"/>
        <v>7.1534958271123772E-2</v>
      </c>
      <c r="BT249" s="213">
        <f t="shared" si="84"/>
        <v>1.5007447078978664</v>
      </c>
      <c r="BU249" s="217">
        <f t="shared" ca="1" si="85"/>
        <v>1.6585894539501382</v>
      </c>
      <c r="BV249" s="176">
        <f>DANE!AY249</f>
        <v>1352</v>
      </c>
      <c r="BW249" s="188">
        <f t="shared" si="11"/>
        <v>25079</v>
      </c>
      <c r="BX249" s="177">
        <f t="shared" ca="1" si="27"/>
        <v>1124.2857142857142</v>
      </c>
      <c r="BY249" s="209">
        <f t="shared" si="69"/>
        <v>6819.6427674521792</v>
      </c>
      <c r="BZ249" s="179">
        <f t="shared" si="71"/>
        <v>6.9091075441901142E-2</v>
      </c>
      <c r="CA249" s="213">
        <f t="shared" si="72"/>
        <v>1.4836375280933081</v>
      </c>
      <c r="CB249" s="214">
        <f t="shared" ca="1" si="73"/>
        <v>1.4735392885357261</v>
      </c>
      <c r="CC249" s="176">
        <f>DANE!BC249</f>
        <v>2165</v>
      </c>
      <c r="CD249" s="188">
        <f t="shared" si="12"/>
        <v>55184</v>
      </c>
      <c r="CE249" s="177">
        <f t="shared" ca="1" si="28"/>
        <v>1922.2857142857142</v>
      </c>
      <c r="CF249" s="209">
        <f t="shared" si="45"/>
        <v>11653.124673443912</v>
      </c>
      <c r="CG249" s="179">
        <f t="shared" si="46"/>
        <v>5.2725688269454916E-2</v>
      </c>
      <c r="CH249" s="213">
        <f t="shared" si="47"/>
        <v>1.3690798178861845</v>
      </c>
      <c r="CI249" s="217">
        <f t="shared" ca="1" si="48"/>
        <v>1.4199296315538807</v>
      </c>
      <c r="CJ249" s="176">
        <f>DANE!BG249</f>
        <v>767</v>
      </c>
      <c r="CK249" s="188">
        <f t="shared" si="13"/>
        <v>13124</v>
      </c>
      <c r="CL249" s="177">
        <f t="shared" ca="1" si="29"/>
        <v>558.71428571428567</v>
      </c>
      <c r="CM249" s="209">
        <f t="shared" si="79"/>
        <v>3489.209340623348</v>
      </c>
      <c r="CN249" s="179">
        <f t="shared" si="86"/>
        <v>9.8648373128644579E-2</v>
      </c>
      <c r="CO249" s="213">
        <f t="shared" si="87"/>
        <v>1.6905386119005121</v>
      </c>
      <c r="CP249" s="214">
        <f t="shared" ca="1" si="88"/>
        <v>1.2957842689495913</v>
      </c>
      <c r="CQ249" s="176">
        <f>DANE!BK249</f>
        <v>622</v>
      </c>
      <c r="CR249" s="188">
        <f t="shared" si="14"/>
        <v>11061</v>
      </c>
      <c r="CS249" s="177">
        <f t="shared" ca="1" si="30"/>
        <v>594.85714285714289</v>
      </c>
      <c r="CT249" s="209">
        <f t="shared" si="89"/>
        <v>3466.6771275956003</v>
      </c>
      <c r="CU249" s="179">
        <f t="shared" si="90"/>
        <v>4.4560561588452494E-2</v>
      </c>
      <c r="CV249" s="213">
        <f t="shared" si="91"/>
        <v>1.3119239311191675</v>
      </c>
      <c r="CW249" s="217">
        <f t="shared" ca="1" si="92"/>
        <v>1.5270009742832973</v>
      </c>
      <c r="CX249" s="176">
        <f>DANE!BO249</f>
        <v>3952</v>
      </c>
      <c r="CY249" s="188">
        <f t="shared" si="15"/>
        <v>43745</v>
      </c>
      <c r="CZ249" s="177">
        <f t="shared" ca="1" si="31"/>
        <v>2315.5714285714284</v>
      </c>
      <c r="DA249" s="209">
        <f t="shared" si="54"/>
        <v>13844.287091262302</v>
      </c>
      <c r="DB249" s="179">
        <f t="shared" si="58"/>
        <v>0.19957414125112308</v>
      </c>
      <c r="DC249" s="213">
        <f t="shared" si="59"/>
        <v>2.3970189887578615</v>
      </c>
      <c r="DD249" s="214">
        <f t="shared" ca="1" si="60"/>
        <v>1.5331095537660038</v>
      </c>
      <c r="DE249" s="176">
        <f>DANE!BS249</f>
        <v>747</v>
      </c>
      <c r="DF249" s="188">
        <f t="shared" si="16"/>
        <v>13260</v>
      </c>
      <c r="DG249" s="177">
        <f t="shared" ca="1" si="32"/>
        <v>633.71428571428567</v>
      </c>
      <c r="DH249" s="209">
        <f t="shared" si="70"/>
        <v>3881.5842361424634</v>
      </c>
      <c r="DI249" s="179">
        <f t="shared" si="74"/>
        <v>6.1407814167484406E-2</v>
      </c>
      <c r="DJ249" s="157">
        <f t="shared" si="75"/>
        <v>1.4298546991723908</v>
      </c>
      <c r="DK249" s="225">
        <f t="shared" ca="1" si="76"/>
        <v>1.3364677402127556</v>
      </c>
      <c r="DL249" s="50"/>
      <c r="DM249" s="380"/>
      <c r="DN249" s="372"/>
      <c r="DO249" s="372"/>
      <c r="DP249" s="372"/>
      <c r="DQ249" s="372"/>
      <c r="DR249" s="372"/>
      <c r="DS249" s="372"/>
      <c r="DT249" s="88"/>
      <c r="DU249" s="88"/>
      <c r="DV249" s="88"/>
      <c r="DW249" s="50"/>
      <c r="DX249" s="50"/>
      <c r="DY249" s="50"/>
      <c r="DZ249" s="50"/>
      <c r="EA249" s="50"/>
      <c r="EB249" s="50"/>
      <c r="EC249" s="50"/>
      <c r="ED249" s="50"/>
      <c r="EE249" s="50"/>
      <c r="EF249" s="50"/>
      <c r="EG249" s="50"/>
      <c r="EH249" s="50"/>
    </row>
    <row r="250" spans="1:138" x14ac:dyDescent="0.25">
      <c r="A250" s="32">
        <v>44140</v>
      </c>
      <c r="B250" s="33">
        <f t="shared" ca="1" si="98"/>
        <v>44140</v>
      </c>
      <c r="C250" s="51">
        <f t="shared" si="93"/>
        <v>247</v>
      </c>
      <c r="D250" s="176">
        <f>DANE!K250</f>
        <v>2451</v>
      </c>
      <c r="E250" s="188">
        <f t="shared" si="1"/>
        <v>26950</v>
      </c>
      <c r="F250" s="178">
        <f t="shared" ca="1" si="17"/>
        <v>1461.1428571428571</v>
      </c>
      <c r="G250" s="209">
        <f t="shared" si="38"/>
        <v>9176.3093296386778</v>
      </c>
      <c r="H250" s="179">
        <f t="shared" si="42"/>
        <v>0.16952360275385692</v>
      </c>
      <c r="I250" s="213">
        <f t="shared" si="43"/>
        <v>2.1866652192769984</v>
      </c>
      <c r="J250" s="214">
        <f t="shared" ca="1" si="44"/>
        <v>1.746980291008827</v>
      </c>
      <c r="K250" s="176">
        <f>DANE!O250</f>
        <v>1663</v>
      </c>
      <c r="L250" s="188">
        <f t="shared" si="2"/>
        <v>28470</v>
      </c>
      <c r="M250" s="177">
        <f t="shared" ca="1" si="18"/>
        <v>1453</v>
      </c>
      <c r="N250" s="209">
        <f t="shared" si="62"/>
        <v>8767.8606289080526</v>
      </c>
      <c r="O250" s="179">
        <f t="shared" si="66"/>
        <v>5.777009613876765E-2</v>
      </c>
      <c r="P250" s="213">
        <f t="shared" si="67"/>
        <v>1.4043906729713735</v>
      </c>
      <c r="Q250" s="217">
        <f t="shared" ca="1" si="68"/>
        <v>1.315334643885242</v>
      </c>
      <c r="R250" s="176">
        <f>DANE!S250</f>
        <v>805</v>
      </c>
      <c r="S250" s="188">
        <f t="shared" si="3"/>
        <v>23852</v>
      </c>
      <c r="T250" s="177">
        <f t="shared" ca="1" si="19"/>
        <v>1351.8571428571429</v>
      </c>
      <c r="U250" s="209">
        <f t="shared" si="50"/>
        <v>7669.3089783027126</v>
      </c>
      <c r="V250" s="179">
        <f t="shared" si="55"/>
        <v>-4.2337192170043746E-2</v>
      </c>
      <c r="W250" s="213">
        <f t="shared" si="56"/>
        <v>0.7036396548096937</v>
      </c>
      <c r="X250" s="214">
        <f t="shared" ca="1" si="57"/>
        <v>1.4661123214467242</v>
      </c>
      <c r="Y250" s="176">
        <f>DANE!W250</f>
        <v>578</v>
      </c>
      <c r="Z250" s="188">
        <f t="shared" si="4"/>
        <v>8903</v>
      </c>
      <c r="AA250" s="177">
        <f t="shared" ca="1" si="20"/>
        <v>412.28571428571428</v>
      </c>
      <c r="AB250" s="209">
        <f t="shared" si="94"/>
        <v>2643.7065646881492</v>
      </c>
      <c r="AC250" s="179">
        <f t="shared" si="95"/>
        <v>9.6977778470787437E-2</v>
      </c>
      <c r="AD250" s="213">
        <f t="shared" si="96"/>
        <v>1.6788444492955121</v>
      </c>
      <c r="AE250" s="217">
        <f t="shared" ca="1" si="97"/>
        <v>1.2686213694160773</v>
      </c>
      <c r="AF250" s="176">
        <f>DANE!AA250</f>
        <v>1713</v>
      </c>
      <c r="AG250" s="188">
        <f t="shared" si="5"/>
        <v>34921</v>
      </c>
      <c r="AH250" s="177">
        <f t="shared" ca="1" si="21"/>
        <v>1527.5714285714287</v>
      </c>
      <c r="AI250" s="209">
        <f t="shared" si="37"/>
        <v>9632.4110638564161</v>
      </c>
      <c r="AJ250" s="179">
        <f t="shared" si="39"/>
        <v>4.2546254244803162E-2</v>
      </c>
      <c r="AK250" s="213">
        <f t="shared" si="40"/>
        <v>1.2978237797136223</v>
      </c>
      <c r="AL250" s="214">
        <f t="shared" ca="1" si="41"/>
        <v>1.2613542638990829</v>
      </c>
      <c r="AM250" s="176">
        <f>DANE!AE250</f>
        <v>2342</v>
      </c>
      <c r="AN250" s="188">
        <f t="shared" si="6"/>
        <v>53157</v>
      </c>
      <c r="AO250" s="177">
        <f t="shared" ca="1" si="22"/>
        <v>1934.2857142857142</v>
      </c>
      <c r="AP250" s="209">
        <f t="shared" si="49"/>
        <v>12779.105815007328</v>
      </c>
      <c r="AQ250" s="179">
        <f t="shared" si="51"/>
        <v>4.9478606823781725E-2</v>
      </c>
      <c r="AR250" s="213">
        <f t="shared" si="52"/>
        <v>1.3463502477664722</v>
      </c>
      <c r="AS250" s="217">
        <f t="shared" ca="1" si="53"/>
        <v>1.2154586386017157</v>
      </c>
      <c r="AT250" s="176">
        <f>DANE!AI250</f>
        <v>2932</v>
      </c>
      <c r="AU250" s="188">
        <f t="shared" si="7"/>
        <v>65214</v>
      </c>
      <c r="AV250" s="177">
        <f t="shared" ca="1" si="23"/>
        <v>2834.2857142857142</v>
      </c>
      <c r="AW250" s="209">
        <f t="shared" si="33"/>
        <v>17554.02542214244</v>
      </c>
      <c r="AX250" s="179">
        <f t="shared" si="34"/>
        <v>2.9016642380376507E-2</v>
      </c>
      <c r="AY250" s="213">
        <f t="shared" si="35"/>
        <v>1.2031164966626355</v>
      </c>
      <c r="AZ250" s="214">
        <f t="shared" ca="1" si="36"/>
        <v>1.277933461615145</v>
      </c>
      <c r="BA250" s="176">
        <f>DANE!AM250</f>
        <v>714</v>
      </c>
      <c r="BB250" s="188">
        <f t="shared" si="8"/>
        <v>12879</v>
      </c>
      <c r="BC250" s="177">
        <f t="shared" ca="1" si="24"/>
        <v>520</v>
      </c>
      <c r="BD250" s="209">
        <f t="shared" si="77"/>
        <v>3379.7184597434498</v>
      </c>
      <c r="BE250" s="179">
        <f t="shared" si="80"/>
        <v>8.6724491228438422E-2</v>
      </c>
      <c r="BF250" s="213">
        <f t="shared" si="81"/>
        <v>1.607071438599069</v>
      </c>
      <c r="BG250" s="217">
        <f t="shared" ca="1" si="82"/>
        <v>1.2783100471260593</v>
      </c>
      <c r="BH250" s="176">
        <f>DANE!AQ250</f>
        <v>1553</v>
      </c>
      <c r="BI250" s="188">
        <f t="shared" si="9"/>
        <v>27635</v>
      </c>
      <c r="BJ250" s="177">
        <f t="shared" ca="1" si="25"/>
        <v>1247.1428571428571</v>
      </c>
      <c r="BK250" s="209">
        <f t="shared" si="61"/>
        <v>7782.0659802494201</v>
      </c>
      <c r="BL250" s="179">
        <f t="shared" si="63"/>
        <v>7.0841485695440964E-2</v>
      </c>
      <c r="BM250" s="213">
        <f t="shared" si="64"/>
        <v>1.4958903998680868</v>
      </c>
      <c r="BN250" s="214">
        <f t="shared" ca="1" si="65"/>
        <v>1.3079260716658054</v>
      </c>
      <c r="BO250" s="176">
        <f>DANE!AU250</f>
        <v>902</v>
      </c>
      <c r="BP250" s="188">
        <f t="shared" si="10"/>
        <v>11755</v>
      </c>
      <c r="BQ250" s="177">
        <f t="shared" ca="1" si="26"/>
        <v>571.42857142857144</v>
      </c>
      <c r="BR250" s="209">
        <f t="shared" si="78"/>
        <v>3579.508088064621</v>
      </c>
      <c r="BS250" s="179">
        <f t="shared" si="83"/>
        <v>0.14589748708748859</v>
      </c>
      <c r="BT250" s="213">
        <f t="shared" si="84"/>
        <v>2.0212824096124202</v>
      </c>
      <c r="BU250" s="217">
        <f t="shared" ca="1" si="85"/>
        <v>1.4506502993815231</v>
      </c>
      <c r="BV250" s="176">
        <f>DANE!AY250</f>
        <v>1141</v>
      </c>
      <c r="BW250" s="188">
        <f t="shared" si="11"/>
        <v>26220</v>
      </c>
      <c r="BX250" s="177">
        <f t="shared" ca="1" si="27"/>
        <v>1151.1428571428571</v>
      </c>
      <c r="BY250" s="209">
        <f t="shared" si="69"/>
        <v>6986.4080863875824</v>
      </c>
      <c r="BZ250" s="179">
        <f t="shared" si="71"/>
        <v>2.4453673692604108E-2</v>
      </c>
      <c r="CA250" s="213">
        <f t="shared" si="72"/>
        <v>1.1711757158482288</v>
      </c>
      <c r="CB250" s="214">
        <f t="shared" ca="1" si="73"/>
        <v>1.4202619551587463</v>
      </c>
      <c r="CC250" s="176">
        <f>DANE!BC250</f>
        <v>3850</v>
      </c>
      <c r="CD250" s="188">
        <f t="shared" si="12"/>
        <v>59034</v>
      </c>
      <c r="CE250" s="177">
        <f t="shared" ca="1" si="28"/>
        <v>2187.4285714285716</v>
      </c>
      <c r="CF250" s="209">
        <f t="shared" si="45"/>
        <v>13838.392577237639</v>
      </c>
      <c r="CG250" s="179">
        <f t="shared" si="46"/>
        <v>0.18752634722716843</v>
      </c>
      <c r="CH250" s="213">
        <f t="shared" si="47"/>
        <v>2.312684430590179</v>
      </c>
      <c r="CI250" s="217">
        <f t="shared" ca="1" si="48"/>
        <v>1.4946547793737832</v>
      </c>
      <c r="CJ250" s="176">
        <f>DANE!BG250</f>
        <v>950</v>
      </c>
      <c r="CK250" s="188">
        <f t="shared" si="13"/>
        <v>14074</v>
      </c>
      <c r="CL250" s="177">
        <f t="shared" ca="1" si="29"/>
        <v>608.85714285714289</v>
      </c>
      <c r="CM250" s="209">
        <f t="shared" si="79"/>
        <v>3940.7508633914413</v>
      </c>
      <c r="CN250" s="179">
        <f t="shared" si="86"/>
        <v>0.12941084317039725</v>
      </c>
      <c r="CO250" s="213">
        <f t="shared" si="87"/>
        <v>1.9058759021927809</v>
      </c>
      <c r="CP250" s="214">
        <f t="shared" ca="1" si="88"/>
        <v>1.342319671333007</v>
      </c>
      <c r="CQ250" s="176">
        <f>DANE!BK250</f>
        <v>795</v>
      </c>
      <c r="CR250" s="188">
        <f t="shared" si="14"/>
        <v>11856</v>
      </c>
      <c r="CS250" s="177">
        <f t="shared" ca="1" si="30"/>
        <v>633.42857142857144</v>
      </c>
      <c r="CT250" s="209">
        <f t="shared" si="89"/>
        <v>3766.4375379390863</v>
      </c>
      <c r="CU250" s="179">
        <f t="shared" si="90"/>
        <v>8.6469088210528636E-2</v>
      </c>
      <c r="CV250" s="213">
        <f t="shared" si="91"/>
        <v>1.6052836174737006</v>
      </c>
      <c r="CW250" s="217">
        <f t="shared" ca="1" si="92"/>
        <v>1.5058746455980565</v>
      </c>
      <c r="CX250" s="176">
        <f>DANE!BO250</f>
        <v>3888</v>
      </c>
      <c r="CY250" s="188">
        <f t="shared" si="15"/>
        <v>47633</v>
      </c>
      <c r="CZ250" s="177">
        <f t="shared" ca="1" si="31"/>
        <v>2494.8571428571427</v>
      </c>
      <c r="DA250" s="209">
        <f t="shared" si="54"/>
        <v>15754.531792510545</v>
      </c>
      <c r="DB250" s="179">
        <f t="shared" si="58"/>
        <v>0.13798072003677794</v>
      </c>
      <c r="DC250" s="213">
        <f t="shared" si="59"/>
        <v>1.9658650402574458</v>
      </c>
      <c r="DD250" s="214">
        <f t="shared" ca="1" si="60"/>
        <v>1.5052634626679369</v>
      </c>
      <c r="DE250" s="176">
        <f>DANE!BS250</f>
        <v>866</v>
      </c>
      <c r="DF250" s="188">
        <f t="shared" si="16"/>
        <v>14126</v>
      </c>
      <c r="DG250" s="177">
        <f t="shared" ca="1" si="32"/>
        <v>679</v>
      </c>
      <c r="DH250" s="209">
        <f t="shared" si="70"/>
        <v>4193.0722024078259</v>
      </c>
      <c r="DI250" s="179">
        <f t="shared" si="74"/>
        <v>8.0247637901302044E-2</v>
      </c>
      <c r="DJ250" s="157">
        <f t="shared" si="75"/>
        <v>1.5617334653091144</v>
      </c>
      <c r="DK250" s="225">
        <f t="shared" ca="1" si="76"/>
        <v>1.3639481836234162</v>
      </c>
      <c r="DL250" s="75"/>
      <c r="DM250" s="380"/>
      <c r="DN250" s="372"/>
      <c r="DO250" s="372"/>
      <c r="DP250" s="372"/>
      <c r="DQ250" s="372"/>
      <c r="DR250" s="372"/>
      <c r="DS250" s="372"/>
      <c r="DT250" s="146"/>
      <c r="DU250" s="146"/>
      <c r="DV250" s="146"/>
      <c r="DW250" s="75"/>
      <c r="DX250" s="75"/>
      <c r="DY250" s="75"/>
      <c r="DZ250" s="75"/>
      <c r="EA250" s="75"/>
      <c r="EB250" s="75"/>
      <c r="EC250" s="75"/>
      <c r="ED250" s="75"/>
      <c r="EE250" s="75"/>
      <c r="EF250" s="75"/>
      <c r="EG250" s="75"/>
      <c r="EH250" s="75"/>
    </row>
    <row r="251" spans="1:138" x14ac:dyDescent="0.25">
      <c r="A251" s="32">
        <v>44141</v>
      </c>
      <c r="B251" s="33">
        <f t="shared" ca="1" si="98"/>
        <v>44141</v>
      </c>
      <c r="C251" s="51">
        <f t="shared" si="93"/>
        <v>248</v>
      </c>
      <c r="D251" s="176">
        <f>DANE!K251</f>
        <v>2512</v>
      </c>
      <c r="E251" s="188">
        <f t="shared" si="1"/>
        <v>29462</v>
      </c>
      <c r="F251" s="178">
        <f t="shared" ca="1" si="17"/>
        <v>1677.2857142857142</v>
      </c>
      <c r="G251" s="209">
        <f t="shared" si="38"/>
        <v>10377.407996833153</v>
      </c>
      <c r="H251" s="179">
        <f t="shared" si="42"/>
        <v>0.13089125748137453</v>
      </c>
      <c r="I251" s="213">
        <f t="shared" si="43"/>
        <v>1.9162388023696217</v>
      </c>
      <c r="J251" s="214">
        <f t="shared" ca="1" si="44"/>
        <v>1.8056194090408233</v>
      </c>
      <c r="K251" s="176">
        <f>DANE!O251</f>
        <v>1952</v>
      </c>
      <c r="L251" s="188">
        <f t="shared" si="2"/>
        <v>30422</v>
      </c>
      <c r="M251" s="177">
        <f t="shared" ca="1" si="18"/>
        <v>1452.7142857142858</v>
      </c>
      <c r="N251" s="209">
        <f t="shared" si="62"/>
        <v>9467.309110492617</v>
      </c>
      <c r="O251" s="179">
        <f t="shared" si="66"/>
        <v>7.9774133188026466E-2</v>
      </c>
      <c r="P251" s="213">
        <f t="shared" si="67"/>
        <v>1.5584189323161852</v>
      </c>
      <c r="Q251" s="217">
        <f t="shared" ca="1" si="68"/>
        <v>1.2387725566722014</v>
      </c>
      <c r="R251" s="176">
        <f>DANE!S251</f>
        <v>1542</v>
      </c>
      <c r="S251" s="188">
        <f t="shared" si="3"/>
        <v>25394</v>
      </c>
      <c r="T251" s="177">
        <f t="shared" ca="1" si="19"/>
        <v>1364.2857142857142</v>
      </c>
      <c r="U251" s="209">
        <f t="shared" si="50"/>
        <v>8115.6934099737546</v>
      </c>
      <c r="V251" s="179">
        <f t="shared" si="55"/>
        <v>5.8203996335772987E-2</v>
      </c>
      <c r="W251" s="213">
        <f t="shared" si="56"/>
        <v>1.407427974350411</v>
      </c>
      <c r="X251" s="214">
        <f t="shared" ca="1" si="57"/>
        <v>1.3735750066976686</v>
      </c>
      <c r="Y251" s="176">
        <f>DANE!W251</f>
        <v>497</v>
      </c>
      <c r="Z251" s="188">
        <f t="shared" si="4"/>
        <v>9400</v>
      </c>
      <c r="AA251" s="177">
        <f t="shared" ca="1" si="20"/>
        <v>427</v>
      </c>
      <c r="AB251" s="209">
        <f t="shared" si="94"/>
        <v>2763.034198304128</v>
      </c>
      <c r="AC251" s="179">
        <f t="shared" si="95"/>
        <v>4.5136489506752295E-2</v>
      </c>
      <c r="AD251" s="213">
        <f t="shared" si="96"/>
        <v>1.3159554265472662</v>
      </c>
      <c r="AE251" s="217">
        <f t="shared" ca="1" si="97"/>
        <v>1.2638326209472257</v>
      </c>
      <c r="AF251" s="176">
        <f>DANE!AA251</f>
        <v>1593</v>
      </c>
      <c r="AG251" s="188">
        <f t="shared" si="5"/>
        <v>36514</v>
      </c>
      <c r="AH251" s="177">
        <f t="shared" ca="1" si="21"/>
        <v>1533.1428571428571</v>
      </c>
      <c r="AI251" s="209">
        <f t="shared" si="37"/>
        <v>9849.3523404483567</v>
      </c>
      <c r="AJ251" s="179">
        <f t="shared" si="39"/>
        <v>2.2522011898554326E-2</v>
      </c>
      <c r="AK251" s="213">
        <f t="shared" si="40"/>
        <v>1.1576540832898803</v>
      </c>
      <c r="AL251" s="214">
        <f t="shared" ca="1" si="41"/>
        <v>1.2190036473600332</v>
      </c>
      <c r="AM251" s="176">
        <f>DANE!AE251</f>
        <v>2815</v>
      </c>
      <c r="AN251" s="188">
        <f t="shared" si="6"/>
        <v>55972</v>
      </c>
      <c r="AO251" s="177">
        <f t="shared" ca="1" si="22"/>
        <v>2063</v>
      </c>
      <c r="AP251" s="209">
        <f t="shared" si="49"/>
        <v>13768.519270006282</v>
      </c>
      <c r="AQ251" s="179">
        <f t="shared" si="51"/>
        <v>7.7424310379918912E-2</v>
      </c>
      <c r="AR251" s="213">
        <f t="shared" si="52"/>
        <v>1.5419701726594324</v>
      </c>
      <c r="AS251" s="217">
        <f t="shared" ca="1" si="53"/>
        <v>1.2508244432196041</v>
      </c>
      <c r="AT251" s="176">
        <f>DANE!AI251</f>
        <v>2951</v>
      </c>
      <c r="AU251" s="188">
        <f t="shared" si="7"/>
        <v>68165</v>
      </c>
      <c r="AV251" s="177">
        <f t="shared" ca="1" si="23"/>
        <v>2767.8571428571427</v>
      </c>
      <c r="AW251" s="209">
        <f t="shared" si="33"/>
        <v>17997.307504693519</v>
      </c>
      <c r="AX251" s="179">
        <f t="shared" si="34"/>
        <v>2.5252446199145191E-2</v>
      </c>
      <c r="AY251" s="213">
        <f t="shared" si="35"/>
        <v>1.1767671233940162</v>
      </c>
      <c r="AZ251" s="214">
        <f t="shared" ca="1" si="36"/>
        <v>1.1915540024419768</v>
      </c>
      <c r="BA251" s="176">
        <f>DANE!AM251</f>
        <v>739</v>
      </c>
      <c r="BB251" s="188">
        <f t="shared" si="8"/>
        <v>13618</v>
      </c>
      <c r="BC251" s="177">
        <f t="shared" ca="1" si="24"/>
        <v>547</v>
      </c>
      <c r="BD251" s="209">
        <f t="shared" si="77"/>
        <v>3635.9015369229573</v>
      </c>
      <c r="BE251" s="179">
        <f t="shared" si="80"/>
        <v>7.580012365851152E-2</v>
      </c>
      <c r="BF251" s="213">
        <f t="shared" si="81"/>
        <v>1.5306008656095806</v>
      </c>
      <c r="BG251" s="217">
        <f t="shared" ca="1" si="82"/>
        <v>1.2841223371511585</v>
      </c>
      <c r="BH251" s="176">
        <f>DANE!AQ251</f>
        <v>1707</v>
      </c>
      <c r="BI251" s="188">
        <f t="shared" si="9"/>
        <v>29342</v>
      </c>
      <c r="BJ251" s="177">
        <f t="shared" ca="1" si="25"/>
        <v>1309</v>
      </c>
      <c r="BK251" s="209">
        <f t="shared" si="61"/>
        <v>8377.342268785218</v>
      </c>
      <c r="BL251" s="179">
        <f t="shared" si="63"/>
        <v>7.6493348944430162E-2</v>
      </c>
      <c r="BM251" s="213">
        <f t="shared" si="64"/>
        <v>1.5354534426110111</v>
      </c>
      <c r="BN251" s="214">
        <f t="shared" ca="1" si="65"/>
        <v>1.3067949282906803</v>
      </c>
      <c r="BO251" s="176">
        <f>DANE!AU251</f>
        <v>580</v>
      </c>
      <c r="BP251" s="188">
        <f t="shared" si="10"/>
        <v>12335</v>
      </c>
      <c r="BQ251" s="177">
        <f t="shared" ca="1" si="26"/>
        <v>603.14285714285711</v>
      </c>
      <c r="BR251" s="209">
        <f t="shared" si="78"/>
        <v>3648.1497897696754</v>
      </c>
      <c r="BS251" s="179">
        <f t="shared" si="83"/>
        <v>1.917629462381458E-2</v>
      </c>
      <c r="BT251" s="213">
        <f t="shared" si="84"/>
        <v>1.134234062366702</v>
      </c>
      <c r="BU251" s="217">
        <f t="shared" ca="1" si="85"/>
        <v>1.4596038262123716</v>
      </c>
      <c r="BV251" s="176">
        <f>DANE!AY251</f>
        <v>1451</v>
      </c>
      <c r="BW251" s="188">
        <f t="shared" si="11"/>
        <v>27671</v>
      </c>
      <c r="BX251" s="177">
        <f t="shared" ca="1" si="27"/>
        <v>1208.5714285714287</v>
      </c>
      <c r="BY251" s="209">
        <f t="shared" si="69"/>
        <v>7439.3497883322143</v>
      </c>
      <c r="BZ251" s="179">
        <f t="shared" si="71"/>
        <v>6.4831841533441195E-2</v>
      </c>
      <c r="CA251" s="213">
        <f t="shared" si="72"/>
        <v>1.4538228907340884</v>
      </c>
      <c r="CB251" s="214">
        <f t="shared" ca="1" si="73"/>
        <v>1.402654469187699</v>
      </c>
      <c r="CC251" s="176">
        <f>DANE!BC251</f>
        <v>3942</v>
      </c>
      <c r="CD251" s="188">
        <f t="shared" si="12"/>
        <v>62976</v>
      </c>
      <c r="CE251" s="177">
        <f t="shared" ca="1" si="28"/>
        <v>2499</v>
      </c>
      <c r="CF251" s="209">
        <f t="shared" si="45"/>
        <v>15803.479351917977</v>
      </c>
      <c r="CG251" s="179">
        <f t="shared" si="46"/>
        <v>0.14200253127033344</v>
      </c>
      <c r="CH251" s="213">
        <f t="shared" si="47"/>
        <v>1.994017718892334</v>
      </c>
      <c r="CI251" s="217">
        <f t="shared" ca="1" si="48"/>
        <v>1.5766170051017758</v>
      </c>
      <c r="CJ251" s="176">
        <f>DANE!BG251</f>
        <v>1013</v>
      </c>
      <c r="CK251" s="188">
        <f t="shared" si="13"/>
        <v>15087</v>
      </c>
      <c r="CL251" s="177">
        <f t="shared" ca="1" si="29"/>
        <v>666.85714285714289</v>
      </c>
      <c r="CM251" s="209">
        <f t="shared" si="79"/>
        <v>4390.7864543355208</v>
      </c>
      <c r="CN251" s="179">
        <f t="shared" si="86"/>
        <v>0.11420046751110152</v>
      </c>
      <c r="CO251" s="213">
        <f t="shared" si="87"/>
        <v>1.7994032725777107</v>
      </c>
      <c r="CP251" s="214">
        <f t="shared" ca="1" si="88"/>
        <v>1.3881365725077148</v>
      </c>
      <c r="CQ251" s="176">
        <f>DANE!BK251</f>
        <v>826</v>
      </c>
      <c r="CR251" s="188">
        <f t="shared" si="14"/>
        <v>12682</v>
      </c>
      <c r="CS251" s="177">
        <f t="shared" ca="1" si="30"/>
        <v>666.57142857142856</v>
      </c>
      <c r="CT251" s="209">
        <f t="shared" si="89"/>
        <v>4054.3750325192173</v>
      </c>
      <c r="CU251" s="179">
        <f t="shared" si="90"/>
        <v>7.6448233026501805E-2</v>
      </c>
      <c r="CV251" s="213">
        <f t="shared" si="91"/>
        <v>1.5351376311855127</v>
      </c>
      <c r="CW251" s="217">
        <f t="shared" ca="1" si="92"/>
        <v>1.4693382424627355</v>
      </c>
      <c r="CX251" s="176">
        <f>DANE!BO251</f>
        <v>2063</v>
      </c>
      <c r="CY251" s="188">
        <f t="shared" si="15"/>
        <v>49696</v>
      </c>
      <c r="CZ251" s="177">
        <f t="shared" ca="1" si="31"/>
        <v>2349.2857142857142</v>
      </c>
      <c r="DA251" s="209">
        <f t="shared" si="54"/>
        <v>15566.884393580467</v>
      </c>
      <c r="DB251" s="179">
        <f t="shared" si="58"/>
        <v>-1.1910693469118654E-2</v>
      </c>
      <c r="DC251" s="213">
        <f t="shared" si="59"/>
        <v>0.91662514571616938</v>
      </c>
      <c r="DD251" s="214">
        <f t="shared" ca="1" si="60"/>
        <v>1.3262812145973604</v>
      </c>
      <c r="DE251" s="176">
        <f>DANE!BS251</f>
        <v>903</v>
      </c>
      <c r="DF251" s="188">
        <f t="shared" si="16"/>
        <v>15029</v>
      </c>
      <c r="DG251" s="177">
        <f t="shared" ca="1" si="32"/>
        <v>712.57142857142856</v>
      </c>
      <c r="DH251" s="209">
        <f t="shared" si="70"/>
        <v>4497.0618877781362</v>
      </c>
      <c r="DI251" s="179">
        <f t="shared" si="74"/>
        <v>7.2498080332541751E-2</v>
      </c>
      <c r="DJ251" s="157">
        <f t="shared" si="75"/>
        <v>1.5074865623277924</v>
      </c>
      <c r="DK251" s="225">
        <f t="shared" ca="1" si="76"/>
        <v>1.3532064804369561</v>
      </c>
      <c r="DL251" s="75"/>
      <c r="DM251" s="88"/>
      <c r="DN251" s="88"/>
      <c r="DO251" s="88"/>
      <c r="DP251" s="88"/>
      <c r="DQ251" s="88"/>
      <c r="DR251" s="88"/>
      <c r="DS251" s="88"/>
      <c r="DT251" s="88"/>
      <c r="DU251" s="88"/>
      <c r="DV251" s="88"/>
      <c r="DW251" s="75"/>
      <c r="DX251" s="75"/>
      <c r="DY251" s="75"/>
      <c r="DZ251" s="75"/>
      <c r="EA251" s="75"/>
      <c r="EB251" s="75"/>
      <c r="EC251" s="75"/>
      <c r="ED251" s="75"/>
      <c r="EE251" s="75"/>
      <c r="EF251" s="75"/>
      <c r="EG251" s="75"/>
      <c r="EH251" s="75"/>
    </row>
    <row r="252" spans="1:138" x14ac:dyDescent="0.25">
      <c r="A252" s="61">
        <v>44142</v>
      </c>
      <c r="B252" s="62">
        <f t="shared" ca="1" si="98"/>
        <v>44142</v>
      </c>
      <c r="C252" s="12">
        <f t="shared" si="93"/>
        <v>249</v>
      </c>
      <c r="D252" s="176">
        <f>DANE!K252</f>
        <v>2045</v>
      </c>
      <c r="E252" s="198">
        <f t="shared" si="1"/>
        <v>31507</v>
      </c>
      <c r="F252" s="178">
        <f t="shared" ca="1" si="17"/>
        <v>1793.8571428571429</v>
      </c>
      <c r="G252" s="211">
        <f t="shared" si="38"/>
        <v>10939.921140142704</v>
      </c>
      <c r="H252" s="200">
        <f t="shared" si="42"/>
        <v>5.4205553398421931E-2</v>
      </c>
      <c r="I252" s="213">
        <f t="shared" si="43"/>
        <v>1.3794388737889536</v>
      </c>
      <c r="J252" s="214">
        <f t="shared" ca="1" si="44"/>
        <v>1.7558801338566248</v>
      </c>
      <c r="K252" s="176">
        <f>DANE!O252</f>
        <v>1809</v>
      </c>
      <c r="L252" s="198">
        <f t="shared" si="2"/>
        <v>32231</v>
      </c>
      <c r="M252" s="177">
        <f t="shared" ca="1" si="18"/>
        <v>1502.4285714285713</v>
      </c>
      <c r="N252" s="211">
        <f t="shared" si="62"/>
        <v>9923.8363804222427</v>
      </c>
      <c r="O252" s="200">
        <f t="shared" si="66"/>
        <v>4.8221439122934785E-2</v>
      </c>
      <c r="P252" s="213">
        <f t="shared" si="67"/>
        <v>1.3375500738605435</v>
      </c>
      <c r="Q252" s="217">
        <f t="shared" ca="1" si="68"/>
        <v>1.2363901143631466</v>
      </c>
      <c r="R252" s="176">
        <f>DANE!S252</f>
        <v>1794</v>
      </c>
      <c r="S252" s="198">
        <f t="shared" si="3"/>
        <v>27188</v>
      </c>
      <c r="T252" s="177">
        <f t="shared" ca="1" si="19"/>
        <v>1397.8571428571429</v>
      </c>
      <c r="U252" s="211">
        <f t="shared" si="50"/>
        <v>8750.3086371203608</v>
      </c>
      <c r="V252" s="200">
        <f t="shared" si="55"/>
        <v>7.8196057328471513E-2</v>
      </c>
      <c r="W252" s="213">
        <f t="shared" si="56"/>
        <v>1.5473724012993006</v>
      </c>
      <c r="X252" s="214">
        <f t="shared" ca="1" si="57"/>
        <v>1.3212529640485664</v>
      </c>
      <c r="Y252" s="176">
        <f>DANE!W252</f>
        <v>510</v>
      </c>
      <c r="Z252" s="198">
        <f t="shared" si="4"/>
        <v>9910</v>
      </c>
      <c r="AA252" s="177">
        <f t="shared" ca="1" si="20"/>
        <v>428.71428571428572</v>
      </c>
      <c r="AB252" s="211">
        <f t="shared" si="94"/>
        <v>2878.3150271178242</v>
      </c>
      <c r="AC252" s="200">
        <f t="shared" si="95"/>
        <v>4.1722548669304305E-2</v>
      </c>
      <c r="AD252" s="213">
        <f t="shared" si="96"/>
        <v>1.2920578406851302</v>
      </c>
      <c r="AE252" s="217">
        <f t="shared" ca="1" si="97"/>
        <v>1.216329977624486</v>
      </c>
      <c r="AF252" s="176">
        <f>DANE!AA252</f>
        <v>1549</v>
      </c>
      <c r="AG252" s="198">
        <f t="shared" si="5"/>
        <v>38063</v>
      </c>
      <c r="AH252" s="177">
        <f t="shared" ca="1" si="21"/>
        <v>1511.5714285714287</v>
      </c>
      <c r="AI252" s="211">
        <f t="shared" si="37"/>
        <v>9991.3020060985928</v>
      </c>
      <c r="AJ252" s="200">
        <f t="shared" si="39"/>
        <v>1.4412081195155448E-2</v>
      </c>
      <c r="AK252" s="213">
        <f t="shared" si="40"/>
        <v>1.1008845683660882</v>
      </c>
      <c r="AL252" s="214">
        <f t="shared" ca="1" si="41"/>
        <v>1.1628706254671823</v>
      </c>
      <c r="AM252" s="176">
        <f>DANE!AE252</f>
        <v>2450</v>
      </c>
      <c r="AN252" s="198">
        <f t="shared" si="6"/>
        <v>58422</v>
      </c>
      <c r="AO252" s="177">
        <f t="shared" ca="1" si="22"/>
        <v>2169.1428571428573</v>
      </c>
      <c r="AP252" s="211">
        <f t="shared" si="49"/>
        <v>14251.587945719672</v>
      </c>
      <c r="AQ252" s="200">
        <f t="shared" si="51"/>
        <v>3.5085012864507506E-2</v>
      </c>
      <c r="AR252" s="213">
        <f t="shared" si="52"/>
        <v>1.2455950900515527</v>
      </c>
      <c r="AS252" s="217">
        <f t="shared" ca="1" si="53"/>
        <v>1.2705058742715984</v>
      </c>
      <c r="AT252" s="176">
        <f>DANE!AI252</f>
        <v>2998</v>
      </c>
      <c r="AU252" s="198">
        <f t="shared" si="7"/>
        <v>71163</v>
      </c>
      <c r="AV252" s="177">
        <f t="shared" ca="1" si="23"/>
        <v>2747.8571428571427</v>
      </c>
      <c r="AW252" s="211">
        <f t="shared" si="33"/>
        <v>18424.263575451587</v>
      </c>
      <c r="AX252" s="200">
        <f t="shared" si="34"/>
        <v>2.3723330317422301E-2</v>
      </c>
      <c r="AY252" s="213">
        <f t="shared" si="35"/>
        <v>1.1660633122219561</v>
      </c>
      <c r="AZ252" s="214">
        <f t="shared" ca="1" si="36"/>
        <v>1.1478325876265958</v>
      </c>
      <c r="BA252" s="176">
        <f>DANE!AM252</f>
        <v>765</v>
      </c>
      <c r="BB252" s="198">
        <f t="shared" si="8"/>
        <v>14383</v>
      </c>
      <c r="BC252" s="177">
        <f t="shared" ca="1" si="24"/>
        <v>589</v>
      </c>
      <c r="BD252" s="211">
        <f t="shared" si="77"/>
        <v>3881.4870316482493</v>
      </c>
      <c r="BE252" s="200">
        <f t="shared" si="80"/>
        <v>6.7544594437265626E-2</v>
      </c>
      <c r="BF252" s="213">
        <f t="shared" si="81"/>
        <v>1.4728121610608593</v>
      </c>
      <c r="BG252" s="217">
        <f t="shared" ca="1" si="82"/>
        <v>1.3241738215550909</v>
      </c>
      <c r="BH252" s="176">
        <f>DANE!AQ252</f>
        <v>1946</v>
      </c>
      <c r="BI252" s="198">
        <f t="shared" si="9"/>
        <v>31288</v>
      </c>
      <c r="BJ252" s="177">
        <f t="shared" ca="1" si="25"/>
        <v>1386.4285714285713</v>
      </c>
      <c r="BK252" s="211">
        <f t="shared" si="61"/>
        <v>9126.5790875301864</v>
      </c>
      <c r="BL252" s="200">
        <f t="shared" si="63"/>
        <v>8.9436099744509265E-2</v>
      </c>
      <c r="BM252" s="213">
        <f t="shared" si="64"/>
        <v>1.6260526982115648</v>
      </c>
      <c r="BN252" s="214">
        <f t="shared" ca="1" si="65"/>
        <v>1.3136109634356516</v>
      </c>
      <c r="BO252" s="176">
        <f>DANE!AU252</f>
        <v>615</v>
      </c>
      <c r="BP252" s="198">
        <f t="shared" si="10"/>
        <v>12950</v>
      </c>
      <c r="BQ252" s="177">
        <f t="shared" ca="1" si="26"/>
        <v>603.57142857142856</v>
      </c>
      <c r="BR252" s="211">
        <f t="shared" si="78"/>
        <v>3741.9855340882937</v>
      </c>
      <c r="BS252" s="200">
        <f t="shared" si="83"/>
        <v>2.5721461487616861E-2</v>
      </c>
      <c r="BT252" s="213">
        <f t="shared" si="84"/>
        <v>1.180050230413318</v>
      </c>
      <c r="BU252" s="217">
        <f t="shared" ca="1" si="85"/>
        <v>1.3691408725940708</v>
      </c>
      <c r="BV252" s="176">
        <f>DANE!AY252</f>
        <v>1671</v>
      </c>
      <c r="BW252" s="198">
        <f t="shared" si="11"/>
        <v>29342</v>
      </c>
      <c r="BX252" s="177">
        <f t="shared" ca="1" si="27"/>
        <v>1274.1428571428571</v>
      </c>
      <c r="BY252" s="211">
        <f t="shared" si="69"/>
        <v>8047.5855328561838</v>
      </c>
      <c r="BZ252" s="200">
        <f t="shared" si="71"/>
        <v>8.1759261471737635E-2</v>
      </c>
      <c r="CA252" s="213">
        <f t="shared" si="72"/>
        <v>1.5723148303021635</v>
      </c>
      <c r="CB252" s="214">
        <f t="shared" ca="1" si="73"/>
        <v>1.3867914308712284</v>
      </c>
      <c r="CC252" s="176">
        <f>DANE!BC252</f>
        <v>4290</v>
      </c>
      <c r="CD252" s="198">
        <f t="shared" si="12"/>
        <v>67266</v>
      </c>
      <c r="CE252" s="177">
        <f t="shared" ca="1" si="28"/>
        <v>2787</v>
      </c>
      <c r="CF252" s="211">
        <f t="shared" si="45"/>
        <v>17835.839444501122</v>
      </c>
      <c r="CG252" s="200">
        <f t="shared" si="46"/>
        <v>0.12860206586953205</v>
      </c>
      <c r="CH252" s="213">
        <f t="shared" si="47"/>
        <v>1.9002144610867244</v>
      </c>
      <c r="CI252" s="217">
        <f t="shared" ca="1" si="48"/>
        <v>1.6009121590807716</v>
      </c>
      <c r="CJ252" s="176">
        <f>DANE!BG252</f>
        <v>1231</v>
      </c>
      <c r="CK252" s="198">
        <f t="shared" si="13"/>
        <v>16318</v>
      </c>
      <c r="CL252" s="177">
        <f t="shared" ca="1" si="29"/>
        <v>724</v>
      </c>
      <c r="CM252" s="211">
        <f t="shared" si="79"/>
        <v>4994.5312465733041</v>
      </c>
      <c r="CN252" s="200">
        <f t="shared" si="86"/>
        <v>0.13750265436881762</v>
      </c>
      <c r="CO252" s="213">
        <f t="shared" si="87"/>
        <v>1.9625185805817233</v>
      </c>
      <c r="CP252" s="214">
        <f t="shared" ca="1" si="88"/>
        <v>1.3978122670106046</v>
      </c>
      <c r="CQ252" s="176">
        <f>DANE!BK252</f>
        <v>679</v>
      </c>
      <c r="CR252" s="198">
        <f t="shared" si="14"/>
        <v>13361</v>
      </c>
      <c r="CS252" s="177">
        <f t="shared" ca="1" si="30"/>
        <v>658.28571428571433</v>
      </c>
      <c r="CT252" s="211">
        <f t="shared" si="89"/>
        <v>4154.1785993021858</v>
      </c>
      <c r="CU252" s="200">
        <f t="shared" si="90"/>
        <v>2.4616264154762924E-2</v>
      </c>
      <c r="CV252" s="213">
        <f t="shared" si="91"/>
        <v>1.1723138490833405</v>
      </c>
      <c r="CW252" s="217">
        <f t="shared" ca="1" si="92"/>
        <v>1.3516025746152585</v>
      </c>
      <c r="CX252" s="176">
        <f>DANE!BO252</f>
        <v>2451</v>
      </c>
      <c r="CY252" s="198">
        <f t="shared" si="15"/>
        <v>52147</v>
      </c>
      <c r="CZ252" s="177">
        <f t="shared" ca="1" si="31"/>
        <v>2366.7142857142858</v>
      </c>
      <c r="DA252" s="211">
        <f t="shared" si="54"/>
        <v>15794.043765926115</v>
      </c>
      <c r="DB252" s="200">
        <f t="shared" si="58"/>
        <v>1.4592475064523826E-2</v>
      </c>
      <c r="DC252" s="213">
        <f t="shared" si="59"/>
        <v>1.1021473254516667</v>
      </c>
      <c r="DD252" s="214">
        <f t="shared" ca="1" si="60"/>
        <v>1.283052186945574</v>
      </c>
      <c r="DE252" s="176">
        <f>DANE!BS252</f>
        <v>1072</v>
      </c>
      <c r="DF252" s="198">
        <f t="shared" si="16"/>
        <v>16101</v>
      </c>
      <c r="DG252" s="177">
        <f t="shared" ca="1" si="32"/>
        <v>760.71428571428567</v>
      </c>
      <c r="DH252" s="211">
        <f t="shared" si="70"/>
        <v>4926.6244752384027</v>
      </c>
      <c r="DI252" s="200">
        <f t="shared" si="74"/>
        <v>9.552071956752646E-2</v>
      </c>
      <c r="DJ252" s="157">
        <f t="shared" si="75"/>
        <v>1.6686450369726853</v>
      </c>
      <c r="DK252" s="225">
        <f t="shared" ca="1" si="76"/>
        <v>1.3619266839671884</v>
      </c>
      <c r="DL252" s="146"/>
      <c r="DM252" s="380"/>
      <c r="DN252" s="372"/>
      <c r="DO252" s="372"/>
      <c r="DP252" s="372"/>
      <c r="DQ252" s="372"/>
      <c r="DR252" s="372"/>
      <c r="DS252" s="372"/>
      <c r="DT252" s="88"/>
      <c r="DU252" s="88"/>
      <c r="DV252" s="88"/>
      <c r="DW252" s="146"/>
      <c r="DX252" s="146"/>
      <c r="DY252" s="146"/>
      <c r="DZ252" s="146"/>
      <c r="EA252" s="146"/>
      <c r="EB252" s="146"/>
      <c r="EC252" s="146"/>
      <c r="ED252" s="146"/>
      <c r="EE252" s="146"/>
      <c r="EF252" s="146"/>
      <c r="EG252" s="146"/>
      <c r="EH252" s="146"/>
    </row>
    <row r="253" spans="1:138" x14ac:dyDescent="0.25">
      <c r="A253" s="61">
        <v>44143</v>
      </c>
      <c r="B253" s="62">
        <f t="shared" ca="1" si="98"/>
        <v>44143</v>
      </c>
      <c r="C253" s="12">
        <f t="shared" si="93"/>
        <v>250</v>
      </c>
      <c r="D253" s="176">
        <f>DANE!K253</f>
        <v>1799</v>
      </c>
      <c r="E253" s="198">
        <f t="shared" si="1"/>
        <v>33306</v>
      </c>
      <c r="F253" s="178">
        <f t="shared" ca="1" si="17"/>
        <v>1976</v>
      </c>
      <c r="G253" s="211">
        <f t="shared" si="38"/>
        <v>11176.075262979461</v>
      </c>
      <c r="H253" s="200">
        <f t="shared" si="42"/>
        <v>2.1586455680216759E-2</v>
      </c>
      <c r="I253" s="213">
        <f t="shared" si="43"/>
        <v>1.1511051897615174</v>
      </c>
      <c r="J253" s="214">
        <f t="shared" ca="1" si="44"/>
        <v>1.8250044730243509</v>
      </c>
      <c r="K253" s="176">
        <f>DANE!O253</f>
        <v>1439</v>
      </c>
      <c r="L253" s="198">
        <f t="shared" si="2"/>
        <v>33670</v>
      </c>
      <c r="M253" s="177">
        <f t="shared" ca="1" si="18"/>
        <v>1460.2857142857142</v>
      </c>
      <c r="N253" s="211">
        <f t="shared" si="62"/>
        <v>9945.1454689333514</v>
      </c>
      <c r="O253" s="200">
        <f t="shared" si="66"/>
        <v>2.1472631847444914E-3</v>
      </c>
      <c r="P253" s="213">
        <f t="shared" si="67"/>
        <v>1.0150308422932115</v>
      </c>
      <c r="Q253" s="217">
        <f t="shared" ca="1" si="68"/>
        <v>1.1628432380421942</v>
      </c>
      <c r="R253" s="176">
        <f>DANE!S253</f>
        <v>1728</v>
      </c>
      <c r="S253" s="198">
        <f t="shared" si="3"/>
        <v>28916</v>
      </c>
      <c r="T253" s="177">
        <f t="shared" ca="1" si="19"/>
        <v>1392.1428571428571</v>
      </c>
      <c r="U253" s="211">
        <f t="shared" si="50"/>
        <v>9228.264546103168</v>
      </c>
      <c r="V253" s="200">
        <f t="shared" si="55"/>
        <v>5.4621605797449638E-2</v>
      </c>
      <c r="W253" s="213">
        <f t="shared" si="56"/>
        <v>1.3823512405821474</v>
      </c>
      <c r="X253" s="214">
        <f t="shared" ca="1" si="57"/>
        <v>1.2444999170710112</v>
      </c>
      <c r="Y253" s="176">
        <f>DANE!W253</f>
        <v>470</v>
      </c>
      <c r="Z253" s="198">
        <f t="shared" si="4"/>
        <v>10380</v>
      </c>
      <c r="AA253" s="177">
        <f t="shared" ca="1" si="20"/>
        <v>438.57142857142856</v>
      </c>
      <c r="AB253" s="211">
        <f t="shared" si="94"/>
        <v>2937.1271661009923</v>
      </c>
      <c r="AC253" s="200">
        <f t="shared" si="95"/>
        <v>2.0432836027006789E-2</v>
      </c>
      <c r="AD253" s="213">
        <f t="shared" si="96"/>
        <v>1.1430298521890476</v>
      </c>
      <c r="AE253" s="217">
        <f t="shared" ca="1" si="97"/>
        <v>1.2080507125232351</v>
      </c>
      <c r="AF253" s="176">
        <f>DANE!AA253</f>
        <v>1576</v>
      </c>
      <c r="AG253" s="198">
        <f t="shared" si="5"/>
        <v>39639</v>
      </c>
      <c r="AH253" s="177">
        <f t="shared" ca="1" si="21"/>
        <v>1498.1428571428571</v>
      </c>
      <c r="AI253" s="211">
        <f t="shared" si="37"/>
        <v>10139.973148084509</v>
      </c>
      <c r="AJ253" s="200">
        <f t="shared" si="39"/>
        <v>1.4880056862976339E-2</v>
      </c>
      <c r="AK253" s="213">
        <f t="shared" si="40"/>
        <v>1.1041603980408343</v>
      </c>
      <c r="AL253" s="214">
        <f t="shared" ca="1" si="41"/>
        <v>1.1247857870936406</v>
      </c>
      <c r="AM253" s="176">
        <f>DANE!AE253</f>
        <v>2806</v>
      </c>
      <c r="AN253" s="198">
        <f t="shared" si="6"/>
        <v>61228</v>
      </c>
      <c r="AO253" s="177">
        <f t="shared" ca="1" si="22"/>
        <v>2358.5714285714284</v>
      </c>
      <c r="AP253" s="211">
        <f t="shared" si="49"/>
        <v>15021.646810616861</v>
      </c>
      <c r="AQ253" s="200">
        <f t="shared" si="51"/>
        <v>5.4033197411413346E-2</v>
      </c>
      <c r="AR253" s="213">
        <f t="shared" si="52"/>
        <v>1.3782323818798934</v>
      </c>
      <c r="AS253" s="217">
        <f t="shared" ca="1" si="53"/>
        <v>1.3322628302950368</v>
      </c>
      <c r="AT253" s="176">
        <f>DANE!AI253</f>
        <v>2099</v>
      </c>
      <c r="AU253" s="198">
        <f t="shared" si="7"/>
        <v>73262</v>
      </c>
      <c r="AV253" s="177">
        <f t="shared" ca="1" si="23"/>
        <v>2707.7142857142858</v>
      </c>
      <c r="AW253" s="211">
        <f t="shared" si="33"/>
        <v>17891.225921815647</v>
      </c>
      <c r="AX253" s="200">
        <f t="shared" si="34"/>
        <v>-2.8931286803026261E-2</v>
      </c>
      <c r="AY253" s="213">
        <f t="shared" si="35"/>
        <v>0.7974809923788162</v>
      </c>
      <c r="AZ253" s="214">
        <f t="shared" ca="1" si="36"/>
        <v>1.1123339524491886</v>
      </c>
      <c r="BA253" s="176">
        <f>DANE!AM253</f>
        <v>858</v>
      </c>
      <c r="BB253" s="198">
        <f t="shared" si="8"/>
        <v>15241</v>
      </c>
      <c r="BC253" s="177">
        <f t="shared" ca="1" si="24"/>
        <v>645.71428571428567</v>
      </c>
      <c r="BD253" s="211">
        <f t="shared" si="77"/>
        <v>4184.9888842699283</v>
      </c>
      <c r="BE253" s="200">
        <f t="shared" si="80"/>
        <v>7.8192159382997839E-2</v>
      </c>
      <c r="BF253" s="213">
        <f t="shared" si="81"/>
        <v>1.5473451156809848</v>
      </c>
      <c r="BG253" s="217">
        <f t="shared" ca="1" si="82"/>
        <v>1.3829510140658889</v>
      </c>
      <c r="BH253" s="176">
        <f>DANE!AQ253</f>
        <v>1822</v>
      </c>
      <c r="BI253" s="198">
        <f t="shared" si="9"/>
        <v>33110</v>
      </c>
      <c r="BJ253" s="177">
        <f t="shared" ca="1" si="25"/>
        <v>1469.4285714285713</v>
      </c>
      <c r="BK253" s="211">
        <f t="shared" si="61"/>
        <v>9644.7820750258743</v>
      </c>
      <c r="BL253" s="200">
        <f t="shared" si="63"/>
        <v>5.6779542753726667E-2</v>
      </c>
      <c r="BM253" s="213">
        <f t="shared" si="64"/>
        <v>1.3974567992760867</v>
      </c>
      <c r="BN253" s="214">
        <f t="shared" ca="1" si="65"/>
        <v>1.3291572032737389</v>
      </c>
      <c r="BO253" s="176">
        <f>DANE!AU253</f>
        <v>1053</v>
      </c>
      <c r="BP253" s="198">
        <f t="shared" si="10"/>
        <v>14003</v>
      </c>
      <c r="BQ253" s="177">
        <f t="shared" ca="1" si="26"/>
        <v>662</v>
      </c>
      <c r="BR253" s="211">
        <f t="shared" si="78"/>
        <v>4260.4161720756802</v>
      </c>
      <c r="BS253" s="200">
        <f t="shared" si="83"/>
        <v>0.13854426567517403</v>
      </c>
      <c r="BT253" s="213">
        <f t="shared" si="84"/>
        <v>1.9698098597262184</v>
      </c>
      <c r="BU253" s="217">
        <f t="shared" ca="1" si="85"/>
        <v>1.4063297559383223</v>
      </c>
      <c r="BV253" s="176">
        <f>DANE!AY253</f>
        <v>1335</v>
      </c>
      <c r="BW253" s="198">
        <f t="shared" si="11"/>
        <v>30677</v>
      </c>
      <c r="BX253" s="177">
        <f t="shared" ca="1" si="27"/>
        <v>1319.1428571428571</v>
      </c>
      <c r="BY253" s="211">
        <f t="shared" si="69"/>
        <v>8232.9304567338731</v>
      </c>
      <c r="BZ253" s="200">
        <f t="shared" si="71"/>
        <v>2.3031121958378017E-2</v>
      </c>
      <c r="CA253" s="213">
        <f t="shared" si="72"/>
        <v>1.1612178537086462</v>
      </c>
      <c r="CB253" s="214">
        <f t="shared" ca="1" si="73"/>
        <v>1.3682959697055534</v>
      </c>
      <c r="CC253" s="176">
        <f>DANE!BC253</f>
        <v>4245</v>
      </c>
      <c r="CD253" s="198">
        <f t="shared" si="12"/>
        <v>71511</v>
      </c>
      <c r="CE253" s="177">
        <f t="shared" ca="1" si="28"/>
        <v>3180.1428571428573</v>
      </c>
      <c r="CF253" s="211">
        <f t="shared" si="45"/>
        <v>19532.862381000963</v>
      </c>
      <c r="CG253" s="200">
        <f t="shared" si="46"/>
        <v>9.5146793722851203E-2</v>
      </c>
      <c r="CH253" s="213">
        <f t="shared" si="47"/>
        <v>1.6660275560599584</v>
      </c>
      <c r="CI253" s="217">
        <f t="shared" ca="1" si="48"/>
        <v>1.6919676934898897</v>
      </c>
      <c r="CJ253" s="176">
        <f>DANE!BG253</f>
        <v>429</v>
      </c>
      <c r="CK253" s="198">
        <f t="shared" si="13"/>
        <v>16747</v>
      </c>
      <c r="CL253" s="177">
        <f t="shared" ca="1" si="29"/>
        <v>747.85714285714289</v>
      </c>
      <c r="CM253" s="211">
        <f t="shared" si="79"/>
        <v>4710.0267827771177</v>
      </c>
      <c r="CN253" s="200">
        <f t="shared" si="86"/>
        <v>-5.6963196294223202E-2</v>
      </c>
      <c r="CO253" s="213">
        <f t="shared" si="87"/>
        <v>0.60125762594043763</v>
      </c>
      <c r="CP253" s="214">
        <f t="shared" ca="1" si="88"/>
        <v>1.4080367690186806</v>
      </c>
      <c r="CQ253" s="176">
        <f>DANE!BK253</f>
        <v>558</v>
      </c>
      <c r="CR253" s="198">
        <f t="shared" si="14"/>
        <v>13919</v>
      </c>
      <c r="CS253" s="177">
        <f t="shared" ca="1" si="30"/>
        <v>661</v>
      </c>
      <c r="CT253" s="211">
        <f t="shared" si="89"/>
        <v>4118.7245136875881</v>
      </c>
      <c r="CU253" s="200">
        <f t="shared" si="90"/>
        <v>-8.5345597853094847E-3</v>
      </c>
      <c r="CV253" s="213">
        <f t="shared" si="91"/>
        <v>0.94025808150283363</v>
      </c>
      <c r="CW253" s="217">
        <f t="shared" ca="1" si="92"/>
        <v>1.3033319169600632</v>
      </c>
      <c r="CX253" s="176">
        <f>DANE!BO253</f>
        <v>1845</v>
      </c>
      <c r="CY253" s="198">
        <f t="shared" si="15"/>
        <v>53992</v>
      </c>
      <c r="CZ253" s="177">
        <f t="shared" ca="1" si="31"/>
        <v>2509.8571428571427</v>
      </c>
      <c r="DA253" s="211">
        <f t="shared" si="54"/>
        <v>15382.751799365242</v>
      </c>
      <c r="DB253" s="200">
        <f t="shared" si="58"/>
        <v>-2.6040953960643681E-2</v>
      </c>
      <c r="DC253" s="213">
        <f t="shared" si="59"/>
        <v>0.8177133222754942</v>
      </c>
      <c r="DD253" s="214">
        <f t="shared" ca="1" si="60"/>
        <v>1.3312015683269138</v>
      </c>
      <c r="DE253" s="176">
        <f>DANE!BS253</f>
        <v>723</v>
      </c>
      <c r="DF253" s="198">
        <f t="shared" si="16"/>
        <v>16824</v>
      </c>
      <c r="DG253" s="177">
        <f t="shared" ca="1" si="32"/>
        <v>762.42857142857144</v>
      </c>
      <c r="DH253" s="211">
        <f t="shared" si="70"/>
        <v>4945.8209787757742</v>
      </c>
      <c r="DI253" s="200">
        <f t="shared" si="74"/>
        <v>3.8964819896167334E-3</v>
      </c>
      <c r="DJ253" s="157">
        <f t="shared" si="75"/>
        <v>1.027275373927317</v>
      </c>
      <c r="DK253" s="225">
        <f t="shared" ca="1" si="76"/>
        <v>1.3042650274264107</v>
      </c>
      <c r="DL253" s="146"/>
      <c r="DM253" s="380"/>
      <c r="DN253" s="372"/>
      <c r="DO253" s="372"/>
      <c r="DP253" s="372"/>
      <c r="DQ253" s="372"/>
      <c r="DR253" s="372"/>
      <c r="DS253" s="372"/>
      <c r="DT253" s="89"/>
      <c r="DU253" s="89"/>
      <c r="DV253" s="89"/>
      <c r="DW253" s="146"/>
      <c r="DX253" s="146"/>
      <c r="DY253" s="146"/>
      <c r="DZ253" s="146"/>
      <c r="EA253" s="146"/>
      <c r="EB253" s="146"/>
      <c r="EC253" s="146"/>
      <c r="ED253" s="146"/>
      <c r="EE253" s="146"/>
      <c r="EF253" s="146"/>
      <c r="EG253" s="146"/>
      <c r="EH253" s="146"/>
    </row>
    <row r="254" spans="1:138" x14ac:dyDescent="0.25">
      <c r="A254" s="32">
        <v>44144</v>
      </c>
      <c r="B254" s="33">
        <f t="shared" ca="1" si="98"/>
        <v>44144</v>
      </c>
      <c r="C254" s="51">
        <f t="shared" si="93"/>
        <v>251</v>
      </c>
      <c r="D254" s="176">
        <f>DANE!K254</f>
        <v>1719</v>
      </c>
      <c r="E254" s="188">
        <f t="shared" si="1"/>
        <v>35025</v>
      </c>
      <c r="F254" s="178">
        <f t="shared" ca="1" si="17"/>
        <v>2116.2857142857142</v>
      </c>
      <c r="G254" s="209">
        <f t="shared" si="38"/>
        <v>11298.493082553825</v>
      </c>
      <c r="H254" s="179">
        <f t="shared" si="42"/>
        <v>1.0953560771004385E-2</v>
      </c>
      <c r="I254" s="213">
        <f t="shared" si="43"/>
        <v>1.0766749253970307</v>
      </c>
      <c r="J254" s="214">
        <f t="shared" ca="1" si="44"/>
        <v>1.8380584530650255</v>
      </c>
      <c r="K254" s="176">
        <f>DANE!O254</f>
        <v>1018</v>
      </c>
      <c r="L254" s="188">
        <f t="shared" si="2"/>
        <v>34688</v>
      </c>
      <c r="M254" s="177">
        <f t="shared" ca="1" si="18"/>
        <v>1408.7142857142858</v>
      </c>
      <c r="N254" s="209">
        <f t="shared" si="62"/>
        <v>9542.4104019428723</v>
      </c>
      <c r="O254" s="179">
        <f t="shared" si="66"/>
        <v>-4.0495643653332469E-2</v>
      </c>
      <c r="P254" s="213">
        <f t="shared" si="67"/>
        <v>0.71653049442667271</v>
      </c>
      <c r="Q254" s="217">
        <f t="shared" ca="1" si="68"/>
        <v>1.1036276668389995</v>
      </c>
      <c r="R254" s="176">
        <f>DANE!S254</f>
        <v>1201</v>
      </c>
      <c r="S254" s="188">
        <f t="shared" si="3"/>
        <v>30117</v>
      </c>
      <c r="T254" s="177">
        <f t="shared" ca="1" si="19"/>
        <v>1414.7142857142858</v>
      </c>
      <c r="U254" s="209">
        <f t="shared" si="50"/>
        <v>9110.9410395170016</v>
      </c>
      <c r="V254" s="179">
        <f t="shared" si="55"/>
        <v>-1.2713496237568166E-2</v>
      </c>
      <c r="W254" s="213">
        <f t="shared" si="56"/>
        <v>0.91100552633702281</v>
      </c>
      <c r="X254" s="214">
        <f t="shared" ca="1" si="57"/>
        <v>1.2316510138678025</v>
      </c>
      <c r="Y254" s="176">
        <f>DANE!W254</f>
        <v>543</v>
      </c>
      <c r="Z254" s="188">
        <f t="shared" si="4"/>
        <v>10923</v>
      </c>
      <c r="AA254" s="177">
        <f t="shared" ca="1" si="20"/>
        <v>474</v>
      </c>
      <c r="AB254" s="209">
        <f t="shared" si="94"/>
        <v>3060.537570943708</v>
      </c>
      <c r="AC254" s="179">
        <f t="shared" si="95"/>
        <v>4.2017385650530689E-2</v>
      </c>
      <c r="AD254" s="213">
        <f t="shared" si="96"/>
        <v>1.2941216995537148</v>
      </c>
      <c r="AE254" s="217">
        <f t="shared" ca="1" si="97"/>
        <v>1.2702312673116813</v>
      </c>
      <c r="AF254" s="176">
        <f>DANE!AA254</f>
        <v>1269</v>
      </c>
      <c r="AG254" s="188">
        <f t="shared" si="5"/>
        <v>40908</v>
      </c>
      <c r="AH254" s="177">
        <f t="shared" ca="1" si="21"/>
        <v>1510.8571428571429</v>
      </c>
      <c r="AI254" s="209">
        <f t="shared" si="37"/>
        <v>9960.4055555010091</v>
      </c>
      <c r="AJ254" s="179">
        <f t="shared" si="39"/>
        <v>-1.7708882455711582E-2</v>
      </c>
      <c r="AK254" s="213">
        <f t="shared" si="40"/>
        <v>0.87603782281001896</v>
      </c>
      <c r="AL254" s="214">
        <f t="shared" ca="1" si="41"/>
        <v>1.1185286482729246</v>
      </c>
      <c r="AM254" s="176">
        <f>DANE!AE254</f>
        <v>2650</v>
      </c>
      <c r="AN254" s="188">
        <f t="shared" si="6"/>
        <v>63878</v>
      </c>
      <c r="AO254" s="177">
        <f t="shared" ca="1" si="22"/>
        <v>2487.7142857142858</v>
      </c>
      <c r="AP254" s="209">
        <f t="shared" si="49"/>
        <v>15525.697266243025</v>
      </c>
      <c r="AQ254" s="179">
        <f t="shared" si="51"/>
        <v>3.3554939879821687E-2</v>
      </c>
      <c r="AR254" s="213">
        <f t="shared" si="52"/>
        <v>1.2348845791587517</v>
      </c>
      <c r="AS254" s="217">
        <f t="shared" ca="1" si="53"/>
        <v>1.3480131293235031</v>
      </c>
      <c r="AT254" s="176">
        <f>DANE!AI254</f>
        <v>1630</v>
      </c>
      <c r="AU254" s="188">
        <f t="shared" si="7"/>
        <v>74892</v>
      </c>
      <c r="AV254" s="177">
        <f t="shared" ca="1" si="23"/>
        <v>2623.7142857142858</v>
      </c>
      <c r="AW254" s="209">
        <f t="shared" si="33"/>
        <v>16965.336504413412</v>
      </c>
      <c r="AX254" s="179">
        <f t="shared" si="34"/>
        <v>-5.1751032682073116E-2</v>
      </c>
      <c r="AY254" s="213">
        <f t="shared" si="35"/>
        <v>0.63774277122548817</v>
      </c>
      <c r="AZ254" s="214">
        <f t="shared" ca="1" si="36"/>
        <v>1.0650950420861611</v>
      </c>
      <c r="BA254" s="176">
        <f>DANE!AM254</f>
        <v>591</v>
      </c>
      <c r="BB254" s="188">
        <f t="shared" si="8"/>
        <v>15832</v>
      </c>
      <c r="BC254" s="177">
        <f t="shared" ca="1" si="24"/>
        <v>679.42857142857144</v>
      </c>
      <c r="BD254" s="209">
        <f t="shared" si="77"/>
        <v>4178.1333293742246</v>
      </c>
      <c r="BE254" s="179">
        <f t="shared" si="80"/>
        <v>-1.6381297741247746E-3</v>
      </c>
      <c r="BF254" s="213">
        <f t="shared" si="81"/>
        <v>0.98853309158112657</v>
      </c>
      <c r="BG254" s="217">
        <f t="shared" ca="1" si="82"/>
        <v>1.4015898330576422</v>
      </c>
      <c r="BH254" s="176">
        <f>DANE!AQ254</f>
        <v>1260</v>
      </c>
      <c r="BI254" s="188">
        <f t="shared" si="9"/>
        <v>34370</v>
      </c>
      <c r="BJ254" s="177">
        <f t="shared" ca="1" si="25"/>
        <v>1499.5714285714287</v>
      </c>
      <c r="BK254" s="209">
        <f t="shared" si="61"/>
        <v>9526.956064307893</v>
      </c>
      <c r="BL254" s="179">
        <f t="shared" si="63"/>
        <v>-1.2216555003671782E-2</v>
      </c>
      <c r="BM254" s="213">
        <f t="shared" si="64"/>
        <v>0.91448411497429749</v>
      </c>
      <c r="BN254" s="214">
        <f t="shared" ca="1" si="65"/>
        <v>1.3103508928317471</v>
      </c>
      <c r="BO254" s="176">
        <f>DANE!AU254</f>
        <v>497</v>
      </c>
      <c r="BP254" s="188">
        <f t="shared" si="10"/>
        <v>14500</v>
      </c>
      <c r="BQ254" s="177">
        <f t="shared" ca="1" si="26"/>
        <v>655.42857142857144</v>
      </c>
      <c r="BR254" s="209">
        <f t="shared" si="78"/>
        <v>4148.7852903505827</v>
      </c>
      <c r="BS254" s="179">
        <f t="shared" si="83"/>
        <v>-2.6201872590937689E-2</v>
      </c>
      <c r="BT254" s="213">
        <f t="shared" si="84"/>
        <v>0.81658689186343614</v>
      </c>
      <c r="BU254" s="217">
        <f t="shared" ca="1" si="85"/>
        <v>1.3360225643756554</v>
      </c>
      <c r="BV254" s="176">
        <f>DANE!AY254</f>
        <v>1122</v>
      </c>
      <c r="BW254" s="188">
        <f t="shared" si="11"/>
        <v>31799</v>
      </c>
      <c r="BX254" s="177">
        <f t="shared" ca="1" si="27"/>
        <v>1341.2857142857142</v>
      </c>
      <c r="BY254" s="209">
        <f t="shared" si="69"/>
        <v>8178.79753434332</v>
      </c>
      <c r="BZ254" s="179">
        <f t="shared" si="71"/>
        <v>-6.5751706120967916E-3</v>
      </c>
      <c r="CA254" s="213">
        <f t="shared" si="72"/>
        <v>0.95397380571532242</v>
      </c>
      <c r="CB254" s="214">
        <f t="shared" ca="1" si="73"/>
        <v>1.3367444888281597</v>
      </c>
      <c r="CC254" s="176">
        <f>DANE!BC254</f>
        <v>4373</v>
      </c>
      <c r="CD254" s="188">
        <f t="shared" si="12"/>
        <v>75884</v>
      </c>
      <c r="CE254" s="177">
        <f t="shared" ca="1" si="28"/>
        <v>3610.2857142857142</v>
      </c>
      <c r="CF254" s="209">
        <f t="shared" si="45"/>
        <v>21115.453469429398</v>
      </c>
      <c r="CG254" s="179">
        <f t="shared" si="46"/>
        <v>8.1021975046922684E-2</v>
      </c>
      <c r="CH254" s="213">
        <f t="shared" si="47"/>
        <v>1.5671538253284587</v>
      </c>
      <c r="CI254" s="217">
        <f t="shared" ca="1" si="48"/>
        <v>1.7823382914215082</v>
      </c>
      <c r="CJ254" s="176">
        <f>DANE!BG254</f>
        <v>344</v>
      </c>
      <c r="CK254" s="188">
        <f t="shared" si="13"/>
        <v>17091</v>
      </c>
      <c r="CL254" s="177">
        <f t="shared" ca="1" si="29"/>
        <v>755</v>
      </c>
      <c r="CM254" s="209">
        <f t="shared" si="79"/>
        <v>4381.1658138089588</v>
      </c>
      <c r="CN254" s="179">
        <f t="shared" si="86"/>
        <v>-6.9821464746375919E-2</v>
      </c>
      <c r="CO254" s="213">
        <f t="shared" si="87"/>
        <v>0.5112497467753685</v>
      </c>
      <c r="CP254" s="214">
        <f t="shared" ca="1" si="88"/>
        <v>1.3900450089575269</v>
      </c>
      <c r="CQ254" s="176">
        <f>DANE!BK254</f>
        <v>694</v>
      </c>
      <c r="CR254" s="188">
        <f t="shared" si="14"/>
        <v>14613</v>
      </c>
      <c r="CS254" s="177">
        <f t="shared" ca="1" si="30"/>
        <v>677</v>
      </c>
      <c r="CT254" s="209">
        <f t="shared" si="89"/>
        <v>4224.3352974465042</v>
      </c>
      <c r="CU254" s="179">
        <f t="shared" si="90"/>
        <v>2.5641623616229764E-2</v>
      </c>
      <c r="CV254" s="213">
        <f t="shared" si="91"/>
        <v>1.1794913653136083</v>
      </c>
      <c r="CW254" s="217">
        <f t="shared" ca="1" si="92"/>
        <v>1.2822055960360312</v>
      </c>
      <c r="CX254" s="176">
        <f>DANE!BO254</f>
        <v>1983</v>
      </c>
      <c r="CY254" s="188">
        <f t="shared" si="15"/>
        <v>55975</v>
      </c>
      <c r="CZ254" s="177">
        <f t="shared" ca="1" si="31"/>
        <v>2613.7142857142858</v>
      </c>
      <c r="DA254" s="209">
        <f t="shared" si="54"/>
        <v>15168.215828027351</v>
      </c>
      <c r="DB254" s="179">
        <f t="shared" si="58"/>
        <v>-1.3946527522256703E-2</v>
      </c>
      <c r="DC254" s="213">
        <f t="shared" si="59"/>
        <v>0.9023743073442031</v>
      </c>
      <c r="DD254" s="214">
        <f t="shared" ca="1" si="60"/>
        <v>1.3496058396118689</v>
      </c>
      <c r="DE254" s="176">
        <f>DANE!BS254</f>
        <v>819</v>
      </c>
      <c r="DF254" s="188">
        <f t="shared" si="16"/>
        <v>17643</v>
      </c>
      <c r="DG254" s="177">
        <f t="shared" ca="1" si="32"/>
        <v>797.71428571428567</v>
      </c>
      <c r="DH254" s="209">
        <f t="shared" si="70"/>
        <v>5058.2751246649495</v>
      </c>
      <c r="DI254" s="179">
        <f t="shared" si="74"/>
        <v>2.2737205081169529E-2</v>
      </c>
      <c r="DJ254" s="157">
        <f t="shared" si="75"/>
        <v>1.1591604355681868</v>
      </c>
      <c r="DK254" s="225">
        <f t="shared" ca="1" si="76"/>
        <v>1.3149434723545548</v>
      </c>
      <c r="DL254" s="146"/>
      <c r="DM254" s="88"/>
      <c r="DN254" s="88"/>
      <c r="DO254" s="88"/>
      <c r="DP254" s="88"/>
      <c r="DQ254" s="88"/>
      <c r="DR254" s="88"/>
      <c r="DS254" s="88"/>
      <c r="DT254" s="88"/>
      <c r="DU254" s="88"/>
      <c r="DV254" s="88"/>
      <c r="DW254" s="146"/>
      <c r="DX254" s="146"/>
      <c r="DY254" s="146"/>
      <c r="DZ254" s="146"/>
      <c r="EA254" s="146"/>
      <c r="EB254" s="146"/>
      <c r="EC254" s="146"/>
      <c r="ED254" s="146"/>
      <c r="EE254" s="146"/>
      <c r="EF254" s="146"/>
      <c r="EG254" s="146"/>
      <c r="EH254" s="146"/>
    </row>
    <row r="255" spans="1:138" x14ac:dyDescent="0.25">
      <c r="A255" s="32">
        <v>44145</v>
      </c>
      <c r="B255" s="33">
        <f t="shared" ca="1" si="98"/>
        <v>44145</v>
      </c>
      <c r="C255" s="51">
        <f t="shared" si="93"/>
        <v>252</v>
      </c>
      <c r="D255" s="176">
        <f>DANE!K255</f>
        <v>2541</v>
      </c>
      <c r="E255" s="188">
        <f t="shared" si="1"/>
        <v>37566</v>
      </c>
      <c r="F255" s="178">
        <f t="shared" ca="1" si="17"/>
        <v>2198.7142857142858</v>
      </c>
      <c r="G255" s="209">
        <f t="shared" si="38"/>
        <v>12225.422642188994</v>
      </c>
      <c r="H255" s="179">
        <f t="shared" si="42"/>
        <v>8.2040105070866079E-2</v>
      </c>
      <c r="I255" s="213">
        <f t="shared" si="43"/>
        <v>1.5742807354960626</v>
      </c>
      <c r="J255" s="214">
        <f t="shared" ca="1" si="44"/>
        <v>1.6870695676907541</v>
      </c>
      <c r="K255" s="176">
        <f>DANE!O255</f>
        <v>1108</v>
      </c>
      <c r="L255" s="188">
        <f t="shared" si="2"/>
        <v>35796</v>
      </c>
      <c r="M255" s="177">
        <f t="shared" ca="1" si="18"/>
        <v>1488.2857142857142</v>
      </c>
      <c r="N255" s="209">
        <f t="shared" si="62"/>
        <v>9287.2089159510342</v>
      </c>
      <c r="O255" s="179">
        <f t="shared" si="66"/>
        <v>-2.6743922682247883E-2</v>
      </c>
      <c r="P255" s="213">
        <f t="shared" si="67"/>
        <v>0.81279254122426481</v>
      </c>
      <c r="Q255" s="217">
        <f t="shared" ca="1" si="68"/>
        <v>1.1563667205003014</v>
      </c>
      <c r="R255" s="176">
        <f>DANE!S255</f>
        <v>985</v>
      </c>
      <c r="S255" s="188">
        <f t="shared" si="3"/>
        <v>31102</v>
      </c>
      <c r="T255" s="177">
        <f t="shared" ca="1" si="19"/>
        <v>1371.1428571428571</v>
      </c>
      <c r="U255" s="209">
        <f t="shared" si="50"/>
        <v>8794.3780338717152</v>
      </c>
      <c r="V255" s="179">
        <f t="shared" si="55"/>
        <v>-3.4745368702558128E-2</v>
      </c>
      <c r="W255" s="213">
        <f t="shared" si="56"/>
        <v>0.75678241908209309</v>
      </c>
      <c r="X255" s="214">
        <f t="shared" ca="1" si="57"/>
        <v>1.162931133725714</v>
      </c>
      <c r="Y255" s="176">
        <f>DANE!W255</f>
        <v>650</v>
      </c>
      <c r="Z255" s="188">
        <f t="shared" si="4"/>
        <v>11573</v>
      </c>
      <c r="AA255" s="177">
        <f t="shared" ca="1" si="20"/>
        <v>526</v>
      </c>
      <c r="AB255" s="209">
        <f t="shared" si="94"/>
        <v>3273.3179179517501</v>
      </c>
      <c r="AC255" s="179">
        <f t="shared" si="95"/>
        <v>6.9523847388167137E-2</v>
      </c>
      <c r="AD255" s="213">
        <f t="shared" si="96"/>
        <v>1.4866669317171699</v>
      </c>
      <c r="AE255" s="217">
        <f t="shared" ca="1" si="97"/>
        <v>1.3612137103757256</v>
      </c>
      <c r="AF255" s="176">
        <f>DANE!AA255</f>
        <v>1401</v>
      </c>
      <c r="AG255" s="188">
        <f t="shared" si="5"/>
        <v>42309</v>
      </c>
      <c r="AH255" s="177">
        <f t="shared" ca="1" si="21"/>
        <v>1552.4285714285713</v>
      </c>
      <c r="AI255" s="209">
        <f t="shared" si="37"/>
        <v>9938.4904761437228</v>
      </c>
      <c r="AJ255" s="179">
        <f t="shared" si="39"/>
        <v>-2.2002195829448736E-3</v>
      </c>
      <c r="AK255" s="213">
        <f t="shared" si="40"/>
        <v>0.98459846291938591</v>
      </c>
      <c r="AL255" s="214">
        <f t="shared" ca="1" si="41"/>
        <v>1.13414345764001</v>
      </c>
      <c r="AM255" s="176">
        <f>DANE!AE255</f>
        <v>2697</v>
      </c>
      <c r="AN255" s="188">
        <f t="shared" si="6"/>
        <v>66575</v>
      </c>
      <c r="AO255" s="177">
        <f t="shared" ca="1" si="22"/>
        <v>2572.1428571428573</v>
      </c>
      <c r="AP255" s="209">
        <f t="shared" si="49"/>
        <v>16004.740513922594</v>
      </c>
      <c r="AQ255" s="179">
        <f t="shared" si="51"/>
        <v>3.0854862069295618E-2</v>
      </c>
      <c r="AR255" s="213">
        <f t="shared" si="52"/>
        <v>1.2159840344850694</v>
      </c>
      <c r="AS255" s="217">
        <f t="shared" ca="1" si="53"/>
        <v>1.3313271768214647</v>
      </c>
      <c r="AT255" s="176">
        <f>DANE!AI255</f>
        <v>1982</v>
      </c>
      <c r="AU255" s="188">
        <f t="shared" si="7"/>
        <v>76874</v>
      </c>
      <c r="AV255" s="177">
        <f t="shared" ca="1" si="23"/>
        <v>2484.1428571428573</v>
      </c>
      <c r="AW255" s="209">
        <f t="shared" si="33"/>
        <v>16523.717003782927</v>
      </c>
      <c r="AX255" s="179">
        <f t="shared" si="34"/>
        <v>-2.603069503016342E-2</v>
      </c>
      <c r="AY255" s="213">
        <f t="shared" si="35"/>
        <v>0.81778513478885606</v>
      </c>
      <c r="AZ255" s="214">
        <f t="shared" ca="1" si="36"/>
        <v>0.99652095636126858</v>
      </c>
      <c r="BA255" s="176">
        <f>DANE!AM255</f>
        <v>762</v>
      </c>
      <c r="BB255" s="188">
        <f t="shared" si="8"/>
        <v>16594</v>
      </c>
      <c r="BC255" s="177">
        <f t="shared" ca="1" si="24"/>
        <v>724.71428571428567</v>
      </c>
      <c r="BD255" s="209">
        <f t="shared" si="77"/>
        <v>4343.2571394636216</v>
      </c>
      <c r="BE255" s="179">
        <f t="shared" si="80"/>
        <v>3.9520952796910445E-2</v>
      </c>
      <c r="BF255" s="213">
        <f t="shared" si="81"/>
        <v>1.2766466695783731</v>
      </c>
      <c r="BG255" s="217">
        <f t="shared" ca="1" si="82"/>
        <v>1.4271308890786536</v>
      </c>
      <c r="BH255" s="176">
        <f>DANE!AQ255</f>
        <v>1236</v>
      </c>
      <c r="BI255" s="188">
        <f t="shared" si="9"/>
        <v>35606</v>
      </c>
      <c r="BJ255" s="177">
        <f t="shared" ca="1" si="25"/>
        <v>1543.4285714285713</v>
      </c>
      <c r="BK255" s="209">
        <f t="shared" si="61"/>
        <v>9401.9623408353364</v>
      </c>
      <c r="BL255" s="179">
        <f t="shared" si="63"/>
        <v>-1.3120006288350309E-2</v>
      </c>
      <c r="BM255" s="213">
        <f t="shared" si="64"/>
        <v>0.90815995598154786</v>
      </c>
      <c r="BN255" s="214">
        <f t="shared" ca="1" si="65"/>
        <v>1.3086035092915775</v>
      </c>
      <c r="BO255" s="176">
        <f>DANE!AU255</f>
        <v>714</v>
      </c>
      <c r="BP255" s="188">
        <f t="shared" si="10"/>
        <v>15214</v>
      </c>
      <c r="BQ255" s="177">
        <f t="shared" ca="1" si="26"/>
        <v>712.28571428571433</v>
      </c>
      <c r="BR255" s="209">
        <f t="shared" si="78"/>
        <v>4270.1016774433574</v>
      </c>
      <c r="BS255" s="179">
        <f t="shared" si="83"/>
        <v>2.9241423357081738E-2</v>
      </c>
      <c r="BT255" s="213">
        <f t="shared" si="84"/>
        <v>1.2046899634995722</v>
      </c>
      <c r="BU255" s="217">
        <f t="shared" ca="1" si="85"/>
        <v>1.4039140179113618</v>
      </c>
      <c r="BV255" s="176">
        <f>DANE!AY255</f>
        <v>1116</v>
      </c>
      <c r="BW255" s="188">
        <f t="shared" si="11"/>
        <v>32915</v>
      </c>
      <c r="BX255" s="177">
        <f t="shared" ca="1" si="27"/>
        <v>1312.5714285714287</v>
      </c>
      <c r="BY255" s="209">
        <f t="shared" si="69"/>
        <v>8126.3978865799891</v>
      </c>
      <c r="BZ255" s="179">
        <f t="shared" si="71"/>
        <v>-6.4067667090793321E-3</v>
      </c>
      <c r="CA255" s="213">
        <f t="shared" si="72"/>
        <v>0.95515263303644471</v>
      </c>
      <c r="CB255" s="214">
        <f t="shared" ca="1" si="73"/>
        <v>1.2501850367768861</v>
      </c>
      <c r="CC255" s="176">
        <f>DANE!BC255</f>
        <v>4276</v>
      </c>
      <c r="CD255" s="188">
        <f t="shared" si="12"/>
        <v>80160</v>
      </c>
      <c r="CE255" s="177">
        <f t="shared" ca="1" si="28"/>
        <v>3877.2857142857142</v>
      </c>
      <c r="CF255" s="209">
        <f t="shared" si="45"/>
        <v>22374.960116653772</v>
      </c>
      <c r="CG255" s="179">
        <f t="shared" si="46"/>
        <v>5.9648572030331581E-2</v>
      </c>
      <c r="CH255" s="213">
        <f t="shared" si="47"/>
        <v>1.417540004212321</v>
      </c>
      <c r="CI255" s="217">
        <f t="shared" ca="1" si="48"/>
        <v>1.7466739734365946</v>
      </c>
      <c r="CJ255" s="176">
        <f>DANE!BG255</f>
        <v>753</v>
      </c>
      <c r="CK255" s="188">
        <f t="shared" si="13"/>
        <v>17844</v>
      </c>
      <c r="CL255" s="177">
        <f t="shared" ca="1" si="29"/>
        <v>783.85714285714289</v>
      </c>
      <c r="CM255" s="209">
        <f t="shared" si="79"/>
        <v>4508.2849832648226</v>
      </c>
      <c r="CN255" s="179">
        <f t="shared" si="86"/>
        <v>2.9014918598880234E-2</v>
      </c>
      <c r="CO255" s="213">
        <f t="shared" si="87"/>
        <v>1.2031044301921616</v>
      </c>
      <c r="CP255" s="214">
        <f t="shared" ca="1" si="88"/>
        <v>1.3819925957372423</v>
      </c>
      <c r="CQ255" s="176">
        <f>DANE!BK255</f>
        <v>649</v>
      </c>
      <c r="CR255" s="188">
        <f t="shared" si="14"/>
        <v>15262</v>
      </c>
      <c r="CS255" s="177">
        <f t="shared" ca="1" si="30"/>
        <v>689</v>
      </c>
      <c r="CT255" s="209">
        <f t="shared" si="89"/>
        <v>4269.8588263827187</v>
      </c>
      <c r="CU255" s="179">
        <f t="shared" si="90"/>
        <v>1.0776495171614857E-2</v>
      </c>
      <c r="CV255" s="213">
        <f t="shared" si="91"/>
        <v>1.0754354662013039</v>
      </c>
      <c r="CW255" s="217">
        <f t="shared" ca="1" si="92"/>
        <v>1.259977705982781</v>
      </c>
      <c r="CX255" s="176">
        <f>DANE!BO255</f>
        <v>3846</v>
      </c>
      <c r="CY255" s="188">
        <f t="shared" si="15"/>
        <v>59821</v>
      </c>
      <c r="CZ255" s="177">
        <f t="shared" ca="1" si="31"/>
        <v>2861.1428571428573</v>
      </c>
      <c r="DA255" s="209">
        <f t="shared" si="54"/>
        <v>16847.327852594874</v>
      </c>
      <c r="DB255" s="179">
        <f t="shared" si="58"/>
        <v>0.11069937582671474</v>
      </c>
      <c r="DC255" s="213">
        <f t="shared" si="59"/>
        <v>1.7748956307870032</v>
      </c>
      <c r="DD255" s="214">
        <f t="shared" ca="1" si="60"/>
        <v>1.4109485372271207</v>
      </c>
      <c r="DE255" s="176">
        <f>DANE!BS255</f>
        <v>738</v>
      </c>
      <c r="DF255" s="188">
        <f t="shared" si="16"/>
        <v>18381</v>
      </c>
      <c r="DG255" s="177">
        <f t="shared" ca="1" si="32"/>
        <v>838.28571428571433</v>
      </c>
      <c r="DH255" s="209">
        <f t="shared" si="70"/>
        <v>5073.6643925699573</v>
      </c>
      <c r="DI255" s="179">
        <f t="shared" si="74"/>
        <v>3.0423943984318339E-3</v>
      </c>
      <c r="DJ255" s="157">
        <f t="shared" si="75"/>
        <v>1.0212967607890229</v>
      </c>
      <c r="DK255" s="225">
        <f t="shared" ca="1" si="76"/>
        <v>1.3393503334380727</v>
      </c>
      <c r="DL255" s="146"/>
      <c r="DM255" s="371"/>
      <c r="DN255" s="372"/>
      <c r="DO255" s="372"/>
      <c r="DP255" s="372"/>
      <c r="DQ255" s="372"/>
      <c r="DR255" s="372"/>
      <c r="DS255" s="372"/>
      <c r="DT255" s="372"/>
      <c r="DU255" s="372"/>
      <c r="DV255" s="372"/>
      <c r="DW255" s="146"/>
      <c r="DX255" s="146"/>
      <c r="DY255" s="146"/>
      <c r="DZ255" s="146"/>
      <c r="EA255" s="146"/>
      <c r="EB255" s="146"/>
      <c r="EC255" s="146"/>
      <c r="ED255" s="146"/>
      <c r="EE255" s="146"/>
      <c r="EF255" s="146"/>
      <c r="EG255" s="146"/>
      <c r="EH255" s="146"/>
    </row>
    <row r="256" spans="1:138" x14ac:dyDescent="0.25">
      <c r="A256" s="32">
        <v>44146</v>
      </c>
      <c r="B256" s="33">
        <f t="shared" ca="1" si="98"/>
        <v>44146</v>
      </c>
      <c r="C256" s="51">
        <f t="shared" si="93"/>
        <v>253</v>
      </c>
      <c r="D256" s="176">
        <f>DANE!K256</f>
        <v>2661</v>
      </c>
      <c r="E256" s="188">
        <f t="shared" si="1"/>
        <v>40227</v>
      </c>
      <c r="F256" s="178">
        <f t="shared" ca="1" si="17"/>
        <v>2246.8571428571427</v>
      </c>
      <c r="G256" s="209">
        <f t="shared" si="38"/>
        <v>13139.933693304853</v>
      </c>
      <c r="H256" s="179">
        <f t="shared" si="42"/>
        <v>7.4804043825851124E-2</v>
      </c>
      <c r="I256" s="213">
        <f t="shared" si="43"/>
        <v>1.523628306780958</v>
      </c>
      <c r="J256" s="214">
        <f t="shared" ca="1" si="44"/>
        <v>1.5440045789815919</v>
      </c>
      <c r="K256" s="176">
        <f>DANE!O256</f>
        <v>792</v>
      </c>
      <c r="L256" s="188">
        <f t="shared" si="2"/>
        <v>36588</v>
      </c>
      <c r="M256" s="177">
        <f t="shared" ca="1" si="18"/>
        <v>1397.2857142857142</v>
      </c>
      <c r="N256" s="209">
        <f t="shared" si="62"/>
        <v>8752.4647851008867</v>
      </c>
      <c r="O256" s="179">
        <f t="shared" si="66"/>
        <v>-5.7578561620565023E-2</v>
      </c>
      <c r="P256" s="213">
        <f t="shared" si="67"/>
        <v>0.59695006865604483</v>
      </c>
      <c r="Q256" s="217">
        <f t="shared" ca="1" si="68"/>
        <v>1.0630948036783281</v>
      </c>
      <c r="R256" s="176">
        <f>DANE!S256</f>
        <v>1449</v>
      </c>
      <c r="S256" s="188">
        <f t="shared" si="3"/>
        <v>32551</v>
      </c>
      <c r="T256" s="177">
        <f t="shared" ca="1" si="19"/>
        <v>1357.7142857142858</v>
      </c>
      <c r="U256" s="209">
        <f t="shared" si="50"/>
        <v>8987.0383147471839</v>
      </c>
      <c r="V256" s="179">
        <f t="shared" si="55"/>
        <v>2.1907209370967906E-2</v>
      </c>
      <c r="W256" s="213">
        <f t="shared" si="56"/>
        <v>1.1533504655967755</v>
      </c>
      <c r="X256" s="214">
        <f t="shared" ca="1" si="57"/>
        <v>1.1231328117224919</v>
      </c>
      <c r="Y256" s="176">
        <f>DANE!W256</f>
        <v>791</v>
      </c>
      <c r="Z256" s="188">
        <f t="shared" si="4"/>
        <v>12364</v>
      </c>
      <c r="AA256" s="177">
        <f t="shared" ca="1" si="20"/>
        <v>577</v>
      </c>
      <c r="AB256" s="209">
        <f t="shared" si="94"/>
        <v>3596.7010725300715</v>
      </c>
      <c r="AC256" s="179">
        <f t="shared" si="95"/>
        <v>9.8793689670288912E-2</v>
      </c>
      <c r="AD256" s="213">
        <f t="shared" si="96"/>
        <v>1.6915558276920224</v>
      </c>
      <c r="AE256" s="217">
        <f t="shared" ca="1" si="97"/>
        <v>1.4146045753828376</v>
      </c>
      <c r="AF256" s="176">
        <f>DANE!AA256</f>
        <v>1443</v>
      </c>
      <c r="AG256" s="188">
        <f t="shared" si="5"/>
        <v>43752</v>
      </c>
      <c r="AH256" s="177">
        <f t="shared" ca="1" si="21"/>
        <v>1506.2857142857142</v>
      </c>
      <c r="AI256" s="209">
        <f t="shared" si="37"/>
        <v>9961.7061224089066</v>
      </c>
      <c r="AJ256" s="179">
        <f t="shared" si="39"/>
        <v>2.3359328381820569E-3</v>
      </c>
      <c r="AK256" s="213">
        <f t="shared" si="40"/>
        <v>1.0163515298672745</v>
      </c>
      <c r="AL256" s="214">
        <f t="shared" ca="1" si="41"/>
        <v>1.076787235001015</v>
      </c>
      <c r="AM256" s="176">
        <f>DANE!AE256</f>
        <v>2947</v>
      </c>
      <c r="AN256" s="188">
        <f t="shared" si="6"/>
        <v>69522</v>
      </c>
      <c r="AO256" s="177">
        <f t="shared" ca="1" si="22"/>
        <v>2672.4285714285716</v>
      </c>
      <c r="AP256" s="209">
        <f t="shared" si="49"/>
        <v>16665.349011933653</v>
      </c>
      <c r="AQ256" s="179">
        <f t="shared" si="51"/>
        <v>4.1275801843609572E-2</v>
      </c>
      <c r="AR256" s="213">
        <f t="shared" si="52"/>
        <v>1.2889306129052671</v>
      </c>
      <c r="AS256" s="217">
        <f t="shared" ca="1" si="53"/>
        <v>1.3217067312723485</v>
      </c>
      <c r="AT256" s="176">
        <f>DANE!AI256</f>
        <v>1976</v>
      </c>
      <c r="AU256" s="188">
        <f t="shared" si="7"/>
        <v>78850</v>
      </c>
      <c r="AV256" s="177">
        <f t="shared" ca="1" si="23"/>
        <v>2366.8571428571427</v>
      </c>
      <c r="AW256" s="209">
        <f t="shared" si="33"/>
        <v>16139.18600324251</v>
      </c>
      <c r="AX256" s="179">
        <f t="shared" si="34"/>
        <v>-2.3271458864393701E-2</v>
      </c>
      <c r="AY256" s="213">
        <f t="shared" si="35"/>
        <v>0.83709978794924411</v>
      </c>
      <c r="AZ256" s="214">
        <f t="shared" ca="1" si="36"/>
        <v>0.94800794551728751</v>
      </c>
      <c r="BA256" s="176">
        <f>DANE!AM256</f>
        <v>910</v>
      </c>
      <c r="BB256" s="188">
        <f t="shared" si="8"/>
        <v>17504</v>
      </c>
      <c r="BC256" s="177">
        <f t="shared" ca="1" si="24"/>
        <v>762.71428571428567</v>
      </c>
      <c r="BD256" s="209">
        <f t="shared" si="77"/>
        <v>4632.7918338259615</v>
      </c>
      <c r="BE256" s="179">
        <f t="shared" si="80"/>
        <v>6.6663033079845807E-2</v>
      </c>
      <c r="BF256" s="213">
        <f t="shared" si="81"/>
        <v>1.4666412315589206</v>
      </c>
      <c r="BG256" s="217">
        <f t="shared" ca="1" si="82"/>
        <v>1.4128072248098447</v>
      </c>
      <c r="BH256" s="176">
        <f>DANE!AQ256</f>
        <v>1152</v>
      </c>
      <c r="BI256" s="188">
        <f t="shared" si="9"/>
        <v>36758</v>
      </c>
      <c r="BJ256" s="177">
        <f t="shared" ca="1" si="25"/>
        <v>1525.1428571428571</v>
      </c>
      <c r="BK256" s="209">
        <f t="shared" si="61"/>
        <v>9210.824863573147</v>
      </c>
      <c r="BL256" s="179">
        <f t="shared" si="63"/>
        <v>-2.0329530190950261E-2</v>
      </c>
      <c r="BM256" s="213">
        <f t="shared" si="64"/>
        <v>0.85769328866334815</v>
      </c>
      <c r="BN256" s="214">
        <f t="shared" ca="1" si="65"/>
        <v>1.2478843856551347</v>
      </c>
      <c r="BO256" s="176">
        <f>DANE!AU256</f>
        <v>662</v>
      </c>
      <c r="BP256" s="188">
        <f t="shared" si="10"/>
        <v>15876</v>
      </c>
      <c r="BQ256" s="177">
        <f t="shared" ca="1" si="26"/>
        <v>717.57142857142856</v>
      </c>
      <c r="BR256" s="209">
        <f t="shared" si="78"/>
        <v>4322.0871520943065</v>
      </c>
      <c r="BS256" s="179">
        <f t="shared" si="83"/>
        <v>1.2174294332512098E-2</v>
      </c>
      <c r="BT256" s="213">
        <f t="shared" si="84"/>
        <v>1.0852200603275848</v>
      </c>
      <c r="BU256" s="217">
        <f t="shared" ca="1" si="85"/>
        <v>1.3445533539727503</v>
      </c>
      <c r="BV256" s="176">
        <f>DANE!AY256</f>
        <v>1321</v>
      </c>
      <c r="BW256" s="188">
        <f t="shared" si="11"/>
        <v>34236</v>
      </c>
      <c r="BX256" s="177">
        <f t="shared" ca="1" si="27"/>
        <v>1308.1428571428571</v>
      </c>
      <c r="BY256" s="209">
        <f t="shared" si="69"/>
        <v>8286.4839027828493</v>
      </c>
      <c r="BZ256" s="179">
        <f t="shared" si="71"/>
        <v>1.9699505049737699E-2</v>
      </c>
      <c r="CA256" s="213">
        <f t="shared" si="72"/>
        <v>1.1378965353481638</v>
      </c>
      <c r="CB256" s="214">
        <f t="shared" ca="1" si="73"/>
        <v>1.2007934663847226</v>
      </c>
      <c r="CC256" s="176">
        <f>DANE!BC256</f>
        <v>4066</v>
      </c>
      <c r="CD256" s="188">
        <f t="shared" si="12"/>
        <v>84226</v>
      </c>
      <c r="CE256" s="177">
        <f t="shared" ca="1" si="28"/>
        <v>4148.8571428571431</v>
      </c>
      <c r="CF256" s="209">
        <f t="shared" si="45"/>
        <v>23244.537242846091</v>
      </c>
      <c r="CG256" s="179">
        <f t="shared" si="46"/>
        <v>3.8863851450849675E-2</v>
      </c>
      <c r="CH256" s="213">
        <f t="shared" si="47"/>
        <v>1.2720469601559476</v>
      </c>
      <c r="CI256" s="217">
        <f t="shared" ca="1" si="48"/>
        <v>1.7328121366179892</v>
      </c>
      <c r="CJ256" s="176">
        <f>DANE!BG256</f>
        <v>500</v>
      </c>
      <c r="CK256" s="188">
        <f t="shared" si="13"/>
        <v>18344</v>
      </c>
      <c r="CL256" s="177">
        <f t="shared" ca="1" si="29"/>
        <v>745.71428571428567</v>
      </c>
      <c r="CM256" s="209">
        <f t="shared" si="79"/>
        <v>4364.2442713698483</v>
      </c>
      <c r="CN256" s="179">
        <f t="shared" si="86"/>
        <v>-3.1950223295480855E-2</v>
      </c>
      <c r="CO256" s="213">
        <f t="shared" si="87"/>
        <v>0.77634843693163402</v>
      </c>
      <c r="CP256" s="214">
        <f t="shared" ca="1" si="88"/>
        <v>1.2513939993131165</v>
      </c>
      <c r="CQ256" s="176">
        <f>DANE!BK256</f>
        <v>618</v>
      </c>
      <c r="CR256" s="188">
        <f t="shared" si="14"/>
        <v>15880</v>
      </c>
      <c r="CS256" s="177">
        <f t="shared" ca="1" si="30"/>
        <v>688.42857142857144</v>
      </c>
      <c r="CT256" s="209">
        <f t="shared" si="89"/>
        <v>4277.8789940423303</v>
      </c>
      <c r="CU256" s="179">
        <f t="shared" si="90"/>
        <v>1.8783215056330171E-3</v>
      </c>
      <c r="CV256" s="213">
        <f t="shared" si="91"/>
        <v>1.0131482505394311</v>
      </c>
      <c r="CW256" s="217">
        <f t="shared" ca="1" si="92"/>
        <v>1.2172954658999617</v>
      </c>
      <c r="CX256" s="176">
        <f>DANE!BO256</f>
        <v>3081</v>
      </c>
      <c r="CY256" s="188">
        <f t="shared" si="15"/>
        <v>62902</v>
      </c>
      <c r="CZ256" s="177">
        <f t="shared" ca="1" si="31"/>
        <v>2736.7142857142858</v>
      </c>
      <c r="DA256" s="209">
        <f t="shared" si="54"/>
        <v>17521.566730795606</v>
      </c>
      <c r="DB256" s="179">
        <f t="shared" si="58"/>
        <v>4.0020523379135441E-2</v>
      </c>
      <c r="DC256" s="213">
        <f t="shared" si="59"/>
        <v>1.280143663653948</v>
      </c>
      <c r="DD256" s="214">
        <f t="shared" ca="1" si="60"/>
        <v>1.251394919355133</v>
      </c>
      <c r="DE256" s="176">
        <f>DANE!BS256</f>
        <v>852</v>
      </c>
      <c r="DF256" s="188">
        <f t="shared" si="16"/>
        <v>19233</v>
      </c>
      <c r="DG256" s="177">
        <f t="shared" ca="1" si="32"/>
        <v>853.28571428571433</v>
      </c>
      <c r="DH256" s="209">
        <f t="shared" si="70"/>
        <v>5200.8551936313925</v>
      </c>
      <c r="DI256" s="179">
        <f t="shared" si="74"/>
        <v>2.5068824269831019E-2</v>
      </c>
      <c r="DJ256" s="157">
        <f t="shared" si="75"/>
        <v>1.1754817698888171</v>
      </c>
      <c r="DK256" s="225">
        <f t="shared" ca="1" si="76"/>
        <v>1.3030113435404194</v>
      </c>
      <c r="DL256" s="146"/>
      <c r="DM256" s="371"/>
      <c r="DN256" s="372"/>
      <c r="DO256" s="372"/>
      <c r="DP256" s="372"/>
      <c r="DQ256" s="372"/>
      <c r="DR256" s="372"/>
      <c r="DS256" s="372"/>
      <c r="DT256" s="372"/>
      <c r="DU256" s="372"/>
      <c r="DV256" s="372"/>
      <c r="DW256" s="146"/>
      <c r="DX256" s="146"/>
      <c r="DY256" s="146"/>
      <c r="DZ256" s="146"/>
      <c r="EA256" s="146"/>
      <c r="EB256" s="146"/>
      <c r="EC256" s="146"/>
      <c r="ED256" s="146"/>
      <c r="EE256" s="146"/>
      <c r="EF256" s="146"/>
      <c r="EG256" s="146"/>
      <c r="EH256" s="146"/>
    </row>
    <row r="257" spans="1:138" x14ac:dyDescent="0.25">
      <c r="A257" s="32">
        <v>44147</v>
      </c>
      <c r="B257" s="33">
        <f t="shared" ca="1" si="98"/>
        <v>44147</v>
      </c>
      <c r="C257" s="51">
        <f t="shared" si="93"/>
        <v>254</v>
      </c>
      <c r="D257" s="176">
        <f>DANE!K257</f>
        <v>1847</v>
      </c>
      <c r="E257" s="188">
        <f t="shared" si="1"/>
        <v>42074</v>
      </c>
      <c r="F257" s="178">
        <f t="shared" ca="1" si="17"/>
        <v>2160.5714285714284</v>
      </c>
      <c r="G257" s="209">
        <f t="shared" si="38"/>
        <v>13109.800308547017</v>
      </c>
      <c r="H257" s="179">
        <f t="shared" si="42"/>
        <v>-2.2932676420725825E-3</v>
      </c>
      <c r="I257" s="213">
        <f t="shared" si="43"/>
        <v>0.98394712650549188</v>
      </c>
      <c r="J257" s="214">
        <f t="shared" ca="1" si="44"/>
        <v>1.3721877085856622</v>
      </c>
      <c r="K257" s="176">
        <f>DANE!O257</f>
        <v>1083</v>
      </c>
      <c r="L257" s="188">
        <f t="shared" si="2"/>
        <v>37671</v>
      </c>
      <c r="M257" s="177">
        <f t="shared" ca="1" si="18"/>
        <v>1314.4285714285713</v>
      </c>
      <c r="N257" s="209">
        <f t="shared" si="62"/>
        <v>8585.1126729436182</v>
      </c>
      <c r="O257" s="179">
        <f t="shared" si="66"/>
        <v>-1.9120569607106334E-2</v>
      </c>
      <c r="P257" s="213">
        <f t="shared" si="67"/>
        <v>0.86615601275025567</v>
      </c>
      <c r="Q257" s="217">
        <f t="shared" ca="1" si="68"/>
        <v>0.98620413793245398</v>
      </c>
      <c r="R257" s="176">
        <f>DANE!S257</f>
        <v>831</v>
      </c>
      <c r="S257" s="188">
        <f t="shared" si="3"/>
        <v>33382</v>
      </c>
      <c r="T257" s="177">
        <f t="shared" ca="1" si="19"/>
        <v>1361.4285714285713</v>
      </c>
      <c r="U257" s="209">
        <f t="shared" si="50"/>
        <v>8534.1756983547293</v>
      </c>
      <c r="V257" s="179">
        <f t="shared" si="55"/>
        <v>-5.0390640445955877E-2</v>
      </c>
      <c r="W257" s="213">
        <f t="shared" si="56"/>
        <v>0.6472655168783088</v>
      </c>
      <c r="X257" s="214">
        <f t="shared" ca="1" si="57"/>
        <v>1.1150793634465799</v>
      </c>
      <c r="Y257" s="176">
        <f>DANE!W257</f>
        <v>688</v>
      </c>
      <c r="Z257" s="188">
        <f t="shared" si="4"/>
        <v>13052</v>
      </c>
      <c r="AA257" s="177">
        <f t="shared" ca="1" si="20"/>
        <v>592.71428571428567</v>
      </c>
      <c r="AB257" s="209">
        <f t="shared" si="94"/>
        <v>3770.8866335972043</v>
      </c>
      <c r="AC257" s="179">
        <f t="shared" si="95"/>
        <v>4.8429257131620135E-2</v>
      </c>
      <c r="AD257" s="213">
        <f t="shared" si="96"/>
        <v>1.339004799921341</v>
      </c>
      <c r="AE257" s="217">
        <f t="shared" ca="1" si="97"/>
        <v>1.3660560540436701</v>
      </c>
      <c r="AF257" s="176">
        <f>DANE!AA257</f>
        <v>1528</v>
      </c>
      <c r="AG257" s="188">
        <f t="shared" si="5"/>
        <v>45280</v>
      </c>
      <c r="AH257" s="177">
        <f t="shared" ca="1" si="21"/>
        <v>1479.8571428571429</v>
      </c>
      <c r="AI257" s="209">
        <f t="shared" si="37"/>
        <v>10066.605247779064</v>
      </c>
      <c r="AJ257" s="179">
        <f t="shared" si="39"/>
        <v>1.0530236897290705E-2</v>
      </c>
      <c r="AK257" s="213">
        <f t="shared" si="40"/>
        <v>1.0737116582810349</v>
      </c>
      <c r="AL257" s="214">
        <f t="shared" ca="1" si="41"/>
        <v>1.0447712176535024</v>
      </c>
      <c r="AM257" s="176">
        <f>DANE!AE257</f>
        <v>2132</v>
      </c>
      <c r="AN257" s="188">
        <f t="shared" si="6"/>
        <v>71654</v>
      </c>
      <c r="AO257" s="177">
        <f t="shared" ca="1" si="22"/>
        <v>2642.4285714285716</v>
      </c>
      <c r="AP257" s="209">
        <f t="shared" si="49"/>
        <v>16416.584867371705</v>
      </c>
      <c r="AQ257" s="179">
        <f t="shared" si="51"/>
        <v>-1.4927028793925309E-2</v>
      </c>
      <c r="AR257" s="213">
        <f t="shared" si="52"/>
        <v>0.89551079844252279</v>
      </c>
      <c r="AS257" s="217">
        <f t="shared" ca="1" si="53"/>
        <v>1.2573010956546413</v>
      </c>
      <c r="AT257" s="176">
        <f>DANE!AI257</f>
        <v>1746</v>
      </c>
      <c r="AU257" s="188">
        <f t="shared" si="7"/>
        <v>80596</v>
      </c>
      <c r="AV257" s="177">
        <f t="shared" ca="1" si="23"/>
        <v>2197.4285714285716</v>
      </c>
      <c r="AW257" s="209">
        <f t="shared" si="33"/>
        <v>15579.588002779295</v>
      </c>
      <c r="AX257" s="179">
        <f t="shared" si="34"/>
        <v>-3.4673248102524278E-2</v>
      </c>
      <c r="AY257" s="213">
        <f t="shared" si="35"/>
        <v>0.75728726328232998</v>
      </c>
      <c r="AZ257" s="214">
        <f t="shared" ca="1" si="36"/>
        <v>0.88431805503438665</v>
      </c>
      <c r="BA257" s="176">
        <f>DANE!AM257</f>
        <v>844</v>
      </c>
      <c r="BB257" s="188">
        <f t="shared" si="8"/>
        <v>18348</v>
      </c>
      <c r="BC257" s="177">
        <f t="shared" ca="1" si="24"/>
        <v>781.28571428571433</v>
      </c>
      <c r="BD257" s="209">
        <f t="shared" si="77"/>
        <v>4814.9644289936814</v>
      </c>
      <c r="BE257" s="179">
        <f t="shared" si="80"/>
        <v>3.93224219222632E-2</v>
      </c>
      <c r="BF257" s="213">
        <f t="shared" si="81"/>
        <v>1.2752569534558424</v>
      </c>
      <c r="BG257" s="217">
        <f t="shared" ca="1" si="82"/>
        <v>1.3654051555036697</v>
      </c>
      <c r="BH257" s="176">
        <f>DANE!AQ257</f>
        <v>1276</v>
      </c>
      <c r="BI257" s="188">
        <f t="shared" si="9"/>
        <v>38034</v>
      </c>
      <c r="BJ257" s="177">
        <f t="shared" ca="1" si="25"/>
        <v>1485.5714285714287</v>
      </c>
      <c r="BK257" s="209">
        <f t="shared" si="61"/>
        <v>9170.9927402055546</v>
      </c>
      <c r="BL257" s="179">
        <f t="shared" si="63"/>
        <v>-4.3244903640628331E-3</v>
      </c>
      <c r="BM257" s="213">
        <f t="shared" si="64"/>
        <v>0.96972856745156022</v>
      </c>
      <c r="BN257" s="214">
        <f t="shared" ca="1" si="65"/>
        <v>1.1727184095956307</v>
      </c>
      <c r="BO257" s="176">
        <f>DANE!AU257</f>
        <v>943</v>
      </c>
      <c r="BP257" s="188">
        <f t="shared" si="10"/>
        <v>16819</v>
      </c>
      <c r="BQ257" s="177">
        <f t="shared" ca="1" si="26"/>
        <v>723.42857142857144</v>
      </c>
      <c r="BR257" s="209">
        <f t="shared" si="78"/>
        <v>4647.6461303665492</v>
      </c>
      <c r="BS257" s="179">
        <f t="shared" si="83"/>
        <v>7.5324482551095751E-2</v>
      </c>
      <c r="BT257" s="213">
        <f t="shared" si="84"/>
        <v>1.5272713778576703</v>
      </c>
      <c r="BU257" s="217">
        <f t="shared" ca="1" si="85"/>
        <v>1.2739803494363575</v>
      </c>
      <c r="BV257" s="176">
        <f>DANE!AY257</f>
        <v>1114</v>
      </c>
      <c r="BW257" s="188">
        <f t="shared" si="11"/>
        <v>35350</v>
      </c>
      <c r="BX257" s="177">
        <f t="shared" ca="1" si="27"/>
        <v>1304.2857142857142</v>
      </c>
      <c r="BY257" s="209">
        <f t="shared" si="69"/>
        <v>8216.7004880995846</v>
      </c>
      <c r="BZ257" s="179">
        <f t="shared" si="71"/>
        <v>-8.4213540389343356E-3</v>
      </c>
      <c r="CA257" s="213">
        <f t="shared" si="72"/>
        <v>0.94105052172745962</v>
      </c>
      <c r="CB257" s="214">
        <f t="shared" ca="1" si="73"/>
        <v>1.167918438653184</v>
      </c>
      <c r="CC257" s="176">
        <f>DANE!BC257</f>
        <v>3911</v>
      </c>
      <c r="CD257" s="188">
        <f t="shared" si="12"/>
        <v>88137</v>
      </c>
      <c r="CE257" s="177">
        <f t="shared" ca="1" si="28"/>
        <v>4157.5714285714284</v>
      </c>
      <c r="CF257" s="209">
        <f t="shared" si="45"/>
        <v>23834.889065296651</v>
      </c>
      <c r="CG257" s="179">
        <f t="shared" si="46"/>
        <v>2.539744354911826E-2</v>
      </c>
      <c r="CH257" s="213">
        <f t="shared" si="47"/>
        <v>1.1777821048438279</v>
      </c>
      <c r="CI257" s="217">
        <f t="shared" ca="1" si="48"/>
        <v>1.5706832329399387</v>
      </c>
      <c r="CJ257" s="176">
        <f>DANE!BG257</f>
        <v>825</v>
      </c>
      <c r="CK257" s="188">
        <f t="shared" si="13"/>
        <v>19169</v>
      </c>
      <c r="CL257" s="177">
        <f t="shared" ca="1" si="29"/>
        <v>727.85714285714289</v>
      </c>
      <c r="CM257" s="209">
        <f t="shared" si="79"/>
        <v>4565.7808040312993</v>
      </c>
      <c r="CN257" s="179">
        <f t="shared" si="86"/>
        <v>4.6179022100931291E-2</v>
      </c>
      <c r="CO257" s="213">
        <f t="shared" si="87"/>
        <v>1.3232531547065189</v>
      </c>
      <c r="CP257" s="214">
        <f t="shared" ca="1" si="88"/>
        <v>1.1681621782436504</v>
      </c>
      <c r="CQ257" s="176">
        <f>DANE!BK257</f>
        <v>915</v>
      </c>
      <c r="CR257" s="188">
        <f t="shared" si="14"/>
        <v>16795</v>
      </c>
      <c r="CS257" s="177">
        <f t="shared" ca="1" si="30"/>
        <v>705.57142857142856</v>
      </c>
      <c r="CT257" s="209">
        <f t="shared" si="89"/>
        <v>4581.7534234648547</v>
      </c>
      <c r="CU257" s="179">
        <f t="shared" si="90"/>
        <v>7.1033900174764381E-2</v>
      </c>
      <c r="CV257" s="213">
        <f t="shared" si="91"/>
        <v>1.4972373012233506</v>
      </c>
      <c r="CW257" s="217">
        <f t="shared" ca="1" si="92"/>
        <v>1.2018602778641974</v>
      </c>
      <c r="CX257" s="176">
        <f>DANE!BO257</f>
        <v>2232</v>
      </c>
      <c r="CY257" s="188">
        <f t="shared" si="15"/>
        <v>65134</v>
      </c>
      <c r="CZ257" s="177">
        <f t="shared" ca="1" si="31"/>
        <v>2500.1428571428573</v>
      </c>
      <c r="DA257" s="209">
        <f t="shared" si="54"/>
        <v>17250.485769253377</v>
      </c>
      <c r="DB257" s="179">
        <f t="shared" si="58"/>
        <v>-1.5471274099352212E-2</v>
      </c>
      <c r="DC257" s="213">
        <f t="shared" si="59"/>
        <v>0.89170108130453452</v>
      </c>
      <c r="DD257" s="214">
        <f t="shared" ca="1" si="60"/>
        <v>1.0979429252190027</v>
      </c>
      <c r="DE257" s="176">
        <f>DANE!BS257</f>
        <v>768</v>
      </c>
      <c r="DF257" s="188">
        <f t="shared" si="16"/>
        <v>20001</v>
      </c>
      <c r="DG257" s="177">
        <f t="shared" ca="1" si="32"/>
        <v>839.28571428571433</v>
      </c>
      <c r="DH257" s="209">
        <f t="shared" si="70"/>
        <v>5225.8758802554794</v>
      </c>
      <c r="DI257" s="179">
        <f t="shared" si="74"/>
        <v>4.8108793059121356E-3</v>
      </c>
      <c r="DJ257" s="157">
        <f t="shared" si="75"/>
        <v>1.0336761551413849</v>
      </c>
      <c r="DK257" s="225">
        <f t="shared" ca="1" si="76"/>
        <v>1.2275745849450297</v>
      </c>
      <c r="DL257" s="226"/>
      <c r="DM257" s="380"/>
      <c r="DN257" s="372"/>
      <c r="DO257" s="372"/>
      <c r="DP257" s="372"/>
      <c r="DQ257" s="372"/>
      <c r="DR257" s="372"/>
      <c r="DS257" s="372"/>
      <c r="DT257" s="88"/>
      <c r="DU257" s="88"/>
      <c r="DV257" s="88"/>
      <c r="DW257" s="226"/>
      <c r="DX257" s="226"/>
      <c r="DY257" s="226"/>
      <c r="DZ257" s="226"/>
      <c r="EA257" s="226"/>
      <c r="EB257" s="226"/>
      <c r="EC257" s="226"/>
      <c r="ED257" s="226"/>
      <c r="EE257" s="226"/>
      <c r="EF257" s="226"/>
      <c r="EG257" s="226"/>
      <c r="EH257" s="226"/>
    </row>
    <row r="258" spans="1:138" x14ac:dyDescent="0.25">
      <c r="A258" s="32">
        <v>44148</v>
      </c>
      <c r="B258" s="33">
        <f t="shared" ca="1" si="98"/>
        <v>44148</v>
      </c>
      <c r="C258" s="51">
        <f t="shared" si="93"/>
        <v>255</v>
      </c>
      <c r="D258" s="176">
        <f>DANE!K258</f>
        <v>2823</v>
      </c>
      <c r="E258" s="188">
        <f t="shared" si="1"/>
        <v>44897</v>
      </c>
      <c r="F258" s="178">
        <f t="shared" ca="1" si="17"/>
        <v>2205</v>
      </c>
      <c r="G258" s="209">
        <f t="shared" si="38"/>
        <v>14059.971693040301</v>
      </c>
      <c r="H258" s="179">
        <f t="shared" si="42"/>
        <v>7.2477944906133587E-2</v>
      </c>
      <c r="I258" s="213">
        <f t="shared" si="43"/>
        <v>1.5073456143429351</v>
      </c>
      <c r="J258" s="214">
        <f t="shared" ca="1" si="44"/>
        <v>1.3137743960104213</v>
      </c>
      <c r="K258" s="176">
        <f>DANE!O258</f>
        <v>1279</v>
      </c>
      <c r="L258" s="188">
        <f t="shared" si="2"/>
        <v>38950</v>
      </c>
      <c r="M258" s="177">
        <f t="shared" ca="1" si="18"/>
        <v>1218.2857142857142</v>
      </c>
      <c r="N258" s="209">
        <f t="shared" si="62"/>
        <v>8637.6680053802447</v>
      </c>
      <c r="O258" s="179">
        <f t="shared" si="66"/>
        <v>6.1216823166755936E-3</v>
      </c>
      <c r="P258" s="213">
        <f t="shared" si="67"/>
        <v>1.0428517762167291</v>
      </c>
      <c r="Q258" s="217">
        <f t="shared" ca="1" si="68"/>
        <v>0.91255168706110312</v>
      </c>
      <c r="R258" s="176">
        <f>DANE!S258</f>
        <v>526</v>
      </c>
      <c r="S258" s="188">
        <f t="shared" si="3"/>
        <v>33908</v>
      </c>
      <c r="T258" s="177">
        <f t="shared" ca="1" si="19"/>
        <v>1216.2857142857142</v>
      </c>
      <c r="U258" s="209">
        <f t="shared" si="50"/>
        <v>7841.0077414469115</v>
      </c>
      <c r="V258" s="179">
        <f t="shared" si="55"/>
        <v>-8.1222602089320819E-2</v>
      </c>
      <c r="W258" s="213">
        <f t="shared" si="56"/>
        <v>0.43144178537475419</v>
      </c>
      <c r="X258" s="214">
        <f t="shared" ca="1" si="57"/>
        <v>0.97565276502148612</v>
      </c>
      <c r="Y258" s="176">
        <f>DANE!W258</f>
        <v>592</v>
      </c>
      <c r="Z258" s="188">
        <f t="shared" si="4"/>
        <v>13644</v>
      </c>
      <c r="AA258" s="177">
        <f t="shared" ca="1" si="20"/>
        <v>606.28571428571433</v>
      </c>
      <c r="AB258" s="209">
        <f t="shared" si="94"/>
        <v>3824.1885430833181</v>
      </c>
      <c r="AC258" s="179">
        <f t="shared" si="95"/>
        <v>1.4135113214810945E-2</v>
      </c>
      <c r="AD258" s="213">
        <f t="shared" si="96"/>
        <v>1.0989457925036765</v>
      </c>
      <c r="AE258" s="217">
        <f t="shared" ca="1" si="97"/>
        <v>1.3350546777517291</v>
      </c>
      <c r="AF258" s="176">
        <f>DANE!AA258</f>
        <v>1557</v>
      </c>
      <c r="AG258" s="188">
        <f t="shared" si="5"/>
        <v>46837</v>
      </c>
      <c r="AH258" s="177">
        <f t="shared" ca="1" si="21"/>
        <v>1474.7142857142858</v>
      </c>
      <c r="AI258" s="209">
        <f t="shared" si="37"/>
        <v>10185.518783810627</v>
      </c>
      <c r="AJ258" s="179">
        <f t="shared" si="39"/>
        <v>1.1812674988700717E-2</v>
      </c>
      <c r="AK258" s="213">
        <f t="shared" si="40"/>
        <v>1.082688724920905</v>
      </c>
      <c r="AL258" s="214">
        <f t="shared" ca="1" si="41"/>
        <v>1.0340618807436488</v>
      </c>
      <c r="AM258" s="176">
        <f>DANE!AE258</f>
        <v>2271</v>
      </c>
      <c r="AN258" s="188">
        <f t="shared" si="6"/>
        <v>73925</v>
      </c>
      <c r="AO258" s="177">
        <f t="shared" ca="1" si="22"/>
        <v>2564.7142857142858</v>
      </c>
      <c r="AP258" s="209">
        <f t="shared" si="49"/>
        <v>16342.358457747176</v>
      </c>
      <c r="AQ258" s="179">
        <f t="shared" si="51"/>
        <v>-4.5214281913198316E-3</v>
      </c>
      <c r="AR258" s="213">
        <f t="shared" si="52"/>
        <v>0.96835000266076121</v>
      </c>
      <c r="AS258" s="217">
        <f t="shared" ca="1" si="53"/>
        <v>1.1753553570834026</v>
      </c>
      <c r="AT258" s="176">
        <f>DANE!AI258</f>
        <v>1410</v>
      </c>
      <c r="AU258" s="188">
        <f t="shared" si="7"/>
        <v>82006</v>
      </c>
      <c r="AV258" s="177">
        <f t="shared" ca="1" si="23"/>
        <v>1977.2857142857142</v>
      </c>
      <c r="AW258" s="209">
        <f t="shared" si="33"/>
        <v>14763.932573810825</v>
      </c>
      <c r="AX258" s="179">
        <f t="shared" si="34"/>
        <v>-5.235410774809722E-2</v>
      </c>
      <c r="AY258" s="213">
        <f t="shared" si="35"/>
        <v>0.63352124576331947</v>
      </c>
      <c r="AZ258" s="214">
        <f t="shared" ca="1" si="36"/>
        <v>0.80671150108714429</v>
      </c>
      <c r="BA258" s="176">
        <f>DANE!AM258</f>
        <v>802</v>
      </c>
      <c r="BB258" s="188">
        <f t="shared" si="8"/>
        <v>19150</v>
      </c>
      <c r="BC258" s="177">
        <f t="shared" ca="1" si="24"/>
        <v>790.28571428571433</v>
      </c>
      <c r="BD258" s="209">
        <f t="shared" si="77"/>
        <v>4929.1123677088699</v>
      </c>
      <c r="BE258" s="179">
        <f t="shared" si="80"/>
        <v>2.3706912148267981E-2</v>
      </c>
      <c r="BF258" s="213">
        <f t="shared" si="81"/>
        <v>1.1659483850378758</v>
      </c>
      <c r="BG258" s="217">
        <f t="shared" ca="1" si="82"/>
        <v>1.313311943993426</v>
      </c>
      <c r="BH258" s="176">
        <f>DANE!AQ258</f>
        <v>1264</v>
      </c>
      <c r="BI258" s="188">
        <f t="shared" si="9"/>
        <v>39298</v>
      </c>
      <c r="BJ258" s="177">
        <f t="shared" ca="1" si="25"/>
        <v>1422.2857142857142</v>
      </c>
      <c r="BK258" s="209">
        <f t="shared" si="61"/>
        <v>9124.8509201761899</v>
      </c>
      <c r="BL258" s="179">
        <f t="shared" si="63"/>
        <v>-5.0312786561349382E-3</v>
      </c>
      <c r="BM258" s="213">
        <f t="shared" si="64"/>
        <v>0.96478104940705545</v>
      </c>
      <c r="BN258" s="214">
        <f t="shared" ca="1" si="65"/>
        <v>1.0911937819950659</v>
      </c>
      <c r="BO258" s="176">
        <f>DANE!AU258</f>
        <v>402</v>
      </c>
      <c r="BP258" s="188">
        <f t="shared" si="10"/>
        <v>17221</v>
      </c>
      <c r="BQ258" s="177">
        <f t="shared" ca="1" si="26"/>
        <v>698</v>
      </c>
      <c r="BR258" s="209">
        <f t="shared" si="78"/>
        <v>4385.696683171328</v>
      </c>
      <c r="BS258" s="179">
        <f t="shared" si="83"/>
        <v>-5.6361745246418286E-2</v>
      </c>
      <c r="BT258" s="213">
        <f t="shared" si="84"/>
        <v>0.60546778327507189</v>
      </c>
      <c r="BU258" s="217">
        <f t="shared" ca="1" si="85"/>
        <v>1.1984423095661243</v>
      </c>
      <c r="BV258" s="176">
        <f>DANE!AY258</f>
        <v>1421</v>
      </c>
      <c r="BW258" s="188">
        <f t="shared" si="11"/>
        <v>36771</v>
      </c>
      <c r="BX258" s="177">
        <f t="shared" ca="1" si="27"/>
        <v>1300</v>
      </c>
      <c r="BY258" s="209">
        <f t="shared" si="69"/>
        <v>8463.8861326567876</v>
      </c>
      <c r="BZ258" s="179">
        <f t="shared" si="71"/>
        <v>3.008332175612425E-2</v>
      </c>
      <c r="CA258" s="213">
        <f t="shared" si="72"/>
        <v>1.2105832522928697</v>
      </c>
      <c r="CB258" s="214">
        <f t="shared" ca="1" si="73"/>
        <v>1.1331699188758673</v>
      </c>
      <c r="CC258" s="176">
        <f>DANE!BC258</f>
        <v>3841</v>
      </c>
      <c r="CD258" s="188">
        <f t="shared" si="12"/>
        <v>91978</v>
      </c>
      <c r="CE258" s="177">
        <f t="shared" ca="1" si="28"/>
        <v>4143.1428571428569</v>
      </c>
      <c r="CF258" s="209">
        <f t="shared" si="45"/>
        <v>24270.904913111415</v>
      </c>
      <c r="CG258" s="179">
        <f t="shared" si="46"/>
        <v>1.8293177141302439E-2</v>
      </c>
      <c r="CH258" s="213">
        <f t="shared" si="47"/>
        <v>1.1280522399891171</v>
      </c>
      <c r="CI258" s="217">
        <f t="shared" ca="1" si="48"/>
        <v>1.4469738788109081</v>
      </c>
      <c r="CJ258" s="176">
        <f>DANE!BG258</f>
        <v>920</v>
      </c>
      <c r="CK258" s="188">
        <f t="shared" si="13"/>
        <v>20089</v>
      </c>
      <c r="CL258" s="177">
        <f t="shared" ca="1" si="29"/>
        <v>714.57142857142856</v>
      </c>
      <c r="CM258" s="209">
        <f t="shared" si="79"/>
        <v>4833.5264034554002</v>
      </c>
      <c r="CN258" s="179">
        <f t="shared" si="86"/>
        <v>5.8641798832676818E-2</v>
      </c>
      <c r="CO258" s="213">
        <f t="shared" si="87"/>
        <v>1.4104925918287377</v>
      </c>
      <c r="CP258" s="214">
        <f t="shared" ca="1" si="88"/>
        <v>1.112603509565226</v>
      </c>
      <c r="CQ258" s="176">
        <f>DANE!BK258</f>
        <v>746</v>
      </c>
      <c r="CR258" s="188">
        <f t="shared" si="14"/>
        <v>17541</v>
      </c>
      <c r="CS258" s="177">
        <f t="shared" ca="1" si="30"/>
        <v>694.14285714285711</v>
      </c>
      <c r="CT258" s="209">
        <f t="shared" si="89"/>
        <v>4673.2172201127323</v>
      </c>
      <c r="CU258" s="179">
        <f t="shared" si="90"/>
        <v>1.9962618716986753E-2</v>
      </c>
      <c r="CV258" s="213">
        <f t="shared" si="91"/>
        <v>1.1397383310189073</v>
      </c>
      <c r="CW258" s="217">
        <f t="shared" ca="1" si="92"/>
        <v>1.1453746635546822</v>
      </c>
      <c r="CX258" s="176">
        <f>DANE!BO258</f>
        <v>2866</v>
      </c>
      <c r="CY258" s="188">
        <f t="shared" si="15"/>
        <v>68000</v>
      </c>
      <c r="CZ258" s="177">
        <f t="shared" ca="1" si="31"/>
        <v>2614.8571428571427</v>
      </c>
      <c r="DA258" s="209">
        <f t="shared" si="54"/>
        <v>17652.130659360038</v>
      </c>
      <c r="DB258" s="179">
        <f t="shared" si="58"/>
        <v>2.3283106080556778E-2</v>
      </c>
      <c r="DC258" s="213">
        <f t="shared" si="59"/>
        <v>1.1629817425638975</v>
      </c>
      <c r="DD258" s="214">
        <f t="shared" ca="1" si="60"/>
        <v>1.1331367247686781</v>
      </c>
      <c r="DE258" s="176">
        <f>DANE!BS258</f>
        <v>1331</v>
      </c>
      <c r="DF258" s="188">
        <f t="shared" si="16"/>
        <v>21332</v>
      </c>
      <c r="DG258" s="177">
        <f t="shared" ca="1" si="32"/>
        <v>900.42857142857144</v>
      </c>
      <c r="DH258" s="209">
        <f t="shared" si="70"/>
        <v>5810.3221830761258</v>
      </c>
      <c r="DI258" s="179">
        <f t="shared" si="74"/>
        <v>0.11183700420991904</v>
      </c>
      <c r="DJ258" s="157">
        <f t="shared" si="75"/>
        <v>1.7828590294694333</v>
      </c>
      <c r="DK258" s="225">
        <f t="shared" ca="1" si="76"/>
        <v>1.2669135088224068</v>
      </c>
      <c r="DL258" s="50"/>
      <c r="DM258" s="380"/>
      <c r="DN258" s="372"/>
      <c r="DO258" s="372"/>
      <c r="DP258" s="372"/>
      <c r="DQ258" s="372"/>
      <c r="DR258" s="372"/>
      <c r="DS258" s="372"/>
      <c r="DT258" s="88"/>
      <c r="DU258" s="88"/>
      <c r="DV258" s="88"/>
      <c r="DW258" s="50"/>
      <c r="DX258" s="50"/>
      <c r="DY258" s="50"/>
      <c r="DZ258" s="50"/>
      <c r="EA258" s="50"/>
      <c r="EB258" s="50"/>
      <c r="EC258" s="50"/>
      <c r="ED258" s="50"/>
      <c r="EE258" s="50"/>
      <c r="EF258" s="50"/>
      <c r="EG258" s="50"/>
      <c r="EH258" s="50"/>
    </row>
    <row r="259" spans="1:138" x14ac:dyDescent="0.25">
      <c r="A259" s="61">
        <v>44149</v>
      </c>
      <c r="B259" s="62">
        <f t="shared" ca="1" si="98"/>
        <v>44149</v>
      </c>
      <c r="C259" s="12">
        <f t="shared" si="93"/>
        <v>256</v>
      </c>
      <c r="D259" s="176">
        <f>DANE!K259</f>
        <v>2794</v>
      </c>
      <c r="E259" s="198">
        <f t="shared" si="1"/>
        <v>47691</v>
      </c>
      <c r="F259" s="178">
        <f t="shared" ca="1" si="17"/>
        <v>2312</v>
      </c>
      <c r="G259" s="211">
        <f t="shared" si="38"/>
        <v>14845.40430832026</v>
      </c>
      <c r="H259" s="200">
        <f t="shared" si="42"/>
        <v>5.5863029629622113E-2</v>
      </c>
      <c r="I259" s="213">
        <f t="shared" si="43"/>
        <v>1.3910412074073548</v>
      </c>
      <c r="J259" s="214">
        <f t="shared" ca="1" si="44"/>
        <v>1.3154318722416216</v>
      </c>
      <c r="K259" s="176">
        <f>DANE!O259</f>
        <v>955</v>
      </c>
      <c r="L259" s="198">
        <f t="shared" si="2"/>
        <v>39905</v>
      </c>
      <c r="M259" s="177">
        <f t="shared" ca="1" si="18"/>
        <v>1096.2857142857142</v>
      </c>
      <c r="N259" s="211">
        <f t="shared" si="62"/>
        <v>8358.7154331830679</v>
      </c>
      <c r="O259" s="200">
        <f t="shared" si="66"/>
        <v>-3.2294893948623907E-2</v>
      </c>
      <c r="P259" s="213">
        <f t="shared" si="67"/>
        <v>0.77393574235963269</v>
      </c>
      <c r="Q259" s="217">
        <f t="shared" ca="1" si="68"/>
        <v>0.83203535398954442</v>
      </c>
      <c r="R259" s="176">
        <f>DANE!S259</f>
        <v>1563</v>
      </c>
      <c r="S259" s="198">
        <f t="shared" si="3"/>
        <v>35471</v>
      </c>
      <c r="T259" s="177">
        <f t="shared" ca="1" si="19"/>
        <v>1183.2857142857142</v>
      </c>
      <c r="U259" s="211">
        <f t="shared" si="50"/>
        <v>8283.8637783830673</v>
      </c>
      <c r="V259" s="200">
        <f t="shared" si="55"/>
        <v>5.6479479620362545E-2</v>
      </c>
      <c r="W259" s="213">
        <f t="shared" si="56"/>
        <v>1.3953563573425378</v>
      </c>
      <c r="X259" s="214">
        <f t="shared" ca="1" si="57"/>
        <v>0.95393618731337704</v>
      </c>
      <c r="Y259" s="176">
        <f>DANE!W259</f>
        <v>760</v>
      </c>
      <c r="Z259" s="198">
        <f t="shared" si="4"/>
        <v>14404</v>
      </c>
      <c r="AA259" s="177">
        <f t="shared" ca="1" si="20"/>
        <v>642</v>
      </c>
      <c r="AB259" s="211">
        <f t="shared" si="94"/>
        <v>4037.8758940714156</v>
      </c>
      <c r="AC259" s="200">
        <f t="shared" si="95"/>
        <v>5.5877828349908801E-2</v>
      </c>
      <c r="AD259" s="213">
        <f t="shared" si="96"/>
        <v>1.3911447984493617</v>
      </c>
      <c r="AE259" s="217">
        <f t="shared" ca="1" si="97"/>
        <v>1.3492099574323333</v>
      </c>
      <c r="AF259" s="176">
        <f>DANE!AA259</f>
        <v>1487</v>
      </c>
      <c r="AG259" s="198">
        <f t="shared" si="5"/>
        <v>48324</v>
      </c>
      <c r="AH259" s="177">
        <f t="shared" ca="1" si="21"/>
        <v>1465.8571428571429</v>
      </c>
      <c r="AI259" s="211">
        <f t="shared" si="37"/>
        <v>10217.44467183768</v>
      </c>
      <c r="AJ259" s="200">
        <f t="shared" si="39"/>
        <v>3.1344390702806608E-3</v>
      </c>
      <c r="AK259" s="213">
        <f t="shared" si="40"/>
        <v>1.0219410734919647</v>
      </c>
      <c r="AL259" s="214">
        <f t="shared" ca="1" si="41"/>
        <v>1.022784238618774</v>
      </c>
      <c r="AM259" s="176">
        <f>DANE!AE259</f>
        <v>2202</v>
      </c>
      <c r="AN259" s="198">
        <f t="shared" si="6"/>
        <v>76127</v>
      </c>
      <c r="AO259" s="177">
        <f t="shared" ca="1" si="22"/>
        <v>2529.2857142857142</v>
      </c>
      <c r="AP259" s="211">
        <f t="shared" si="49"/>
        <v>16209.735820926151</v>
      </c>
      <c r="AQ259" s="200">
        <f t="shared" si="51"/>
        <v>-8.1152691127120737E-3</v>
      </c>
      <c r="AR259" s="213">
        <f t="shared" si="52"/>
        <v>0.94319311621101543</v>
      </c>
      <c r="AS259" s="217">
        <f t="shared" ca="1" si="53"/>
        <v>1.1321550751061831</v>
      </c>
      <c r="AT259" s="176">
        <f>DANE!AI259</f>
        <v>2419</v>
      </c>
      <c r="AU259" s="198">
        <f t="shared" si="7"/>
        <v>84425</v>
      </c>
      <c r="AV259" s="177">
        <f t="shared" ca="1" si="23"/>
        <v>1894.5714285714287</v>
      </c>
      <c r="AW259" s="211">
        <f t="shared" si="33"/>
        <v>15073.799348980709</v>
      </c>
      <c r="AX259" s="200">
        <f t="shared" si="34"/>
        <v>2.0988092001960501E-2</v>
      </c>
      <c r="AY259" s="213">
        <f t="shared" si="35"/>
        <v>1.1469166440137235</v>
      </c>
      <c r="AZ259" s="214">
        <f t="shared" ca="1" si="36"/>
        <v>0.80397626277168244</v>
      </c>
      <c r="BA259" s="176">
        <f>DANE!AM259</f>
        <v>799</v>
      </c>
      <c r="BB259" s="198">
        <f t="shared" si="8"/>
        <v>19949</v>
      </c>
      <c r="BC259" s="177">
        <f t="shared" ca="1" si="24"/>
        <v>795.14285714285711</v>
      </c>
      <c r="BD259" s="211">
        <f t="shared" si="77"/>
        <v>5023.9534580361742</v>
      </c>
      <c r="BE259" s="200">
        <f t="shared" si="80"/>
        <v>1.9241007964967118E-2</v>
      </c>
      <c r="BF259" s="213">
        <f t="shared" si="81"/>
        <v>1.1346870557547699</v>
      </c>
      <c r="BG259" s="217">
        <f t="shared" ca="1" si="82"/>
        <v>1.2650083575211275</v>
      </c>
      <c r="BH259" s="176">
        <f>DANE!AQ259</f>
        <v>1162</v>
      </c>
      <c r="BI259" s="198">
        <f t="shared" si="9"/>
        <v>40460</v>
      </c>
      <c r="BJ259" s="177">
        <f t="shared" ca="1" si="25"/>
        <v>1310.2857142857142</v>
      </c>
      <c r="BK259" s="211">
        <f t="shared" si="61"/>
        <v>8983.3007887224485</v>
      </c>
      <c r="BL259" s="200">
        <f t="shared" si="63"/>
        <v>-1.5512596610291607E-2</v>
      </c>
      <c r="BM259" s="213">
        <f t="shared" si="64"/>
        <v>0.89141182372795869</v>
      </c>
      <c r="BN259" s="214">
        <f t="shared" ca="1" si="65"/>
        <v>0.98624508564026492</v>
      </c>
      <c r="BO259" s="176">
        <f>DANE!AU259</f>
        <v>695</v>
      </c>
      <c r="BP259" s="198">
        <f t="shared" si="10"/>
        <v>17916</v>
      </c>
      <c r="BQ259" s="177">
        <f t="shared" ca="1" si="26"/>
        <v>709.42857142857144</v>
      </c>
      <c r="BR259" s="211">
        <f t="shared" si="78"/>
        <v>4454.168585575424</v>
      </c>
      <c r="BS259" s="200">
        <f t="shared" si="83"/>
        <v>1.5612548552852381E-2</v>
      </c>
      <c r="BT259" s="213">
        <f t="shared" si="84"/>
        <v>1.1092878398699666</v>
      </c>
      <c r="BU259" s="217">
        <f t="shared" ca="1" si="85"/>
        <v>1.1883333966313603</v>
      </c>
      <c r="BV259" s="176">
        <f>DANE!AY259</f>
        <v>1328</v>
      </c>
      <c r="BW259" s="198">
        <f t="shared" si="11"/>
        <v>38099</v>
      </c>
      <c r="BX259" s="177">
        <f t="shared" ca="1" si="27"/>
        <v>1251</v>
      </c>
      <c r="BY259" s="211">
        <f t="shared" si="69"/>
        <v>8582.7595422772465</v>
      </c>
      <c r="BZ259" s="200">
        <f t="shared" si="71"/>
        <v>1.404477892983479E-2</v>
      </c>
      <c r="CA259" s="213">
        <f t="shared" si="72"/>
        <v>1.0983134525088436</v>
      </c>
      <c r="CB259" s="214">
        <f t="shared" ca="1" si="73"/>
        <v>1.0654554363339643</v>
      </c>
      <c r="CC259" s="176">
        <f>DANE!BC259</f>
        <v>3453</v>
      </c>
      <c r="CD259" s="198">
        <f t="shared" si="12"/>
        <v>95431</v>
      </c>
      <c r="CE259" s="177">
        <f t="shared" ca="1" si="28"/>
        <v>4023.5714285714284</v>
      </c>
      <c r="CF259" s="211">
        <f t="shared" si="45"/>
        <v>24256.632782666929</v>
      </c>
      <c r="CG259" s="200">
        <f t="shared" si="46"/>
        <v>-5.880345415871102E-4</v>
      </c>
      <c r="CH259" s="213">
        <f t="shared" si="47"/>
        <v>0.99588375820889019</v>
      </c>
      <c r="CI259" s="217">
        <f t="shared" ca="1" si="48"/>
        <v>1.3177837783997888</v>
      </c>
      <c r="CJ259" s="176">
        <f>DANE!BG259</f>
        <v>1177</v>
      </c>
      <c r="CK259" s="198">
        <f t="shared" si="13"/>
        <v>21266</v>
      </c>
      <c r="CL259" s="177">
        <f t="shared" ca="1" si="29"/>
        <v>706.85714285714289</v>
      </c>
      <c r="CM259" s="211">
        <f t="shared" si="79"/>
        <v>5320.0226315332002</v>
      </c>
      <c r="CN259" s="200">
        <f t="shared" si="86"/>
        <v>0.1006503714824052</v>
      </c>
      <c r="CO259" s="213">
        <f t="shared" si="87"/>
        <v>1.7045526003768363</v>
      </c>
      <c r="CP259" s="214">
        <f t="shared" ca="1" si="88"/>
        <v>1.0757512266788134</v>
      </c>
      <c r="CQ259" s="176">
        <f>DANE!BK259</f>
        <v>990</v>
      </c>
      <c r="CR259" s="198">
        <f t="shared" si="14"/>
        <v>18531</v>
      </c>
      <c r="CS259" s="177">
        <f t="shared" ca="1" si="30"/>
        <v>738.57142857142856</v>
      </c>
      <c r="CT259" s="211">
        <f t="shared" si="89"/>
        <v>4995.6147600966278</v>
      </c>
      <c r="CU259" s="200">
        <f t="shared" si="90"/>
        <v>6.8988348882297046E-2</v>
      </c>
      <c r="CV259" s="213">
        <f t="shared" si="91"/>
        <v>1.4829184421760793</v>
      </c>
      <c r="CW259" s="217">
        <f t="shared" ca="1" si="92"/>
        <v>1.1897467482822162</v>
      </c>
      <c r="CX259" s="176">
        <f>DANE!BO259</f>
        <v>2742</v>
      </c>
      <c r="CY259" s="198">
        <f t="shared" si="15"/>
        <v>70742</v>
      </c>
      <c r="CZ259" s="177">
        <f t="shared" ca="1" si="31"/>
        <v>2656.4285714285716</v>
      </c>
      <c r="DA259" s="211">
        <f t="shared" si="54"/>
        <v>17872.397708022891</v>
      </c>
      <c r="DB259" s="200">
        <f t="shared" si="58"/>
        <v>1.2478213135480936E-2</v>
      </c>
      <c r="DC259" s="213">
        <f t="shared" si="59"/>
        <v>1.0873474919483666</v>
      </c>
      <c r="DD259" s="214">
        <f t="shared" ca="1" si="60"/>
        <v>1.1310224628396353</v>
      </c>
      <c r="DE259" s="176">
        <f>DANE!BS259</f>
        <v>1045</v>
      </c>
      <c r="DF259" s="198">
        <f t="shared" si="16"/>
        <v>22377</v>
      </c>
      <c r="DG259" s="177">
        <f t="shared" ca="1" si="32"/>
        <v>896.57142857142856</v>
      </c>
      <c r="DH259" s="211">
        <f t="shared" si="70"/>
        <v>6025.276156922394</v>
      </c>
      <c r="DI259" s="200">
        <f t="shared" si="74"/>
        <v>3.6995190124287786E-2</v>
      </c>
      <c r="DJ259" s="157">
        <f t="shared" si="75"/>
        <v>1.2589663308700145</v>
      </c>
      <c r="DK259" s="225">
        <f t="shared" ca="1" si="76"/>
        <v>1.2083879793791681</v>
      </c>
      <c r="DL259" s="75"/>
      <c r="DM259" s="380"/>
      <c r="DN259" s="372"/>
      <c r="DO259" s="372"/>
      <c r="DP259" s="372"/>
      <c r="DQ259" s="372"/>
      <c r="DR259" s="372"/>
      <c r="DS259" s="372"/>
      <c r="DT259" s="146"/>
      <c r="DU259" s="146"/>
      <c r="DV259" s="146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</row>
    <row r="260" spans="1:138" x14ac:dyDescent="0.25">
      <c r="A260" s="61">
        <v>44150</v>
      </c>
      <c r="B260" s="62">
        <f t="shared" ca="1" si="98"/>
        <v>44150</v>
      </c>
      <c r="C260" s="12">
        <f t="shared" si="93"/>
        <v>257</v>
      </c>
      <c r="D260" s="176">
        <f>DANE!K260</f>
        <v>2016</v>
      </c>
      <c r="E260" s="198">
        <f t="shared" si="1"/>
        <v>49707</v>
      </c>
      <c r="F260" s="178">
        <f t="shared" ca="1" si="17"/>
        <v>2343</v>
      </c>
      <c r="G260" s="211">
        <f t="shared" si="38"/>
        <v>14740.632264274509</v>
      </c>
      <c r="H260" s="200">
        <f t="shared" si="42"/>
        <v>-7.0575406280467563E-3</v>
      </c>
      <c r="I260" s="213">
        <f t="shared" si="43"/>
        <v>0.95059721560367272</v>
      </c>
      <c r="J260" s="214">
        <f t="shared" ca="1" si="44"/>
        <v>1.286787875933358</v>
      </c>
      <c r="K260" s="176">
        <f>DANE!O260</f>
        <v>1723</v>
      </c>
      <c r="L260" s="198">
        <f t="shared" si="2"/>
        <v>41628</v>
      </c>
      <c r="M260" s="177">
        <f t="shared" ca="1" si="18"/>
        <v>1136.8571428571429</v>
      </c>
      <c r="N260" s="211">
        <f t="shared" si="62"/>
        <v>8887.6132284426312</v>
      </c>
      <c r="O260" s="200">
        <f t="shared" si="66"/>
        <v>6.3275009119212786E-2</v>
      </c>
      <c r="P260" s="213">
        <f t="shared" si="67"/>
        <v>1.4429250638344895</v>
      </c>
      <c r="Q260" s="217">
        <f t="shared" ca="1" si="68"/>
        <v>0.89316309992401277</v>
      </c>
      <c r="R260" s="176">
        <f>DANE!S260</f>
        <v>1248</v>
      </c>
      <c r="S260" s="198">
        <f t="shared" si="3"/>
        <v>36719</v>
      </c>
      <c r="T260" s="177">
        <f t="shared" ca="1" si="19"/>
        <v>1114.7142857142858</v>
      </c>
      <c r="U260" s="211">
        <f t="shared" si="50"/>
        <v>8348.4546671854878</v>
      </c>
      <c r="V260" s="200">
        <f t="shared" si="55"/>
        <v>7.7971934993634169E-3</v>
      </c>
      <c r="W260" s="213">
        <f t="shared" si="56"/>
        <v>1.0545803544955439</v>
      </c>
      <c r="X260" s="214">
        <f t="shared" ca="1" si="57"/>
        <v>0.90711177501529072</v>
      </c>
      <c r="Y260" s="176">
        <f>DANE!W260</f>
        <v>419</v>
      </c>
      <c r="Z260" s="198">
        <f t="shared" si="4"/>
        <v>14823</v>
      </c>
      <c r="AA260" s="177">
        <f t="shared" ca="1" si="20"/>
        <v>634.71428571428567</v>
      </c>
      <c r="AB260" s="211">
        <f t="shared" si="94"/>
        <v>3880.036480632642</v>
      </c>
      <c r="AC260" s="200">
        <f t="shared" si="95"/>
        <v>-3.9089713894010523E-2</v>
      </c>
      <c r="AD260" s="213">
        <f t="shared" si="96"/>
        <v>0.72637200274192626</v>
      </c>
      <c r="AE260" s="217">
        <f t="shared" ca="1" si="97"/>
        <v>1.2896874075113161</v>
      </c>
      <c r="AF260" s="176">
        <f>DANE!AA260</f>
        <v>1389</v>
      </c>
      <c r="AG260" s="198">
        <f t="shared" si="5"/>
        <v>49713</v>
      </c>
      <c r="AH260" s="177">
        <f t="shared" ca="1" si="21"/>
        <v>1439.1428571428571</v>
      </c>
      <c r="AI260" s="211">
        <f t="shared" si="37"/>
        <v>10146.809718718012</v>
      </c>
      <c r="AJ260" s="200">
        <f t="shared" si="39"/>
        <v>-6.9131720687814749E-3</v>
      </c>
      <c r="AK260" s="213">
        <f t="shared" si="40"/>
        <v>0.9516077955185297</v>
      </c>
      <c r="AL260" s="214">
        <f t="shared" ca="1" si="41"/>
        <v>1.0009910096870163</v>
      </c>
      <c r="AM260" s="176">
        <f>DANE!AE260</f>
        <v>1859</v>
      </c>
      <c r="AN260" s="198">
        <f t="shared" si="6"/>
        <v>77986</v>
      </c>
      <c r="AO260" s="177">
        <f t="shared" ca="1" si="22"/>
        <v>2394</v>
      </c>
      <c r="AP260" s="211">
        <f t="shared" si="49"/>
        <v>15753.059275079559</v>
      </c>
      <c r="AQ260" s="200">
        <f t="shared" si="51"/>
        <v>-2.817297893634025E-2</v>
      </c>
      <c r="AR260" s="213">
        <f t="shared" si="52"/>
        <v>0.80278914744561825</v>
      </c>
      <c r="AS260" s="217">
        <f t="shared" ca="1" si="53"/>
        <v>1.0499488987584293</v>
      </c>
      <c r="AT260" s="176">
        <f>DANE!AI260</f>
        <v>1642</v>
      </c>
      <c r="AU260" s="198">
        <f t="shared" si="7"/>
        <v>86067</v>
      </c>
      <c r="AV260" s="177">
        <f t="shared" ca="1" si="23"/>
        <v>1829.2857142857142</v>
      </c>
      <c r="AW260" s="211">
        <f t="shared" si="33"/>
        <v>14562.399441983465</v>
      </c>
      <c r="AX260" s="200">
        <f t="shared" si="34"/>
        <v>-3.3926410665126985E-2</v>
      </c>
      <c r="AY260" s="213">
        <f t="shared" si="35"/>
        <v>0.76251512534411114</v>
      </c>
      <c r="AZ260" s="214">
        <f t="shared" ca="1" si="36"/>
        <v>0.79898113890958178</v>
      </c>
      <c r="BA260" s="176">
        <f>DANE!AM260</f>
        <v>604</v>
      </c>
      <c r="BB260" s="198">
        <f t="shared" si="8"/>
        <v>20553</v>
      </c>
      <c r="BC260" s="177">
        <f t="shared" ca="1" si="24"/>
        <v>758.85714285714289</v>
      </c>
      <c r="BD260" s="211">
        <f t="shared" si="77"/>
        <v>4910.245821173864</v>
      </c>
      <c r="BE260" s="200">
        <f t="shared" si="80"/>
        <v>-2.2633099174202476E-2</v>
      </c>
      <c r="BF260" s="213">
        <f t="shared" si="81"/>
        <v>0.84156830578058273</v>
      </c>
      <c r="BG260" s="217">
        <f t="shared" ca="1" si="82"/>
        <v>1.1641830989639275</v>
      </c>
      <c r="BH260" s="176">
        <f>DANE!AQ260</f>
        <v>926</v>
      </c>
      <c r="BI260" s="198">
        <f t="shared" si="9"/>
        <v>41386</v>
      </c>
      <c r="BJ260" s="177">
        <f t="shared" ca="1" si="25"/>
        <v>1182.2857142857142</v>
      </c>
      <c r="BK260" s="211">
        <f t="shared" si="61"/>
        <v>8625.9721046192426</v>
      </c>
      <c r="BL260" s="200">
        <f t="shared" si="63"/>
        <v>-3.9776992055280277E-2</v>
      </c>
      <c r="BM260" s="213">
        <f t="shared" si="64"/>
        <v>0.72156105561303807</v>
      </c>
      <c r="BN260" s="214">
        <f t="shared" ca="1" si="65"/>
        <v>0.88968855083125808</v>
      </c>
      <c r="BO260" s="176">
        <f>DANE!AU260</f>
        <v>725</v>
      </c>
      <c r="BP260" s="198">
        <f t="shared" si="10"/>
        <v>18641</v>
      </c>
      <c r="BQ260" s="177">
        <f t="shared" ca="1" si="26"/>
        <v>662.57142857142856</v>
      </c>
      <c r="BR260" s="211">
        <f t="shared" si="78"/>
        <v>4542.858787636078</v>
      </c>
      <c r="BS260" s="200">
        <f t="shared" si="83"/>
        <v>1.9911729957386937E-2</v>
      </c>
      <c r="BT260" s="213">
        <f t="shared" si="84"/>
        <v>1.1393821097017085</v>
      </c>
      <c r="BU260" s="217">
        <f t="shared" ca="1" si="85"/>
        <v>1.069700860913573</v>
      </c>
      <c r="BV260" s="176">
        <f>DANE!AY260</f>
        <v>1046</v>
      </c>
      <c r="BW260" s="198">
        <f t="shared" si="11"/>
        <v>39145</v>
      </c>
      <c r="BX260" s="177">
        <f t="shared" ca="1" si="27"/>
        <v>1209.7142857142858</v>
      </c>
      <c r="BY260" s="211">
        <f t="shared" si="69"/>
        <v>8402.6510362376393</v>
      </c>
      <c r="BZ260" s="200">
        <f t="shared" si="71"/>
        <v>-2.0984918096845499E-2</v>
      </c>
      <c r="CA260" s="213">
        <f t="shared" si="72"/>
        <v>0.85310557332208148</v>
      </c>
      <c r="CB260" s="214">
        <f t="shared" ca="1" si="73"/>
        <v>1.0214393962787407</v>
      </c>
      <c r="CC260" s="176">
        <f>DANE!BC260</f>
        <v>3576</v>
      </c>
      <c r="CD260" s="198">
        <f t="shared" si="12"/>
        <v>99007</v>
      </c>
      <c r="CE260" s="177">
        <f t="shared" ca="1" si="28"/>
        <v>3928</v>
      </c>
      <c r="CF260" s="211">
        <f t="shared" si="45"/>
        <v>24367.399528000227</v>
      </c>
      <c r="CG260" s="200">
        <f t="shared" si="46"/>
        <v>4.5664518371423962E-3</v>
      </c>
      <c r="CH260" s="213">
        <f t="shared" si="47"/>
        <v>1.0319651628599968</v>
      </c>
      <c r="CI260" s="217">
        <f t="shared" ca="1" si="48"/>
        <v>1.2272034365140798</v>
      </c>
      <c r="CJ260" s="176">
        <f>DANE!BG260</f>
        <v>685</v>
      </c>
      <c r="CK260" s="198">
        <f t="shared" si="13"/>
        <v>21951</v>
      </c>
      <c r="CL260" s="177">
        <f t="shared" ca="1" si="29"/>
        <v>743.42857142857144</v>
      </c>
      <c r="CM260" s="211">
        <f t="shared" si="79"/>
        <v>5245.0193984570287</v>
      </c>
      <c r="CN260" s="200">
        <f t="shared" si="86"/>
        <v>-1.4098292107181496E-2</v>
      </c>
      <c r="CO260" s="213">
        <f t="shared" si="87"/>
        <v>0.90131195524972951</v>
      </c>
      <c r="CP260" s="214">
        <f t="shared" ca="1" si="88"/>
        <v>1.1186161308658551</v>
      </c>
      <c r="CQ260" s="176">
        <f>DANE!BK260</f>
        <v>820</v>
      </c>
      <c r="CR260" s="198">
        <f t="shared" si="14"/>
        <v>19351</v>
      </c>
      <c r="CS260" s="177">
        <f t="shared" ca="1" si="30"/>
        <v>776</v>
      </c>
      <c r="CT260" s="211">
        <f t="shared" si="89"/>
        <v>5101.9555086542523</v>
      </c>
      <c r="CU260" s="200">
        <f t="shared" si="90"/>
        <v>2.1286819273383596E-2</v>
      </c>
      <c r="CV260" s="213">
        <f t="shared" si="91"/>
        <v>1.1490077349136851</v>
      </c>
      <c r="CW260" s="217">
        <f t="shared" ca="1" si="92"/>
        <v>1.2195681273409096</v>
      </c>
      <c r="CX260" s="176">
        <f>DANE!BO260</f>
        <v>2143</v>
      </c>
      <c r="CY260" s="198">
        <f t="shared" si="15"/>
        <v>72885</v>
      </c>
      <c r="CZ260" s="177">
        <f t="shared" ca="1" si="31"/>
        <v>2699</v>
      </c>
      <c r="DA260" s="211">
        <f t="shared" si="54"/>
        <v>17462.198035448193</v>
      </c>
      <c r="DB260" s="200">
        <f t="shared" si="58"/>
        <v>-2.2951574784538263E-2</v>
      </c>
      <c r="DC260" s="213">
        <f t="shared" si="59"/>
        <v>0.83933897650823219</v>
      </c>
      <c r="DD260" s="214">
        <f t="shared" ca="1" si="60"/>
        <v>1.1341118420157408</v>
      </c>
      <c r="DE260" s="176">
        <f>DANE!BS260</f>
        <v>1033</v>
      </c>
      <c r="DF260" s="198">
        <f t="shared" si="16"/>
        <v>23410</v>
      </c>
      <c r="DG260" s="177">
        <f t="shared" ca="1" si="32"/>
        <v>940.85714285714289</v>
      </c>
      <c r="DH260" s="211">
        <f t="shared" si="70"/>
        <v>6197.5224202191948</v>
      </c>
      <c r="DI260" s="200">
        <f t="shared" si="74"/>
        <v>2.8587281115556577E-2</v>
      </c>
      <c r="DJ260" s="157">
        <f t="shared" si="75"/>
        <v>1.2001109678088961</v>
      </c>
      <c r="DK260" s="225">
        <f t="shared" ca="1" si="76"/>
        <v>1.2330787785051081</v>
      </c>
      <c r="DL260" s="75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75"/>
      <c r="DX260" s="75"/>
      <c r="DY260" s="75"/>
      <c r="DZ260" s="75"/>
      <c r="EA260" s="75"/>
      <c r="EB260" s="75"/>
      <c r="EC260" s="75"/>
      <c r="ED260" s="75"/>
      <c r="EE260" s="75"/>
      <c r="EF260" s="75"/>
      <c r="EG260" s="75"/>
      <c r="EH260" s="75"/>
    </row>
    <row r="261" spans="1:138" x14ac:dyDescent="0.25">
      <c r="A261" s="32">
        <v>44151</v>
      </c>
      <c r="B261" s="33">
        <f t="shared" ca="1" si="98"/>
        <v>44151</v>
      </c>
      <c r="C261" s="51">
        <f t="shared" si="93"/>
        <v>258</v>
      </c>
      <c r="D261" s="176">
        <f>DANE!K261</f>
        <v>1784</v>
      </c>
      <c r="E261" s="188">
        <f t="shared" si="1"/>
        <v>51491</v>
      </c>
      <c r="F261" s="178">
        <f t="shared" ca="1" si="17"/>
        <v>2352.2857142857142</v>
      </c>
      <c r="G261" s="209">
        <f t="shared" si="38"/>
        <v>14418.827655092437</v>
      </c>
      <c r="H261" s="179">
        <f t="shared" si="42"/>
        <v>-2.1831126603843187E-2</v>
      </c>
      <c r="I261" s="213">
        <f t="shared" si="43"/>
        <v>0.84718211377309771</v>
      </c>
      <c r="J261" s="214">
        <f t="shared" ca="1" si="44"/>
        <v>1.2540031885585106</v>
      </c>
      <c r="K261" s="176">
        <f>DANE!O261</f>
        <v>896</v>
      </c>
      <c r="L261" s="188">
        <f t="shared" si="2"/>
        <v>42524</v>
      </c>
      <c r="M261" s="177">
        <f t="shared" ca="1" si="18"/>
        <v>1119.4285714285713</v>
      </c>
      <c r="N261" s="209">
        <f t="shared" si="62"/>
        <v>8513.9541958079699</v>
      </c>
      <c r="O261" s="179">
        <f t="shared" si="66"/>
        <v>-4.2042674791344097E-2</v>
      </c>
      <c r="P261" s="213">
        <f t="shared" si="67"/>
        <v>0.70570127646059133</v>
      </c>
      <c r="Q261" s="217">
        <f t="shared" ca="1" si="68"/>
        <v>0.89161606878600119</v>
      </c>
      <c r="R261" s="176">
        <f>DANE!S261</f>
        <v>1163</v>
      </c>
      <c r="S261" s="188">
        <f t="shared" si="3"/>
        <v>37882</v>
      </c>
      <c r="T261" s="177">
        <f t="shared" ca="1" si="19"/>
        <v>1109.2857142857142</v>
      </c>
      <c r="U261" s="209">
        <f t="shared" si="50"/>
        <v>8318.8182861589903</v>
      </c>
      <c r="V261" s="179">
        <f t="shared" si="55"/>
        <v>-3.5499241725521378E-3</v>
      </c>
      <c r="W261" s="213">
        <f t="shared" si="56"/>
        <v>0.97515053079213498</v>
      </c>
      <c r="X261" s="214">
        <f t="shared" ca="1" si="57"/>
        <v>0.91627534708030678</v>
      </c>
      <c r="Y261" s="176">
        <f>DANE!W261</f>
        <v>577</v>
      </c>
      <c r="Z261" s="188">
        <f t="shared" si="4"/>
        <v>15400</v>
      </c>
      <c r="AA261" s="177">
        <f t="shared" ca="1" si="20"/>
        <v>639.57142857142856</v>
      </c>
      <c r="AB261" s="209">
        <f t="shared" si="94"/>
        <v>3902.745554827979</v>
      </c>
      <c r="AC261" s="179">
        <f t="shared" si="95"/>
        <v>5.8527991447220431E-3</v>
      </c>
      <c r="AD261" s="213">
        <f t="shared" si="96"/>
        <v>1.0409695940130543</v>
      </c>
      <c r="AE261" s="217">
        <f t="shared" ca="1" si="97"/>
        <v>1.2535228210055074</v>
      </c>
      <c r="AF261" s="176">
        <f>DANE!AA261</f>
        <v>1083</v>
      </c>
      <c r="AG261" s="188">
        <f t="shared" si="5"/>
        <v>50796</v>
      </c>
      <c r="AH261" s="177">
        <f t="shared" ca="1" si="21"/>
        <v>1412.5714285714287</v>
      </c>
      <c r="AI261" s="209">
        <f t="shared" si="37"/>
        <v>9780.2654731868679</v>
      </c>
      <c r="AJ261" s="179">
        <f t="shared" si="39"/>
        <v>-3.6124087835703957E-2</v>
      </c>
      <c r="AK261" s="213">
        <f t="shared" si="40"/>
        <v>0.74713138515007227</v>
      </c>
      <c r="AL261" s="214">
        <f t="shared" ca="1" si="41"/>
        <v>0.98257580430702374</v>
      </c>
      <c r="AM261" s="176">
        <f>DANE!AE261</f>
        <v>1295</v>
      </c>
      <c r="AN261" s="188">
        <f t="shared" si="6"/>
        <v>79281</v>
      </c>
      <c r="AO261" s="177">
        <f t="shared" ca="1" si="22"/>
        <v>2200.4285714285716</v>
      </c>
      <c r="AP261" s="209">
        <f t="shared" si="49"/>
        <v>14797.622235782479</v>
      </c>
      <c r="AQ261" s="179">
        <f t="shared" si="51"/>
        <v>-6.0650888352113706E-2</v>
      </c>
      <c r="AR261" s="213">
        <f t="shared" si="52"/>
        <v>0.57544378153520404</v>
      </c>
      <c r="AS261" s="217">
        <f t="shared" ca="1" si="53"/>
        <v>0.95574307052649388</v>
      </c>
      <c r="AT261" s="176">
        <f>DANE!AI261</f>
        <v>2436</v>
      </c>
      <c r="AU261" s="188">
        <f t="shared" si="7"/>
        <v>88503</v>
      </c>
      <c r="AV261" s="177">
        <f t="shared" ca="1" si="23"/>
        <v>1944.4285714285713</v>
      </c>
      <c r="AW261" s="209">
        <f t="shared" si="33"/>
        <v>14918.056664557256</v>
      </c>
      <c r="AX261" s="179">
        <f t="shared" si="34"/>
        <v>2.442298221462251E-2</v>
      </c>
      <c r="AY261" s="213">
        <f t="shared" si="35"/>
        <v>1.1709608755023575</v>
      </c>
      <c r="AZ261" s="214">
        <f t="shared" ca="1" si="36"/>
        <v>0.8751551538062774</v>
      </c>
      <c r="BA261" s="176">
        <f>DANE!AM261</f>
        <v>557</v>
      </c>
      <c r="BB261" s="188">
        <f t="shared" si="8"/>
        <v>21110</v>
      </c>
      <c r="BC261" s="177">
        <f t="shared" ca="1" si="24"/>
        <v>754</v>
      </c>
      <c r="BD261" s="209">
        <f t="shared" si="77"/>
        <v>4765.7821324347406</v>
      </c>
      <c r="BE261" s="179">
        <f t="shared" si="80"/>
        <v>-2.9420866897573641E-2</v>
      </c>
      <c r="BF261" s="213">
        <f t="shared" si="81"/>
        <v>0.79405393171698446</v>
      </c>
      <c r="BG261" s="217">
        <f t="shared" ca="1" si="82"/>
        <v>1.1364003618404783</v>
      </c>
      <c r="BH261" s="176">
        <f>DANE!AQ261</f>
        <v>842</v>
      </c>
      <c r="BI261" s="188">
        <f t="shared" si="9"/>
        <v>42228</v>
      </c>
      <c r="BJ261" s="177">
        <f t="shared" ca="1" si="25"/>
        <v>1122.5714285714287</v>
      </c>
      <c r="BK261" s="209">
        <f t="shared" si="61"/>
        <v>8235.6903753879233</v>
      </c>
      <c r="BL261" s="179">
        <f t="shared" si="63"/>
        <v>-4.5244956104404967E-2</v>
      </c>
      <c r="BM261" s="213">
        <f t="shared" si="64"/>
        <v>0.68328530726916514</v>
      </c>
      <c r="BN261" s="214">
        <f t="shared" ca="1" si="65"/>
        <v>0.85666014973052473</v>
      </c>
      <c r="BO261" s="176">
        <f>DANE!AU261</f>
        <v>487</v>
      </c>
      <c r="BP261" s="188">
        <f t="shared" si="10"/>
        <v>19128</v>
      </c>
      <c r="BQ261" s="177">
        <f t="shared" ca="1" si="26"/>
        <v>661.14285714285711</v>
      </c>
      <c r="BR261" s="209">
        <f t="shared" si="78"/>
        <v>4380.8789608309244</v>
      </c>
      <c r="BS261" s="179">
        <f t="shared" si="83"/>
        <v>-3.5655923808593976E-2</v>
      </c>
      <c r="BT261" s="213">
        <f t="shared" si="84"/>
        <v>0.75040853333984214</v>
      </c>
      <c r="BU261" s="217">
        <f t="shared" ca="1" si="85"/>
        <v>1.0602468096959166</v>
      </c>
      <c r="BV261" s="176">
        <f>DANE!AY261</f>
        <v>1037</v>
      </c>
      <c r="BW261" s="188">
        <f t="shared" si="11"/>
        <v>40182</v>
      </c>
      <c r="BX261" s="177">
        <f t="shared" ca="1" si="27"/>
        <v>1197.5714285714287</v>
      </c>
      <c r="BY261" s="209">
        <f t="shared" si="69"/>
        <v>8239.272316775121</v>
      </c>
      <c r="BZ261" s="179">
        <f t="shared" si="71"/>
        <v>-1.944371112853838E-2</v>
      </c>
      <c r="CA261" s="213">
        <f t="shared" si="72"/>
        <v>0.86389402210023136</v>
      </c>
      <c r="CB261" s="214">
        <f t="shared" ca="1" si="73"/>
        <v>1.0085708557622992</v>
      </c>
      <c r="CC261" s="176">
        <f>DANE!BC261</f>
        <v>3322</v>
      </c>
      <c r="CD261" s="188">
        <f t="shared" si="12"/>
        <v>102329</v>
      </c>
      <c r="CE261" s="177">
        <f t="shared" ca="1" si="28"/>
        <v>3777.8571428571427</v>
      </c>
      <c r="CF261" s="209">
        <f t="shared" si="45"/>
        <v>24208.342452571625</v>
      </c>
      <c r="CG261" s="179">
        <f t="shared" si="46"/>
        <v>-6.5274538321510927E-3</v>
      </c>
      <c r="CH261" s="213">
        <f t="shared" si="47"/>
        <v>0.95430782317494234</v>
      </c>
      <c r="CI261" s="217">
        <f t="shared" ca="1" si="48"/>
        <v>1.1396540076350061</v>
      </c>
      <c r="CJ261" s="176">
        <f>DANE!BG261</f>
        <v>787</v>
      </c>
      <c r="CK261" s="188">
        <f t="shared" si="13"/>
        <v>22738</v>
      </c>
      <c r="CL261" s="177">
        <f t="shared" ca="1" si="29"/>
        <v>806.71428571428567</v>
      </c>
      <c r="CM261" s="209">
        <f t="shared" si="79"/>
        <v>5282.7309129631676</v>
      </c>
      <c r="CN261" s="179">
        <f t="shared" si="86"/>
        <v>7.1899666409685342E-3</v>
      </c>
      <c r="CO261" s="213">
        <f t="shared" si="87"/>
        <v>1.0503297664867797</v>
      </c>
      <c r="CP261" s="214">
        <f t="shared" ca="1" si="88"/>
        <v>1.1956275622531998</v>
      </c>
      <c r="CQ261" s="176">
        <f>DANE!BK261</f>
        <v>1040</v>
      </c>
      <c r="CR261" s="188">
        <f t="shared" si="14"/>
        <v>20391</v>
      </c>
      <c r="CS261" s="177">
        <f t="shared" ca="1" si="30"/>
        <v>825.42857142857144</v>
      </c>
      <c r="CT261" s="209">
        <f t="shared" si="89"/>
        <v>5413.1047217036448</v>
      </c>
      <c r="CU261" s="179">
        <f t="shared" si="90"/>
        <v>6.0986265466565125E-2</v>
      </c>
      <c r="CV261" s="213">
        <f t="shared" si="91"/>
        <v>1.4269038582659559</v>
      </c>
      <c r="CW261" s="217">
        <f t="shared" ca="1" si="92"/>
        <v>1.2549127691912447</v>
      </c>
      <c r="CX261" s="176">
        <f>DANE!BO261</f>
        <v>2400</v>
      </c>
      <c r="CY261" s="188">
        <f t="shared" si="15"/>
        <v>75285</v>
      </c>
      <c r="CZ261" s="177">
        <f t="shared" ca="1" si="31"/>
        <v>2758.5714285714284</v>
      </c>
      <c r="DA261" s="209">
        <f t="shared" si="54"/>
        <v>17367.598316098454</v>
      </c>
      <c r="DB261" s="179">
        <f t="shared" si="58"/>
        <v>-5.4174004416684355E-3</v>
      </c>
      <c r="DC261" s="213">
        <f t="shared" si="59"/>
        <v>0.96207819690832097</v>
      </c>
      <c r="DD261" s="214">
        <f t="shared" ca="1" si="60"/>
        <v>1.1426409690963291</v>
      </c>
      <c r="DE261" s="176">
        <f>DANE!BS261</f>
        <v>1110</v>
      </c>
      <c r="DF261" s="188">
        <f t="shared" si="16"/>
        <v>24520</v>
      </c>
      <c r="DG261" s="177">
        <f t="shared" ca="1" si="32"/>
        <v>982.42857142857144</v>
      </c>
      <c r="DH261" s="209">
        <f t="shared" si="70"/>
        <v>6422.1620744735956</v>
      </c>
      <c r="DI261" s="179">
        <f t="shared" si="74"/>
        <v>3.6246686824644943E-2</v>
      </c>
      <c r="DJ261" s="157">
        <f t="shared" si="75"/>
        <v>1.2537268077725146</v>
      </c>
      <c r="DK261" s="225">
        <f t="shared" ca="1" si="76"/>
        <v>1.2465882602485834</v>
      </c>
      <c r="DL261" s="146"/>
      <c r="DM261" s="380"/>
      <c r="DN261" s="372"/>
      <c r="DO261" s="372"/>
      <c r="DP261" s="372"/>
      <c r="DQ261" s="372"/>
      <c r="DR261" s="372"/>
      <c r="DS261" s="372"/>
      <c r="DT261" s="88"/>
      <c r="DU261" s="88"/>
      <c r="DV261" s="88"/>
      <c r="DW261" s="146"/>
      <c r="DX261" s="146"/>
      <c r="DY261" s="146"/>
      <c r="DZ261" s="146"/>
      <c r="EA261" s="146"/>
      <c r="EB261" s="146"/>
      <c r="EC261" s="146"/>
      <c r="ED261" s="146"/>
      <c r="EE261" s="146"/>
      <c r="EF261" s="146"/>
      <c r="EG261" s="146"/>
      <c r="EH261" s="146"/>
    </row>
    <row r="262" spans="1:138" x14ac:dyDescent="0.25">
      <c r="A262" s="32">
        <v>44152</v>
      </c>
      <c r="B262" s="33">
        <f t="shared" ca="1" si="98"/>
        <v>44152</v>
      </c>
      <c r="C262" s="51">
        <f t="shared" si="93"/>
        <v>259</v>
      </c>
      <c r="D262" s="176">
        <f>DANE!K262</f>
        <v>2418</v>
      </c>
      <c r="E262" s="188">
        <f t="shared" si="1"/>
        <v>53909</v>
      </c>
      <c r="F262" s="178">
        <f t="shared" ca="1" si="17"/>
        <v>2334.7142857142858</v>
      </c>
      <c r="G262" s="209">
        <f t="shared" si="38"/>
        <v>14776.995132936376</v>
      </c>
      <c r="H262" s="179">
        <f t="shared" si="42"/>
        <v>2.4840263467428417E-2</v>
      </c>
      <c r="I262" s="213">
        <f t="shared" si="43"/>
        <v>1.1738818442719989</v>
      </c>
      <c r="J262" s="214">
        <f t="shared" ca="1" si="44"/>
        <v>1.196803346955073</v>
      </c>
      <c r="K262" s="176">
        <f>DANE!O262</f>
        <v>738</v>
      </c>
      <c r="L262" s="188">
        <f t="shared" si="2"/>
        <v>43262</v>
      </c>
      <c r="M262" s="177">
        <f t="shared" ca="1" si="18"/>
        <v>1066.5714285714287</v>
      </c>
      <c r="N262" s="209">
        <f t="shared" si="62"/>
        <v>8035.6750249782608</v>
      </c>
      <c r="O262" s="179">
        <f t="shared" si="66"/>
        <v>-5.6175915424257296E-2</v>
      </c>
      <c r="P262" s="213">
        <f t="shared" si="67"/>
        <v>0.60676859203019884</v>
      </c>
      <c r="Q262" s="217">
        <f t="shared" ca="1" si="68"/>
        <v>0.86218407604399183</v>
      </c>
      <c r="R262" s="176">
        <f>DANE!S262</f>
        <v>1294</v>
      </c>
      <c r="S262" s="188">
        <f t="shared" si="3"/>
        <v>39176</v>
      </c>
      <c r="T262" s="177">
        <f t="shared" ca="1" si="19"/>
        <v>1153.4285714285713</v>
      </c>
      <c r="U262" s="209">
        <f t="shared" si="50"/>
        <v>8424.4156738505626</v>
      </c>
      <c r="V262" s="179">
        <f t="shared" si="55"/>
        <v>1.2693796649851969E-2</v>
      </c>
      <c r="W262" s="213">
        <f t="shared" si="56"/>
        <v>1.0888565765489637</v>
      </c>
      <c r="X262" s="214">
        <f t="shared" ca="1" si="57"/>
        <v>0.963714512432717</v>
      </c>
      <c r="Y262" s="176">
        <f>DANE!W262</f>
        <v>295</v>
      </c>
      <c r="Z262" s="188">
        <f t="shared" si="4"/>
        <v>15695</v>
      </c>
      <c r="AA262" s="177">
        <f t="shared" ca="1" si="20"/>
        <v>588.85714285714289</v>
      </c>
      <c r="AB262" s="209">
        <f t="shared" si="94"/>
        <v>3640.2104755668392</v>
      </c>
      <c r="AC262" s="179">
        <f t="shared" si="95"/>
        <v>-6.726933016075437E-2</v>
      </c>
      <c r="AD262" s="213">
        <f t="shared" si="96"/>
        <v>0.52911468887471935</v>
      </c>
      <c r="AE262" s="217">
        <f t="shared" ca="1" si="97"/>
        <v>1.1167296434565859</v>
      </c>
      <c r="AF262" s="176">
        <f>DANE!AA262</f>
        <v>1096</v>
      </c>
      <c r="AG262" s="188">
        <f t="shared" si="5"/>
        <v>51892</v>
      </c>
      <c r="AH262" s="177">
        <f t="shared" ca="1" si="21"/>
        <v>1369</v>
      </c>
      <c r="AI262" s="209">
        <f t="shared" si="37"/>
        <v>9479.0846913030309</v>
      </c>
      <c r="AJ262" s="179">
        <f t="shared" si="39"/>
        <v>-3.0794745061832988E-2</v>
      </c>
      <c r="AK262" s="213">
        <f t="shared" si="40"/>
        <v>0.78443678456716903</v>
      </c>
      <c r="AL262" s="214">
        <f t="shared" ca="1" si="41"/>
        <v>0.95398127882813555</v>
      </c>
      <c r="AM262" s="176">
        <f>DANE!AE262</f>
        <v>1724</v>
      </c>
      <c r="AN262" s="188">
        <f t="shared" si="6"/>
        <v>81005</v>
      </c>
      <c r="AO262" s="177">
        <f t="shared" ca="1" si="22"/>
        <v>2061.4285714285716</v>
      </c>
      <c r="AP262" s="209">
        <f t="shared" si="49"/>
        <v>14407.676202099268</v>
      </c>
      <c r="AQ262" s="179">
        <f t="shared" si="51"/>
        <v>-2.6351938674327897E-2</v>
      </c>
      <c r="AR262" s="213">
        <f t="shared" si="52"/>
        <v>0.81553642927970471</v>
      </c>
      <c r="AS262" s="217">
        <f t="shared" ca="1" si="53"/>
        <v>0.8985362697828706</v>
      </c>
      <c r="AT262" s="176">
        <f>DANE!AI262</f>
        <v>2272</v>
      </c>
      <c r="AU262" s="188">
        <f t="shared" si="7"/>
        <v>90775</v>
      </c>
      <c r="AV262" s="177">
        <f t="shared" ca="1" si="23"/>
        <v>1985.8571428571429</v>
      </c>
      <c r="AW262" s="209">
        <f t="shared" si="33"/>
        <v>15058.90571247765</v>
      </c>
      <c r="AX262" s="179">
        <f t="shared" si="34"/>
        <v>9.4415144738675631E-3</v>
      </c>
      <c r="AY262" s="213">
        <f t="shared" si="35"/>
        <v>1.066090601317073</v>
      </c>
      <c r="AZ262" s="214">
        <f t="shared" ca="1" si="36"/>
        <v>0.91062736331030847</v>
      </c>
      <c r="BA262" s="176">
        <f>DANE!AM262</f>
        <v>732</v>
      </c>
      <c r="BB262" s="188">
        <f t="shared" si="8"/>
        <v>21842</v>
      </c>
      <c r="BC262" s="177">
        <f t="shared" ca="1" si="24"/>
        <v>749.71428571428567</v>
      </c>
      <c r="BD262" s="209">
        <f t="shared" si="77"/>
        <v>4816.9561135154927</v>
      </c>
      <c r="BE262" s="179">
        <f t="shared" si="80"/>
        <v>1.0737792802670228E-2</v>
      </c>
      <c r="BF262" s="213">
        <f t="shared" si="81"/>
        <v>1.0751645496186917</v>
      </c>
      <c r="BG262" s="217">
        <f t="shared" ca="1" si="82"/>
        <v>1.1076172018462382</v>
      </c>
      <c r="BH262" s="176">
        <f>DANE!AQ262</f>
        <v>551</v>
      </c>
      <c r="BI262" s="188">
        <f t="shared" si="9"/>
        <v>42779</v>
      </c>
      <c r="BJ262" s="177">
        <f t="shared" ca="1" si="25"/>
        <v>1024.7142857142858</v>
      </c>
      <c r="BK262" s="209">
        <f t="shared" si="61"/>
        <v>7610.1631789039347</v>
      </c>
      <c r="BL262" s="179">
        <f t="shared" si="63"/>
        <v>-7.5953219216855813E-2</v>
      </c>
      <c r="BM262" s="213">
        <f t="shared" si="64"/>
        <v>0.46832746548200932</v>
      </c>
      <c r="BN262" s="214">
        <f t="shared" ca="1" si="65"/>
        <v>0.79382693680201932</v>
      </c>
      <c r="BO262" s="176">
        <f>DANE!AU262</f>
        <v>512</v>
      </c>
      <c r="BP262" s="188">
        <f t="shared" si="10"/>
        <v>19640</v>
      </c>
      <c r="BQ262" s="177">
        <f t="shared" ca="1" si="26"/>
        <v>632.28571428571433</v>
      </c>
      <c r="BR262" s="209">
        <f t="shared" si="78"/>
        <v>4267.0391092836499</v>
      </c>
      <c r="BS262" s="179">
        <f t="shared" si="83"/>
        <v>-2.5985618996805709E-2</v>
      </c>
      <c r="BT262" s="213">
        <f t="shared" si="84"/>
        <v>0.81810066702236006</v>
      </c>
      <c r="BU262" s="217">
        <f t="shared" ca="1" si="85"/>
        <v>1.0050197673420291</v>
      </c>
      <c r="BV262" s="176">
        <f>DANE!AY262</f>
        <v>1325</v>
      </c>
      <c r="BW262" s="188">
        <f t="shared" si="11"/>
        <v>41507</v>
      </c>
      <c r="BX262" s="177">
        <f t="shared" ca="1" si="27"/>
        <v>1227.4285714285713</v>
      </c>
      <c r="BY262" s="209">
        <f t="shared" si="69"/>
        <v>8387.2334143786757</v>
      </c>
      <c r="BZ262" s="179">
        <f t="shared" si="71"/>
        <v>1.7958029776768823E-2</v>
      </c>
      <c r="CA262" s="213">
        <f t="shared" si="72"/>
        <v>1.1257062084373817</v>
      </c>
      <c r="CB262" s="214">
        <f t="shared" ca="1" si="73"/>
        <v>1.0329356522481474</v>
      </c>
      <c r="CC262" s="176">
        <f>DANE!BC262</f>
        <v>2442</v>
      </c>
      <c r="CD262" s="188">
        <f t="shared" si="12"/>
        <v>104771</v>
      </c>
      <c r="CE262" s="177">
        <f t="shared" ca="1" si="28"/>
        <v>3515.8571428571427</v>
      </c>
      <c r="CF262" s="209">
        <f t="shared" si="45"/>
        <v>23192.007816489968</v>
      </c>
      <c r="CG262" s="179">
        <f t="shared" si="46"/>
        <v>-4.1982826295225907E-2</v>
      </c>
      <c r="CH262" s="213">
        <f t="shared" si="47"/>
        <v>0.70612021593341856</v>
      </c>
      <c r="CI262" s="217">
        <f t="shared" ca="1" si="48"/>
        <v>1.0380226093094487</v>
      </c>
      <c r="CJ262" s="176">
        <f>DANE!BG262</f>
        <v>624</v>
      </c>
      <c r="CK262" s="188">
        <f t="shared" si="13"/>
        <v>23362</v>
      </c>
      <c r="CL262" s="177">
        <f t="shared" ca="1" si="29"/>
        <v>788.28571428571433</v>
      </c>
      <c r="CM262" s="209">
        <f t="shared" si="79"/>
        <v>5152.0550682541443</v>
      </c>
      <c r="CN262" s="179">
        <f t="shared" si="86"/>
        <v>-2.4736418882960885E-2</v>
      </c>
      <c r="CO262" s="213">
        <f t="shared" si="87"/>
        <v>0.8268450678192738</v>
      </c>
      <c r="CP262" s="214">
        <f t="shared" ca="1" si="88"/>
        <v>1.1418762247713585</v>
      </c>
      <c r="CQ262" s="176">
        <f>DANE!BK262</f>
        <v>463</v>
      </c>
      <c r="CR262" s="188">
        <f t="shared" si="14"/>
        <v>20854</v>
      </c>
      <c r="CS262" s="177">
        <f t="shared" ca="1" si="30"/>
        <v>798.85714285714289</v>
      </c>
      <c r="CT262" s="209">
        <f t="shared" si="89"/>
        <v>5102.8040471745535</v>
      </c>
      <c r="CU262" s="179">
        <f t="shared" si="90"/>
        <v>-5.7323974037478374E-2</v>
      </c>
      <c r="CV262" s="213">
        <f t="shared" si="91"/>
        <v>0.59873218173765141</v>
      </c>
      <c r="CW262" s="217">
        <f t="shared" ca="1" si="92"/>
        <v>1.1868122999821513</v>
      </c>
      <c r="CX262" s="176">
        <f>DANE!BO262</f>
        <v>1475</v>
      </c>
      <c r="CY262" s="188">
        <f t="shared" si="15"/>
        <v>76760</v>
      </c>
      <c r="CZ262" s="177">
        <f t="shared" ca="1" si="31"/>
        <v>2419.8571428571427</v>
      </c>
      <c r="DA262" s="209">
        <f t="shared" si="54"/>
        <v>16361.512842370104</v>
      </c>
      <c r="DB262" s="179">
        <f t="shared" si="58"/>
        <v>-5.7928877408212766E-2</v>
      </c>
      <c r="DC262" s="213">
        <f t="shared" si="59"/>
        <v>0.59449785814251066</v>
      </c>
      <c r="DD262" s="214">
        <f t="shared" ca="1" si="60"/>
        <v>0.97401271586140148</v>
      </c>
      <c r="DE262" s="176">
        <f>DANE!BS262</f>
        <v>1191</v>
      </c>
      <c r="DF262" s="188">
        <f t="shared" si="16"/>
        <v>25711</v>
      </c>
      <c r="DG262" s="177">
        <f t="shared" ca="1" si="32"/>
        <v>1047.1428571428571</v>
      </c>
      <c r="DH262" s="209">
        <f t="shared" si="70"/>
        <v>6695.7103495487963</v>
      </c>
      <c r="DI262" s="179">
        <f t="shared" si="74"/>
        <v>4.259442099141085E-2</v>
      </c>
      <c r="DJ262" s="157">
        <f t="shared" si="75"/>
        <v>1.298160946939876</v>
      </c>
      <c r="DK262" s="225">
        <f t="shared" ca="1" si="76"/>
        <v>1.2861402868415621</v>
      </c>
      <c r="DL262" s="146"/>
      <c r="DM262" s="380"/>
      <c r="DN262" s="372"/>
      <c r="DO262" s="372"/>
      <c r="DP262" s="372"/>
      <c r="DQ262" s="372"/>
      <c r="DR262" s="372"/>
      <c r="DS262" s="372"/>
      <c r="DT262" s="89"/>
      <c r="DU262" s="89"/>
      <c r="DV262" s="89"/>
      <c r="DW262" s="146"/>
      <c r="DX262" s="146"/>
      <c r="DY262" s="146"/>
      <c r="DZ262" s="146"/>
      <c r="EA262" s="146"/>
      <c r="EB262" s="146"/>
      <c r="EC262" s="146"/>
      <c r="ED262" s="146"/>
      <c r="EE262" s="146"/>
      <c r="EF262" s="146"/>
      <c r="EG262" s="146"/>
      <c r="EH262" s="146"/>
    </row>
    <row r="263" spans="1:138" x14ac:dyDescent="0.25">
      <c r="A263" s="32">
        <v>44153</v>
      </c>
      <c r="B263" s="33">
        <f t="shared" ca="1" si="98"/>
        <v>44153</v>
      </c>
      <c r="C263" s="51">
        <f t="shared" si="93"/>
        <v>260</v>
      </c>
      <c r="D263" s="176">
        <f>DANE!K263</f>
        <v>2091</v>
      </c>
      <c r="E263" s="188">
        <f t="shared" si="1"/>
        <v>56000</v>
      </c>
      <c r="F263" s="178">
        <f t="shared" ca="1" si="17"/>
        <v>2253.2857142857142</v>
      </c>
      <c r="G263" s="209">
        <f t="shared" si="38"/>
        <v>14756.99582823118</v>
      </c>
      <c r="H263" s="179">
        <f t="shared" si="42"/>
        <v>-1.3534080863719985E-3</v>
      </c>
      <c r="I263" s="213">
        <f t="shared" si="43"/>
        <v>0.99052614339539602</v>
      </c>
      <c r="J263" s="214">
        <f t="shared" ca="1" si="44"/>
        <v>1.1206458950428495</v>
      </c>
      <c r="K263" s="176">
        <f>DANE!O263</f>
        <v>854</v>
      </c>
      <c r="L263" s="188">
        <f t="shared" si="2"/>
        <v>44116</v>
      </c>
      <c r="M263" s="177">
        <f t="shared" ca="1" si="18"/>
        <v>1075.4285714285713</v>
      </c>
      <c r="N263" s="209">
        <f t="shared" si="62"/>
        <v>7741.7214499813672</v>
      </c>
      <c r="O263" s="179">
        <f t="shared" si="66"/>
        <v>-3.658106806001514E-2</v>
      </c>
      <c r="P263" s="213">
        <f t="shared" si="67"/>
        <v>0.74393252357989392</v>
      </c>
      <c r="Q263" s="217">
        <f t="shared" ca="1" si="68"/>
        <v>0.88318156960454164</v>
      </c>
      <c r="R263" s="176">
        <f>DANE!S263</f>
        <v>627</v>
      </c>
      <c r="S263" s="188">
        <f t="shared" si="3"/>
        <v>39803</v>
      </c>
      <c r="T263" s="177">
        <f t="shared" ca="1" si="19"/>
        <v>1036</v>
      </c>
      <c r="U263" s="209">
        <f t="shared" si="50"/>
        <v>7847.9277204433401</v>
      </c>
      <c r="V263" s="179">
        <f t="shared" si="55"/>
        <v>-6.8430615929440011E-2</v>
      </c>
      <c r="W263" s="213">
        <f t="shared" si="56"/>
        <v>0.52098568849391991</v>
      </c>
      <c r="X263" s="214">
        <f t="shared" ca="1" si="57"/>
        <v>0.87337668713230909</v>
      </c>
      <c r="Y263" s="176">
        <f>DANE!W263</f>
        <v>586</v>
      </c>
      <c r="Z263" s="188">
        <f t="shared" si="4"/>
        <v>16281</v>
      </c>
      <c r="AA263" s="177">
        <f t="shared" ca="1" si="20"/>
        <v>559.57142857142856</v>
      </c>
      <c r="AB263" s="209">
        <f t="shared" si="94"/>
        <v>3706.1804076287194</v>
      </c>
      <c r="AC263" s="179">
        <f t="shared" si="95"/>
        <v>1.8122559809294433E-2</v>
      </c>
      <c r="AD263" s="213">
        <f t="shared" si="96"/>
        <v>1.1268579186650611</v>
      </c>
      <c r="AE263" s="217">
        <f t="shared" ca="1" si="97"/>
        <v>1.0360585135955915</v>
      </c>
      <c r="AF263" s="176">
        <f>DANE!AA263</f>
        <v>1154</v>
      </c>
      <c r="AG263" s="188">
        <f t="shared" si="5"/>
        <v>53046</v>
      </c>
      <c r="AH263" s="177">
        <f t="shared" ca="1" si="21"/>
        <v>1327.7142857142858</v>
      </c>
      <c r="AI263" s="209">
        <f t="shared" si="37"/>
        <v>9278.9297354025985</v>
      </c>
      <c r="AJ263" s="179">
        <f t="shared" si="39"/>
        <v>-2.1115430700189092E-2</v>
      </c>
      <c r="AK263" s="213">
        <f t="shared" si="40"/>
        <v>0.85219198509867633</v>
      </c>
      <c r="AL263" s="214">
        <f t="shared" ca="1" si="41"/>
        <v>0.93052991528976448</v>
      </c>
      <c r="AM263" s="176">
        <f>DANE!AE263</f>
        <v>1608</v>
      </c>
      <c r="AN263" s="188">
        <f t="shared" si="6"/>
        <v>82613</v>
      </c>
      <c r="AO263" s="177">
        <f t="shared" ca="1" si="22"/>
        <v>1870.1428571428571</v>
      </c>
      <c r="AP263" s="209">
        <f t="shared" si="49"/>
        <v>13957.436744656517</v>
      </c>
      <c r="AQ263" s="179">
        <f t="shared" si="51"/>
        <v>-3.1249970580068193E-2</v>
      </c>
      <c r="AR263" s="213">
        <f t="shared" si="52"/>
        <v>0.78125020593952266</v>
      </c>
      <c r="AS263" s="217">
        <f t="shared" ca="1" si="53"/>
        <v>0.82601049735919274</v>
      </c>
      <c r="AT263" s="176">
        <f>DANE!AI263</f>
        <v>3340</v>
      </c>
      <c r="AU263" s="188">
        <f t="shared" si="7"/>
        <v>94115</v>
      </c>
      <c r="AV263" s="177">
        <f t="shared" ca="1" si="23"/>
        <v>2180.7142857142858</v>
      </c>
      <c r="AW263" s="209">
        <f t="shared" si="33"/>
        <v>16247.633467837986</v>
      </c>
      <c r="AX263" s="179">
        <f t="shared" si="34"/>
        <v>7.8938521699844957E-2</v>
      </c>
      <c r="AY263" s="213">
        <f t="shared" si="35"/>
        <v>1.5525696518989147</v>
      </c>
      <c r="AZ263" s="214">
        <f t="shared" ca="1" si="36"/>
        <v>1.012837343874547</v>
      </c>
      <c r="BA263" s="176">
        <f>DANE!AM263</f>
        <v>861</v>
      </c>
      <c r="BB263" s="188">
        <f t="shared" si="8"/>
        <v>22703</v>
      </c>
      <c r="BC263" s="177">
        <f t="shared" ca="1" si="24"/>
        <v>742.71428571428567</v>
      </c>
      <c r="BD263" s="209">
        <f t="shared" si="77"/>
        <v>4989.8195258704227</v>
      </c>
      <c r="BE263" s="179">
        <f t="shared" si="80"/>
        <v>3.5886441205039643E-2</v>
      </c>
      <c r="BF263" s="213">
        <f t="shared" si="81"/>
        <v>1.2512050884352774</v>
      </c>
      <c r="BG263" s="217">
        <f t="shared" ca="1" si="82"/>
        <v>1.0768406099714321</v>
      </c>
      <c r="BH263" s="176">
        <f>DANE!AQ263</f>
        <v>777</v>
      </c>
      <c r="BI263" s="188">
        <f t="shared" si="9"/>
        <v>43556</v>
      </c>
      <c r="BJ263" s="177">
        <f t="shared" ca="1" si="25"/>
        <v>971.14285714285711</v>
      </c>
      <c r="BK263" s="209">
        <f t="shared" si="61"/>
        <v>7299.9970104890872</v>
      </c>
      <c r="BL263" s="179">
        <f t="shared" si="63"/>
        <v>-4.0756835447977834E-2</v>
      </c>
      <c r="BM263" s="213">
        <f t="shared" si="64"/>
        <v>0.7147021518641552</v>
      </c>
      <c r="BN263" s="214">
        <f t="shared" ca="1" si="65"/>
        <v>0.77339963154499169</v>
      </c>
      <c r="BO263" s="176">
        <f>DANE!AU263</f>
        <v>480</v>
      </c>
      <c r="BP263" s="188">
        <f t="shared" si="10"/>
        <v>20120</v>
      </c>
      <c r="BQ263" s="177">
        <f t="shared" ca="1" si="26"/>
        <v>606.28571428571433</v>
      </c>
      <c r="BR263" s="209">
        <f t="shared" si="78"/>
        <v>4137.4620936717001</v>
      </c>
      <c r="BS263" s="179">
        <f t="shared" si="83"/>
        <v>-3.0366962264309572E-2</v>
      </c>
      <c r="BT263" s="213">
        <f t="shared" si="84"/>
        <v>0.787431264149833</v>
      </c>
      <c r="BU263" s="217">
        <f t="shared" ca="1" si="85"/>
        <v>0.96247851074520763</v>
      </c>
      <c r="BV263" s="176">
        <f>DANE!AY263</f>
        <v>1313</v>
      </c>
      <c r="BW263" s="188">
        <f t="shared" si="11"/>
        <v>42820</v>
      </c>
      <c r="BX263" s="177">
        <f t="shared" ca="1" si="27"/>
        <v>1226.2857142857142</v>
      </c>
      <c r="BY263" s="209">
        <f t="shared" si="69"/>
        <v>8502.0572123245802</v>
      </c>
      <c r="BZ263" s="179">
        <f t="shared" si="71"/>
        <v>1.3690306716521808E-2</v>
      </c>
      <c r="CA263" s="213">
        <f t="shared" si="72"/>
        <v>1.0958321470156527</v>
      </c>
      <c r="CB263" s="214">
        <f t="shared" ca="1" si="73"/>
        <v>1.0269264539149314</v>
      </c>
      <c r="CC263" s="176">
        <f>DANE!BC263</f>
        <v>2214</v>
      </c>
      <c r="CD263" s="188">
        <f t="shared" si="12"/>
        <v>106985</v>
      </c>
      <c r="CE263" s="177">
        <f t="shared" ca="1" si="28"/>
        <v>3251.2857142857142</v>
      </c>
      <c r="CF263" s="209">
        <f t="shared" si="45"/>
        <v>22092.863842705687</v>
      </c>
      <c r="CG263" s="179">
        <f t="shared" si="46"/>
        <v>-4.7393221944447964E-2</v>
      </c>
      <c r="CH263" s="213">
        <f t="shared" si="47"/>
        <v>0.66824744638886424</v>
      </c>
      <c r="CI263" s="217">
        <f t="shared" ca="1" si="48"/>
        <v>0.95176553591415114</v>
      </c>
      <c r="CJ263" s="176">
        <f>DANE!BG263</f>
        <v>870</v>
      </c>
      <c r="CK263" s="188">
        <f t="shared" si="13"/>
        <v>24232</v>
      </c>
      <c r="CL263" s="177">
        <f t="shared" ca="1" si="29"/>
        <v>841.14285714285711</v>
      </c>
      <c r="CM263" s="209">
        <f t="shared" si="79"/>
        <v>5286.0472013606959</v>
      </c>
      <c r="CN263" s="179">
        <f t="shared" si="86"/>
        <v>2.6007511824200465E-2</v>
      </c>
      <c r="CO263" s="213">
        <f t="shared" si="87"/>
        <v>1.1820525827694033</v>
      </c>
      <c r="CP263" s="214">
        <f t="shared" ca="1" si="88"/>
        <v>1.1998339598910399</v>
      </c>
      <c r="CQ263" s="176">
        <f>DANE!BK263</f>
        <v>788</v>
      </c>
      <c r="CR263" s="188">
        <f t="shared" si="14"/>
        <v>21642</v>
      </c>
      <c r="CS263" s="177">
        <f t="shared" ca="1" si="30"/>
        <v>823.14285714285711</v>
      </c>
      <c r="CT263" s="209">
        <f t="shared" si="89"/>
        <v>5161.8320404353317</v>
      </c>
      <c r="CU263" s="179">
        <f t="shared" si="90"/>
        <v>1.1567756220908047E-2</v>
      </c>
      <c r="CV263" s="213">
        <f t="shared" si="91"/>
        <v>1.0809742935463564</v>
      </c>
      <c r="CW263" s="217">
        <f t="shared" ca="1" si="92"/>
        <v>1.1965017346974267</v>
      </c>
      <c r="CX263" s="176">
        <f>DANE!BO263</f>
        <v>1174</v>
      </c>
      <c r="CY263" s="188">
        <f t="shared" si="15"/>
        <v>77934</v>
      </c>
      <c r="CZ263" s="177">
        <f t="shared" ca="1" si="31"/>
        <v>2147.4285714285716</v>
      </c>
      <c r="DA263" s="209">
        <f t="shared" si="54"/>
        <v>15198.153864888662</v>
      </c>
      <c r="DB263" s="179">
        <f t="shared" si="58"/>
        <v>-7.1103386874396157E-2</v>
      </c>
      <c r="DC263" s="213">
        <f t="shared" si="59"/>
        <v>0.50227629187922695</v>
      </c>
      <c r="DD263" s="214">
        <f t="shared" ca="1" si="60"/>
        <v>0.86288880560786985</v>
      </c>
      <c r="DE263" s="176">
        <f>DANE!BS263</f>
        <v>1146</v>
      </c>
      <c r="DF263" s="188">
        <f t="shared" si="16"/>
        <v>26857</v>
      </c>
      <c r="DG263" s="177">
        <f t="shared" ca="1" si="32"/>
        <v>1089.1428571428571</v>
      </c>
      <c r="DH263" s="209">
        <f t="shared" si="70"/>
        <v>6885.1802996132546</v>
      </c>
      <c r="DI263" s="179">
        <f t="shared" si="74"/>
        <v>2.8297214212264443E-2</v>
      </c>
      <c r="DJ263" s="157">
        <f t="shared" si="75"/>
        <v>1.1980804994858512</v>
      </c>
      <c r="DK263" s="225">
        <f t="shared" ca="1" si="76"/>
        <v>1.2893686767839958</v>
      </c>
      <c r="DL263" s="146"/>
      <c r="DM263" s="88"/>
      <c r="DN263" s="88"/>
      <c r="DO263" s="88"/>
      <c r="DP263" s="88"/>
      <c r="DQ263" s="88"/>
      <c r="DR263" s="88"/>
      <c r="DS263" s="88"/>
      <c r="DT263" s="88"/>
      <c r="DU263" s="88"/>
      <c r="DV263" s="88"/>
      <c r="DW263" s="146"/>
      <c r="DX263" s="146"/>
      <c r="DY263" s="146"/>
      <c r="DZ263" s="146"/>
      <c r="EA263" s="146"/>
      <c r="EB263" s="146"/>
      <c r="EC263" s="146"/>
      <c r="ED263" s="146"/>
      <c r="EE263" s="146"/>
      <c r="EF263" s="146"/>
      <c r="EG263" s="146"/>
      <c r="EH263" s="146"/>
    </row>
    <row r="264" spans="1:138" x14ac:dyDescent="0.25">
      <c r="A264" s="32">
        <v>44154</v>
      </c>
      <c r="B264" s="33">
        <f t="shared" ca="1" si="98"/>
        <v>44154</v>
      </c>
      <c r="C264" s="51">
        <f t="shared" si="93"/>
        <v>261</v>
      </c>
      <c r="D264" s="176">
        <f>DANE!K264</f>
        <v>1808</v>
      </c>
      <c r="E264" s="188">
        <f t="shared" si="1"/>
        <v>57808</v>
      </c>
      <c r="F264" s="178">
        <f t="shared" ca="1" si="17"/>
        <v>2247.7142857142858</v>
      </c>
      <c r="G264" s="209">
        <f t="shared" si="38"/>
        <v>14456.853567055297</v>
      </c>
      <c r="H264" s="179">
        <f t="shared" si="42"/>
        <v>-2.0338981230969055E-2</v>
      </c>
      <c r="I264" s="213">
        <f t="shared" si="43"/>
        <v>0.85762713138321667</v>
      </c>
      <c r="J264" s="214">
        <f t="shared" ca="1" si="44"/>
        <v>1.1026001814539532</v>
      </c>
      <c r="K264" s="176">
        <f>DANE!O264</f>
        <v>940</v>
      </c>
      <c r="L264" s="188">
        <f t="shared" si="2"/>
        <v>45056</v>
      </c>
      <c r="M264" s="177">
        <f t="shared" ca="1" si="18"/>
        <v>1055</v>
      </c>
      <c r="N264" s="209">
        <f t="shared" si="62"/>
        <v>7575.7612428411721</v>
      </c>
      <c r="O264" s="179">
        <f t="shared" si="66"/>
        <v>-2.1437119407156466E-2</v>
      </c>
      <c r="P264" s="213">
        <f t="shared" si="67"/>
        <v>0.8499401641499047</v>
      </c>
      <c r="Q264" s="217">
        <f t="shared" ca="1" si="68"/>
        <v>0.88086501980449139</v>
      </c>
      <c r="R264" s="176">
        <f>DANE!S264</f>
        <v>1108</v>
      </c>
      <c r="S264" s="188">
        <f t="shared" si="3"/>
        <v>40911</v>
      </c>
      <c r="T264" s="177">
        <f t="shared" ca="1" si="19"/>
        <v>1075.5714285714287</v>
      </c>
      <c r="U264" s="209">
        <f t="shared" si="50"/>
        <v>7834.7951889514352</v>
      </c>
      <c r="V264" s="179">
        <f t="shared" si="55"/>
        <v>-1.6733756935216882E-3</v>
      </c>
      <c r="W264" s="213">
        <f t="shared" si="56"/>
        <v>0.98828637014534815</v>
      </c>
      <c r="X264" s="214">
        <f t="shared" ca="1" si="57"/>
        <v>0.92209395188474319</v>
      </c>
      <c r="Y264" s="176">
        <f>DANE!W264</f>
        <v>641</v>
      </c>
      <c r="Z264" s="188">
        <f t="shared" si="4"/>
        <v>16922</v>
      </c>
      <c r="AA264" s="177">
        <f t="shared" ca="1" si="20"/>
        <v>552.85714285714289</v>
      </c>
      <c r="AB264" s="209">
        <f t="shared" si="94"/>
        <v>3817.7260636817596</v>
      </c>
      <c r="AC264" s="179">
        <f t="shared" si="95"/>
        <v>3.0097200833353134E-2</v>
      </c>
      <c r="AD264" s="213">
        <f t="shared" si="96"/>
        <v>1.2106804058334719</v>
      </c>
      <c r="AE264" s="217">
        <f t="shared" ca="1" si="97"/>
        <v>1.0177264572973246</v>
      </c>
      <c r="AF264" s="176">
        <f>DANE!AA264</f>
        <v>1288</v>
      </c>
      <c r="AG264" s="188">
        <f t="shared" si="5"/>
        <v>54334</v>
      </c>
      <c r="AH264" s="177">
        <f t="shared" ca="1" si="21"/>
        <v>1293.4285714285713</v>
      </c>
      <c r="AI264" s="209">
        <f t="shared" si="37"/>
        <v>9241.3683446307987</v>
      </c>
      <c r="AJ264" s="179">
        <f t="shared" si="39"/>
        <v>-4.048030521072811E-3</v>
      </c>
      <c r="AK264" s="213">
        <f t="shared" si="40"/>
        <v>0.97166378635249029</v>
      </c>
      <c r="AL264" s="214">
        <f t="shared" ca="1" si="41"/>
        <v>0.91595164787140093</v>
      </c>
      <c r="AM264" s="176">
        <f>DANE!AE264</f>
        <v>1670</v>
      </c>
      <c r="AN264" s="188">
        <f t="shared" si="6"/>
        <v>84283</v>
      </c>
      <c r="AO264" s="177">
        <f t="shared" ca="1" si="22"/>
        <v>1804.1428571428571</v>
      </c>
      <c r="AP264" s="209">
        <f t="shared" si="49"/>
        <v>13633.517209705587</v>
      </c>
      <c r="AQ264" s="179">
        <f t="shared" si="51"/>
        <v>-2.3207666341381758E-2</v>
      </c>
      <c r="AR264" s="213">
        <f t="shared" si="52"/>
        <v>0.83754633561032765</v>
      </c>
      <c r="AS264" s="217">
        <f t="shared" ca="1" si="53"/>
        <v>0.81772985981173629</v>
      </c>
      <c r="AT264" s="176">
        <f>DANE!AI264</f>
        <v>3041</v>
      </c>
      <c r="AU264" s="188">
        <f t="shared" si="7"/>
        <v>97156</v>
      </c>
      <c r="AV264" s="177">
        <f t="shared" ca="1" si="23"/>
        <v>2365.7142857142858</v>
      </c>
      <c r="AW264" s="209">
        <f t="shared" si="33"/>
        <v>16967.542972432559</v>
      </c>
      <c r="AX264" s="179">
        <f t="shared" si="34"/>
        <v>4.430857613938826E-2</v>
      </c>
      <c r="AY264" s="213">
        <f t="shared" si="35"/>
        <v>1.3101600329757179</v>
      </c>
      <c r="AZ264" s="214">
        <f t="shared" ca="1" si="36"/>
        <v>1.0918191681164595</v>
      </c>
      <c r="BA264" s="176">
        <f>DANE!AM264</f>
        <v>682</v>
      </c>
      <c r="BB264" s="188">
        <f t="shared" si="8"/>
        <v>23385</v>
      </c>
      <c r="BC264" s="177">
        <f t="shared" ca="1" si="24"/>
        <v>719.57142857142856</v>
      </c>
      <c r="BD264" s="209">
        <f t="shared" si="77"/>
        <v>4958.9881650317911</v>
      </c>
      <c r="BE264" s="179">
        <f t="shared" si="80"/>
        <v>-6.1788528981423108E-3</v>
      </c>
      <c r="BF264" s="213">
        <f t="shared" si="81"/>
        <v>0.95674802971300377</v>
      </c>
      <c r="BG264" s="217">
        <f t="shared" ca="1" si="82"/>
        <v>1.0313393351510265</v>
      </c>
      <c r="BH264" s="176">
        <f>DANE!AQ264</f>
        <v>1096</v>
      </c>
      <c r="BI264" s="188">
        <f t="shared" si="9"/>
        <v>44652</v>
      </c>
      <c r="BJ264" s="177">
        <f t="shared" ca="1" si="25"/>
        <v>945.42857142857144</v>
      </c>
      <c r="BK264" s="209">
        <f t="shared" si="61"/>
        <v>7353.1402947049328</v>
      </c>
      <c r="BL264" s="179">
        <f t="shared" si="63"/>
        <v>7.2799049286576475E-3</v>
      </c>
      <c r="BM264" s="213">
        <f t="shared" si="64"/>
        <v>1.0509593345006036</v>
      </c>
      <c r="BN264" s="214">
        <f t="shared" ca="1" si="65"/>
        <v>0.78500402683771231</v>
      </c>
      <c r="BO264" s="176">
        <f>DANE!AU264</f>
        <v>517</v>
      </c>
      <c r="BP264" s="188">
        <f t="shared" si="10"/>
        <v>20637</v>
      </c>
      <c r="BQ264" s="177">
        <f t="shared" ca="1" si="26"/>
        <v>545.42857142857144</v>
      </c>
      <c r="BR264" s="209">
        <f t="shared" si="78"/>
        <v>4063.3960802900287</v>
      </c>
      <c r="BS264" s="179">
        <f t="shared" si="83"/>
        <v>-1.7901315276085857E-2</v>
      </c>
      <c r="BT264" s="213">
        <f t="shared" si="84"/>
        <v>0.87469079306739905</v>
      </c>
      <c r="BU264" s="217">
        <f t="shared" ca="1" si="85"/>
        <v>0.86925271291802608</v>
      </c>
      <c r="BV264" s="176">
        <f>DANE!AY264</f>
        <v>1499</v>
      </c>
      <c r="BW264" s="188">
        <f t="shared" si="11"/>
        <v>44319</v>
      </c>
      <c r="BX264" s="177">
        <f t="shared" ca="1" si="27"/>
        <v>1281.2857142857142</v>
      </c>
      <c r="BY264" s="209">
        <f t="shared" si="69"/>
        <v>8786.4776105639266</v>
      </c>
      <c r="BZ264" s="179">
        <f t="shared" si="71"/>
        <v>3.3453126829945432E-2</v>
      </c>
      <c r="CA264" s="213">
        <f t="shared" si="72"/>
        <v>1.234171887809618</v>
      </c>
      <c r="CB264" s="214">
        <f t="shared" ca="1" si="73"/>
        <v>1.0688009347838112</v>
      </c>
      <c r="CC264" s="176">
        <f>DANE!BC264</f>
        <v>4377</v>
      </c>
      <c r="CD264" s="188">
        <f t="shared" si="12"/>
        <v>111362</v>
      </c>
      <c r="CE264" s="177">
        <f t="shared" ca="1" si="28"/>
        <v>3317.8571428571427</v>
      </c>
      <c r="CF264" s="209">
        <f t="shared" si="45"/>
        <v>23313.740436604876</v>
      </c>
      <c r="CG264" s="179">
        <f t="shared" si="46"/>
        <v>5.5261128778570784E-2</v>
      </c>
      <c r="CH264" s="213">
        <f t="shared" si="47"/>
        <v>1.3868279014499956</v>
      </c>
      <c r="CI264" s="217">
        <f t="shared" ca="1" si="48"/>
        <v>0.98162922114360363</v>
      </c>
      <c r="CJ264" s="176">
        <f>DANE!BG264</f>
        <v>945</v>
      </c>
      <c r="CK264" s="188">
        <f t="shared" si="13"/>
        <v>25177</v>
      </c>
      <c r="CL264" s="177">
        <f t="shared" ca="1" si="29"/>
        <v>858.28571428571433</v>
      </c>
      <c r="CM264" s="209">
        <f t="shared" si="79"/>
        <v>5475.8976011663108</v>
      </c>
      <c r="CN264" s="179">
        <f t="shared" si="86"/>
        <v>3.5915381110623638E-2</v>
      </c>
      <c r="CO264" s="213">
        <f t="shared" si="87"/>
        <v>1.2514076677743655</v>
      </c>
      <c r="CP264" s="214">
        <f t="shared" ca="1" si="88"/>
        <v>1.1895703189007321</v>
      </c>
      <c r="CQ264" s="176">
        <f>DANE!BK264</f>
        <v>1025</v>
      </c>
      <c r="CR264" s="188">
        <f t="shared" si="14"/>
        <v>22667</v>
      </c>
      <c r="CS264" s="177">
        <f t="shared" ca="1" si="30"/>
        <v>838.85714285714289</v>
      </c>
      <c r="CT264" s="209">
        <f t="shared" si="89"/>
        <v>5449.427463230285</v>
      </c>
      <c r="CU264" s="179">
        <f t="shared" si="90"/>
        <v>5.5715765360451058E-2</v>
      </c>
      <c r="CV264" s="213">
        <f t="shared" si="91"/>
        <v>1.3900103575231575</v>
      </c>
      <c r="CW264" s="217">
        <f t="shared" ca="1" si="92"/>
        <v>1.1811835998831133</v>
      </c>
      <c r="CX264" s="176">
        <f>DANE!BO264</f>
        <v>2153</v>
      </c>
      <c r="CY264" s="188">
        <f t="shared" si="15"/>
        <v>80087</v>
      </c>
      <c r="CZ264" s="177">
        <f t="shared" ca="1" si="31"/>
        <v>2136.1428571428573</v>
      </c>
      <c r="DA264" s="209">
        <f t="shared" si="54"/>
        <v>15179.989027047426</v>
      </c>
      <c r="DB264" s="179">
        <f t="shared" si="58"/>
        <v>-1.1952002856873722E-3</v>
      </c>
      <c r="DC264" s="213">
        <f t="shared" si="59"/>
        <v>0.99163359800018835</v>
      </c>
      <c r="DD264" s="214">
        <f t="shared" ca="1" si="60"/>
        <v>0.87716487942153465</v>
      </c>
      <c r="DE264" s="176">
        <f>DANE!BS264</f>
        <v>1185</v>
      </c>
      <c r="DF264" s="188">
        <f t="shared" si="16"/>
        <v>28042</v>
      </c>
      <c r="DG264" s="177">
        <f t="shared" ca="1" si="32"/>
        <v>1148.7142857142858</v>
      </c>
      <c r="DH264" s="209">
        <f t="shared" si="70"/>
        <v>7086.5831139542188</v>
      </c>
      <c r="DI264" s="179">
        <f t="shared" si="74"/>
        <v>2.9251639837561998E-2</v>
      </c>
      <c r="DJ264" s="157">
        <f t="shared" si="75"/>
        <v>1.2047614788629339</v>
      </c>
      <c r="DK264" s="225">
        <f t="shared" ca="1" si="76"/>
        <v>1.3138094373156457</v>
      </c>
      <c r="DL264" s="146"/>
      <c r="DM264" s="371"/>
      <c r="DN264" s="372"/>
      <c r="DO264" s="372"/>
      <c r="DP264" s="372"/>
      <c r="DQ264" s="372"/>
      <c r="DR264" s="372"/>
      <c r="DS264" s="372"/>
      <c r="DT264" s="372"/>
      <c r="DU264" s="372"/>
      <c r="DV264" s="372"/>
      <c r="DW264" s="146"/>
      <c r="DX264" s="146"/>
      <c r="DY264" s="146"/>
      <c r="DZ264" s="146"/>
      <c r="EA264" s="146"/>
      <c r="EB264" s="146"/>
      <c r="EC264" s="146"/>
      <c r="ED264" s="146"/>
      <c r="EE264" s="146"/>
      <c r="EF264" s="146"/>
      <c r="EG264" s="146"/>
      <c r="EH264" s="146"/>
    </row>
    <row r="265" spans="1:138" x14ac:dyDescent="0.25">
      <c r="A265" s="32">
        <v>44155</v>
      </c>
      <c r="B265" s="33">
        <f t="shared" ca="1" si="98"/>
        <v>44155</v>
      </c>
      <c r="C265" s="51">
        <f t="shared" si="93"/>
        <v>262</v>
      </c>
      <c r="D265" s="176">
        <f>DANE!K265</f>
        <v>1626</v>
      </c>
      <c r="E265" s="188">
        <f t="shared" si="1"/>
        <v>59434</v>
      </c>
      <c r="F265" s="178">
        <f t="shared" ca="1" si="17"/>
        <v>2076.7142857142858</v>
      </c>
      <c r="G265" s="209">
        <f t="shared" si="38"/>
        <v>14017.588771761684</v>
      </c>
      <c r="H265" s="179">
        <f t="shared" si="42"/>
        <v>-3.0384536528378667E-2</v>
      </c>
      <c r="I265" s="213">
        <f t="shared" si="43"/>
        <v>0.78730824430134927</v>
      </c>
      <c r="J265" s="214">
        <f t="shared" ca="1" si="44"/>
        <v>0.99973770001944084</v>
      </c>
      <c r="K265" s="176">
        <f>DANE!O265</f>
        <v>1431</v>
      </c>
      <c r="L265" s="188">
        <f t="shared" si="2"/>
        <v>46487</v>
      </c>
      <c r="M265" s="177">
        <f t="shared" ca="1" si="18"/>
        <v>1076.7142857142858</v>
      </c>
      <c r="N265" s="209">
        <f t="shared" si="62"/>
        <v>7924.5096367210053</v>
      </c>
      <c r="O265" s="179">
        <f t="shared" si="66"/>
        <v>4.6034765708777868E-2</v>
      </c>
      <c r="P265" s="213">
        <f t="shared" si="67"/>
        <v>1.3222433599614452</v>
      </c>
      <c r="Q265" s="217">
        <f t="shared" ca="1" si="68"/>
        <v>0.9207781031965937</v>
      </c>
      <c r="R265" s="176">
        <f>DANE!S265</f>
        <v>675</v>
      </c>
      <c r="S265" s="188">
        <f t="shared" si="3"/>
        <v>41586</v>
      </c>
      <c r="T265" s="177">
        <f t="shared" ca="1" si="19"/>
        <v>1096.8571428571429</v>
      </c>
      <c r="U265" s="209">
        <f t="shared" si="50"/>
        <v>7390.5387333869448</v>
      </c>
      <c r="V265" s="179">
        <f t="shared" si="55"/>
        <v>-5.6703008164269209E-2</v>
      </c>
      <c r="W265" s="213">
        <f t="shared" si="56"/>
        <v>0.60307894285011554</v>
      </c>
      <c r="X265" s="214">
        <f t="shared" ca="1" si="57"/>
        <v>0.94661354580979495</v>
      </c>
      <c r="Y265" s="176">
        <f>DANE!W265</f>
        <v>562</v>
      </c>
      <c r="Z265" s="188">
        <f t="shared" si="4"/>
        <v>17484</v>
      </c>
      <c r="AA265" s="177">
        <f t="shared" ca="1" si="20"/>
        <v>548.57142857142856</v>
      </c>
      <c r="AB265" s="209">
        <f t="shared" si="94"/>
        <v>3834.3366260129369</v>
      </c>
      <c r="AC265" s="179">
        <f t="shared" si="95"/>
        <v>4.3509047150329981E-3</v>
      </c>
      <c r="AD265" s="213">
        <f t="shared" si="96"/>
        <v>1.030456333005231</v>
      </c>
      <c r="AE265" s="217">
        <f t="shared" ca="1" si="97"/>
        <v>1.0079422487975465</v>
      </c>
      <c r="AF265" s="176">
        <f>DANE!AA265</f>
        <v>1472</v>
      </c>
      <c r="AG265" s="188">
        <f t="shared" si="5"/>
        <v>55806</v>
      </c>
      <c r="AH265" s="177">
        <f t="shared" ca="1" si="21"/>
        <v>1281.2857142857142</v>
      </c>
      <c r="AI265" s="209">
        <f t="shared" si="37"/>
        <v>9393.1728668264004</v>
      </c>
      <c r="AJ265" s="179">
        <f t="shared" si="39"/>
        <v>1.6426628236693934E-2</v>
      </c>
      <c r="AK265" s="213">
        <f t="shared" si="40"/>
        <v>1.1149863976568575</v>
      </c>
      <c r="AL265" s="214">
        <f t="shared" ca="1" si="41"/>
        <v>0.92056560111939423</v>
      </c>
      <c r="AM265" s="176">
        <f>DANE!AE265</f>
        <v>1999</v>
      </c>
      <c r="AN265" s="188">
        <f t="shared" si="6"/>
        <v>86282</v>
      </c>
      <c r="AO265" s="177">
        <f t="shared" ca="1" si="22"/>
        <v>1765.2857142857142</v>
      </c>
      <c r="AP265" s="209">
        <f t="shared" si="49"/>
        <v>13684.871894033362</v>
      </c>
      <c r="AQ265" s="179">
        <f t="shared" si="51"/>
        <v>3.7667964574259346E-3</v>
      </c>
      <c r="AR265" s="213">
        <f t="shared" si="52"/>
        <v>1.0263675752019816</v>
      </c>
      <c r="AS265" s="217">
        <f t="shared" ca="1" si="53"/>
        <v>0.82601808446048219</v>
      </c>
      <c r="AT265" s="176">
        <f>DANE!AI265</f>
        <v>2679</v>
      </c>
      <c r="AU265" s="188">
        <f t="shared" si="7"/>
        <v>99835</v>
      </c>
      <c r="AV265" s="177">
        <f t="shared" ca="1" si="23"/>
        <v>2547</v>
      </c>
      <c r="AW265" s="209">
        <f t="shared" si="33"/>
        <v>17222.60826208505</v>
      </c>
      <c r="AX265" s="179">
        <f t="shared" si="34"/>
        <v>1.5032541250486316E-2</v>
      </c>
      <c r="AY265" s="213">
        <f t="shared" si="35"/>
        <v>1.1052277887534041</v>
      </c>
      <c r="AZ265" s="214">
        <f t="shared" ca="1" si="36"/>
        <v>1.159205817115043</v>
      </c>
      <c r="BA265" s="176">
        <f>DANE!AM265</f>
        <v>792</v>
      </c>
      <c r="BB265" s="188">
        <f t="shared" si="8"/>
        <v>24177</v>
      </c>
      <c r="BC265" s="177">
        <f t="shared" ca="1" si="24"/>
        <v>718.14285714285711</v>
      </c>
      <c r="BD265" s="209">
        <f t="shared" si="77"/>
        <v>5042.5612843129638</v>
      </c>
      <c r="BE265" s="179">
        <f t="shared" si="80"/>
        <v>1.6852857175680903E-2</v>
      </c>
      <c r="BF265" s="213">
        <f t="shared" si="81"/>
        <v>1.1179700002297663</v>
      </c>
      <c r="BG265" s="217">
        <f t="shared" ca="1" si="82"/>
        <v>1.0244852801784394</v>
      </c>
      <c r="BH265" s="176">
        <f>DANE!AQ265</f>
        <v>840</v>
      </c>
      <c r="BI265" s="188">
        <f t="shared" si="9"/>
        <v>45492</v>
      </c>
      <c r="BJ265" s="177">
        <f t="shared" ca="1" si="25"/>
        <v>884.85714285714289</v>
      </c>
      <c r="BK265" s="209">
        <f t="shared" si="61"/>
        <v>7142.6916811756573</v>
      </c>
      <c r="BL265" s="179">
        <f t="shared" si="63"/>
        <v>-2.8620236401693783E-2</v>
      </c>
      <c r="BM265" s="213">
        <f t="shared" si="64"/>
        <v>0.79965834518814349</v>
      </c>
      <c r="BN265" s="214">
        <f t="shared" ca="1" si="65"/>
        <v>0.76141506909215351</v>
      </c>
      <c r="BO265" s="176">
        <f>DANE!AU265</f>
        <v>722</v>
      </c>
      <c r="BP265" s="188">
        <f t="shared" si="10"/>
        <v>21359</v>
      </c>
      <c r="BQ265" s="177">
        <f t="shared" ca="1" si="26"/>
        <v>591.14285714285711</v>
      </c>
      <c r="BR265" s="209">
        <f t="shared" si="78"/>
        <v>4204.9109259628822</v>
      </c>
      <c r="BS265" s="179">
        <f t="shared" si="83"/>
        <v>3.4826741690106827E-2</v>
      </c>
      <c r="BT265" s="213">
        <f t="shared" si="84"/>
        <v>1.2437871918307477</v>
      </c>
      <c r="BU265" s="217">
        <f t="shared" ca="1" si="85"/>
        <v>0.96044119985455112</v>
      </c>
      <c r="BV265" s="176">
        <f>DANE!AY265</f>
        <v>1551</v>
      </c>
      <c r="BW265" s="188">
        <f t="shared" si="11"/>
        <v>45870</v>
      </c>
      <c r="BX265" s="177">
        <f t="shared" ca="1" si="27"/>
        <v>1299.8571428571429</v>
      </c>
      <c r="BY265" s="209">
        <f t="shared" si="69"/>
        <v>9082.2665233405096</v>
      </c>
      <c r="BZ265" s="179">
        <f t="shared" si="71"/>
        <v>3.3664105900748871E-2</v>
      </c>
      <c r="CA265" s="213">
        <f t="shared" si="72"/>
        <v>1.2356487413052422</v>
      </c>
      <c r="CB265" s="214">
        <f t="shared" ca="1" si="73"/>
        <v>1.0723817189284357</v>
      </c>
      <c r="CC265" s="176">
        <f>DANE!BC265</f>
        <v>2666</v>
      </c>
      <c r="CD265" s="188">
        <f t="shared" si="12"/>
        <v>114028</v>
      </c>
      <c r="CE265" s="177">
        <f t="shared" ca="1" si="28"/>
        <v>3150</v>
      </c>
      <c r="CF265" s="209">
        <f t="shared" si="45"/>
        <v>22649.206088518466</v>
      </c>
      <c r="CG265" s="179">
        <f t="shared" si="46"/>
        <v>-2.8503978153716841E-2</v>
      </c>
      <c r="CH265" s="213">
        <f t="shared" si="47"/>
        <v>0.80047215292398211</v>
      </c>
      <c r="CI265" s="217">
        <f t="shared" ca="1" si="48"/>
        <v>0.93483206584858436</v>
      </c>
      <c r="CJ265" s="176">
        <f>DANE!BG265</f>
        <v>860</v>
      </c>
      <c r="CK265" s="188">
        <f t="shared" si="13"/>
        <v>26037</v>
      </c>
      <c r="CL265" s="177">
        <f t="shared" ca="1" si="29"/>
        <v>849.71428571428567</v>
      </c>
      <c r="CM265" s="209">
        <f t="shared" si="79"/>
        <v>5553.6265152854094</v>
      </c>
      <c r="CN265" s="179">
        <f t="shared" si="86"/>
        <v>1.4194734777827678E-2</v>
      </c>
      <c r="CO265" s="213">
        <f t="shared" si="87"/>
        <v>1.0993631434447937</v>
      </c>
      <c r="CP265" s="214">
        <f t="shared" ca="1" si="88"/>
        <v>1.1451232548458832</v>
      </c>
      <c r="CQ265" s="176">
        <f>DANE!BK265</f>
        <v>1055</v>
      </c>
      <c r="CR265" s="188">
        <f t="shared" si="14"/>
        <v>23722</v>
      </c>
      <c r="CS265" s="177">
        <f t="shared" ca="1" si="30"/>
        <v>883</v>
      </c>
      <c r="CT265" s="209">
        <f t="shared" si="89"/>
        <v>5725.9378256259588</v>
      </c>
      <c r="CU265" s="179">
        <f t="shared" si="90"/>
        <v>5.0741176804611578E-2</v>
      </c>
      <c r="CV265" s="213">
        <f t="shared" si="91"/>
        <v>1.355188237632281</v>
      </c>
      <c r="CW265" s="217">
        <f t="shared" ca="1" si="92"/>
        <v>1.211962157970738</v>
      </c>
      <c r="CX265" s="176">
        <f>DANE!BO265</f>
        <v>2258</v>
      </c>
      <c r="CY265" s="188">
        <f t="shared" si="15"/>
        <v>82345</v>
      </c>
      <c r="CZ265" s="177">
        <f t="shared" ca="1" si="31"/>
        <v>2049.2857142857142</v>
      </c>
      <c r="DA265" s="209">
        <f t="shared" si="54"/>
        <v>15269.419166040652</v>
      </c>
      <c r="DB265" s="179">
        <f t="shared" si="58"/>
        <v>5.8913177627389025E-3</v>
      </c>
      <c r="DC265" s="213">
        <f t="shared" si="59"/>
        <v>1.0412392243391724</v>
      </c>
      <c r="DD265" s="214">
        <f t="shared" ca="1" si="60"/>
        <v>0.8597730911037168</v>
      </c>
      <c r="DE265" s="176">
        <f>DANE!BS265</f>
        <v>1276</v>
      </c>
      <c r="DF265" s="188">
        <f t="shared" si="16"/>
        <v>29318</v>
      </c>
      <c r="DG265" s="177">
        <f t="shared" ca="1" si="32"/>
        <v>1140.8571428571429</v>
      </c>
      <c r="DH265" s="209">
        <f t="shared" si="70"/>
        <v>7350.2140976750452</v>
      </c>
      <c r="DI265" s="179">
        <f t="shared" si="74"/>
        <v>3.7201424082885529E-2</v>
      </c>
      <c r="DJ265" s="157">
        <f t="shared" si="75"/>
        <v>1.2604099685801988</v>
      </c>
      <c r="DK265" s="225">
        <f t="shared" ca="1" si="76"/>
        <v>1.2391738571886122</v>
      </c>
      <c r="DL265" s="146"/>
      <c r="DM265" s="371"/>
      <c r="DN265" s="372"/>
      <c r="DO265" s="372"/>
      <c r="DP265" s="372"/>
      <c r="DQ265" s="372"/>
      <c r="DR265" s="372"/>
      <c r="DS265" s="372"/>
      <c r="DT265" s="372"/>
      <c r="DU265" s="372"/>
      <c r="DV265" s="372"/>
      <c r="DW265" s="146"/>
      <c r="DX265" s="146"/>
      <c r="DY265" s="146"/>
      <c r="DZ265" s="146"/>
      <c r="EA265" s="146"/>
      <c r="EB265" s="146"/>
      <c r="EC265" s="146"/>
      <c r="ED265" s="146"/>
      <c r="EE265" s="146"/>
      <c r="EF265" s="146"/>
      <c r="EG265" s="146"/>
      <c r="EH265" s="146"/>
    </row>
    <row r="266" spans="1:138" x14ac:dyDescent="0.25">
      <c r="A266" s="61">
        <v>44156</v>
      </c>
      <c r="B266" s="62">
        <f t="shared" ca="1" si="98"/>
        <v>44156</v>
      </c>
      <c r="C266" s="12">
        <f t="shared" si="93"/>
        <v>263</v>
      </c>
      <c r="D266" s="176">
        <f>DANE!K266</f>
        <v>1792</v>
      </c>
      <c r="E266" s="198">
        <f t="shared" si="1"/>
        <v>61226</v>
      </c>
      <c r="F266" s="178">
        <f t="shared" ca="1" si="17"/>
        <v>1933.5714285714287</v>
      </c>
      <c r="G266" s="211">
        <f t="shared" si="38"/>
        <v>13807.076090081444</v>
      </c>
      <c r="H266" s="200">
        <f t="shared" si="42"/>
        <v>-1.5017752703968346E-2</v>
      </c>
      <c r="I266" s="213">
        <f t="shared" si="43"/>
        <v>0.89487573107222151</v>
      </c>
      <c r="J266" s="214">
        <f t="shared" ca="1" si="44"/>
        <v>0.92885691768585033</v>
      </c>
      <c r="K266" s="176">
        <f>DANE!O266</f>
        <v>1257</v>
      </c>
      <c r="L266" s="198">
        <f t="shared" si="2"/>
        <v>47744</v>
      </c>
      <c r="M266" s="177">
        <f t="shared" ca="1" si="18"/>
        <v>1119.8571428571429</v>
      </c>
      <c r="N266" s="211">
        <f t="shared" si="62"/>
        <v>8049.4368314751482</v>
      </c>
      <c r="O266" s="200">
        <f t="shared" si="66"/>
        <v>1.5764659326710732E-2</v>
      </c>
      <c r="P266" s="213">
        <f t="shared" si="67"/>
        <v>1.1103526152869752</v>
      </c>
      <c r="Q266" s="217">
        <f t="shared" ca="1" si="68"/>
        <v>0.96883765647192821</v>
      </c>
      <c r="R266" s="176">
        <f>DANE!S266</f>
        <v>1600</v>
      </c>
      <c r="S266" s="198">
        <f t="shared" si="3"/>
        <v>43186</v>
      </c>
      <c r="T266" s="177">
        <f t="shared" ca="1" si="19"/>
        <v>1102.1428571428571</v>
      </c>
      <c r="U266" s="211">
        <f t="shared" si="50"/>
        <v>7934.7474857602392</v>
      </c>
      <c r="V266" s="200">
        <f t="shared" si="55"/>
        <v>7.363587040208823E-2</v>
      </c>
      <c r="W266" s="213">
        <f t="shared" si="56"/>
        <v>1.5154510928146177</v>
      </c>
      <c r="X266" s="214">
        <f t="shared" ca="1" si="57"/>
        <v>0.96376993659152055</v>
      </c>
      <c r="Y266" s="176">
        <f>DANE!W266</f>
        <v>645</v>
      </c>
      <c r="Z266" s="198">
        <f t="shared" si="4"/>
        <v>18129</v>
      </c>
      <c r="AA266" s="177">
        <f t="shared" ca="1" si="20"/>
        <v>532.14285714285711</v>
      </c>
      <c r="AB266" s="211">
        <f t="shared" si="94"/>
        <v>3931.574250868232</v>
      </c>
      <c r="AC266" s="200">
        <f t="shared" si="95"/>
        <v>2.5359699562008925E-2</v>
      </c>
      <c r="AD266" s="213">
        <f t="shared" si="96"/>
        <v>1.1775178969340625</v>
      </c>
      <c r="AE266" s="217">
        <f t="shared" ca="1" si="97"/>
        <v>0.97742412000964662</v>
      </c>
      <c r="AF266" s="176">
        <f>DANE!AA266</f>
        <v>1563</v>
      </c>
      <c r="AG266" s="198">
        <f t="shared" si="5"/>
        <v>57369</v>
      </c>
      <c r="AH266" s="177">
        <f t="shared" ca="1" si="21"/>
        <v>1292.1428571428571</v>
      </c>
      <c r="AI266" s="211">
        <f t="shared" si="37"/>
        <v>9614.2910287083432</v>
      </c>
      <c r="AJ266" s="200">
        <f t="shared" si="39"/>
        <v>2.3540305817521943E-2</v>
      </c>
      <c r="AK266" s="213">
        <f t="shared" si="40"/>
        <v>1.1647821407226537</v>
      </c>
      <c r="AL266" s="214">
        <f t="shared" ca="1" si="41"/>
        <v>0.94097146786663555</v>
      </c>
      <c r="AM266" s="176">
        <f>DANE!AE266</f>
        <v>2213</v>
      </c>
      <c r="AN266" s="198">
        <f t="shared" si="6"/>
        <v>88495</v>
      </c>
      <c r="AO266" s="177">
        <f t="shared" ca="1" si="22"/>
        <v>1766.8571428571429</v>
      </c>
      <c r="AP266" s="211">
        <f t="shared" si="49"/>
        <v>13942.89019488574</v>
      </c>
      <c r="AQ266" s="200">
        <f t="shared" si="51"/>
        <v>1.8854272283314159E-2</v>
      </c>
      <c r="AR266" s="213">
        <f t="shared" si="52"/>
        <v>1.1319799059831992</v>
      </c>
      <c r="AS266" s="217">
        <f t="shared" ca="1" si="53"/>
        <v>0.85298762585650834</v>
      </c>
      <c r="AT266" s="176">
        <f>DANE!AI266</f>
        <v>3086</v>
      </c>
      <c r="AU266" s="198">
        <f t="shared" si="7"/>
        <v>102921</v>
      </c>
      <c r="AV266" s="177">
        <f t="shared" ca="1" si="23"/>
        <v>2642.2857142857142</v>
      </c>
      <c r="AW266" s="211">
        <f t="shared" si="33"/>
        <v>17848.235653215757</v>
      </c>
      <c r="AX266" s="200">
        <f t="shared" si="34"/>
        <v>3.6325937489271196E-2</v>
      </c>
      <c r="AY266" s="213">
        <f t="shared" si="35"/>
        <v>1.2542815624248984</v>
      </c>
      <c r="AZ266" s="214">
        <f t="shared" ca="1" si="36"/>
        <v>1.1745436626023538</v>
      </c>
      <c r="BA266" s="176">
        <f>DANE!AM266</f>
        <v>703</v>
      </c>
      <c r="BB266" s="198">
        <f t="shared" si="8"/>
        <v>24880</v>
      </c>
      <c r="BC266" s="177">
        <f t="shared" ca="1" si="24"/>
        <v>704.42857142857144</v>
      </c>
      <c r="BD266" s="211">
        <f t="shared" si="77"/>
        <v>5025.195386553969</v>
      </c>
      <c r="BE266" s="200">
        <f t="shared" si="80"/>
        <v>-3.443864492637672E-3</v>
      </c>
      <c r="BF266" s="213">
        <f t="shared" si="81"/>
        <v>0.9758929485515363</v>
      </c>
      <c r="BG266" s="217">
        <f t="shared" ca="1" si="82"/>
        <v>1.0018004077208347</v>
      </c>
      <c r="BH266" s="176">
        <f>DANE!AQ266</f>
        <v>872</v>
      </c>
      <c r="BI266" s="198">
        <f t="shared" si="9"/>
        <v>46364</v>
      </c>
      <c r="BJ266" s="177">
        <f t="shared" ca="1" si="25"/>
        <v>843.42857142857144</v>
      </c>
      <c r="BK266" s="211">
        <f t="shared" si="61"/>
        <v>6994.3071552934207</v>
      </c>
      <c r="BL266" s="200">
        <f t="shared" si="63"/>
        <v>-2.0774314852942549E-2</v>
      </c>
      <c r="BM266" s="213">
        <f t="shared" si="64"/>
        <v>0.85457979602940215</v>
      </c>
      <c r="BN266" s="214">
        <f t="shared" ca="1" si="65"/>
        <v>0.75615335084950253</v>
      </c>
      <c r="BO266" s="176">
        <f>DANE!AU266</f>
        <v>927</v>
      </c>
      <c r="BP266" s="198">
        <f t="shared" si="10"/>
        <v>22286</v>
      </c>
      <c r="BQ266" s="177">
        <f t="shared" ca="1" si="26"/>
        <v>624.28571428571433</v>
      </c>
      <c r="BR266" s="211">
        <f t="shared" si="78"/>
        <v>4531.2093651110426</v>
      </c>
      <c r="BS266" s="200">
        <f t="shared" si="83"/>
        <v>7.7599370092112332E-2</v>
      </c>
      <c r="BT266" s="213">
        <f t="shared" si="84"/>
        <v>1.5431955906447863</v>
      </c>
      <c r="BU266" s="217">
        <f t="shared" ca="1" si="85"/>
        <v>1.0224280213938111</v>
      </c>
      <c r="BV266" s="176">
        <f>DANE!AY266</f>
        <v>1715</v>
      </c>
      <c r="BW266" s="198">
        <f t="shared" si="11"/>
        <v>47585</v>
      </c>
      <c r="BX266" s="177">
        <f t="shared" ca="1" si="27"/>
        <v>1355.1428571428571</v>
      </c>
      <c r="BY266" s="211">
        <f t="shared" si="69"/>
        <v>9499.7998771490093</v>
      </c>
      <c r="BZ266" s="200">
        <f t="shared" si="71"/>
        <v>4.5972374047324092E-2</v>
      </c>
      <c r="CA266" s="213">
        <f t="shared" si="72"/>
        <v>1.3218066183312687</v>
      </c>
      <c r="CB266" s="214">
        <f t="shared" ca="1" si="73"/>
        <v>1.1043093140459252</v>
      </c>
      <c r="CC266" s="176">
        <f>DANE!BC266</f>
        <v>2263</v>
      </c>
      <c r="CD266" s="198">
        <f t="shared" si="12"/>
        <v>116291</v>
      </c>
      <c r="CE266" s="177">
        <f t="shared" ca="1" si="28"/>
        <v>2980</v>
      </c>
      <c r="CF266" s="211">
        <f t="shared" si="45"/>
        <v>21676.605218730114</v>
      </c>
      <c r="CG266" s="200">
        <f t="shared" si="46"/>
        <v>-4.2941940922220277E-2</v>
      </c>
      <c r="CH266" s="213">
        <f t="shared" si="47"/>
        <v>0.69940641354445798</v>
      </c>
      <c r="CI266" s="217">
        <f t="shared" ca="1" si="48"/>
        <v>0.89247815946795106</v>
      </c>
      <c r="CJ266" s="176">
        <f>DANE!BG266</f>
        <v>760</v>
      </c>
      <c r="CK266" s="198">
        <f t="shared" si="13"/>
        <v>26797</v>
      </c>
      <c r="CL266" s="177">
        <f t="shared" ca="1" si="29"/>
        <v>790.14285714285711</v>
      </c>
      <c r="CM266" s="211">
        <f t="shared" si="79"/>
        <v>5520.2512988160652</v>
      </c>
      <c r="CN266" s="200">
        <f t="shared" si="86"/>
        <v>-6.0096256702687166E-3</v>
      </c>
      <c r="CO266" s="213">
        <f t="shared" si="87"/>
        <v>0.95793262030811899</v>
      </c>
      <c r="CP266" s="214">
        <f t="shared" ca="1" si="88"/>
        <v>1.0384632576932094</v>
      </c>
      <c r="CQ266" s="176">
        <f>DANE!BK266</f>
        <v>1191</v>
      </c>
      <c r="CR266" s="198">
        <f t="shared" si="14"/>
        <v>24913</v>
      </c>
      <c r="CS266" s="177">
        <f t="shared" ca="1" si="30"/>
        <v>911.71428571428567</v>
      </c>
      <c r="CT266" s="211">
        <f t="shared" si="89"/>
        <v>6098.9467076793935</v>
      </c>
      <c r="CU266" s="200">
        <f t="shared" si="90"/>
        <v>6.5143718533593659E-2</v>
      </c>
      <c r="CV266" s="213">
        <f t="shared" si="91"/>
        <v>1.4560060297351556</v>
      </c>
      <c r="CW266" s="217">
        <f t="shared" ca="1" si="92"/>
        <v>1.2081175276220348</v>
      </c>
      <c r="CX266" s="176">
        <f>DANE!BO266</f>
        <v>2525</v>
      </c>
      <c r="CY266" s="198">
        <f t="shared" si="15"/>
        <v>84870</v>
      </c>
      <c r="CZ266" s="177">
        <f t="shared" ca="1" si="31"/>
        <v>2018.2857142857142</v>
      </c>
      <c r="DA266" s="211">
        <f t="shared" si="54"/>
        <v>15613.073570891989</v>
      </c>
      <c r="DB266" s="200">
        <f t="shared" si="58"/>
        <v>2.250605613182903E-2</v>
      </c>
      <c r="DC266" s="213">
        <f t="shared" si="59"/>
        <v>1.1575423929228033</v>
      </c>
      <c r="DD266" s="214">
        <f t="shared" ca="1" si="60"/>
        <v>0.86980093410006487</v>
      </c>
      <c r="DE266" s="176">
        <f>DANE!BS266</f>
        <v>1101</v>
      </c>
      <c r="DF266" s="198">
        <f t="shared" si="16"/>
        <v>30419</v>
      </c>
      <c r="DG266" s="177">
        <f t="shared" ca="1" si="32"/>
        <v>1148.8571428571429</v>
      </c>
      <c r="DH266" s="211">
        <f t="shared" si="70"/>
        <v>7401.183512292896</v>
      </c>
      <c r="DI266" s="200">
        <f t="shared" si="74"/>
        <v>6.9344122416751114E-3</v>
      </c>
      <c r="DJ266" s="157">
        <f t="shared" si="75"/>
        <v>1.0485408856917258</v>
      </c>
      <c r="DK266" s="225">
        <f t="shared" ca="1" si="76"/>
        <v>1.2091130793059992</v>
      </c>
      <c r="DL266" s="226"/>
      <c r="DM266" s="380"/>
      <c r="DN266" s="372"/>
      <c r="DO266" s="372"/>
      <c r="DP266" s="372"/>
      <c r="DQ266" s="372"/>
      <c r="DR266" s="372"/>
      <c r="DS266" s="372"/>
      <c r="DT266" s="88"/>
      <c r="DU266" s="88"/>
      <c r="DV266" s="88"/>
      <c r="DW266" s="226"/>
      <c r="DX266" s="226"/>
      <c r="DY266" s="226"/>
      <c r="DZ266" s="226"/>
      <c r="EA266" s="226"/>
      <c r="EB266" s="226"/>
      <c r="EC266" s="226"/>
      <c r="ED266" s="226"/>
      <c r="EE266" s="226"/>
      <c r="EF266" s="226"/>
      <c r="EG266" s="226"/>
      <c r="EH266" s="226"/>
    </row>
    <row r="267" spans="1:138" x14ac:dyDescent="0.25">
      <c r="A267" s="61">
        <v>44157</v>
      </c>
      <c r="B267" s="62">
        <f t="shared" ca="1" si="98"/>
        <v>44157</v>
      </c>
      <c r="C267" s="12">
        <f t="shared" si="93"/>
        <v>264</v>
      </c>
      <c r="D267" s="176">
        <f>DANE!K267</f>
        <v>1005</v>
      </c>
      <c r="E267" s="198">
        <f t="shared" si="1"/>
        <v>62231</v>
      </c>
      <c r="F267" s="178">
        <f t="shared" ca="1" si="17"/>
        <v>1789.1428571428571</v>
      </c>
      <c r="G267" s="211">
        <f t="shared" si="38"/>
        <v>12839.636648641239</v>
      </c>
      <c r="H267" s="200">
        <f t="shared" si="42"/>
        <v>-7.0068379078115028E-2</v>
      </c>
      <c r="I267" s="213">
        <f t="shared" si="43"/>
        <v>0.5095213464531948</v>
      </c>
      <c r="J267" s="214">
        <f t="shared" ca="1" si="44"/>
        <v>0.86584607923578194</v>
      </c>
      <c r="K267" s="176">
        <f>DANE!O267</f>
        <v>1000</v>
      </c>
      <c r="L267" s="198">
        <f t="shared" si="2"/>
        <v>48744</v>
      </c>
      <c r="M267" s="177">
        <f t="shared" ca="1" si="18"/>
        <v>1016.5714285714286</v>
      </c>
      <c r="N267" s="211">
        <f t="shared" si="62"/>
        <v>7899.5172841215563</v>
      </c>
      <c r="O267" s="200">
        <f t="shared" si="66"/>
        <v>-1.8624849227634417E-2</v>
      </c>
      <c r="P267" s="213">
        <f t="shared" si="67"/>
        <v>0.86962605540655913</v>
      </c>
      <c r="Q267" s="217">
        <f t="shared" ca="1" si="68"/>
        <v>0.88693779812508111</v>
      </c>
      <c r="R267" s="176">
        <f>DANE!S267</f>
        <v>900</v>
      </c>
      <c r="S267" s="198">
        <f t="shared" si="3"/>
        <v>44086</v>
      </c>
      <c r="T267" s="177">
        <f t="shared" ca="1" si="19"/>
        <v>1052.4285714285713</v>
      </c>
      <c r="U267" s="211">
        <f t="shared" si="50"/>
        <v>7701.2121306516337</v>
      </c>
      <c r="V267" s="200">
        <f t="shared" si="55"/>
        <v>-2.9431983251856454E-2</v>
      </c>
      <c r="W267" s="213">
        <f t="shared" si="56"/>
        <v>0.79397611723700479</v>
      </c>
      <c r="X267" s="214">
        <f t="shared" ca="1" si="57"/>
        <v>0.92654075984030082</v>
      </c>
      <c r="Y267" s="176">
        <f>DANE!W267</f>
        <v>572</v>
      </c>
      <c r="Z267" s="198">
        <f t="shared" si="4"/>
        <v>18701</v>
      </c>
      <c r="AA267" s="177">
        <f t="shared" ca="1" si="20"/>
        <v>554</v>
      </c>
      <c r="AB267" s="211">
        <f t="shared" si="94"/>
        <v>3941.9207864584846</v>
      </c>
      <c r="AC267" s="200">
        <f t="shared" si="95"/>
        <v>2.6316520889737129E-3</v>
      </c>
      <c r="AD267" s="213">
        <f t="shared" si="96"/>
        <v>1.0184215646228161</v>
      </c>
      <c r="AE267" s="217">
        <f t="shared" ca="1" si="97"/>
        <v>1.019145485992631</v>
      </c>
      <c r="AF267" s="176">
        <f>DANE!AA267</f>
        <v>1136</v>
      </c>
      <c r="AG267" s="198">
        <f t="shared" si="5"/>
        <v>58505</v>
      </c>
      <c r="AH267" s="177">
        <f t="shared" ca="1" si="21"/>
        <v>1256</v>
      </c>
      <c r="AI267" s="211">
        <f t="shared" si="37"/>
        <v>9376.820881750009</v>
      </c>
      <c r="AJ267" s="200">
        <f t="shared" si="39"/>
        <v>-2.46997044555076E-2</v>
      </c>
      <c r="AK267" s="213">
        <f t="shared" si="40"/>
        <v>0.82710206881144677</v>
      </c>
      <c r="AL267" s="214">
        <f t="shared" ca="1" si="41"/>
        <v>0.92318493547990932</v>
      </c>
      <c r="AM267" s="176">
        <f>DANE!AE267</f>
        <v>1444</v>
      </c>
      <c r="AN267" s="198">
        <f t="shared" si="6"/>
        <v>89939</v>
      </c>
      <c r="AO267" s="177">
        <f t="shared" ca="1" si="22"/>
        <v>1707.5714285714287</v>
      </c>
      <c r="AP267" s="211">
        <f t="shared" si="49"/>
        <v>13395.048738473492</v>
      </c>
      <c r="AQ267" s="200">
        <f t="shared" si="51"/>
        <v>-3.9291814591869707E-2</v>
      </c>
      <c r="AR267" s="213">
        <f t="shared" si="52"/>
        <v>0.7249572978569121</v>
      </c>
      <c r="AS267" s="217">
        <f t="shared" ca="1" si="53"/>
        <v>0.84186879020097882</v>
      </c>
      <c r="AT267" s="176">
        <f>DANE!AI267</f>
        <v>2607</v>
      </c>
      <c r="AU267" s="198">
        <f t="shared" si="7"/>
        <v>105528</v>
      </c>
      <c r="AV267" s="177">
        <f t="shared" ca="1" si="23"/>
        <v>2780.1428571428573</v>
      </c>
      <c r="AW267" s="211">
        <f t="shared" si="33"/>
        <v>17905.487702756363</v>
      </c>
      <c r="AX267" s="200">
        <f t="shared" si="34"/>
        <v>3.2077147933830012E-3</v>
      </c>
      <c r="AY267" s="213">
        <f t="shared" si="35"/>
        <v>1.0224540035536811</v>
      </c>
      <c r="AZ267" s="214">
        <f t="shared" ca="1" si="36"/>
        <v>1.2116777880608638</v>
      </c>
      <c r="BA267" s="176">
        <f>DANE!AM267</f>
        <v>563</v>
      </c>
      <c r="BB267" s="198">
        <f t="shared" si="8"/>
        <v>25443</v>
      </c>
      <c r="BC267" s="177">
        <f t="shared" ca="1" si="24"/>
        <v>698.57142857142856</v>
      </c>
      <c r="BD267" s="211">
        <f t="shared" si="77"/>
        <v>4870.3103313319734</v>
      </c>
      <c r="BE267" s="200">
        <f t="shared" si="80"/>
        <v>-3.0821698124698808E-2</v>
      </c>
      <c r="BF267" s="213">
        <f t="shared" si="81"/>
        <v>0.78424811312710829</v>
      </c>
      <c r="BG267" s="217">
        <f t="shared" ca="1" si="82"/>
        <v>0.99361180877033828</v>
      </c>
      <c r="BH267" s="176">
        <f>DANE!AQ267</f>
        <v>703</v>
      </c>
      <c r="BI267" s="198">
        <f t="shared" si="9"/>
        <v>47067</v>
      </c>
      <c r="BJ267" s="177">
        <f t="shared" ca="1" si="25"/>
        <v>811.57142857142856</v>
      </c>
      <c r="BK267" s="211">
        <f t="shared" si="61"/>
        <v>6698.1204188229322</v>
      </c>
      <c r="BL267" s="200">
        <f t="shared" si="63"/>
        <v>-4.2346830056831139E-2</v>
      </c>
      <c r="BM267" s="213">
        <f t="shared" si="64"/>
        <v>0.70357218960218204</v>
      </c>
      <c r="BN267" s="214">
        <f t="shared" ca="1" si="65"/>
        <v>0.75358351284795155</v>
      </c>
      <c r="BO267" s="176">
        <f>DANE!AU267</f>
        <v>865</v>
      </c>
      <c r="BP267" s="198">
        <f t="shared" si="10"/>
        <v>23151</v>
      </c>
      <c r="BQ267" s="177">
        <f t="shared" ca="1" si="26"/>
        <v>644.28571428571433</v>
      </c>
      <c r="BR267" s="211">
        <f t="shared" si="78"/>
        <v>4748.8937415237506</v>
      </c>
      <c r="BS267" s="200">
        <f t="shared" si="83"/>
        <v>4.8041120785283629E-2</v>
      </c>
      <c r="BT267" s="213">
        <f t="shared" si="84"/>
        <v>1.3362878454969853</v>
      </c>
      <c r="BU267" s="217">
        <f t="shared" ca="1" si="85"/>
        <v>1.0505574122217076</v>
      </c>
      <c r="BV267" s="176">
        <f>DANE!AY267</f>
        <v>1139</v>
      </c>
      <c r="BW267" s="198">
        <f t="shared" si="11"/>
        <v>48724</v>
      </c>
      <c r="BX267" s="177">
        <f t="shared" ca="1" si="27"/>
        <v>1368.4285714285713</v>
      </c>
      <c r="BY267" s="211">
        <f t="shared" si="69"/>
        <v>9281.6856089848661</v>
      </c>
      <c r="BZ267" s="200">
        <f t="shared" si="71"/>
        <v>-2.295988031166837E-2</v>
      </c>
      <c r="CA267" s="213">
        <f t="shared" si="72"/>
        <v>0.83928083781832141</v>
      </c>
      <c r="CB267" s="214">
        <f t="shared" ca="1" si="73"/>
        <v>1.1023343518311022</v>
      </c>
      <c r="CC267" s="176">
        <f>DANE!BC267</f>
        <v>1611</v>
      </c>
      <c r="CD267" s="198">
        <f t="shared" si="12"/>
        <v>117902</v>
      </c>
      <c r="CE267" s="177">
        <f t="shared" ca="1" si="28"/>
        <v>2699.2857142857142</v>
      </c>
      <c r="CF267" s="211">
        <f t="shared" si="45"/>
        <v>20190.947330340099</v>
      </c>
      <c r="CG267" s="200">
        <f t="shared" si="46"/>
        <v>-6.8537387353731091E-2</v>
      </c>
      <c r="CH267" s="213">
        <f t="shared" si="47"/>
        <v>0.52023828852388232</v>
      </c>
      <c r="CI267" s="217">
        <f t="shared" ca="1" si="48"/>
        <v>0.81937432027707757</v>
      </c>
      <c r="CJ267" s="176">
        <f>DANE!BG267</f>
        <v>391</v>
      </c>
      <c r="CK267" s="198">
        <f t="shared" si="13"/>
        <v>27188</v>
      </c>
      <c r="CL267" s="177">
        <f t="shared" ca="1" si="29"/>
        <v>748.14285714285711</v>
      </c>
      <c r="CM267" s="211">
        <f t="shared" si="79"/>
        <v>5122.6439704137701</v>
      </c>
      <c r="CN267" s="200">
        <f t="shared" si="86"/>
        <v>-7.2027034074983204E-2</v>
      </c>
      <c r="CO267" s="213">
        <f t="shared" si="87"/>
        <v>0.49581076147511749</v>
      </c>
      <c r="CP267" s="214">
        <f t="shared" ca="1" si="88"/>
        <v>0.98053451572540762</v>
      </c>
      <c r="CQ267" s="176">
        <f>DANE!BK267</f>
        <v>890</v>
      </c>
      <c r="CR267" s="198">
        <f t="shared" si="14"/>
        <v>25803</v>
      </c>
      <c r="CS267" s="177">
        <f t="shared" ca="1" si="30"/>
        <v>921.71428571428567</v>
      </c>
      <c r="CT267" s="211">
        <f t="shared" si="89"/>
        <v>6117.6686065823378</v>
      </c>
      <c r="CU267" s="200">
        <f t="shared" si="90"/>
        <v>3.0696938012871825E-3</v>
      </c>
      <c r="CV267" s="213">
        <f t="shared" si="91"/>
        <v>1.0214878566090102</v>
      </c>
      <c r="CW267" s="217">
        <f t="shared" ca="1" si="92"/>
        <v>1.1899004021499382</v>
      </c>
      <c r="CX267" s="176">
        <f>DANE!BO267</f>
        <v>2070</v>
      </c>
      <c r="CY267" s="198">
        <f t="shared" si="15"/>
        <v>86940</v>
      </c>
      <c r="CZ267" s="177">
        <f t="shared" ca="1" si="31"/>
        <v>2007.8571428571429</v>
      </c>
      <c r="DA267" s="211">
        <f t="shared" si="54"/>
        <v>15452.634489335991</v>
      </c>
      <c r="DB267" s="200">
        <f t="shared" si="58"/>
        <v>-1.0275944760492931E-2</v>
      </c>
      <c r="DC267" s="213">
        <f t="shared" si="59"/>
        <v>0.92806838667654945</v>
      </c>
      <c r="DD267" s="214">
        <f t="shared" ca="1" si="60"/>
        <v>0.88247656412411024</v>
      </c>
      <c r="DE267" s="176">
        <f>DANE!BS267</f>
        <v>960</v>
      </c>
      <c r="DF267" s="198">
        <f t="shared" si="16"/>
        <v>31379</v>
      </c>
      <c r="DG267" s="177">
        <f t="shared" ca="1" si="32"/>
        <v>1138.4285714285713</v>
      </c>
      <c r="DH267" s="211">
        <f t="shared" si="70"/>
        <v>7303.8715819653398</v>
      </c>
      <c r="DI267" s="200">
        <f t="shared" si="74"/>
        <v>-1.3148158016339851E-2</v>
      </c>
      <c r="DJ267" s="157">
        <f t="shared" si="75"/>
        <v>0.90796289388562101</v>
      </c>
      <c r="DK267" s="225">
        <f t="shared" ca="1" si="76"/>
        <v>1.1673776401741029</v>
      </c>
      <c r="DL267" s="50"/>
      <c r="DM267" s="380"/>
      <c r="DN267" s="372"/>
      <c r="DO267" s="372"/>
      <c r="DP267" s="372"/>
      <c r="DQ267" s="372"/>
      <c r="DR267" s="372"/>
      <c r="DS267" s="372"/>
      <c r="DT267" s="88"/>
      <c r="DU267" s="88"/>
      <c r="DV267" s="88"/>
      <c r="DW267" s="50"/>
      <c r="DX267" s="50"/>
      <c r="DY267" s="50"/>
      <c r="DZ267" s="50"/>
      <c r="EA267" s="50"/>
      <c r="EB267" s="50"/>
      <c r="EC267" s="50"/>
      <c r="ED267" s="50"/>
      <c r="EE267" s="50"/>
      <c r="EF267" s="50"/>
      <c r="EG267" s="50"/>
      <c r="EH267" s="50"/>
    </row>
    <row r="268" spans="1:138" x14ac:dyDescent="0.25">
      <c r="A268" s="32">
        <v>44158</v>
      </c>
      <c r="B268" s="33">
        <f t="shared" ca="1" si="98"/>
        <v>44158</v>
      </c>
      <c r="C268" s="51">
        <f t="shared" si="93"/>
        <v>265</v>
      </c>
      <c r="D268" s="176">
        <f>DANE!K268</f>
        <v>1035</v>
      </c>
      <c r="E268" s="188">
        <f t="shared" si="1"/>
        <v>63266</v>
      </c>
      <c r="F268" s="178">
        <f t="shared" ca="1" si="17"/>
        <v>1682.1428571428571</v>
      </c>
      <c r="G268" s="209">
        <f t="shared" si="38"/>
        <v>12040.402841692492</v>
      </c>
      <c r="H268" s="179">
        <f t="shared" si="42"/>
        <v>-6.2247385095070128E-2</v>
      </c>
      <c r="I268" s="213">
        <f t="shared" si="43"/>
        <v>0.56426830433450914</v>
      </c>
      <c r="J268" s="214">
        <f t="shared" ca="1" si="44"/>
        <v>0.82542982074455507</v>
      </c>
      <c r="K268" s="176">
        <f>DANE!O268</f>
        <v>931</v>
      </c>
      <c r="L268" s="188">
        <f t="shared" si="2"/>
        <v>49675</v>
      </c>
      <c r="M268" s="177">
        <f t="shared" ca="1" si="18"/>
        <v>1021.5714285714286</v>
      </c>
      <c r="N268" s="209">
        <f t="shared" si="62"/>
        <v>7702.0148149613342</v>
      </c>
      <c r="O268" s="179">
        <f t="shared" si="66"/>
        <v>-2.5001840246265727E-2</v>
      </c>
      <c r="P268" s="213">
        <f t="shared" si="67"/>
        <v>0.82498711827613991</v>
      </c>
      <c r="Q268" s="217">
        <f t="shared" ca="1" si="68"/>
        <v>0.90397863267015954</v>
      </c>
      <c r="R268" s="176">
        <f>DANE!S268</f>
        <v>795</v>
      </c>
      <c r="S268" s="188">
        <f t="shared" si="3"/>
        <v>44881</v>
      </c>
      <c r="T268" s="177">
        <f t="shared" ca="1" si="19"/>
        <v>999.85714285714289</v>
      </c>
      <c r="U268" s="209">
        <f t="shared" si="50"/>
        <v>7396.0389691299724</v>
      </c>
      <c r="V268" s="179">
        <f t="shared" si="55"/>
        <v>-3.9626640111241715E-2</v>
      </c>
      <c r="W268" s="213">
        <f t="shared" si="56"/>
        <v>0.7226135192213079</v>
      </c>
      <c r="X268" s="214">
        <f t="shared" ca="1" si="57"/>
        <v>0.89046404390161105</v>
      </c>
      <c r="Y268" s="176">
        <f>DANE!W268</f>
        <v>406</v>
      </c>
      <c r="Z268" s="188">
        <f t="shared" si="4"/>
        <v>19107</v>
      </c>
      <c r="AA268" s="177">
        <f t="shared" ca="1" si="20"/>
        <v>529.57142857142856</v>
      </c>
      <c r="AB268" s="209">
        <f t="shared" si="94"/>
        <v>3784.7892455358442</v>
      </c>
      <c r="AC268" s="179">
        <f t="shared" si="95"/>
        <v>-3.9861668824606469E-2</v>
      </c>
      <c r="AD268" s="213">
        <f t="shared" si="96"/>
        <v>0.72096831822775465</v>
      </c>
      <c r="AE268" s="217">
        <f t="shared" ca="1" si="97"/>
        <v>0.97343101802330234</v>
      </c>
      <c r="AF268" s="176">
        <f>DANE!AA268</f>
        <v>906</v>
      </c>
      <c r="AG268" s="188">
        <f t="shared" si="5"/>
        <v>59411</v>
      </c>
      <c r="AH268" s="177">
        <f t="shared" ca="1" si="21"/>
        <v>1230.7142857142858</v>
      </c>
      <c r="AI268" s="209">
        <f t="shared" si="37"/>
        <v>8943.2750415000082</v>
      </c>
      <c r="AJ268" s="179">
        <f t="shared" si="39"/>
        <v>-4.6235909346824117E-2</v>
      </c>
      <c r="AK268" s="213">
        <f t="shared" si="40"/>
        <v>0.67634863457223116</v>
      </c>
      <c r="AL268" s="214">
        <f t="shared" ca="1" si="41"/>
        <v>0.91307311396878921</v>
      </c>
      <c r="AM268" s="176">
        <f>DANE!AE268</f>
        <v>1401</v>
      </c>
      <c r="AN268" s="188">
        <f t="shared" si="6"/>
        <v>91340</v>
      </c>
      <c r="AO268" s="177">
        <f t="shared" ca="1" si="22"/>
        <v>1722.7142857142858</v>
      </c>
      <c r="AP268" s="209">
        <f t="shared" si="49"/>
        <v>12882.470347262994</v>
      </c>
      <c r="AQ268" s="179">
        <f t="shared" si="51"/>
        <v>-3.8266258019521902E-2</v>
      </c>
      <c r="AR268" s="213">
        <f t="shared" si="52"/>
        <v>0.73213619386334661</v>
      </c>
      <c r="AS268" s="217">
        <f t="shared" ca="1" si="53"/>
        <v>0.86425342053357057</v>
      </c>
      <c r="AT268" s="176">
        <f>DANE!AI268</f>
        <v>2295</v>
      </c>
      <c r="AU268" s="188">
        <f t="shared" si="7"/>
        <v>107823</v>
      </c>
      <c r="AV268" s="177">
        <f t="shared" ca="1" si="23"/>
        <v>2760</v>
      </c>
      <c r="AW268" s="209">
        <f t="shared" si="33"/>
        <v>17642.560888076885</v>
      </c>
      <c r="AX268" s="179">
        <f t="shared" si="34"/>
        <v>-1.4684147063975451E-2</v>
      </c>
      <c r="AY268" s="213">
        <f t="shared" si="35"/>
        <v>0.8972109705521718</v>
      </c>
      <c r="AZ268" s="214">
        <f t="shared" ca="1" si="36"/>
        <v>1.172570658782266</v>
      </c>
      <c r="BA268" s="176">
        <f>DANE!AM268</f>
        <v>493</v>
      </c>
      <c r="BB268" s="188">
        <f t="shared" si="8"/>
        <v>25936</v>
      </c>
      <c r="BC268" s="177">
        <f t="shared" ca="1" si="24"/>
        <v>689.42857142857144</v>
      </c>
      <c r="BD268" s="209">
        <f t="shared" si="77"/>
        <v>4667.5517125702636</v>
      </c>
      <c r="BE268" s="179">
        <f t="shared" si="80"/>
        <v>-4.1631560407416113E-2</v>
      </c>
      <c r="BF268" s="213">
        <f t="shared" si="81"/>
        <v>0.70857907714808721</v>
      </c>
      <c r="BG268" s="217">
        <f t="shared" ca="1" si="82"/>
        <v>0.98140111526049589</v>
      </c>
      <c r="BH268" s="176">
        <f>DANE!AQ268</f>
        <v>540</v>
      </c>
      <c r="BI268" s="188">
        <f t="shared" si="9"/>
        <v>47607</v>
      </c>
      <c r="BJ268" s="177">
        <f t="shared" ca="1" si="25"/>
        <v>768.42857142857144</v>
      </c>
      <c r="BK268" s="209">
        <f t="shared" si="61"/>
        <v>6281.2460732767995</v>
      </c>
      <c r="BL268" s="179">
        <f t="shared" si="63"/>
        <v>-6.223751134342706E-2</v>
      </c>
      <c r="BM268" s="213">
        <f t="shared" si="64"/>
        <v>0.56433742059601055</v>
      </c>
      <c r="BN268" s="214">
        <f t="shared" ca="1" si="65"/>
        <v>0.73659095760892945</v>
      </c>
      <c r="BO268" s="176">
        <f>DANE!AU268</f>
        <v>455</v>
      </c>
      <c r="BP268" s="188">
        <f t="shared" si="10"/>
        <v>23606</v>
      </c>
      <c r="BQ268" s="177">
        <f t="shared" ca="1" si="26"/>
        <v>639.71428571428567</v>
      </c>
      <c r="BR268" s="209">
        <f t="shared" si="78"/>
        <v>4525.4803498775009</v>
      </c>
      <c r="BS268" s="179">
        <f t="shared" si="83"/>
        <v>-4.7045354940825505E-2</v>
      </c>
      <c r="BT268" s="213">
        <f t="shared" si="84"/>
        <v>0.67068251541422153</v>
      </c>
      <c r="BU268" s="217">
        <f t="shared" ca="1" si="85"/>
        <v>1.0391679810894763</v>
      </c>
      <c r="BV268" s="176">
        <f>DANE!AY268</f>
        <v>959</v>
      </c>
      <c r="BW268" s="188">
        <f t="shared" si="11"/>
        <v>49683</v>
      </c>
      <c r="BX268" s="177">
        <f t="shared" ca="1" si="27"/>
        <v>1357.2857142857142</v>
      </c>
      <c r="BY268" s="209">
        <f t="shared" si="69"/>
        <v>8914.7305219870286</v>
      </c>
      <c r="BZ268" s="179">
        <f t="shared" si="71"/>
        <v>-3.9535392864698767E-2</v>
      </c>
      <c r="CA268" s="213">
        <f t="shared" si="72"/>
        <v>0.72325224994710857</v>
      </c>
      <c r="CB268" s="214">
        <f t="shared" ca="1" si="73"/>
        <v>1.0822426700949419</v>
      </c>
      <c r="CC268" s="176">
        <f>DANE!BC268</f>
        <v>694</v>
      </c>
      <c r="CD268" s="188">
        <f t="shared" si="12"/>
        <v>118596</v>
      </c>
      <c r="CE268" s="177">
        <f t="shared" ca="1" si="28"/>
        <v>2323.8571428571427</v>
      </c>
      <c r="CF268" s="209">
        <f t="shared" si="45"/>
        <v>18000.526283148658</v>
      </c>
      <c r="CG268" s="179">
        <f t="shared" si="46"/>
        <v>-0.10848530340624415</v>
      </c>
      <c r="CH268" s="213">
        <f t="shared" si="47"/>
        <v>0.24060287615629083</v>
      </c>
      <c r="CI268" s="217">
        <f t="shared" ca="1" si="48"/>
        <v>0.71741647070298442</v>
      </c>
      <c r="CJ268" s="176">
        <f>DANE!BG268</f>
        <v>364</v>
      </c>
      <c r="CK268" s="188">
        <f t="shared" si="13"/>
        <v>27552</v>
      </c>
      <c r="CL268" s="177">
        <f t="shared" ca="1" si="29"/>
        <v>687.71428571428567</v>
      </c>
      <c r="CM268" s="209">
        <f t="shared" si="79"/>
        <v>4754.837688926089</v>
      </c>
      <c r="CN268" s="179">
        <f t="shared" si="86"/>
        <v>-7.1800086754413364E-2</v>
      </c>
      <c r="CO268" s="213">
        <f t="shared" si="87"/>
        <v>0.49739939271910638</v>
      </c>
      <c r="CP268" s="214">
        <f t="shared" ca="1" si="88"/>
        <v>0.90154446233002561</v>
      </c>
      <c r="CQ268" s="176">
        <f>DANE!BK268</f>
        <v>864</v>
      </c>
      <c r="CR268" s="188">
        <f t="shared" si="14"/>
        <v>26667</v>
      </c>
      <c r="CS268" s="177">
        <f t="shared" ca="1" si="30"/>
        <v>896.57142857142856</v>
      </c>
      <c r="CT268" s="209">
        <f t="shared" si="89"/>
        <v>6107.7159484991471</v>
      </c>
      <c r="CU268" s="179">
        <f t="shared" si="90"/>
        <v>-1.6268710718462442E-3</v>
      </c>
      <c r="CV268" s="213">
        <f t="shared" si="91"/>
        <v>0.98861190249707631</v>
      </c>
      <c r="CW268" s="217">
        <f t="shared" ca="1" si="92"/>
        <v>1.1272872656115269</v>
      </c>
      <c r="CX268" s="176">
        <f>DANE!BO268</f>
        <v>1899</v>
      </c>
      <c r="CY268" s="188">
        <f t="shared" si="15"/>
        <v>88839</v>
      </c>
      <c r="CZ268" s="177">
        <f t="shared" ca="1" si="31"/>
        <v>1936.2857142857142</v>
      </c>
      <c r="DA268" s="209">
        <f t="shared" si="54"/>
        <v>15144.115276573708</v>
      </c>
      <c r="DB268" s="179">
        <f t="shared" si="58"/>
        <v>-1.9965476629580228E-2</v>
      </c>
      <c r="DC268" s="213">
        <f t="shared" si="59"/>
        <v>0.86024166359293841</v>
      </c>
      <c r="DD268" s="214">
        <f t="shared" ca="1" si="60"/>
        <v>0.86792848793619837</v>
      </c>
      <c r="DE268" s="176">
        <f>DANE!BS268</f>
        <v>965</v>
      </c>
      <c r="DF268" s="188">
        <f t="shared" si="16"/>
        <v>32344</v>
      </c>
      <c r="DG268" s="177">
        <f t="shared" ca="1" si="32"/>
        <v>1117.7142857142858</v>
      </c>
      <c r="DH268" s="209">
        <f t="shared" si="70"/>
        <v>7225.4613559702921</v>
      </c>
      <c r="DI268" s="179">
        <f t="shared" si="74"/>
        <v>-1.0735433271945479E-2</v>
      </c>
      <c r="DJ268" s="157">
        <f t="shared" si="75"/>
        <v>0.92485196709638162</v>
      </c>
      <c r="DK268" s="225">
        <f t="shared" ca="1" si="76"/>
        <v>1.1203955200775124</v>
      </c>
      <c r="DL268" s="75"/>
      <c r="DM268" s="380"/>
      <c r="DN268" s="372"/>
      <c r="DO268" s="372"/>
      <c r="DP268" s="372"/>
      <c r="DQ268" s="372"/>
      <c r="DR268" s="372"/>
      <c r="DS268" s="372"/>
      <c r="DT268" s="146"/>
      <c r="DU268" s="146"/>
      <c r="DV268" s="146"/>
      <c r="DW268" s="75"/>
      <c r="DX268" s="75"/>
      <c r="DY268" s="75"/>
      <c r="DZ268" s="75"/>
      <c r="EA268" s="75"/>
      <c r="EB268" s="75"/>
      <c r="EC268" s="75"/>
      <c r="ED268" s="75"/>
      <c r="EE268" s="75"/>
      <c r="EF268" s="75"/>
      <c r="EG268" s="75"/>
      <c r="EH268" s="75"/>
    </row>
    <row r="269" spans="1:138" x14ac:dyDescent="0.25">
      <c r="A269" s="32">
        <v>44159</v>
      </c>
      <c r="B269" s="33">
        <f t="shared" ca="1" si="98"/>
        <v>44159</v>
      </c>
      <c r="C269" s="51">
        <f t="shared" si="93"/>
        <v>266</v>
      </c>
      <c r="D269" s="176">
        <f>DANE!K269</f>
        <v>1035</v>
      </c>
      <c r="E269" s="188">
        <f t="shared" si="1"/>
        <v>64301</v>
      </c>
      <c r="F269" s="178">
        <f t="shared" ca="1" si="17"/>
        <v>1484.5714285714287</v>
      </c>
      <c r="G269" s="209">
        <f t="shared" si="38"/>
        <v>11355.345292879279</v>
      </c>
      <c r="H269" s="179">
        <f t="shared" si="42"/>
        <v>-5.6896563829330782E-2</v>
      </c>
      <c r="I269" s="213">
        <f t="shared" si="43"/>
        <v>0.60172405319468458</v>
      </c>
      <c r="J269" s="214">
        <f t="shared" ca="1" si="44"/>
        <v>0.74369299344779605</v>
      </c>
      <c r="K269" s="176">
        <f>DANE!O269</f>
        <v>521</v>
      </c>
      <c r="L269" s="188">
        <f t="shared" si="2"/>
        <v>50196</v>
      </c>
      <c r="M269" s="177">
        <f t="shared" ca="1" si="18"/>
        <v>990.57142857142856</v>
      </c>
      <c r="N269" s="209">
        <f t="shared" si="62"/>
        <v>7122.7269842525729</v>
      </c>
      <c r="O269" s="179">
        <f t="shared" si="66"/>
        <v>-7.5212505380213221E-2</v>
      </c>
      <c r="P269" s="213">
        <f t="shared" si="67"/>
        <v>0.47351246233850741</v>
      </c>
      <c r="Q269" s="217">
        <f t="shared" ca="1" si="68"/>
        <v>0.88494204271420351</v>
      </c>
      <c r="R269" s="176">
        <f>DANE!S269</f>
        <v>670</v>
      </c>
      <c r="S269" s="188">
        <f t="shared" si="3"/>
        <v>45551</v>
      </c>
      <c r="T269" s="177">
        <f t="shared" ca="1" si="19"/>
        <v>910.71428571428567</v>
      </c>
      <c r="U269" s="209">
        <f t="shared" si="50"/>
        <v>7009.4619735399765</v>
      </c>
      <c r="V269" s="179">
        <f t="shared" si="55"/>
        <v>-5.2268112323841723E-2</v>
      </c>
      <c r="W269" s="213">
        <f t="shared" si="56"/>
        <v>0.63412321373310787</v>
      </c>
      <c r="X269" s="214">
        <f t="shared" ca="1" si="57"/>
        <v>0.82550213492791735</v>
      </c>
      <c r="Y269" s="176">
        <f>DANE!W269</f>
        <v>267</v>
      </c>
      <c r="Z269" s="188">
        <f t="shared" si="4"/>
        <v>19374</v>
      </c>
      <c r="AA269" s="177">
        <f t="shared" ca="1" si="20"/>
        <v>525.57142857142856</v>
      </c>
      <c r="AB269" s="209">
        <f t="shared" si="94"/>
        <v>3511.1050676021523</v>
      </c>
      <c r="AC269" s="179">
        <f t="shared" si="95"/>
        <v>-7.231160315108752E-2</v>
      </c>
      <c r="AD269" s="213">
        <f t="shared" si="96"/>
        <v>0.49381877794238738</v>
      </c>
      <c r="AE269" s="217">
        <f t="shared" ca="1" si="97"/>
        <v>0.96838874503296923</v>
      </c>
      <c r="AF269" s="176">
        <f>DANE!AA269</f>
        <v>563</v>
      </c>
      <c r="AG269" s="188">
        <f t="shared" si="5"/>
        <v>59974</v>
      </c>
      <c r="AH269" s="177">
        <f t="shared" ca="1" si="21"/>
        <v>1154.5714285714287</v>
      </c>
      <c r="AI269" s="209">
        <f t="shared" si="37"/>
        <v>8228.6643212857216</v>
      </c>
      <c r="AJ269" s="179">
        <f t="shared" si="39"/>
        <v>-7.9904813046477521E-2</v>
      </c>
      <c r="AK269" s="213">
        <f t="shared" si="40"/>
        <v>0.44066630867465728</v>
      </c>
      <c r="AL269" s="214">
        <f t="shared" ca="1" si="41"/>
        <v>0.86396304598414464</v>
      </c>
      <c r="AM269" s="176">
        <f>DANE!AE269</f>
        <v>486</v>
      </c>
      <c r="AN269" s="188">
        <f t="shared" si="6"/>
        <v>91826</v>
      </c>
      <c r="AO269" s="177">
        <f t="shared" ca="1" si="22"/>
        <v>1545.8571428571429</v>
      </c>
      <c r="AP269" s="209">
        <f t="shared" si="49"/>
        <v>11528.117440511138</v>
      </c>
      <c r="AQ269" s="179">
        <f t="shared" si="51"/>
        <v>-0.10513145928099119</v>
      </c>
      <c r="AR269" s="213">
        <f t="shared" si="52"/>
        <v>0.26407978503306162</v>
      </c>
      <c r="AS269" s="217">
        <f t="shared" ca="1" si="53"/>
        <v>0.78547389992690742</v>
      </c>
      <c r="AT269" s="176">
        <f>DANE!AI269</f>
        <v>1166</v>
      </c>
      <c r="AU269" s="188">
        <f t="shared" si="7"/>
        <v>108989</v>
      </c>
      <c r="AV269" s="177">
        <f t="shared" ca="1" si="23"/>
        <v>2602</v>
      </c>
      <c r="AW269" s="209">
        <f t="shared" si="33"/>
        <v>16288.195046923045</v>
      </c>
      <c r="AX269" s="179">
        <f t="shared" si="34"/>
        <v>-7.6766964260224904E-2</v>
      </c>
      <c r="AY269" s="213">
        <f t="shared" si="35"/>
        <v>0.46263125017842566</v>
      </c>
      <c r="AZ269" s="214">
        <f t="shared" ca="1" si="36"/>
        <v>1.0863621800481733</v>
      </c>
      <c r="BA269" s="176">
        <f>DANE!AM269</f>
        <v>512</v>
      </c>
      <c r="BB269" s="188">
        <f t="shared" si="8"/>
        <v>26448</v>
      </c>
      <c r="BC269" s="177">
        <f t="shared" ca="1" si="24"/>
        <v>658</v>
      </c>
      <c r="BD269" s="209">
        <f t="shared" si="77"/>
        <v>4512.7586107745119</v>
      </c>
      <c r="BE269" s="179">
        <f t="shared" si="80"/>
        <v>-3.3163660807201283E-2</v>
      </c>
      <c r="BF269" s="213">
        <f t="shared" si="81"/>
        <v>0.76785437434959103</v>
      </c>
      <c r="BG269" s="217">
        <f t="shared" ca="1" si="82"/>
        <v>0.93749966165062426</v>
      </c>
      <c r="BH269" s="176">
        <f>DANE!AQ269</f>
        <v>540</v>
      </c>
      <c r="BI269" s="188">
        <f t="shared" si="9"/>
        <v>48147</v>
      </c>
      <c r="BJ269" s="177">
        <f t="shared" ca="1" si="25"/>
        <v>766.85714285714289</v>
      </c>
      <c r="BK269" s="209">
        <f t="shared" si="61"/>
        <v>5923.9252056658288</v>
      </c>
      <c r="BL269" s="179">
        <f t="shared" si="63"/>
        <v>-5.6886939859142248E-2</v>
      </c>
      <c r="BM269" s="213">
        <f t="shared" si="64"/>
        <v>0.60179142098600424</v>
      </c>
      <c r="BN269" s="214">
        <f t="shared" ca="1" si="65"/>
        <v>0.755657236966643</v>
      </c>
      <c r="BO269" s="176">
        <f>DANE!AU269</f>
        <v>309</v>
      </c>
      <c r="BP269" s="188">
        <f t="shared" si="10"/>
        <v>23915</v>
      </c>
      <c r="BQ269" s="177">
        <f t="shared" ca="1" si="26"/>
        <v>610.71428571428567</v>
      </c>
      <c r="BR269" s="209">
        <f t="shared" si="78"/>
        <v>4187.9831570378583</v>
      </c>
      <c r="BS269" s="179">
        <f t="shared" si="83"/>
        <v>-7.4577098284998242E-2</v>
      </c>
      <c r="BT269" s="213">
        <f t="shared" si="84"/>
        <v>0.47796031200501232</v>
      </c>
      <c r="BU269" s="217">
        <f t="shared" ca="1" si="85"/>
        <v>0.99057650180128376</v>
      </c>
      <c r="BV269" s="176">
        <f>DANE!AY269</f>
        <v>979</v>
      </c>
      <c r="BW269" s="188">
        <f t="shared" si="11"/>
        <v>50662</v>
      </c>
      <c r="BX269" s="177">
        <f t="shared" ca="1" si="27"/>
        <v>1307.8571428571429</v>
      </c>
      <c r="BY269" s="209">
        <f t="shared" si="69"/>
        <v>8620.1975902745962</v>
      </c>
      <c r="BZ269" s="179">
        <f t="shared" si="71"/>
        <v>-3.3038904651801315E-2</v>
      </c>
      <c r="CA269" s="213">
        <f t="shared" si="72"/>
        <v>0.76872766743739085</v>
      </c>
      <c r="CB269" s="214">
        <f t="shared" ca="1" si="73"/>
        <v>1.0312457356663718</v>
      </c>
      <c r="CC269" s="176">
        <f>DANE!BC269</f>
        <v>945</v>
      </c>
      <c r="CD269" s="188">
        <f t="shared" si="12"/>
        <v>119541</v>
      </c>
      <c r="CE269" s="177">
        <f t="shared" ca="1" si="28"/>
        <v>2110</v>
      </c>
      <c r="CF269" s="209">
        <f t="shared" si="45"/>
        <v>16374.022528413136</v>
      </c>
      <c r="CG269" s="179">
        <f t="shared" si="46"/>
        <v>-9.0358677804781032E-2</v>
      </c>
      <c r="CH269" s="213">
        <f t="shared" si="47"/>
        <v>0.36748925536653276</v>
      </c>
      <c r="CI269" s="217">
        <f t="shared" ca="1" si="48"/>
        <v>0.6690406191934295</v>
      </c>
      <c r="CJ269" s="176">
        <f>DANE!BG269</f>
        <v>359</v>
      </c>
      <c r="CK269" s="188">
        <f t="shared" si="13"/>
        <v>27911</v>
      </c>
      <c r="CL269" s="177">
        <f t="shared" ca="1" si="29"/>
        <v>649.85714285714289</v>
      </c>
      <c r="CM269" s="209">
        <f t="shared" si="79"/>
        <v>4434.5751619366474</v>
      </c>
      <c r="CN269" s="179">
        <f t="shared" si="86"/>
        <v>-6.7355091370484801E-2</v>
      </c>
      <c r="CO269" s="213">
        <f t="shared" si="87"/>
        <v>0.52851436040660638</v>
      </c>
      <c r="CP269" s="214">
        <f t="shared" ca="1" si="88"/>
        <v>0.85892578984250167</v>
      </c>
      <c r="CQ269" s="176">
        <f>DANE!BK269</f>
        <v>473</v>
      </c>
      <c r="CR269" s="188">
        <f t="shared" si="14"/>
        <v>27140</v>
      </c>
      <c r="CS269" s="177">
        <f t="shared" ca="1" si="30"/>
        <v>898</v>
      </c>
      <c r="CT269" s="209">
        <f t="shared" si="89"/>
        <v>5708.1850987135549</v>
      </c>
      <c r="CU269" s="179">
        <f t="shared" si="90"/>
        <v>-6.5414117675817771E-2</v>
      </c>
      <c r="CV269" s="213">
        <f t="shared" si="91"/>
        <v>0.54210117626927556</v>
      </c>
      <c r="CW269" s="217">
        <f t="shared" ca="1" si="92"/>
        <v>1.1191971219731873</v>
      </c>
      <c r="CX269" s="176">
        <f>DANE!BO269</f>
        <v>630</v>
      </c>
      <c r="CY269" s="188">
        <f t="shared" si="15"/>
        <v>89469</v>
      </c>
      <c r="CZ269" s="177">
        <f t="shared" ca="1" si="31"/>
        <v>1815.5714285714287</v>
      </c>
      <c r="DA269" s="209">
        <f t="shared" si="54"/>
        <v>13610.670237063179</v>
      </c>
      <c r="DB269" s="179">
        <f t="shared" si="58"/>
        <v>-0.10125682560556051</v>
      </c>
      <c r="DC269" s="213">
        <f t="shared" si="59"/>
        <v>0.29120222076107638</v>
      </c>
      <c r="DD269" s="214">
        <f t="shared" ca="1" si="60"/>
        <v>0.82460053973885061</v>
      </c>
      <c r="DE269" s="176">
        <f>DANE!BS269</f>
        <v>457</v>
      </c>
      <c r="DF269" s="188">
        <f t="shared" si="16"/>
        <v>32801</v>
      </c>
      <c r="DG269" s="177">
        <f t="shared" ca="1" si="32"/>
        <v>1012.8571428571429</v>
      </c>
      <c r="DH269" s="209">
        <f t="shared" si="70"/>
        <v>6650.2525908316793</v>
      </c>
      <c r="DI269" s="179">
        <f t="shared" si="74"/>
        <v>-7.9608586469475232E-2</v>
      </c>
      <c r="DJ269" s="157">
        <f t="shared" si="75"/>
        <v>0.44273989471367337</v>
      </c>
      <c r="DK269" s="225">
        <f t="shared" ca="1" si="76"/>
        <v>0.99819251261662656</v>
      </c>
      <c r="DL269" s="75"/>
      <c r="DM269" s="88"/>
      <c r="DN269" s="88"/>
      <c r="DO269" s="88"/>
      <c r="DP269" s="88"/>
      <c r="DQ269" s="88"/>
      <c r="DR269" s="88"/>
      <c r="DS269" s="88"/>
      <c r="DT269" s="88"/>
      <c r="DU269" s="88"/>
      <c r="DV269" s="88"/>
      <c r="DW269" s="75"/>
      <c r="DX269" s="75"/>
      <c r="DY269" s="75"/>
      <c r="DZ269" s="75"/>
      <c r="EA269" s="75"/>
      <c r="EB269" s="75"/>
      <c r="EC269" s="75"/>
      <c r="ED269" s="75"/>
      <c r="EE269" s="75"/>
      <c r="EF269" s="75"/>
      <c r="EG269" s="75"/>
      <c r="EH269" s="75"/>
    </row>
    <row r="270" spans="1:138" x14ac:dyDescent="0.25">
      <c r="A270" s="32">
        <v>44160</v>
      </c>
      <c r="B270" s="33">
        <f t="shared" ca="1" si="98"/>
        <v>44160</v>
      </c>
      <c r="C270" s="51">
        <f t="shared" si="93"/>
        <v>267</v>
      </c>
      <c r="D270" s="176">
        <f>DANE!K270</f>
        <v>825</v>
      </c>
      <c r="E270" s="188">
        <f t="shared" si="1"/>
        <v>65126</v>
      </c>
      <c r="F270" s="178">
        <f t="shared" ca="1" si="17"/>
        <v>1303.7142857142858</v>
      </c>
      <c r="G270" s="209">
        <f t="shared" si="38"/>
        <v>10558.15310818224</v>
      </c>
      <c r="H270" s="179">
        <f t="shared" si="42"/>
        <v>-7.0204134188411163E-2</v>
      </c>
      <c r="I270" s="213">
        <f t="shared" si="43"/>
        <v>0.50857106068112179</v>
      </c>
      <c r="J270" s="214">
        <f t="shared" ca="1" si="44"/>
        <v>0.67484226734575692</v>
      </c>
      <c r="K270" s="176">
        <f>DANE!O270</f>
        <v>1321</v>
      </c>
      <c r="L270" s="188">
        <f t="shared" si="2"/>
        <v>51517</v>
      </c>
      <c r="M270" s="177">
        <f t="shared" ca="1" si="18"/>
        <v>1057.2857142857142</v>
      </c>
      <c r="N270" s="209">
        <f t="shared" si="62"/>
        <v>7426.1945579307776</v>
      </c>
      <c r="O270" s="179">
        <f t="shared" si="66"/>
        <v>4.2605532171755583E-2</v>
      </c>
      <c r="P270" s="213">
        <f t="shared" si="67"/>
        <v>1.2982387252022891</v>
      </c>
      <c r="Q270" s="217">
        <f t="shared" ca="1" si="68"/>
        <v>0.96412864294597433</v>
      </c>
      <c r="R270" s="176">
        <f>DANE!S270</f>
        <v>932</v>
      </c>
      <c r="S270" s="188">
        <f t="shared" si="3"/>
        <v>46483</v>
      </c>
      <c r="T270" s="177">
        <f t="shared" ca="1" si="19"/>
        <v>954.28571428571433</v>
      </c>
      <c r="U270" s="209">
        <f t="shared" si="50"/>
        <v>6940.1102630342657</v>
      </c>
      <c r="V270" s="179">
        <f t="shared" si="55"/>
        <v>-9.8940133732812342E-3</v>
      </c>
      <c r="W270" s="213">
        <f t="shared" si="56"/>
        <v>0.93074190638703136</v>
      </c>
      <c r="X270" s="214">
        <f t="shared" ca="1" si="57"/>
        <v>0.88403873748407624</v>
      </c>
      <c r="Y270" s="176">
        <f>DANE!W270</f>
        <v>504</v>
      </c>
      <c r="Z270" s="188">
        <f t="shared" si="4"/>
        <v>19878</v>
      </c>
      <c r="AA270" s="177">
        <f t="shared" ca="1" si="20"/>
        <v>513.85714285714289</v>
      </c>
      <c r="AB270" s="209">
        <f t="shared" si="94"/>
        <v>3513.5186293732736</v>
      </c>
      <c r="AC270" s="179">
        <f t="shared" si="95"/>
        <v>6.874080167500069E-4</v>
      </c>
      <c r="AD270" s="213">
        <f t="shared" si="96"/>
        <v>1.0048118561172501</v>
      </c>
      <c r="AE270" s="217">
        <f t="shared" ca="1" si="97"/>
        <v>0.95095359324042483</v>
      </c>
      <c r="AF270" s="176">
        <f>DANE!AA270</f>
        <v>1010</v>
      </c>
      <c r="AG270" s="188">
        <f t="shared" si="5"/>
        <v>60984</v>
      </c>
      <c r="AH270" s="177">
        <f t="shared" ca="1" si="21"/>
        <v>1134</v>
      </c>
      <c r="AI270" s="209">
        <f t="shared" si="37"/>
        <v>8063.1408468163336</v>
      </c>
      <c r="AJ270" s="179">
        <f t="shared" si="39"/>
        <v>-2.0115472937839458E-2</v>
      </c>
      <c r="AK270" s="213">
        <f t="shared" si="40"/>
        <v>0.85919168943512381</v>
      </c>
      <c r="AL270" s="214">
        <f t="shared" ca="1" si="41"/>
        <v>0.86496300374649437</v>
      </c>
      <c r="AM270" s="176">
        <f>DANE!AE270</f>
        <v>933</v>
      </c>
      <c r="AN270" s="188">
        <f t="shared" si="6"/>
        <v>92759</v>
      </c>
      <c r="AO270" s="177">
        <f t="shared" ca="1" si="22"/>
        <v>1449.4285714285713</v>
      </c>
      <c r="AP270" s="209">
        <f t="shared" si="49"/>
        <v>10814.243520438118</v>
      </c>
      <c r="AQ270" s="179">
        <f t="shared" si="51"/>
        <v>-6.1924587753103916E-2</v>
      </c>
      <c r="AR270" s="213">
        <f t="shared" si="52"/>
        <v>0.56652788572827251</v>
      </c>
      <c r="AS270" s="217">
        <f t="shared" ca="1" si="53"/>
        <v>0.75479928275387154</v>
      </c>
      <c r="AT270" s="176">
        <f>DANE!AI270</f>
        <v>1577</v>
      </c>
      <c r="AU270" s="188">
        <f t="shared" si="7"/>
        <v>110566</v>
      </c>
      <c r="AV270" s="177">
        <f t="shared" ca="1" si="23"/>
        <v>2350.1428571428573</v>
      </c>
      <c r="AW270" s="209">
        <f t="shared" si="33"/>
        <v>15538.310040219754</v>
      </c>
      <c r="AX270" s="179">
        <f t="shared" si="34"/>
        <v>-4.6038557651294179E-2</v>
      </c>
      <c r="AY270" s="213">
        <f t="shared" si="35"/>
        <v>0.67773009644094073</v>
      </c>
      <c r="AZ270" s="214">
        <f t="shared" ca="1" si="36"/>
        <v>0.96138510069703409</v>
      </c>
      <c r="BA270" s="176">
        <f>DANE!AM270</f>
        <v>459</v>
      </c>
      <c r="BB270" s="188">
        <f t="shared" si="8"/>
        <v>26907</v>
      </c>
      <c r="BC270" s="177">
        <f t="shared" ca="1" si="24"/>
        <v>600.57142857142856</v>
      </c>
      <c r="BD270" s="209">
        <f t="shared" si="77"/>
        <v>4327.0788092352959</v>
      </c>
      <c r="BE270" s="179">
        <f t="shared" si="80"/>
        <v>-4.1145520413144433E-2</v>
      </c>
      <c r="BF270" s="213">
        <f t="shared" si="81"/>
        <v>0.71198135710798893</v>
      </c>
      <c r="BG270" s="217">
        <f t="shared" ca="1" si="82"/>
        <v>0.86046770003244022</v>
      </c>
      <c r="BH270" s="176">
        <f>DANE!AQ270</f>
        <v>590</v>
      </c>
      <c r="BI270" s="188">
        <f t="shared" si="9"/>
        <v>48737</v>
      </c>
      <c r="BJ270" s="177">
        <f t="shared" ca="1" si="25"/>
        <v>740.14285714285711</v>
      </c>
      <c r="BK270" s="209">
        <f t="shared" si="61"/>
        <v>5667.6501762849966</v>
      </c>
      <c r="BL270" s="179">
        <f t="shared" si="63"/>
        <v>-4.3261017059385329E-2</v>
      </c>
      <c r="BM270" s="213">
        <f t="shared" si="64"/>
        <v>0.69717288058430271</v>
      </c>
      <c r="BN270" s="214">
        <f t="shared" ca="1" si="65"/>
        <v>0.75315305535523558</v>
      </c>
      <c r="BO270" s="176">
        <f>DANE!AU270</f>
        <v>449</v>
      </c>
      <c r="BP270" s="188">
        <f t="shared" si="10"/>
        <v>24364</v>
      </c>
      <c r="BQ270" s="177">
        <f t="shared" ca="1" si="26"/>
        <v>606.28571428571433</v>
      </c>
      <c r="BR270" s="209">
        <f t="shared" si="78"/>
        <v>4038.6998488895929</v>
      </c>
      <c r="BS270" s="179">
        <f t="shared" si="83"/>
        <v>-3.5645632408381707E-2</v>
      </c>
      <c r="BT270" s="213">
        <f t="shared" si="84"/>
        <v>0.75048057314132799</v>
      </c>
      <c r="BU270" s="217">
        <f t="shared" ca="1" si="85"/>
        <v>0.98529783165721141</v>
      </c>
      <c r="BV270" s="176">
        <f>DANE!AY270</f>
        <v>1126</v>
      </c>
      <c r="BW270" s="188">
        <f t="shared" si="11"/>
        <v>51788</v>
      </c>
      <c r="BX270" s="177">
        <f t="shared" ca="1" si="27"/>
        <v>1281.1428571428571</v>
      </c>
      <c r="BY270" s="209">
        <f t="shared" si="69"/>
        <v>8514.7407916639404</v>
      </c>
      <c r="BZ270" s="179">
        <f t="shared" si="71"/>
        <v>-1.2233686931913646E-2</v>
      </c>
      <c r="CA270" s="213">
        <f t="shared" si="72"/>
        <v>0.91436419147660453</v>
      </c>
      <c r="CB270" s="214">
        <f t="shared" ca="1" si="73"/>
        <v>1.0053217420179361</v>
      </c>
      <c r="CC270" s="176">
        <f>DANE!BC270</f>
        <v>1941</v>
      </c>
      <c r="CD270" s="188">
        <f t="shared" si="12"/>
        <v>121482</v>
      </c>
      <c r="CE270" s="177">
        <f t="shared" ca="1" si="28"/>
        <v>2071</v>
      </c>
      <c r="CF270" s="209">
        <f t="shared" si="45"/>
        <v>15975.876452925546</v>
      </c>
      <c r="CG270" s="179">
        <f t="shared" si="46"/>
        <v>-2.4315715628014073E-2</v>
      </c>
      <c r="CH270" s="213">
        <f t="shared" si="47"/>
        <v>0.82978999060390146</v>
      </c>
      <c r="CI270" s="217">
        <f t="shared" ca="1" si="48"/>
        <v>0.69211812550986329</v>
      </c>
      <c r="CJ270" s="176">
        <f>DANE!BG270</f>
        <v>303</v>
      </c>
      <c r="CK270" s="188">
        <f t="shared" si="13"/>
        <v>28214</v>
      </c>
      <c r="CL270" s="177">
        <f t="shared" ca="1" si="29"/>
        <v>568.85714285714289</v>
      </c>
      <c r="CM270" s="209">
        <f t="shared" si="79"/>
        <v>4104.0644245171261</v>
      </c>
      <c r="CN270" s="179">
        <f t="shared" si="86"/>
        <v>-7.4530417311763908E-2</v>
      </c>
      <c r="CO270" s="213">
        <f t="shared" si="87"/>
        <v>0.47828707881765264</v>
      </c>
      <c r="CP270" s="214">
        <f t="shared" ca="1" si="88"/>
        <v>0.7583878607065373</v>
      </c>
      <c r="CQ270" s="176">
        <f>DANE!BK270</f>
        <v>858</v>
      </c>
      <c r="CR270" s="188">
        <f t="shared" si="14"/>
        <v>27998</v>
      </c>
      <c r="CS270" s="177">
        <f t="shared" ca="1" si="30"/>
        <v>908</v>
      </c>
      <c r="CT270" s="209">
        <f t="shared" si="89"/>
        <v>5750.7300846116186</v>
      </c>
      <c r="CU270" s="179">
        <f t="shared" si="90"/>
        <v>7.4533297645957581E-3</v>
      </c>
      <c r="CV270" s="213">
        <f t="shared" si="91"/>
        <v>1.0521733083521703</v>
      </c>
      <c r="CW270" s="217">
        <f t="shared" ca="1" si="92"/>
        <v>1.1150826955168751</v>
      </c>
      <c r="CX270" s="176">
        <f>DANE!BO270</f>
        <v>1420</v>
      </c>
      <c r="CY270" s="188">
        <f t="shared" si="15"/>
        <v>90889</v>
      </c>
      <c r="CZ270" s="177">
        <f t="shared" ca="1" si="31"/>
        <v>1850.7142857142858</v>
      </c>
      <c r="DA270" s="209">
        <f t="shared" si="54"/>
        <v>13086.288774625584</v>
      </c>
      <c r="DB270" s="179">
        <f t="shared" si="58"/>
        <v>-3.8527232921245401E-2</v>
      </c>
      <c r="DC270" s="213">
        <f t="shared" si="59"/>
        <v>0.73030936955128212</v>
      </c>
      <c r="DD270" s="214">
        <f t="shared" ca="1" si="60"/>
        <v>0.85717669369200145</v>
      </c>
      <c r="DE270" s="176">
        <f>DANE!BS270</f>
        <v>1011</v>
      </c>
      <c r="DF270" s="188">
        <f t="shared" si="16"/>
        <v>33812</v>
      </c>
      <c r="DG270" s="177">
        <f t="shared" ca="1" si="32"/>
        <v>993.57142857142856</v>
      </c>
      <c r="DH270" s="209">
        <f t="shared" si="70"/>
        <v>6711.2165064271539</v>
      </c>
      <c r="DI270" s="179">
        <f t="shared" si="74"/>
        <v>9.1671579030730491E-3</v>
      </c>
      <c r="DJ270" s="157">
        <f t="shared" si="75"/>
        <v>1.0641701053215114</v>
      </c>
      <c r="DK270" s="225">
        <f t="shared" ca="1" si="76"/>
        <v>0.97906245630743516</v>
      </c>
      <c r="DL270" s="146"/>
      <c r="DM270" s="380"/>
      <c r="DN270" s="372"/>
      <c r="DO270" s="372"/>
      <c r="DP270" s="372"/>
      <c r="DQ270" s="372"/>
      <c r="DR270" s="372"/>
      <c r="DS270" s="372"/>
      <c r="DT270" s="88"/>
      <c r="DU270" s="88"/>
      <c r="DV270" s="88"/>
      <c r="DW270" s="146"/>
      <c r="DX270" s="146"/>
      <c r="DY270" s="146"/>
      <c r="DZ270" s="146"/>
      <c r="EA270" s="146"/>
      <c r="EB270" s="146"/>
      <c r="EC270" s="146"/>
      <c r="ED270" s="146"/>
      <c r="EE270" s="146"/>
      <c r="EF270" s="146"/>
      <c r="EG270" s="146"/>
      <c r="EH270" s="146"/>
    </row>
    <row r="271" spans="1:138" x14ac:dyDescent="0.25">
      <c r="A271" s="32">
        <v>44161</v>
      </c>
      <c r="B271" s="33">
        <f t="shared" ca="1" si="98"/>
        <v>44161</v>
      </c>
      <c r="C271" s="51">
        <f t="shared" si="93"/>
        <v>268</v>
      </c>
      <c r="D271" s="176">
        <f>DANE!K271</f>
        <v>1112</v>
      </c>
      <c r="E271" s="188">
        <f t="shared" si="1"/>
        <v>66238</v>
      </c>
      <c r="F271" s="178">
        <f t="shared" ca="1" si="17"/>
        <v>1204.2857142857142</v>
      </c>
      <c r="G271" s="209">
        <f t="shared" si="38"/>
        <v>10161.845521299063</v>
      </c>
      <c r="H271" s="179">
        <f t="shared" si="42"/>
        <v>-3.7535692352865246E-2</v>
      </c>
      <c r="I271" s="213">
        <f t="shared" si="43"/>
        <v>0.73725015352994328</v>
      </c>
      <c r="J271" s="214">
        <f t="shared" ca="1" si="44"/>
        <v>0.65764555622386056</v>
      </c>
      <c r="K271" s="176">
        <f>DANE!O271</f>
        <v>1207</v>
      </c>
      <c r="L271" s="188">
        <f t="shared" si="2"/>
        <v>52724</v>
      </c>
      <c r="M271" s="177">
        <f t="shared" ca="1" si="18"/>
        <v>1095.4285714285713</v>
      </c>
      <c r="N271" s="209">
        <f t="shared" si="62"/>
        <v>7572.3096210835238</v>
      </c>
      <c r="O271" s="179">
        <f t="shared" si="66"/>
        <v>1.9675630905293631E-2</v>
      </c>
      <c r="P271" s="213">
        <f t="shared" si="67"/>
        <v>1.1377294163370555</v>
      </c>
      <c r="Q271" s="217">
        <f t="shared" ca="1" si="68"/>
        <v>1.0052413932584245</v>
      </c>
      <c r="R271" s="176">
        <f>DANE!S271</f>
        <v>1027</v>
      </c>
      <c r="S271" s="188">
        <f t="shared" si="3"/>
        <v>47510</v>
      </c>
      <c r="T271" s="177">
        <f t="shared" ca="1" si="19"/>
        <v>942.71428571428567</v>
      </c>
      <c r="U271" s="209">
        <f t="shared" si="50"/>
        <v>6975.665939743657</v>
      </c>
      <c r="V271" s="179">
        <f t="shared" si="55"/>
        <v>5.1232149579488193E-3</v>
      </c>
      <c r="W271" s="213">
        <f t="shared" si="56"/>
        <v>1.0358625047056418</v>
      </c>
      <c r="X271" s="214">
        <f t="shared" ca="1" si="57"/>
        <v>0.89083532813554656</v>
      </c>
      <c r="Y271" s="176">
        <f>DANE!W271</f>
        <v>508</v>
      </c>
      <c r="Z271" s="188">
        <f t="shared" si="4"/>
        <v>20386</v>
      </c>
      <c r="AA271" s="177">
        <f t="shared" ca="1" si="20"/>
        <v>494.85714285714283</v>
      </c>
      <c r="AB271" s="209">
        <f t="shared" si="94"/>
        <v>3519.5873966056633</v>
      </c>
      <c r="AC271" s="179">
        <f t="shared" si="95"/>
        <v>1.7272620050038745E-3</v>
      </c>
      <c r="AD271" s="213">
        <f t="shared" si="96"/>
        <v>1.0120908340350272</v>
      </c>
      <c r="AE271" s="217">
        <f t="shared" ca="1" si="97"/>
        <v>0.92258365441207546</v>
      </c>
      <c r="AF271" s="176">
        <f>DANE!AA271</f>
        <v>1099</v>
      </c>
      <c r="AG271" s="188">
        <f t="shared" si="5"/>
        <v>62083</v>
      </c>
      <c r="AH271" s="177">
        <f t="shared" ca="1" si="21"/>
        <v>1107</v>
      </c>
      <c r="AI271" s="209">
        <f t="shared" si="37"/>
        <v>8010.2635829854289</v>
      </c>
      <c r="AJ271" s="179">
        <f t="shared" si="39"/>
        <v>-6.557899066315185E-3</v>
      </c>
      <c r="AK271" s="213">
        <f t="shared" si="40"/>
        <v>0.95409470653579365</v>
      </c>
      <c r="AL271" s="214">
        <f t="shared" ca="1" si="41"/>
        <v>0.86245313520125211</v>
      </c>
      <c r="AM271" s="176">
        <f>DANE!AE271</f>
        <v>914</v>
      </c>
      <c r="AN271" s="188">
        <f t="shared" si="6"/>
        <v>93673</v>
      </c>
      <c r="AO271" s="177">
        <f t="shared" ca="1" si="22"/>
        <v>1341.4285714285713</v>
      </c>
      <c r="AP271" s="209">
        <f t="shared" si="49"/>
        <v>10183.35158894696</v>
      </c>
      <c r="AQ271" s="179">
        <f t="shared" si="51"/>
        <v>-5.8338979541085717E-2</v>
      </c>
      <c r="AR271" s="213">
        <f t="shared" si="52"/>
        <v>0.59162714321239995</v>
      </c>
      <c r="AS271" s="217">
        <f t="shared" ca="1" si="53"/>
        <v>0.71966796955416767</v>
      </c>
      <c r="AT271" s="176">
        <f>DANE!AI271</f>
        <v>1785</v>
      </c>
      <c r="AU271" s="188">
        <f t="shared" si="7"/>
        <v>112351</v>
      </c>
      <c r="AV271" s="177">
        <f t="shared" ca="1" si="23"/>
        <v>2170.7142857142858</v>
      </c>
      <c r="AW271" s="209">
        <f t="shared" si="33"/>
        <v>15103.551463045505</v>
      </c>
      <c r="AX271" s="179">
        <f t="shared" si="34"/>
        <v>-2.7979785192141789E-2</v>
      </c>
      <c r="AY271" s="213">
        <f t="shared" si="35"/>
        <v>0.80414150365500747</v>
      </c>
      <c r="AZ271" s="214">
        <f t="shared" ca="1" si="36"/>
        <v>0.88909673936550426</v>
      </c>
      <c r="BA271" s="176">
        <f>DANE!AM271</f>
        <v>587</v>
      </c>
      <c r="BB271" s="188">
        <f t="shared" si="8"/>
        <v>27494</v>
      </c>
      <c r="BC271" s="177">
        <f t="shared" ca="1" si="24"/>
        <v>587</v>
      </c>
      <c r="BD271" s="209">
        <f t="shared" si="77"/>
        <v>4295.9246936302534</v>
      </c>
      <c r="BE271" s="179">
        <f t="shared" si="80"/>
        <v>-7.1998031416830727E-3</v>
      </c>
      <c r="BF271" s="213">
        <f t="shared" si="81"/>
        <v>0.94960137800821853</v>
      </c>
      <c r="BG271" s="217">
        <f t="shared" ca="1" si="82"/>
        <v>0.85944674978889957</v>
      </c>
      <c r="BH271" s="176">
        <f>DANE!AQ271</f>
        <v>649</v>
      </c>
      <c r="BI271" s="188">
        <f t="shared" si="9"/>
        <v>49386</v>
      </c>
      <c r="BJ271" s="177">
        <f t="shared" ca="1" si="25"/>
        <v>676.28571428571433</v>
      </c>
      <c r="BK271" s="209">
        <f t="shared" si="61"/>
        <v>5506.9858653871406</v>
      </c>
      <c r="BL271" s="179">
        <f t="shared" si="63"/>
        <v>-2.8347605427399097E-2</v>
      </c>
      <c r="BM271" s="213">
        <f t="shared" si="64"/>
        <v>0.80156676200820631</v>
      </c>
      <c r="BN271" s="214">
        <f t="shared" ca="1" si="65"/>
        <v>0.71752554499917875</v>
      </c>
      <c r="BO271" s="176">
        <f>DANE!AU271</f>
        <v>464</v>
      </c>
      <c r="BP271" s="188">
        <f t="shared" si="10"/>
        <v>24828</v>
      </c>
      <c r="BQ271" s="177">
        <f t="shared" ca="1" si="26"/>
        <v>598.71428571428567</v>
      </c>
      <c r="BR271" s="209">
        <f t="shared" si="78"/>
        <v>3925.7427276196513</v>
      </c>
      <c r="BS271" s="179">
        <f t="shared" si="83"/>
        <v>-2.7968684352960325E-2</v>
      </c>
      <c r="BT271" s="213">
        <f t="shared" si="84"/>
        <v>0.80421920952927772</v>
      </c>
      <c r="BU271" s="217">
        <f t="shared" ca="1" si="85"/>
        <v>0.97523046258033708</v>
      </c>
      <c r="BV271" s="176">
        <f>DANE!AY271</f>
        <v>1105</v>
      </c>
      <c r="BW271" s="188">
        <f t="shared" si="11"/>
        <v>52893</v>
      </c>
      <c r="BX271" s="177">
        <f t="shared" ca="1" si="27"/>
        <v>1224.8571428571429</v>
      </c>
      <c r="BY271" s="209">
        <f t="shared" si="69"/>
        <v>8403.3492499976637</v>
      </c>
      <c r="BZ271" s="179">
        <f t="shared" si="71"/>
        <v>-1.3082199962602582E-2</v>
      </c>
      <c r="CA271" s="213">
        <f t="shared" si="72"/>
        <v>0.90842460026178196</v>
      </c>
      <c r="CB271" s="214">
        <f t="shared" ca="1" si="73"/>
        <v>0.95878641522538821</v>
      </c>
      <c r="CC271" s="176">
        <f>DANE!BC271</f>
        <v>1824</v>
      </c>
      <c r="CD271" s="188">
        <f t="shared" si="12"/>
        <v>123306</v>
      </c>
      <c r="CE271" s="177">
        <f t="shared" ca="1" si="28"/>
        <v>1706.2857142857142</v>
      </c>
      <c r="CF271" s="209">
        <f t="shared" si="45"/>
        <v>15517.608388221897</v>
      </c>
      <c r="CG271" s="179">
        <f t="shared" si="46"/>
        <v>-2.8685003045308938E-2</v>
      </c>
      <c r="CH271" s="213">
        <f t="shared" si="47"/>
        <v>0.79920497868283746</v>
      </c>
      <c r="CI271" s="217">
        <f t="shared" ca="1" si="48"/>
        <v>0.60817199368598351</v>
      </c>
      <c r="CJ271" s="176">
        <f>DANE!BG271</f>
        <v>473</v>
      </c>
      <c r="CK271" s="188">
        <f t="shared" si="13"/>
        <v>28687</v>
      </c>
      <c r="CL271" s="177">
        <f t="shared" ca="1" si="29"/>
        <v>501.42857142857144</v>
      </c>
      <c r="CM271" s="209">
        <f t="shared" si="79"/>
        <v>3990.7695067289656</v>
      </c>
      <c r="CN271" s="179">
        <f t="shared" si="86"/>
        <v>-2.7605540768646814E-2</v>
      </c>
      <c r="CO271" s="213">
        <f t="shared" si="87"/>
        <v>0.80676121461947226</v>
      </c>
      <c r="CP271" s="214">
        <f t="shared" ca="1" si="88"/>
        <v>0.6948669388272668</v>
      </c>
      <c r="CQ271" s="176">
        <f>DANE!BK271</f>
        <v>1210</v>
      </c>
      <c r="CR271" s="188">
        <f t="shared" si="14"/>
        <v>29208</v>
      </c>
      <c r="CS271" s="177">
        <f t="shared" ca="1" si="30"/>
        <v>934.42857142857144</v>
      </c>
      <c r="CT271" s="209">
        <f t="shared" si="89"/>
        <v>6139.1972153813877</v>
      </c>
      <c r="CU271" s="179">
        <f t="shared" si="90"/>
        <v>6.7550923979073266E-2</v>
      </c>
      <c r="CV271" s="213">
        <f t="shared" si="91"/>
        <v>1.472856467853513</v>
      </c>
      <c r="CW271" s="217">
        <f t="shared" ca="1" si="92"/>
        <v>1.1269178541354974</v>
      </c>
      <c r="CX271" s="176">
        <f>DANE!BO271</f>
        <v>1668</v>
      </c>
      <c r="CY271" s="188">
        <f t="shared" si="15"/>
        <v>92557</v>
      </c>
      <c r="CZ271" s="177">
        <f t="shared" ca="1" si="31"/>
        <v>1781.4285714285713</v>
      </c>
      <c r="DA271" s="209">
        <f t="shared" si="54"/>
        <v>12884.818949679073</v>
      </c>
      <c r="DB271" s="179">
        <f t="shared" si="58"/>
        <v>-1.5395489769197399E-2</v>
      </c>
      <c r="DC271" s="213">
        <f t="shared" si="59"/>
        <v>0.89223157161561817</v>
      </c>
      <c r="DD271" s="214">
        <f t="shared" ca="1" si="60"/>
        <v>0.8429764042084914</v>
      </c>
      <c r="DE271" s="176">
        <f>DANE!BS271</f>
        <v>991</v>
      </c>
      <c r="DF271" s="188">
        <f t="shared" si="16"/>
        <v>34803</v>
      </c>
      <c r="DG271" s="177">
        <f t="shared" ca="1" si="32"/>
        <v>965.85714285714289</v>
      </c>
      <c r="DH271" s="209">
        <f t="shared" si="70"/>
        <v>6743.4712912232753</v>
      </c>
      <c r="DI271" s="179">
        <f t="shared" si="74"/>
        <v>4.8061010645732904E-3</v>
      </c>
      <c r="DJ271" s="157">
        <f t="shared" si="75"/>
        <v>1.0336427074520129</v>
      </c>
      <c r="DK271" s="225">
        <f t="shared" ca="1" si="76"/>
        <v>0.95461691753444644</v>
      </c>
      <c r="DL271" s="146"/>
      <c r="DM271" s="380"/>
      <c r="DN271" s="372"/>
      <c r="DO271" s="372"/>
      <c r="DP271" s="372"/>
      <c r="DQ271" s="372"/>
      <c r="DR271" s="372"/>
      <c r="DS271" s="372"/>
      <c r="DT271" s="89"/>
      <c r="DU271" s="89"/>
      <c r="DV271" s="89"/>
      <c r="DW271" s="146"/>
      <c r="DX271" s="146"/>
      <c r="DY271" s="146"/>
      <c r="DZ271" s="146"/>
      <c r="EA271" s="146"/>
      <c r="EB271" s="146"/>
      <c r="EC271" s="146"/>
      <c r="ED271" s="146"/>
      <c r="EE271" s="146"/>
      <c r="EF271" s="146"/>
      <c r="EG271" s="146"/>
      <c r="EH271" s="146"/>
    </row>
    <row r="272" spans="1:138" x14ac:dyDescent="0.25">
      <c r="A272" s="32">
        <v>44162</v>
      </c>
      <c r="B272" s="33">
        <f t="shared" ca="1" si="98"/>
        <v>44162</v>
      </c>
      <c r="C272" s="51">
        <f t="shared" si="93"/>
        <v>269</v>
      </c>
      <c r="D272" s="176">
        <f>DANE!K272</f>
        <v>1318</v>
      </c>
      <c r="E272" s="188">
        <f t="shared" si="1"/>
        <v>67556</v>
      </c>
      <c r="F272" s="178">
        <f t="shared" ca="1" si="17"/>
        <v>1160.2857142857142</v>
      </c>
      <c r="G272" s="209">
        <f t="shared" si="38"/>
        <v>10028.153303970626</v>
      </c>
      <c r="H272" s="179">
        <f t="shared" si="42"/>
        <v>-1.315629302258333E-2</v>
      </c>
      <c r="I272" s="213">
        <f t="shared" si="43"/>
        <v>0.90790594884191667</v>
      </c>
      <c r="J272" s="214">
        <f t="shared" ca="1" si="44"/>
        <v>0.67487379972965589</v>
      </c>
      <c r="K272" s="176">
        <f>DANE!O272</f>
        <v>1368</v>
      </c>
      <c r="L272" s="188">
        <f t="shared" si="2"/>
        <v>54092</v>
      </c>
      <c r="M272" s="177">
        <f t="shared" ca="1" si="18"/>
        <v>1086.4285714285713</v>
      </c>
      <c r="N272" s="209">
        <f t="shared" si="62"/>
        <v>7858.5511037858778</v>
      </c>
      <c r="O272" s="179">
        <f t="shared" si="66"/>
        <v>3.7801080122948756E-2</v>
      </c>
      <c r="P272" s="213">
        <f t="shared" si="67"/>
        <v>1.2646075608606413</v>
      </c>
      <c r="Q272" s="217">
        <f t="shared" ca="1" si="68"/>
        <v>0.99700770767259539</v>
      </c>
      <c r="R272" s="176">
        <f>DANE!S272</f>
        <v>802</v>
      </c>
      <c r="S272" s="188">
        <f t="shared" si="3"/>
        <v>48312</v>
      </c>
      <c r="T272" s="177">
        <f t="shared" ca="1" si="19"/>
        <v>960.85714285714289</v>
      </c>
      <c r="U272" s="209">
        <f t="shared" si="50"/>
        <v>6781.1422340659919</v>
      </c>
      <c r="V272" s="179">
        <f t="shared" si="55"/>
        <v>-2.7886040896736724E-2</v>
      </c>
      <c r="W272" s="213">
        <f t="shared" si="56"/>
        <v>0.80479771372284292</v>
      </c>
      <c r="X272" s="214">
        <f t="shared" ca="1" si="57"/>
        <v>0.91965229540307913</v>
      </c>
      <c r="Y272" s="176">
        <f>DANE!W272</f>
        <v>494</v>
      </c>
      <c r="Z272" s="188">
        <f t="shared" si="4"/>
        <v>20880</v>
      </c>
      <c r="AA272" s="177">
        <f t="shared" ca="1" si="20"/>
        <v>485.14285714285717</v>
      </c>
      <c r="AB272" s="209">
        <f t="shared" si="94"/>
        <v>3510.7891970905689</v>
      </c>
      <c r="AC272" s="179">
        <f t="shared" si="95"/>
        <v>-2.4997815151797447E-3</v>
      </c>
      <c r="AD272" s="213">
        <f t="shared" si="96"/>
        <v>0.9825015293937418</v>
      </c>
      <c r="AE272" s="217">
        <f t="shared" ca="1" si="97"/>
        <v>0.91573296818186278</v>
      </c>
      <c r="AF272" s="176">
        <f>DANE!AA272</f>
        <v>1001</v>
      </c>
      <c r="AG272" s="188">
        <f t="shared" si="5"/>
        <v>63084</v>
      </c>
      <c r="AH272" s="177">
        <f t="shared" ca="1" si="21"/>
        <v>1039.7142857142858</v>
      </c>
      <c r="AI272" s="209">
        <f t="shared" si="37"/>
        <v>7866.940213987511</v>
      </c>
      <c r="AJ272" s="179">
        <f t="shared" si="39"/>
        <v>-1.7892466023508954E-2</v>
      </c>
      <c r="AK272" s="213">
        <f t="shared" si="40"/>
        <v>0.87475273783543728</v>
      </c>
      <c r="AL272" s="214">
        <f t="shared" ca="1" si="41"/>
        <v>0.82813404094104903</v>
      </c>
      <c r="AM272" s="176">
        <f>DANE!AE272</f>
        <v>868</v>
      </c>
      <c r="AN272" s="188">
        <f t="shared" si="6"/>
        <v>94541</v>
      </c>
      <c r="AO272" s="177">
        <f t="shared" ca="1" si="22"/>
        <v>1179.8571428571429</v>
      </c>
      <c r="AP272" s="209">
        <f t="shared" si="49"/>
        <v>9596.5870762402519</v>
      </c>
      <c r="AQ272" s="179">
        <f t="shared" si="51"/>
        <v>-5.7619979785789185E-2</v>
      </c>
      <c r="AR272" s="213">
        <f t="shared" si="52"/>
        <v>0.59666014149947566</v>
      </c>
      <c r="AS272" s="217">
        <f t="shared" ca="1" si="53"/>
        <v>0.65828119331095258</v>
      </c>
      <c r="AT272" s="176">
        <f>DANE!AI272</f>
        <v>2057</v>
      </c>
      <c r="AU272" s="188">
        <f t="shared" si="7"/>
        <v>114408</v>
      </c>
      <c r="AV272" s="177">
        <f t="shared" ca="1" si="23"/>
        <v>2081.8571428571427</v>
      </c>
      <c r="AW272" s="209">
        <f t="shared" si="33"/>
        <v>15002.901254039005</v>
      </c>
      <c r="AX272" s="179">
        <f t="shared" si="34"/>
        <v>-6.6640094055206564E-3</v>
      </c>
      <c r="AY272" s="213">
        <f t="shared" si="35"/>
        <v>0.95335193416135544</v>
      </c>
      <c r="AZ272" s="214">
        <f t="shared" ca="1" si="36"/>
        <v>0.8674001887094972</v>
      </c>
      <c r="BA272" s="176">
        <f>DANE!AM272</f>
        <v>536</v>
      </c>
      <c r="BB272" s="188">
        <f t="shared" si="8"/>
        <v>28030</v>
      </c>
      <c r="BC272" s="177">
        <f t="shared" ca="1" si="24"/>
        <v>550.42857142857144</v>
      </c>
      <c r="BD272" s="209">
        <f t="shared" si="77"/>
        <v>4218.2211659687891</v>
      </c>
      <c r="BE272" s="179">
        <f t="shared" si="80"/>
        <v>-1.8087730396363445E-2</v>
      </c>
      <c r="BF272" s="213">
        <f t="shared" si="81"/>
        <v>0.87338588722545585</v>
      </c>
      <c r="BG272" s="217">
        <f t="shared" ca="1" si="82"/>
        <v>0.82450616221685524</v>
      </c>
      <c r="BH272" s="176">
        <f>DANE!AQ272</f>
        <v>790</v>
      </c>
      <c r="BI272" s="188">
        <f t="shared" si="9"/>
        <v>50176</v>
      </c>
      <c r="BJ272" s="177">
        <f t="shared" ca="1" si="25"/>
        <v>669.14285714285711</v>
      </c>
      <c r="BK272" s="209">
        <f t="shared" si="61"/>
        <v>5510.2735989032635</v>
      </c>
      <c r="BL272" s="179">
        <f t="shared" si="63"/>
        <v>5.9701143175020139E-4</v>
      </c>
      <c r="BM272" s="213">
        <f t="shared" si="64"/>
        <v>1.0041790800222514</v>
      </c>
      <c r="BN272" s="214">
        <f t="shared" ca="1" si="65"/>
        <v>0.74674279283262279</v>
      </c>
      <c r="BO272" s="176">
        <f>DANE!AU272</f>
        <v>491</v>
      </c>
      <c r="BP272" s="188">
        <f t="shared" si="10"/>
        <v>25319</v>
      </c>
      <c r="BQ272" s="177">
        <f t="shared" ca="1" si="26"/>
        <v>565.71428571428567</v>
      </c>
      <c r="BR272" s="209">
        <f t="shared" si="78"/>
        <v>3855.9223379597015</v>
      </c>
      <c r="BS272" s="179">
        <f t="shared" si="83"/>
        <v>-1.7785268802442623E-2</v>
      </c>
      <c r="BT272" s="213">
        <f t="shared" si="84"/>
        <v>0.87550311838290162</v>
      </c>
      <c r="BU272" s="217">
        <f t="shared" ca="1" si="85"/>
        <v>0.92261845208778759</v>
      </c>
      <c r="BV272" s="176">
        <f>DANE!AY272</f>
        <v>1258</v>
      </c>
      <c r="BW272" s="188">
        <f t="shared" si="11"/>
        <v>54151</v>
      </c>
      <c r="BX272" s="177">
        <f t="shared" ca="1" si="27"/>
        <v>1183</v>
      </c>
      <c r="BY272" s="209">
        <f t="shared" si="69"/>
        <v>8460.8707857122827</v>
      </c>
      <c r="BZ272" s="179">
        <f t="shared" si="71"/>
        <v>6.8450726018123003E-3</v>
      </c>
      <c r="CA272" s="213">
        <f t="shared" si="72"/>
        <v>1.0479155082126861</v>
      </c>
      <c r="CB272" s="214">
        <f t="shared" ca="1" si="73"/>
        <v>0.93196738192645168</v>
      </c>
      <c r="CC272" s="176">
        <f>DANE!BC272</f>
        <v>1560</v>
      </c>
      <c r="CD272" s="188">
        <f t="shared" si="12"/>
        <v>124866</v>
      </c>
      <c r="CE272" s="177">
        <f t="shared" ca="1" si="28"/>
        <v>1548.2857142857142</v>
      </c>
      <c r="CF272" s="209">
        <f t="shared" si="45"/>
        <v>14860.807189904484</v>
      </c>
      <c r="CG272" s="179">
        <f t="shared" si="46"/>
        <v>-4.2326187250345551E-2</v>
      </c>
      <c r="CH272" s="213">
        <f t="shared" si="47"/>
        <v>0.70371668924758113</v>
      </c>
      <c r="CI272" s="217">
        <f t="shared" ca="1" si="48"/>
        <v>0.59434978458935483</v>
      </c>
      <c r="CJ272" s="176">
        <f>DANE!BG272</f>
        <v>406</v>
      </c>
      <c r="CK272" s="188">
        <f t="shared" si="13"/>
        <v>29093</v>
      </c>
      <c r="CL272" s="177">
        <f t="shared" ca="1" si="29"/>
        <v>436.57142857142856</v>
      </c>
      <c r="CM272" s="209">
        <f t="shared" si="79"/>
        <v>3826.6595771962566</v>
      </c>
      <c r="CN272" s="179">
        <f t="shared" si="86"/>
        <v>-4.1122377340008717E-2</v>
      </c>
      <c r="CO272" s="213">
        <f t="shared" si="87"/>
        <v>0.71214335861993894</v>
      </c>
      <c r="CP272" s="214">
        <f t="shared" ca="1" si="88"/>
        <v>0.63954982670943039</v>
      </c>
      <c r="CQ272" s="176">
        <f>DANE!BK272</f>
        <v>1065</v>
      </c>
      <c r="CR272" s="188">
        <f t="shared" si="14"/>
        <v>30273</v>
      </c>
      <c r="CS272" s="177">
        <f t="shared" ca="1" si="30"/>
        <v>935.85714285714289</v>
      </c>
      <c r="CT272" s="209">
        <f t="shared" si="89"/>
        <v>6327.1690417554755</v>
      </c>
      <c r="CU272" s="179">
        <f t="shared" si="90"/>
        <v>3.0618307211753324E-2</v>
      </c>
      <c r="CV272" s="213">
        <f t="shared" si="91"/>
        <v>1.2143281504822734</v>
      </c>
      <c r="CW272" s="217">
        <f t="shared" ca="1" si="92"/>
        <v>1.1067949845426395</v>
      </c>
      <c r="CX272" s="176">
        <f>DANE!BO272</f>
        <v>2072</v>
      </c>
      <c r="CY272" s="188">
        <f t="shared" si="15"/>
        <v>94629</v>
      </c>
      <c r="CZ272" s="177">
        <f t="shared" ca="1" si="31"/>
        <v>1754.8571428571429</v>
      </c>
      <c r="DA272" s="209">
        <f t="shared" si="54"/>
        <v>13116.130528296349</v>
      </c>
      <c r="DB272" s="179">
        <f t="shared" si="58"/>
        <v>1.7952256800863934E-2</v>
      </c>
      <c r="DC272" s="213">
        <f t="shared" si="59"/>
        <v>1.1256657976060476</v>
      </c>
      <c r="DD272" s="214">
        <f t="shared" ca="1" si="60"/>
        <v>0.8550373432466164</v>
      </c>
      <c r="DE272" s="176">
        <f>DANE!BS272</f>
        <v>915</v>
      </c>
      <c r="DF272" s="188">
        <f t="shared" si="16"/>
        <v>35718</v>
      </c>
      <c r="DG272" s="177">
        <f t="shared" ca="1" si="32"/>
        <v>914.28571428571433</v>
      </c>
      <c r="DH272" s="209">
        <f t="shared" si="70"/>
        <v>6695.1182496199508</v>
      </c>
      <c r="DI272" s="179">
        <f t="shared" si="74"/>
        <v>-7.1703488478191794E-3</v>
      </c>
      <c r="DJ272" s="157">
        <f t="shared" si="75"/>
        <v>0.94980755806526573</v>
      </c>
      <c r="DK272" s="225">
        <f t="shared" ca="1" si="76"/>
        <v>0.91024514460374173</v>
      </c>
      <c r="DL272" s="146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146"/>
      <c r="DX272" s="146"/>
      <c r="DY272" s="146"/>
      <c r="DZ272" s="146"/>
      <c r="EA272" s="146"/>
      <c r="EB272" s="146"/>
      <c r="EC272" s="146"/>
      <c r="ED272" s="146"/>
      <c r="EE272" s="146"/>
      <c r="EF272" s="146"/>
      <c r="EG272" s="146"/>
      <c r="EH272" s="146"/>
    </row>
    <row r="273" spans="1:138" x14ac:dyDescent="0.25">
      <c r="A273" s="61">
        <v>44163</v>
      </c>
      <c r="B273" s="62">
        <f t="shared" ca="1" si="98"/>
        <v>44163</v>
      </c>
      <c r="C273" s="12">
        <f t="shared" si="93"/>
        <v>270</v>
      </c>
      <c r="D273" s="176">
        <f>DANE!K273</f>
        <v>1481</v>
      </c>
      <c r="E273" s="198">
        <f t="shared" si="1"/>
        <v>69037</v>
      </c>
      <c r="F273" s="178">
        <f t="shared" ca="1" si="17"/>
        <v>1115.8571428571429</v>
      </c>
      <c r="G273" s="211">
        <f t="shared" si="38"/>
        <v>10076.559974831966</v>
      </c>
      <c r="H273" s="200">
        <f t="shared" si="42"/>
        <v>4.8270772687701692E-3</v>
      </c>
      <c r="I273" s="213">
        <f t="shared" si="43"/>
        <v>1.0337895408813913</v>
      </c>
      <c r="J273" s="214">
        <f t="shared" ca="1" si="44"/>
        <v>0.69471862970239451</v>
      </c>
      <c r="K273" s="176">
        <f>DANE!O273</f>
        <v>1004</v>
      </c>
      <c r="L273" s="198">
        <f t="shared" si="2"/>
        <v>55096</v>
      </c>
      <c r="M273" s="177">
        <f t="shared" ca="1" si="18"/>
        <v>1050.2857142857142</v>
      </c>
      <c r="N273" s="211">
        <f t="shared" si="62"/>
        <v>7739.9009461021815</v>
      </c>
      <c r="O273" s="200">
        <f t="shared" si="66"/>
        <v>-1.5098223084219212E-2</v>
      </c>
      <c r="P273" s="213">
        <f t="shared" si="67"/>
        <v>0.89431243841046548</v>
      </c>
      <c r="Q273" s="217">
        <f t="shared" ca="1" si="68"/>
        <v>0.96614482526166534</v>
      </c>
      <c r="R273" s="176">
        <f>DANE!S273</f>
        <v>937</v>
      </c>
      <c r="S273" s="198">
        <f t="shared" si="3"/>
        <v>49249</v>
      </c>
      <c r="T273" s="177">
        <f t="shared" ca="1" si="19"/>
        <v>866.14285714285711</v>
      </c>
      <c r="U273" s="211">
        <f t="shared" si="50"/>
        <v>6749.4076291994224</v>
      </c>
      <c r="V273" s="200">
        <f t="shared" si="55"/>
        <v>-4.67983177039797E-3</v>
      </c>
      <c r="W273" s="213">
        <f t="shared" si="56"/>
        <v>0.96724117760721418</v>
      </c>
      <c r="X273" s="214">
        <f t="shared" ca="1" si="57"/>
        <v>0.84133659323059296</v>
      </c>
      <c r="Y273" s="176">
        <f>DANE!W273</f>
        <v>398</v>
      </c>
      <c r="Z273" s="198">
        <f t="shared" si="4"/>
        <v>21278</v>
      </c>
      <c r="AA273" s="177">
        <f t="shared" ca="1" si="20"/>
        <v>449.85714285714283</v>
      </c>
      <c r="AB273" s="211">
        <f t="shared" si="94"/>
        <v>3407.2478832204879</v>
      </c>
      <c r="AC273" s="200">
        <f t="shared" si="95"/>
        <v>-2.9492318694579238E-2</v>
      </c>
      <c r="AD273" s="213">
        <f t="shared" si="96"/>
        <v>0.79355376913794529</v>
      </c>
      <c r="AE273" s="217">
        <f t="shared" ca="1" si="97"/>
        <v>0.86088094992527453</v>
      </c>
      <c r="AF273" s="176">
        <f>DANE!AA273</f>
        <v>658</v>
      </c>
      <c r="AG273" s="198">
        <f t="shared" si="5"/>
        <v>63742</v>
      </c>
      <c r="AH273" s="177">
        <f t="shared" ca="1" si="21"/>
        <v>910.42857142857144</v>
      </c>
      <c r="AI273" s="211">
        <f t="shared" si="37"/>
        <v>7401.0916119892954</v>
      </c>
      <c r="AJ273" s="200">
        <f t="shared" si="39"/>
        <v>-5.9215983511598499E-2</v>
      </c>
      <c r="AK273" s="213">
        <f t="shared" si="40"/>
        <v>0.58548811541881052</v>
      </c>
      <c r="AL273" s="214">
        <f t="shared" ca="1" si="41"/>
        <v>0.74537775161192854</v>
      </c>
      <c r="AM273" s="176">
        <f>DANE!AE273</f>
        <v>661</v>
      </c>
      <c r="AN273" s="198">
        <f t="shared" si="6"/>
        <v>95202</v>
      </c>
      <c r="AO273" s="177">
        <f t="shared" ca="1" si="22"/>
        <v>958.14285714285711</v>
      </c>
      <c r="AP273" s="211">
        <f t="shared" si="49"/>
        <v>8886.6460653487884</v>
      </c>
      <c r="AQ273" s="200">
        <f t="shared" si="51"/>
        <v>-7.3978488941050066E-2</v>
      </c>
      <c r="AR273" s="213">
        <f t="shared" si="52"/>
        <v>0.48215057741264955</v>
      </c>
      <c r="AS273" s="217">
        <f t="shared" ca="1" si="53"/>
        <v>0.56544843208658835</v>
      </c>
      <c r="AT273" s="176">
        <f>DANE!AI273</f>
        <v>1986</v>
      </c>
      <c r="AU273" s="198">
        <f t="shared" si="7"/>
        <v>116394</v>
      </c>
      <c r="AV273" s="177">
        <f t="shared" ca="1" si="23"/>
        <v>1924.7142857142858</v>
      </c>
      <c r="AW273" s="211">
        <f t="shared" si="33"/>
        <v>14845.629646319148</v>
      </c>
      <c r="AX273" s="200">
        <f t="shared" si="34"/>
        <v>-1.0482746307319504E-2</v>
      </c>
      <c r="AY273" s="213">
        <f t="shared" si="35"/>
        <v>0.92662077584876346</v>
      </c>
      <c r="AZ273" s="214">
        <f t="shared" ca="1" si="36"/>
        <v>0.82059150491290656</v>
      </c>
      <c r="BA273" s="176">
        <f>DANE!AM273</f>
        <v>429</v>
      </c>
      <c r="BB273" s="198">
        <f t="shared" si="8"/>
        <v>28459</v>
      </c>
      <c r="BC273" s="177">
        <f t="shared" ca="1" si="24"/>
        <v>511.28571428571428</v>
      </c>
      <c r="BD273" s="211">
        <f t="shared" si="77"/>
        <v>4044.6181422589625</v>
      </c>
      <c r="BE273" s="200">
        <f t="shared" si="80"/>
        <v>-4.1155505337273045E-2</v>
      </c>
      <c r="BF273" s="213">
        <f t="shared" si="81"/>
        <v>0.71191146263908867</v>
      </c>
      <c r="BG273" s="217">
        <f t="shared" ca="1" si="82"/>
        <v>0.78679452137221972</v>
      </c>
      <c r="BH273" s="176">
        <f>DANE!AQ273</f>
        <v>713</v>
      </c>
      <c r="BI273" s="198">
        <f t="shared" si="9"/>
        <v>50889</v>
      </c>
      <c r="BJ273" s="177">
        <f t="shared" ca="1" si="25"/>
        <v>646.42857142857144</v>
      </c>
      <c r="BK273" s="211">
        <f t="shared" si="61"/>
        <v>5436.0916562027978</v>
      </c>
      <c r="BL273" s="200">
        <f t="shared" si="63"/>
        <v>-1.3462479016510267E-2</v>
      </c>
      <c r="BM273" s="213">
        <f t="shared" si="64"/>
        <v>0.90576264688442809</v>
      </c>
      <c r="BN273" s="214">
        <f t="shared" ca="1" si="65"/>
        <v>0.75405462866905515</v>
      </c>
      <c r="BO273" s="176">
        <f>DANE!AU273</f>
        <v>481</v>
      </c>
      <c r="BP273" s="198">
        <f t="shared" si="10"/>
        <v>25800</v>
      </c>
      <c r="BQ273" s="177">
        <f t="shared" ca="1" si="26"/>
        <v>502</v>
      </c>
      <c r="BR273" s="211">
        <f t="shared" si="78"/>
        <v>3786.0762896797446</v>
      </c>
      <c r="BS273" s="200">
        <f t="shared" si="83"/>
        <v>-1.811396655797658E-2</v>
      </c>
      <c r="BT273" s="213">
        <f t="shared" si="84"/>
        <v>0.87320223409416386</v>
      </c>
      <c r="BU273" s="217">
        <f t="shared" ca="1" si="85"/>
        <v>0.82690511543769851</v>
      </c>
      <c r="BV273" s="176">
        <f>DANE!AY273</f>
        <v>1026</v>
      </c>
      <c r="BW273" s="198">
        <f t="shared" si="11"/>
        <v>55177</v>
      </c>
      <c r="BX273" s="177">
        <f t="shared" ca="1" si="27"/>
        <v>1084.5714285714287</v>
      </c>
      <c r="BY273" s="211">
        <f t="shared" si="69"/>
        <v>8278.1749591819571</v>
      </c>
      <c r="BZ273" s="200">
        <f t="shared" si="71"/>
        <v>-2.159302879779711E-2</v>
      </c>
      <c r="CA273" s="213">
        <f t="shared" si="72"/>
        <v>0.84884879841542027</v>
      </c>
      <c r="CB273" s="214">
        <f t="shared" ca="1" si="73"/>
        <v>0.86440197908133043</v>
      </c>
      <c r="CC273" s="176">
        <f>DANE!BC273</f>
        <v>1402</v>
      </c>
      <c r="CD273" s="198">
        <f t="shared" si="12"/>
        <v>126268</v>
      </c>
      <c r="CE273" s="177">
        <f t="shared" ca="1" si="28"/>
        <v>1425.2857142857142</v>
      </c>
      <c r="CF273" s="211">
        <f t="shared" si="45"/>
        <v>14139.834734203845</v>
      </c>
      <c r="CG273" s="200">
        <f t="shared" si="46"/>
        <v>-4.851502657207097E-2</v>
      </c>
      <c r="CH273" s="213">
        <f t="shared" si="47"/>
        <v>0.66039481399550315</v>
      </c>
      <c r="CI273" s="217">
        <f t="shared" ca="1" si="48"/>
        <v>0.58877669893950413</v>
      </c>
      <c r="CJ273" s="176">
        <f>DANE!BG273</f>
        <v>310</v>
      </c>
      <c r="CK273" s="198">
        <f t="shared" si="13"/>
        <v>29403</v>
      </c>
      <c r="CL273" s="177">
        <f t="shared" ca="1" si="29"/>
        <v>372.28571428571428</v>
      </c>
      <c r="CM273" s="211">
        <f t="shared" si="79"/>
        <v>3589.9939233110772</v>
      </c>
      <c r="CN273" s="200">
        <f t="shared" si="86"/>
        <v>-6.1846539811252613E-2</v>
      </c>
      <c r="CO273" s="213">
        <f t="shared" si="87"/>
        <v>0.56707422132123164</v>
      </c>
      <c r="CP273" s="214">
        <f t="shared" ca="1" si="88"/>
        <v>0.5837129125684466</v>
      </c>
      <c r="CQ273" s="176">
        <f>DANE!BK273</f>
        <v>950</v>
      </c>
      <c r="CR273" s="198">
        <f t="shared" si="14"/>
        <v>31223</v>
      </c>
      <c r="CS273" s="177">
        <f t="shared" ca="1" si="30"/>
        <v>901.42857142857144</v>
      </c>
      <c r="CT273" s="211">
        <f t="shared" si="89"/>
        <v>6373.2877500761224</v>
      </c>
      <c r="CU273" s="200">
        <f t="shared" si="90"/>
        <v>7.2889957603932166E-3</v>
      </c>
      <c r="CV273" s="213">
        <f t="shared" si="91"/>
        <v>1.0510229703227525</v>
      </c>
      <c r="CW273" s="217">
        <f t="shared" ca="1" si="92"/>
        <v>1.0489402617694388</v>
      </c>
      <c r="CX273" s="176">
        <f>DANE!BO273</f>
        <v>1748</v>
      </c>
      <c r="CY273" s="198">
        <f t="shared" si="15"/>
        <v>96377</v>
      </c>
      <c r="CZ273" s="177">
        <f t="shared" ca="1" si="31"/>
        <v>1643.8571428571429</v>
      </c>
      <c r="DA273" s="211">
        <f t="shared" si="54"/>
        <v>12990.397595682585</v>
      </c>
      <c r="DB273" s="200">
        <f t="shared" si="58"/>
        <v>-9.5861300207795066E-3</v>
      </c>
      <c r="DC273" s="213">
        <f t="shared" si="59"/>
        <v>0.93289708985454345</v>
      </c>
      <c r="DD273" s="214">
        <f t="shared" ca="1" si="60"/>
        <v>0.82294515709400784</v>
      </c>
      <c r="DE273" s="176">
        <f>DANE!BS273</f>
        <v>902</v>
      </c>
      <c r="DF273" s="198">
        <f t="shared" si="16"/>
        <v>36620</v>
      </c>
      <c r="DG273" s="177">
        <f t="shared" ca="1" si="32"/>
        <v>885.85714285714289</v>
      </c>
      <c r="DH273" s="211">
        <f t="shared" si="70"/>
        <v>6640.6727853885295</v>
      </c>
      <c r="DI273" s="200">
        <f t="shared" si="74"/>
        <v>-8.1321139076986262E-3</v>
      </c>
      <c r="DJ273" s="157">
        <f t="shared" si="75"/>
        <v>0.94307520264610956</v>
      </c>
      <c r="DK273" s="225">
        <f t="shared" ca="1" si="76"/>
        <v>0.89517861845436797</v>
      </c>
      <c r="DL273" s="226"/>
      <c r="DM273" s="371"/>
      <c r="DN273" s="372"/>
      <c r="DO273" s="372"/>
      <c r="DP273" s="372"/>
      <c r="DQ273" s="372"/>
      <c r="DR273" s="372"/>
      <c r="DS273" s="372"/>
      <c r="DT273" s="372"/>
      <c r="DU273" s="372"/>
      <c r="DV273" s="372"/>
      <c r="DW273" s="226"/>
      <c r="DX273" s="226"/>
      <c r="DY273" s="226"/>
      <c r="DZ273" s="226"/>
      <c r="EA273" s="226"/>
      <c r="EB273" s="226"/>
      <c r="EC273" s="226"/>
      <c r="ED273" s="226"/>
      <c r="EE273" s="226"/>
      <c r="EF273" s="226"/>
      <c r="EG273" s="226"/>
      <c r="EH273" s="226"/>
    </row>
    <row r="274" spans="1:138" x14ac:dyDescent="0.25">
      <c r="A274" s="61">
        <v>44164</v>
      </c>
      <c r="B274" s="62">
        <f t="shared" ca="1" si="98"/>
        <v>44164</v>
      </c>
      <c r="C274" s="12">
        <f t="shared" si="93"/>
        <v>271</v>
      </c>
      <c r="D274" s="176">
        <f>DANE!K274</f>
        <v>781</v>
      </c>
      <c r="E274" s="198">
        <f t="shared" si="1"/>
        <v>69818</v>
      </c>
      <c r="F274" s="178">
        <f t="shared" ca="1" si="17"/>
        <v>1083.8571428571429</v>
      </c>
      <c r="G274" s="211">
        <f t="shared" si="38"/>
        <v>9418.0514069988276</v>
      </c>
      <c r="H274" s="200">
        <f t="shared" si="42"/>
        <v>-6.5350533265110561E-2</v>
      </c>
      <c r="I274" s="213">
        <f t="shared" si="43"/>
        <v>0.54254626714422605</v>
      </c>
      <c r="J274" s="214">
        <f t="shared" ca="1" si="44"/>
        <v>0.69943647551539889</v>
      </c>
      <c r="K274" s="176">
        <f>DANE!O274</f>
        <v>623</v>
      </c>
      <c r="L274" s="198">
        <f t="shared" si="2"/>
        <v>55719</v>
      </c>
      <c r="M274" s="177">
        <f t="shared" ca="1" si="18"/>
        <v>996.42857142857144</v>
      </c>
      <c r="N274" s="211">
        <f t="shared" si="62"/>
        <v>7257.2008109447279</v>
      </c>
      <c r="O274" s="200">
        <f t="shared" si="66"/>
        <v>-6.2365156675621494E-2</v>
      </c>
      <c r="P274" s="213">
        <f t="shared" si="67"/>
        <v>0.56344390327064953</v>
      </c>
      <c r="Q274" s="217">
        <f t="shared" ca="1" si="68"/>
        <v>0.92240451781367838</v>
      </c>
      <c r="R274" s="176">
        <f>DANE!S274</f>
        <v>616</v>
      </c>
      <c r="S274" s="198">
        <f t="shared" si="3"/>
        <v>49865</v>
      </c>
      <c r="T274" s="177">
        <f t="shared" ca="1" si="19"/>
        <v>825.57142857142856</v>
      </c>
      <c r="U274" s="211">
        <f t="shared" si="50"/>
        <v>6401.2065393137909</v>
      </c>
      <c r="V274" s="200">
        <f t="shared" si="55"/>
        <v>-5.1589874106764126E-2</v>
      </c>
      <c r="W274" s="213">
        <f t="shared" si="56"/>
        <v>0.63887088125265112</v>
      </c>
      <c r="X274" s="214">
        <f t="shared" ca="1" si="57"/>
        <v>0.81917870237568535</v>
      </c>
      <c r="Y274" s="176">
        <f>DANE!W274</f>
        <v>373</v>
      </c>
      <c r="Z274" s="198">
        <f t="shared" si="4"/>
        <v>21651</v>
      </c>
      <c r="AA274" s="177">
        <f t="shared" ca="1" si="20"/>
        <v>421.42857142857144</v>
      </c>
      <c r="AB274" s="211">
        <f t="shared" si="94"/>
        <v>3293.4981856175614</v>
      </c>
      <c r="AC274" s="200">
        <f t="shared" si="95"/>
        <v>-3.3384626391024928E-2</v>
      </c>
      <c r="AD274" s="213">
        <f t="shared" si="96"/>
        <v>0.76630761526282543</v>
      </c>
      <c r="AE274" s="217">
        <f t="shared" ca="1" si="97"/>
        <v>0.82486467144527587</v>
      </c>
      <c r="AF274" s="176">
        <f>DANE!AA274</f>
        <v>838</v>
      </c>
      <c r="AG274" s="198">
        <f t="shared" si="5"/>
        <v>64580</v>
      </c>
      <c r="AH274" s="177">
        <f t="shared" ca="1" si="21"/>
        <v>867.85714285714289</v>
      </c>
      <c r="AI274" s="211">
        <f t="shared" si="37"/>
        <v>7181.7928102765391</v>
      </c>
      <c r="AJ274" s="200">
        <f t="shared" si="39"/>
        <v>-2.9630602242175508E-2</v>
      </c>
      <c r="AK274" s="213">
        <f t="shared" si="40"/>
        <v>0.79258578430477145</v>
      </c>
      <c r="AL274" s="214">
        <f t="shared" ca="1" si="41"/>
        <v>0.74044685382526065</v>
      </c>
      <c r="AM274" s="176">
        <f>DANE!AE274</f>
        <v>440</v>
      </c>
      <c r="AN274" s="198">
        <f t="shared" si="6"/>
        <v>95642</v>
      </c>
      <c r="AO274" s="177">
        <f t="shared" ca="1" si="22"/>
        <v>814.71428571428567</v>
      </c>
      <c r="AP274" s="211">
        <f t="shared" si="49"/>
        <v>8057.1251988703907</v>
      </c>
      <c r="AQ274" s="200">
        <f t="shared" si="51"/>
        <v>-9.3344649981380812E-2</v>
      </c>
      <c r="AR274" s="213">
        <f t="shared" si="52"/>
        <v>0.34658745013033432</v>
      </c>
      <c r="AS274" s="217">
        <f t="shared" ca="1" si="53"/>
        <v>0.51139559669707713</v>
      </c>
      <c r="AT274" s="176">
        <f>DANE!AI274</f>
        <v>1413</v>
      </c>
      <c r="AU274" s="198">
        <f t="shared" si="7"/>
        <v>117807</v>
      </c>
      <c r="AV274" s="177">
        <f t="shared" ca="1" si="23"/>
        <v>1754.1428571428571</v>
      </c>
      <c r="AW274" s="211">
        <f t="shared" si="33"/>
        <v>14137.8254111307</v>
      </c>
      <c r="AX274" s="200">
        <f t="shared" si="34"/>
        <v>-4.7677616379440194E-2</v>
      </c>
      <c r="AY274" s="213">
        <f t="shared" si="35"/>
        <v>0.66625668534391869</v>
      </c>
      <c r="AZ274" s="214">
        <f t="shared" ca="1" si="36"/>
        <v>0.76970617374008321</v>
      </c>
      <c r="BA274" s="176">
        <f>DANE!AM274</f>
        <v>432</v>
      </c>
      <c r="BB274" s="198">
        <f t="shared" si="8"/>
        <v>28891</v>
      </c>
      <c r="BC274" s="177">
        <f t="shared" ca="1" si="24"/>
        <v>492.57142857142856</v>
      </c>
      <c r="BD274" s="211">
        <f t="shared" si="77"/>
        <v>3898.8155505076825</v>
      </c>
      <c r="BE274" s="200">
        <f t="shared" si="80"/>
        <v>-3.6048543180852106E-2</v>
      </c>
      <c r="BF274" s="213">
        <f t="shared" si="81"/>
        <v>0.74766019773403525</v>
      </c>
      <c r="BG274" s="217">
        <f t="shared" ca="1" si="82"/>
        <v>0.78156767631606638</v>
      </c>
      <c r="BH274" s="176">
        <f>DANE!AQ274</f>
        <v>339</v>
      </c>
      <c r="BI274" s="198">
        <f t="shared" si="9"/>
        <v>51228</v>
      </c>
      <c r="BJ274" s="177">
        <f t="shared" ca="1" si="25"/>
        <v>594.42857142857144</v>
      </c>
      <c r="BK274" s="211">
        <f t="shared" si="61"/>
        <v>4998.5071338881125</v>
      </c>
      <c r="BL274" s="200">
        <f t="shared" si="63"/>
        <v>-8.0496163418323496E-2</v>
      </c>
      <c r="BM274" s="213">
        <f t="shared" si="64"/>
        <v>0.43652685607173547</v>
      </c>
      <c r="BN274" s="214">
        <f t="shared" ca="1" si="65"/>
        <v>0.71590529530756264</v>
      </c>
      <c r="BO274" s="176">
        <f>DANE!AU274</f>
        <v>307</v>
      </c>
      <c r="BP274" s="198">
        <f t="shared" si="10"/>
        <v>26107</v>
      </c>
      <c r="BQ274" s="177">
        <f t="shared" ca="1" si="26"/>
        <v>422.28571428571428</v>
      </c>
      <c r="BR274" s="211">
        <f t="shared" si="78"/>
        <v>3552.208248296924</v>
      </c>
      <c r="BS274" s="200">
        <f t="shared" si="83"/>
        <v>-6.177055703296537E-2</v>
      </c>
      <c r="BT274" s="213">
        <f t="shared" si="84"/>
        <v>0.56760610076924234</v>
      </c>
      <c r="BU274" s="217">
        <f t="shared" ca="1" si="85"/>
        <v>0.71709343761944955</v>
      </c>
      <c r="BV274" s="176">
        <f>DANE!AY274</f>
        <v>978</v>
      </c>
      <c r="BW274" s="198">
        <f t="shared" si="11"/>
        <v>56155</v>
      </c>
      <c r="BX274" s="177">
        <f t="shared" ca="1" si="27"/>
        <v>1061.5714285714287</v>
      </c>
      <c r="BY274" s="211">
        <f t="shared" si="69"/>
        <v>8073.5785364416779</v>
      </c>
      <c r="BZ274" s="200">
        <f t="shared" si="71"/>
        <v>-2.4715160497223564E-2</v>
      </c>
      <c r="CA274" s="213">
        <f t="shared" si="72"/>
        <v>0.82699387651943501</v>
      </c>
      <c r="CB274" s="214">
        <f t="shared" ca="1" si="73"/>
        <v>0.86264669889577517</v>
      </c>
      <c r="CC274" s="176">
        <f>DANE!BC274</f>
        <v>977</v>
      </c>
      <c r="CD274" s="198">
        <f t="shared" si="12"/>
        <v>127245</v>
      </c>
      <c r="CE274" s="177">
        <f t="shared" ca="1" si="28"/>
        <v>1334.7142857142858</v>
      </c>
      <c r="CF274" s="211">
        <f t="shared" si="45"/>
        <v>13096.858343603297</v>
      </c>
      <c r="CG274" s="200">
        <f t="shared" si="46"/>
        <v>-7.3761568660885332E-2</v>
      </c>
      <c r="CH274" s="213">
        <f t="shared" si="47"/>
        <v>0.48366901937380269</v>
      </c>
      <c r="CI274" s="217">
        <f t="shared" ca="1" si="48"/>
        <v>0.58355251763234983</v>
      </c>
      <c r="CJ274" s="176">
        <f>DANE!BG274</f>
        <v>270</v>
      </c>
      <c r="CK274" s="198">
        <f t="shared" si="13"/>
        <v>29673</v>
      </c>
      <c r="CL274" s="177">
        <f t="shared" ca="1" si="29"/>
        <v>355</v>
      </c>
      <c r="CM274" s="211">
        <f t="shared" si="79"/>
        <v>3347.1376485523519</v>
      </c>
      <c r="CN274" s="200">
        <f t="shared" si="86"/>
        <v>-6.7648101903954524E-2</v>
      </c>
      <c r="CO274" s="213">
        <f t="shared" si="87"/>
        <v>0.52646328667231823</v>
      </c>
      <c r="CP274" s="214">
        <f t="shared" ca="1" si="88"/>
        <v>0.58809184473947518</v>
      </c>
      <c r="CQ274" s="176">
        <f>DANE!BK274</f>
        <v>618</v>
      </c>
      <c r="CR274" s="198">
        <f t="shared" si="14"/>
        <v>31841</v>
      </c>
      <c r="CS274" s="177">
        <f t="shared" ca="1" si="30"/>
        <v>862.57142857142856</v>
      </c>
      <c r="CT274" s="211">
        <f t="shared" si="89"/>
        <v>6080.8180714938198</v>
      </c>
      <c r="CU274" s="200">
        <f t="shared" si="90"/>
        <v>-4.5889922133016715E-2</v>
      </c>
      <c r="CV274" s="213">
        <f t="shared" si="91"/>
        <v>0.67877054506888301</v>
      </c>
      <c r="CW274" s="217">
        <f t="shared" ca="1" si="92"/>
        <v>0.99998064583513491</v>
      </c>
      <c r="CX274" s="176">
        <f>DANE!BO274</f>
        <v>1574</v>
      </c>
      <c r="CY274" s="198">
        <f t="shared" si="15"/>
        <v>97951</v>
      </c>
      <c r="CZ274" s="177">
        <f t="shared" ca="1" si="31"/>
        <v>1573</v>
      </c>
      <c r="DA274" s="211">
        <f t="shared" si="54"/>
        <v>12708.626510585074</v>
      </c>
      <c r="DB274" s="200">
        <f t="shared" si="58"/>
        <v>-2.1690720628224552E-2</v>
      </c>
      <c r="DC274" s="213">
        <f t="shared" si="59"/>
        <v>0.84816495560242811</v>
      </c>
      <c r="DD274" s="214">
        <f t="shared" ca="1" si="60"/>
        <v>0.81153038122627641</v>
      </c>
      <c r="DE274" s="176">
        <f>DANE!BS274</f>
        <v>780</v>
      </c>
      <c r="DF274" s="198">
        <f t="shared" si="16"/>
        <v>37400</v>
      </c>
      <c r="DG274" s="177">
        <f t="shared" ca="1" si="32"/>
        <v>860.14285714285711</v>
      </c>
      <c r="DH274" s="211">
        <f t="shared" si="70"/>
        <v>6472.0052446187401</v>
      </c>
      <c r="DI274" s="200">
        <f t="shared" si="74"/>
        <v>-2.5399164545632871E-2</v>
      </c>
      <c r="DJ274" s="157">
        <f t="shared" si="75"/>
        <v>0.82220584818056985</v>
      </c>
      <c r="DK274" s="225">
        <f t="shared" ca="1" si="76"/>
        <v>0.88292761192507485</v>
      </c>
      <c r="DL274" s="226"/>
      <c r="DM274" s="371"/>
      <c r="DN274" s="372"/>
      <c r="DO274" s="372"/>
      <c r="DP274" s="372"/>
      <c r="DQ274" s="372"/>
      <c r="DR274" s="372"/>
      <c r="DS274" s="372"/>
      <c r="DT274" s="372"/>
      <c r="DU274" s="372"/>
      <c r="DV274" s="372"/>
      <c r="DW274" s="226"/>
      <c r="DX274" s="226"/>
      <c r="DY274" s="226"/>
      <c r="DZ274" s="226"/>
      <c r="EA274" s="226"/>
      <c r="EB274" s="226"/>
      <c r="EC274" s="226"/>
      <c r="ED274" s="226"/>
      <c r="EE274" s="226"/>
      <c r="EF274" s="226"/>
      <c r="EG274" s="226"/>
      <c r="EH274" s="226"/>
    </row>
    <row r="275" spans="1:138" x14ac:dyDescent="0.25">
      <c r="A275" s="32">
        <v>44165</v>
      </c>
      <c r="B275" s="33">
        <f t="shared" ca="1" si="98"/>
        <v>44165</v>
      </c>
      <c r="C275" s="51">
        <f t="shared" si="93"/>
        <v>272</v>
      </c>
      <c r="D275" s="176">
        <f>DANE!K275</f>
        <v>445</v>
      </c>
      <c r="E275" s="188">
        <f t="shared" si="1"/>
        <v>70263</v>
      </c>
      <c r="F275" s="178">
        <f t="shared" ca="1" si="17"/>
        <v>999.57142857142856</v>
      </c>
      <c r="G275" s="209">
        <f t="shared" si="38"/>
        <v>8517.6154917132808</v>
      </c>
      <c r="H275" s="179">
        <f t="shared" si="42"/>
        <v>-9.5607453853607846E-2</v>
      </c>
      <c r="I275" s="213">
        <f t="shared" si="43"/>
        <v>0.33074782302474504</v>
      </c>
      <c r="J275" s="214">
        <f t="shared" ca="1" si="44"/>
        <v>0.66607640675686131</v>
      </c>
      <c r="K275" s="176">
        <f>DANE!O275</f>
        <v>297</v>
      </c>
      <c r="L275" s="188">
        <f t="shared" si="2"/>
        <v>56016</v>
      </c>
      <c r="M275" s="177">
        <f t="shared" ca="1" si="18"/>
        <v>905.85714285714289</v>
      </c>
      <c r="N275" s="209">
        <f t="shared" si="62"/>
        <v>6517.4578379526247</v>
      </c>
      <c r="O275" s="179">
        <f t="shared" si="66"/>
        <v>-0.10193227282294327</v>
      </c>
      <c r="P275" s="213">
        <f t="shared" si="67"/>
        <v>0.28647409023939707</v>
      </c>
      <c r="Q275" s="217">
        <f t="shared" ca="1" si="68"/>
        <v>0.84547408523700085</v>
      </c>
      <c r="R275" s="176">
        <f>DANE!S275</f>
        <v>285</v>
      </c>
      <c r="S275" s="188">
        <f t="shared" si="3"/>
        <v>50150</v>
      </c>
      <c r="T275" s="177">
        <f t="shared" ca="1" si="19"/>
        <v>752.71428571428567</v>
      </c>
      <c r="U275" s="209">
        <f t="shared" si="50"/>
        <v>5771.7484622689644</v>
      </c>
      <c r="V275" s="179">
        <f t="shared" si="55"/>
        <v>-9.8334286384751515E-2</v>
      </c>
      <c r="W275" s="213">
        <f t="shared" si="56"/>
        <v>0.31165999530673938</v>
      </c>
      <c r="X275" s="214">
        <f t="shared" ca="1" si="57"/>
        <v>0.76047105610217558</v>
      </c>
      <c r="Y275" s="176">
        <f>DANE!W275</f>
        <v>259</v>
      </c>
      <c r="Z275" s="188">
        <f t="shared" si="4"/>
        <v>21910</v>
      </c>
      <c r="AA275" s="177">
        <f t="shared" ca="1" si="20"/>
        <v>400.42857142857144</v>
      </c>
      <c r="AB275" s="209">
        <f t="shared" si="94"/>
        <v>3081.9984448150526</v>
      </c>
      <c r="AC275" s="179">
        <f t="shared" si="95"/>
        <v>-6.4217354582465219E-2</v>
      </c>
      <c r="AD275" s="213">
        <f t="shared" si="96"/>
        <v>0.55047851792274338</v>
      </c>
      <c r="AE275" s="217">
        <f t="shared" ca="1" si="97"/>
        <v>0.80050898568741702</v>
      </c>
      <c r="AF275" s="176">
        <f>DANE!AA275</f>
        <v>375</v>
      </c>
      <c r="AG275" s="188">
        <f t="shared" si="5"/>
        <v>64955</v>
      </c>
      <c r="AH275" s="177">
        <f t="shared" ca="1" si="21"/>
        <v>792</v>
      </c>
      <c r="AI275" s="209">
        <f t="shared" si="37"/>
        <v>6530.8224088084626</v>
      </c>
      <c r="AJ275" s="179">
        <f t="shared" si="39"/>
        <v>-9.064176852005433E-2</v>
      </c>
      <c r="AK275" s="213">
        <f t="shared" si="40"/>
        <v>0.3655076203596197</v>
      </c>
      <c r="AL275" s="214">
        <f t="shared" ca="1" si="41"/>
        <v>0.6960409946520304</v>
      </c>
      <c r="AM275" s="176">
        <f>DANE!AE275</f>
        <v>280</v>
      </c>
      <c r="AN275" s="188">
        <f t="shared" si="6"/>
        <v>95922</v>
      </c>
      <c r="AO275" s="177">
        <f t="shared" ca="1" si="22"/>
        <v>654.57142857142856</v>
      </c>
      <c r="AP275" s="209">
        <f t="shared" si="49"/>
        <v>7186.1073133174787</v>
      </c>
      <c r="AQ275" s="179">
        <f t="shared" si="51"/>
        <v>-0.1081052936443173</v>
      </c>
      <c r="AR275" s="213">
        <f t="shared" si="52"/>
        <v>0.24326294448977881</v>
      </c>
      <c r="AS275" s="217">
        <f t="shared" ca="1" si="53"/>
        <v>0.44155656107228181</v>
      </c>
      <c r="AT275" s="176">
        <f>DANE!AI275</f>
        <v>659</v>
      </c>
      <c r="AU275" s="188">
        <f t="shared" si="7"/>
        <v>118466</v>
      </c>
      <c r="AV275" s="177">
        <f t="shared" ca="1" si="23"/>
        <v>1520.4285714285713</v>
      </c>
      <c r="AW275" s="209">
        <f t="shared" si="33"/>
        <v>12777.136066683457</v>
      </c>
      <c r="AX275" s="179">
        <f t="shared" si="34"/>
        <v>-9.6244599496608074E-2</v>
      </c>
      <c r="AY275" s="213">
        <f t="shared" si="35"/>
        <v>0.32628780352374342</v>
      </c>
      <c r="AZ275" s="214">
        <f t="shared" ca="1" si="36"/>
        <v>0.68814572130745066</v>
      </c>
      <c r="BA275" s="176">
        <f>DANE!AM275</f>
        <v>198</v>
      </c>
      <c r="BB275" s="188">
        <f t="shared" si="8"/>
        <v>29089</v>
      </c>
      <c r="BC275" s="177">
        <f t="shared" ca="1" si="24"/>
        <v>450.42857142857144</v>
      </c>
      <c r="BD275" s="209">
        <f t="shared" si="77"/>
        <v>3539.8419004351567</v>
      </c>
      <c r="BE275" s="179">
        <f t="shared" si="80"/>
        <v>-9.2072488534571006E-2</v>
      </c>
      <c r="BF275" s="213">
        <f t="shared" si="81"/>
        <v>0.3554925802580029</v>
      </c>
      <c r="BG275" s="217">
        <f t="shared" ca="1" si="82"/>
        <v>0.73112674818891144</v>
      </c>
      <c r="BH275" s="176">
        <f>DANE!AQ275</f>
        <v>201</v>
      </c>
      <c r="BI275" s="188">
        <f t="shared" si="9"/>
        <v>51429</v>
      </c>
      <c r="BJ275" s="177">
        <f t="shared" ca="1" si="25"/>
        <v>546</v>
      </c>
      <c r="BK275" s="209">
        <f t="shared" si="61"/>
        <v>4485.4346861898111</v>
      </c>
      <c r="BL275" s="179">
        <f t="shared" si="63"/>
        <v>-0.10264513662886494</v>
      </c>
      <c r="BM275" s="213">
        <f t="shared" si="64"/>
        <v>0.28148404359794532</v>
      </c>
      <c r="BN275" s="214">
        <f t="shared" ca="1" si="65"/>
        <v>0.67549767002212491</v>
      </c>
      <c r="BO275" s="176">
        <f>DANE!AU275</f>
        <v>118</v>
      </c>
      <c r="BP275" s="188">
        <f t="shared" si="10"/>
        <v>26225</v>
      </c>
      <c r="BQ275" s="177">
        <f t="shared" ca="1" si="26"/>
        <v>374.14285714285717</v>
      </c>
      <c r="BR275" s="209">
        <f t="shared" si="78"/>
        <v>3162.7499271116494</v>
      </c>
      <c r="BS275" s="179">
        <f t="shared" si="83"/>
        <v>-0.10963836970200073</v>
      </c>
      <c r="BT275" s="213">
        <f t="shared" si="84"/>
        <v>0.23253141208599482</v>
      </c>
      <c r="BU275" s="217">
        <f t="shared" ca="1" si="85"/>
        <v>0.65450042285827426</v>
      </c>
      <c r="BV275" s="176">
        <f>DANE!AY275</f>
        <v>441</v>
      </c>
      <c r="BW275" s="188">
        <f t="shared" si="11"/>
        <v>56596</v>
      </c>
      <c r="BX275" s="177">
        <f t="shared" ca="1" si="27"/>
        <v>987.57142857142856</v>
      </c>
      <c r="BY275" s="209">
        <f t="shared" si="69"/>
        <v>7361.2101740928674</v>
      </c>
      <c r="BZ275" s="179">
        <f t="shared" si="71"/>
        <v>-8.8234524397501846E-2</v>
      </c>
      <c r="CA275" s="213">
        <f t="shared" si="72"/>
        <v>0.38235832921748703</v>
      </c>
      <c r="CB275" s="214">
        <f t="shared" ca="1" si="73"/>
        <v>0.81394756736297225</v>
      </c>
      <c r="CC275" s="176">
        <f>DANE!BC275</f>
        <v>421</v>
      </c>
      <c r="CD275" s="188">
        <f t="shared" si="12"/>
        <v>127666</v>
      </c>
      <c r="CE275" s="177">
        <f t="shared" ca="1" si="28"/>
        <v>1295.7142857142858</v>
      </c>
      <c r="CF275" s="209">
        <f t="shared" si="45"/>
        <v>11646.878580231398</v>
      </c>
      <c r="CG275" s="179">
        <f t="shared" si="46"/>
        <v>-0.11071202920050602</v>
      </c>
      <c r="CH275" s="213">
        <f t="shared" si="47"/>
        <v>0.22501579559645779</v>
      </c>
      <c r="CI275" s="217">
        <f t="shared" ca="1" si="48"/>
        <v>0.58132579183808808</v>
      </c>
      <c r="CJ275" s="176">
        <f>DANE!BG275</f>
        <v>192</v>
      </c>
      <c r="CK275" s="188">
        <f t="shared" si="13"/>
        <v>29865</v>
      </c>
      <c r="CL275" s="177">
        <f t="shared" ca="1" si="29"/>
        <v>330.42857142857144</v>
      </c>
      <c r="CM275" s="209">
        <f t="shared" si="79"/>
        <v>3060.9751273305874</v>
      </c>
      <c r="CN275" s="179">
        <f t="shared" si="86"/>
        <v>-8.5494697639797029E-2</v>
      </c>
      <c r="CO275" s="213">
        <f t="shared" si="87"/>
        <v>0.40153711652142077</v>
      </c>
      <c r="CP275" s="214">
        <f t="shared" ca="1" si="88"/>
        <v>0.57439723385409158</v>
      </c>
      <c r="CQ275" s="176">
        <f>DANE!BK275</f>
        <v>327</v>
      </c>
      <c r="CR275" s="188">
        <f t="shared" si="14"/>
        <v>32168</v>
      </c>
      <c r="CS275" s="177">
        <f t="shared" ca="1" si="30"/>
        <v>785.85714285714289</v>
      </c>
      <c r="CT275" s="209">
        <f t="shared" si="89"/>
        <v>5539.1297755661317</v>
      </c>
      <c r="CU275" s="179">
        <f t="shared" si="90"/>
        <v>-8.9081483701520525E-2</v>
      </c>
      <c r="CV275" s="213">
        <f t="shared" si="91"/>
        <v>0.37642961408935627</v>
      </c>
      <c r="CW275" s="217">
        <f t="shared" ca="1" si="92"/>
        <v>0.91252603320546055</v>
      </c>
      <c r="CX275" s="176">
        <f>DANE!BO275</f>
        <v>532</v>
      </c>
      <c r="CY275" s="188">
        <f t="shared" si="15"/>
        <v>98483</v>
      </c>
      <c r="CZ275" s="177">
        <f t="shared" ca="1" si="31"/>
        <v>1377.7142857142858</v>
      </c>
      <c r="DA275" s="209">
        <f t="shared" si="54"/>
        <v>11425.10843764435</v>
      </c>
      <c r="DB275" s="179">
        <f t="shared" si="58"/>
        <v>-0.10099581350287347</v>
      </c>
      <c r="DC275" s="213">
        <f t="shared" si="59"/>
        <v>0.2930293054798857</v>
      </c>
      <c r="DD275" s="214">
        <f t="shared" ca="1" si="60"/>
        <v>0.73050004435298299</v>
      </c>
      <c r="DE275" s="176">
        <f>DANE!BS275</f>
        <v>599</v>
      </c>
      <c r="DF275" s="188">
        <f t="shared" si="16"/>
        <v>37999</v>
      </c>
      <c r="DG275" s="177">
        <f t="shared" ca="1" si="32"/>
        <v>807.85714285714289</v>
      </c>
      <c r="DH275" s="209">
        <f t="shared" si="70"/>
        <v>6146.4330668160637</v>
      </c>
      <c r="DI275" s="179">
        <f t="shared" si="74"/>
        <v>-5.030468386492408E-2</v>
      </c>
      <c r="DJ275" s="157">
        <f t="shared" si="75"/>
        <v>0.6478672129455314</v>
      </c>
      <c r="DK275" s="225">
        <f t="shared" ca="1" si="76"/>
        <v>0.84335836133209618</v>
      </c>
      <c r="DL275" s="226"/>
      <c r="DM275" s="380"/>
      <c r="DN275" s="372"/>
      <c r="DO275" s="372"/>
      <c r="DP275" s="372"/>
      <c r="DQ275" s="372"/>
      <c r="DR275" s="372"/>
      <c r="DS275" s="372"/>
      <c r="DT275" s="88"/>
      <c r="DU275" s="88"/>
      <c r="DV275" s="88"/>
      <c r="DW275" s="226"/>
      <c r="DX275" s="226"/>
      <c r="DY275" s="226"/>
      <c r="DZ275" s="226"/>
      <c r="EA275" s="226"/>
      <c r="EB275" s="226"/>
      <c r="EC275" s="226"/>
      <c r="ED275" s="226"/>
      <c r="EE275" s="226"/>
      <c r="EF275" s="226"/>
      <c r="EG275" s="226"/>
      <c r="EH275" s="226"/>
    </row>
    <row r="276" spans="1:138" x14ac:dyDescent="0.25">
      <c r="A276" s="32">
        <v>44166</v>
      </c>
      <c r="B276" s="33">
        <f t="shared" ca="1" si="98"/>
        <v>44166</v>
      </c>
      <c r="C276" s="51">
        <f t="shared" si="93"/>
        <v>273</v>
      </c>
      <c r="D276" s="176">
        <f>DANE!K276</f>
        <v>717</v>
      </c>
      <c r="E276" s="188">
        <f t="shared" si="1"/>
        <v>70980</v>
      </c>
      <c r="F276" s="178">
        <f t="shared" ca="1" si="17"/>
        <v>954.14285714285711</v>
      </c>
      <c r="G276" s="209">
        <f t="shared" si="38"/>
        <v>8017.8132786113838</v>
      </c>
      <c r="H276" s="179">
        <f t="shared" si="42"/>
        <v>-5.8678654089064072E-2</v>
      </c>
      <c r="I276" s="213">
        <f t="shared" si="43"/>
        <v>0.58924942137655145</v>
      </c>
      <c r="J276" s="214">
        <f t="shared" ca="1" si="44"/>
        <v>0.66429431649712789</v>
      </c>
      <c r="K276" s="176">
        <f>DANE!O276</f>
        <v>1214</v>
      </c>
      <c r="L276" s="188">
        <f t="shared" si="2"/>
        <v>57230</v>
      </c>
      <c r="M276" s="177">
        <f t="shared" ca="1" si="18"/>
        <v>1004.8571428571429</v>
      </c>
      <c r="N276" s="209">
        <f t="shared" si="62"/>
        <v>6800.3924325308217</v>
      </c>
      <c r="O276" s="179">
        <f t="shared" si="66"/>
        <v>4.3411802824500856E-2</v>
      </c>
      <c r="P276" s="213">
        <f t="shared" si="67"/>
        <v>1.3038826197715059</v>
      </c>
      <c r="Q276" s="217">
        <f t="shared" ca="1" si="68"/>
        <v>0.96409839344171488</v>
      </c>
      <c r="R276" s="176">
        <f>DANE!S276</f>
        <v>547</v>
      </c>
      <c r="S276" s="188">
        <f t="shared" si="3"/>
        <v>50697</v>
      </c>
      <c r="T276" s="177">
        <f t="shared" ca="1" si="19"/>
        <v>735.14285714285711</v>
      </c>
      <c r="U276" s="209">
        <f t="shared" si="50"/>
        <v>5494.212967659113</v>
      </c>
      <c r="V276" s="179">
        <f t="shared" si="55"/>
        <v>-4.8085168025625957E-2</v>
      </c>
      <c r="W276" s="213">
        <f t="shared" si="56"/>
        <v>0.66340382382061835</v>
      </c>
      <c r="X276" s="214">
        <f t="shared" ca="1" si="57"/>
        <v>0.76465400040039133</v>
      </c>
      <c r="Y276" s="176">
        <f>DANE!W276</f>
        <v>187</v>
      </c>
      <c r="Z276" s="188">
        <f t="shared" si="4"/>
        <v>22097</v>
      </c>
      <c r="AA276" s="177">
        <f t="shared" ca="1" si="20"/>
        <v>389</v>
      </c>
      <c r="AB276" s="209">
        <f t="shared" si="94"/>
        <v>2828.7129526986168</v>
      </c>
      <c r="AC276" s="179">
        <f t="shared" si="95"/>
        <v>-8.2182225803048764E-2</v>
      </c>
      <c r="AD276" s="213">
        <f t="shared" si="96"/>
        <v>0.42472441937865857</v>
      </c>
      <c r="AE276" s="217">
        <f t="shared" ca="1" si="97"/>
        <v>0.79063836303545576</v>
      </c>
      <c r="AF276" s="176">
        <f>DANE!AA276</f>
        <v>615</v>
      </c>
      <c r="AG276" s="188">
        <f t="shared" si="5"/>
        <v>65570</v>
      </c>
      <c r="AH276" s="177">
        <f t="shared" ca="1" si="21"/>
        <v>799.42857142857144</v>
      </c>
      <c r="AI276" s="209">
        <f t="shared" si="37"/>
        <v>6212.847778978683</v>
      </c>
      <c r="AJ276" s="179">
        <f t="shared" si="39"/>
        <v>-4.8688298337573925E-2</v>
      </c>
      <c r="AK276" s="213">
        <f t="shared" si="40"/>
        <v>0.65918191163698259</v>
      </c>
      <c r="AL276" s="214">
        <f t="shared" ca="1" si="41"/>
        <v>0.72725750936093425</v>
      </c>
      <c r="AM276" s="176">
        <f>DANE!AE276</f>
        <v>486</v>
      </c>
      <c r="AN276" s="188">
        <f t="shared" si="6"/>
        <v>96408</v>
      </c>
      <c r="AO276" s="177">
        <f t="shared" ca="1" si="22"/>
        <v>654.57142857142856</v>
      </c>
      <c r="AP276" s="209">
        <f t="shared" si="49"/>
        <v>6645.5205542721251</v>
      </c>
      <c r="AQ276" s="179">
        <f t="shared" si="51"/>
        <v>-7.5226647122778739E-2</v>
      </c>
      <c r="AR276" s="213">
        <f t="shared" si="52"/>
        <v>0.4734134701405488</v>
      </c>
      <c r="AS276" s="217">
        <f t="shared" ca="1" si="53"/>
        <v>0.4714613732304942</v>
      </c>
      <c r="AT276" s="176">
        <f>DANE!AI276</f>
        <v>765</v>
      </c>
      <c r="AU276" s="188">
        <f t="shared" si="7"/>
        <v>119231</v>
      </c>
      <c r="AV276" s="177">
        <f t="shared" ca="1" si="23"/>
        <v>1463.1428571428571</v>
      </c>
      <c r="AW276" s="209">
        <f t="shared" si="33"/>
        <v>11716.830914300106</v>
      </c>
      <c r="AX276" s="179">
        <f t="shared" si="34"/>
        <v>-8.2984570787197773E-2</v>
      </c>
      <c r="AY276" s="213">
        <f t="shared" si="35"/>
        <v>0.4191080044896156</v>
      </c>
      <c r="AZ276" s="214">
        <f t="shared" ca="1" si="36"/>
        <v>0.68192811478047777</v>
      </c>
      <c r="BA276" s="176">
        <f>DANE!AM276</f>
        <v>361</v>
      </c>
      <c r="BB276" s="188">
        <f t="shared" si="8"/>
        <v>29450</v>
      </c>
      <c r="BC276" s="177">
        <f t="shared" ca="1" si="24"/>
        <v>428.85714285714283</v>
      </c>
      <c r="BD276" s="209">
        <f t="shared" si="77"/>
        <v>3395.1502003729915</v>
      </c>
      <c r="BE276" s="179">
        <f t="shared" si="80"/>
        <v>-4.0875187121881928E-2</v>
      </c>
      <c r="BF276" s="213">
        <f t="shared" si="81"/>
        <v>0.71387369014682656</v>
      </c>
      <c r="BG276" s="217">
        <f t="shared" ca="1" si="82"/>
        <v>0.72341522187423102</v>
      </c>
      <c r="BH276" s="176">
        <f>DANE!AQ276</f>
        <v>346</v>
      </c>
      <c r="BI276" s="188">
        <f t="shared" si="9"/>
        <v>51775</v>
      </c>
      <c r="BJ276" s="177">
        <f t="shared" ca="1" si="25"/>
        <v>518.28571428571433</v>
      </c>
      <c r="BK276" s="209">
        <f t="shared" si="61"/>
        <v>4190.6583024484098</v>
      </c>
      <c r="BL276" s="179">
        <f t="shared" si="63"/>
        <v>-6.5718576763359696E-2</v>
      </c>
      <c r="BM276" s="213">
        <f t="shared" si="64"/>
        <v>0.53996996265648212</v>
      </c>
      <c r="BN276" s="214">
        <f t="shared" ca="1" si="65"/>
        <v>0.66666603311790718</v>
      </c>
      <c r="BO276" s="176">
        <f>DANE!AU276</f>
        <v>216</v>
      </c>
      <c r="BP276" s="188">
        <f t="shared" si="10"/>
        <v>26441</v>
      </c>
      <c r="BQ276" s="177">
        <f t="shared" ca="1" si="26"/>
        <v>360.85714285714283</v>
      </c>
      <c r="BR276" s="209">
        <f t="shared" si="78"/>
        <v>2926.9285089528425</v>
      </c>
      <c r="BS276" s="179">
        <f t="shared" si="83"/>
        <v>-7.4562144840255667E-2</v>
      </c>
      <c r="BT276" s="213">
        <f t="shared" si="84"/>
        <v>0.47806498611821024</v>
      </c>
      <c r="BU276" s="217">
        <f t="shared" ca="1" si="85"/>
        <v>0.65451537630301693</v>
      </c>
      <c r="BV276" s="176">
        <f>DANE!AY276</f>
        <v>443</v>
      </c>
      <c r="BW276" s="188">
        <f t="shared" si="11"/>
        <v>57039</v>
      </c>
      <c r="BX276" s="177">
        <f t="shared" ca="1" si="27"/>
        <v>911</v>
      </c>
      <c r="BY276" s="209">
        <f t="shared" si="69"/>
        <v>6752.6087206510301</v>
      </c>
      <c r="BZ276" s="179">
        <f t="shared" si="71"/>
        <v>-8.2676820665134196E-2</v>
      </c>
      <c r="CA276" s="213">
        <f t="shared" si="72"/>
        <v>0.42126225534406059</v>
      </c>
      <c r="CB276" s="214">
        <f t="shared" ca="1" si="73"/>
        <v>0.76430965134963935</v>
      </c>
      <c r="CC276" s="176">
        <f>DANE!BC276</f>
        <v>1084</v>
      </c>
      <c r="CD276" s="188">
        <f t="shared" si="12"/>
        <v>128750</v>
      </c>
      <c r="CE276" s="177">
        <f t="shared" ca="1" si="28"/>
        <v>1315.5714285714287</v>
      </c>
      <c r="CF276" s="209">
        <f t="shared" si="45"/>
        <v>11067.038783055485</v>
      </c>
      <c r="CG276" s="179">
        <f t="shared" si="46"/>
        <v>-4.978499545449825E-2</v>
      </c>
      <c r="CH276" s="213">
        <f t="shared" si="47"/>
        <v>0.65150503181851227</v>
      </c>
      <c r="CI276" s="217">
        <f t="shared" ca="1" si="48"/>
        <v>0.62189947418837099</v>
      </c>
      <c r="CJ276" s="176">
        <f>DANE!BG276</f>
        <v>264</v>
      </c>
      <c r="CK276" s="188">
        <f t="shared" si="13"/>
        <v>30129</v>
      </c>
      <c r="CL276" s="177">
        <f t="shared" ca="1" si="29"/>
        <v>316.85714285714283</v>
      </c>
      <c r="CM276" s="209">
        <f t="shared" si="79"/>
        <v>2887.6929662833609</v>
      </c>
      <c r="CN276" s="179">
        <f t="shared" si="86"/>
        <v>-5.6610117311976418E-2</v>
      </c>
      <c r="CO276" s="213">
        <f t="shared" si="87"/>
        <v>0.60372917881616506</v>
      </c>
      <c r="CP276" s="214">
        <f t="shared" ca="1" si="88"/>
        <v>0.58514220791260008</v>
      </c>
      <c r="CQ276" s="176">
        <f>DANE!BK276</f>
        <v>534</v>
      </c>
      <c r="CR276" s="188">
        <f t="shared" si="14"/>
        <v>32702</v>
      </c>
      <c r="CS276" s="177">
        <f t="shared" ca="1" si="30"/>
        <v>794.57142857142856</v>
      </c>
      <c r="CT276" s="209">
        <f t="shared" si="89"/>
        <v>5281.8255219138273</v>
      </c>
      <c r="CU276" s="179">
        <f t="shared" si="90"/>
        <v>-4.6452107836019489E-2</v>
      </c>
      <c r="CV276" s="213">
        <f t="shared" si="91"/>
        <v>0.67483524514786364</v>
      </c>
      <c r="CW276" s="217">
        <f t="shared" ca="1" si="92"/>
        <v>0.9314880430452589</v>
      </c>
      <c r="CX276" s="176">
        <f>DANE!BO276</f>
        <v>796</v>
      </c>
      <c r="CY276" s="188">
        <f t="shared" si="15"/>
        <v>99279</v>
      </c>
      <c r="CZ276" s="177">
        <f t="shared" ca="1" si="31"/>
        <v>1401.4285714285713</v>
      </c>
      <c r="DA276" s="209">
        <f t="shared" si="54"/>
        <v>10588.950089409444</v>
      </c>
      <c r="DB276" s="179">
        <f t="shared" si="58"/>
        <v>-7.3186031694882331E-2</v>
      </c>
      <c r="DC276" s="213">
        <f t="shared" si="59"/>
        <v>0.4876977781358236</v>
      </c>
      <c r="DD276" s="214">
        <f t="shared" ca="1" si="60"/>
        <v>0.75857083826366123</v>
      </c>
      <c r="DE276" s="176">
        <f>DANE!BS276</f>
        <v>461</v>
      </c>
      <c r="DF276" s="188">
        <f t="shared" si="16"/>
        <v>38460</v>
      </c>
      <c r="DG276" s="177">
        <f t="shared" ca="1" si="32"/>
        <v>808.42857142857144</v>
      </c>
      <c r="DH276" s="209">
        <f t="shared" si="70"/>
        <v>5729.3712001280546</v>
      </c>
      <c r="DI276" s="179">
        <f t="shared" si="74"/>
        <v>-6.7854292425257437E-2</v>
      </c>
      <c r="DJ276" s="157">
        <f t="shared" si="75"/>
        <v>0.52501995302319793</v>
      </c>
      <c r="DK276" s="225">
        <f t="shared" ca="1" si="76"/>
        <v>0.85511265537631409</v>
      </c>
      <c r="DL276" s="146"/>
      <c r="DM276" s="380"/>
      <c r="DN276" s="372"/>
      <c r="DO276" s="372"/>
      <c r="DP276" s="372"/>
      <c r="DQ276" s="372"/>
      <c r="DR276" s="372"/>
      <c r="DS276" s="372"/>
      <c r="DT276" s="88"/>
      <c r="DU276" s="88"/>
      <c r="DV276" s="88"/>
      <c r="DW276" s="146"/>
      <c r="DX276" s="146"/>
      <c r="DY276" s="146"/>
      <c r="DZ276" s="146"/>
      <c r="EA276" s="146"/>
      <c r="EB276" s="146"/>
      <c r="EC276" s="146"/>
      <c r="ED276" s="146"/>
      <c r="EE276" s="146"/>
      <c r="EF276" s="146"/>
      <c r="EG276" s="146"/>
      <c r="EH276" s="146"/>
    </row>
    <row r="277" spans="1:138" x14ac:dyDescent="0.25">
      <c r="A277" s="32">
        <v>44167</v>
      </c>
      <c r="B277" s="33">
        <f t="shared" ca="1" si="98"/>
        <v>44167</v>
      </c>
      <c r="C277" s="51">
        <f t="shared" si="93"/>
        <v>274</v>
      </c>
      <c r="D277" s="176">
        <f>DANE!K277</f>
        <v>844</v>
      </c>
      <c r="E277" s="188">
        <f t="shared" si="1"/>
        <v>71824</v>
      </c>
      <c r="F277" s="178">
        <f t="shared" ca="1" si="17"/>
        <v>956.85714285714289</v>
      </c>
      <c r="G277" s="209">
        <f t="shared" si="38"/>
        <v>7716.4113816669005</v>
      </c>
      <c r="H277" s="179">
        <f t="shared" si="42"/>
        <v>-3.7591533560467683E-2</v>
      </c>
      <c r="I277" s="213">
        <f t="shared" si="43"/>
        <v>0.73685926507672628</v>
      </c>
      <c r="J277" s="214">
        <f t="shared" ca="1" si="44"/>
        <v>0.69690691712507147</v>
      </c>
      <c r="K277" s="176">
        <f>DANE!O277</f>
        <v>1240</v>
      </c>
      <c r="L277" s="188">
        <f t="shared" si="2"/>
        <v>58470</v>
      </c>
      <c r="M277" s="177">
        <f t="shared" ca="1" si="18"/>
        <v>993.28571428571433</v>
      </c>
      <c r="N277" s="209">
        <f t="shared" si="62"/>
        <v>7068.9077993121336</v>
      </c>
      <c r="O277" s="179">
        <f t="shared" si="66"/>
        <v>3.948527521688653E-2</v>
      </c>
      <c r="P277" s="213">
        <f t="shared" si="67"/>
        <v>1.2763969265182058</v>
      </c>
      <c r="Q277" s="217">
        <f t="shared" ca="1" si="68"/>
        <v>0.96097813648684594</v>
      </c>
      <c r="R277" s="176">
        <f>DANE!S277</f>
        <v>759</v>
      </c>
      <c r="S277" s="188">
        <f t="shared" si="3"/>
        <v>51456</v>
      </c>
      <c r="T277" s="177">
        <f t="shared" ca="1" si="19"/>
        <v>710.42857142857144</v>
      </c>
      <c r="U277" s="209">
        <f t="shared" si="50"/>
        <v>5468.3254008506683</v>
      </c>
      <c r="V277" s="179">
        <f t="shared" si="55"/>
        <v>-4.7117880141938654E-3</v>
      </c>
      <c r="W277" s="213">
        <f t="shared" si="56"/>
        <v>0.9670174839006429</v>
      </c>
      <c r="X277" s="214">
        <f t="shared" ca="1" si="57"/>
        <v>0.76983622575947863</v>
      </c>
      <c r="Y277" s="176">
        <f>DANE!W277</f>
        <v>387</v>
      </c>
      <c r="Z277" s="188">
        <f t="shared" si="4"/>
        <v>22484</v>
      </c>
      <c r="AA277" s="177">
        <f t="shared" ca="1" si="20"/>
        <v>372.28571428571428</v>
      </c>
      <c r="AB277" s="209">
        <f t="shared" si="94"/>
        <v>2811.6111023131002</v>
      </c>
      <c r="AC277" s="179">
        <f t="shared" si="95"/>
        <v>-6.0458062275994861E-3</v>
      </c>
      <c r="AD277" s="213">
        <f t="shared" si="96"/>
        <v>0.95767935640680357</v>
      </c>
      <c r="AE277" s="217">
        <f t="shared" ca="1" si="97"/>
        <v>0.7839051487911064</v>
      </c>
      <c r="AF277" s="176">
        <f>DANE!AA277</f>
        <v>1013</v>
      </c>
      <c r="AG277" s="188">
        <f t="shared" si="5"/>
        <v>66583</v>
      </c>
      <c r="AH277" s="177">
        <f t="shared" ca="1" si="21"/>
        <v>799.85714285714289</v>
      </c>
      <c r="AI277" s="209">
        <f t="shared" si="37"/>
        <v>6338.2980962674428</v>
      </c>
      <c r="AJ277" s="179">
        <f t="shared" si="39"/>
        <v>2.0192079663246206E-2</v>
      </c>
      <c r="AK277" s="213">
        <f t="shared" si="40"/>
        <v>1.1413445576427235</v>
      </c>
      <c r="AL277" s="214">
        <f t="shared" ca="1" si="41"/>
        <v>0.76756506196201968</v>
      </c>
      <c r="AM277" s="176">
        <f>DANE!AE277</f>
        <v>823</v>
      </c>
      <c r="AN277" s="188">
        <f t="shared" si="6"/>
        <v>97231</v>
      </c>
      <c r="AO277" s="177">
        <f t="shared" ca="1" si="22"/>
        <v>638.85714285714289</v>
      </c>
      <c r="AP277" s="209">
        <f t="shared" si="49"/>
        <v>6519.1604750903934</v>
      </c>
      <c r="AQ277" s="179">
        <f t="shared" si="51"/>
        <v>-1.9014323731268885E-2</v>
      </c>
      <c r="AR277" s="213">
        <f t="shared" si="52"/>
        <v>0.86689973388111774</v>
      </c>
      <c r="AS277" s="217">
        <f t="shared" ca="1" si="53"/>
        <v>0.51437163725232937</v>
      </c>
      <c r="AT277" s="176">
        <f>DANE!AI277</f>
        <v>1626</v>
      </c>
      <c r="AU277" s="188">
        <f t="shared" si="7"/>
        <v>120857</v>
      </c>
      <c r="AV277" s="177">
        <f t="shared" ca="1" si="23"/>
        <v>1470.1428571428571</v>
      </c>
      <c r="AW277" s="209">
        <f t="shared" si="33"/>
        <v>11668.997926542948</v>
      </c>
      <c r="AX277" s="179">
        <f t="shared" si="34"/>
        <v>-4.0824168332734712E-3</v>
      </c>
      <c r="AY277" s="213">
        <f t="shared" si="35"/>
        <v>0.97142308216708573</v>
      </c>
      <c r="AZ277" s="214">
        <f t="shared" ca="1" si="36"/>
        <v>0.72388425559849856</v>
      </c>
      <c r="BA277" s="176">
        <f>DANE!AM277</f>
        <v>257</v>
      </c>
      <c r="BB277" s="188">
        <f t="shared" si="8"/>
        <v>29707</v>
      </c>
      <c r="BC277" s="177">
        <f t="shared" ca="1" si="24"/>
        <v>400</v>
      </c>
      <c r="BD277" s="209">
        <f t="shared" si="77"/>
        <v>3167.1287431768501</v>
      </c>
      <c r="BE277" s="179">
        <f t="shared" si="80"/>
        <v>-6.7160933607912546E-2</v>
      </c>
      <c r="BF277" s="213">
        <f t="shared" si="81"/>
        <v>0.52987346474461217</v>
      </c>
      <c r="BG277" s="217">
        <f t="shared" ca="1" si="82"/>
        <v>0.69739980867946283</v>
      </c>
      <c r="BH277" s="176">
        <f>DANE!AQ277</f>
        <v>518</v>
      </c>
      <c r="BI277" s="188">
        <f t="shared" si="9"/>
        <v>52293</v>
      </c>
      <c r="BJ277" s="177">
        <f t="shared" ca="1" si="25"/>
        <v>508</v>
      </c>
      <c r="BK277" s="209">
        <f t="shared" si="61"/>
        <v>4109.9928306700658</v>
      </c>
      <c r="BL277" s="179">
        <f t="shared" si="63"/>
        <v>-1.9248878328069569E-2</v>
      </c>
      <c r="BM277" s="213">
        <f t="shared" si="64"/>
        <v>0.86525785170351299</v>
      </c>
      <c r="BN277" s="214">
        <f t="shared" ca="1" si="65"/>
        <v>0.69067817184922309</v>
      </c>
      <c r="BO277" s="176">
        <f>DANE!AU277</f>
        <v>393</v>
      </c>
      <c r="BP277" s="188">
        <f t="shared" si="10"/>
        <v>26834</v>
      </c>
      <c r="BQ277" s="177">
        <f t="shared" ca="1" si="26"/>
        <v>352.85714285714283</v>
      </c>
      <c r="BR277" s="209">
        <f t="shared" si="78"/>
        <v>2901.7958648167223</v>
      </c>
      <c r="BS277" s="179">
        <f t="shared" si="83"/>
        <v>-8.5866955954834231E-3</v>
      </c>
      <c r="BT277" s="213">
        <f t="shared" si="84"/>
        <v>0.93989313083161607</v>
      </c>
      <c r="BU277" s="217">
        <f t="shared" ca="1" si="85"/>
        <v>0.68157431311591521</v>
      </c>
      <c r="BV277" s="176">
        <f>DANE!AY277</f>
        <v>1060</v>
      </c>
      <c r="BW277" s="188">
        <f t="shared" si="11"/>
        <v>58099</v>
      </c>
      <c r="BX277" s="177">
        <f t="shared" ca="1" si="27"/>
        <v>901.57142857142856</v>
      </c>
      <c r="BY277" s="209">
        <f t="shared" si="69"/>
        <v>6847.950331986598</v>
      </c>
      <c r="BZ277" s="179">
        <f t="shared" si="71"/>
        <v>1.4119226402677728E-2</v>
      </c>
      <c r="CA277" s="213">
        <f t="shared" si="72"/>
        <v>1.0988345848187442</v>
      </c>
      <c r="CB277" s="214">
        <f t="shared" ca="1" si="73"/>
        <v>0.79066256468423091</v>
      </c>
      <c r="CC277" s="176">
        <f>DANE!BC277</f>
        <v>1494</v>
      </c>
      <c r="CD277" s="188">
        <f t="shared" si="12"/>
        <v>130244</v>
      </c>
      <c r="CE277" s="177">
        <f t="shared" ca="1" si="28"/>
        <v>1251.7142857142858</v>
      </c>
      <c r="CF277" s="209">
        <f t="shared" si="45"/>
        <v>10980.033242618987</v>
      </c>
      <c r="CG277" s="179">
        <f t="shared" si="46"/>
        <v>-7.8616820761222891E-3</v>
      </c>
      <c r="CH277" s="213">
        <f t="shared" si="47"/>
        <v>0.94496822546714399</v>
      </c>
      <c r="CI277" s="217">
        <f t="shared" ca="1" si="48"/>
        <v>0.63835350774026267</v>
      </c>
      <c r="CJ277" s="176">
        <f>DANE!BG277</f>
        <v>276</v>
      </c>
      <c r="CK277" s="188">
        <f t="shared" si="13"/>
        <v>30405</v>
      </c>
      <c r="CL277" s="177">
        <f t="shared" ca="1" si="29"/>
        <v>313</v>
      </c>
      <c r="CM277" s="209">
        <f t="shared" si="79"/>
        <v>2751.1653996714522</v>
      </c>
      <c r="CN277" s="179">
        <f t="shared" si="86"/>
        <v>-4.7279114575545789E-2</v>
      </c>
      <c r="CO277" s="213">
        <f t="shared" si="87"/>
        <v>0.66904619797117948</v>
      </c>
      <c r="CP277" s="214">
        <f t="shared" ca="1" si="88"/>
        <v>0.61239351064881808</v>
      </c>
      <c r="CQ277" s="176">
        <f>DANE!BK277</f>
        <v>785</v>
      </c>
      <c r="CR277" s="188">
        <f t="shared" si="14"/>
        <v>33487</v>
      </c>
      <c r="CS277" s="177">
        <f t="shared" ca="1" si="30"/>
        <v>784.14285714285711</v>
      </c>
      <c r="CT277" s="209">
        <f t="shared" si="89"/>
        <v>5312.2790187832807</v>
      </c>
      <c r="CU277" s="179">
        <f t="shared" si="90"/>
        <v>5.7657142863020575E-3</v>
      </c>
      <c r="CV277" s="213">
        <f t="shared" si="91"/>
        <v>1.0403600000041144</v>
      </c>
      <c r="CW277" s="217">
        <f t="shared" ca="1" si="92"/>
        <v>0.92980042756696524</v>
      </c>
      <c r="CX277" s="176">
        <f>DANE!BO277</f>
        <v>1577</v>
      </c>
      <c r="CY277" s="188">
        <f t="shared" si="15"/>
        <v>100856</v>
      </c>
      <c r="CZ277" s="177">
        <f t="shared" ca="1" si="31"/>
        <v>1423.8571428571429</v>
      </c>
      <c r="DA277" s="209">
        <f t="shared" si="54"/>
        <v>10653.242933779524</v>
      </c>
      <c r="DB277" s="179">
        <f t="shared" si="58"/>
        <v>6.071692077799372E-3</v>
      </c>
      <c r="DC277" s="213">
        <f t="shared" si="59"/>
        <v>1.0425018445445957</v>
      </c>
      <c r="DD277" s="214">
        <f t="shared" ca="1" si="60"/>
        <v>0.80316976326270606</v>
      </c>
      <c r="DE277" s="176">
        <f>DANE!BS277</f>
        <v>751</v>
      </c>
      <c r="DF277" s="188">
        <f t="shared" si="16"/>
        <v>39211</v>
      </c>
      <c r="DG277" s="177">
        <f t="shared" ca="1" si="32"/>
        <v>771.28571428571433</v>
      </c>
      <c r="DH277" s="209">
        <f t="shared" si="70"/>
        <v>5661.8896001097619</v>
      </c>
      <c r="DI277" s="179">
        <f t="shared" si="74"/>
        <v>-1.177818606285878E-2</v>
      </c>
      <c r="DJ277" s="157">
        <f t="shared" si="75"/>
        <v>0.91755269755998858</v>
      </c>
      <c r="DK277" s="225">
        <f t="shared" ca="1" si="76"/>
        <v>0.83416731141038214</v>
      </c>
      <c r="DL277" s="146"/>
      <c r="DM277" s="380"/>
      <c r="DN277" s="372"/>
      <c r="DO277" s="372"/>
      <c r="DP277" s="372"/>
      <c r="DQ277" s="372"/>
      <c r="DR277" s="372"/>
      <c r="DS277" s="372"/>
      <c r="DT277" s="89"/>
      <c r="DU277" s="89"/>
      <c r="DV277" s="89"/>
      <c r="DW277" s="146"/>
      <c r="DX277" s="146"/>
      <c r="DY277" s="146"/>
      <c r="DZ277" s="146"/>
      <c r="EA277" s="146"/>
      <c r="EB277" s="146"/>
      <c r="EC277" s="146"/>
      <c r="ED277" s="146"/>
      <c r="EE277" s="146"/>
      <c r="EF277" s="146"/>
      <c r="EG277" s="146"/>
      <c r="EH277" s="146"/>
    </row>
    <row r="278" spans="1:138" x14ac:dyDescent="0.25">
      <c r="A278" s="32">
        <v>44168</v>
      </c>
      <c r="B278" s="33">
        <f t="shared" ca="1" si="98"/>
        <v>44168</v>
      </c>
      <c r="C278" s="51">
        <f t="shared" si="93"/>
        <v>275</v>
      </c>
      <c r="D278" s="176">
        <f>DANE!K278</f>
        <v>844</v>
      </c>
      <c r="E278" s="188">
        <f t="shared" si="1"/>
        <v>72668</v>
      </c>
      <c r="F278" s="178">
        <f t="shared" ca="1" si="17"/>
        <v>918.57142857142856</v>
      </c>
      <c r="G278" s="209">
        <f t="shared" si="38"/>
        <v>7458.0668985716293</v>
      </c>
      <c r="H278" s="179">
        <f t="shared" si="42"/>
        <v>-3.3479874298700703E-2</v>
      </c>
      <c r="I278" s="213">
        <f t="shared" si="43"/>
        <v>0.76564087990909502</v>
      </c>
      <c r="J278" s="214">
        <f t="shared" ca="1" si="44"/>
        <v>0.70096273517923602</v>
      </c>
      <c r="K278" s="176">
        <f>DANE!O278</f>
        <v>1354</v>
      </c>
      <c r="L278" s="188">
        <f t="shared" si="2"/>
        <v>59824</v>
      </c>
      <c r="M278" s="177">
        <f t="shared" ca="1" si="18"/>
        <v>1014.2857142857143</v>
      </c>
      <c r="N278" s="209">
        <f t="shared" si="62"/>
        <v>7413.0638279818295</v>
      </c>
      <c r="O278" s="179">
        <f t="shared" si="66"/>
        <v>4.8685884501589512E-2</v>
      </c>
      <c r="P278" s="213">
        <f t="shared" si="67"/>
        <v>1.3408011915111266</v>
      </c>
      <c r="Q278" s="217">
        <f t="shared" ca="1" si="68"/>
        <v>0.98998839008314188</v>
      </c>
      <c r="R278" s="176">
        <f>DANE!S278</f>
        <v>793</v>
      </c>
      <c r="S278" s="188">
        <f t="shared" si="3"/>
        <v>52249</v>
      </c>
      <c r="T278" s="177">
        <f t="shared" ca="1" si="19"/>
        <v>677</v>
      </c>
      <c r="U278" s="209">
        <f t="shared" si="50"/>
        <v>5480.1360578720014</v>
      </c>
      <c r="V278" s="179">
        <f t="shared" si="55"/>
        <v>2.1598306895737772E-3</v>
      </c>
      <c r="W278" s="213">
        <f t="shared" si="56"/>
        <v>1.0151188148270165</v>
      </c>
      <c r="X278" s="214">
        <f t="shared" ca="1" si="57"/>
        <v>0.76687284149110357</v>
      </c>
      <c r="Y278" s="176">
        <f>DANE!W278</f>
        <v>358</v>
      </c>
      <c r="Z278" s="188">
        <f t="shared" si="4"/>
        <v>22842</v>
      </c>
      <c r="AA278" s="177">
        <f t="shared" ca="1" si="20"/>
        <v>350.85714285714283</v>
      </c>
      <c r="AB278" s="209">
        <f t="shared" si="94"/>
        <v>2767.952373411229</v>
      </c>
      <c r="AC278" s="179">
        <f t="shared" si="95"/>
        <v>-1.5528011276507393E-2</v>
      </c>
      <c r="AD278" s="213">
        <f t="shared" si="96"/>
        <v>0.89130392106444822</v>
      </c>
      <c r="AE278" s="217">
        <f t="shared" ca="1" si="97"/>
        <v>0.76664987550959529</v>
      </c>
      <c r="AF278" s="176">
        <f>DANE!AA278</f>
        <v>889</v>
      </c>
      <c r="AG278" s="188">
        <f t="shared" si="5"/>
        <v>67472</v>
      </c>
      <c r="AH278" s="177">
        <f t="shared" ca="1" si="21"/>
        <v>769.85714285714289</v>
      </c>
      <c r="AI278" s="209">
        <f t="shared" si="37"/>
        <v>6321.8269396578089</v>
      </c>
      <c r="AJ278" s="179">
        <f t="shared" si="39"/>
        <v>-2.598671813705575E-3</v>
      </c>
      <c r="AK278" s="213">
        <f t="shared" si="40"/>
        <v>0.98180929730406097</v>
      </c>
      <c r="AL278" s="214">
        <f t="shared" ca="1" si="41"/>
        <v>0.77152428921462946</v>
      </c>
      <c r="AM278" s="176">
        <f>DANE!AE278</f>
        <v>646</v>
      </c>
      <c r="AN278" s="188">
        <f t="shared" si="6"/>
        <v>97877</v>
      </c>
      <c r="AO278" s="177">
        <f t="shared" ca="1" si="22"/>
        <v>600.57142857142856</v>
      </c>
      <c r="AP278" s="209">
        <f t="shared" si="49"/>
        <v>6233.8518357917665</v>
      </c>
      <c r="AQ278" s="179">
        <f t="shared" si="51"/>
        <v>-4.3764628956256969E-2</v>
      </c>
      <c r="AR278" s="213">
        <f t="shared" si="52"/>
        <v>0.69364759730620118</v>
      </c>
      <c r="AS278" s="217">
        <f t="shared" ca="1" si="53"/>
        <v>0.52894598783715807</v>
      </c>
      <c r="AT278" s="176">
        <f>DANE!AI278</f>
        <v>1780</v>
      </c>
      <c r="AU278" s="188">
        <f t="shared" si="7"/>
        <v>122637</v>
      </c>
      <c r="AV278" s="177">
        <f t="shared" ca="1" si="23"/>
        <v>1469.4285714285713</v>
      </c>
      <c r="AW278" s="209">
        <f t="shared" si="33"/>
        <v>11781.998222751099</v>
      </c>
      <c r="AX278" s="179">
        <f t="shared" si="34"/>
        <v>9.6838046351104441E-3</v>
      </c>
      <c r="AY278" s="213">
        <f t="shared" si="35"/>
        <v>1.0677866324457732</v>
      </c>
      <c r="AZ278" s="214">
        <f t="shared" ca="1" si="36"/>
        <v>0.76154784542575082</v>
      </c>
      <c r="BA278" s="176">
        <f>DANE!AM278</f>
        <v>469</v>
      </c>
      <c r="BB278" s="188">
        <f t="shared" si="8"/>
        <v>30176</v>
      </c>
      <c r="BC278" s="177">
        <f t="shared" ca="1" si="24"/>
        <v>383.14285714285717</v>
      </c>
      <c r="BD278" s="209">
        <f t="shared" si="77"/>
        <v>3183.6817798658717</v>
      </c>
      <c r="BE278" s="179">
        <f t="shared" si="80"/>
        <v>5.2265120970162284E-3</v>
      </c>
      <c r="BF278" s="213">
        <f t="shared" si="81"/>
        <v>1.0365855846791137</v>
      </c>
      <c r="BG278" s="217">
        <f t="shared" ca="1" si="82"/>
        <v>0.70982612391816213</v>
      </c>
      <c r="BH278" s="176">
        <f>DANE!AQ278</f>
        <v>413</v>
      </c>
      <c r="BI278" s="188">
        <f t="shared" si="9"/>
        <v>52706</v>
      </c>
      <c r="BJ278" s="177">
        <f t="shared" ca="1" si="25"/>
        <v>474.28571428571428</v>
      </c>
      <c r="BK278" s="209">
        <f t="shared" si="61"/>
        <v>3935.8509977171993</v>
      </c>
      <c r="BL278" s="179">
        <f t="shared" si="63"/>
        <v>-4.2370349566881252E-2</v>
      </c>
      <c r="BM278" s="213">
        <f t="shared" si="64"/>
        <v>0.70340755303183122</v>
      </c>
      <c r="BN278" s="214">
        <f t="shared" ca="1" si="65"/>
        <v>0.67665542770974096</v>
      </c>
      <c r="BO278" s="176">
        <f>DANE!AU278</f>
        <v>356</v>
      </c>
      <c r="BP278" s="188">
        <f t="shared" si="10"/>
        <v>27190</v>
      </c>
      <c r="BQ278" s="177">
        <f t="shared" ca="1" si="26"/>
        <v>337.42857142857144</v>
      </c>
      <c r="BR278" s="209">
        <f t="shared" si="78"/>
        <v>2843.2535984143337</v>
      </c>
      <c r="BS278" s="179">
        <f t="shared" si="83"/>
        <v>-2.017449508154362E-2</v>
      </c>
      <c r="BT278" s="213">
        <f t="shared" si="84"/>
        <v>0.85877853442919472</v>
      </c>
      <c r="BU278" s="217">
        <f t="shared" ca="1" si="85"/>
        <v>0.68936850238733194</v>
      </c>
      <c r="BV278" s="176">
        <f>DANE!AY278</f>
        <v>1226</v>
      </c>
      <c r="BW278" s="188">
        <f t="shared" si="11"/>
        <v>59325</v>
      </c>
      <c r="BX278" s="177">
        <f t="shared" ca="1" si="27"/>
        <v>918.85714285714289</v>
      </c>
      <c r="BY278" s="209">
        <f t="shared" si="69"/>
        <v>7095.6717131313699</v>
      </c>
      <c r="BZ278" s="179">
        <f t="shared" si="71"/>
        <v>3.6174529477480538E-2</v>
      </c>
      <c r="CA278" s="213">
        <f t="shared" si="72"/>
        <v>1.2532217063423639</v>
      </c>
      <c r="CB278" s="214">
        <f t="shared" ca="1" si="73"/>
        <v>0.83991929412431376</v>
      </c>
      <c r="CC278" s="176">
        <f>DANE!BC278</f>
        <v>1531</v>
      </c>
      <c r="CD278" s="188">
        <f t="shared" si="12"/>
        <v>131775</v>
      </c>
      <c r="CE278" s="177">
        <f t="shared" ca="1" si="28"/>
        <v>1209.8571428571429</v>
      </c>
      <c r="CF278" s="209">
        <f t="shared" si="45"/>
        <v>10942.457065101989</v>
      </c>
      <c r="CG278" s="179">
        <f t="shared" si="46"/>
        <v>-3.422228028522331E-3</v>
      </c>
      <c r="CH278" s="213">
        <f t="shared" si="47"/>
        <v>0.97604440380034363</v>
      </c>
      <c r="CI278" s="217">
        <f t="shared" ca="1" si="48"/>
        <v>0.6636162827570492</v>
      </c>
      <c r="CJ278" s="176">
        <f>DANE!BG278</f>
        <v>353</v>
      </c>
      <c r="CK278" s="188">
        <f t="shared" si="13"/>
        <v>30758</v>
      </c>
      <c r="CL278" s="177">
        <f t="shared" ca="1" si="29"/>
        <v>295.85714285714283</v>
      </c>
      <c r="CM278" s="209">
        <f t="shared" si="79"/>
        <v>2711.1417711469594</v>
      </c>
      <c r="CN278" s="179">
        <f t="shared" si="86"/>
        <v>-1.4547881610197792E-2</v>
      </c>
      <c r="CO278" s="213">
        <f t="shared" si="87"/>
        <v>0.89816482872861547</v>
      </c>
      <c r="CP278" s="214">
        <f t="shared" ca="1" si="88"/>
        <v>0.62545116980726712</v>
      </c>
      <c r="CQ278" s="176">
        <f>DANE!BK278</f>
        <v>1058</v>
      </c>
      <c r="CR278" s="188">
        <f t="shared" si="14"/>
        <v>34545</v>
      </c>
      <c r="CS278" s="177">
        <f t="shared" ca="1" si="30"/>
        <v>762.42857142857144</v>
      </c>
      <c r="CT278" s="209">
        <f t="shared" si="89"/>
        <v>5611.3820160999549</v>
      </c>
      <c r="CU278" s="179">
        <f t="shared" si="90"/>
        <v>5.6304082722142192E-2</v>
      </c>
      <c r="CV278" s="213">
        <f t="shared" si="91"/>
        <v>1.3941285790549953</v>
      </c>
      <c r="CW278" s="217">
        <f t="shared" ca="1" si="92"/>
        <v>0.91855358631003414</v>
      </c>
      <c r="CX278" s="176">
        <f>DANE!BO278</f>
        <v>1755</v>
      </c>
      <c r="CY278" s="188">
        <f t="shared" si="15"/>
        <v>102611</v>
      </c>
      <c r="CZ278" s="177">
        <f t="shared" ca="1" si="31"/>
        <v>1436.2857142857142</v>
      </c>
      <c r="DA278" s="209">
        <f t="shared" si="54"/>
        <v>10886.351086096736</v>
      </c>
      <c r="DB278" s="179">
        <f t="shared" si="58"/>
        <v>2.1881426507046813E-2</v>
      </c>
      <c r="DC278" s="213">
        <f t="shared" si="59"/>
        <v>1.1531699855493276</v>
      </c>
      <c r="DD278" s="214">
        <f t="shared" ca="1" si="60"/>
        <v>0.84044667953895025</v>
      </c>
      <c r="DE278" s="176">
        <f>DANE!BS278</f>
        <v>939</v>
      </c>
      <c r="DF278" s="188">
        <f t="shared" si="16"/>
        <v>40150</v>
      </c>
      <c r="DG278" s="177">
        <f t="shared" ca="1" si="32"/>
        <v>763.85714285714289</v>
      </c>
      <c r="DH278" s="209">
        <f t="shared" si="70"/>
        <v>5792.0482286655106</v>
      </c>
      <c r="DI278" s="179">
        <f t="shared" si="74"/>
        <v>2.2988549362252742E-2</v>
      </c>
      <c r="DJ278" s="157">
        <f t="shared" si="75"/>
        <v>1.1609198455357692</v>
      </c>
      <c r="DK278" s="225">
        <f t="shared" ca="1" si="76"/>
        <v>0.85234975970806182</v>
      </c>
      <c r="DL278" s="146"/>
      <c r="DM278" s="88"/>
      <c r="DN278" s="88"/>
      <c r="DO278" s="88"/>
      <c r="DP278" s="88"/>
      <c r="DQ278" s="88"/>
      <c r="DR278" s="88"/>
      <c r="DS278" s="88"/>
      <c r="DT278" s="88"/>
      <c r="DU278" s="88"/>
      <c r="DV278" s="88"/>
      <c r="DW278" s="146"/>
      <c r="DX278" s="146"/>
      <c r="DY278" s="146"/>
      <c r="DZ278" s="146"/>
      <c r="EA278" s="146"/>
      <c r="EB278" s="146"/>
      <c r="EC278" s="146"/>
      <c r="ED278" s="146"/>
      <c r="EE278" s="146"/>
      <c r="EF278" s="146"/>
      <c r="EG278" s="146"/>
      <c r="EH278" s="146"/>
    </row>
    <row r="279" spans="1:138" x14ac:dyDescent="0.25">
      <c r="A279" s="32">
        <v>44169</v>
      </c>
      <c r="B279" s="33">
        <f t="shared" ca="1" si="98"/>
        <v>44169</v>
      </c>
      <c r="C279" s="51">
        <f t="shared" si="93"/>
        <v>276</v>
      </c>
      <c r="D279" s="176">
        <f>DANE!K279</f>
        <v>828</v>
      </c>
      <c r="E279" s="188">
        <f t="shared" si="1"/>
        <v>73496</v>
      </c>
      <c r="F279" s="178">
        <f t="shared" ca="1" si="17"/>
        <v>848.57142857142856</v>
      </c>
      <c r="G279" s="209">
        <f t="shared" si="38"/>
        <v>7220.6287702042546</v>
      </c>
      <c r="H279" s="179">
        <f t="shared" si="42"/>
        <v>-3.1836417076501269E-2</v>
      </c>
      <c r="I279" s="213">
        <f t="shared" si="43"/>
        <v>0.77714508046449104</v>
      </c>
      <c r="J279" s="214">
        <f t="shared" ca="1" si="44"/>
        <v>0.68228261112531807</v>
      </c>
      <c r="K279" s="176">
        <f>DANE!O279</f>
        <v>1081</v>
      </c>
      <c r="L279" s="188">
        <f t="shared" si="2"/>
        <v>60905</v>
      </c>
      <c r="M279" s="177">
        <f t="shared" ca="1" si="18"/>
        <v>973.28571428571433</v>
      </c>
      <c r="N279" s="209">
        <f t="shared" si="62"/>
        <v>7435.0547096987111</v>
      </c>
      <c r="O279" s="179">
        <f t="shared" si="66"/>
        <v>2.9665037597374285E-3</v>
      </c>
      <c r="P279" s="213">
        <f t="shared" si="67"/>
        <v>1.0207655263181621</v>
      </c>
      <c r="Q279" s="217">
        <f t="shared" ca="1" si="68"/>
        <v>0.95515381371993047</v>
      </c>
      <c r="R279" s="176">
        <f>DANE!S279</f>
        <v>713</v>
      </c>
      <c r="S279" s="188">
        <f t="shared" si="3"/>
        <v>52962</v>
      </c>
      <c r="T279" s="177">
        <f t="shared" ca="1" si="19"/>
        <v>664.28571428571433</v>
      </c>
      <c r="U279" s="209">
        <f t="shared" si="50"/>
        <v>5410.2594781760017</v>
      </c>
      <c r="V279" s="179">
        <f t="shared" si="55"/>
        <v>-1.2750884094497017E-2</v>
      </c>
      <c r="W279" s="213">
        <f t="shared" si="56"/>
        <v>0.91074381133852089</v>
      </c>
      <c r="X279" s="214">
        <f t="shared" ca="1" si="57"/>
        <v>0.78200799829334333</v>
      </c>
      <c r="Y279" s="176">
        <f>DANE!W279</f>
        <v>482</v>
      </c>
      <c r="Z279" s="188">
        <f t="shared" si="4"/>
        <v>23324</v>
      </c>
      <c r="AA279" s="177">
        <f t="shared" ca="1" si="20"/>
        <v>349.14285714285717</v>
      </c>
      <c r="AB279" s="209">
        <f t="shared" si="94"/>
        <v>2854.5306057810535</v>
      </c>
      <c r="AC279" s="179">
        <f t="shared" si="95"/>
        <v>3.1278801326745855E-2</v>
      </c>
      <c r="AD279" s="213">
        <f t="shared" si="96"/>
        <v>1.218951609287221</v>
      </c>
      <c r="AE279" s="217">
        <f t="shared" ca="1" si="97"/>
        <v>0.80042845835152077</v>
      </c>
      <c r="AF279" s="176">
        <f>DANE!AA279</f>
        <v>915</v>
      </c>
      <c r="AG279" s="188">
        <f t="shared" si="5"/>
        <v>68387</v>
      </c>
      <c r="AH279" s="177">
        <f t="shared" ca="1" si="21"/>
        <v>757.57142857142856</v>
      </c>
      <c r="AI279" s="209">
        <f t="shared" si="37"/>
        <v>6333.7088054209798</v>
      </c>
      <c r="AJ279" s="179">
        <f t="shared" si="39"/>
        <v>1.8794987393017885E-3</v>
      </c>
      <c r="AK279" s="213">
        <f t="shared" si="40"/>
        <v>1.0131564911751125</v>
      </c>
      <c r="AL279" s="214">
        <f t="shared" ca="1" si="41"/>
        <v>0.79129625397744008</v>
      </c>
      <c r="AM279" s="176">
        <f>DANE!AE279</f>
        <v>599</v>
      </c>
      <c r="AN279" s="188">
        <f t="shared" si="6"/>
        <v>98476</v>
      </c>
      <c r="AO279" s="177">
        <f t="shared" ca="1" si="22"/>
        <v>562.14285714285711</v>
      </c>
      <c r="AP279" s="209">
        <f t="shared" si="49"/>
        <v>5942.3015735358003</v>
      </c>
      <c r="AQ279" s="179">
        <f t="shared" si="51"/>
        <v>-4.6768879007041089E-2</v>
      </c>
      <c r="AR279" s="213">
        <f t="shared" si="52"/>
        <v>0.67261784695071236</v>
      </c>
      <c r="AS279" s="217">
        <f t="shared" ca="1" si="53"/>
        <v>0.53979708861590614</v>
      </c>
      <c r="AT279" s="176">
        <f>DANE!AI279</f>
        <v>1643</v>
      </c>
      <c r="AU279" s="188">
        <f t="shared" si="7"/>
        <v>124280</v>
      </c>
      <c r="AV279" s="177">
        <f t="shared" ca="1" si="23"/>
        <v>1410.2857142857142</v>
      </c>
      <c r="AW279" s="209">
        <f t="shared" si="33"/>
        <v>11741.855619500942</v>
      </c>
      <c r="AX279" s="179">
        <f t="shared" si="34"/>
        <v>-3.4071133343613292E-3</v>
      </c>
      <c r="AY279" s="213">
        <f t="shared" si="35"/>
        <v>0.97615020665947072</v>
      </c>
      <c r="AZ279" s="214">
        <f t="shared" ca="1" si="36"/>
        <v>0.76480474149691013</v>
      </c>
      <c r="BA279" s="176">
        <f>DANE!AM279</f>
        <v>449</v>
      </c>
      <c r="BB279" s="188">
        <f t="shared" si="8"/>
        <v>30625</v>
      </c>
      <c r="BC279" s="177">
        <f t="shared" ca="1" si="24"/>
        <v>370.71428571428572</v>
      </c>
      <c r="BD279" s="209">
        <f t="shared" si="77"/>
        <v>3177.8700970278901</v>
      </c>
      <c r="BE279" s="179">
        <f t="shared" si="80"/>
        <v>-1.8254597160858373E-3</v>
      </c>
      <c r="BF279" s="213">
        <f t="shared" si="81"/>
        <v>0.98722178198739918</v>
      </c>
      <c r="BG279" s="217">
        <f t="shared" ca="1" si="82"/>
        <v>0.72608839459843977</v>
      </c>
      <c r="BH279" s="176">
        <f>DANE!AQ279</f>
        <v>324</v>
      </c>
      <c r="BI279" s="188">
        <f t="shared" si="9"/>
        <v>53030</v>
      </c>
      <c r="BJ279" s="177">
        <f t="shared" ca="1" si="25"/>
        <v>407.71428571428572</v>
      </c>
      <c r="BK279" s="209">
        <f t="shared" si="61"/>
        <v>3697.5865694718855</v>
      </c>
      <c r="BL279" s="179">
        <f t="shared" si="63"/>
        <v>-6.0536953351005326E-2</v>
      </c>
      <c r="BM279" s="213">
        <f t="shared" si="64"/>
        <v>0.57624132654296267</v>
      </c>
      <c r="BN279" s="214">
        <f t="shared" ca="1" si="65"/>
        <v>0.61552146292698551</v>
      </c>
      <c r="BO279" s="176">
        <f>DANE!AU279</f>
        <v>373</v>
      </c>
      <c r="BP279" s="188">
        <f t="shared" si="10"/>
        <v>27563</v>
      </c>
      <c r="BQ279" s="177">
        <f t="shared" ca="1" si="26"/>
        <v>320.57142857142856</v>
      </c>
      <c r="BR279" s="209">
        <f t="shared" si="78"/>
        <v>2810.074512926572</v>
      </c>
      <c r="BS279" s="179">
        <f t="shared" si="83"/>
        <v>-1.1669407718771745E-2</v>
      </c>
      <c r="BT279" s="213">
        <f t="shared" si="84"/>
        <v>0.91831414596859773</v>
      </c>
      <c r="BU279" s="217">
        <f t="shared" ca="1" si="85"/>
        <v>0.69548436347100284</v>
      </c>
      <c r="BV279" s="176">
        <f>DANE!AY279</f>
        <v>813</v>
      </c>
      <c r="BW279" s="188">
        <f t="shared" si="11"/>
        <v>60138</v>
      </c>
      <c r="BX279" s="177">
        <f t="shared" ca="1" si="27"/>
        <v>855.28571428571433</v>
      </c>
      <c r="BY279" s="209">
        <f t="shared" si="69"/>
        <v>6895.0043255411747</v>
      </c>
      <c r="BZ279" s="179">
        <f t="shared" si="71"/>
        <v>-2.8280252483896165E-2</v>
      </c>
      <c r="CA279" s="213">
        <f t="shared" si="72"/>
        <v>0.80203823261272689</v>
      </c>
      <c r="CB279" s="214">
        <f t="shared" ca="1" si="73"/>
        <v>0.80479396903860534</v>
      </c>
      <c r="CC279" s="176">
        <f>DANE!BC279</f>
        <v>1355</v>
      </c>
      <c r="CD279" s="188">
        <f t="shared" si="12"/>
        <v>133130</v>
      </c>
      <c r="CE279" s="177">
        <f t="shared" ca="1" si="28"/>
        <v>1180.5714285714287</v>
      </c>
      <c r="CF279" s="209">
        <f t="shared" si="45"/>
        <v>10734.248912944564</v>
      </c>
      <c r="CG279" s="179">
        <f t="shared" si="46"/>
        <v>-1.9027550295029182E-2</v>
      </c>
      <c r="CH279" s="213">
        <f t="shared" si="47"/>
        <v>0.86680714793479574</v>
      </c>
      <c r="CI279" s="217">
        <f t="shared" ca="1" si="48"/>
        <v>0.68691491971236562</v>
      </c>
      <c r="CJ279" s="176">
        <f>DANE!BG279</f>
        <v>252</v>
      </c>
      <c r="CK279" s="188">
        <f t="shared" si="13"/>
        <v>31010</v>
      </c>
      <c r="CL279" s="177">
        <f t="shared" ca="1" si="29"/>
        <v>273.85714285714283</v>
      </c>
      <c r="CM279" s="209">
        <f t="shared" si="79"/>
        <v>2575.8358038402512</v>
      </c>
      <c r="CN279" s="179">
        <f t="shared" si="86"/>
        <v>-4.9907374356696399E-2</v>
      </c>
      <c r="CO279" s="213">
        <f t="shared" si="87"/>
        <v>0.65064837950312526</v>
      </c>
      <c r="CP279" s="214">
        <f t="shared" ca="1" si="88"/>
        <v>0.61666617279057945</v>
      </c>
      <c r="CQ279" s="176">
        <f>DANE!BK279</f>
        <v>964</v>
      </c>
      <c r="CR279" s="188">
        <f t="shared" si="14"/>
        <v>35509</v>
      </c>
      <c r="CS279" s="177">
        <f t="shared" ca="1" si="30"/>
        <v>748</v>
      </c>
      <c r="CT279" s="209">
        <f t="shared" si="89"/>
        <v>5773.7560137999617</v>
      </c>
      <c r="CU279" s="179">
        <f t="shared" si="90"/>
        <v>2.8936543125050087E-2</v>
      </c>
      <c r="CV279" s="213">
        <f t="shared" si="91"/>
        <v>1.2025558018753506</v>
      </c>
      <c r="CW279" s="217">
        <f t="shared" ca="1" si="92"/>
        <v>0.91687182222333075</v>
      </c>
      <c r="CX279" s="176">
        <f>DANE!BO279</f>
        <v>1380</v>
      </c>
      <c r="CY279" s="188">
        <f t="shared" si="15"/>
        <v>103991</v>
      </c>
      <c r="CZ279" s="177">
        <f t="shared" ca="1" si="31"/>
        <v>1337.4285714285713</v>
      </c>
      <c r="DA279" s="209">
        <f t="shared" si="54"/>
        <v>10711.158073797204</v>
      </c>
      <c r="DB279" s="179">
        <f t="shared" si="58"/>
        <v>-1.6092904859854887E-2</v>
      </c>
      <c r="DC279" s="213">
        <f t="shared" si="59"/>
        <v>0.88734966598101583</v>
      </c>
      <c r="DD279" s="214">
        <f t="shared" ca="1" si="60"/>
        <v>0.80640151787823133</v>
      </c>
      <c r="DE279" s="176">
        <f>DANE!BS279</f>
        <v>999</v>
      </c>
      <c r="DF279" s="188">
        <f t="shared" si="16"/>
        <v>41149</v>
      </c>
      <c r="DG279" s="177">
        <f t="shared" ca="1" si="32"/>
        <v>775.85714285714289</v>
      </c>
      <c r="DH279" s="209">
        <f t="shared" si="70"/>
        <v>5963.6127674275813</v>
      </c>
      <c r="DI279" s="179">
        <f t="shared" si="74"/>
        <v>2.9620702727055713E-2</v>
      </c>
      <c r="DJ279" s="157">
        <f t="shared" si="75"/>
        <v>1.2073449190893899</v>
      </c>
      <c r="DK279" s="225">
        <f t="shared" ca="1" si="76"/>
        <v>0.88914081128293654</v>
      </c>
      <c r="DL279" s="146"/>
      <c r="DM279" s="371"/>
      <c r="DN279" s="372"/>
      <c r="DO279" s="372"/>
      <c r="DP279" s="372"/>
      <c r="DQ279" s="372"/>
      <c r="DR279" s="372"/>
      <c r="DS279" s="372"/>
      <c r="DT279" s="372"/>
      <c r="DU279" s="372"/>
      <c r="DV279" s="372"/>
      <c r="DW279" s="146"/>
      <c r="DX279" s="146"/>
      <c r="DY279" s="146"/>
      <c r="DZ279" s="146"/>
      <c r="EA279" s="146"/>
      <c r="EB279" s="146"/>
      <c r="EC279" s="146"/>
      <c r="ED279" s="146"/>
      <c r="EE279" s="146"/>
      <c r="EF279" s="146"/>
      <c r="EG279" s="146"/>
      <c r="EH279" s="146"/>
    </row>
    <row r="280" spans="1:138" x14ac:dyDescent="0.25">
      <c r="A280" s="61">
        <v>44170</v>
      </c>
      <c r="B280" s="62">
        <f t="shared" ca="1" si="98"/>
        <v>44170</v>
      </c>
      <c r="C280" s="12">
        <f t="shared" si="93"/>
        <v>277</v>
      </c>
      <c r="D280" s="176">
        <f>DANE!K280</f>
        <v>920</v>
      </c>
      <c r="E280" s="198">
        <f t="shared" si="1"/>
        <v>74416</v>
      </c>
      <c r="F280" s="178">
        <f t="shared" ca="1" si="17"/>
        <v>768.42857142857144</v>
      </c>
      <c r="G280" s="211">
        <f t="shared" si="38"/>
        <v>7109.1103744607899</v>
      </c>
      <c r="H280" s="200">
        <f t="shared" si="42"/>
        <v>-1.5444416171018592E-2</v>
      </c>
      <c r="I280" s="213">
        <f t="shared" si="43"/>
        <v>0.89188908680286982</v>
      </c>
      <c r="J280" s="214">
        <f t="shared" ca="1" si="44"/>
        <v>0.66201111768552923</v>
      </c>
      <c r="K280" s="176">
        <f>DANE!O280</f>
        <v>1091</v>
      </c>
      <c r="L280" s="198">
        <f t="shared" si="2"/>
        <v>61996</v>
      </c>
      <c r="M280" s="177">
        <f t="shared" ca="1" si="18"/>
        <v>985.71428571428567</v>
      </c>
      <c r="N280" s="211">
        <f t="shared" si="62"/>
        <v>7463.9040368846099</v>
      </c>
      <c r="O280" s="200">
        <f t="shared" si="66"/>
        <v>3.880176853072256E-3</v>
      </c>
      <c r="P280" s="213">
        <f t="shared" si="67"/>
        <v>1.0271612379715058</v>
      </c>
      <c r="Q280" s="217">
        <f t="shared" ca="1" si="68"/>
        <v>0.97413221365722191</v>
      </c>
      <c r="R280" s="176">
        <f>DANE!S280</f>
        <v>728</v>
      </c>
      <c r="S280" s="198">
        <f t="shared" si="3"/>
        <v>53690</v>
      </c>
      <c r="T280" s="177">
        <f t="shared" ca="1" si="19"/>
        <v>634.42857142857144</v>
      </c>
      <c r="U280" s="211">
        <f t="shared" si="50"/>
        <v>5365.3652670080019</v>
      </c>
      <c r="V280" s="200">
        <f t="shared" si="55"/>
        <v>-8.2979774535943979E-3</v>
      </c>
      <c r="W280" s="213">
        <f t="shared" si="56"/>
        <v>0.94191415782483923</v>
      </c>
      <c r="X280" s="214">
        <f t="shared" ca="1" si="57"/>
        <v>0.77838985261014693</v>
      </c>
      <c r="Y280" s="176">
        <f>DANE!W280</f>
        <v>339</v>
      </c>
      <c r="Z280" s="198">
        <f t="shared" si="4"/>
        <v>23663</v>
      </c>
      <c r="AA280" s="177">
        <f t="shared" ca="1" si="20"/>
        <v>340.71428571428572</v>
      </c>
      <c r="AB280" s="211">
        <f t="shared" si="94"/>
        <v>2785.7405192409033</v>
      </c>
      <c r="AC280" s="200">
        <f t="shared" si="95"/>
        <v>-2.4098563315746259E-2</v>
      </c>
      <c r="AD280" s="213">
        <f t="shared" si="96"/>
        <v>0.83131005678977621</v>
      </c>
      <c r="AE280" s="217">
        <f t="shared" ca="1" si="97"/>
        <v>0.80582221373035368</v>
      </c>
      <c r="AF280" s="176">
        <f>DANE!AA280</f>
        <v>897</v>
      </c>
      <c r="AG280" s="198">
        <f t="shared" si="5"/>
        <v>69284</v>
      </c>
      <c r="AH280" s="177">
        <f t="shared" ca="1" si="21"/>
        <v>791.71428571428567</v>
      </c>
      <c r="AI280" s="211">
        <f t="shared" si="37"/>
        <v>6325.8932617894116</v>
      </c>
      <c r="AJ280" s="200">
        <f t="shared" si="39"/>
        <v>-1.2339600495809054E-3</v>
      </c>
      <c r="AK280" s="213">
        <f t="shared" si="40"/>
        <v>0.99136227965293366</v>
      </c>
      <c r="AL280" s="214">
        <f t="shared" ca="1" si="41"/>
        <v>0.84927827743945772</v>
      </c>
      <c r="AM280" s="176">
        <f>DANE!AE280</f>
        <v>548</v>
      </c>
      <c r="AN280" s="198">
        <f t="shared" si="6"/>
        <v>99024</v>
      </c>
      <c r="AO280" s="177">
        <f t="shared" ca="1" si="22"/>
        <v>546</v>
      </c>
      <c r="AP280" s="211">
        <f t="shared" si="49"/>
        <v>5641.401348744972</v>
      </c>
      <c r="AQ280" s="200">
        <f t="shared" si="51"/>
        <v>-5.0636983173471976E-2</v>
      </c>
      <c r="AR280" s="213">
        <f t="shared" si="52"/>
        <v>0.64554111778569623</v>
      </c>
      <c r="AS280" s="217">
        <f t="shared" ca="1" si="53"/>
        <v>0.56313859438348424</v>
      </c>
      <c r="AT280" s="176">
        <f>DANE!AI280</f>
        <v>1574</v>
      </c>
      <c r="AU280" s="198">
        <f t="shared" si="7"/>
        <v>125854</v>
      </c>
      <c r="AV280" s="177">
        <f t="shared" ca="1" si="23"/>
        <v>1351.4285714285713</v>
      </c>
      <c r="AW280" s="211">
        <f t="shared" si="33"/>
        <v>11638.447673857951</v>
      </c>
      <c r="AX280" s="200">
        <f t="shared" si="34"/>
        <v>-8.8067805459344298E-3</v>
      </c>
      <c r="AY280" s="213">
        <f t="shared" si="35"/>
        <v>0.93835253617845904</v>
      </c>
      <c r="AZ280" s="214">
        <f t="shared" ca="1" si="36"/>
        <v>0.7664807072582952</v>
      </c>
      <c r="BA280" s="176">
        <f>DANE!AM280</f>
        <v>359</v>
      </c>
      <c r="BB280" s="198">
        <f t="shared" si="8"/>
        <v>30984</v>
      </c>
      <c r="BC280" s="177">
        <f t="shared" ca="1" si="24"/>
        <v>360.71428571428572</v>
      </c>
      <c r="BD280" s="211">
        <f t="shared" si="77"/>
        <v>3082.8886545953346</v>
      </c>
      <c r="BE280" s="200">
        <f t="shared" si="80"/>
        <v>-2.9888396798027416E-2</v>
      </c>
      <c r="BF280" s="213">
        <f t="shared" si="81"/>
        <v>0.7907812224138081</v>
      </c>
      <c r="BG280" s="217">
        <f t="shared" ca="1" si="82"/>
        <v>0.73735550313768539</v>
      </c>
      <c r="BH280" s="176">
        <f>DANE!AQ280</f>
        <v>255</v>
      </c>
      <c r="BI280" s="198">
        <f t="shared" si="9"/>
        <v>53285</v>
      </c>
      <c r="BJ280" s="177">
        <f t="shared" ca="1" si="25"/>
        <v>342.28571428571428</v>
      </c>
      <c r="BK280" s="211">
        <f t="shared" si="61"/>
        <v>3424.3599166901877</v>
      </c>
      <c r="BL280" s="200">
        <f t="shared" si="63"/>
        <v>-7.3893240265831522E-2</v>
      </c>
      <c r="BM280" s="213">
        <f t="shared" si="64"/>
        <v>0.48274731813917926</v>
      </c>
      <c r="BN280" s="214">
        <f t="shared" ca="1" si="65"/>
        <v>0.55509070167766417</v>
      </c>
      <c r="BO280" s="176">
        <f>DANE!AU280</f>
        <v>287</v>
      </c>
      <c r="BP280" s="198">
        <f t="shared" si="10"/>
        <v>27850</v>
      </c>
      <c r="BQ280" s="177">
        <f t="shared" ca="1" si="26"/>
        <v>292.85714285714283</v>
      </c>
      <c r="BR280" s="211">
        <f t="shared" si="78"/>
        <v>2695.6352967942048</v>
      </c>
      <c r="BS280" s="200">
        <f t="shared" si="83"/>
        <v>-4.0724619794221623E-2</v>
      </c>
      <c r="BT280" s="213">
        <f t="shared" si="84"/>
        <v>0.71492766144044861</v>
      </c>
      <c r="BU280" s="217">
        <f t="shared" ca="1" si="85"/>
        <v>0.67287371023475784</v>
      </c>
      <c r="BV280" s="176">
        <f>DANE!AY280</f>
        <v>969</v>
      </c>
      <c r="BW280" s="198">
        <f t="shared" si="11"/>
        <v>61107</v>
      </c>
      <c r="BX280" s="177">
        <f t="shared" ca="1" si="27"/>
        <v>847.14285714285711</v>
      </c>
      <c r="BY280" s="211">
        <f t="shared" si="69"/>
        <v>6879.0037076067219</v>
      </c>
      <c r="BZ280" s="200">
        <f t="shared" si="71"/>
        <v>-2.3206102823143467E-3</v>
      </c>
      <c r="CA280" s="213">
        <f t="shared" si="72"/>
        <v>0.98375572802379962</v>
      </c>
      <c r="CB280" s="214">
        <f t="shared" ca="1" si="73"/>
        <v>0.82406638755408823</v>
      </c>
      <c r="CC280" s="176">
        <f>DANE!BC280</f>
        <v>1283</v>
      </c>
      <c r="CD280" s="198">
        <f t="shared" si="12"/>
        <v>134413</v>
      </c>
      <c r="CE280" s="177">
        <f t="shared" ca="1" si="28"/>
        <v>1163.5714285714287</v>
      </c>
      <c r="CF280" s="211">
        <f t="shared" si="45"/>
        <v>10483.784782523913</v>
      </c>
      <c r="CG280" s="200">
        <f t="shared" si="46"/>
        <v>-2.3333177053367272E-2</v>
      </c>
      <c r="CH280" s="213">
        <f t="shared" si="47"/>
        <v>0.83666776062642911</v>
      </c>
      <c r="CI280" s="217">
        <f t="shared" ca="1" si="48"/>
        <v>0.71209676923106924</v>
      </c>
      <c r="CJ280" s="176">
        <f>DANE!BG280</f>
        <v>209</v>
      </c>
      <c r="CK280" s="198">
        <f t="shared" si="13"/>
        <v>31219</v>
      </c>
      <c r="CL280" s="177">
        <f t="shared" ca="1" si="29"/>
        <v>259.42857142857144</v>
      </c>
      <c r="CM280" s="211">
        <f t="shared" si="79"/>
        <v>2416.8592604345013</v>
      </c>
      <c r="CN280" s="200">
        <f t="shared" si="86"/>
        <v>-6.1718430642487242E-2</v>
      </c>
      <c r="CO280" s="213">
        <f t="shared" si="87"/>
        <v>0.56797098550258929</v>
      </c>
      <c r="CP280" s="214">
        <f t="shared" ca="1" si="88"/>
        <v>0.61679428195934471</v>
      </c>
      <c r="CQ280" s="176">
        <f>DANE!BK280</f>
        <v>762</v>
      </c>
      <c r="CR280" s="198">
        <f t="shared" si="14"/>
        <v>36271</v>
      </c>
      <c r="CS280" s="177">
        <f t="shared" ca="1" si="30"/>
        <v>721.14285714285711</v>
      </c>
      <c r="CT280" s="211">
        <f t="shared" si="89"/>
        <v>5710.9337261142537</v>
      </c>
      <c r="CU280" s="200">
        <f t="shared" si="90"/>
        <v>-1.0880662005037157E-2</v>
      </c>
      <c r="CV280" s="213">
        <f t="shared" si="91"/>
        <v>0.92383536596473992</v>
      </c>
      <c r="CW280" s="217">
        <f t="shared" ca="1" si="92"/>
        <v>0.89870216445790041</v>
      </c>
      <c r="CX280" s="176">
        <f>DANE!BO280</f>
        <v>1195</v>
      </c>
      <c r="CY280" s="198">
        <f t="shared" si="15"/>
        <v>105186</v>
      </c>
      <c r="CZ280" s="177">
        <f t="shared" ca="1" si="31"/>
        <v>1258.4285714285713</v>
      </c>
      <c r="DA280" s="211">
        <f t="shared" si="54"/>
        <v>10375.992634683318</v>
      </c>
      <c r="DB280" s="200">
        <f t="shared" si="58"/>
        <v>-3.1291241974460586E-2</v>
      </c>
      <c r="DC280" s="213">
        <f t="shared" si="59"/>
        <v>0.7809613061787759</v>
      </c>
      <c r="DD280" s="214">
        <f t="shared" ca="1" si="60"/>
        <v>0.78469640592455037</v>
      </c>
      <c r="DE280" s="176">
        <f>DANE!BS280</f>
        <v>974</v>
      </c>
      <c r="DF280" s="198">
        <f t="shared" si="16"/>
        <v>42123</v>
      </c>
      <c r="DG280" s="177">
        <f t="shared" ca="1" si="32"/>
        <v>786.14285714285711</v>
      </c>
      <c r="DH280" s="211">
        <f t="shared" si="70"/>
        <v>6085.6680863664988</v>
      </c>
      <c r="DI280" s="200">
        <f t="shared" si="74"/>
        <v>2.0466674094865207E-2</v>
      </c>
      <c r="DJ280" s="157">
        <f t="shared" si="75"/>
        <v>1.1432667186640564</v>
      </c>
      <c r="DK280" s="225">
        <f t="shared" ca="1" si="76"/>
        <v>0.91773959928550064</v>
      </c>
      <c r="DL280" s="226"/>
      <c r="DM280" s="371"/>
      <c r="DN280" s="372"/>
      <c r="DO280" s="372"/>
      <c r="DP280" s="372"/>
      <c r="DQ280" s="372"/>
      <c r="DR280" s="372"/>
      <c r="DS280" s="372"/>
      <c r="DT280" s="372"/>
      <c r="DU280" s="372"/>
      <c r="DV280" s="372"/>
      <c r="DW280" s="226"/>
      <c r="DX280" s="226"/>
      <c r="DY280" s="226"/>
      <c r="DZ280" s="226"/>
      <c r="EA280" s="226"/>
      <c r="EB280" s="226"/>
      <c r="EC280" s="226"/>
      <c r="ED280" s="226"/>
      <c r="EE280" s="226"/>
      <c r="EF280" s="226"/>
      <c r="EG280" s="226"/>
      <c r="EH280" s="226"/>
    </row>
    <row r="281" spans="1:138" x14ac:dyDescent="0.25">
      <c r="A281" s="61">
        <v>44171</v>
      </c>
      <c r="B281" s="62">
        <f t="shared" ca="1" si="98"/>
        <v>44171</v>
      </c>
      <c r="C281" s="12">
        <f t="shared" si="93"/>
        <v>278</v>
      </c>
      <c r="D281" s="176">
        <f>DANE!K281</f>
        <v>476</v>
      </c>
      <c r="E281" s="198">
        <f t="shared" si="1"/>
        <v>74892</v>
      </c>
      <c r="F281" s="178">
        <f t="shared" ca="1" si="17"/>
        <v>724.85714285714289</v>
      </c>
      <c r="G281" s="211">
        <f t="shared" si="38"/>
        <v>6569.5231781092489</v>
      </c>
      <c r="H281" s="200">
        <f t="shared" si="42"/>
        <v>-7.5900804450861753E-2</v>
      </c>
      <c r="I281" s="213">
        <f t="shared" si="43"/>
        <v>0.46869436884396765</v>
      </c>
      <c r="J281" s="214">
        <f t="shared" ca="1" si="44"/>
        <v>0.65146084649977809</v>
      </c>
      <c r="K281" s="176">
        <f>DANE!O281</f>
        <v>718</v>
      </c>
      <c r="L281" s="198">
        <f t="shared" si="2"/>
        <v>62714</v>
      </c>
      <c r="M281" s="177">
        <f t="shared" ca="1" si="18"/>
        <v>999.28571428571433</v>
      </c>
      <c r="N281" s="211">
        <f t="shared" si="62"/>
        <v>7115.6320316153806</v>
      </c>
      <c r="O281" s="200">
        <f t="shared" si="66"/>
        <v>-4.6660836413244679E-2</v>
      </c>
      <c r="P281" s="213">
        <f t="shared" si="67"/>
        <v>0.67337414510728721</v>
      </c>
      <c r="Q281" s="217">
        <f t="shared" ca="1" si="68"/>
        <v>0.98983653391959869</v>
      </c>
      <c r="R281" s="176">
        <f>DANE!S281</f>
        <v>353</v>
      </c>
      <c r="S281" s="198">
        <f t="shared" si="3"/>
        <v>54043</v>
      </c>
      <c r="T281" s="177">
        <f t="shared" ca="1" si="19"/>
        <v>596.85714285714289</v>
      </c>
      <c r="U281" s="211">
        <f t="shared" si="50"/>
        <v>4951.884514578288</v>
      </c>
      <c r="V281" s="200">
        <f t="shared" si="55"/>
        <v>-7.7064790904774985E-2</v>
      </c>
      <c r="W281" s="213">
        <f t="shared" si="56"/>
        <v>0.46054646366657503</v>
      </c>
      <c r="X281" s="214">
        <f t="shared" ca="1" si="57"/>
        <v>0.75291493581213609</v>
      </c>
      <c r="Y281" s="176">
        <f>DANE!W281</f>
        <v>325</v>
      </c>
      <c r="Z281" s="198">
        <f t="shared" si="4"/>
        <v>23988</v>
      </c>
      <c r="AA281" s="177">
        <f t="shared" ca="1" si="20"/>
        <v>333.85714285714283</v>
      </c>
      <c r="AB281" s="211">
        <f t="shared" si="94"/>
        <v>2712.7775879207743</v>
      </c>
      <c r="AC281" s="200">
        <f t="shared" si="95"/>
        <v>-2.6191574849193388E-2</v>
      </c>
      <c r="AD281" s="213">
        <f t="shared" si="96"/>
        <v>0.8166589760556463</v>
      </c>
      <c r="AE281" s="217">
        <f t="shared" ca="1" si="97"/>
        <v>0.81301526527218537</v>
      </c>
      <c r="AF281" s="176">
        <f>DANE!AA281</f>
        <v>561</v>
      </c>
      <c r="AG281" s="198">
        <f t="shared" si="5"/>
        <v>69845</v>
      </c>
      <c r="AH281" s="177">
        <f t="shared" ca="1" si="21"/>
        <v>752.14285714285711</v>
      </c>
      <c r="AI281" s="211">
        <f t="shared" si="37"/>
        <v>5983.1942243909243</v>
      </c>
      <c r="AJ281" s="200">
        <f t="shared" si="39"/>
        <v>-5.4174015149529672E-2</v>
      </c>
      <c r="AK281" s="213">
        <f t="shared" si="40"/>
        <v>0.62078189395329231</v>
      </c>
      <c r="AL281" s="214">
        <f t="shared" ca="1" si="41"/>
        <v>0.82473486453210343</v>
      </c>
      <c r="AM281" s="176">
        <f>DANE!AE281</f>
        <v>380</v>
      </c>
      <c r="AN281" s="198">
        <f t="shared" si="6"/>
        <v>99404</v>
      </c>
      <c r="AO281" s="177">
        <f t="shared" ca="1" si="22"/>
        <v>537.42857142857144</v>
      </c>
      <c r="AP281" s="211">
        <f t="shared" si="49"/>
        <v>5215.4868703528336</v>
      </c>
      <c r="AQ281" s="200">
        <f t="shared" si="51"/>
        <v>-7.5497992796929869E-2</v>
      </c>
      <c r="AR281" s="213">
        <f t="shared" si="52"/>
        <v>0.47151405042149086</v>
      </c>
      <c r="AS281" s="217">
        <f t="shared" ca="1" si="53"/>
        <v>0.58098525156793523</v>
      </c>
      <c r="AT281" s="176">
        <f>DANE!AI281</f>
        <v>1170</v>
      </c>
      <c r="AU281" s="198">
        <f t="shared" si="7"/>
        <v>127024</v>
      </c>
      <c r="AV281" s="177">
        <f t="shared" ca="1" si="23"/>
        <v>1316.7142857142858</v>
      </c>
      <c r="AW281" s="211">
        <f t="shared" si="33"/>
        <v>11145.812291878245</v>
      </c>
      <c r="AX281" s="200">
        <f t="shared" si="34"/>
        <v>-4.2328272273479711E-2</v>
      </c>
      <c r="AY281" s="213">
        <f t="shared" si="35"/>
        <v>0.70370209408564199</v>
      </c>
      <c r="AZ281" s="214">
        <f t="shared" ca="1" si="36"/>
        <v>0.77183005136425564</v>
      </c>
      <c r="BA281" s="176">
        <f>DANE!AM281</f>
        <v>307</v>
      </c>
      <c r="BB281" s="198">
        <f t="shared" si="8"/>
        <v>31291</v>
      </c>
      <c r="BC281" s="177">
        <f t="shared" ca="1" si="24"/>
        <v>342.85714285714283</v>
      </c>
      <c r="BD281" s="211">
        <f t="shared" si="77"/>
        <v>2949.4759896531441</v>
      </c>
      <c r="BE281" s="200">
        <f t="shared" si="80"/>
        <v>-4.3275213570664141E-2</v>
      </c>
      <c r="BF281" s="213">
        <f t="shared" si="81"/>
        <v>0.69707350500535092</v>
      </c>
      <c r="BG281" s="217">
        <f t="shared" ca="1" si="82"/>
        <v>0.73012883274787332</v>
      </c>
      <c r="BH281" s="176">
        <f>DANE!AQ281</f>
        <v>184</v>
      </c>
      <c r="BI281" s="198">
        <f t="shared" si="9"/>
        <v>53469</v>
      </c>
      <c r="BJ281" s="177">
        <f t="shared" ca="1" si="25"/>
        <v>320.14285714285717</v>
      </c>
      <c r="BK281" s="211">
        <f t="shared" si="61"/>
        <v>3119.165642877304</v>
      </c>
      <c r="BL281" s="200">
        <f t="shared" si="63"/>
        <v>-8.9124473255681888E-2</v>
      </c>
      <c r="BM281" s="213">
        <f t="shared" si="64"/>
        <v>0.37612868721022674</v>
      </c>
      <c r="BN281" s="214">
        <f t="shared" ca="1" si="65"/>
        <v>0.54646239184030576</v>
      </c>
      <c r="BO281" s="176">
        <f>DANE!AU281</f>
        <v>223</v>
      </c>
      <c r="BP281" s="198">
        <f t="shared" si="10"/>
        <v>28073</v>
      </c>
      <c r="BQ281" s="177">
        <f t="shared" ca="1" si="26"/>
        <v>280.85714285714283</v>
      </c>
      <c r="BR281" s="211">
        <f t="shared" si="78"/>
        <v>2533.5445401093184</v>
      </c>
      <c r="BS281" s="200">
        <f t="shared" si="83"/>
        <v>-6.0130818467043184E-2</v>
      </c>
      <c r="BT281" s="213">
        <f t="shared" si="84"/>
        <v>0.57908427073069768</v>
      </c>
      <c r="BU281" s="217">
        <f t="shared" ca="1" si="85"/>
        <v>0.67451344880067998</v>
      </c>
      <c r="BV281" s="176">
        <f>DANE!AY281</f>
        <v>874</v>
      </c>
      <c r="BW281" s="198">
        <f t="shared" si="11"/>
        <v>61981</v>
      </c>
      <c r="BX281" s="177">
        <f t="shared" ca="1" si="27"/>
        <v>832.28571428571433</v>
      </c>
      <c r="BY281" s="211">
        <f t="shared" si="69"/>
        <v>6770.2888922343336</v>
      </c>
      <c r="BZ281" s="200">
        <f t="shared" si="71"/>
        <v>-1.5803860557913749E-2</v>
      </c>
      <c r="CA281" s="213">
        <f t="shared" si="72"/>
        <v>0.88937297609460375</v>
      </c>
      <c r="CB281" s="214">
        <f t="shared" ca="1" si="73"/>
        <v>0.83297768749339807</v>
      </c>
      <c r="CC281" s="176">
        <f>DANE!BC281</f>
        <v>908</v>
      </c>
      <c r="CD281" s="198">
        <f t="shared" si="12"/>
        <v>135321</v>
      </c>
      <c r="CE281" s="177">
        <f t="shared" ca="1" si="28"/>
        <v>1153.7142857142858</v>
      </c>
      <c r="CF281" s="211">
        <f t="shared" si="45"/>
        <v>9894.101242163355</v>
      </c>
      <c r="CG281" s="200">
        <f t="shared" si="46"/>
        <v>-5.6247200089755679E-2</v>
      </c>
      <c r="CH281" s="213">
        <f t="shared" si="47"/>
        <v>0.60626959937171021</v>
      </c>
      <c r="CI281" s="217">
        <f t="shared" ca="1" si="48"/>
        <v>0.72961113780219888</v>
      </c>
      <c r="CJ281" s="176">
        <f>DANE!BG281</f>
        <v>187</v>
      </c>
      <c r="CK281" s="198">
        <f t="shared" si="13"/>
        <v>31406</v>
      </c>
      <c r="CL281" s="177">
        <f t="shared" ca="1" si="29"/>
        <v>247.57142857142858</v>
      </c>
      <c r="CM281" s="211">
        <f t="shared" si="79"/>
        <v>2258.5936518010012</v>
      </c>
      <c r="CN281" s="200">
        <f t="shared" si="86"/>
        <v>-6.5483998685569783E-2</v>
      </c>
      <c r="CO281" s="213">
        <f t="shared" si="87"/>
        <v>0.54161200920101149</v>
      </c>
      <c r="CP281" s="214">
        <f t="shared" ca="1" si="88"/>
        <v>0.61895838517772961</v>
      </c>
      <c r="CQ281" s="176">
        <f>DANE!BK281</f>
        <v>692</v>
      </c>
      <c r="CR281" s="198">
        <f t="shared" si="14"/>
        <v>36963</v>
      </c>
      <c r="CS281" s="177">
        <f t="shared" ca="1" si="30"/>
        <v>731.71428571428567</v>
      </c>
      <c r="CT281" s="211">
        <f t="shared" si="89"/>
        <v>5587.0860509550748</v>
      </c>
      <c r="CU281" s="200">
        <f t="shared" si="90"/>
        <v>-2.1686064153198532E-2</v>
      </c>
      <c r="CV281" s="213">
        <f t="shared" si="91"/>
        <v>0.84819755092761029</v>
      </c>
      <c r="CW281" s="217">
        <f t="shared" ca="1" si="92"/>
        <v>0.92290602243771858</v>
      </c>
      <c r="CX281" s="176">
        <f>DANE!BO281</f>
        <v>1096</v>
      </c>
      <c r="CY281" s="198">
        <f t="shared" si="15"/>
        <v>106282</v>
      </c>
      <c r="CZ281" s="177">
        <f t="shared" ca="1" si="31"/>
        <v>1190.1428571428571</v>
      </c>
      <c r="DA281" s="211">
        <f t="shared" si="54"/>
        <v>9989.707972585702</v>
      </c>
      <c r="DB281" s="200">
        <f t="shared" si="58"/>
        <v>-3.72286947088225E-2</v>
      </c>
      <c r="DC281" s="213">
        <f t="shared" si="59"/>
        <v>0.73939913703824245</v>
      </c>
      <c r="DD281" s="214">
        <f t="shared" ca="1" si="60"/>
        <v>0.76915843184395249</v>
      </c>
      <c r="DE281" s="176">
        <f>DANE!BS281</f>
        <v>674</v>
      </c>
      <c r="DF281" s="198">
        <f t="shared" si="16"/>
        <v>42797</v>
      </c>
      <c r="DG281" s="177">
        <f t="shared" ca="1" si="32"/>
        <v>771</v>
      </c>
      <c r="DH281" s="211">
        <f t="shared" si="70"/>
        <v>5890.2869311712848</v>
      </c>
      <c r="DI281" s="200">
        <f t="shared" si="74"/>
        <v>-3.2105128380714568E-2</v>
      </c>
      <c r="DJ281" s="157">
        <f t="shared" si="75"/>
        <v>0.77526410133499801</v>
      </c>
      <c r="DK281" s="225">
        <f t="shared" ca="1" si="76"/>
        <v>0.91103363545041882</v>
      </c>
      <c r="DL281" s="226"/>
      <c r="DM281" s="380"/>
      <c r="DN281" s="372"/>
      <c r="DO281" s="372"/>
      <c r="DP281" s="372"/>
      <c r="DQ281" s="372"/>
      <c r="DR281" s="372"/>
      <c r="DS281" s="372"/>
      <c r="DT281" s="88"/>
      <c r="DU281" s="88"/>
      <c r="DV281" s="88"/>
      <c r="DW281" s="226"/>
      <c r="DX281" s="226"/>
      <c r="DY281" s="226"/>
      <c r="DZ281" s="226"/>
      <c r="EA281" s="226"/>
      <c r="EB281" s="226"/>
      <c r="EC281" s="226"/>
      <c r="ED281" s="226"/>
      <c r="EE281" s="226"/>
      <c r="EF281" s="226"/>
      <c r="EG281" s="226"/>
      <c r="EH281" s="226"/>
    </row>
    <row r="282" spans="1:138" x14ac:dyDescent="0.25">
      <c r="A282" s="32">
        <v>44172</v>
      </c>
      <c r="B282" s="33">
        <f t="shared" ca="1" si="98"/>
        <v>44172</v>
      </c>
      <c r="C282" s="51">
        <f t="shared" si="93"/>
        <v>279</v>
      </c>
      <c r="D282" s="176">
        <f>DANE!K282</f>
        <v>287</v>
      </c>
      <c r="E282" s="188">
        <f t="shared" si="1"/>
        <v>75179</v>
      </c>
      <c r="F282" s="178">
        <f t="shared" ca="1" si="17"/>
        <v>702.28571428571433</v>
      </c>
      <c r="G282" s="209">
        <f t="shared" si="38"/>
        <v>5918.0198669507854</v>
      </c>
      <c r="H282" s="179">
        <f t="shared" si="42"/>
        <v>-9.9170562839230342E-2</v>
      </c>
      <c r="I282" s="213">
        <f t="shared" si="43"/>
        <v>0.30580606012538758</v>
      </c>
      <c r="J282" s="214">
        <f t="shared" ca="1" si="44"/>
        <v>0.64789773751415569</v>
      </c>
      <c r="K282" s="176">
        <f>DANE!O282</f>
        <v>351</v>
      </c>
      <c r="L282" s="188">
        <f t="shared" si="2"/>
        <v>63065</v>
      </c>
      <c r="M282" s="177">
        <f t="shared" ca="1" si="18"/>
        <v>1007</v>
      </c>
      <c r="N282" s="209">
        <f t="shared" si="62"/>
        <v>6450.113169956041</v>
      </c>
      <c r="O282" s="179">
        <f t="shared" si="66"/>
        <v>-9.3529128361666339E-2</v>
      </c>
      <c r="P282" s="213">
        <f t="shared" si="67"/>
        <v>0.34529610146833556</v>
      </c>
      <c r="Q282" s="217">
        <f t="shared" ca="1" si="68"/>
        <v>0.99823967838087557</v>
      </c>
      <c r="R282" s="176">
        <f>DANE!S282</f>
        <v>177</v>
      </c>
      <c r="S282" s="188">
        <f t="shared" si="3"/>
        <v>54220</v>
      </c>
      <c r="T282" s="177">
        <f t="shared" ca="1" si="19"/>
        <v>581.42857142857144</v>
      </c>
      <c r="U282" s="209">
        <f t="shared" si="50"/>
        <v>4421.4724410671042</v>
      </c>
      <c r="V282" s="179">
        <f t="shared" si="55"/>
        <v>-0.10711317518606442</v>
      </c>
      <c r="W282" s="213">
        <f t="shared" si="56"/>
        <v>0.25020777369754899</v>
      </c>
      <c r="X282" s="214">
        <f t="shared" ca="1" si="57"/>
        <v>0.74413604701082314</v>
      </c>
      <c r="Y282" s="176">
        <f>DANE!W282</f>
        <v>163</v>
      </c>
      <c r="Z282" s="188">
        <f t="shared" si="4"/>
        <v>24151</v>
      </c>
      <c r="AA282" s="177">
        <f t="shared" ca="1" si="20"/>
        <v>320.14285714285717</v>
      </c>
      <c r="AB282" s="209">
        <f t="shared" si="94"/>
        <v>2488.2379325035208</v>
      </c>
      <c r="AC282" s="179">
        <f t="shared" si="95"/>
        <v>-8.2771125954838529E-2</v>
      </c>
      <c r="AD282" s="213">
        <f t="shared" si="96"/>
        <v>0.42060211831613026</v>
      </c>
      <c r="AE282" s="217">
        <f t="shared" ca="1" si="97"/>
        <v>0.79446149389981202</v>
      </c>
      <c r="AF282" s="176">
        <f>DANE!AA282</f>
        <v>238</v>
      </c>
      <c r="AG282" s="188">
        <f t="shared" si="5"/>
        <v>70083</v>
      </c>
      <c r="AH282" s="177">
        <f t="shared" ca="1" si="21"/>
        <v>732.57142857142856</v>
      </c>
      <c r="AI282" s="209">
        <f t="shared" si="37"/>
        <v>5366.4521923350785</v>
      </c>
      <c r="AJ282" s="179">
        <f t="shared" si="39"/>
        <v>-0.10307905926597741</v>
      </c>
      <c r="AK282" s="213">
        <f t="shared" si="40"/>
        <v>0.27844658513815812</v>
      </c>
      <c r="AL282" s="214">
        <f t="shared" ca="1" si="41"/>
        <v>0.8122975737861805</v>
      </c>
      <c r="AM282" s="176">
        <f>DANE!AE282</f>
        <v>214</v>
      </c>
      <c r="AN282" s="188">
        <f t="shared" si="6"/>
        <v>99618</v>
      </c>
      <c r="AO282" s="177">
        <f t="shared" ca="1" si="22"/>
        <v>528</v>
      </c>
      <c r="AP282" s="209">
        <f t="shared" si="49"/>
        <v>4684.4173174452862</v>
      </c>
      <c r="AQ282" s="179">
        <f t="shared" si="51"/>
        <v>-0.1018254989627881</v>
      </c>
      <c r="AR282" s="213">
        <f t="shared" si="52"/>
        <v>0.28722150726048323</v>
      </c>
      <c r="AS282" s="217">
        <f t="shared" ca="1" si="53"/>
        <v>0.5872650462494643</v>
      </c>
      <c r="AT282" s="176">
        <f>DANE!AI282</f>
        <v>609</v>
      </c>
      <c r="AU282" s="188">
        <f t="shared" si="7"/>
        <v>127633</v>
      </c>
      <c r="AV282" s="177">
        <f t="shared" ca="1" si="23"/>
        <v>1309.5714285714287</v>
      </c>
      <c r="AW282" s="209">
        <f t="shared" si="33"/>
        <v>10162.553393038495</v>
      </c>
      <c r="AX282" s="179">
        <f t="shared" si="34"/>
        <v>-8.8217787370798675E-2</v>
      </c>
      <c r="AY282" s="213">
        <f t="shared" si="35"/>
        <v>0.38247548840440926</v>
      </c>
      <c r="AZ282" s="214">
        <f t="shared" ca="1" si="36"/>
        <v>0.779856863490065</v>
      </c>
      <c r="BA282" s="176">
        <f>DANE!AM282</f>
        <v>195</v>
      </c>
      <c r="BB282" s="188">
        <f t="shared" si="8"/>
        <v>31486</v>
      </c>
      <c r="BC282" s="177">
        <f t="shared" ca="1" si="24"/>
        <v>342.42857142857144</v>
      </c>
      <c r="BD282" s="209">
        <f t="shared" si="77"/>
        <v>2723.1222768455523</v>
      </c>
      <c r="BE282" s="179">
        <f t="shared" si="80"/>
        <v>-7.6743704170384119E-2</v>
      </c>
      <c r="BF282" s="213">
        <f t="shared" si="81"/>
        <v>0.46279407080731116</v>
      </c>
      <c r="BG282" s="217">
        <f t="shared" ca="1" si="82"/>
        <v>0.74545761711206016</v>
      </c>
      <c r="BH282" s="176">
        <f>DANE!AQ282</f>
        <v>155</v>
      </c>
      <c r="BI282" s="188">
        <f t="shared" si="9"/>
        <v>53624</v>
      </c>
      <c r="BJ282" s="177">
        <f t="shared" ca="1" si="25"/>
        <v>313.57142857142856</v>
      </c>
      <c r="BK282" s="209">
        <f t="shared" si="61"/>
        <v>2828.5705510376893</v>
      </c>
      <c r="BL282" s="179">
        <f t="shared" si="63"/>
        <v>-9.316436672838975E-2</v>
      </c>
      <c r="BM282" s="213">
        <f t="shared" si="64"/>
        <v>0.34784943290127168</v>
      </c>
      <c r="BN282" s="214">
        <f t="shared" ca="1" si="65"/>
        <v>0.55594316174078096</v>
      </c>
      <c r="BO282" s="176">
        <f>DANE!AU282</f>
        <v>155</v>
      </c>
      <c r="BP282" s="188">
        <f t="shared" si="10"/>
        <v>28228</v>
      </c>
      <c r="BQ282" s="177">
        <f t="shared" ca="1" si="26"/>
        <v>286.14285714285717</v>
      </c>
      <c r="BR282" s="209">
        <f t="shared" si="78"/>
        <v>2326.6096058079875</v>
      </c>
      <c r="BS282" s="179">
        <f t="shared" si="83"/>
        <v>-8.1678032900263139E-2</v>
      </c>
      <c r="BT282" s="213">
        <f t="shared" si="84"/>
        <v>0.42825376969815798</v>
      </c>
      <c r="BU282" s="217">
        <f t="shared" ca="1" si="85"/>
        <v>0.70247378560241758</v>
      </c>
      <c r="BV282" s="176">
        <f>DANE!AY282</f>
        <v>335</v>
      </c>
      <c r="BW282" s="188">
        <f t="shared" si="11"/>
        <v>62316</v>
      </c>
      <c r="BX282" s="177">
        <f t="shared" ca="1" si="27"/>
        <v>817.14285714285711</v>
      </c>
      <c r="BY282" s="209">
        <f t="shared" si="69"/>
        <v>6138.1047647722862</v>
      </c>
      <c r="BZ282" s="179">
        <f t="shared" si="71"/>
        <v>-9.3376241032664967E-2</v>
      </c>
      <c r="CA282" s="213">
        <f t="shared" si="72"/>
        <v>0.34636631277134522</v>
      </c>
      <c r="CB282" s="214">
        <f t="shared" ca="1" si="73"/>
        <v>0.82783597085823502</v>
      </c>
      <c r="CC282" s="176">
        <f>DANE!BC282</f>
        <v>265</v>
      </c>
      <c r="CD282" s="188">
        <f t="shared" si="12"/>
        <v>135586</v>
      </c>
      <c r="CE282" s="177">
        <f t="shared" ca="1" si="28"/>
        <v>1131.4285714285713</v>
      </c>
      <c r="CF282" s="209">
        <f t="shared" si="45"/>
        <v>8745.658207568591</v>
      </c>
      <c r="CG282" s="179">
        <f t="shared" si="46"/>
        <v>-0.11607350748552232</v>
      </c>
      <c r="CH282" s="213">
        <f t="shared" si="47"/>
        <v>0.18748544760134367</v>
      </c>
      <c r="CI282" s="217">
        <f t="shared" ca="1" si="48"/>
        <v>0.72424965951718256</v>
      </c>
      <c r="CJ282" s="176">
        <f>DANE!BG282</f>
        <v>69</v>
      </c>
      <c r="CK282" s="188">
        <f t="shared" si="13"/>
        <v>31475</v>
      </c>
      <c r="CL282" s="177">
        <f t="shared" ca="1" si="29"/>
        <v>230</v>
      </c>
      <c r="CM282" s="209">
        <f t="shared" si="79"/>
        <v>2004.9374158294297</v>
      </c>
      <c r="CN282" s="179">
        <f t="shared" si="86"/>
        <v>-0.11230715882394612</v>
      </c>
      <c r="CO282" s="213">
        <f t="shared" si="87"/>
        <v>0.21384988823237705</v>
      </c>
      <c r="CP282" s="214">
        <f t="shared" ca="1" si="88"/>
        <v>0.59214592399358046</v>
      </c>
      <c r="CQ282" s="176">
        <f>DANE!BK282</f>
        <v>217</v>
      </c>
      <c r="CR282" s="188">
        <f t="shared" si="14"/>
        <v>37180</v>
      </c>
      <c r="CS282" s="177">
        <f t="shared" ca="1" si="30"/>
        <v>716</v>
      </c>
      <c r="CT282" s="209">
        <f t="shared" si="89"/>
        <v>5005.9309008186356</v>
      </c>
      <c r="CU282" s="179">
        <f t="shared" si="90"/>
        <v>-0.10401757639603469</v>
      </c>
      <c r="CV282" s="213">
        <f t="shared" si="91"/>
        <v>0.27187696522775717</v>
      </c>
      <c r="CW282" s="217">
        <f t="shared" ca="1" si="92"/>
        <v>0.90796992974320445</v>
      </c>
      <c r="CX282" s="176">
        <f>DANE!BO282</f>
        <v>424</v>
      </c>
      <c r="CY282" s="188">
        <f t="shared" si="15"/>
        <v>106706</v>
      </c>
      <c r="CZ282" s="177">
        <f t="shared" ca="1" si="31"/>
        <v>1174.7142857142858</v>
      </c>
      <c r="DA282" s="209">
        <f t="shared" si="54"/>
        <v>8986.606833644888</v>
      </c>
      <c r="DB282" s="179">
        <f t="shared" si="58"/>
        <v>-0.10041345970208324</v>
      </c>
      <c r="DC282" s="213">
        <f t="shared" si="59"/>
        <v>0.29710578208541727</v>
      </c>
      <c r="DD282" s="214">
        <f t="shared" ca="1" si="60"/>
        <v>0.76974078564474269</v>
      </c>
      <c r="DE282" s="176">
        <f>DANE!BS282</f>
        <v>529</v>
      </c>
      <c r="DF282" s="188">
        <f t="shared" si="16"/>
        <v>43326</v>
      </c>
      <c r="DG282" s="177">
        <f t="shared" ca="1" si="32"/>
        <v>761</v>
      </c>
      <c r="DH282" s="209">
        <f t="shared" si="70"/>
        <v>5577.8173695753876</v>
      </c>
      <c r="DI282" s="179">
        <f t="shared" si="74"/>
        <v>-5.3048275109029798E-2</v>
      </c>
      <c r="DJ282" s="157">
        <f t="shared" si="75"/>
        <v>0.62866207423679143</v>
      </c>
      <c r="DK282" s="225">
        <f t="shared" ca="1" si="76"/>
        <v>0.9082900442063131</v>
      </c>
      <c r="DL282" s="50"/>
      <c r="DM282" s="380"/>
      <c r="DN282" s="372"/>
      <c r="DO282" s="372"/>
      <c r="DP282" s="372"/>
      <c r="DQ282" s="372"/>
      <c r="DR282" s="372"/>
      <c r="DS282" s="372"/>
      <c r="DT282" s="88"/>
      <c r="DU282" s="88"/>
      <c r="DV282" s="88"/>
      <c r="DW282" s="50"/>
      <c r="DX282" s="50"/>
      <c r="DY282" s="50"/>
      <c r="DZ282" s="50"/>
      <c r="EA282" s="50"/>
      <c r="EB282" s="50"/>
      <c r="EC282" s="50"/>
      <c r="ED282" s="50"/>
      <c r="EE282" s="50"/>
      <c r="EF282" s="50"/>
      <c r="EG282" s="50"/>
      <c r="EH282" s="50"/>
    </row>
    <row r="283" spans="1:138" x14ac:dyDescent="0.25">
      <c r="A283" s="32">
        <v>44173</v>
      </c>
      <c r="B283" s="33">
        <f t="shared" ca="1" si="98"/>
        <v>44173</v>
      </c>
      <c r="C283" s="51">
        <f t="shared" si="93"/>
        <v>280</v>
      </c>
      <c r="D283" s="176">
        <f>DANE!K283</f>
        <v>566</v>
      </c>
      <c r="E283" s="188">
        <f t="shared" si="1"/>
        <v>75745</v>
      </c>
      <c r="F283" s="178">
        <f t="shared" ca="1" si="17"/>
        <v>680.71428571428567</v>
      </c>
      <c r="G283" s="209">
        <f t="shared" si="38"/>
        <v>5638.5884573863877</v>
      </c>
      <c r="H283" s="179">
        <f t="shared" si="42"/>
        <v>-4.7217044864091097E-2</v>
      </c>
      <c r="I283" s="213">
        <f t="shared" si="43"/>
        <v>0.66948068595136223</v>
      </c>
      <c r="J283" s="214">
        <f t="shared" ca="1" si="44"/>
        <v>0.65935934673912844</v>
      </c>
      <c r="K283" s="176">
        <f>DANE!O283</f>
        <v>690</v>
      </c>
      <c r="L283" s="188">
        <f t="shared" si="2"/>
        <v>63755</v>
      </c>
      <c r="M283" s="177">
        <f t="shared" ca="1" si="18"/>
        <v>932.14285714285711</v>
      </c>
      <c r="N283" s="209">
        <f t="shared" si="62"/>
        <v>6218.6684313908927</v>
      </c>
      <c r="O283" s="179">
        <f t="shared" si="66"/>
        <v>-3.5882275623192773E-2</v>
      </c>
      <c r="P283" s="213">
        <f t="shared" si="67"/>
        <v>0.74882407063765055</v>
      </c>
      <c r="Q283" s="217">
        <f t="shared" ca="1" si="68"/>
        <v>0.91894559993318192</v>
      </c>
      <c r="R283" s="176">
        <f>DANE!S283</f>
        <v>416</v>
      </c>
      <c r="S283" s="188">
        <f t="shared" si="3"/>
        <v>54636</v>
      </c>
      <c r="T283" s="177">
        <f t="shared" ca="1" si="19"/>
        <v>562.71428571428567</v>
      </c>
      <c r="U283" s="209">
        <f t="shared" si="50"/>
        <v>4205.8335209146608</v>
      </c>
      <c r="V283" s="179">
        <f t="shared" si="55"/>
        <v>-4.8770838906416411E-2</v>
      </c>
      <c r="W283" s="213">
        <f t="shared" si="56"/>
        <v>0.65860412765508514</v>
      </c>
      <c r="X283" s="214">
        <f t="shared" ca="1" si="57"/>
        <v>0.74345037613003273</v>
      </c>
      <c r="Y283" s="176">
        <f>DANE!W283</f>
        <v>174</v>
      </c>
      <c r="Z283" s="188">
        <f t="shared" si="4"/>
        <v>24325</v>
      </c>
      <c r="AA283" s="177">
        <f t="shared" ca="1" si="20"/>
        <v>318.28571428571428</v>
      </c>
      <c r="AB283" s="209">
        <f t="shared" si="94"/>
        <v>2306.7753707173038</v>
      </c>
      <c r="AC283" s="179">
        <f t="shared" si="95"/>
        <v>-7.2928138991772362E-2</v>
      </c>
      <c r="AD283" s="213">
        <f t="shared" si="96"/>
        <v>0.48950302705759341</v>
      </c>
      <c r="AE283" s="217">
        <f t="shared" ca="1" si="97"/>
        <v>0.8037155807110884</v>
      </c>
      <c r="AF283" s="176">
        <f>DANE!AA283</f>
        <v>563</v>
      </c>
      <c r="AG283" s="188">
        <f t="shared" si="5"/>
        <v>70646</v>
      </c>
      <c r="AH283" s="177">
        <f t="shared" ca="1" si="21"/>
        <v>725.14285714285711</v>
      </c>
      <c r="AI283" s="209">
        <f t="shared" si="37"/>
        <v>5162.8161648586392</v>
      </c>
      <c r="AJ283" s="179">
        <f t="shared" si="39"/>
        <v>-3.7946117877895806E-2</v>
      </c>
      <c r="AK283" s="213">
        <f t="shared" si="40"/>
        <v>0.73437717485472942</v>
      </c>
      <c r="AL283" s="214">
        <f t="shared" ca="1" si="41"/>
        <v>0.82303975424585851</v>
      </c>
      <c r="AM283" s="176">
        <f>DANE!AE283</f>
        <v>1072</v>
      </c>
      <c r="AN283" s="188">
        <f t="shared" si="6"/>
        <v>100690</v>
      </c>
      <c r="AO283" s="177">
        <f t="shared" ca="1" si="22"/>
        <v>611.71428571428567</v>
      </c>
      <c r="AP283" s="209">
        <f t="shared" si="49"/>
        <v>5087.2148435245308</v>
      </c>
      <c r="AQ283" s="179">
        <f t="shared" si="51"/>
        <v>8.5986687091088615E-2</v>
      </c>
      <c r="AR283" s="213">
        <f t="shared" si="52"/>
        <v>1.6019068096376203</v>
      </c>
      <c r="AS283" s="217">
        <f t="shared" ca="1" si="53"/>
        <v>0.74847838046333171</v>
      </c>
      <c r="AT283" s="176">
        <f>DANE!AI283</f>
        <v>960</v>
      </c>
      <c r="AU283" s="188">
        <f t="shared" si="7"/>
        <v>128593</v>
      </c>
      <c r="AV283" s="177">
        <f t="shared" ca="1" si="23"/>
        <v>1337.4285714285713</v>
      </c>
      <c r="AW283" s="209">
        <f t="shared" si="33"/>
        <v>9670.7600511758537</v>
      </c>
      <c r="AX283" s="179">
        <f t="shared" si="34"/>
        <v>-4.8392694517061789E-2</v>
      </c>
      <c r="AY283" s="213">
        <f t="shared" si="35"/>
        <v>0.66125113838056748</v>
      </c>
      <c r="AZ283" s="214">
        <f t="shared" ca="1" si="36"/>
        <v>0.81444873976020105</v>
      </c>
      <c r="BA283" s="176">
        <f>DANE!AM283</f>
        <v>140</v>
      </c>
      <c r="BB283" s="188">
        <f t="shared" si="8"/>
        <v>31626</v>
      </c>
      <c r="BC283" s="177">
        <f t="shared" ca="1" si="24"/>
        <v>310.85714285714283</v>
      </c>
      <c r="BD283" s="209">
        <f t="shared" si="77"/>
        <v>2474.1048087247591</v>
      </c>
      <c r="BE283" s="179">
        <f t="shared" si="80"/>
        <v>-9.1445569755778083E-2</v>
      </c>
      <c r="BF283" s="213">
        <f t="shared" si="81"/>
        <v>0.35988101170955333</v>
      </c>
      <c r="BG283" s="217">
        <f t="shared" ca="1" si="82"/>
        <v>0.69488723447816392</v>
      </c>
      <c r="BH283" s="176">
        <f>DANE!AQ283</f>
        <v>204</v>
      </c>
      <c r="BI283" s="188">
        <f t="shared" si="9"/>
        <v>53828</v>
      </c>
      <c r="BJ283" s="177">
        <f t="shared" ca="1" si="25"/>
        <v>293.28571428571428</v>
      </c>
      <c r="BK283" s="209">
        <f t="shared" si="61"/>
        <v>2628.4890437465911</v>
      </c>
      <c r="BL283" s="179">
        <f t="shared" si="63"/>
        <v>-7.07359083610965E-2</v>
      </c>
      <c r="BM283" s="213">
        <f t="shared" si="64"/>
        <v>0.50484864147232456</v>
      </c>
      <c r="BN283" s="214">
        <f t="shared" ca="1" si="65"/>
        <v>0.55092583014304419</v>
      </c>
      <c r="BO283" s="176">
        <f>DANE!AU283</f>
        <v>193</v>
      </c>
      <c r="BP283" s="188">
        <f t="shared" si="10"/>
        <v>28421</v>
      </c>
      <c r="BQ283" s="177">
        <f t="shared" ca="1" si="26"/>
        <v>282.85714285714283</v>
      </c>
      <c r="BR283" s="209">
        <f t="shared" si="78"/>
        <v>2187.2368049782754</v>
      </c>
      <c r="BS283" s="179">
        <f t="shared" si="83"/>
        <v>-5.9903819051460749E-2</v>
      </c>
      <c r="BT283" s="213">
        <f t="shared" si="84"/>
        <v>0.5806732666397747</v>
      </c>
      <c r="BU283" s="217">
        <f t="shared" ca="1" si="85"/>
        <v>0.71713211139121236</v>
      </c>
      <c r="BV283" s="176">
        <f>DANE!AY283</f>
        <v>515</v>
      </c>
      <c r="BW283" s="188">
        <f t="shared" si="11"/>
        <v>62831</v>
      </c>
      <c r="BX283" s="177">
        <f t="shared" ca="1" si="27"/>
        <v>827.42857142857144</v>
      </c>
      <c r="BY283" s="209">
        <f t="shared" si="69"/>
        <v>5776.232655519103</v>
      </c>
      <c r="BZ283" s="179">
        <f t="shared" si="71"/>
        <v>-5.8955023272009612E-2</v>
      </c>
      <c r="CA283" s="213">
        <f t="shared" si="72"/>
        <v>0.58731483709593268</v>
      </c>
      <c r="CB283" s="214">
        <f t="shared" ca="1" si="73"/>
        <v>0.85155776825135965</v>
      </c>
      <c r="CC283" s="176">
        <f>DANE!BC283</f>
        <v>852</v>
      </c>
      <c r="CD283" s="188">
        <f t="shared" si="12"/>
        <v>136438</v>
      </c>
      <c r="CE283" s="177">
        <f t="shared" ca="1" si="28"/>
        <v>1098.2857142857142</v>
      </c>
      <c r="CF283" s="209">
        <f t="shared" si="45"/>
        <v>8348.2784636302204</v>
      </c>
      <c r="CG283" s="179">
        <f t="shared" si="46"/>
        <v>-4.5437374124050925E-2</v>
      </c>
      <c r="CH283" s="213">
        <f t="shared" si="47"/>
        <v>0.68193838113164351</v>
      </c>
      <c r="CI283" s="217">
        <f t="shared" ca="1" si="48"/>
        <v>0.72859728084762987</v>
      </c>
      <c r="CJ283" s="176">
        <f>DANE!BG283</f>
        <v>182</v>
      </c>
      <c r="CK283" s="188">
        <f t="shared" si="13"/>
        <v>31657</v>
      </c>
      <c r="CL283" s="177">
        <f t="shared" ca="1" si="29"/>
        <v>218.28571428571428</v>
      </c>
      <c r="CM283" s="209">
        <f t="shared" si="79"/>
        <v>1900.5177849966542</v>
      </c>
      <c r="CN283" s="179">
        <f t="shared" si="86"/>
        <v>-5.2081242041950609E-2</v>
      </c>
      <c r="CO283" s="213">
        <f t="shared" si="87"/>
        <v>0.63543130570634565</v>
      </c>
      <c r="CP283" s="214">
        <f t="shared" ca="1" si="88"/>
        <v>0.59667479926360634</v>
      </c>
      <c r="CQ283" s="176">
        <f>DANE!BK283</f>
        <v>528</v>
      </c>
      <c r="CR283" s="188">
        <f t="shared" si="14"/>
        <v>37708</v>
      </c>
      <c r="CS283" s="177">
        <f t="shared" ca="1" si="30"/>
        <v>715.14285714285711</v>
      </c>
      <c r="CT283" s="209">
        <f t="shared" si="89"/>
        <v>4818.7979149874018</v>
      </c>
      <c r="CU283" s="179">
        <f t="shared" si="90"/>
        <v>-3.7382255076799271E-2</v>
      </c>
      <c r="CV283" s="213">
        <f t="shared" si="91"/>
        <v>0.73832421446240515</v>
      </c>
      <c r="CW283" s="217">
        <f t="shared" ca="1" si="92"/>
        <v>0.91703978250242457</v>
      </c>
      <c r="CX283" s="176">
        <f>DANE!BO283</f>
        <v>580</v>
      </c>
      <c r="CY283" s="188">
        <f t="shared" si="15"/>
        <v>107286</v>
      </c>
      <c r="CZ283" s="177">
        <f t="shared" ca="1" si="31"/>
        <v>1143.8571428571429</v>
      </c>
      <c r="DA283" s="209">
        <f t="shared" si="54"/>
        <v>8282.805857409905</v>
      </c>
      <c r="DB283" s="179">
        <f t="shared" si="58"/>
        <v>-7.8316653800857061E-2</v>
      </c>
      <c r="DC283" s="213">
        <f t="shared" si="59"/>
        <v>0.45178342339400057</v>
      </c>
      <c r="DD283" s="214">
        <f t="shared" ca="1" si="60"/>
        <v>0.76461016353876787</v>
      </c>
      <c r="DE283" s="176">
        <f>DANE!BS283</f>
        <v>486</v>
      </c>
      <c r="DF283" s="188">
        <f t="shared" si="16"/>
        <v>43812</v>
      </c>
      <c r="DG283" s="177">
        <f t="shared" ca="1" si="32"/>
        <v>764.57142857142856</v>
      </c>
      <c r="DH283" s="209">
        <f t="shared" si="70"/>
        <v>5266.9863167789044</v>
      </c>
      <c r="DI283" s="179">
        <f t="shared" si="74"/>
        <v>-5.5726287219788485E-2</v>
      </c>
      <c r="DJ283" s="157">
        <f t="shared" si="75"/>
        <v>0.60991598946148051</v>
      </c>
      <c r="DK283" s="225">
        <f t="shared" ca="1" si="76"/>
        <v>0.92041804941178196</v>
      </c>
      <c r="DL283" s="75"/>
      <c r="DM283" s="380"/>
      <c r="DN283" s="372"/>
      <c r="DO283" s="372"/>
      <c r="DP283" s="372"/>
      <c r="DQ283" s="372"/>
      <c r="DR283" s="372"/>
      <c r="DS283" s="372"/>
      <c r="DT283" s="146"/>
      <c r="DU283" s="146"/>
      <c r="DV283" s="146"/>
      <c r="DW283" s="75"/>
      <c r="DX283" s="75"/>
      <c r="DY283" s="75"/>
      <c r="DZ283" s="75"/>
      <c r="EA283" s="75"/>
      <c r="EB283" s="75"/>
      <c r="EC283" s="75"/>
      <c r="ED283" s="75"/>
      <c r="EE283" s="75"/>
      <c r="EF283" s="75"/>
      <c r="EG283" s="75"/>
      <c r="EH283" s="75"/>
    </row>
    <row r="284" spans="1:138" x14ac:dyDescent="0.25">
      <c r="A284" s="32">
        <v>44174</v>
      </c>
      <c r="B284" s="33">
        <f t="shared" ca="1" si="98"/>
        <v>44174</v>
      </c>
      <c r="C284" s="51">
        <f t="shared" si="93"/>
        <v>281</v>
      </c>
      <c r="D284" s="176">
        <f>DANE!K284</f>
        <v>813</v>
      </c>
      <c r="E284" s="188">
        <f t="shared" si="1"/>
        <v>76558</v>
      </c>
      <c r="F284" s="178">
        <f t="shared" ca="1" si="17"/>
        <v>676.28571428571433</v>
      </c>
      <c r="G284" s="209">
        <f t="shared" si="38"/>
        <v>5646.0758206169039</v>
      </c>
      <c r="H284" s="179">
        <f t="shared" si="42"/>
        <v>1.3278790050208287E-3</v>
      </c>
      <c r="I284" s="213">
        <f t="shared" si="43"/>
        <v>1.0092951530351457</v>
      </c>
      <c r="J284" s="214">
        <f t="shared" ca="1" si="44"/>
        <v>0.69827875930461702</v>
      </c>
      <c r="K284" s="176">
        <f>DANE!O284</f>
        <v>1101</v>
      </c>
      <c r="L284" s="188">
        <f t="shared" si="2"/>
        <v>64856</v>
      </c>
      <c r="M284" s="177">
        <f t="shared" ca="1" si="18"/>
        <v>912.28571428571433</v>
      </c>
      <c r="N284" s="209">
        <f t="shared" si="62"/>
        <v>6431.2872269064801</v>
      </c>
      <c r="O284" s="179">
        <f t="shared" si="66"/>
        <v>3.4190405528347526E-2</v>
      </c>
      <c r="P284" s="213">
        <f t="shared" si="67"/>
        <v>1.2393328386984326</v>
      </c>
      <c r="Q284" s="217">
        <f t="shared" ca="1" si="68"/>
        <v>0.91365073024464283</v>
      </c>
      <c r="R284" s="176">
        <f>DANE!S284</f>
        <v>728</v>
      </c>
      <c r="S284" s="188">
        <f t="shared" si="3"/>
        <v>55364</v>
      </c>
      <c r="T284" s="177">
        <f t="shared" ca="1" si="19"/>
        <v>558.28571428571433</v>
      </c>
      <c r="U284" s="209">
        <f t="shared" si="50"/>
        <v>4333.0001607839949</v>
      </c>
      <c r="V284" s="179">
        <f t="shared" si="55"/>
        <v>3.0235775913849936E-2</v>
      </c>
      <c r="W284" s="213">
        <f t="shared" si="56"/>
        <v>1.2116504313969496</v>
      </c>
      <c r="X284" s="214">
        <f t="shared" ca="1" si="57"/>
        <v>0.77839794005807661</v>
      </c>
      <c r="Y284" s="176">
        <f>DANE!W284</f>
        <v>349</v>
      </c>
      <c r="Z284" s="188">
        <f t="shared" si="4"/>
        <v>24674</v>
      </c>
      <c r="AA284" s="177">
        <f t="shared" ca="1" si="20"/>
        <v>312.85714285714283</v>
      </c>
      <c r="AB284" s="209">
        <f t="shared" si="94"/>
        <v>2326.2360320434036</v>
      </c>
      <c r="AC284" s="179">
        <f t="shared" si="95"/>
        <v>8.4363053174303926E-3</v>
      </c>
      <c r="AD284" s="213">
        <f t="shared" si="96"/>
        <v>1.0590541372220128</v>
      </c>
      <c r="AE284" s="217">
        <f t="shared" ca="1" si="97"/>
        <v>0.81819769225611838</v>
      </c>
      <c r="AF284" s="176">
        <f>DANE!AA284</f>
        <v>821</v>
      </c>
      <c r="AG284" s="188">
        <f t="shared" si="5"/>
        <v>71467</v>
      </c>
      <c r="AH284" s="177">
        <f t="shared" ca="1" si="21"/>
        <v>697.71428571428567</v>
      </c>
      <c r="AI284" s="209">
        <f t="shared" si="37"/>
        <v>5246.2709984502626</v>
      </c>
      <c r="AJ284" s="179">
        <f t="shared" si="39"/>
        <v>1.6164595237705581E-2</v>
      </c>
      <c r="AK284" s="213">
        <f t="shared" si="40"/>
        <v>1.113152166663939</v>
      </c>
      <c r="AL284" s="214">
        <f t="shared" ca="1" si="41"/>
        <v>0.81901226982031805</v>
      </c>
      <c r="AM284" s="176">
        <f>DANE!AE284</f>
        <v>564</v>
      </c>
      <c r="AN284" s="188">
        <f t="shared" si="6"/>
        <v>101254</v>
      </c>
      <c r="AO284" s="177">
        <f t="shared" ca="1" si="22"/>
        <v>574.71428571428567</v>
      </c>
      <c r="AP284" s="209">
        <f t="shared" si="49"/>
        <v>4924.4698658781699</v>
      </c>
      <c r="AQ284" s="179">
        <f t="shared" si="51"/>
        <v>-3.1990977902873023E-2</v>
      </c>
      <c r="AR284" s="213">
        <f t="shared" si="52"/>
        <v>0.77606315467988884</v>
      </c>
      <c r="AS284" s="217">
        <f t="shared" ca="1" si="53"/>
        <v>0.73550172629172761</v>
      </c>
      <c r="AT284" s="176">
        <f>DANE!AI284</f>
        <v>1496</v>
      </c>
      <c r="AU284" s="188">
        <f t="shared" si="7"/>
        <v>130089</v>
      </c>
      <c r="AV284" s="177">
        <f t="shared" ca="1" si="23"/>
        <v>1318.8571428571429</v>
      </c>
      <c r="AW284" s="209">
        <f t="shared" si="33"/>
        <v>9785.2229010078754</v>
      </c>
      <c r="AX284" s="179">
        <f t="shared" si="34"/>
        <v>1.1835972480581224E-2</v>
      </c>
      <c r="AY284" s="213">
        <f t="shared" si="35"/>
        <v>1.0828518073640685</v>
      </c>
      <c r="AZ284" s="214">
        <f t="shared" ca="1" si="36"/>
        <v>0.83036712907405585</v>
      </c>
      <c r="BA284" s="176">
        <f>DANE!AM284</f>
        <v>224</v>
      </c>
      <c r="BB284" s="188">
        <f t="shared" si="8"/>
        <v>31850</v>
      </c>
      <c r="BC284" s="177">
        <f t="shared" ca="1" si="24"/>
        <v>306.14285714285717</v>
      </c>
      <c r="BD284" s="209">
        <f t="shared" si="77"/>
        <v>2344.661264621222</v>
      </c>
      <c r="BE284" s="179">
        <f t="shared" si="80"/>
        <v>-5.2319345424277658E-2</v>
      </c>
      <c r="BF284" s="213">
        <f t="shared" si="81"/>
        <v>0.63376458203005637</v>
      </c>
      <c r="BG284" s="217">
        <f t="shared" ca="1" si="82"/>
        <v>0.70972882266179904</v>
      </c>
      <c r="BH284" s="176">
        <f>DANE!AQ284</f>
        <v>253</v>
      </c>
      <c r="BI284" s="188">
        <f t="shared" si="9"/>
        <v>54081</v>
      </c>
      <c r="BJ284" s="177">
        <f t="shared" ca="1" si="25"/>
        <v>255.42857142857142</v>
      </c>
      <c r="BK284" s="209">
        <f t="shared" si="61"/>
        <v>2505.9906089256497</v>
      </c>
      <c r="BL284" s="179">
        <f t="shared" si="63"/>
        <v>-4.6604126089996853E-2</v>
      </c>
      <c r="BM284" s="213">
        <f t="shared" si="64"/>
        <v>0.67377111737002204</v>
      </c>
      <c r="BN284" s="214">
        <f t="shared" ca="1" si="65"/>
        <v>0.52357058238111687</v>
      </c>
      <c r="BO284" s="176">
        <f>DANE!AU284</f>
        <v>360</v>
      </c>
      <c r="BP284" s="188">
        <f t="shared" si="10"/>
        <v>28781</v>
      </c>
      <c r="BQ284" s="177">
        <f t="shared" ca="1" si="26"/>
        <v>278.14285714285717</v>
      </c>
      <c r="BR284" s="209">
        <f t="shared" si="78"/>
        <v>2234.7744042670934</v>
      </c>
      <c r="BS284" s="179">
        <f t="shared" si="83"/>
        <v>2.1734088956723716E-2</v>
      </c>
      <c r="BT284" s="213">
        <f t="shared" si="84"/>
        <v>1.152138622697066</v>
      </c>
      <c r="BU284" s="217">
        <f t="shared" ca="1" si="85"/>
        <v>0.74745289594341968</v>
      </c>
      <c r="BV284" s="176">
        <f>DANE!AY284</f>
        <v>933</v>
      </c>
      <c r="BW284" s="188">
        <f t="shared" si="11"/>
        <v>63764</v>
      </c>
      <c r="BX284" s="177">
        <f t="shared" ca="1" si="27"/>
        <v>809.28571428571433</v>
      </c>
      <c r="BY284" s="209">
        <f t="shared" si="69"/>
        <v>5884.0565618735172</v>
      </c>
      <c r="BZ284" s="179">
        <f t="shared" si="71"/>
        <v>1.8666821920926287E-2</v>
      </c>
      <c r="CA284" s="213">
        <f t="shared" si="72"/>
        <v>1.130667753446484</v>
      </c>
      <c r="CB284" s="214">
        <f t="shared" ca="1" si="73"/>
        <v>0.856105363769608</v>
      </c>
      <c r="CC284" s="176">
        <f>DANE!BC284</f>
        <v>1465</v>
      </c>
      <c r="CD284" s="188">
        <f t="shared" si="12"/>
        <v>137903</v>
      </c>
      <c r="CE284" s="177">
        <f t="shared" ca="1" si="28"/>
        <v>1094.1428571428571</v>
      </c>
      <c r="CF284" s="209">
        <f t="shared" si="45"/>
        <v>8620.6672545401889</v>
      </c>
      <c r="CG284" s="179">
        <f t="shared" si="46"/>
        <v>3.262813909438296E-2</v>
      </c>
      <c r="CH284" s="213">
        <f t="shared" si="47"/>
        <v>1.2283969736606808</v>
      </c>
      <c r="CI284" s="217">
        <f t="shared" ca="1" si="48"/>
        <v>0.76908710201813524</v>
      </c>
      <c r="CJ284" s="176">
        <f>DANE!BG284</f>
        <v>178</v>
      </c>
      <c r="CK284" s="188">
        <f t="shared" si="13"/>
        <v>31835</v>
      </c>
      <c r="CL284" s="177">
        <f t="shared" ca="1" si="29"/>
        <v>204.28571428571428</v>
      </c>
      <c r="CM284" s="209">
        <f t="shared" si="79"/>
        <v>1807.0152442828467</v>
      </c>
      <c r="CN284" s="179">
        <f t="shared" si="86"/>
        <v>-4.9198456048109095E-2</v>
      </c>
      <c r="CO284" s="213">
        <f t="shared" si="87"/>
        <v>0.65561080766323632</v>
      </c>
      <c r="CP284" s="214">
        <f t="shared" ca="1" si="88"/>
        <v>0.59475545779104289</v>
      </c>
      <c r="CQ284" s="176">
        <f>DANE!BK284</f>
        <v>651</v>
      </c>
      <c r="CR284" s="188">
        <f t="shared" si="14"/>
        <v>38359</v>
      </c>
      <c r="CS284" s="177">
        <f t="shared" ca="1" si="30"/>
        <v>696</v>
      </c>
      <c r="CT284" s="209">
        <f t="shared" si="89"/>
        <v>4781.3982128463449</v>
      </c>
      <c r="CU284" s="179">
        <f t="shared" si="90"/>
        <v>-7.761209911861318E-3</v>
      </c>
      <c r="CV284" s="213">
        <f t="shared" si="91"/>
        <v>0.94567153061697073</v>
      </c>
      <c r="CW284" s="217">
        <f t="shared" ca="1" si="92"/>
        <v>0.90351285830426131</v>
      </c>
      <c r="CX284" s="176">
        <f>DANE!BO284</f>
        <v>1213</v>
      </c>
      <c r="CY284" s="188">
        <f t="shared" si="15"/>
        <v>108499</v>
      </c>
      <c r="CZ284" s="177">
        <f t="shared" ca="1" si="31"/>
        <v>1091.8571428571429</v>
      </c>
      <c r="DA284" s="209">
        <f t="shared" si="54"/>
        <v>8312.5478777799181</v>
      </c>
      <c r="DB284" s="179">
        <f t="shared" si="58"/>
        <v>3.5908146203143779E-3</v>
      </c>
      <c r="DC284" s="213">
        <f t="shared" si="59"/>
        <v>1.0251357023422007</v>
      </c>
      <c r="DD284" s="214">
        <f t="shared" ca="1" si="60"/>
        <v>0.76212928608128294</v>
      </c>
      <c r="DE284" s="176">
        <f>DANE!BS284</f>
        <v>932</v>
      </c>
      <c r="DF284" s="188">
        <f t="shared" si="16"/>
        <v>44744</v>
      </c>
      <c r="DG284" s="177">
        <f t="shared" ca="1" si="32"/>
        <v>790.42857142857144</v>
      </c>
      <c r="DH284" s="209">
        <f t="shared" si="70"/>
        <v>5446.5597000962043</v>
      </c>
      <c r="DI284" s="179">
        <f t="shared" si="74"/>
        <v>3.4094142744445249E-2</v>
      </c>
      <c r="DJ284" s="157">
        <f t="shared" si="75"/>
        <v>1.2386589992111168</v>
      </c>
      <c r="DK284" s="225">
        <f t="shared" ca="1" si="76"/>
        <v>0.96629037821908603</v>
      </c>
      <c r="DL284" s="75"/>
      <c r="DM284" s="88"/>
      <c r="DN284" s="88"/>
      <c r="DO284" s="88"/>
      <c r="DP284" s="88"/>
      <c r="DQ284" s="88"/>
      <c r="DR284" s="88"/>
      <c r="DS284" s="88"/>
      <c r="DT284" s="88"/>
      <c r="DU284" s="88"/>
      <c r="DV284" s="88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</row>
    <row r="285" spans="1:138" x14ac:dyDescent="0.25">
      <c r="A285" s="32">
        <v>44175</v>
      </c>
      <c r="B285" s="33">
        <f t="shared" ca="1" si="98"/>
        <v>44175</v>
      </c>
      <c r="C285" s="51">
        <f t="shared" si="93"/>
        <v>282</v>
      </c>
      <c r="D285" s="176">
        <f>DANE!K285</f>
        <v>985</v>
      </c>
      <c r="E285" s="188">
        <f t="shared" si="1"/>
        <v>77543</v>
      </c>
      <c r="F285" s="178">
        <f t="shared" ca="1" si="17"/>
        <v>696.42857142857144</v>
      </c>
      <c r="G285" s="209">
        <f t="shared" si="38"/>
        <v>5824.4935605287756</v>
      </c>
      <c r="H285" s="179">
        <f t="shared" si="42"/>
        <v>3.1600308883626943E-2</v>
      </c>
      <c r="I285" s="213">
        <f t="shared" si="43"/>
        <v>1.2212021621853886</v>
      </c>
      <c r="J285" s="214">
        <f t="shared" ca="1" si="44"/>
        <v>0.76335894248694458</v>
      </c>
      <c r="K285" s="176">
        <f>DANE!O285</f>
        <v>1404</v>
      </c>
      <c r="L285" s="188">
        <f t="shared" si="2"/>
        <v>66260</v>
      </c>
      <c r="M285" s="177">
        <f t="shared" ca="1" si="18"/>
        <v>919.42857142857144</v>
      </c>
      <c r="N285" s="209">
        <f t="shared" si="62"/>
        <v>6916.5319087769831</v>
      </c>
      <c r="O285" s="179">
        <f t="shared" si="66"/>
        <v>7.5450631382220357E-2</v>
      </c>
      <c r="P285" s="213">
        <f t="shared" si="67"/>
        <v>1.5281544196755426</v>
      </c>
      <c r="Q285" s="217">
        <f t="shared" ca="1" si="68"/>
        <v>0.94041547712527362</v>
      </c>
      <c r="R285" s="176">
        <f>DANE!S285</f>
        <v>618</v>
      </c>
      <c r="S285" s="188">
        <f t="shared" si="3"/>
        <v>55982</v>
      </c>
      <c r="T285" s="177">
        <f t="shared" ca="1" si="19"/>
        <v>533.28571428571433</v>
      </c>
      <c r="U285" s="209">
        <f t="shared" si="50"/>
        <v>4332.0001378148536</v>
      </c>
      <c r="V285" s="179">
        <f t="shared" si="55"/>
        <v>-2.307922760289986E-4</v>
      </c>
      <c r="W285" s="213">
        <f t="shared" si="56"/>
        <v>0.99838445406779697</v>
      </c>
      <c r="X285" s="214">
        <f t="shared" ca="1" si="57"/>
        <v>0.77600731709247384</v>
      </c>
      <c r="Y285" s="176">
        <f>DANE!W285</f>
        <v>467</v>
      </c>
      <c r="Z285" s="188">
        <f t="shared" si="4"/>
        <v>25141</v>
      </c>
      <c r="AA285" s="177">
        <f t="shared" ca="1" si="20"/>
        <v>328.42857142857144</v>
      </c>
      <c r="AB285" s="209">
        <f t="shared" si="94"/>
        <v>2460.916598894346</v>
      </c>
      <c r="AC285" s="179">
        <f t="shared" si="95"/>
        <v>5.7896346284618733E-2</v>
      </c>
      <c r="AD285" s="213">
        <f t="shared" si="96"/>
        <v>1.4052744239923312</v>
      </c>
      <c r="AE285" s="217">
        <f t="shared" ca="1" si="97"/>
        <v>0.89162204981724447</v>
      </c>
      <c r="AF285" s="176">
        <f>DANE!AA285</f>
        <v>863</v>
      </c>
      <c r="AG285" s="188">
        <f t="shared" si="5"/>
        <v>72330</v>
      </c>
      <c r="AH285" s="177">
        <f t="shared" ca="1" si="21"/>
        <v>694</v>
      </c>
      <c r="AI285" s="209">
        <f t="shared" si="37"/>
        <v>5359.8037129573686</v>
      </c>
      <c r="AJ285" s="179">
        <f t="shared" si="39"/>
        <v>2.1640650004668711E-2</v>
      </c>
      <c r="AK285" s="213">
        <f t="shared" si="40"/>
        <v>1.1514845500326809</v>
      </c>
      <c r="AL285" s="214">
        <f t="shared" ca="1" si="41"/>
        <v>0.84325159163869223</v>
      </c>
      <c r="AM285" s="176">
        <f>DANE!AE285</f>
        <v>488</v>
      </c>
      <c r="AN285" s="188">
        <f t="shared" si="6"/>
        <v>101742</v>
      </c>
      <c r="AO285" s="177">
        <f t="shared" ca="1" si="22"/>
        <v>552.14285714285711</v>
      </c>
      <c r="AP285" s="209">
        <f t="shared" si="49"/>
        <v>4708.9741707527173</v>
      </c>
      <c r="AQ285" s="179">
        <f t="shared" si="51"/>
        <v>-4.3760181500678896E-2</v>
      </c>
      <c r="AR285" s="213">
        <f t="shared" si="52"/>
        <v>0.69367872949524778</v>
      </c>
      <c r="AS285" s="217">
        <f t="shared" ca="1" si="53"/>
        <v>0.73550617374730565</v>
      </c>
      <c r="AT285" s="176">
        <f>DANE!AI285</f>
        <v>1701</v>
      </c>
      <c r="AU285" s="188">
        <f t="shared" si="7"/>
        <v>131790</v>
      </c>
      <c r="AV285" s="177">
        <f t="shared" ca="1" si="23"/>
        <v>1307.5714285714287</v>
      </c>
      <c r="AW285" s="209">
        <f t="shared" si="33"/>
        <v>10088.333915149607</v>
      </c>
      <c r="AX285" s="179">
        <f t="shared" si="34"/>
        <v>3.0976403624950816E-2</v>
      </c>
      <c r="AY285" s="213">
        <f t="shared" si="35"/>
        <v>1.2168348253746557</v>
      </c>
      <c r="AZ285" s="214">
        <f t="shared" ca="1" si="36"/>
        <v>0.85165972806389612</v>
      </c>
      <c r="BA285" s="176">
        <f>DANE!AM285</f>
        <v>493</v>
      </c>
      <c r="BB285" s="188">
        <f t="shared" si="8"/>
        <v>32343</v>
      </c>
      <c r="BC285" s="177">
        <f t="shared" ca="1" si="24"/>
        <v>309.57142857142856</v>
      </c>
      <c r="BD285" s="209">
        <f t="shared" si="77"/>
        <v>2502.709655389619</v>
      </c>
      <c r="BE285" s="179">
        <f t="shared" si="80"/>
        <v>6.7407771499108024E-2</v>
      </c>
      <c r="BF285" s="213">
        <f t="shared" si="81"/>
        <v>1.4718544004937562</v>
      </c>
      <c r="BG285" s="217">
        <f t="shared" ca="1" si="82"/>
        <v>0.77191008206389078</v>
      </c>
      <c r="BH285" s="176">
        <f>DANE!AQ285</f>
        <v>406</v>
      </c>
      <c r="BI285" s="188">
        <f t="shared" si="9"/>
        <v>54487</v>
      </c>
      <c r="BJ285" s="177">
        <f t="shared" ca="1" si="25"/>
        <v>254.42857142857142</v>
      </c>
      <c r="BK285" s="209">
        <f t="shared" si="61"/>
        <v>2553.9919505077</v>
      </c>
      <c r="BL285" s="179">
        <f t="shared" si="63"/>
        <v>1.915463745597561E-2</v>
      </c>
      <c r="BM285" s="213">
        <f t="shared" si="64"/>
        <v>1.1340824621918293</v>
      </c>
      <c r="BN285" s="214">
        <f t="shared" ca="1" si="65"/>
        <v>0.58509556940397378</v>
      </c>
      <c r="BO285" s="176">
        <f>DANE!AU285</f>
        <v>364</v>
      </c>
      <c r="BP285" s="188">
        <f t="shared" si="10"/>
        <v>29145</v>
      </c>
      <c r="BQ285" s="177">
        <f t="shared" ca="1" si="26"/>
        <v>279.28571428571428</v>
      </c>
      <c r="BR285" s="209">
        <f t="shared" si="78"/>
        <v>2279.5209179432231</v>
      </c>
      <c r="BS285" s="179">
        <f t="shared" si="83"/>
        <v>2.002283254662774E-2</v>
      </c>
      <c r="BT285" s="213">
        <f t="shared" si="84"/>
        <v>1.1401598278263942</v>
      </c>
      <c r="BU285" s="217">
        <f t="shared" ca="1" si="85"/>
        <v>0.78765022357159098</v>
      </c>
      <c r="BV285" s="176">
        <f>DANE!AY285</f>
        <v>887</v>
      </c>
      <c r="BW285" s="188">
        <f t="shared" si="11"/>
        <v>64651</v>
      </c>
      <c r="BX285" s="177">
        <f t="shared" ca="1" si="27"/>
        <v>760.85714285714289</v>
      </c>
      <c r="BY285" s="209">
        <f t="shared" si="69"/>
        <v>5930.477053034444</v>
      </c>
      <c r="BZ285" s="179">
        <f t="shared" si="71"/>
        <v>7.8891986629962326E-3</v>
      </c>
      <c r="CA285" s="213">
        <f t="shared" si="72"/>
        <v>1.0552243906409737</v>
      </c>
      <c r="CB285" s="214">
        <f t="shared" ca="1" si="73"/>
        <v>0.82782003295512374</v>
      </c>
      <c r="CC285" s="176">
        <f>DANE!BC285</f>
        <v>1251</v>
      </c>
      <c r="CD285" s="188">
        <f t="shared" si="12"/>
        <v>139154</v>
      </c>
      <c r="CE285" s="177">
        <f t="shared" ca="1" si="28"/>
        <v>1054.1428571428571</v>
      </c>
      <c r="CF285" s="209">
        <f t="shared" si="45"/>
        <v>8640.1433610344484</v>
      </c>
      <c r="CG285" s="179">
        <f t="shared" si="46"/>
        <v>2.2592342238939985E-3</v>
      </c>
      <c r="CH285" s="213">
        <f t="shared" si="47"/>
        <v>1.015814639567258</v>
      </c>
      <c r="CI285" s="217">
        <f t="shared" ca="1" si="48"/>
        <v>0.77476856427055174</v>
      </c>
      <c r="CJ285" s="176">
        <f>DANE!BG285</f>
        <v>215</v>
      </c>
      <c r="CK285" s="188">
        <f t="shared" si="13"/>
        <v>32050</v>
      </c>
      <c r="CL285" s="177">
        <f t="shared" ca="1" si="29"/>
        <v>184.57142857142858</v>
      </c>
      <c r="CM285" s="209">
        <f t="shared" si="79"/>
        <v>1763.8702093852974</v>
      </c>
      <c r="CN285" s="179">
        <f t="shared" si="86"/>
        <v>-2.3876408920209383E-2</v>
      </c>
      <c r="CO285" s="213">
        <f t="shared" si="87"/>
        <v>0.83286513755853431</v>
      </c>
      <c r="CP285" s="214">
        <f t="shared" ca="1" si="88"/>
        <v>0.58542693048103123</v>
      </c>
      <c r="CQ285" s="176">
        <f>DANE!BK285</f>
        <v>897</v>
      </c>
      <c r="CR285" s="188">
        <f t="shared" si="14"/>
        <v>39256</v>
      </c>
      <c r="CS285" s="177">
        <f t="shared" ca="1" si="30"/>
        <v>673</v>
      </c>
      <c r="CT285" s="209">
        <f t="shared" si="89"/>
        <v>4995.3413252968676</v>
      </c>
      <c r="CU285" s="179">
        <f t="shared" si="90"/>
        <v>4.4744884848895133E-2</v>
      </c>
      <c r="CV285" s="213">
        <f t="shared" si="91"/>
        <v>1.3132141939422659</v>
      </c>
      <c r="CW285" s="217">
        <f t="shared" ca="1" si="92"/>
        <v>0.89195366043101421</v>
      </c>
      <c r="CX285" s="176">
        <f>DANE!BO285</f>
        <v>1672</v>
      </c>
      <c r="CY285" s="188">
        <f t="shared" si="15"/>
        <v>110171</v>
      </c>
      <c r="CZ285" s="177">
        <f t="shared" ca="1" si="31"/>
        <v>1080</v>
      </c>
      <c r="DA285" s="209">
        <f t="shared" si="54"/>
        <v>8797.0410380970734</v>
      </c>
      <c r="DB285" s="179">
        <f t="shared" si="58"/>
        <v>5.8284555763250756E-2</v>
      </c>
      <c r="DC285" s="213">
        <f t="shared" si="59"/>
        <v>1.4079918903427553</v>
      </c>
      <c r="DD285" s="214">
        <f t="shared" ca="1" si="60"/>
        <v>0.79853241533748687</v>
      </c>
      <c r="DE285" s="176">
        <f>DANE!BS285</f>
        <v>956</v>
      </c>
      <c r="DF285" s="188">
        <f t="shared" si="16"/>
        <v>45700</v>
      </c>
      <c r="DG285" s="177">
        <f t="shared" ca="1" si="32"/>
        <v>792.85714285714289</v>
      </c>
      <c r="DH285" s="209">
        <f t="shared" si="70"/>
        <v>5624.479742939604</v>
      </c>
      <c r="DI285" s="179">
        <f t="shared" si="74"/>
        <v>3.2666500073478856E-2</v>
      </c>
      <c r="DJ285" s="157">
        <f t="shared" si="75"/>
        <v>1.2286655005143521</v>
      </c>
      <c r="DK285" s="225">
        <f t="shared" ca="1" si="76"/>
        <v>0.97596832893031216</v>
      </c>
      <c r="DL285" s="227"/>
      <c r="DM285" s="380"/>
      <c r="DN285" s="372"/>
      <c r="DO285" s="372"/>
      <c r="DP285" s="372"/>
      <c r="DQ285" s="372"/>
      <c r="DR285" s="372"/>
      <c r="DS285" s="372"/>
      <c r="DT285" s="88"/>
      <c r="DU285" s="88"/>
      <c r="DV285" s="88"/>
      <c r="DW285" s="146"/>
      <c r="DX285" s="146"/>
      <c r="DY285" s="146"/>
      <c r="DZ285" s="146"/>
      <c r="EA285" s="146"/>
      <c r="EB285" s="146"/>
      <c r="EC285" s="146"/>
      <c r="ED285" s="146"/>
      <c r="EE285" s="146"/>
      <c r="EF285" s="146"/>
      <c r="EG285" s="146"/>
      <c r="EH285" s="146"/>
    </row>
    <row r="286" spans="1:138" x14ac:dyDescent="0.25">
      <c r="A286" s="32">
        <v>44176</v>
      </c>
      <c r="B286" s="33">
        <f t="shared" ca="1" si="98"/>
        <v>44176</v>
      </c>
      <c r="C286" s="51">
        <f t="shared" si="93"/>
        <v>283</v>
      </c>
      <c r="D286" s="176">
        <f>DANE!K286</f>
        <v>797</v>
      </c>
      <c r="E286" s="188">
        <f t="shared" si="1"/>
        <v>78340</v>
      </c>
      <c r="F286" s="178">
        <f t="shared" ca="1" si="17"/>
        <v>692</v>
      </c>
      <c r="G286" s="209">
        <f t="shared" si="38"/>
        <v>5789.4230518818076</v>
      </c>
      <c r="H286" s="179">
        <f t="shared" si="42"/>
        <v>-6.0212116783221348E-3</v>
      </c>
      <c r="I286" s="213">
        <f t="shared" si="43"/>
        <v>0.95785151825174508</v>
      </c>
      <c r="J286" s="214">
        <f t="shared" ca="1" si="44"/>
        <v>0.78917414788512374</v>
      </c>
      <c r="K286" s="176">
        <f>DANE!O286</f>
        <v>1002</v>
      </c>
      <c r="L286" s="188">
        <f t="shared" si="2"/>
        <v>67262</v>
      </c>
      <c r="M286" s="177">
        <f t="shared" ca="1" si="18"/>
        <v>908.14285714285711</v>
      </c>
      <c r="N286" s="209">
        <f t="shared" si="62"/>
        <v>6930.4559218088434</v>
      </c>
      <c r="O286" s="179">
        <f t="shared" si="66"/>
        <v>2.0131495401894931E-3</v>
      </c>
      <c r="P286" s="213">
        <f t="shared" si="67"/>
        <v>1.0140920467813264</v>
      </c>
      <c r="Q286" s="217">
        <f t="shared" ca="1" si="68"/>
        <v>0.93946212290572573</v>
      </c>
      <c r="R286" s="176">
        <f>DANE!S286</f>
        <v>639</v>
      </c>
      <c r="S286" s="188">
        <f t="shared" si="3"/>
        <v>56621</v>
      </c>
      <c r="T286" s="177">
        <f t="shared" ca="1" si="19"/>
        <v>522.71428571428567</v>
      </c>
      <c r="U286" s="209">
        <f t="shared" si="50"/>
        <v>4352.142975269875</v>
      </c>
      <c r="V286" s="179">
        <f t="shared" si="55"/>
        <v>4.6497776579439076E-3</v>
      </c>
      <c r="W286" s="213">
        <f t="shared" si="56"/>
        <v>1.0325484436056074</v>
      </c>
      <c r="X286" s="214">
        <f t="shared" ca="1" si="57"/>
        <v>0.79340797884491476</v>
      </c>
      <c r="Y286" s="176">
        <f>DANE!W286</f>
        <v>447</v>
      </c>
      <c r="Z286" s="188">
        <f t="shared" si="4"/>
        <v>25588</v>
      </c>
      <c r="AA286" s="177">
        <f t="shared" ca="1" si="20"/>
        <v>323.42857142857144</v>
      </c>
      <c r="AB286" s="209">
        <f t="shared" si="94"/>
        <v>2556.3570847665824</v>
      </c>
      <c r="AC286" s="179">
        <f t="shared" si="95"/>
        <v>3.8782495073224524E-2</v>
      </c>
      <c r="AD286" s="213">
        <f t="shared" si="96"/>
        <v>1.2714774655125716</v>
      </c>
      <c r="AE286" s="217">
        <f t="shared" ca="1" si="97"/>
        <v>0.89912574356372321</v>
      </c>
      <c r="AF286" s="176">
        <f>DANE!AA286</f>
        <v>838</v>
      </c>
      <c r="AG286" s="188">
        <f t="shared" si="5"/>
        <v>73168</v>
      </c>
      <c r="AH286" s="177">
        <f t="shared" ca="1" si="21"/>
        <v>683</v>
      </c>
      <c r="AI286" s="209">
        <f t="shared" si="37"/>
        <v>5432.1174682491737</v>
      </c>
      <c r="AJ286" s="179">
        <f t="shared" si="39"/>
        <v>1.3491866337751521E-2</v>
      </c>
      <c r="AK286" s="213">
        <f t="shared" si="40"/>
        <v>1.0944430643642606</v>
      </c>
      <c r="AL286" s="214">
        <f t="shared" ca="1" si="41"/>
        <v>0.85486395923714198</v>
      </c>
      <c r="AM286" s="176">
        <f>DANE!AE286</f>
        <v>472</v>
      </c>
      <c r="AN286" s="188">
        <f t="shared" si="6"/>
        <v>102214</v>
      </c>
      <c r="AO286" s="177">
        <f t="shared" ca="1" si="22"/>
        <v>534</v>
      </c>
      <c r="AP286" s="209">
        <f t="shared" si="49"/>
        <v>4508.2635749309011</v>
      </c>
      <c r="AQ286" s="179">
        <f t="shared" si="51"/>
        <v>-4.2622997821568677E-2</v>
      </c>
      <c r="AR286" s="213">
        <f t="shared" si="52"/>
        <v>0.70163901524901928</v>
      </c>
      <c r="AS286" s="217">
        <f t="shared" ca="1" si="53"/>
        <v>0.73965205493277797</v>
      </c>
      <c r="AT286" s="176">
        <f>DANE!AI286</f>
        <v>1722</v>
      </c>
      <c r="AU286" s="188">
        <f t="shared" si="7"/>
        <v>133512</v>
      </c>
      <c r="AV286" s="177">
        <f t="shared" ca="1" si="23"/>
        <v>1318.8571428571429</v>
      </c>
      <c r="AW286" s="209">
        <f t="shared" si="33"/>
        <v>10369.143355842521</v>
      </c>
      <c r="AX286" s="179">
        <f t="shared" si="34"/>
        <v>2.7835066033175575E-2</v>
      </c>
      <c r="AY286" s="213">
        <f t="shared" si="35"/>
        <v>1.1948454622322291</v>
      </c>
      <c r="AZ286" s="214">
        <f t="shared" ca="1" si="36"/>
        <v>0.88290190743143315</v>
      </c>
      <c r="BA286" s="176">
        <f>DANE!AM286</f>
        <v>337</v>
      </c>
      <c r="BB286" s="188">
        <f t="shared" si="8"/>
        <v>32680</v>
      </c>
      <c r="BC286" s="177">
        <f t="shared" ca="1" si="24"/>
        <v>293.57142857142856</v>
      </c>
      <c r="BD286" s="209">
        <f t="shared" si="77"/>
        <v>2482.1797046196734</v>
      </c>
      <c r="BE286" s="179">
        <f t="shared" si="80"/>
        <v>-8.203089289935829E-3</v>
      </c>
      <c r="BF286" s="213">
        <f t="shared" si="81"/>
        <v>0.94257837497044916</v>
      </c>
      <c r="BG286" s="217">
        <f t="shared" ca="1" si="82"/>
        <v>0.76553245249004076</v>
      </c>
      <c r="BH286" s="176">
        <f>DANE!AQ286</f>
        <v>260</v>
      </c>
      <c r="BI286" s="188">
        <f t="shared" si="9"/>
        <v>54747</v>
      </c>
      <c r="BJ286" s="177">
        <f t="shared" ca="1" si="25"/>
        <v>245.28571428571428</v>
      </c>
      <c r="BK286" s="209">
        <f t="shared" si="61"/>
        <v>2449.1359575780289</v>
      </c>
      <c r="BL286" s="179">
        <f t="shared" si="63"/>
        <v>-4.1055725688104533E-2</v>
      </c>
      <c r="BM286" s="213">
        <f t="shared" si="64"/>
        <v>0.7126099201832683</v>
      </c>
      <c r="BN286" s="214">
        <f t="shared" ca="1" si="65"/>
        <v>0.60457679706687451</v>
      </c>
      <c r="BO286" s="176">
        <f>DANE!AU286</f>
        <v>308</v>
      </c>
      <c r="BP286" s="188">
        <f t="shared" si="10"/>
        <v>29453</v>
      </c>
      <c r="BQ286" s="177">
        <f t="shared" ca="1" si="26"/>
        <v>270</v>
      </c>
      <c r="BR286" s="209">
        <f t="shared" si="78"/>
        <v>2261.8750725227628</v>
      </c>
      <c r="BS286" s="179">
        <f t="shared" si="83"/>
        <v>-7.7410324606197933E-3</v>
      </c>
      <c r="BT286" s="213">
        <f t="shared" si="84"/>
        <v>0.94581277277566145</v>
      </c>
      <c r="BU286" s="217">
        <f t="shared" ca="1" si="85"/>
        <v>0.79157859882974291</v>
      </c>
      <c r="BV286" s="176">
        <f>DANE!AY286</f>
        <v>1147</v>
      </c>
      <c r="BW286" s="188">
        <f t="shared" si="11"/>
        <v>65798</v>
      </c>
      <c r="BX286" s="177">
        <f t="shared" ca="1" si="27"/>
        <v>808.57142857142856</v>
      </c>
      <c r="BY286" s="209">
        <f t="shared" si="69"/>
        <v>6230.2660454580955</v>
      </c>
      <c r="BZ286" s="179">
        <f t="shared" si="71"/>
        <v>5.0550569497652575E-2</v>
      </c>
      <c r="CA286" s="213">
        <f t="shared" si="72"/>
        <v>1.3538539864835681</v>
      </c>
      <c r="CB286" s="214">
        <f t="shared" ca="1" si="73"/>
        <v>0.90665085493667241</v>
      </c>
      <c r="CC286" s="176">
        <f>DANE!BC286</f>
        <v>1080</v>
      </c>
      <c r="CD286" s="188">
        <f t="shared" si="12"/>
        <v>140234</v>
      </c>
      <c r="CE286" s="177">
        <f t="shared" ca="1" si="28"/>
        <v>1014.8571428571429</v>
      </c>
      <c r="CF286" s="209">
        <f t="shared" si="45"/>
        <v>8485.8371666009552</v>
      </c>
      <c r="CG286" s="179">
        <f t="shared" si="46"/>
        <v>-1.7859216911768779E-2</v>
      </c>
      <c r="CH286" s="213">
        <f t="shared" si="47"/>
        <v>0.87498548161761858</v>
      </c>
      <c r="CI286" s="217">
        <f t="shared" ca="1" si="48"/>
        <v>0.77593689765381202</v>
      </c>
      <c r="CJ286" s="176">
        <f>DANE!BG286</f>
        <v>218</v>
      </c>
      <c r="CK286" s="188">
        <f t="shared" si="13"/>
        <v>32268</v>
      </c>
      <c r="CL286" s="177">
        <f t="shared" ca="1" si="29"/>
        <v>179.71428571428572</v>
      </c>
      <c r="CM286" s="209">
        <f t="shared" si="79"/>
        <v>1729.8887509016836</v>
      </c>
      <c r="CN286" s="179">
        <f t="shared" si="86"/>
        <v>-1.9265282843830216E-2</v>
      </c>
      <c r="CO286" s="213">
        <f t="shared" si="87"/>
        <v>0.86514302009318844</v>
      </c>
      <c r="CP286" s="214">
        <f t="shared" ca="1" si="88"/>
        <v>0.61606902199389757</v>
      </c>
      <c r="CQ286" s="176">
        <f>DANE!BK286</f>
        <v>1198</v>
      </c>
      <c r="CR286" s="188">
        <f t="shared" si="14"/>
        <v>40454</v>
      </c>
      <c r="CS286" s="177">
        <f t="shared" ca="1" si="30"/>
        <v>706.42857142857144</v>
      </c>
      <c r="CT286" s="209">
        <f t="shared" si="89"/>
        <v>5479.7211359687435</v>
      </c>
      <c r="CU286" s="179">
        <f t="shared" si="90"/>
        <v>9.696630903256441E-2</v>
      </c>
      <c r="CV286" s="213">
        <f t="shared" si="91"/>
        <v>1.6787641632279509</v>
      </c>
      <c r="CW286" s="217">
        <f t="shared" ca="1" si="92"/>
        <v>0.95998342633852851</v>
      </c>
      <c r="CX286" s="176">
        <f>DANE!BO286</f>
        <v>1411</v>
      </c>
      <c r="CY286" s="188">
        <f t="shared" si="15"/>
        <v>111582</v>
      </c>
      <c r="CZ286" s="177">
        <f t="shared" ca="1" si="31"/>
        <v>1084.4285714285713</v>
      </c>
      <c r="DA286" s="209">
        <f t="shared" si="54"/>
        <v>8951.320889797491</v>
      </c>
      <c r="DB286" s="179">
        <f t="shared" si="58"/>
        <v>1.7537698304723438E-2</v>
      </c>
      <c r="DC286" s="213">
        <f t="shared" si="59"/>
        <v>1.1227638881330642</v>
      </c>
      <c r="DD286" s="214">
        <f t="shared" ca="1" si="60"/>
        <v>0.8321630185020652</v>
      </c>
      <c r="DE286" s="176">
        <f>DANE!BS286</f>
        <v>1110</v>
      </c>
      <c r="DF286" s="188">
        <f t="shared" si="16"/>
        <v>46810</v>
      </c>
      <c r="DG286" s="177">
        <f t="shared" ca="1" si="32"/>
        <v>808.71428571428567</v>
      </c>
      <c r="DH286" s="209">
        <f t="shared" si="70"/>
        <v>5930.9826368053755</v>
      </c>
      <c r="DI286" s="179">
        <f t="shared" si="74"/>
        <v>5.4494443552850172E-2</v>
      </c>
      <c r="DJ286" s="157">
        <f t="shared" si="75"/>
        <v>1.3814611048699512</v>
      </c>
      <c r="DK286" s="225">
        <f t="shared" ca="1" si="76"/>
        <v>1.0008420697561067</v>
      </c>
      <c r="DL286" s="227"/>
      <c r="DM286" s="380"/>
      <c r="DN286" s="372"/>
      <c r="DO286" s="372"/>
      <c r="DP286" s="372"/>
      <c r="DQ286" s="372"/>
      <c r="DR286" s="372"/>
      <c r="DS286" s="372"/>
      <c r="DT286" s="89"/>
      <c r="DU286" s="89"/>
      <c r="DV286" s="89"/>
      <c r="DW286" s="146"/>
      <c r="DX286" s="146"/>
      <c r="DY286" s="146"/>
      <c r="DZ286" s="146"/>
      <c r="EA286" s="146"/>
      <c r="EB286" s="146"/>
      <c r="EC286" s="146"/>
      <c r="ED286" s="146"/>
      <c r="EE286" s="146"/>
      <c r="EF286" s="146"/>
      <c r="EG286" s="146"/>
      <c r="EH286" s="146"/>
    </row>
    <row r="287" spans="1:138" x14ac:dyDescent="0.25">
      <c r="A287" s="61">
        <v>44177</v>
      </c>
      <c r="B287" s="33">
        <f t="shared" ca="1" si="98"/>
        <v>44177</v>
      </c>
      <c r="C287" s="51">
        <f t="shared" si="93"/>
        <v>284</v>
      </c>
      <c r="D287" s="176">
        <f>DANE!K287</f>
        <v>698</v>
      </c>
      <c r="E287" s="188">
        <f t="shared" si="1"/>
        <v>79038</v>
      </c>
      <c r="F287" s="178">
        <f t="shared" ca="1" si="17"/>
        <v>660.28571428571433</v>
      </c>
      <c r="G287" s="209">
        <f t="shared" si="38"/>
        <v>5660.3626158986926</v>
      </c>
      <c r="H287" s="179">
        <f t="shared" si="42"/>
        <v>-2.2292452084869643E-2</v>
      </c>
      <c r="I287" s="213">
        <f t="shared" si="43"/>
        <v>0.84395283540591248</v>
      </c>
      <c r="J287" s="214">
        <f t="shared" ca="1" si="44"/>
        <v>0.78232611197127266</v>
      </c>
      <c r="K287" s="176">
        <f>DANE!O287</f>
        <v>1083</v>
      </c>
      <c r="L287" s="188">
        <f t="shared" si="2"/>
        <v>68345</v>
      </c>
      <c r="M287" s="177">
        <f t="shared" ca="1" si="18"/>
        <v>907</v>
      </c>
      <c r="N287" s="209">
        <f t="shared" si="62"/>
        <v>7023.3907901218663</v>
      </c>
      <c r="O287" s="179">
        <f t="shared" si="66"/>
        <v>1.3409632693943598E-2</v>
      </c>
      <c r="P287" s="213">
        <f t="shared" si="67"/>
        <v>1.0938674288576051</v>
      </c>
      <c r="Q287" s="217">
        <f t="shared" ca="1" si="68"/>
        <v>0.94899157874659712</v>
      </c>
      <c r="R287" s="176">
        <f>DANE!S287</f>
        <v>745</v>
      </c>
      <c r="S287" s="188">
        <f t="shared" si="3"/>
        <v>57366</v>
      </c>
      <c r="T287" s="177">
        <f t="shared" ca="1" si="19"/>
        <v>525.14285714285711</v>
      </c>
      <c r="U287" s="209">
        <f t="shared" si="50"/>
        <v>4475.4082645170365</v>
      </c>
      <c r="V287" s="179">
        <f t="shared" si="55"/>
        <v>2.8322895168561839E-2</v>
      </c>
      <c r="W287" s="213">
        <f t="shared" si="56"/>
        <v>1.1982602661799329</v>
      </c>
      <c r="X287" s="214">
        <f t="shared" ca="1" si="57"/>
        <v>0.83002885146707073</v>
      </c>
      <c r="Y287" s="176">
        <f>DANE!W287</f>
        <v>373</v>
      </c>
      <c r="Z287" s="188">
        <f t="shared" si="4"/>
        <v>25961</v>
      </c>
      <c r="AA287" s="177">
        <f t="shared" ca="1" si="20"/>
        <v>328.28571428571428</v>
      </c>
      <c r="AB287" s="209">
        <f t="shared" si="94"/>
        <v>2564.1632155142138</v>
      </c>
      <c r="AC287" s="179">
        <f t="shared" si="95"/>
        <v>3.0536151596928336E-3</v>
      </c>
      <c r="AD287" s="213">
        <f t="shared" si="96"/>
        <v>1.0213753061178499</v>
      </c>
      <c r="AE287" s="217">
        <f t="shared" ca="1" si="97"/>
        <v>0.92627792203916226</v>
      </c>
      <c r="AF287" s="176">
        <f>DANE!AA287</f>
        <v>695</v>
      </c>
      <c r="AG287" s="188">
        <f t="shared" si="5"/>
        <v>73863</v>
      </c>
      <c r="AH287" s="177">
        <f t="shared" ca="1" si="21"/>
        <v>654.14285714285711</v>
      </c>
      <c r="AI287" s="209">
        <f t="shared" si="37"/>
        <v>5351.1006870707206</v>
      </c>
      <c r="AJ287" s="179">
        <f t="shared" si="39"/>
        <v>-1.4914401548198782E-2</v>
      </c>
      <c r="AK287" s="213">
        <f t="shared" si="40"/>
        <v>0.8955991891626085</v>
      </c>
      <c r="AL287" s="214">
        <f t="shared" ca="1" si="41"/>
        <v>0.84118351773852418</v>
      </c>
      <c r="AM287" s="176">
        <f>DANE!AE287</f>
        <v>404</v>
      </c>
      <c r="AN287" s="188">
        <f t="shared" si="6"/>
        <v>102618</v>
      </c>
      <c r="AO287" s="177">
        <f t="shared" ca="1" si="22"/>
        <v>513.42857142857144</v>
      </c>
      <c r="AP287" s="209">
        <f t="shared" si="49"/>
        <v>4268.2259213693442</v>
      </c>
      <c r="AQ287" s="179">
        <f t="shared" si="51"/>
        <v>-5.3243926308198609E-2</v>
      </c>
      <c r="AR287" s="213">
        <f t="shared" si="52"/>
        <v>0.6272925158426097</v>
      </c>
      <c r="AS287" s="217">
        <f t="shared" ca="1" si="53"/>
        <v>0.73704511179805132</v>
      </c>
      <c r="AT287" s="176">
        <f>DANE!AI287</f>
        <v>1522</v>
      </c>
      <c r="AU287" s="188">
        <f t="shared" si="7"/>
        <v>135034</v>
      </c>
      <c r="AV287" s="177">
        <f t="shared" ca="1" si="23"/>
        <v>1311.4285714285713</v>
      </c>
      <c r="AW287" s="209">
        <f t="shared" si="33"/>
        <v>10409.837162150734</v>
      </c>
      <c r="AX287" s="179">
        <f t="shared" si="34"/>
        <v>3.9245099533977874E-3</v>
      </c>
      <c r="AY287" s="213">
        <f t="shared" si="35"/>
        <v>1.0274715696737846</v>
      </c>
      <c r="AZ287" s="214">
        <f t="shared" ca="1" si="36"/>
        <v>0.89563319793076523</v>
      </c>
      <c r="BA287" s="176">
        <f>DANE!AM287</f>
        <v>315</v>
      </c>
      <c r="BB287" s="188">
        <f t="shared" si="8"/>
        <v>32995</v>
      </c>
      <c r="BC287" s="177">
        <f t="shared" ca="1" si="24"/>
        <v>287.28571428571428</v>
      </c>
      <c r="BD287" s="209">
        <f t="shared" si="77"/>
        <v>2442.58260395972</v>
      </c>
      <c r="BE287" s="179">
        <f t="shared" si="80"/>
        <v>-1.5952551939030776E-2</v>
      </c>
      <c r="BF287" s="213">
        <f t="shared" si="81"/>
        <v>0.88833213642678455</v>
      </c>
      <c r="BG287" s="217">
        <f t="shared" ca="1" si="82"/>
        <v>0.77946829734903744</v>
      </c>
      <c r="BH287" s="176">
        <f>DANE!AQ287</f>
        <v>525</v>
      </c>
      <c r="BI287" s="188">
        <f t="shared" si="9"/>
        <v>55272</v>
      </c>
      <c r="BJ287" s="177">
        <f t="shared" ca="1" si="25"/>
        <v>283.85714285714283</v>
      </c>
      <c r="BK287" s="209">
        <f t="shared" si="61"/>
        <v>2624.259392209739</v>
      </c>
      <c r="BL287" s="179">
        <f t="shared" si="63"/>
        <v>7.1504170313554632E-2</v>
      </c>
      <c r="BM287" s="213">
        <f t="shared" si="64"/>
        <v>1.5005291921948825</v>
      </c>
      <c r="BN287" s="214">
        <f t="shared" ca="1" si="65"/>
        <v>0.74997420764626077</v>
      </c>
      <c r="BO287" s="176">
        <f>DANE!AU287</f>
        <v>356</v>
      </c>
      <c r="BP287" s="188">
        <f t="shared" si="10"/>
        <v>29809</v>
      </c>
      <c r="BQ287" s="177">
        <f t="shared" ca="1" si="26"/>
        <v>279.85714285714283</v>
      </c>
      <c r="BR287" s="209">
        <f t="shared" si="78"/>
        <v>2294.7500621623685</v>
      </c>
      <c r="BS287" s="179">
        <f t="shared" si="83"/>
        <v>1.4534396721981141E-2</v>
      </c>
      <c r="BT287" s="213">
        <f t="shared" si="84"/>
        <v>1.1017407770538681</v>
      </c>
      <c r="BU287" s="217">
        <f t="shared" ca="1" si="85"/>
        <v>0.8468376153459457</v>
      </c>
      <c r="BV287" s="176">
        <f>DANE!AY287</f>
        <v>752</v>
      </c>
      <c r="BW287" s="188">
        <f t="shared" si="11"/>
        <v>66550</v>
      </c>
      <c r="BX287" s="177">
        <f t="shared" ca="1" si="27"/>
        <v>777.57142857142856</v>
      </c>
      <c r="BY287" s="209">
        <f t="shared" si="69"/>
        <v>6092.2280389640819</v>
      </c>
      <c r="BZ287" s="179">
        <f t="shared" si="71"/>
        <v>-2.2156037236105552E-2</v>
      </c>
      <c r="CA287" s="213">
        <f t="shared" si="72"/>
        <v>0.84490773934726116</v>
      </c>
      <c r="CB287" s="214">
        <f t="shared" ca="1" si="73"/>
        <v>0.88681542798288115</v>
      </c>
      <c r="CC287" s="176">
        <f>DANE!BC287</f>
        <v>993</v>
      </c>
      <c r="CD287" s="188">
        <f t="shared" si="12"/>
        <v>141227</v>
      </c>
      <c r="CE287" s="177">
        <f t="shared" ca="1" si="28"/>
        <v>973.42857142857144</v>
      </c>
      <c r="CF287" s="209">
        <f t="shared" si="45"/>
        <v>8266.5747142293912</v>
      </c>
      <c r="CG287" s="179">
        <f t="shared" si="46"/>
        <v>-2.5838635371716739E-2</v>
      </c>
      <c r="CH287" s="213">
        <f t="shared" si="47"/>
        <v>0.8191295523979828</v>
      </c>
      <c r="CI287" s="217">
        <f t="shared" ca="1" si="48"/>
        <v>0.77343143933546254</v>
      </c>
      <c r="CJ287" s="176">
        <f>DANE!BG287</f>
        <v>183</v>
      </c>
      <c r="CK287" s="188">
        <f t="shared" si="13"/>
        <v>32451</v>
      </c>
      <c r="CL287" s="177">
        <f t="shared" ca="1" si="29"/>
        <v>176</v>
      </c>
      <c r="CM287" s="209">
        <f t="shared" si="79"/>
        <v>1665.7617864871575</v>
      </c>
      <c r="CN287" s="179">
        <f t="shared" si="86"/>
        <v>-3.706999330511903E-2</v>
      </c>
      <c r="CO287" s="213">
        <f t="shared" si="87"/>
        <v>0.74051004686416677</v>
      </c>
      <c r="CP287" s="214">
        <f t="shared" ca="1" si="88"/>
        <v>0.64071745933126578</v>
      </c>
      <c r="CQ287" s="176">
        <f>DANE!BK287</f>
        <v>736</v>
      </c>
      <c r="CR287" s="188">
        <f t="shared" si="14"/>
        <v>41190</v>
      </c>
      <c r="CS287" s="177">
        <f t="shared" ca="1" si="30"/>
        <v>702.71428571428567</v>
      </c>
      <c r="CT287" s="209">
        <f t="shared" si="89"/>
        <v>5432.9038308303516</v>
      </c>
      <c r="CU287" s="179">
        <f t="shared" si="90"/>
        <v>-8.5437386276984769E-3</v>
      </c>
      <c r="CV287" s="213">
        <f t="shared" si="91"/>
        <v>0.94019382960611064</v>
      </c>
      <c r="CW287" s="217">
        <f t="shared" ca="1" si="92"/>
        <v>0.96232034971586722</v>
      </c>
      <c r="CX287" s="176">
        <f>DANE!BO287</f>
        <v>1032</v>
      </c>
      <c r="CY287" s="188">
        <f t="shared" si="15"/>
        <v>112614</v>
      </c>
      <c r="CZ287" s="177">
        <f t="shared" ca="1" si="31"/>
        <v>1061.1428571428571</v>
      </c>
      <c r="DA287" s="209">
        <f t="shared" si="54"/>
        <v>8704.5607626835645</v>
      </c>
      <c r="DB287" s="179">
        <f t="shared" si="58"/>
        <v>-2.7566895450611986E-2</v>
      </c>
      <c r="DC287" s="213">
        <f t="shared" si="59"/>
        <v>0.80703173184571608</v>
      </c>
      <c r="DD287" s="214">
        <f t="shared" ca="1" si="60"/>
        <v>0.83588736502591376</v>
      </c>
      <c r="DE287" s="176">
        <f>DANE!BS287</f>
        <v>973</v>
      </c>
      <c r="DF287" s="188">
        <f t="shared" si="16"/>
        <v>47783</v>
      </c>
      <c r="DG287" s="177">
        <f t="shared" ca="1" si="32"/>
        <v>808.57142857142856</v>
      </c>
      <c r="DH287" s="209">
        <f t="shared" si="70"/>
        <v>6056.6994029760363</v>
      </c>
      <c r="DI287" s="179">
        <f t="shared" si="74"/>
        <v>2.1196616795084063E-2</v>
      </c>
      <c r="DJ287" s="157">
        <f t="shared" si="75"/>
        <v>1.1483763175655883</v>
      </c>
      <c r="DK287" s="225">
        <f t="shared" ca="1" si="76"/>
        <v>1.0015720124563254</v>
      </c>
      <c r="DL287" s="227"/>
      <c r="DM287" s="88"/>
      <c r="DN287" s="88"/>
      <c r="DO287" s="88"/>
      <c r="DP287" s="88"/>
      <c r="DQ287" s="88"/>
      <c r="DR287" s="88"/>
      <c r="DS287" s="88"/>
      <c r="DT287" s="88"/>
      <c r="DU287" s="88"/>
      <c r="DV287" s="88"/>
      <c r="DW287" s="146"/>
      <c r="DX287" s="146"/>
      <c r="DY287" s="146"/>
      <c r="DZ287" s="146"/>
      <c r="EA287" s="146"/>
      <c r="EB287" s="146"/>
      <c r="EC287" s="146"/>
      <c r="ED287" s="146"/>
      <c r="EE287" s="146"/>
      <c r="EF287" s="146"/>
      <c r="EG287" s="146"/>
      <c r="EH287" s="146"/>
    </row>
    <row r="288" spans="1:138" x14ac:dyDescent="0.25">
      <c r="A288" s="61">
        <v>44178</v>
      </c>
      <c r="B288" s="33">
        <f t="shared" ca="1" si="98"/>
        <v>44178</v>
      </c>
      <c r="C288" s="51">
        <f t="shared" si="93"/>
        <v>285</v>
      </c>
      <c r="D288" s="176">
        <f>DANE!K288</f>
        <v>498</v>
      </c>
      <c r="E288" s="188">
        <f t="shared" ref="E288:E296" si="99">IF(ISBLANK(D288),,E287+D288)</f>
        <v>79536</v>
      </c>
      <c r="F288" s="178">
        <f t="shared" ca="1" si="17"/>
        <v>663.42857142857144</v>
      </c>
      <c r="G288" s="209">
        <f t="shared" si="38"/>
        <v>5349.7393850560229</v>
      </c>
      <c r="H288" s="179">
        <f t="shared" si="42"/>
        <v>-5.4876913710474755E-2</v>
      </c>
      <c r="I288" s="213">
        <f t="shared" si="43"/>
        <v>0.61586160402667667</v>
      </c>
      <c r="J288" s="214">
        <f t="shared" ca="1" si="44"/>
        <v>0.80335000271165968</v>
      </c>
      <c r="K288" s="176">
        <f>DANE!O288</f>
        <v>756</v>
      </c>
      <c r="L288" s="188">
        <f t="shared" si="2"/>
        <v>69101</v>
      </c>
      <c r="M288" s="177">
        <f t="shared" ca="1" si="18"/>
        <v>912.42857142857144</v>
      </c>
      <c r="N288" s="209">
        <f t="shared" si="62"/>
        <v>6776.0492486758858</v>
      </c>
      <c r="O288" s="179">
        <f t="shared" si="66"/>
        <v>-3.5216827432393058E-2</v>
      </c>
      <c r="P288" s="213">
        <f t="shared" si="67"/>
        <v>0.75348220797324861</v>
      </c>
      <c r="Q288" s="217">
        <f t="shared" ca="1" si="68"/>
        <v>0.96043558772744864</v>
      </c>
      <c r="R288" s="176">
        <f>DANE!S288</f>
        <v>378</v>
      </c>
      <c r="S288" s="188">
        <f t="shared" si="3"/>
        <v>57744</v>
      </c>
      <c r="T288" s="177">
        <f t="shared" ca="1" si="19"/>
        <v>528.71428571428567</v>
      </c>
      <c r="U288" s="209">
        <f t="shared" si="50"/>
        <v>4214.0642267288886</v>
      </c>
      <c r="V288" s="179">
        <f t="shared" si="55"/>
        <v>-5.8395574736766695E-2</v>
      </c>
      <c r="W288" s="213">
        <f t="shared" si="56"/>
        <v>0.59123097684263315</v>
      </c>
      <c r="X288" s="214">
        <f t="shared" ca="1" si="57"/>
        <v>0.84869806763507916</v>
      </c>
      <c r="Y288" s="176">
        <f>DANE!W288</f>
        <v>300</v>
      </c>
      <c r="Z288" s="188">
        <f t="shared" si="4"/>
        <v>26261</v>
      </c>
      <c r="AA288" s="177">
        <f t="shared" ca="1" si="20"/>
        <v>324.71428571428572</v>
      </c>
      <c r="AB288" s="209">
        <f t="shared" si="94"/>
        <v>2497.8541847264692</v>
      </c>
      <c r="AC288" s="179">
        <f t="shared" si="95"/>
        <v>-2.5859910315594755E-2</v>
      </c>
      <c r="AD288" s="213">
        <f t="shared" si="96"/>
        <v>0.81898062779083669</v>
      </c>
      <c r="AE288" s="217">
        <f t="shared" ca="1" si="97"/>
        <v>0.92660958657276093</v>
      </c>
      <c r="AF288" s="176">
        <f>DANE!AA288</f>
        <v>572</v>
      </c>
      <c r="AG288" s="188">
        <f t="shared" si="5"/>
        <v>74435</v>
      </c>
      <c r="AH288" s="177">
        <f t="shared" ca="1" si="21"/>
        <v>655.71428571428567</v>
      </c>
      <c r="AI288" s="209">
        <f t="shared" si="37"/>
        <v>5158.6577317749034</v>
      </c>
      <c r="AJ288" s="179">
        <f t="shared" si="39"/>
        <v>-3.5963246918675272E-2</v>
      </c>
      <c r="AK288" s="213">
        <f t="shared" si="40"/>
        <v>0.74825727156927302</v>
      </c>
      <c r="AL288" s="214">
        <f t="shared" ca="1" si="41"/>
        <v>0.8593942859693785</v>
      </c>
      <c r="AM288" s="176">
        <f>DANE!AE288</f>
        <v>310</v>
      </c>
      <c r="AN288" s="188">
        <f t="shared" si="6"/>
        <v>102928</v>
      </c>
      <c r="AO288" s="177">
        <f t="shared" ca="1" si="22"/>
        <v>503.42857142857144</v>
      </c>
      <c r="AP288" s="209">
        <f t="shared" si="49"/>
        <v>3968.4793611737236</v>
      </c>
      <c r="AQ288" s="179">
        <f t="shared" si="51"/>
        <v>-7.0227435407040267E-2</v>
      </c>
      <c r="AR288" s="213">
        <f t="shared" si="52"/>
        <v>0.5084079521507181</v>
      </c>
      <c r="AS288" s="217">
        <f t="shared" ca="1" si="53"/>
        <v>0.74231566918794112</v>
      </c>
      <c r="AT288" s="176">
        <f>DANE!AI288</f>
        <v>1280</v>
      </c>
      <c r="AU288" s="188">
        <f t="shared" si="7"/>
        <v>136314</v>
      </c>
      <c r="AV288" s="177">
        <f t="shared" ca="1" si="23"/>
        <v>1327.1428571428571</v>
      </c>
      <c r="AW288" s="209">
        <f t="shared" si="33"/>
        <v>10202.717567557773</v>
      </c>
      <c r="AX288" s="179">
        <f t="shared" si="34"/>
        <v>-1.9896525888611412E-2</v>
      </c>
      <c r="AY288" s="213">
        <f t="shared" si="35"/>
        <v>0.86072431877972011</v>
      </c>
      <c r="AZ288" s="214">
        <f t="shared" ca="1" si="36"/>
        <v>0.91806494431563357</v>
      </c>
      <c r="BA288" s="176">
        <f>DANE!AM288</f>
        <v>133</v>
      </c>
      <c r="BB288" s="188">
        <f t="shared" si="8"/>
        <v>33128</v>
      </c>
      <c r="BC288" s="177">
        <f t="shared" ca="1" si="24"/>
        <v>262.42857142857144</v>
      </c>
      <c r="BD288" s="209">
        <f t="shared" si="77"/>
        <v>2226.6422319654744</v>
      </c>
      <c r="BE288" s="179">
        <f t="shared" si="80"/>
        <v>-8.8406579021802725E-2</v>
      </c>
      <c r="BF288" s="213">
        <f t="shared" si="81"/>
        <v>0.38115394684738091</v>
      </c>
      <c r="BG288" s="217">
        <f t="shared" ca="1" si="82"/>
        <v>0.73433693189789884</v>
      </c>
      <c r="BH288" s="176">
        <f>DANE!AQ288</f>
        <v>204</v>
      </c>
      <c r="BI288" s="188">
        <f t="shared" si="9"/>
        <v>55476</v>
      </c>
      <c r="BJ288" s="177">
        <f t="shared" ca="1" si="25"/>
        <v>286.71428571428572</v>
      </c>
      <c r="BK288" s="209">
        <f t="shared" si="61"/>
        <v>2453.3651933226338</v>
      </c>
      <c r="BL288" s="179">
        <f t="shared" si="63"/>
        <v>-6.5120924933874363E-2</v>
      </c>
      <c r="BM288" s="213">
        <f t="shared" si="64"/>
        <v>0.54415352546287943</v>
      </c>
      <c r="BN288" s="214">
        <f t="shared" ca="1" si="65"/>
        <v>0.77397775596806828</v>
      </c>
      <c r="BO288" s="176">
        <f>DANE!AU288</f>
        <v>231</v>
      </c>
      <c r="BP288" s="188">
        <f t="shared" si="10"/>
        <v>30040</v>
      </c>
      <c r="BQ288" s="177">
        <f t="shared" ca="1" si="26"/>
        <v>281</v>
      </c>
      <c r="BR288" s="209">
        <f t="shared" si="78"/>
        <v>2197.928624710602</v>
      </c>
      <c r="BS288" s="179">
        <f t="shared" si="83"/>
        <v>-4.21925851744092E-2</v>
      </c>
      <c r="BT288" s="213">
        <f t="shared" si="84"/>
        <v>0.70465190377913556</v>
      </c>
      <c r="BU288" s="217">
        <f t="shared" ca="1" si="85"/>
        <v>0.8647758486385797</v>
      </c>
      <c r="BV288" s="176">
        <f>DANE!AY288</f>
        <v>1003</v>
      </c>
      <c r="BW288" s="188">
        <f t="shared" si="11"/>
        <v>67553</v>
      </c>
      <c r="BX288" s="177">
        <f t="shared" ca="1" si="27"/>
        <v>796</v>
      </c>
      <c r="BY288" s="209">
        <f t="shared" si="69"/>
        <v>6224.9097476834995</v>
      </c>
      <c r="BZ288" s="179">
        <f t="shared" si="71"/>
        <v>2.1778848045546691E-2</v>
      </c>
      <c r="CA288" s="213">
        <f t="shared" si="72"/>
        <v>1.1524519363188268</v>
      </c>
      <c r="CB288" s="214">
        <f t="shared" ca="1" si="73"/>
        <v>0.92439813658634162</v>
      </c>
      <c r="CC288" s="176">
        <f>DANE!BC288</f>
        <v>668</v>
      </c>
      <c r="CD288" s="188">
        <f t="shared" si="12"/>
        <v>141895</v>
      </c>
      <c r="CE288" s="177">
        <f t="shared" ca="1" si="28"/>
        <v>939.14285714285711</v>
      </c>
      <c r="CF288" s="209">
        <f t="shared" si="45"/>
        <v>7753.6354693394787</v>
      </c>
      <c r="CG288" s="179">
        <f t="shared" si="46"/>
        <v>-6.204979240155923E-2</v>
      </c>
      <c r="CH288" s="213">
        <f t="shared" si="47"/>
        <v>0.56565145318908538</v>
      </c>
      <c r="CI288" s="217">
        <f t="shared" ca="1" si="48"/>
        <v>0.76762884702365886</v>
      </c>
      <c r="CJ288" s="176">
        <f>DANE!BG288</f>
        <v>132</v>
      </c>
      <c r="CK288" s="188">
        <f t="shared" si="13"/>
        <v>32583</v>
      </c>
      <c r="CL288" s="177">
        <f t="shared" ca="1" si="29"/>
        <v>168.14285714285714</v>
      </c>
      <c r="CM288" s="209">
        <f t="shared" si="79"/>
        <v>1559.7958169889921</v>
      </c>
      <c r="CN288" s="179">
        <f t="shared" si="86"/>
        <v>-6.3614119592472901E-2</v>
      </c>
      <c r="CO288" s="213">
        <f t="shared" si="87"/>
        <v>0.55470116285268967</v>
      </c>
      <c r="CP288" s="214">
        <f t="shared" ca="1" si="88"/>
        <v>0.64258733842436266</v>
      </c>
      <c r="CQ288" s="176">
        <f>DANE!BK288</f>
        <v>646</v>
      </c>
      <c r="CR288" s="188">
        <f t="shared" si="14"/>
        <v>41836</v>
      </c>
      <c r="CS288" s="177">
        <f t="shared" ca="1" si="30"/>
        <v>696.14285714285711</v>
      </c>
      <c r="CT288" s="209">
        <f t="shared" si="89"/>
        <v>5302.7747121403017</v>
      </c>
      <c r="CU288" s="179">
        <f t="shared" si="90"/>
        <v>-2.3952037941772517E-2</v>
      </c>
      <c r="CV288" s="213">
        <f t="shared" si="91"/>
        <v>0.83233573440759234</v>
      </c>
      <c r="CW288" s="217">
        <f t="shared" ca="1" si="92"/>
        <v>0.96005437592729326</v>
      </c>
      <c r="CX288" s="176">
        <f>DANE!BO288</f>
        <v>1132</v>
      </c>
      <c r="CY288" s="188">
        <f t="shared" si="15"/>
        <v>113746</v>
      </c>
      <c r="CZ288" s="177">
        <f t="shared" ca="1" si="31"/>
        <v>1066.2857142857142</v>
      </c>
      <c r="DA288" s="209">
        <f t="shared" si="54"/>
        <v>8593.0520823001989</v>
      </c>
      <c r="DB288" s="179">
        <f t="shared" si="58"/>
        <v>-1.28103741732039E-2</v>
      </c>
      <c r="DC288" s="213">
        <f t="shared" si="59"/>
        <v>0.91032738078757269</v>
      </c>
      <c r="DD288" s="214">
        <f t="shared" ca="1" si="60"/>
        <v>0.86030568556153231</v>
      </c>
      <c r="DE288" s="176">
        <f>DANE!BS288</f>
        <v>593</v>
      </c>
      <c r="DF288" s="188">
        <f t="shared" si="16"/>
        <v>48376</v>
      </c>
      <c r="DG288" s="177">
        <f t="shared" ca="1" si="32"/>
        <v>797</v>
      </c>
      <c r="DH288" s="209">
        <f t="shared" si="70"/>
        <v>5784.456631122317</v>
      </c>
      <c r="DI288" s="179">
        <f t="shared" si="74"/>
        <v>-4.4949031434505279E-2</v>
      </c>
      <c r="DJ288" s="157">
        <f t="shared" si="75"/>
        <v>0.685356779958463</v>
      </c>
      <c r="DK288" s="225">
        <f t="shared" ca="1" si="76"/>
        <v>0.98872810940253486</v>
      </c>
      <c r="DL288" s="227"/>
      <c r="DM288" s="371"/>
      <c r="DN288" s="372"/>
      <c r="DO288" s="372"/>
      <c r="DP288" s="372"/>
      <c r="DQ288" s="372"/>
      <c r="DR288" s="372"/>
      <c r="DS288" s="372"/>
      <c r="DT288" s="372"/>
      <c r="DU288" s="372"/>
      <c r="DV288" s="372"/>
      <c r="DW288" s="146"/>
      <c r="DX288" s="146"/>
      <c r="DY288" s="146"/>
      <c r="DZ288" s="146"/>
      <c r="EA288" s="146"/>
      <c r="EB288" s="146"/>
      <c r="EC288" s="146"/>
      <c r="ED288" s="146"/>
      <c r="EE288" s="146"/>
      <c r="EF288" s="146"/>
      <c r="EG288" s="146"/>
      <c r="EH288" s="146"/>
    </row>
    <row r="289" spans="1:138" x14ac:dyDescent="0.25">
      <c r="A289" s="32">
        <v>44179</v>
      </c>
      <c r="B289" s="33">
        <f t="shared" ca="1" si="98"/>
        <v>44179</v>
      </c>
      <c r="C289" s="51">
        <f t="shared" si="93"/>
        <v>286</v>
      </c>
      <c r="D289" s="176">
        <f ca="1">DANE!K289</f>
        <v>258</v>
      </c>
      <c r="E289" s="188">
        <f t="shared" ca="1" si="99"/>
        <v>79794</v>
      </c>
      <c r="F289" s="178">
        <f t="shared" ca="1" si="17"/>
        <v>659.28571428571433</v>
      </c>
      <c r="G289" s="209">
        <f t="shared" ca="1" si="38"/>
        <v>4843.4909014765917</v>
      </c>
      <c r="H289" s="179">
        <f t="shared" ca="1" si="42"/>
        <v>-9.4630494523450459E-2</v>
      </c>
      <c r="I289" s="213">
        <f t="shared" ca="1" si="43"/>
        <v>0.33758653833584673</v>
      </c>
      <c r="J289" s="214">
        <f t="shared" ca="1" si="44"/>
        <v>0.80789007102743959</v>
      </c>
      <c r="K289" s="176">
        <f ca="1">DANE!O289</f>
        <v>531</v>
      </c>
      <c r="L289" s="188">
        <f t="shared" ca="1" si="2"/>
        <v>69632</v>
      </c>
      <c r="M289" s="177">
        <f t="shared" ca="1" si="18"/>
        <v>938.14285714285711</v>
      </c>
      <c r="N289" s="209">
        <f t="shared" ca="1" si="62"/>
        <v>6339.0422131507594</v>
      </c>
      <c r="O289" s="179">
        <f t="shared" ca="1" si="66"/>
        <v>-6.4492895415499282E-2</v>
      </c>
      <c r="P289" s="213">
        <f t="shared" ca="1" si="67"/>
        <v>0.54854973209150493</v>
      </c>
      <c r="Q289" s="217">
        <f t="shared" ca="1" si="68"/>
        <v>0.98947182067361583</v>
      </c>
      <c r="R289" s="176">
        <f ca="1">DANE!S289</f>
        <v>179</v>
      </c>
      <c r="S289" s="188">
        <f t="shared" ca="1" si="3"/>
        <v>57923</v>
      </c>
      <c r="T289" s="177">
        <f t="shared" ca="1" si="19"/>
        <v>529</v>
      </c>
      <c r="U289" s="209">
        <f t="shared" ca="1" si="50"/>
        <v>3791.0550514819047</v>
      </c>
      <c r="V289" s="179">
        <f t="shared" ca="1" si="55"/>
        <v>-0.10038033415910681</v>
      </c>
      <c r="W289" s="213">
        <f t="shared" ca="1" si="56"/>
        <v>0.29733766088625224</v>
      </c>
      <c r="X289" s="214">
        <f t="shared" ca="1" si="57"/>
        <v>0.85543090866203664</v>
      </c>
      <c r="Y289" s="176">
        <f ca="1">DANE!W289</f>
        <v>207</v>
      </c>
      <c r="Z289" s="188">
        <f t="shared" ca="1" si="4"/>
        <v>26468</v>
      </c>
      <c r="AA289" s="177">
        <f t="shared" ca="1" si="20"/>
        <v>331</v>
      </c>
      <c r="AB289" s="209">
        <f t="shared" ca="1" si="94"/>
        <v>2348.0178726226882</v>
      </c>
      <c r="AC289" s="179">
        <f t="shared" ca="1" si="95"/>
        <v>-5.9986012402156695E-2</v>
      </c>
      <c r="AD289" s="213">
        <f t="shared" ca="1" si="96"/>
        <v>0.58009791318490311</v>
      </c>
      <c r="AE289" s="217">
        <f t="shared" ca="1" si="97"/>
        <v>0.94939470012544269</v>
      </c>
      <c r="AF289" s="176">
        <f ca="1">DANE!AA289</f>
        <v>190</v>
      </c>
      <c r="AG289" s="188">
        <f t="shared" ca="1" si="5"/>
        <v>74625</v>
      </c>
      <c r="AH289" s="177">
        <f t="shared" ca="1" si="21"/>
        <v>648.85714285714289</v>
      </c>
      <c r="AI289" s="209">
        <f t="shared" ca="1" si="37"/>
        <v>4611.7066272356315</v>
      </c>
      <c r="AJ289" s="179">
        <f t="shared" ca="1" si="39"/>
        <v>-0.10602585652665238</v>
      </c>
      <c r="AK289" s="213">
        <f t="shared" ca="1" si="40"/>
        <v>0.2578190043134333</v>
      </c>
      <c r="AL289" s="214">
        <f t="shared" ca="1" si="41"/>
        <v>0.85644748870870335</v>
      </c>
      <c r="AM289" s="176">
        <f ca="1">DANE!AE289</f>
        <v>143</v>
      </c>
      <c r="AN289" s="188">
        <f t="shared" ca="1" si="6"/>
        <v>103071</v>
      </c>
      <c r="AO289" s="177">
        <f t="shared" ca="1" si="22"/>
        <v>493.28571428571428</v>
      </c>
      <c r="AP289" s="209">
        <f t="shared" ca="1" si="49"/>
        <v>3544.5537381489062</v>
      </c>
      <c r="AQ289" s="179">
        <f t="shared" ca="1" si="51"/>
        <v>-0.10682318955022524</v>
      </c>
      <c r="AR289" s="213">
        <f t="shared" ca="1" si="52"/>
        <v>0.25223767314842327</v>
      </c>
      <c r="AS289" s="217">
        <f t="shared" ca="1" si="53"/>
        <v>0.73731797860050396</v>
      </c>
      <c r="AT289" s="176">
        <f ca="1">DANE!AI289</f>
        <v>715</v>
      </c>
      <c r="AU289" s="188">
        <f t="shared" ca="1" si="7"/>
        <v>137029</v>
      </c>
      <c r="AV289" s="177">
        <f t="shared" ca="1" si="23"/>
        <v>1342.2857142857142</v>
      </c>
      <c r="AW289" s="209">
        <f t="shared" ca="1" si="33"/>
        <v>9460.186486478091</v>
      </c>
      <c r="AX289" s="179">
        <f t="shared" ca="1" si="34"/>
        <v>-7.2777774760790684E-2</v>
      </c>
      <c r="AY289" s="213">
        <f t="shared" ca="1" si="35"/>
        <v>0.49055557667446514</v>
      </c>
      <c r="AZ289" s="214">
        <f t="shared" ca="1" si="36"/>
        <v>0.93350495692564162</v>
      </c>
      <c r="BA289" s="176">
        <f ca="1">DANE!AM289</f>
        <v>176</v>
      </c>
      <c r="BB289" s="188">
        <f t="shared" ca="1" si="8"/>
        <v>33304</v>
      </c>
      <c r="BC289" s="177">
        <f t="shared" ca="1" si="24"/>
        <v>259.71428571428572</v>
      </c>
      <c r="BD289" s="209">
        <f t="shared" ca="1" si="77"/>
        <v>2084.5504845418354</v>
      </c>
      <c r="BE289" s="179">
        <f t="shared" ca="1" si="80"/>
        <v>-6.3814359300197701E-2</v>
      </c>
      <c r="BF289" s="213">
        <f t="shared" ca="1" si="81"/>
        <v>0.55329948489861613</v>
      </c>
      <c r="BG289" s="217">
        <f t="shared" ca="1" si="82"/>
        <v>0.74726627676808532</v>
      </c>
      <c r="BH289" s="176">
        <f ca="1">DANE!AQ289</f>
        <v>180</v>
      </c>
      <c r="BI289" s="188">
        <f t="shared" ca="1" si="9"/>
        <v>55656</v>
      </c>
      <c r="BJ289" s="177">
        <f t="shared" ca="1" si="25"/>
        <v>290.28571428571428</v>
      </c>
      <c r="BK289" s="209">
        <f t="shared" ca="1" si="61"/>
        <v>2282.8844514194006</v>
      </c>
      <c r="BL289" s="179">
        <f t="shared" ca="1" si="63"/>
        <v>-6.9488530434536816E-2</v>
      </c>
      <c r="BM289" s="213">
        <f t="shared" ca="1" si="64"/>
        <v>0.5135802869582422</v>
      </c>
      <c r="BN289" s="214">
        <f t="shared" ca="1" si="65"/>
        <v>0.79765359226192112</v>
      </c>
      <c r="BO289" s="176">
        <f ca="1">DANE!AU289</f>
        <v>78</v>
      </c>
      <c r="BP289" s="188">
        <f t="shared" ca="1" si="10"/>
        <v>30118</v>
      </c>
      <c r="BQ289" s="177">
        <f t="shared" ca="1" si="26"/>
        <v>270</v>
      </c>
      <c r="BR289" s="209">
        <f t="shared" ca="1" si="78"/>
        <v>1961.938821180516</v>
      </c>
      <c r="BS289" s="179">
        <f t="shared" ca="1" si="83"/>
        <v>-0.10736918427510739</v>
      </c>
      <c r="BT289" s="213">
        <f t="shared" ca="1" si="84"/>
        <v>0.24841571007424823</v>
      </c>
      <c r="BU289" s="217">
        <f t="shared" ca="1" si="85"/>
        <v>0.83908469726373536</v>
      </c>
      <c r="BV289" s="176">
        <f ca="1">DANE!AY289</f>
        <v>460</v>
      </c>
      <c r="BW289" s="188">
        <f t="shared" ca="1" si="11"/>
        <v>68013</v>
      </c>
      <c r="BX289" s="177">
        <f t="shared" ca="1" si="27"/>
        <v>813.85714285714289</v>
      </c>
      <c r="BY289" s="209">
        <f t="shared" ca="1" si="69"/>
        <v>5795.6369265858575</v>
      </c>
      <c r="BZ289" s="179">
        <f t="shared" ca="1" si="71"/>
        <v>-6.8960489147234461E-2</v>
      </c>
      <c r="CA289" s="213">
        <f t="shared" ca="1" si="72"/>
        <v>0.51727657596935872</v>
      </c>
      <c r="CB289" s="214">
        <f t="shared" ca="1" si="73"/>
        <v>0.94881388847177206</v>
      </c>
      <c r="CC289" s="176">
        <f ca="1">DANE!BC289</f>
        <v>272</v>
      </c>
      <c r="CD289" s="188">
        <f t="shared" ca="1" si="12"/>
        <v>142167</v>
      </c>
      <c r="CE289" s="177">
        <f t="shared" ca="1" si="28"/>
        <v>940.14285714285711</v>
      </c>
      <c r="CF289" s="209">
        <f t="shared" ca="1" si="45"/>
        <v>6917.9732594338393</v>
      </c>
      <c r="CG289" s="179">
        <f t="shared" ca="1" si="46"/>
        <v>-0.10777682458894709</v>
      </c>
      <c r="CH289" s="213">
        <f t="shared" ca="1" si="47"/>
        <v>0.24556222787737025</v>
      </c>
      <c r="CI289" s="217">
        <f t="shared" ca="1" si="48"/>
        <v>0.77592552992023411</v>
      </c>
      <c r="CJ289" s="176">
        <f ca="1">DANE!BG289</f>
        <v>108</v>
      </c>
      <c r="CK289" s="188">
        <f t="shared" ca="1" si="13"/>
        <v>32691</v>
      </c>
      <c r="CL289" s="177">
        <f t="shared" ca="1" si="29"/>
        <v>173.71428571428572</v>
      </c>
      <c r="CM289" s="209">
        <f t="shared" ca="1" si="79"/>
        <v>1444.9678431334219</v>
      </c>
      <c r="CN289" s="179">
        <f t="shared" ca="1" si="86"/>
        <v>-7.3617311063977939E-2</v>
      </c>
      <c r="CO289" s="213">
        <f t="shared" ca="1" si="87"/>
        <v>0.48467882255215444</v>
      </c>
      <c r="CP289" s="214">
        <f t="shared" ca="1" si="88"/>
        <v>0.68127718618433075</v>
      </c>
      <c r="CQ289" s="176">
        <f ca="1">DANE!BK289</f>
        <v>275</v>
      </c>
      <c r="CR289" s="188">
        <f t="shared" ca="1" si="14"/>
        <v>42111</v>
      </c>
      <c r="CS289" s="177">
        <f t="shared" ca="1" si="30"/>
        <v>704.42857142857144</v>
      </c>
      <c r="CT289" s="209">
        <f t="shared" ca="1" si="89"/>
        <v>4820.2354675488305</v>
      </c>
      <c r="CU289" s="179">
        <f t="shared" ca="1" si="90"/>
        <v>-9.099750051359605E-2</v>
      </c>
      <c r="CV289" s="213">
        <f t="shared" ca="1" si="91"/>
        <v>0.36301749640482761</v>
      </c>
      <c r="CW289" s="217">
        <f t="shared" ca="1" si="92"/>
        <v>0.97307445180973173</v>
      </c>
      <c r="CX289" s="176">
        <f ca="1">DANE!BO289</f>
        <v>392</v>
      </c>
      <c r="CY289" s="188">
        <f t="shared" ca="1" si="15"/>
        <v>114138</v>
      </c>
      <c r="CZ289" s="177">
        <f t="shared" ca="1" si="31"/>
        <v>1061.7142857142858</v>
      </c>
      <c r="DA289" s="209">
        <f t="shared" ca="1" si="54"/>
        <v>7757.4732134001706</v>
      </c>
      <c r="DB289" s="179">
        <f t="shared" ca="1" si="58"/>
        <v>-9.7238892642247263E-2</v>
      </c>
      <c r="DC289" s="213">
        <f t="shared" ca="1" si="59"/>
        <v>0.31932775150426917</v>
      </c>
      <c r="DD289" s="214">
        <f t="shared" ca="1" si="60"/>
        <v>0.86348025262136829</v>
      </c>
      <c r="DE289" s="176">
        <f ca="1">DANE!BS289</f>
        <v>561</v>
      </c>
      <c r="DF289" s="188">
        <f t="shared" ca="1" si="16"/>
        <v>48937</v>
      </c>
      <c r="DG289" s="177">
        <f t="shared" ca="1" si="32"/>
        <v>801.57142857142856</v>
      </c>
      <c r="DH289" s="209">
        <f t="shared" ca="1" si="70"/>
        <v>5519.1056838191289</v>
      </c>
      <c r="DI289" s="179">
        <f t="shared" ca="1" si="74"/>
        <v>-4.5873098239774333E-2</v>
      </c>
      <c r="DJ289" s="157">
        <f t="shared" ca="1" si="75"/>
        <v>0.67888831232157965</v>
      </c>
      <c r="DK289" s="225">
        <f t="shared" ca="1" si="76"/>
        <v>0.99590328627179037</v>
      </c>
      <c r="DL289" s="227"/>
      <c r="DM289" s="371"/>
      <c r="DN289" s="372"/>
      <c r="DO289" s="372"/>
      <c r="DP289" s="372"/>
      <c r="DQ289" s="372"/>
      <c r="DR289" s="372"/>
      <c r="DS289" s="372"/>
      <c r="DT289" s="372"/>
      <c r="DU289" s="372"/>
      <c r="DV289" s="372"/>
      <c r="DW289" s="146"/>
      <c r="DX289" s="146"/>
      <c r="DY289" s="146"/>
      <c r="DZ289" s="146"/>
      <c r="EA289" s="146"/>
      <c r="EB289" s="146"/>
      <c r="EC289" s="146"/>
      <c r="ED289" s="146"/>
      <c r="EE289" s="146"/>
      <c r="EF289" s="146"/>
      <c r="EG289" s="146"/>
      <c r="EH289" s="146"/>
    </row>
    <row r="290" spans="1:138" x14ac:dyDescent="0.25">
      <c r="A290" s="32">
        <v>44180</v>
      </c>
      <c r="B290" s="33">
        <f t="shared" ca="1" si="98"/>
        <v>44180</v>
      </c>
      <c r="C290" s="51">
        <f t="shared" si="93"/>
        <v>287</v>
      </c>
      <c r="D290" s="176">
        <f ca="1">DANE!K290</f>
        <v>519</v>
      </c>
      <c r="E290" s="188">
        <f t="shared" ca="1" si="99"/>
        <v>80313</v>
      </c>
      <c r="F290" s="178">
        <f t="shared" ca="1" si="17"/>
        <v>652.57142857142856</v>
      </c>
      <c r="G290" s="209">
        <f t="shared" ca="1" si="38"/>
        <v>4670.5636298370791</v>
      </c>
      <c r="H290" s="179">
        <f t="shared" ca="1" si="42"/>
        <v>-3.5703023946384166E-2</v>
      </c>
      <c r="I290" s="213">
        <f t="shared" ca="1" si="43"/>
        <v>0.75007883237531081</v>
      </c>
      <c r="J290" s="214">
        <f t="shared" ca="1" si="44"/>
        <v>0.81940409194514652</v>
      </c>
      <c r="K290" s="176">
        <f ca="1">DANE!O290</f>
        <v>750</v>
      </c>
      <c r="L290" s="188">
        <f t="shared" ca="1" si="2"/>
        <v>70382</v>
      </c>
      <c r="M290" s="177">
        <f t="shared" ca="1" si="18"/>
        <v>946.71428571428567</v>
      </c>
      <c r="N290" s="209">
        <f t="shared" ca="1" si="62"/>
        <v>6183.4647541292225</v>
      </c>
      <c r="O290" s="179">
        <f t="shared" ca="1" si="66"/>
        <v>-2.4542739074805538E-2</v>
      </c>
      <c r="P290" s="213">
        <f t="shared" ca="1" si="67"/>
        <v>0.82820082647636117</v>
      </c>
      <c r="Q290" s="217">
        <f t="shared" ca="1" si="68"/>
        <v>1.000811357222003</v>
      </c>
      <c r="R290" s="176">
        <f ca="1">DANE!S290</f>
        <v>437</v>
      </c>
      <c r="S290" s="188">
        <f t="shared" ca="1" si="3"/>
        <v>58360</v>
      </c>
      <c r="T290" s="177">
        <f t="shared" ca="1" si="19"/>
        <v>532</v>
      </c>
      <c r="U290" s="209">
        <f t="shared" ca="1" si="50"/>
        <v>3686.4757584130616</v>
      </c>
      <c r="V290" s="179">
        <f t="shared" ca="1" si="55"/>
        <v>-2.7585801748767416E-2</v>
      </c>
      <c r="W290" s="213">
        <f t="shared" ca="1" si="56"/>
        <v>0.80689938775862813</v>
      </c>
      <c r="X290" s="214">
        <f t="shared" ca="1" si="57"/>
        <v>0.87661594581968572</v>
      </c>
      <c r="Y290" s="176">
        <f ca="1">DANE!W290</f>
        <v>150</v>
      </c>
      <c r="Z290" s="188">
        <f t="shared" ca="1" si="4"/>
        <v>26618</v>
      </c>
      <c r="AA290" s="177">
        <f t="shared" ca="1" si="20"/>
        <v>327.57142857142856</v>
      </c>
      <c r="AB290" s="209">
        <f t="shared" ca="1" si="94"/>
        <v>2162.5867479623043</v>
      </c>
      <c r="AC290" s="179">
        <f t="shared" ca="1" si="95"/>
        <v>-7.8973472400898317E-2</v>
      </c>
      <c r="AD290" s="213">
        <f t="shared" ca="1" si="96"/>
        <v>0.44718569319371171</v>
      </c>
      <c r="AE290" s="217">
        <f t="shared" ca="1" si="97"/>
        <v>0.94334936671631664</v>
      </c>
      <c r="AF290" s="176">
        <f ca="1">DANE!AA290</f>
        <v>446</v>
      </c>
      <c r="AG290" s="188">
        <f t="shared" ca="1" si="5"/>
        <v>75071</v>
      </c>
      <c r="AH290" s="177">
        <f t="shared" ca="1" si="21"/>
        <v>632.14285714285711</v>
      </c>
      <c r="AI290" s="209">
        <f t="shared" ca="1" si="37"/>
        <v>4398.8913947733981</v>
      </c>
      <c r="AJ290" s="179">
        <f t="shared" ca="1" si="39"/>
        <v>-4.6146741253096563E-2</v>
      </c>
      <c r="AK290" s="213">
        <f t="shared" ca="1" si="40"/>
        <v>0.67697281122832398</v>
      </c>
      <c r="AL290" s="214">
        <f t="shared" ca="1" si="41"/>
        <v>0.8482468653335028</v>
      </c>
      <c r="AM290" s="176">
        <f ca="1">DANE!AE290</f>
        <v>232</v>
      </c>
      <c r="AN290" s="188">
        <f t="shared" ca="1" si="6"/>
        <v>103303</v>
      </c>
      <c r="AO290" s="177">
        <f t="shared" ca="1" si="22"/>
        <v>373.28571428571428</v>
      </c>
      <c r="AP290" s="209">
        <f t="shared" ca="1" si="49"/>
        <v>3270.1889184133483</v>
      </c>
      <c r="AQ290" s="179">
        <f t="shared" ca="1" si="51"/>
        <v>-7.740461564530858E-2</v>
      </c>
      <c r="AR290" s="213">
        <f t="shared" ca="1" si="52"/>
        <v>0.4581676904828399</v>
      </c>
      <c r="AS290" s="217">
        <f t="shared" ca="1" si="53"/>
        <v>0.57392667586410673</v>
      </c>
      <c r="AT290" s="176">
        <f ca="1">DANE!AI290</f>
        <v>768</v>
      </c>
      <c r="AU290" s="188">
        <f t="shared" ca="1" si="7"/>
        <v>137797</v>
      </c>
      <c r="AV290" s="177">
        <f t="shared" ca="1" si="23"/>
        <v>1314.8571428571429</v>
      </c>
      <c r="AW290" s="209">
        <f t="shared" ca="1" si="33"/>
        <v>8876.7312741240785</v>
      </c>
      <c r="AX290" s="179">
        <f t="shared" ca="1" si="34"/>
        <v>-6.1674810870586287E-2</v>
      </c>
      <c r="AY290" s="213">
        <f t="shared" ca="1" si="35"/>
        <v>0.56827632390589589</v>
      </c>
      <c r="AZ290" s="214">
        <f t="shared" ca="1" si="36"/>
        <v>0.92022284057211701</v>
      </c>
      <c r="BA290" s="176">
        <f ca="1">DANE!AM290</f>
        <v>129</v>
      </c>
      <c r="BB290" s="188">
        <f t="shared" ca="1" si="8"/>
        <v>33433</v>
      </c>
      <c r="BC290" s="177">
        <f t="shared" ca="1" si="24"/>
        <v>258.14285714285717</v>
      </c>
      <c r="BD290" s="209">
        <f t="shared" ca="1" si="77"/>
        <v>1915.7575581787162</v>
      </c>
      <c r="BE290" s="179">
        <f t="shared" ca="1" si="80"/>
        <v>-8.0973297415830328E-2</v>
      </c>
      <c r="BF290" s="213">
        <f t="shared" ca="1" si="81"/>
        <v>0.43318691808918763</v>
      </c>
      <c r="BG290" s="217">
        <f t="shared" ca="1" si="82"/>
        <v>0.75773854910803295</v>
      </c>
      <c r="BH290" s="176">
        <f ca="1">DANE!AQ290</f>
        <v>306</v>
      </c>
      <c r="BI290" s="188">
        <f t="shared" ca="1" si="9"/>
        <v>55962</v>
      </c>
      <c r="BJ290" s="177">
        <f t="shared" ca="1" si="25"/>
        <v>304.85714285714283</v>
      </c>
      <c r="BK290" s="209">
        <f t="shared" ca="1" si="61"/>
        <v>2262.7581012166293</v>
      </c>
      <c r="BL290" s="179">
        <f t="shared" ca="1" si="63"/>
        <v>-8.8161931236851176E-3</v>
      </c>
      <c r="BM290" s="213">
        <f t="shared" ca="1" si="64"/>
        <v>0.93828664813420415</v>
      </c>
      <c r="BN290" s="214">
        <f t="shared" ca="1" si="65"/>
        <v>0.85957330749933247</v>
      </c>
      <c r="BO290" s="176">
        <f ca="1">DANE!AU290</f>
        <v>169</v>
      </c>
      <c r="BP290" s="188">
        <f t="shared" ca="1" si="10"/>
        <v>30287</v>
      </c>
      <c r="BQ290" s="177">
        <f t="shared" ca="1" si="26"/>
        <v>266.57142857142856</v>
      </c>
      <c r="BR290" s="209">
        <f t="shared" ca="1" si="78"/>
        <v>1850.6618467261567</v>
      </c>
      <c r="BS290" s="179">
        <f t="shared" ca="1" si="83"/>
        <v>-5.6717861562779512E-2</v>
      </c>
      <c r="BT290" s="213">
        <f t="shared" ca="1" si="84"/>
        <v>0.60297496906054338</v>
      </c>
      <c r="BU290" s="217">
        <f t="shared" ca="1" si="85"/>
        <v>0.84227065475241658</v>
      </c>
      <c r="BV290" s="176">
        <f ca="1">DANE!AY290</f>
        <v>495</v>
      </c>
      <c r="BW290" s="188">
        <f t="shared" ca="1" si="11"/>
        <v>68508</v>
      </c>
      <c r="BX290" s="177">
        <f t="shared" ca="1" si="27"/>
        <v>811</v>
      </c>
      <c r="BY290" s="209">
        <f t="shared" ca="1" si="69"/>
        <v>5462.6887942164494</v>
      </c>
      <c r="BZ290" s="179">
        <f t="shared" ca="1" si="71"/>
        <v>-5.744806594804136E-2</v>
      </c>
      <c r="CA290" s="213">
        <f t="shared" ca="1" si="72"/>
        <v>0.59786353836371053</v>
      </c>
      <c r="CB290" s="214">
        <f t="shared" ca="1" si="73"/>
        <v>0.9503208457957405</v>
      </c>
      <c r="CC290" s="176">
        <f ca="1">DANE!BC290</f>
        <v>608</v>
      </c>
      <c r="CD290" s="188">
        <f t="shared" ca="1" si="12"/>
        <v>142775</v>
      </c>
      <c r="CE290" s="177">
        <f t="shared" ca="1" si="28"/>
        <v>905.28571428571433</v>
      </c>
      <c r="CF290" s="209">
        <f t="shared" ca="1" si="45"/>
        <v>6537.6913652290059</v>
      </c>
      <c r="CG290" s="179">
        <f t="shared" ca="1" si="46"/>
        <v>-5.4970130693444648E-2</v>
      </c>
      <c r="CH290" s="213">
        <f t="shared" ca="1" si="47"/>
        <v>0.61520908514588746</v>
      </c>
      <c r="CI290" s="217">
        <f t="shared" ca="1" si="48"/>
        <v>0.76639277335084033</v>
      </c>
      <c r="CJ290" s="176">
        <f ca="1">DANE!BG290</f>
        <v>174</v>
      </c>
      <c r="CK290" s="188">
        <f t="shared" ca="1" si="13"/>
        <v>32865</v>
      </c>
      <c r="CL290" s="177">
        <f t="shared" ca="1" si="29"/>
        <v>172.57142857142858</v>
      </c>
      <c r="CM290" s="209">
        <f t="shared" ca="1" si="79"/>
        <v>1412.5438655429332</v>
      </c>
      <c r="CN290" s="179">
        <f t="shared" ca="1" si="86"/>
        <v>-2.2439238177215815E-2</v>
      </c>
      <c r="CO290" s="213">
        <f t="shared" ca="1" si="87"/>
        <v>0.84292533275948922</v>
      </c>
      <c r="CP290" s="214">
        <f t="shared" ca="1" si="88"/>
        <v>0.71091919004906567</v>
      </c>
      <c r="CQ290" s="176">
        <f ca="1">DANE!BK290</f>
        <v>572</v>
      </c>
      <c r="CR290" s="188">
        <f t="shared" ca="1" si="14"/>
        <v>42683</v>
      </c>
      <c r="CS290" s="177">
        <f t="shared" ca="1" si="30"/>
        <v>710.71428571428567</v>
      </c>
      <c r="CT290" s="209">
        <f t="shared" ca="1" si="89"/>
        <v>4703.6304007561403</v>
      </c>
      <c r="CU290" s="179">
        <f t="shared" ca="1" si="90"/>
        <v>-2.4190740800466706E-2</v>
      </c>
      <c r="CV290" s="213">
        <f t="shared" ca="1" si="91"/>
        <v>0.83066481439673301</v>
      </c>
      <c r="CW290" s="217">
        <f t="shared" ca="1" si="92"/>
        <v>0.98626596608606432</v>
      </c>
      <c r="CX290" s="176">
        <f ca="1">DANE!BO290</f>
        <v>639</v>
      </c>
      <c r="CY290" s="188">
        <f t="shared" ca="1" si="15"/>
        <v>114777</v>
      </c>
      <c r="CZ290" s="177">
        <f t="shared" ca="1" si="31"/>
        <v>1070.1428571428571</v>
      </c>
      <c r="DA290" s="209">
        <f t="shared" ca="1" si="54"/>
        <v>7288.2627543430035</v>
      </c>
      <c r="DB290" s="179">
        <f t="shared" ca="1" si="58"/>
        <v>-6.0484960263434528E-2</v>
      </c>
      <c r="DC290" s="213">
        <f t="shared" ca="1" si="59"/>
        <v>0.5766052781559583</v>
      </c>
      <c r="DD290" s="214">
        <f t="shared" ca="1" si="60"/>
        <v>0.88131194615879083</v>
      </c>
      <c r="DE290" s="176">
        <f ca="1">DANE!BS290</f>
        <v>328</v>
      </c>
      <c r="DF290" s="188">
        <f t="shared" ca="1" si="16"/>
        <v>49265</v>
      </c>
      <c r="DG290" s="177">
        <f t="shared" ca="1" si="32"/>
        <v>779</v>
      </c>
      <c r="DH290" s="209">
        <f t="shared" ca="1" si="70"/>
        <v>5058.6620147021113</v>
      </c>
      <c r="DI290" s="179">
        <f t="shared" ca="1" si="74"/>
        <v>-8.3427224535116765E-2</v>
      </c>
      <c r="DJ290" s="157">
        <f t="shared" ca="1" si="75"/>
        <v>0.41600942825418263</v>
      </c>
      <c r="DK290" s="225">
        <f t="shared" ca="1" si="76"/>
        <v>0.96820234895646196</v>
      </c>
      <c r="DL290" s="228"/>
      <c r="DM290" s="380"/>
      <c r="DN290" s="372"/>
      <c r="DO290" s="372"/>
      <c r="DP290" s="372"/>
      <c r="DQ290" s="372"/>
      <c r="DR290" s="372"/>
      <c r="DS290" s="372"/>
      <c r="DT290" s="88"/>
      <c r="DU290" s="88"/>
      <c r="DV290" s="88"/>
      <c r="DW290" s="226"/>
      <c r="DX290" s="226"/>
      <c r="DY290" s="226"/>
      <c r="DZ290" s="226"/>
      <c r="EA290" s="226"/>
      <c r="EB290" s="226"/>
      <c r="EC290" s="226"/>
      <c r="ED290" s="226"/>
      <c r="EE290" s="226"/>
      <c r="EF290" s="226"/>
      <c r="EG290" s="226"/>
      <c r="EH290" s="226"/>
    </row>
    <row r="291" spans="1:138" x14ac:dyDescent="0.25">
      <c r="A291" s="32">
        <v>44181</v>
      </c>
      <c r="B291" s="33">
        <f t="shared" ca="1" si="98"/>
        <v>44181</v>
      </c>
      <c r="C291" s="51">
        <f t="shared" si="93"/>
        <v>288</v>
      </c>
      <c r="D291" s="176">
        <f ca="1">DANE!K291</f>
        <v>629</v>
      </c>
      <c r="E291" s="188">
        <f t="shared" ca="1" si="99"/>
        <v>80942</v>
      </c>
      <c r="F291" s="178">
        <f t="shared" ca="1" si="17"/>
        <v>626.28571428571433</v>
      </c>
      <c r="G291" s="209">
        <f t="shared" ca="1" si="38"/>
        <v>4632.3402541460682</v>
      </c>
      <c r="H291" s="179">
        <f t="shared" ca="1" si="42"/>
        <v>-8.1838892948224839E-3</v>
      </c>
      <c r="I291" s="213">
        <f t="shared" ca="1" si="43"/>
        <v>0.94271277493624261</v>
      </c>
      <c r="J291" s="214">
        <f t="shared" ca="1" si="44"/>
        <v>0.80989232364530328</v>
      </c>
      <c r="K291" s="176">
        <f ca="1">DANE!O291</f>
        <v>1181</v>
      </c>
      <c r="L291" s="188">
        <f t="shared" ca="1" si="2"/>
        <v>71563</v>
      </c>
      <c r="M291" s="177">
        <f t="shared" ca="1" si="18"/>
        <v>958.14285714285711</v>
      </c>
      <c r="N291" s="209">
        <f t="shared" ca="1" si="62"/>
        <v>6481.1126463964765</v>
      </c>
      <c r="O291" s="179">
        <f t="shared" ca="1" si="66"/>
        <v>4.8136102347553514E-2</v>
      </c>
      <c r="P291" s="213">
        <f t="shared" ca="1" si="67"/>
        <v>1.3369527164328745</v>
      </c>
      <c r="Q291" s="217">
        <f t="shared" ca="1" si="68"/>
        <v>1.014757054041209</v>
      </c>
      <c r="R291" s="176">
        <f ca="1">DANE!S291</f>
        <v>641</v>
      </c>
      <c r="S291" s="188">
        <f t="shared" ca="1" si="3"/>
        <v>59001</v>
      </c>
      <c r="T291" s="177">
        <f t="shared" ca="1" si="19"/>
        <v>519.57142857142856</v>
      </c>
      <c r="U291" s="209">
        <f t="shared" ca="1" si="50"/>
        <v>3800.8363643540529</v>
      </c>
      <c r="V291" s="179">
        <f t="shared" ca="1" si="55"/>
        <v>3.1021662269175136E-2</v>
      </c>
      <c r="W291" s="213">
        <f t="shared" ca="1" si="56"/>
        <v>1.217151635884226</v>
      </c>
      <c r="X291" s="214">
        <f t="shared" ca="1" si="57"/>
        <v>0.87740183217501111</v>
      </c>
      <c r="Y291" s="176">
        <f ca="1">DANE!W291</f>
        <v>323</v>
      </c>
      <c r="Z291" s="188">
        <f t="shared" ca="1" si="4"/>
        <v>26941</v>
      </c>
      <c r="AA291" s="177">
        <f t="shared" ca="1" si="20"/>
        <v>323.85714285714283</v>
      </c>
      <c r="AB291" s="209">
        <f t="shared" ca="1" si="94"/>
        <v>2176.6457839676896</v>
      </c>
      <c r="AC291" s="179">
        <f t="shared" ca="1" si="95"/>
        <v>6.5010275396500689E-3</v>
      </c>
      <c r="AD291" s="213">
        <f t="shared" ca="1" si="96"/>
        <v>1.0455071927775506</v>
      </c>
      <c r="AE291" s="217">
        <f t="shared" ca="1" si="97"/>
        <v>0.94141408893853651</v>
      </c>
      <c r="AF291" s="176">
        <f ca="1">DANE!AA291</f>
        <v>943</v>
      </c>
      <c r="AG291" s="188">
        <f t="shared" ca="1" si="5"/>
        <v>76014</v>
      </c>
      <c r="AH291" s="177">
        <f t="shared" ca="1" si="21"/>
        <v>649.57142857142856</v>
      </c>
      <c r="AI291" s="209">
        <f t="shared" ca="1" si="37"/>
        <v>4713.4783383771992</v>
      </c>
      <c r="AJ291" s="179">
        <f t="shared" ca="1" si="39"/>
        <v>7.1515051264412155E-2</v>
      </c>
      <c r="AK291" s="213">
        <f t="shared" ca="1" si="40"/>
        <v>1.5006053588508852</v>
      </c>
      <c r="AL291" s="214">
        <f t="shared" ca="1" si="41"/>
        <v>0.90359732136020932</v>
      </c>
      <c r="AM291" s="176">
        <f ca="1">DANE!AE291</f>
        <v>538</v>
      </c>
      <c r="AN291" s="188">
        <f t="shared" ca="1" si="6"/>
        <v>103841</v>
      </c>
      <c r="AO291" s="177">
        <f t="shared" ca="1" si="22"/>
        <v>369.57142857142856</v>
      </c>
      <c r="AP291" s="209">
        <f t="shared" ca="1" si="49"/>
        <v>3341.0190729257274</v>
      </c>
      <c r="AQ291" s="179">
        <f t="shared" ca="1" si="51"/>
        <v>2.165934638013051E-2</v>
      </c>
      <c r="AR291" s="213">
        <f t="shared" ca="1" si="52"/>
        <v>1.1516154246609136</v>
      </c>
      <c r="AS291" s="217">
        <f t="shared" ca="1" si="53"/>
        <v>0.62757700014711026</v>
      </c>
      <c r="AT291" s="176">
        <f ca="1">DANE!AI291</f>
        <v>1461</v>
      </c>
      <c r="AU291" s="188">
        <f t="shared" ca="1" si="7"/>
        <v>139258</v>
      </c>
      <c r="AV291" s="177">
        <f t="shared" ca="1" si="23"/>
        <v>1309.8571428571429</v>
      </c>
      <c r="AW291" s="209">
        <f t="shared" ca="1" si="33"/>
        <v>9069.6268063920688</v>
      </c>
      <c r="AX291" s="179">
        <f t="shared" ca="1" si="34"/>
        <v>2.1730468830377488E-2</v>
      </c>
      <c r="AY291" s="213">
        <f t="shared" ca="1" si="35"/>
        <v>1.1521132818126425</v>
      </c>
      <c r="AZ291" s="214">
        <f t="shared" ca="1" si="36"/>
        <v>0.93011733692191334</v>
      </c>
      <c r="BA291" s="176">
        <f ca="1">DANE!AM291</f>
        <v>247</v>
      </c>
      <c r="BB291" s="188">
        <f t="shared" ca="1" si="8"/>
        <v>33680</v>
      </c>
      <c r="BC291" s="177">
        <f t="shared" ca="1" si="24"/>
        <v>261.42857142857144</v>
      </c>
      <c r="BD291" s="209">
        <f t="shared" ca="1" si="77"/>
        <v>1889.0779070103283</v>
      </c>
      <c r="BE291" s="179">
        <f t="shared" ca="1" si="80"/>
        <v>-1.3926423546908427E-2</v>
      </c>
      <c r="BF291" s="213">
        <f t="shared" ca="1" si="81"/>
        <v>0.902515035171641</v>
      </c>
      <c r="BG291" s="217">
        <f t="shared" ca="1" si="82"/>
        <v>0.79613147098540227</v>
      </c>
      <c r="BH291" s="176">
        <f ca="1">DANE!AQ291</f>
        <v>322</v>
      </c>
      <c r="BI291" s="188">
        <f t="shared" ca="1" si="9"/>
        <v>56284</v>
      </c>
      <c r="BJ291" s="177">
        <f t="shared" ca="1" si="25"/>
        <v>314.71428571428572</v>
      </c>
      <c r="BK291" s="209">
        <f t="shared" ca="1" si="61"/>
        <v>2261.5069438999681</v>
      </c>
      <c r="BL291" s="179">
        <f t="shared" ca="1" si="63"/>
        <v>-5.5293463140778331E-4</v>
      </c>
      <c r="BM291" s="213">
        <f t="shared" ca="1" si="64"/>
        <v>0.99612945758014548</v>
      </c>
      <c r="BN291" s="214">
        <f t="shared" ca="1" si="65"/>
        <v>0.90562449895792152</v>
      </c>
      <c r="BO291" s="176">
        <f ca="1">DANE!AU291</f>
        <v>370</v>
      </c>
      <c r="BP291" s="188">
        <f t="shared" ca="1" si="10"/>
        <v>30657</v>
      </c>
      <c r="BQ291" s="177">
        <f t="shared" ca="1" si="26"/>
        <v>268</v>
      </c>
      <c r="BR291" s="209">
        <f t="shared" ca="1" si="78"/>
        <v>1956.2815829081344</v>
      </c>
      <c r="BS291" s="179">
        <f t="shared" ca="1" si="83"/>
        <v>5.7071331734006574E-2</v>
      </c>
      <c r="BT291" s="213">
        <f t="shared" ca="1" si="84"/>
        <v>1.3994993221380461</v>
      </c>
      <c r="BU291" s="217">
        <f t="shared" ca="1" si="85"/>
        <v>0.8776078975296997</v>
      </c>
      <c r="BV291" s="176">
        <f ca="1">DANE!AY291</f>
        <v>868</v>
      </c>
      <c r="BW291" s="188">
        <f t="shared" ca="1" si="11"/>
        <v>69376</v>
      </c>
      <c r="BX291" s="177">
        <f t="shared" ca="1" si="27"/>
        <v>801.71428571428567</v>
      </c>
      <c r="BY291" s="209">
        <f t="shared" ca="1" si="69"/>
        <v>5550.3046807569572</v>
      </c>
      <c r="BZ291" s="179">
        <f t="shared" ca="1" si="71"/>
        <v>1.6038967226774829E-2</v>
      </c>
      <c r="CA291" s="213">
        <f t="shared" ca="1" si="72"/>
        <v>1.1122727705874238</v>
      </c>
      <c r="CB291" s="214">
        <f t="shared" ca="1" si="73"/>
        <v>0.947692991101589</v>
      </c>
      <c r="CC291" s="176">
        <f ca="1">DANE!BC291</f>
        <v>1340</v>
      </c>
      <c r="CD291" s="188">
        <f t="shared" ca="1" si="12"/>
        <v>144115</v>
      </c>
      <c r="CE291" s="177">
        <f t="shared" ca="1" si="28"/>
        <v>887.42857142857144</v>
      </c>
      <c r="CF291" s="209">
        <f t="shared" ca="1" si="45"/>
        <v>6943.735455910577</v>
      </c>
      <c r="CG291" s="179">
        <f t="shared" ca="1" si="46"/>
        <v>6.2108176724452631E-2</v>
      </c>
      <c r="CH291" s="213">
        <f t="shared" ca="1" si="47"/>
        <v>1.4347572370711683</v>
      </c>
      <c r="CI291" s="217">
        <f t="shared" ca="1" si="48"/>
        <v>0.79587281098091012</v>
      </c>
      <c r="CJ291" s="176">
        <f ca="1">DANE!BG291</f>
        <v>181</v>
      </c>
      <c r="CK291" s="188">
        <f t="shared" ca="1" si="13"/>
        <v>33046</v>
      </c>
      <c r="CL291" s="177">
        <f t="shared" ca="1" si="29"/>
        <v>173</v>
      </c>
      <c r="CM291" s="209">
        <f t="shared" ca="1" si="79"/>
        <v>1391.7518847510858</v>
      </c>
      <c r="CN291" s="179">
        <f t="shared" ca="1" si="86"/>
        <v>-1.4719529282622112E-2</v>
      </c>
      <c r="CO291" s="213">
        <f t="shared" ca="1" si="87"/>
        <v>0.89696329502164518</v>
      </c>
      <c r="CP291" s="214">
        <f t="shared" ca="1" si="88"/>
        <v>0.74539811681455259</v>
      </c>
      <c r="CQ291" s="176">
        <f ca="1">DANE!BK291</f>
        <v>815</v>
      </c>
      <c r="CR291" s="188">
        <f t="shared" ca="1" si="14"/>
        <v>43498</v>
      </c>
      <c r="CS291" s="177">
        <f t="shared" ca="1" si="30"/>
        <v>734.14285714285711</v>
      </c>
      <c r="CT291" s="209">
        <f t="shared" ca="1" si="89"/>
        <v>4846.68320064812</v>
      </c>
      <c r="CU291" s="179">
        <f t="shared" ca="1" si="90"/>
        <v>3.0413273940270266E-2</v>
      </c>
      <c r="CV291" s="213">
        <f t="shared" ca="1" si="91"/>
        <v>1.2128929175818919</v>
      </c>
      <c r="CW291" s="217">
        <f t="shared" ca="1" si="92"/>
        <v>1.0244404499381958</v>
      </c>
      <c r="CX291" s="176">
        <f ca="1">DANE!BO291</f>
        <v>1373</v>
      </c>
      <c r="CY291" s="188">
        <f t="shared" ca="1" si="15"/>
        <v>116150</v>
      </c>
      <c r="CZ291" s="177">
        <f t="shared" ca="1" si="31"/>
        <v>1093</v>
      </c>
      <c r="DA291" s="209">
        <f t="shared" ca="1" si="54"/>
        <v>7620.0823608654318</v>
      </c>
      <c r="DB291" s="179">
        <f t="shared" ca="1" si="58"/>
        <v>4.5527942351515839E-2</v>
      </c>
      <c r="DC291" s="213">
        <f t="shared" ca="1" si="59"/>
        <v>1.3186955964606109</v>
      </c>
      <c r="DD291" s="214">
        <f t="shared" ca="1" si="60"/>
        <v>0.92324907388999233</v>
      </c>
      <c r="DE291" s="176">
        <f ca="1">DANE!BS291</f>
        <v>1064</v>
      </c>
      <c r="DF291" s="188">
        <f t="shared" ca="1" si="16"/>
        <v>50329</v>
      </c>
      <c r="DG291" s="177">
        <f t="shared" ca="1" si="32"/>
        <v>797.85714285714289</v>
      </c>
      <c r="DH291" s="209">
        <f t="shared" ca="1" si="70"/>
        <v>5399.9960126018095</v>
      </c>
      <c r="DI291" s="179">
        <f t="shared" ca="1" si="74"/>
        <v>6.7475153886081149E-2</v>
      </c>
      <c r="DJ291" s="157">
        <f t="shared" ca="1" si="75"/>
        <v>1.4723260772025681</v>
      </c>
      <c r="DK291" s="225">
        <f t="shared" ca="1" si="76"/>
        <v>1.0015833600980979</v>
      </c>
      <c r="DL291" s="227"/>
      <c r="DM291" s="380"/>
      <c r="DN291" s="372"/>
      <c r="DO291" s="372"/>
      <c r="DP291" s="372"/>
      <c r="DQ291" s="372"/>
      <c r="DR291" s="372"/>
      <c r="DS291" s="372"/>
      <c r="DT291" s="88"/>
      <c r="DU291" s="88"/>
      <c r="DV291" s="88"/>
      <c r="DW291" s="146"/>
      <c r="DX291" s="146"/>
      <c r="DY291" s="146"/>
      <c r="DZ291" s="146"/>
      <c r="EA291" s="146"/>
      <c r="EB291" s="146"/>
      <c r="EC291" s="146"/>
      <c r="ED291" s="146"/>
      <c r="EE291" s="146"/>
      <c r="EF291" s="146"/>
      <c r="EG291" s="146"/>
      <c r="EH291" s="146"/>
    </row>
    <row r="292" spans="1:138" x14ac:dyDescent="0.25">
      <c r="A292" s="32">
        <v>44182</v>
      </c>
      <c r="B292" s="33">
        <f t="shared" ca="1" si="98"/>
        <v>44182</v>
      </c>
      <c r="C292" s="51">
        <f t="shared" si="93"/>
        <v>289</v>
      </c>
      <c r="D292" s="176">
        <f ca="1">DANE!K292</f>
        <v>681</v>
      </c>
      <c r="E292" s="188">
        <f t="shared" ca="1" si="99"/>
        <v>81623</v>
      </c>
      <c r="F292" s="178">
        <f t="shared" ca="1" si="17"/>
        <v>582.85714285714289</v>
      </c>
      <c r="G292" s="209">
        <f t="shared" ca="1" si="38"/>
        <v>4651.5773606966304</v>
      </c>
      <c r="H292" s="179">
        <f t="shared" ca="1" si="42"/>
        <v>4.1527835813322386E-3</v>
      </c>
      <c r="I292" s="213">
        <f t="shared" ca="1" si="43"/>
        <v>1.0290694850693256</v>
      </c>
      <c r="J292" s="214">
        <f t="shared" ca="1" si="44"/>
        <v>0.78244479834300862</v>
      </c>
      <c r="K292" s="176">
        <f ca="1">DANE!O292</f>
        <v>1138</v>
      </c>
      <c r="L292" s="188">
        <f t="shared" ca="1" si="2"/>
        <v>72701</v>
      </c>
      <c r="M292" s="177">
        <f t="shared" ca="1" si="18"/>
        <v>920.14285714285711</v>
      </c>
      <c r="N292" s="209">
        <f t="shared" ca="1" si="62"/>
        <v>6693.2394111969807</v>
      </c>
      <c r="O292" s="179">
        <f t="shared" ca="1" si="66"/>
        <v>3.2729991958780014E-2</v>
      </c>
      <c r="P292" s="213">
        <f t="shared" ca="1" si="67"/>
        <v>1.2291099437114601</v>
      </c>
      <c r="Q292" s="217">
        <f t="shared" ca="1" si="68"/>
        <v>0.97203641461776868</v>
      </c>
      <c r="R292" s="176">
        <f ca="1">DANE!S292</f>
        <v>699</v>
      </c>
      <c r="S292" s="188">
        <f t="shared" ca="1" si="3"/>
        <v>59700</v>
      </c>
      <c r="T292" s="177">
        <f t="shared" ca="1" si="19"/>
        <v>531.14285714285711</v>
      </c>
      <c r="U292" s="209">
        <f t="shared" ca="1" si="50"/>
        <v>3956.8597408749029</v>
      </c>
      <c r="V292" s="179">
        <f t="shared" ca="1" si="55"/>
        <v>4.1049748414350891E-2</v>
      </c>
      <c r="W292" s="213">
        <f t="shared" ca="1" si="56"/>
        <v>1.2873482389004562</v>
      </c>
      <c r="X292" s="214">
        <f t="shared" ca="1" si="57"/>
        <v>0.91868237286539078</v>
      </c>
      <c r="Y292" s="176">
        <f ca="1">DANE!W292</f>
        <v>320</v>
      </c>
      <c r="Z292" s="188">
        <f t="shared" ca="1" si="4"/>
        <v>27261</v>
      </c>
      <c r="AA292" s="177">
        <f t="shared" ca="1" si="20"/>
        <v>302.85714285714283</v>
      </c>
      <c r="AB292" s="209">
        <f t="shared" ca="1" si="94"/>
        <v>2185.6963862580196</v>
      </c>
      <c r="AC292" s="179">
        <f t="shared" ca="1" si="95"/>
        <v>4.1580501324529756E-3</v>
      </c>
      <c r="AD292" s="213">
        <f t="shared" ca="1" si="96"/>
        <v>1.0291063509271707</v>
      </c>
      <c r="AE292" s="217">
        <f t="shared" ca="1" si="97"/>
        <v>0.88767579278637065</v>
      </c>
      <c r="AF292" s="176">
        <f ca="1">DANE!AA292</f>
        <v>767</v>
      </c>
      <c r="AG292" s="188">
        <f t="shared" ca="1" si="5"/>
        <v>76781</v>
      </c>
      <c r="AH292" s="177">
        <f t="shared" ca="1" si="21"/>
        <v>635.85714285714289</v>
      </c>
      <c r="AI292" s="209">
        <f t="shared" ca="1" si="37"/>
        <v>4807.1242900376001</v>
      </c>
      <c r="AJ292" s="179">
        <f t="shared" ca="1" si="39"/>
        <v>1.9867695348875246E-2</v>
      </c>
      <c r="AK292" s="213">
        <f t="shared" ca="1" si="40"/>
        <v>1.1390738674421268</v>
      </c>
      <c r="AL292" s="214">
        <f t="shared" ca="1" si="41"/>
        <v>0.9018243667044159</v>
      </c>
      <c r="AM292" s="176">
        <f ca="1">DANE!AE292</f>
        <v>351</v>
      </c>
      <c r="AN292" s="188">
        <f t="shared" ca="1" si="6"/>
        <v>104192</v>
      </c>
      <c r="AO292" s="177">
        <f t="shared" ca="1" si="22"/>
        <v>350</v>
      </c>
      <c r="AP292" s="209">
        <f t="shared" ca="1" si="49"/>
        <v>3214.7306339363381</v>
      </c>
      <c r="AQ292" s="179">
        <f t="shared" ca="1" si="51"/>
        <v>-3.7799376846657337E-2</v>
      </c>
      <c r="AR292" s="213">
        <f t="shared" ca="1" si="52"/>
        <v>0.73540436207339854</v>
      </c>
      <c r="AS292" s="217">
        <f t="shared" ca="1" si="53"/>
        <v>0.63353780480113175</v>
      </c>
      <c r="AT292" s="176">
        <f ca="1">DANE!AI292</f>
        <v>1318</v>
      </c>
      <c r="AU292" s="188">
        <f t="shared" ca="1" si="7"/>
        <v>140576</v>
      </c>
      <c r="AV292" s="177">
        <f t="shared" ca="1" si="23"/>
        <v>1255.1428571428571</v>
      </c>
      <c r="AW292" s="209">
        <f t="shared" ca="1" si="33"/>
        <v>9091.9658340503447</v>
      </c>
      <c r="AX292" s="179">
        <f t="shared" ca="1" si="34"/>
        <v>2.463059190322124E-3</v>
      </c>
      <c r="AY292" s="213">
        <f t="shared" ca="1" si="35"/>
        <v>1.0172414143322548</v>
      </c>
      <c r="AZ292" s="214">
        <f t="shared" ca="1" si="36"/>
        <v>0.90160399248728462</v>
      </c>
      <c r="BA292" s="176">
        <f ca="1">DANE!AM292</f>
        <v>251</v>
      </c>
      <c r="BB292" s="188">
        <f t="shared" ca="1" si="8"/>
        <v>33931</v>
      </c>
      <c r="BC292" s="177">
        <f t="shared" ca="1" si="24"/>
        <v>226.85714285714286</v>
      </c>
      <c r="BD292" s="209">
        <f t="shared" ca="1" si="77"/>
        <v>1870.2096345802815</v>
      </c>
      <c r="BE292" s="179">
        <f t="shared" ca="1" si="80"/>
        <v>-9.9880859121939929E-3</v>
      </c>
      <c r="BF292" s="213">
        <f t="shared" ca="1" si="81"/>
        <v>0.93008339861464207</v>
      </c>
      <c r="BG292" s="217">
        <f t="shared" ca="1" si="82"/>
        <v>0.71873561357410032</v>
      </c>
      <c r="BH292" s="176">
        <f ca="1">DANE!AQ292</f>
        <v>288</v>
      </c>
      <c r="BI292" s="188">
        <f t="shared" ca="1" si="9"/>
        <v>56572</v>
      </c>
      <c r="BJ292" s="177">
        <f t="shared" ca="1" si="25"/>
        <v>297.85714285714283</v>
      </c>
      <c r="BK292" s="209">
        <f t="shared" ca="1" si="61"/>
        <v>2226.4345233428298</v>
      </c>
      <c r="BL292" s="179">
        <f t="shared" ca="1" si="63"/>
        <v>-1.5508429302744414E-2</v>
      </c>
      <c r="BM292" s="213">
        <f t="shared" ca="1" si="64"/>
        <v>0.89144099488078909</v>
      </c>
      <c r="BN292" s="214">
        <f t="shared" ca="1" si="65"/>
        <v>0.87096143219920152</v>
      </c>
      <c r="BO292" s="176">
        <f ca="1">DANE!AU292</f>
        <v>230</v>
      </c>
      <c r="BP292" s="188">
        <f t="shared" ca="1" si="10"/>
        <v>30887</v>
      </c>
      <c r="BQ292" s="177">
        <f t="shared" ca="1" si="26"/>
        <v>248.85714285714286</v>
      </c>
      <c r="BR292" s="209">
        <f t="shared" ca="1" si="78"/>
        <v>1906.8127853498297</v>
      </c>
      <c r="BS292" s="179">
        <f t="shared" ca="1" si="83"/>
        <v>-2.5287155995593558E-2</v>
      </c>
      <c r="BT292" s="213">
        <f t="shared" ca="1" si="84"/>
        <v>0.82298990803084515</v>
      </c>
      <c r="BU292" s="217">
        <f t="shared" ca="1" si="85"/>
        <v>0.83229790898747835</v>
      </c>
      <c r="BV292" s="176">
        <f ca="1">DANE!AY292</f>
        <v>951</v>
      </c>
      <c r="BW292" s="188">
        <f t="shared" ca="1" si="11"/>
        <v>70327</v>
      </c>
      <c r="BX292" s="177">
        <f t="shared" ca="1" si="27"/>
        <v>810.85714285714289</v>
      </c>
      <c r="BY292" s="209">
        <f t="shared" ca="1" si="69"/>
        <v>5708.4040120773925</v>
      </c>
      <c r="BZ292" s="179">
        <f t="shared" ca="1" si="71"/>
        <v>2.8484802261138854E-2</v>
      </c>
      <c r="CA292" s="213">
        <f t="shared" ca="1" si="72"/>
        <v>1.1993936158279719</v>
      </c>
      <c r="CB292" s="214">
        <f t="shared" ca="1" si="73"/>
        <v>0.96828859469973161</v>
      </c>
      <c r="CC292" s="176">
        <f ca="1">DANE!BC292</f>
        <v>964</v>
      </c>
      <c r="CD292" s="188">
        <f t="shared" ca="1" si="12"/>
        <v>145079</v>
      </c>
      <c r="CE292" s="177">
        <f t="shared" ca="1" si="28"/>
        <v>846.42857142857144</v>
      </c>
      <c r="CF292" s="209">
        <f t="shared" ca="1" si="45"/>
        <v>6915.7732479233518</v>
      </c>
      <c r="CG292" s="179">
        <f t="shared" ca="1" si="46"/>
        <v>-4.0269690809466895E-3</v>
      </c>
      <c r="CH292" s="213">
        <f t="shared" ca="1" si="47"/>
        <v>0.9718112164333732</v>
      </c>
      <c r="CI292" s="217">
        <f t="shared" ca="1" si="48"/>
        <v>0.78958660767606936</v>
      </c>
      <c r="CJ292" s="176">
        <f ca="1">DANE!BG292</f>
        <v>231</v>
      </c>
      <c r="CK292" s="188">
        <f t="shared" ca="1" si="13"/>
        <v>33277</v>
      </c>
      <c r="CL292" s="177">
        <f t="shared" ca="1" si="29"/>
        <v>175.28571428571428</v>
      </c>
      <c r="CM292" s="209">
        <f t="shared" ca="1" si="79"/>
        <v>1423.9301869295023</v>
      </c>
      <c r="CN292" s="179">
        <f t="shared" ca="1" si="86"/>
        <v>2.3120717515084661E-2</v>
      </c>
      <c r="CO292" s="213">
        <f t="shared" ca="1" si="87"/>
        <v>1.1618450226055925</v>
      </c>
      <c r="CP292" s="214">
        <f t="shared" ca="1" si="88"/>
        <v>0.79239524324984656</v>
      </c>
      <c r="CQ292" s="176">
        <f ca="1">DANE!BK292</f>
        <v>935</v>
      </c>
      <c r="CR292" s="188">
        <f t="shared" ca="1" si="14"/>
        <v>44433</v>
      </c>
      <c r="CS292" s="177">
        <f t="shared" ca="1" si="30"/>
        <v>739.57142857142856</v>
      </c>
      <c r="CT292" s="209">
        <f t="shared" ca="1" si="89"/>
        <v>5089.2998862698178</v>
      </c>
      <c r="CU292" s="179">
        <f t="shared" ca="1" si="90"/>
        <v>5.0058292563717396E-2</v>
      </c>
      <c r="CV292" s="213">
        <f t="shared" ca="1" si="91"/>
        <v>1.3504080479460219</v>
      </c>
      <c r="CW292" s="217">
        <f t="shared" ca="1" si="92"/>
        <v>1.0297538576530183</v>
      </c>
      <c r="CX292" s="176">
        <f ca="1">DANE!BO292</f>
        <v>1555</v>
      </c>
      <c r="CY292" s="188">
        <f t="shared" ca="1" si="15"/>
        <v>117705</v>
      </c>
      <c r="CZ292" s="177">
        <f t="shared" ca="1" si="31"/>
        <v>1076.2857142857142</v>
      </c>
      <c r="DA292" s="209">
        <f t="shared" ca="1" si="54"/>
        <v>8086.4991664560848</v>
      </c>
      <c r="DB292" s="179">
        <f t="shared" ca="1" si="58"/>
        <v>6.1208892962369615E-2</v>
      </c>
      <c r="DC292" s="213">
        <f t="shared" ca="1" si="59"/>
        <v>1.4284622507365874</v>
      </c>
      <c r="DD292" s="214">
        <f t="shared" ca="1" si="60"/>
        <v>0.92617341108911133</v>
      </c>
      <c r="DE292" s="176">
        <f ca="1">DANE!BS292</f>
        <v>1124</v>
      </c>
      <c r="DF292" s="188">
        <f t="shared" ca="1" si="16"/>
        <v>51453</v>
      </c>
      <c r="DG292" s="177">
        <f t="shared" ca="1" si="32"/>
        <v>821.85714285714289</v>
      </c>
      <c r="DH292" s="209">
        <f t="shared" ca="1" si="70"/>
        <v>5752.5680108015513</v>
      </c>
      <c r="DI292" s="179">
        <f t="shared" ca="1" si="74"/>
        <v>6.5291158989183515E-2</v>
      </c>
      <c r="DJ292" s="157">
        <f t="shared" ca="1" si="75"/>
        <v>1.4570381129242846</v>
      </c>
      <c r="DK292" s="225">
        <f t="shared" ca="1" si="76"/>
        <v>1.0342080190138025</v>
      </c>
      <c r="DL292" s="227"/>
      <c r="DM292" s="380"/>
      <c r="DN292" s="372"/>
      <c r="DO292" s="372"/>
      <c r="DP292" s="372"/>
      <c r="DQ292" s="372"/>
      <c r="DR292" s="372"/>
      <c r="DS292" s="372"/>
      <c r="DT292" s="89"/>
      <c r="DU292" s="89"/>
      <c r="DV292" s="89"/>
      <c r="DW292" s="146"/>
      <c r="DX292" s="146"/>
      <c r="DY292" s="146"/>
      <c r="DZ292" s="146"/>
      <c r="EA292" s="146"/>
      <c r="EB292" s="146"/>
      <c r="EC292" s="146"/>
      <c r="ED292" s="146"/>
      <c r="EE292" s="146"/>
      <c r="EF292" s="146"/>
      <c r="EG292" s="146"/>
      <c r="EH292" s="146"/>
    </row>
    <row r="293" spans="1:138" x14ac:dyDescent="0.25">
      <c r="A293" s="32">
        <v>44183</v>
      </c>
      <c r="B293" s="33">
        <f t="shared" ca="1" si="98"/>
        <v>44183</v>
      </c>
      <c r="C293" s="51">
        <f t="shared" si="93"/>
        <v>290</v>
      </c>
      <c r="D293" s="176">
        <f ca="1">DANE!K293</f>
        <v>691</v>
      </c>
      <c r="E293" s="188">
        <f t="shared" ca="1" si="99"/>
        <v>82314</v>
      </c>
      <c r="F293" s="178">
        <f t="shared" ca="1" si="17"/>
        <v>567.71428571428567</v>
      </c>
      <c r="G293" s="209">
        <f t="shared" ca="1" si="38"/>
        <v>4678.0663091685401</v>
      </c>
      <c r="H293" s="179">
        <f t="shared" ca="1" si="42"/>
        <v>5.6946163457856878E-3</v>
      </c>
      <c r="I293" s="213">
        <f t="shared" ca="1" si="43"/>
        <v>1.0398623144204999</v>
      </c>
      <c r="J293" s="214">
        <f t="shared" ca="1" si="44"/>
        <v>0.79416062636711637</v>
      </c>
      <c r="K293" s="176">
        <f ca="1">DANE!O293</f>
        <v>1050</v>
      </c>
      <c r="L293" s="188">
        <f t="shared" ca="1" si="2"/>
        <v>73751</v>
      </c>
      <c r="M293" s="177">
        <f t="shared" ca="1" si="18"/>
        <v>927</v>
      </c>
      <c r="N293" s="209">
        <f t="shared" ca="1" si="62"/>
        <v>6787.0623524545554</v>
      </c>
      <c r="O293" s="179">
        <f t="shared" ca="1" si="66"/>
        <v>1.4017568399035641E-2</v>
      </c>
      <c r="P293" s="213">
        <f t="shared" ca="1" si="67"/>
        <v>1.0981229787932496</v>
      </c>
      <c r="Q293" s="217">
        <f t="shared" ca="1" si="68"/>
        <v>0.98404083347661475</v>
      </c>
      <c r="R293" s="176">
        <f ca="1">DANE!S293</f>
        <v>534</v>
      </c>
      <c r="S293" s="188">
        <f t="shared" ca="1" si="3"/>
        <v>60234</v>
      </c>
      <c r="T293" s="177">
        <f t="shared" ca="1" si="19"/>
        <v>516.14285714285711</v>
      </c>
      <c r="U293" s="209">
        <f t="shared" ca="1" si="50"/>
        <v>3925.59406360706</v>
      </c>
      <c r="V293" s="179">
        <f t="shared" ca="1" si="55"/>
        <v>-7.901639005513425E-3</v>
      </c>
      <c r="W293" s="213">
        <f t="shared" ca="1" si="56"/>
        <v>0.94468852696140604</v>
      </c>
      <c r="X293" s="214">
        <f t="shared" ca="1" si="57"/>
        <v>0.90613095620193351</v>
      </c>
      <c r="Y293" s="176">
        <f ca="1">DANE!W293</f>
        <v>427</v>
      </c>
      <c r="Z293" s="188">
        <f t="shared" ca="1" si="4"/>
        <v>27688</v>
      </c>
      <c r="AA293" s="177">
        <f t="shared" ca="1" si="20"/>
        <v>300</v>
      </c>
      <c r="AB293" s="209">
        <f t="shared" ca="1" si="94"/>
        <v>2300.454045364017</v>
      </c>
      <c r="AC293" s="179">
        <f t="shared" ca="1" si="95"/>
        <v>5.250393413628051E-2</v>
      </c>
      <c r="AD293" s="213">
        <f t="shared" ca="1" si="96"/>
        <v>1.3675275389539636</v>
      </c>
      <c r="AE293" s="217">
        <f t="shared" ca="1" si="97"/>
        <v>0.90139723184942666</v>
      </c>
      <c r="AF293" s="176">
        <f ca="1">DANE!AA293</f>
        <v>656</v>
      </c>
      <c r="AG293" s="188">
        <f t="shared" ca="1" si="5"/>
        <v>77437</v>
      </c>
      <c r="AH293" s="177">
        <f t="shared" ca="1" si="21"/>
        <v>609.85714285714289</v>
      </c>
      <c r="AI293" s="209">
        <f t="shared" ca="1" si="37"/>
        <v>4776.3922486036572</v>
      </c>
      <c r="AJ293" s="179">
        <f t="shared" ca="1" si="39"/>
        <v>-6.3930199386840669E-3</v>
      </c>
      <c r="AK293" s="213">
        <f t="shared" ca="1" si="40"/>
        <v>0.95524886042921153</v>
      </c>
      <c r="AL293" s="214">
        <f t="shared" ca="1" si="41"/>
        <v>0.88193948042798032</v>
      </c>
      <c r="AM293" s="176">
        <f ca="1">DANE!AE293</f>
        <v>399</v>
      </c>
      <c r="AN293" s="188">
        <f t="shared" ca="1" si="6"/>
        <v>104591</v>
      </c>
      <c r="AO293" s="177">
        <f t="shared" ca="1" si="22"/>
        <v>339.57142857142856</v>
      </c>
      <c r="AP293" s="209">
        <f t="shared" ca="1" si="49"/>
        <v>3154.4834005168614</v>
      </c>
      <c r="AQ293" s="179">
        <f t="shared" ca="1" si="51"/>
        <v>-1.874098961308801E-2</v>
      </c>
      <c r="AR293" s="213">
        <f t="shared" ca="1" si="52"/>
        <v>0.86881307270838393</v>
      </c>
      <c r="AS293" s="217">
        <f t="shared" ca="1" si="53"/>
        <v>0.65741981300961239</v>
      </c>
      <c r="AT293" s="176">
        <f ca="1">DANE!AI293</f>
        <v>1422</v>
      </c>
      <c r="AU293" s="188">
        <f t="shared" ca="1" si="7"/>
        <v>141998</v>
      </c>
      <c r="AV293" s="177">
        <f t="shared" ca="1" si="23"/>
        <v>1212.2857142857142</v>
      </c>
      <c r="AW293" s="209">
        <f t="shared" ca="1" si="33"/>
        <v>9215.1135720431521</v>
      </c>
      <c r="AX293" s="179">
        <f t="shared" ca="1" si="34"/>
        <v>1.354467672234386E-2</v>
      </c>
      <c r="AY293" s="213">
        <f t="shared" ca="1" si="35"/>
        <v>1.0948127370564071</v>
      </c>
      <c r="AZ293" s="214">
        <f t="shared" ca="1" si="36"/>
        <v>0.88731360317645291</v>
      </c>
      <c r="BA293" s="176">
        <f ca="1">DANE!AM293</f>
        <v>250</v>
      </c>
      <c r="BB293" s="188">
        <f t="shared" ca="1" si="8"/>
        <v>34181</v>
      </c>
      <c r="BC293" s="177">
        <f t="shared" ca="1" si="24"/>
        <v>214.42857142857142</v>
      </c>
      <c r="BD293" s="209">
        <f t="shared" ca="1" si="77"/>
        <v>1853.0368296402414</v>
      </c>
      <c r="BE293" s="179">
        <f t="shared" ca="1" si="80"/>
        <v>-9.1822887779604984E-3</v>
      </c>
      <c r="BF293" s="213">
        <f t="shared" ca="1" si="81"/>
        <v>0.93572397855427647</v>
      </c>
      <c r="BG293" s="217">
        <f t="shared" ca="1" si="82"/>
        <v>0.71775641408607549</v>
      </c>
      <c r="BH293" s="176">
        <f ca="1">DANE!AQ293</f>
        <v>168</v>
      </c>
      <c r="BI293" s="188">
        <f t="shared" ca="1" si="9"/>
        <v>56740</v>
      </c>
      <c r="BJ293" s="177">
        <f t="shared" ca="1" si="25"/>
        <v>284.71428571428572</v>
      </c>
      <c r="BK293" s="209">
        <f t="shared" ca="1" si="61"/>
        <v>2076.3724485795683</v>
      </c>
      <c r="BL293" s="179">
        <f t="shared" ca="1" si="63"/>
        <v>-6.7400174220239015E-2</v>
      </c>
      <c r="BM293" s="213">
        <f t="shared" ca="1" si="64"/>
        <v>0.5281987804583268</v>
      </c>
      <c r="BN293" s="214">
        <f t="shared" ca="1" si="65"/>
        <v>0.84461698366706706</v>
      </c>
      <c r="BO293" s="176">
        <f ca="1">DANE!AU293</f>
        <v>266</v>
      </c>
      <c r="BP293" s="188">
        <f t="shared" ca="1" si="10"/>
        <v>31153</v>
      </c>
      <c r="BQ293" s="177">
        <f t="shared" ca="1" si="26"/>
        <v>242.85714285714286</v>
      </c>
      <c r="BR293" s="209">
        <f t="shared" ca="1" si="78"/>
        <v>1900.4109588712827</v>
      </c>
      <c r="BS293" s="179">
        <f t="shared" ca="1" si="83"/>
        <v>-3.3573440076197819E-3</v>
      </c>
      <c r="BT293" s="213">
        <f t="shared" ca="1" si="84"/>
        <v>0.97649859194666155</v>
      </c>
      <c r="BU293" s="217">
        <f t="shared" ca="1" si="85"/>
        <v>0.83668159744047821</v>
      </c>
      <c r="BV293" s="176">
        <f ca="1">DANE!AY293</f>
        <v>951</v>
      </c>
      <c r="BW293" s="188">
        <f t="shared" ca="1" si="11"/>
        <v>71278</v>
      </c>
      <c r="BX293" s="177">
        <f t="shared" ca="1" si="27"/>
        <v>782.85714285714289</v>
      </c>
      <c r="BY293" s="209">
        <f t="shared" ca="1" si="69"/>
        <v>5843.9177246377658</v>
      </c>
      <c r="BZ293" s="179">
        <f t="shared" ca="1" si="71"/>
        <v>2.3739334544938307E-2</v>
      </c>
      <c r="CA293" s="213">
        <f t="shared" ca="1" si="72"/>
        <v>1.1661753418145682</v>
      </c>
      <c r="CB293" s="214">
        <f t="shared" ca="1" si="73"/>
        <v>0.94147735974701752</v>
      </c>
      <c r="CC293" s="176">
        <f ca="1">DANE!BC293</f>
        <v>918</v>
      </c>
      <c r="CD293" s="188">
        <f t="shared" ca="1" si="12"/>
        <v>145997</v>
      </c>
      <c r="CE293" s="177">
        <f t="shared" ca="1" si="28"/>
        <v>823.28571428571433</v>
      </c>
      <c r="CF293" s="209">
        <f t="shared" ca="1" si="45"/>
        <v>6845.8056410771587</v>
      </c>
      <c r="CG293" s="179">
        <f t="shared" ca="1" si="46"/>
        <v>-1.0117105396305871E-2</v>
      </c>
      <c r="CH293" s="213">
        <f t="shared" ca="1" si="47"/>
        <v>0.92918026222585892</v>
      </c>
      <c r="CI293" s="217">
        <f t="shared" ca="1" si="48"/>
        <v>0.79732871919153225</v>
      </c>
      <c r="CJ293" s="176">
        <f ca="1">DANE!BG293</f>
        <v>180</v>
      </c>
      <c r="CK293" s="188">
        <f t="shared" ca="1" si="13"/>
        <v>33457</v>
      </c>
      <c r="CL293" s="177">
        <f t="shared" ca="1" si="29"/>
        <v>169.85714285714286</v>
      </c>
      <c r="CM293" s="209">
        <f t="shared" ca="1" si="79"/>
        <v>1400.5115887967163</v>
      </c>
      <c r="CN293" s="179">
        <f t="shared" ca="1" si="86"/>
        <v>-1.6446451060416638E-2</v>
      </c>
      <c r="CO293" s="213">
        <f t="shared" ca="1" si="87"/>
        <v>0.88487484257708349</v>
      </c>
      <c r="CP293" s="214">
        <f t="shared" ca="1" si="88"/>
        <v>0.79521407503326025</v>
      </c>
      <c r="CQ293" s="176">
        <f ca="1">DANE!BK293</f>
        <v>827</v>
      </c>
      <c r="CR293" s="188">
        <f t="shared" ca="1" si="14"/>
        <v>45260</v>
      </c>
      <c r="CS293" s="177">
        <f t="shared" ca="1" si="30"/>
        <v>686.57142857142856</v>
      </c>
      <c r="CT293" s="209">
        <f t="shared" ca="1" si="89"/>
        <v>5189.25704537413</v>
      </c>
      <c r="CU293" s="179">
        <f t="shared" ca="1" si="90"/>
        <v>1.9640650254071679E-2</v>
      </c>
      <c r="CV293" s="213">
        <f t="shared" ca="1" si="91"/>
        <v>1.1374845517785017</v>
      </c>
      <c r="CW293" s="217">
        <f t="shared" ca="1" si="92"/>
        <v>0.95242819887452546</v>
      </c>
      <c r="CX293" s="176">
        <f ca="1">DANE!BO293</f>
        <v>1148</v>
      </c>
      <c r="CY293" s="188">
        <f t="shared" ca="1" si="15"/>
        <v>118853</v>
      </c>
      <c r="CZ293" s="177">
        <f t="shared" ca="1" si="31"/>
        <v>1038.7142857142858</v>
      </c>
      <c r="DA293" s="209">
        <f t="shared" ca="1" si="54"/>
        <v>8079.2849998195015</v>
      </c>
      <c r="DB293" s="179">
        <f t="shared" ca="1" si="58"/>
        <v>-8.9212482287868717E-4</v>
      </c>
      <c r="DC293" s="213">
        <f t="shared" ca="1" si="59"/>
        <v>0.99375512623984918</v>
      </c>
      <c r="DD293" s="214">
        <f t="shared" ca="1" si="60"/>
        <v>0.907743587961509</v>
      </c>
      <c r="DE293" s="176">
        <f ca="1">DANE!BS293</f>
        <v>956</v>
      </c>
      <c r="DF293" s="188">
        <f t="shared" ca="1" si="16"/>
        <v>52409</v>
      </c>
      <c r="DG293" s="177">
        <f t="shared" ca="1" si="32"/>
        <v>799.85714285714289</v>
      </c>
      <c r="DH293" s="209">
        <f t="shared" ca="1" si="70"/>
        <v>5886.772580687044</v>
      </c>
      <c r="DI293" s="179">
        <f t="shared" ca="1" si="74"/>
        <v>2.3329505993409869E-2</v>
      </c>
      <c r="DJ293" s="157">
        <f t="shared" ca="1" si="75"/>
        <v>1.1633065419538691</v>
      </c>
      <c r="DK293" s="225">
        <f t="shared" ca="1" si="76"/>
        <v>1.0030430814543623</v>
      </c>
      <c r="DL293" s="146"/>
      <c r="DM293" s="88"/>
      <c r="DN293" s="88"/>
      <c r="DO293" s="88"/>
      <c r="DP293" s="88"/>
      <c r="DQ293" s="88"/>
      <c r="DR293" s="88"/>
      <c r="DS293" s="88"/>
      <c r="DT293" s="88"/>
      <c r="DU293" s="88"/>
      <c r="DV293" s="88"/>
      <c r="DW293" s="146"/>
      <c r="DX293" s="146"/>
      <c r="DY293" s="146"/>
      <c r="DZ293" s="146"/>
      <c r="EA293" s="146"/>
      <c r="EB293" s="146"/>
      <c r="EC293" s="146"/>
      <c r="ED293" s="146"/>
      <c r="EE293" s="146"/>
      <c r="EF293" s="146"/>
      <c r="EG293" s="146"/>
      <c r="EH293" s="146"/>
    </row>
    <row r="294" spans="1:138" x14ac:dyDescent="0.25">
      <c r="A294" s="32">
        <v>44184</v>
      </c>
      <c r="B294" s="33">
        <f t="shared" ca="1" si="98"/>
        <v>44184</v>
      </c>
      <c r="C294" s="51">
        <f t="shared" si="93"/>
        <v>291</v>
      </c>
      <c r="D294" s="176">
        <f ca="1">DANE!K294</f>
        <v>593</v>
      </c>
      <c r="E294" s="188">
        <f t="shared" ca="1" si="99"/>
        <v>82907</v>
      </c>
      <c r="F294" s="178">
        <f t="shared" ca="1" si="17"/>
        <v>552.71428571428567</v>
      </c>
      <c r="G294" s="209">
        <f t="shared" ca="1" si="38"/>
        <v>4602.7711221444633</v>
      </c>
      <c r="H294" s="179">
        <f t="shared" ca="1" si="42"/>
        <v>-1.6095365488194506E-2</v>
      </c>
      <c r="I294" s="213">
        <f t="shared" ca="1" si="43"/>
        <v>0.88733244158263846</v>
      </c>
      <c r="J294" s="214">
        <f t="shared" ca="1" si="44"/>
        <v>0.80035771296379143</v>
      </c>
      <c r="K294" s="176">
        <f ca="1">DANE!O294</f>
        <v>1114</v>
      </c>
      <c r="L294" s="188">
        <f t="shared" ca="1" si="2"/>
        <v>74865</v>
      </c>
      <c r="M294" s="177">
        <f t="shared" ca="1" si="18"/>
        <v>931.42857142857144</v>
      </c>
      <c r="N294" s="209">
        <f t="shared" ca="1" si="62"/>
        <v>6931.4820163896193</v>
      </c>
      <c r="O294" s="179">
        <f t="shared" ca="1" si="66"/>
        <v>2.1278670569872433E-2</v>
      </c>
      <c r="P294" s="213">
        <f t="shared" ca="1" si="67"/>
        <v>1.148950693989107</v>
      </c>
      <c r="Q294" s="217">
        <f t="shared" ca="1" si="68"/>
        <v>0.9919098713525436</v>
      </c>
      <c r="R294" s="176">
        <f ca="1">DANE!S294</f>
        <v>650</v>
      </c>
      <c r="S294" s="188">
        <f t="shared" ca="1" si="3"/>
        <v>60884</v>
      </c>
      <c r="T294" s="177">
        <f t="shared" ca="1" si="19"/>
        <v>502.57142857142856</v>
      </c>
      <c r="U294" s="209">
        <f t="shared" ca="1" si="50"/>
        <v>4014.7949116631944</v>
      </c>
      <c r="V294" s="179">
        <f t="shared" ca="1" si="55"/>
        <v>2.2722891519295702E-2</v>
      </c>
      <c r="W294" s="213">
        <f t="shared" ca="1" si="56"/>
        <v>1.1590602406350698</v>
      </c>
      <c r="X294" s="214">
        <f t="shared" ca="1" si="57"/>
        <v>0.90053095255266746</v>
      </c>
      <c r="Y294" s="176">
        <f ca="1">DANE!W294</f>
        <v>407</v>
      </c>
      <c r="Z294" s="188">
        <f t="shared" ca="1" si="4"/>
        <v>28095</v>
      </c>
      <c r="AA294" s="177">
        <f t="shared" ca="1" si="20"/>
        <v>304.85714285714283</v>
      </c>
      <c r="AB294" s="209">
        <f t="shared" ca="1" si="94"/>
        <v>2378.8177531691576</v>
      </c>
      <c r="AC294" s="179">
        <f t="shared" ca="1" si="95"/>
        <v>3.4064452607980952E-2</v>
      </c>
      <c r="AD294" s="213">
        <f t="shared" ca="1" si="96"/>
        <v>1.2384511682558668</v>
      </c>
      <c r="AE294" s="217">
        <f t="shared" ca="1" si="97"/>
        <v>0.93240806929771469</v>
      </c>
      <c r="AF294" s="176">
        <f ca="1">DANE!AA294</f>
        <v>762</v>
      </c>
      <c r="AG294" s="188">
        <f t="shared" ca="1" si="5"/>
        <v>78199</v>
      </c>
      <c r="AH294" s="177">
        <f t="shared" ca="1" si="21"/>
        <v>619.42857142857144</v>
      </c>
      <c r="AI294" s="209">
        <f t="shared" ca="1" si="37"/>
        <v>4856.0504988031353</v>
      </c>
      <c r="AJ294" s="179">
        <f t="shared" ca="1" si="39"/>
        <v>1.6677493399493218E-2</v>
      </c>
      <c r="AK294" s="213">
        <f t="shared" ca="1" si="40"/>
        <v>1.1167424537964525</v>
      </c>
      <c r="AL294" s="214">
        <f t="shared" ca="1" si="41"/>
        <v>0.91353137537567231</v>
      </c>
      <c r="AM294" s="176">
        <f ca="1">DANE!AE294</f>
        <v>391</v>
      </c>
      <c r="AN294" s="188">
        <f t="shared" ca="1" si="6"/>
        <v>104982</v>
      </c>
      <c r="AO294" s="177">
        <f t="shared" ca="1" si="22"/>
        <v>337.71428571428572</v>
      </c>
      <c r="AP294" s="209">
        <f t="shared" ca="1" si="49"/>
        <v>3094.8429147287384</v>
      </c>
      <c r="AQ294" s="179">
        <f t="shared" ca="1" si="51"/>
        <v>-1.8906577786508848E-2</v>
      </c>
      <c r="AR294" s="213">
        <f t="shared" ca="1" si="52"/>
        <v>0.86765395549443802</v>
      </c>
      <c r="AS294" s="217">
        <f t="shared" ca="1" si="53"/>
        <v>0.69175716153130218</v>
      </c>
      <c r="AT294" s="176">
        <f ca="1">DANE!AI294</f>
        <v>1383</v>
      </c>
      <c r="AU294" s="188">
        <f t="shared" ca="1" si="7"/>
        <v>143381</v>
      </c>
      <c r="AV294" s="177">
        <f t="shared" ca="1" si="23"/>
        <v>1192.4285714285713</v>
      </c>
      <c r="AW294" s="209">
        <f t="shared" ca="1" si="33"/>
        <v>9281.6687760369878</v>
      </c>
      <c r="AX294" s="179">
        <f t="shared" ca="1" si="34"/>
        <v>7.2223964982646681E-3</v>
      </c>
      <c r="AY294" s="213">
        <f t="shared" ca="1" si="35"/>
        <v>1.0505567754878526</v>
      </c>
      <c r="AZ294" s="214">
        <f t="shared" ca="1" si="36"/>
        <v>0.89061148972131987</v>
      </c>
      <c r="BA294" s="176">
        <f ca="1">DANE!AM294</f>
        <v>222</v>
      </c>
      <c r="BB294" s="188">
        <f t="shared" ca="1" si="8"/>
        <v>34403</v>
      </c>
      <c r="BC294" s="177">
        <f t="shared" ca="1" si="24"/>
        <v>201.14285714285714</v>
      </c>
      <c r="BD294" s="209">
        <f t="shared" ca="1" si="77"/>
        <v>1810.3172825487784</v>
      </c>
      <c r="BE294" s="179">
        <f t="shared" ca="1" si="80"/>
        <v>-2.3053803576994651E-2</v>
      </c>
      <c r="BF294" s="213">
        <f t="shared" ca="1" si="81"/>
        <v>0.83862337496103745</v>
      </c>
      <c r="BG294" s="217">
        <f t="shared" ca="1" si="82"/>
        <v>0.71065516244811167</v>
      </c>
      <c r="BH294" s="176">
        <f ca="1">DANE!AQ294</f>
        <v>366</v>
      </c>
      <c r="BI294" s="188">
        <f t="shared" ca="1" si="9"/>
        <v>57106</v>
      </c>
      <c r="BJ294" s="177">
        <f t="shared" ca="1" si="25"/>
        <v>262</v>
      </c>
      <c r="BK294" s="209">
        <f t="shared" ca="1" si="61"/>
        <v>2145.7478130682016</v>
      </c>
      <c r="BL294" s="179">
        <f t="shared" ca="1" si="63"/>
        <v>3.3411811323200945E-2</v>
      </c>
      <c r="BM294" s="213">
        <f t="shared" ca="1" si="64"/>
        <v>1.2338826792624067</v>
      </c>
      <c r="BN294" s="214">
        <f t="shared" ca="1" si="65"/>
        <v>0.80652462467671349</v>
      </c>
      <c r="BO294" s="176">
        <f ca="1">DANE!AU294</f>
        <v>341</v>
      </c>
      <c r="BP294" s="188">
        <f t="shared" ca="1" si="10"/>
        <v>31494</v>
      </c>
      <c r="BQ294" s="177">
        <f t="shared" ca="1" si="26"/>
        <v>240.71428571428572</v>
      </c>
      <c r="BR294" s="209">
        <f t="shared" ca="1" si="78"/>
        <v>1969.9236790325281</v>
      </c>
      <c r="BS294" s="179">
        <f t="shared" ca="1" si="83"/>
        <v>3.6577730641235262E-2</v>
      </c>
      <c r="BT294" s="213">
        <f t="shared" ca="1" si="84"/>
        <v>1.2560441144886467</v>
      </c>
      <c r="BU294" s="217">
        <f t="shared" ca="1" si="85"/>
        <v>0.85872493135973238</v>
      </c>
      <c r="BV294" s="176">
        <f ca="1">DANE!AY294</f>
        <v>1040</v>
      </c>
      <c r="BW294" s="188">
        <f t="shared" ca="1" si="11"/>
        <v>72318</v>
      </c>
      <c r="BX294" s="177">
        <f t="shared" ca="1" si="27"/>
        <v>824</v>
      </c>
      <c r="BY294" s="209">
        <f t="shared" ca="1" si="69"/>
        <v>6049.0723354038</v>
      </c>
      <c r="BZ294" s="179">
        <f t="shared" ca="1" si="71"/>
        <v>3.5105663774339109E-2</v>
      </c>
      <c r="CA294" s="213">
        <f t="shared" ca="1" si="72"/>
        <v>1.2457396464203738</v>
      </c>
      <c r="CB294" s="214">
        <f t="shared" ca="1" si="73"/>
        <v>0.99873906075746199</v>
      </c>
      <c r="CC294" s="176">
        <f ca="1">DANE!BC294</f>
        <v>803</v>
      </c>
      <c r="CD294" s="188">
        <f t="shared" ca="1" si="12"/>
        <v>146800</v>
      </c>
      <c r="CE294" s="177">
        <f t="shared" ca="1" si="28"/>
        <v>796.14285714285711</v>
      </c>
      <c r="CF294" s="209">
        <f t="shared" ca="1" si="45"/>
        <v>6670.8334066375646</v>
      </c>
      <c r="CG294" s="179">
        <f t="shared" ca="1" si="46"/>
        <v>-2.5559042078218124E-2</v>
      </c>
      <c r="CH294" s="213">
        <f t="shared" ca="1" si="47"/>
        <v>0.82108670545247309</v>
      </c>
      <c r="CI294" s="217">
        <f t="shared" ca="1" si="48"/>
        <v>0.79760831248503095</v>
      </c>
      <c r="CJ294" s="176">
        <f ca="1">DANE!BG294</f>
        <v>164</v>
      </c>
      <c r="CK294" s="188">
        <f t="shared" ca="1" si="13"/>
        <v>33621</v>
      </c>
      <c r="CL294" s="177">
        <f t="shared" ca="1" si="29"/>
        <v>167.14285714285714</v>
      </c>
      <c r="CM294" s="209">
        <f t="shared" ca="1" si="79"/>
        <v>1364.4385046828997</v>
      </c>
      <c r="CN294" s="179">
        <f t="shared" ca="1" si="86"/>
        <v>-2.5757076487178246E-2</v>
      </c>
      <c r="CO294" s="213">
        <f t="shared" ca="1" si="87"/>
        <v>0.81970046458975232</v>
      </c>
      <c r="CP294" s="214">
        <f t="shared" ca="1" si="88"/>
        <v>0.80652699185120102</v>
      </c>
      <c r="CQ294" s="176">
        <f ca="1">DANE!BK294</f>
        <v>707</v>
      </c>
      <c r="CR294" s="188">
        <f t="shared" ca="1" si="14"/>
        <v>45967</v>
      </c>
      <c r="CS294" s="177">
        <f t="shared" ca="1" si="30"/>
        <v>682.42857142857144</v>
      </c>
      <c r="CT294" s="209">
        <f t="shared" ca="1" si="89"/>
        <v>5154.9346103206835</v>
      </c>
      <c r="CU294" s="179">
        <f t="shared" ca="1" si="90"/>
        <v>-6.614132765699594E-3</v>
      </c>
      <c r="CV294" s="213">
        <f t="shared" ca="1" si="91"/>
        <v>0.95370107064010279</v>
      </c>
      <c r="CW294" s="217">
        <f t="shared" ca="1" si="92"/>
        <v>0.95435780473652443</v>
      </c>
      <c r="CX294" s="176">
        <f ca="1">DANE!BO294</f>
        <v>1197</v>
      </c>
      <c r="CY294" s="188">
        <f t="shared" ca="1" si="15"/>
        <v>120050</v>
      </c>
      <c r="CZ294" s="177">
        <f t="shared" ca="1" si="31"/>
        <v>1062.2857142857142</v>
      </c>
      <c r="DA294" s="209">
        <f t="shared" ca="1" si="54"/>
        <v>8122.1014284167159</v>
      </c>
      <c r="DB294" s="179">
        <f t="shared" ca="1" si="58"/>
        <v>5.2995319014208413E-3</v>
      </c>
      <c r="DC294" s="213">
        <f t="shared" ca="1" si="59"/>
        <v>1.037096723309946</v>
      </c>
      <c r="DD294" s="214">
        <f t="shared" ca="1" si="60"/>
        <v>0.94061001531354194</v>
      </c>
      <c r="DE294" s="176">
        <f ca="1">DANE!BS294</f>
        <v>974</v>
      </c>
      <c r="DF294" s="188">
        <f t="shared" ca="1" si="16"/>
        <v>53383</v>
      </c>
      <c r="DG294" s="177">
        <f t="shared" ca="1" si="32"/>
        <v>800</v>
      </c>
      <c r="DH294" s="209">
        <f t="shared" ca="1" si="70"/>
        <v>6019.8050691603239</v>
      </c>
      <c r="DI294" s="179">
        <f t="shared" ca="1" si="74"/>
        <v>2.2598543879497678E-2</v>
      </c>
      <c r="DJ294" s="157">
        <f t="shared" ca="1" si="75"/>
        <v>1.1581898071564838</v>
      </c>
      <c r="DK294" s="225">
        <f t="shared" ca="1" si="76"/>
        <v>1.0044450085387759</v>
      </c>
      <c r="DL294" s="146"/>
      <c r="DM294" s="371"/>
      <c r="DN294" s="372"/>
      <c r="DO294" s="372"/>
      <c r="DP294" s="372"/>
      <c r="DQ294" s="372"/>
      <c r="DR294" s="372"/>
      <c r="DS294" s="372"/>
      <c r="DT294" s="372"/>
      <c r="DU294" s="372"/>
      <c r="DV294" s="372"/>
      <c r="DW294" s="146"/>
      <c r="DX294" s="146"/>
      <c r="DY294" s="146"/>
      <c r="DZ294" s="146"/>
      <c r="EA294" s="146"/>
      <c r="EB294" s="146"/>
      <c r="EC294" s="146"/>
      <c r="ED294" s="146"/>
      <c r="EE294" s="146"/>
      <c r="EF294" s="146"/>
      <c r="EG294" s="146"/>
      <c r="EH294" s="146"/>
    </row>
    <row r="295" spans="1:138" x14ac:dyDescent="0.25">
      <c r="A295" s="32">
        <v>44185</v>
      </c>
      <c r="B295" s="33">
        <f t="shared" ca="1" si="98"/>
        <v>44185</v>
      </c>
      <c r="C295" s="51">
        <f t="shared" si="93"/>
        <v>292</v>
      </c>
      <c r="D295" s="176">
        <f ca="1">DANE!K295</f>
        <v>486</v>
      </c>
      <c r="E295" s="188">
        <f t="shared" ca="1" si="99"/>
        <v>83393</v>
      </c>
      <c r="F295" s="178">
        <f t="shared" ca="1" si="17"/>
        <v>551</v>
      </c>
      <c r="G295" s="209">
        <f t="shared" ca="1" si="38"/>
        <v>4431.2323904095401</v>
      </c>
      <c r="H295" s="179">
        <f t="shared" ca="1" si="42"/>
        <v>-3.7268577381488852E-2</v>
      </c>
      <c r="I295" s="213">
        <f t="shared" ca="1" si="43"/>
        <v>0.739119958329578</v>
      </c>
      <c r="J295" s="214">
        <f t="shared" ca="1" si="44"/>
        <v>0.81796604929277739</v>
      </c>
      <c r="K295" s="176">
        <f ca="1">DANE!O295</f>
        <v>788</v>
      </c>
      <c r="L295" s="188">
        <f t="shared" ca="1" si="2"/>
        <v>75653</v>
      </c>
      <c r="M295" s="177">
        <f t="shared" ca="1" si="18"/>
        <v>936</v>
      </c>
      <c r="N295" s="209">
        <f t="shared" ca="1" si="62"/>
        <v>6729.2702997625311</v>
      </c>
      <c r="O295" s="179">
        <f t="shared" ca="1" si="66"/>
        <v>-2.9172941103930559E-2</v>
      </c>
      <c r="P295" s="213">
        <f t="shared" ca="1" si="67"/>
        <v>0.79578941227248601</v>
      </c>
      <c r="Q295" s="217">
        <f t="shared" ca="1" si="68"/>
        <v>0.99795375768100614</v>
      </c>
      <c r="R295" s="176">
        <f ca="1">DANE!S295</f>
        <v>299</v>
      </c>
      <c r="S295" s="188">
        <f t="shared" ca="1" si="3"/>
        <v>61183</v>
      </c>
      <c r="T295" s="177">
        <f t="shared" ca="1" si="19"/>
        <v>491.28571428571428</v>
      </c>
      <c r="U295" s="209">
        <f t="shared" ca="1" si="50"/>
        <v>3740.2527814255955</v>
      </c>
      <c r="V295" s="179">
        <f t="shared" ca="1" si="55"/>
        <v>-6.8382603913350423E-2</v>
      </c>
      <c r="W295" s="213">
        <f t="shared" ca="1" si="56"/>
        <v>0.521321772606547</v>
      </c>
      <c r="X295" s="214">
        <f t="shared" ca="1" si="57"/>
        <v>0.89054392337608379</v>
      </c>
      <c r="Y295" s="176">
        <f ca="1">DANE!W295</f>
        <v>320</v>
      </c>
      <c r="Z295" s="188">
        <f t="shared" ca="1" si="4"/>
        <v>28415</v>
      </c>
      <c r="AA295" s="177">
        <f t="shared" ca="1" si="20"/>
        <v>307.71428571428572</v>
      </c>
      <c r="AB295" s="209">
        <f t="shared" ca="1" si="94"/>
        <v>2358.9866455735637</v>
      </c>
      <c r="AC295" s="179">
        <f t="shared" ca="1" si="95"/>
        <v>-8.3365392616454714E-3</v>
      </c>
      <c r="AD295" s="213">
        <f t="shared" ca="1" si="96"/>
        <v>0.94164422516848167</v>
      </c>
      <c r="AE295" s="217">
        <f t="shared" ca="1" si="97"/>
        <v>0.94993144035166399</v>
      </c>
      <c r="AF295" s="176">
        <f ca="1">DANE!AA295</f>
        <v>447</v>
      </c>
      <c r="AG295" s="188">
        <f t="shared" ca="1" si="5"/>
        <v>78646</v>
      </c>
      <c r="AH295" s="177">
        <f t="shared" ca="1" si="21"/>
        <v>601.57142857142856</v>
      </c>
      <c r="AI295" s="209">
        <f t="shared" ca="1" si="37"/>
        <v>4609.3289989741161</v>
      </c>
      <c r="AJ295" s="179">
        <f t="shared" ca="1" si="39"/>
        <v>-5.0807029269944438E-2</v>
      </c>
      <c r="AK295" s="213">
        <f t="shared" ca="1" si="40"/>
        <v>0.64435079511038884</v>
      </c>
      <c r="AL295" s="214">
        <f t="shared" ca="1" si="41"/>
        <v>0.89868759302440304</v>
      </c>
      <c r="AM295" s="176">
        <f ca="1">DANE!AE295</f>
        <v>310</v>
      </c>
      <c r="AN295" s="188">
        <f t="shared" ca="1" si="6"/>
        <v>105292</v>
      </c>
      <c r="AO295" s="177">
        <f t="shared" ca="1" si="22"/>
        <v>337.71428571428572</v>
      </c>
      <c r="AP295" s="209">
        <f t="shared" ca="1" si="49"/>
        <v>2962.7224983389187</v>
      </c>
      <c r="AQ295" s="179">
        <f t="shared" ca="1" si="51"/>
        <v>-4.2690508058112517E-2</v>
      </c>
      <c r="AR295" s="213">
        <f t="shared" ca="1" si="52"/>
        <v>0.70116644359321234</v>
      </c>
      <c r="AS295" s="217">
        <f t="shared" ca="1" si="53"/>
        <v>0.71929408888023005</v>
      </c>
      <c r="AT295" s="176">
        <f ca="1">DANE!AI295</f>
        <v>1105</v>
      </c>
      <c r="AU295" s="188">
        <f t="shared" ca="1" si="7"/>
        <v>144486</v>
      </c>
      <c r="AV295" s="177">
        <f t="shared" ca="1" si="23"/>
        <v>1167.4285714285713</v>
      </c>
      <c r="AW295" s="209">
        <f t="shared" ca="1" si="33"/>
        <v>9060.7160937459903</v>
      </c>
      <c r="AX295" s="179">
        <f t="shared" ca="1" si="34"/>
        <v>-2.380527549759625E-2</v>
      </c>
      <c r="AY295" s="213">
        <f t="shared" ca="1" si="35"/>
        <v>0.8333630715168262</v>
      </c>
      <c r="AZ295" s="214">
        <f t="shared" ca="1" si="36"/>
        <v>0.88670274011233496</v>
      </c>
      <c r="BA295" s="176">
        <f ca="1">DANE!AM295</f>
        <v>173</v>
      </c>
      <c r="BB295" s="188">
        <f t="shared" ca="1" si="8"/>
        <v>34576</v>
      </c>
      <c r="BC295" s="177">
        <f t="shared" ca="1" si="24"/>
        <v>206.85714285714286</v>
      </c>
      <c r="BD295" s="209">
        <f t="shared" ca="1" si="77"/>
        <v>1724.7005278989529</v>
      </c>
      <c r="BE295" s="179">
        <f t="shared" ca="1" si="80"/>
        <v>-4.7293784064903845E-2</v>
      </c>
      <c r="BF295" s="213">
        <f t="shared" ca="1" si="81"/>
        <v>0.668943511545673</v>
      </c>
      <c r="BG295" s="217">
        <f t="shared" ca="1" si="82"/>
        <v>0.75176795740501046</v>
      </c>
      <c r="BH295" s="176">
        <f ca="1">DANE!AQ295</f>
        <v>142</v>
      </c>
      <c r="BI295" s="188">
        <f t="shared" ca="1" si="9"/>
        <v>57248</v>
      </c>
      <c r="BJ295" s="177">
        <f t="shared" ca="1" si="25"/>
        <v>253.14285714285714</v>
      </c>
      <c r="BK295" s="209">
        <f t="shared" ca="1" si="61"/>
        <v>1981.2124112013157</v>
      </c>
      <c r="BL295" s="179">
        <f t="shared" ca="1" si="63"/>
        <v>-7.6679748134808517E-2</v>
      </c>
      <c r="BM295" s="213">
        <f t="shared" ca="1" si="64"/>
        <v>0.46324176305634035</v>
      </c>
      <c r="BN295" s="214">
        <f t="shared" ca="1" si="65"/>
        <v>0.79496580147577922</v>
      </c>
      <c r="BO295" s="176">
        <f ca="1">DANE!AU295</f>
        <v>178</v>
      </c>
      <c r="BP295" s="188">
        <f t="shared" ca="1" si="10"/>
        <v>31672</v>
      </c>
      <c r="BQ295" s="177">
        <f t="shared" ca="1" si="26"/>
        <v>233.14285714285714</v>
      </c>
      <c r="BR295" s="209">
        <f t="shared" ca="1" si="78"/>
        <v>1866.50601059931</v>
      </c>
      <c r="BS295" s="179">
        <f t="shared" ca="1" si="83"/>
        <v>-5.24983122615231E-2</v>
      </c>
      <c r="BT295" s="213">
        <f t="shared" ca="1" si="84"/>
        <v>0.63251181416933822</v>
      </c>
      <c r="BU295" s="217">
        <f t="shared" ca="1" si="85"/>
        <v>0.84841920427261852</v>
      </c>
      <c r="BV295" s="176">
        <f ca="1">DANE!AY295</f>
        <v>817</v>
      </c>
      <c r="BW295" s="188">
        <f t="shared" ca="1" si="11"/>
        <v>73135</v>
      </c>
      <c r="BX295" s="177">
        <f t="shared" ca="1" si="27"/>
        <v>797.42857142857144</v>
      </c>
      <c r="BY295" s="209">
        <f t="shared" ca="1" si="69"/>
        <v>6001.9191446318291</v>
      </c>
      <c r="BZ295" s="179">
        <f t="shared" ca="1" si="71"/>
        <v>-7.7951110777754072E-3</v>
      </c>
      <c r="CA295" s="213">
        <f t="shared" ca="1" si="72"/>
        <v>0.94543422245557218</v>
      </c>
      <c r="CB295" s="214">
        <f t="shared" ca="1" si="73"/>
        <v>0.96916510163413971</v>
      </c>
      <c r="CC295" s="176">
        <f ca="1">DANE!BC295</f>
        <v>694</v>
      </c>
      <c r="CD295" s="188">
        <f t="shared" ca="1" si="12"/>
        <v>147494</v>
      </c>
      <c r="CE295" s="177">
        <f t="shared" ca="1" si="28"/>
        <v>799.85714285714289</v>
      </c>
      <c r="CF295" s="209">
        <f t="shared" ca="1" si="45"/>
        <v>6411.8572056893418</v>
      </c>
      <c r="CG295" s="179">
        <f t="shared" ca="1" si="46"/>
        <v>-3.8822165861695519E-2</v>
      </c>
      <c r="CH295" s="213">
        <f t="shared" ca="1" si="47"/>
        <v>0.7282448389681313</v>
      </c>
      <c r="CI295" s="217">
        <f t="shared" ca="1" si="48"/>
        <v>0.82083593902489471</v>
      </c>
      <c r="CJ295" s="176">
        <f ca="1">DANE!BG295</f>
        <v>129</v>
      </c>
      <c r="CK295" s="188">
        <f t="shared" ca="1" si="13"/>
        <v>33750</v>
      </c>
      <c r="CL295" s="177">
        <f t="shared" ca="1" si="29"/>
        <v>166.71428571428572</v>
      </c>
      <c r="CM295" s="209">
        <f t="shared" ca="1" si="79"/>
        <v>1298.5187182996285</v>
      </c>
      <c r="CN295" s="179">
        <f t="shared" ca="1" si="86"/>
        <v>-4.831275734086031E-2</v>
      </c>
      <c r="CO295" s="213">
        <f t="shared" ca="1" si="87"/>
        <v>0.66181069861397779</v>
      </c>
      <c r="CP295" s="214">
        <f t="shared" ca="1" si="88"/>
        <v>0.82182835410281363</v>
      </c>
      <c r="CQ295" s="176">
        <f ca="1">DANE!BK295</f>
        <v>612</v>
      </c>
      <c r="CR295" s="188">
        <f t="shared" ca="1" si="14"/>
        <v>46579</v>
      </c>
      <c r="CS295" s="177">
        <f t="shared" ca="1" si="30"/>
        <v>677.57142857142856</v>
      </c>
      <c r="CT295" s="209">
        <f t="shared" ca="1" si="89"/>
        <v>5030.5153802748719</v>
      </c>
      <c r="CU295" s="179">
        <f t="shared" ca="1" si="90"/>
        <v>-2.4135947291496616E-2</v>
      </c>
      <c r="CV295" s="213">
        <f t="shared" ca="1" si="91"/>
        <v>0.83104836895952361</v>
      </c>
      <c r="CW295" s="217">
        <f t="shared" ca="1" si="92"/>
        <v>0.95417389538680042</v>
      </c>
      <c r="CX295" s="176">
        <f ca="1">DANE!BO295</f>
        <v>1151</v>
      </c>
      <c r="CY295" s="188">
        <f t="shared" ca="1" si="15"/>
        <v>121201</v>
      </c>
      <c r="CZ295" s="177">
        <f t="shared" ca="1" si="31"/>
        <v>1065</v>
      </c>
      <c r="DA295" s="209">
        <f t="shared" ca="1" si="54"/>
        <v>8112.8012243571857</v>
      </c>
      <c r="DB295" s="179">
        <f t="shared" ca="1" si="58"/>
        <v>-1.1450489927387088E-3</v>
      </c>
      <c r="DC295" s="213">
        <f t="shared" ca="1" si="59"/>
        <v>0.99198465705082906</v>
      </c>
      <c r="DD295" s="214">
        <f t="shared" ca="1" si="60"/>
        <v>0.95227534049400719</v>
      </c>
      <c r="DE295" s="176">
        <f ca="1">DANE!BS295</f>
        <v>773</v>
      </c>
      <c r="DF295" s="188">
        <f t="shared" ca="1" si="16"/>
        <v>54156</v>
      </c>
      <c r="DG295" s="177">
        <f t="shared" ca="1" si="32"/>
        <v>825.71428571428567</v>
      </c>
      <c r="DH295" s="209">
        <f t="shared" ca="1" si="70"/>
        <v>5932.8329164231354</v>
      </c>
      <c r="DI295" s="179">
        <f t="shared" ca="1" si="74"/>
        <v>-1.4447669274666371E-2</v>
      </c>
      <c r="DJ295" s="157">
        <f t="shared" ca="1" si="75"/>
        <v>0.89886631507733539</v>
      </c>
      <c r="DK295" s="225">
        <f t="shared" ca="1" si="76"/>
        <v>1.0349463706986148</v>
      </c>
      <c r="DL295" s="146"/>
      <c r="DM295" s="371"/>
      <c r="DN295" s="372"/>
      <c r="DO295" s="372"/>
      <c r="DP295" s="372"/>
      <c r="DQ295" s="372"/>
      <c r="DR295" s="372"/>
      <c r="DS295" s="372"/>
      <c r="DT295" s="372"/>
      <c r="DU295" s="372"/>
      <c r="DV295" s="372"/>
      <c r="DW295" s="146"/>
      <c r="DX295" s="146"/>
      <c r="DY295" s="146"/>
      <c r="DZ295" s="146"/>
      <c r="EA295" s="146"/>
      <c r="EB295" s="146"/>
      <c r="EC295" s="146"/>
      <c r="ED295" s="146"/>
      <c r="EE295" s="146"/>
      <c r="EF295" s="146"/>
      <c r="EG295" s="146"/>
      <c r="EH295" s="146"/>
    </row>
    <row r="296" spans="1:138" x14ac:dyDescent="0.25">
      <c r="A296" s="32">
        <v>44186</v>
      </c>
      <c r="B296" s="33" t="e">
        <f t="shared" ca="1" si="98"/>
        <v>#NUM!</v>
      </c>
      <c r="C296" s="51">
        <f t="shared" si="93"/>
        <v>293</v>
      </c>
      <c r="D296" s="176" t="e">
        <f ca="1">DANE!K296</f>
        <v>#VALUE!</v>
      </c>
      <c r="E296" s="188" t="e">
        <f t="shared" ca="1" si="99"/>
        <v>#VALUE!</v>
      </c>
      <c r="F296" s="178" t="e">
        <f t="shared" ca="1" si="17"/>
        <v>#VALUE!</v>
      </c>
      <c r="G296" s="209" t="e">
        <f t="shared" ca="1" si="38"/>
        <v>#VALUE!</v>
      </c>
      <c r="H296" s="179" t="e">
        <f t="shared" ca="1" si="42"/>
        <v>#VALUE!</v>
      </c>
      <c r="I296" s="213" t="e">
        <f t="shared" ca="1" si="43"/>
        <v>#VALUE!</v>
      </c>
      <c r="J296" s="214" t="e">
        <f t="shared" ca="1" si="44"/>
        <v>#VALUE!</v>
      </c>
      <c r="K296" s="176" t="e">
        <f ca="1">DANE!O296</f>
        <v>#VALUE!</v>
      </c>
      <c r="L296" s="188" t="e">
        <f t="shared" ca="1" si="2"/>
        <v>#VALUE!</v>
      </c>
      <c r="M296" s="177" t="e">
        <f t="shared" ca="1" si="18"/>
        <v>#VALUE!</v>
      </c>
      <c r="N296" s="209" t="e">
        <f t="shared" ca="1" si="62"/>
        <v>#VALUE!</v>
      </c>
      <c r="O296" s="179" t="e">
        <f t="shared" ca="1" si="66"/>
        <v>#VALUE!</v>
      </c>
      <c r="P296" s="213" t="e">
        <f t="shared" ca="1" si="67"/>
        <v>#VALUE!</v>
      </c>
      <c r="Q296" s="217" t="e">
        <f t="shared" ca="1" si="68"/>
        <v>#VALUE!</v>
      </c>
      <c r="R296" s="176" t="e">
        <f ca="1">DANE!S296</f>
        <v>#VALUE!</v>
      </c>
      <c r="S296" s="188" t="e">
        <f t="shared" ca="1" si="3"/>
        <v>#VALUE!</v>
      </c>
      <c r="T296" s="177" t="e">
        <f t="shared" ca="1" si="19"/>
        <v>#VALUE!</v>
      </c>
      <c r="U296" s="209" t="e">
        <f t="shared" ca="1" si="50"/>
        <v>#VALUE!</v>
      </c>
      <c r="V296" s="179" t="e">
        <f t="shared" ca="1" si="55"/>
        <v>#VALUE!</v>
      </c>
      <c r="W296" s="213" t="e">
        <f t="shared" ca="1" si="56"/>
        <v>#VALUE!</v>
      </c>
      <c r="X296" s="214" t="e">
        <f t="shared" ca="1" si="57"/>
        <v>#VALUE!</v>
      </c>
      <c r="Y296" s="176" t="e">
        <f ca="1">DANE!W296</f>
        <v>#VALUE!</v>
      </c>
      <c r="Z296" s="188" t="e">
        <f t="shared" ca="1" si="4"/>
        <v>#VALUE!</v>
      </c>
      <c r="AA296" s="177" t="e">
        <f t="shared" ca="1" si="20"/>
        <v>#VALUE!</v>
      </c>
      <c r="AB296" s="209" t="e">
        <f t="shared" ca="1" si="94"/>
        <v>#VALUE!</v>
      </c>
      <c r="AC296" s="179" t="e">
        <f t="shared" ca="1" si="95"/>
        <v>#VALUE!</v>
      </c>
      <c r="AD296" s="213" t="e">
        <f t="shared" ca="1" si="96"/>
        <v>#VALUE!</v>
      </c>
      <c r="AE296" s="217" t="e">
        <f t="shared" ca="1" si="97"/>
        <v>#VALUE!</v>
      </c>
      <c r="AF296" s="176" t="e">
        <f ca="1">DANE!AA296</f>
        <v>#VALUE!</v>
      </c>
      <c r="AG296" s="188" t="e">
        <f t="shared" ca="1" si="5"/>
        <v>#VALUE!</v>
      </c>
      <c r="AH296" s="177" t="e">
        <f t="shared" ca="1" si="21"/>
        <v>#VALUE!</v>
      </c>
      <c r="AI296" s="209" t="e">
        <f t="shared" ca="1" si="37"/>
        <v>#VALUE!</v>
      </c>
      <c r="AJ296" s="179" t="e">
        <f t="shared" ca="1" si="39"/>
        <v>#VALUE!</v>
      </c>
      <c r="AK296" s="213" t="e">
        <f t="shared" ca="1" si="40"/>
        <v>#VALUE!</v>
      </c>
      <c r="AL296" s="214" t="e">
        <f t="shared" ca="1" si="41"/>
        <v>#VALUE!</v>
      </c>
      <c r="AM296" s="176" t="e">
        <f ca="1">DANE!AE296</f>
        <v>#VALUE!</v>
      </c>
      <c r="AN296" s="188" t="e">
        <f t="shared" ca="1" si="6"/>
        <v>#VALUE!</v>
      </c>
      <c r="AO296" s="177" t="e">
        <f t="shared" ca="1" si="22"/>
        <v>#VALUE!</v>
      </c>
      <c r="AP296" s="209" t="e">
        <f t="shared" ca="1" si="49"/>
        <v>#VALUE!</v>
      </c>
      <c r="AQ296" s="179" t="e">
        <f t="shared" ca="1" si="51"/>
        <v>#VALUE!</v>
      </c>
      <c r="AR296" s="213" t="e">
        <f t="shared" ca="1" si="52"/>
        <v>#VALUE!</v>
      </c>
      <c r="AS296" s="217" t="e">
        <f t="shared" ca="1" si="53"/>
        <v>#VALUE!</v>
      </c>
      <c r="AT296" s="176" t="e">
        <f ca="1">DANE!AI296</f>
        <v>#VALUE!</v>
      </c>
      <c r="AU296" s="188" t="e">
        <f t="shared" ca="1" si="7"/>
        <v>#VALUE!</v>
      </c>
      <c r="AV296" s="177" t="e">
        <f t="shared" ca="1" si="23"/>
        <v>#VALUE!</v>
      </c>
      <c r="AW296" s="209" t="e">
        <f t="shared" ca="1" si="33"/>
        <v>#VALUE!</v>
      </c>
      <c r="AX296" s="179" t="e">
        <f t="shared" ca="1" si="34"/>
        <v>#VALUE!</v>
      </c>
      <c r="AY296" s="213" t="e">
        <f t="shared" ca="1" si="35"/>
        <v>#VALUE!</v>
      </c>
      <c r="AZ296" s="214" t="e">
        <f t="shared" ca="1" si="36"/>
        <v>#VALUE!</v>
      </c>
      <c r="BA296" s="176" t="e">
        <f ca="1">DANE!AM296</f>
        <v>#VALUE!</v>
      </c>
      <c r="BB296" s="188" t="e">
        <f t="shared" ca="1" si="8"/>
        <v>#VALUE!</v>
      </c>
      <c r="BC296" s="177" t="e">
        <f t="shared" ca="1" si="24"/>
        <v>#VALUE!</v>
      </c>
      <c r="BD296" s="209" t="e">
        <f t="shared" ca="1" si="77"/>
        <v>#VALUE!</v>
      </c>
      <c r="BE296" s="179" t="e">
        <f t="shared" ca="1" si="80"/>
        <v>#VALUE!</v>
      </c>
      <c r="BF296" s="213" t="e">
        <f t="shared" ca="1" si="81"/>
        <v>#VALUE!</v>
      </c>
      <c r="BG296" s="217" t="e">
        <f t="shared" ca="1" si="82"/>
        <v>#VALUE!</v>
      </c>
      <c r="BH296" s="176" t="e">
        <f ca="1">DANE!AQ296</f>
        <v>#VALUE!</v>
      </c>
      <c r="BI296" s="188" t="e">
        <f t="shared" ca="1" si="9"/>
        <v>#VALUE!</v>
      </c>
      <c r="BJ296" s="177" t="e">
        <f t="shared" ca="1" si="25"/>
        <v>#VALUE!</v>
      </c>
      <c r="BK296" s="209" t="e">
        <f t="shared" ca="1" si="61"/>
        <v>#VALUE!</v>
      </c>
      <c r="BL296" s="179" t="e">
        <f t="shared" ca="1" si="63"/>
        <v>#VALUE!</v>
      </c>
      <c r="BM296" s="213" t="e">
        <f t="shared" ca="1" si="64"/>
        <v>#VALUE!</v>
      </c>
      <c r="BN296" s="214" t="e">
        <f t="shared" ca="1" si="65"/>
        <v>#VALUE!</v>
      </c>
      <c r="BO296" s="176" t="e">
        <f ca="1">DANE!AU296</f>
        <v>#VALUE!</v>
      </c>
      <c r="BP296" s="188" t="e">
        <f t="shared" ca="1" si="10"/>
        <v>#VALUE!</v>
      </c>
      <c r="BQ296" s="177" t="e">
        <f t="shared" ca="1" si="26"/>
        <v>#VALUE!</v>
      </c>
      <c r="BR296" s="209" t="e">
        <f t="shared" ca="1" si="78"/>
        <v>#VALUE!</v>
      </c>
      <c r="BS296" s="179" t="e">
        <f t="shared" ca="1" si="83"/>
        <v>#VALUE!</v>
      </c>
      <c r="BT296" s="213" t="e">
        <f t="shared" ca="1" si="84"/>
        <v>#VALUE!</v>
      </c>
      <c r="BU296" s="217" t="e">
        <f t="shared" ca="1" si="85"/>
        <v>#VALUE!</v>
      </c>
      <c r="BV296" s="176" t="e">
        <f ca="1">DANE!AY296</f>
        <v>#VALUE!</v>
      </c>
      <c r="BW296" s="188" t="e">
        <f t="shared" ca="1" si="11"/>
        <v>#VALUE!</v>
      </c>
      <c r="BX296" s="177" t="e">
        <f t="shared" ca="1" si="27"/>
        <v>#VALUE!</v>
      </c>
      <c r="BY296" s="209" t="e">
        <f t="shared" ca="1" si="69"/>
        <v>#VALUE!</v>
      </c>
      <c r="BZ296" s="179" t="e">
        <f t="shared" ca="1" si="71"/>
        <v>#VALUE!</v>
      </c>
      <c r="CA296" s="213" t="e">
        <f t="shared" ca="1" si="72"/>
        <v>#VALUE!</v>
      </c>
      <c r="CB296" s="214" t="e">
        <f t="shared" ca="1" si="73"/>
        <v>#VALUE!</v>
      </c>
      <c r="CC296" s="176" t="e">
        <f ca="1">DANE!BC296</f>
        <v>#VALUE!</v>
      </c>
      <c r="CD296" s="188" t="e">
        <f t="shared" ca="1" si="12"/>
        <v>#VALUE!</v>
      </c>
      <c r="CE296" s="177" t="e">
        <f t="shared" ca="1" si="28"/>
        <v>#VALUE!</v>
      </c>
      <c r="CF296" s="209" t="e">
        <f t="shared" ca="1" si="45"/>
        <v>#VALUE!</v>
      </c>
      <c r="CG296" s="179" t="e">
        <f t="shared" ca="1" si="46"/>
        <v>#VALUE!</v>
      </c>
      <c r="CH296" s="213" t="e">
        <f t="shared" ca="1" si="47"/>
        <v>#VALUE!</v>
      </c>
      <c r="CI296" s="217" t="e">
        <f t="shared" ca="1" si="48"/>
        <v>#VALUE!</v>
      </c>
      <c r="CJ296" s="176" t="e">
        <f ca="1">DANE!BG296</f>
        <v>#VALUE!</v>
      </c>
      <c r="CK296" s="188" t="e">
        <f t="shared" ca="1" si="13"/>
        <v>#VALUE!</v>
      </c>
      <c r="CL296" s="177" t="e">
        <f t="shared" ca="1" si="29"/>
        <v>#VALUE!</v>
      </c>
      <c r="CM296" s="209" t="e">
        <f t="shared" ca="1" si="79"/>
        <v>#VALUE!</v>
      </c>
      <c r="CN296" s="179" t="e">
        <f t="shared" ca="1" si="86"/>
        <v>#VALUE!</v>
      </c>
      <c r="CO296" s="213" t="e">
        <f t="shared" ca="1" si="87"/>
        <v>#VALUE!</v>
      </c>
      <c r="CP296" s="214" t="e">
        <f t="shared" ca="1" si="88"/>
        <v>#VALUE!</v>
      </c>
      <c r="CQ296" s="176" t="e">
        <f ca="1">DANE!BK296</f>
        <v>#VALUE!</v>
      </c>
      <c r="CR296" s="188" t="e">
        <f t="shared" ca="1" si="14"/>
        <v>#VALUE!</v>
      </c>
      <c r="CS296" s="177" t="e">
        <f t="shared" ca="1" si="30"/>
        <v>#VALUE!</v>
      </c>
      <c r="CT296" s="209" t="e">
        <f t="shared" ca="1" si="89"/>
        <v>#VALUE!</v>
      </c>
      <c r="CU296" s="179" t="e">
        <f t="shared" ca="1" si="90"/>
        <v>#VALUE!</v>
      </c>
      <c r="CV296" s="213" t="e">
        <f t="shared" ca="1" si="91"/>
        <v>#VALUE!</v>
      </c>
      <c r="CW296" s="217" t="e">
        <f t="shared" ca="1" si="92"/>
        <v>#VALUE!</v>
      </c>
      <c r="CX296" s="176" t="e">
        <f ca="1">DANE!BO296</f>
        <v>#VALUE!</v>
      </c>
      <c r="CY296" s="188" t="e">
        <f t="shared" ca="1" si="15"/>
        <v>#VALUE!</v>
      </c>
      <c r="CZ296" s="177" t="e">
        <f t="shared" ca="1" si="31"/>
        <v>#VALUE!</v>
      </c>
      <c r="DA296" s="209" t="e">
        <f t="shared" ca="1" si="54"/>
        <v>#VALUE!</v>
      </c>
      <c r="DB296" s="179" t="e">
        <f t="shared" ca="1" si="58"/>
        <v>#VALUE!</v>
      </c>
      <c r="DC296" s="213" t="e">
        <f t="shared" ca="1" si="59"/>
        <v>#VALUE!</v>
      </c>
      <c r="DD296" s="214" t="e">
        <f t="shared" ca="1" si="60"/>
        <v>#VALUE!</v>
      </c>
      <c r="DE296" s="176" t="e">
        <f ca="1">DANE!BS296</f>
        <v>#VALUE!</v>
      </c>
      <c r="DF296" s="188" t="e">
        <f t="shared" ca="1" si="16"/>
        <v>#VALUE!</v>
      </c>
      <c r="DG296" s="177" t="e">
        <f t="shared" ca="1" si="32"/>
        <v>#VALUE!</v>
      </c>
      <c r="DH296" s="209" t="e">
        <f t="shared" ca="1" si="70"/>
        <v>#VALUE!</v>
      </c>
      <c r="DI296" s="179" t="e">
        <f t="shared" ca="1" si="74"/>
        <v>#VALUE!</v>
      </c>
      <c r="DJ296" s="157" t="e">
        <f t="shared" ca="1" si="75"/>
        <v>#VALUE!</v>
      </c>
      <c r="DK296" s="225" t="e">
        <f t="shared" ca="1" si="76"/>
        <v>#VALUE!</v>
      </c>
      <c r="DL296" s="226"/>
      <c r="DM296" s="380"/>
      <c r="DN296" s="372"/>
      <c r="DO296" s="372"/>
      <c r="DP296" s="372"/>
      <c r="DQ296" s="372"/>
      <c r="DR296" s="372"/>
      <c r="DS296" s="372"/>
      <c r="DT296" s="88"/>
      <c r="DU296" s="88"/>
      <c r="DV296" s="88"/>
      <c r="DW296" s="226"/>
      <c r="DX296" s="226"/>
      <c r="DY296" s="226"/>
      <c r="DZ296" s="226"/>
      <c r="EA296" s="226"/>
      <c r="EB296" s="226"/>
      <c r="EC296" s="226"/>
      <c r="ED296" s="226"/>
      <c r="EE296" s="226"/>
      <c r="EF296" s="226"/>
      <c r="EG296" s="226"/>
      <c r="EH296" s="226"/>
    </row>
    <row r="297" spans="1:138" x14ac:dyDescent="0.25">
      <c r="A297" s="147"/>
      <c r="B297" s="147"/>
      <c r="C297" s="160"/>
      <c r="D297" s="160"/>
      <c r="E297" s="169"/>
      <c r="F297" s="229"/>
      <c r="G297" s="165"/>
      <c r="H297" s="165"/>
      <c r="I297" s="163"/>
      <c r="J297" s="163"/>
      <c r="K297" s="162"/>
      <c r="L297" s="162"/>
      <c r="M297" s="162"/>
      <c r="N297" s="230"/>
      <c r="O297" s="230"/>
      <c r="P297" s="231"/>
      <c r="Q297" s="231"/>
      <c r="R297" s="231"/>
      <c r="S297" s="162"/>
      <c r="T297" s="162"/>
      <c r="U297" s="230"/>
      <c r="V297" s="230"/>
      <c r="W297" s="162"/>
      <c r="X297" s="162"/>
      <c r="Y297" s="162"/>
      <c r="Z297" s="162"/>
      <c r="AA297" s="162"/>
      <c r="AB297" s="230"/>
      <c r="AC297" s="230"/>
      <c r="AD297" s="162"/>
      <c r="AE297" s="162"/>
      <c r="AF297" s="162"/>
      <c r="AG297" s="162"/>
      <c r="AH297" s="162"/>
      <c r="AI297" s="230"/>
      <c r="AJ297" s="230"/>
      <c r="AK297" s="162"/>
      <c r="AL297" s="162"/>
      <c r="AM297" s="162"/>
      <c r="AN297" s="162"/>
      <c r="AO297" s="162"/>
      <c r="AP297" s="230"/>
      <c r="AQ297" s="230"/>
      <c r="AR297" s="162"/>
      <c r="AS297" s="162"/>
      <c r="AT297" s="162"/>
      <c r="AU297" s="162"/>
      <c r="AV297" s="162"/>
      <c r="AW297" s="230"/>
      <c r="AX297" s="230"/>
      <c r="AY297" s="162"/>
      <c r="AZ297" s="162"/>
      <c r="BA297" s="162"/>
      <c r="BB297" s="162"/>
      <c r="BC297" s="162"/>
      <c r="BD297" s="230"/>
      <c r="BE297" s="230"/>
      <c r="BF297" s="162"/>
      <c r="BG297" s="162"/>
      <c r="BH297" s="162"/>
      <c r="BI297" s="162"/>
      <c r="BJ297" s="162"/>
      <c r="BK297" s="230"/>
      <c r="BL297" s="230"/>
      <c r="BM297" s="162"/>
      <c r="BN297" s="162"/>
      <c r="BO297" s="162"/>
      <c r="BP297" s="162"/>
      <c r="BQ297" s="162"/>
      <c r="BR297" s="230"/>
      <c r="BS297" s="230"/>
      <c r="BT297" s="162"/>
      <c r="BU297" s="162"/>
      <c r="BV297" s="162"/>
      <c r="BW297" s="162"/>
      <c r="BX297" s="162"/>
      <c r="BY297" s="230"/>
      <c r="BZ297" s="230"/>
      <c r="CA297" s="162"/>
      <c r="CB297" s="162"/>
      <c r="CC297" s="162"/>
      <c r="CD297" s="162"/>
      <c r="CE297" s="162"/>
      <c r="CF297" s="230"/>
      <c r="CG297" s="230"/>
      <c r="CH297" s="162"/>
      <c r="CI297" s="162"/>
      <c r="CJ297" s="162"/>
      <c r="CK297" s="162"/>
      <c r="CL297" s="162"/>
      <c r="CM297" s="230"/>
      <c r="CN297" s="230"/>
      <c r="CO297" s="162"/>
      <c r="CP297" s="162"/>
      <c r="CQ297" s="162"/>
      <c r="CR297" s="162"/>
      <c r="CS297" s="162"/>
      <c r="CT297" s="230"/>
      <c r="CU297" s="230"/>
      <c r="CV297" s="162"/>
      <c r="CW297" s="162"/>
      <c r="CX297" s="162"/>
      <c r="CY297" s="162"/>
      <c r="CZ297" s="162"/>
      <c r="DA297" s="230"/>
      <c r="DB297" s="230"/>
      <c r="DC297" s="162"/>
      <c r="DD297" s="162"/>
      <c r="DE297" s="162"/>
      <c r="DF297" s="162"/>
      <c r="DG297" s="162"/>
      <c r="DH297" s="230"/>
      <c r="DI297" s="230"/>
      <c r="DJ297" s="162"/>
      <c r="DK297" s="162"/>
      <c r="DL297" s="50"/>
      <c r="DM297" s="380"/>
      <c r="DN297" s="372"/>
      <c r="DO297" s="372"/>
      <c r="DP297" s="372"/>
      <c r="DQ297" s="372"/>
      <c r="DR297" s="372"/>
      <c r="DS297" s="372"/>
      <c r="DT297" s="88"/>
      <c r="DU297" s="88"/>
      <c r="DV297" s="88"/>
      <c r="DW297" s="50"/>
      <c r="DX297" s="50"/>
      <c r="DY297" s="50"/>
      <c r="DZ297" s="50"/>
      <c r="EA297" s="50"/>
      <c r="EB297" s="50"/>
      <c r="EC297" s="50"/>
      <c r="ED297" s="50"/>
      <c r="EE297" s="50"/>
      <c r="EF297" s="50"/>
      <c r="EG297" s="50"/>
      <c r="EH297" s="50"/>
    </row>
    <row r="298" spans="1:138" x14ac:dyDescent="0.25">
      <c r="A298" s="147"/>
      <c r="B298" s="147"/>
      <c r="C298" s="160"/>
      <c r="D298" s="160"/>
      <c r="E298" s="169"/>
      <c r="F298" s="229"/>
      <c r="G298" s="165"/>
      <c r="H298" s="165"/>
      <c r="I298" s="163"/>
      <c r="J298" s="163"/>
      <c r="K298" s="162"/>
      <c r="L298" s="162"/>
      <c r="M298" s="162"/>
      <c r="N298" s="230"/>
      <c r="O298" s="230"/>
      <c r="P298" s="231"/>
      <c r="Q298" s="231"/>
      <c r="R298" s="231"/>
      <c r="S298" s="162"/>
      <c r="T298" s="162"/>
      <c r="U298" s="230"/>
      <c r="V298" s="230"/>
      <c r="W298" s="162"/>
      <c r="X298" s="162"/>
      <c r="Y298" s="162"/>
      <c r="Z298" s="162"/>
      <c r="AA298" s="162"/>
      <c r="AB298" s="230"/>
      <c r="AC298" s="230"/>
      <c r="AD298" s="162"/>
      <c r="AE298" s="162"/>
      <c r="AF298" s="162"/>
      <c r="AG298" s="162"/>
      <c r="AH298" s="162"/>
      <c r="AI298" s="230"/>
      <c r="AJ298" s="230"/>
      <c r="AK298" s="162"/>
      <c r="AL298" s="162"/>
      <c r="AM298" s="162"/>
      <c r="AN298" s="162"/>
      <c r="AO298" s="162"/>
      <c r="AP298" s="230"/>
      <c r="AQ298" s="230"/>
      <c r="AR298" s="162"/>
      <c r="AS298" s="162"/>
      <c r="AT298" s="162"/>
      <c r="AU298" s="162"/>
      <c r="AV298" s="162"/>
      <c r="AW298" s="230"/>
      <c r="AX298" s="230"/>
      <c r="AY298" s="162"/>
      <c r="AZ298" s="162"/>
      <c r="BA298" s="162"/>
      <c r="BB298" s="162"/>
      <c r="BC298" s="162"/>
      <c r="BD298" s="230"/>
      <c r="BE298" s="230"/>
      <c r="BF298" s="162"/>
      <c r="BG298" s="162"/>
      <c r="BH298" s="162"/>
      <c r="BI298" s="162"/>
      <c r="BJ298" s="162"/>
      <c r="BK298" s="230"/>
      <c r="BL298" s="230"/>
      <c r="BM298" s="162"/>
      <c r="BN298" s="162"/>
      <c r="BO298" s="162"/>
      <c r="BP298" s="162"/>
      <c r="BQ298" s="162"/>
      <c r="BR298" s="230"/>
      <c r="BS298" s="230"/>
      <c r="BT298" s="162"/>
      <c r="BU298" s="162"/>
      <c r="BV298" s="162"/>
      <c r="BW298" s="162"/>
      <c r="BX298" s="162"/>
      <c r="BY298" s="230"/>
      <c r="BZ298" s="230"/>
      <c r="CA298" s="162"/>
      <c r="CB298" s="162"/>
      <c r="CC298" s="162"/>
      <c r="CD298" s="162"/>
      <c r="CE298" s="162"/>
      <c r="CF298" s="230"/>
      <c r="CG298" s="230"/>
      <c r="CH298" s="162"/>
      <c r="CI298" s="162"/>
      <c r="CJ298" s="162"/>
      <c r="CK298" s="162"/>
      <c r="CL298" s="162"/>
      <c r="CM298" s="230"/>
      <c r="CN298" s="230"/>
      <c r="CO298" s="162"/>
      <c r="CP298" s="162"/>
      <c r="CQ298" s="162"/>
      <c r="CR298" s="162"/>
      <c r="CS298" s="162"/>
      <c r="CT298" s="230"/>
      <c r="CU298" s="230"/>
      <c r="CV298" s="162"/>
      <c r="CW298" s="162"/>
      <c r="CX298" s="162"/>
      <c r="CY298" s="162"/>
      <c r="CZ298" s="162"/>
      <c r="DA298" s="230"/>
      <c r="DB298" s="230"/>
      <c r="DC298" s="162"/>
      <c r="DD298" s="162"/>
      <c r="DE298" s="162"/>
      <c r="DF298" s="162"/>
      <c r="DG298" s="162"/>
      <c r="DH298" s="230"/>
      <c r="DI298" s="230"/>
      <c r="DJ298" s="162"/>
      <c r="DK298" s="162"/>
      <c r="DL298" s="75"/>
      <c r="DM298" s="380"/>
      <c r="DN298" s="372"/>
      <c r="DO298" s="372"/>
      <c r="DP298" s="372"/>
      <c r="DQ298" s="372"/>
      <c r="DR298" s="372"/>
      <c r="DS298" s="372"/>
      <c r="DT298" s="146"/>
      <c r="DU298" s="146"/>
      <c r="DV298" s="146"/>
      <c r="DW298" s="75"/>
      <c r="DX298" s="75"/>
      <c r="DY298" s="75"/>
      <c r="DZ298" s="75"/>
      <c r="EA298" s="75"/>
      <c r="EB298" s="75"/>
      <c r="EC298" s="75"/>
      <c r="ED298" s="75"/>
      <c r="EE298" s="75"/>
      <c r="EF298" s="75"/>
      <c r="EG298" s="75"/>
      <c r="EH298" s="75"/>
    </row>
    <row r="299" spans="1:138" x14ac:dyDescent="0.25">
      <c r="A299" s="147"/>
      <c r="B299" s="147"/>
      <c r="C299" s="160"/>
      <c r="D299" s="160"/>
      <c r="E299" s="169"/>
      <c r="F299" s="229"/>
      <c r="G299" s="165"/>
      <c r="H299" s="165"/>
      <c r="I299" s="163"/>
      <c r="J299" s="163"/>
      <c r="K299" s="162"/>
      <c r="L299" s="162"/>
      <c r="M299" s="162"/>
      <c r="N299" s="230"/>
      <c r="O299" s="230"/>
      <c r="P299" s="231"/>
      <c r="Q299" s="231"/>
      <c r="R299" s="231"/>
      <c r="S299" s="162"/>
      <c r="T299" s="162"/>
      <c r="U299" s="230"/>
      <c r="V299" s="230"/>
      <c r="W299" s="162"/>
      <c r="X299" s="162"/>
      <c r="Y299" s="162"/>
      <c r="Z299" s="162"/>
      <c r="AA299" s="162"/>
      <c r="AB299" s="230"/>
      <c r="AC299" s="230"/>
      <c r="AD299" s="162"/>
      <c r="AE299" s="162"/>
      <c r="AF299" s="162"/>
      <c r="AG299" s="162"/>
      <c r="AH299" s="162"/>
      <c r="AI299" s="230"/>
      <c r="AJ299" s="230"/>
      <c r="AK299" s="162"/>
      <c r="AL299" s="162"/>
      <c r="AM299" s="162"/>
      <c r="AN299" s="162"/>
      <c r="AO299" s="162"/>
      <c r="AP299" s="230"/>
      <c r="AQ299" s="230"/>
      <c r="AR299" s="162"/>
      <c r="AS299" s="162"/>
      <c r="AT299" s="162"/>
      <c r="AU299" s="162"/>
      <c r="AV299" s="162"/>
      <c r="AW299" s="230"/>
      <c r="AX299" s="230"/>
      <c r="AY299" s="162"/>
      <c r="AZ299" s="162"/>
      <c r="BA299" s="162"/>
      <c r="BB299" s="162"/>
      <c r="BC299" s="162"/>
      <c r="BD299" s="230"/>
      <c r="BE299" s="230"/>
      <c r="BF299" s="162"/>
      <c r="BG299" s="162"/>
      <c r="BH299" s="162"/>
      <c r="BI299" s="162"/>
      <c r="BJ299" s="162"/>
      <c r="BK299" s="230"/>
      <c r="BL299" s="230"/>
      <c r="BM299" s="162"/>
      <c r="BN299" s="162"/>
      <c r="BO299" s="162"/>
      <c r="BP299" s="162"/>
      <c r="BQ299" s="162"/>
      <c r="BR299" s="230"/>
      <c r="BS299" s="230"/>
      <c r="BT299" s="162"/>
      <c r="BU299" s="162"/>
      <c r="BV299" s="162"/>
      <c r="BW299" s="162"/>
      <c r="BX299" s="162"/>
      <c r="BY299" s="230"/>
      <c r="BZ299" s="230"/>
      <c r="CA299" s="162"/>
      <c r="CB299" s="162"/>
      <c r="CC299" s="162"/>
      <c r="CD299" s="162"/>
      <c r="CE299" s="162"/>
      <c r="CF299" s="230"/>
      <c r="CG299" s="230"/>
      <c r="CH299" s="162"/>
      <c r="CI299" s="162"/>
      <c r="CJ299" s="162"/>
      <c r="CK299" s="162"/>
      <c r="CL299" s="162"/>
      <c r="CM299" s="230"/>
      <c r="CN299" s="230"/>
      <c r="CO299" s="162"/>
      <c r="CP299" s="162"/>
      <c r="CQ299" s="162"/>
      <c r="CR299" s="162"/>
      <c r="CS299" s="162"/>
      <c r="CT299" s="230"/>
      <c r="CU299" s="230"/>
      <c r="CV299" s="162"/>
      <c r="CW299" s="162"/>
      <c r="CX299" s="162"/>
      <c r="CY299" s="162"/>
      <c r="CZ299" s="162"/>
      <c r="DA299" s="230"/>
      <c r="DB299" s="230"/>
      <c r="DC299" s="162"/>
      <c r="DD299" s="162"/>
      <c r="DE299" s="162"/>
      <c r="DF299" s="162"/>
      <c r="DG299" s="162"/>
      <c r="DH299" s="230"/>
      <c r="DI299" s="230"/>
      <c r="DJ299" s="162"/>
      <c r="DK299" s="162"/>
      <c r="DL299" s="75"/>
      <c r="DM299" s="88"/>
      <c r="DN299" s="88"/>
      <c r="DO299" s="88"/>
      <c r="DP299" s="88"/>
      <c r="DQ299" s="88"/>
      <c r="DR299" s="88"/>
      <c r="DS299" s="88"/>
      <c r="DT299" s="88"/>
      <c r="DU299" s="88"/>
      <c r="DV299" s="88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</row>
    <row r="300" spans="1:138" x14ac:dyDescent="0.25">
      <c r="A300" s="147"/>
      <c r="B300" s="147"/>
      <c r="C300" s="160"/>
      <c r="D300" s="160"/>
      <c r="E300" s="169"/>
      <c r="F300" s="229"/>
      <c r="G300" s="165"/>
      <c r="H300" s="165"/>
      <c r="I300" s="163"/>
      <c r="J300" s="163"/>
      <c r="K300" s="162"/>
      <c r="L300" s="162"/>
      <c r="M300" s="162"/>
      <c r="N300" s="230"/>
      <c r="O300" s="230"/>
      <c r="P300" s="231"/>
      <c r="Q300" s="231"/>
      <c r="R300" s="231"/>
      <c r="S300" s="162"/>
      <c r="T300" s="162"/>
      <c r="U300" s="230"/>
      <c r="V300" s="230"/>
      <c r="W300" s="162"/>
      <c r="X300" s="162"/>
      <c r="Y300" s="162"/>
      <c r="Z300" s="162"/>
      <c r="AA300" s="162"/>
      <c r="AB300" s="230"/>
      <c r="AC300" s="230"/>
      <c r="AD300" s="162"/>
      <c r="AE300" s="162"/>
      <c r="AF300" s="162"/>
      <c r="AG300" s="162"/>
      <c r="AH300" s="162"/>
      <c r="AI300" s="230"/>
      <c r="AJ300" s="230"/>
      <c r="AK300" s="162"/>
      <c r="AL300" s="162"/>
      <c r="AM300" s="162"/>
      <c r="AN300" s="162"/>
      <c r="AO300" s="162"/>
      <c r="AP300" s="230"/>
      <c r="AQ300" s="230"/>
      <c r="AR300" s="162"/>
      <c r="AS300" s="162"/>
      <c r="AT300" s="162"/>
      <c r="AU300" s="162"/>
      <c r="AV300" s="162"/>
      <c r="AW300" s="230"/>
      <c r="AX300" s="230"/>
      <c r="AY300" s="162"/>
      <c r="AZ300" s="162"/>
      <c r="BA300" s="162"/>
      <c r="BB300" s="162"/>
      <c r="BC300" s="162"/>
      <c r="BD300" s="230"/>
      <c r="BE300" s="230"/>
      <c r="BF300" s="162"/>
      <c r="BG300" s="162"/>
      <c r="BH300" s="162"/>
      <c r="BI300" s="162"/>
      <c r="BJ300" s="162"/>
      <c r="BK300" s="230"/>
      <c r="BL300" s="230"/>
      <c r="BM300" s="162"/>
      <c r="BN300" s="162"/>
      <c r="BO300" s="162"/>
      <c r="BP300" s="162"/>
      <c r="BQ300" s="162"/>
      <c r="BR300" s="230"/>
      <c r="BS300" s="230"/>
      <c r="BT300" s="162"/>
      <c r="BU300" s="162"/>
      <c r="BV300" s="162"/>
      <c r="BW300" s="162"/>
      <c r="BX300" s="162"/>
      <c r="BY300" s="230"/>
      <c r="BZ300" s="230"/>
      <c r="CA300" s="162"/>
      <c r="CB300" s="162"/>
      <c r="CC300" s="162"/>
      <c r="CD300" s="162"/>
      <c r="CE300" s="162"/>
      <c r="CF300" s="230"/>
      <c r="CG300" s="230"/>
      <c r="CH300" s="162"/>
      <c r="CI300" s="162"/>
      <c r="CJ300" s="162"/>
      <c r="CK300" s="162"/>
      <c r="CL300" s="162"/>
      <c r="CM300" s="230"/>
      <c r="CN300" s="230"/>
      <c r="CO300" s="162"/>
      <c r="CP300" s="162"/>
      <c r="CQ300" s="162"/>
      <c r="CR300" s="162"/>
      <c r="CS300" s="162"/>
      <c r="CT300" s="230"/>
      <c r="CU300" s="230"/>
      <c r="CV300" s="162"/>
      <c r="CW300" s="162"/>
      <c r="CX300" s="162"/>
      <c r="CY300" s="162"/>
      <c r="CZ300" s="162"/>
      <c r="DA300" s="230"/>
      <c r="DB300" s="230"/>
      <c r="DC300" s="162"/>
      <c r="DD300" s="162"/>
      <c r="DE300" s="162"/>
      <c r="DF300" s="162"/>
      <c r="DG300" s="162"/>
      <c r="DH300" s="230"/>
      <c r="DI300" s="230"/>
      <c r="DJ300" s="162"/>
      <c r="DK300" s="162"/>
      <c r="DL300" s="146"/>
      <c r="DM300" s="380"/>
      <c r="DN300" s="372"/>
      <c r="DO300" s="372"/>
      <c r="DP300" s="372"/>
      <c r="DQ300" s="372"/>
      <c r="DR300" s="372"/>
      <c r="DS300" s="372"/>
      <c r="DT300" s="88"/>
      <c r="DU300" s="88"/>
      <c r="DV300" s="88"/>
      <c r="DW300" s="146"/>
      <c r="DX300" s="146"/>
      <c r="DY300" s="146"/>
      <c r="DZ300" s="146"/>
      <c r="EA300" s="146"/>
      <c r="EB300" s="146"/>
      <c r="EC300" s="146"/>
      <c r="ED300" s="146"/>
      <c r="EE300" s="146"/>
      <c r="EF300" s="146"/>
      <c r="EG300" s="146"/>
      <c r="EH300" s="146"/>
    </row>
    <row r="301" spans="1:138" x14ac:dyDescent="0.25">
      <c r="A301" s="147"/>
      <c r="B301" s="147"/>
      <c r="C301" s="160"/>
      <c r="D301" s="160"/>
      <c r="E301" s="169"/>
      <c r="F301" s="229"/>
      <c r="G301" s="165"/>
      <c r="H301" s="165"/>
      <c r="I301" s="163"/>
      <c r="J301" s="163"/>
      <c r="K301" s="162"/>
      <c r="L301" s="162"/>
      <c r="M301" s="162"/>
      <c r="N301" s="230"/>
      <c r="O301" s="230"/>
      <c r="P301" s="231"/>
      <c r="Q301" s="231"/>
      <c r="R301" s="231"/>
      <c r="S301" s="162"/>
      <c r="T301" s="162"/>
      <c r="U301" s="230"/>
      <c r="V301" s="230"/>
      <c r="W301" s="162"/>
      <c r="X301" s="162"/>
      <c r="Y301" s="162"/>
      <c r="Z301" s="162"/>
      <c r="AA301" s="162"/>
      <c r="AB301" s="230"/>
      <c r="AC301" s="230"/>
      <c r="AD301" s="162"/>
      <c r="AE301" s="162"/>
      <c r="AF301" s="162"/>
      <c r="AG301" s="162"/>
      <c r="AH301" s="162"/>
      <c r="AI301" s="230"/>
      <c r="AJ301" s="230"/>
      <c r="AK301" s="162"/>
      <c r="AL301" s="162"/>
      <c r="AM301" s="162"/>
      <c r="AN301" s="162"/>
      <c r="AO301" s="162"/>
      <c r="AP301" s="230"/>
      <c r="AQ301" s="230"/>
      <c r="AR301" s="162"/>
      <c r="AS301" s="162"/>
      <c r="AT301" s="162"/>
      <c r="AU301" s="162"/>
      <c r="AV301" s="162"/>
      <c r="AW301" s="230"/>
      <c r="AX301" s="230"/>
      <c r="AY301" s="162"/>
      <c r="AZ301" s="162"/>
      <c r="BA301" s="162"/>
      <c r="BB301" s="162"/>
      <c r="BC301" s="162"/>
      <c r="BD301" s="230"/>
      <c r="BE301" s="230"/>
      <c r="BF301" s="162"/>
      <c r="BG301" s="162"/>
      <c r="BH301" s="162"/>
      <c r="BI301" s="162"/>
      <c r="BJ301" s="162"/>
      <c r="BK301" s="230"/>
      <c r="BL301" s="230"/>
      <c r="BM301" s="162"/>
      <c r="BN301" s="162"/>
      <c r="BO301" s="162"/>
      <c r="BP301" s="162"/>
      <c r="BQ301" s="162"/>
      <c r="BR301" s="230"/>
      <c r="BS301" s="230"/>
      <c r="BT301" s="162"/>
      <c r="BU301" s="162"/>
      <c r="BV301" s="162"/>
      <c r="BW301" s="162"/>
      <c r="BX301" s="162"/>
      <c r="BY301" s="230"/>
      <c r="BZ301" s="230"/>
      <c r="CA301" s="162"/>
      <c r="CB301" s="162"/>
      <c r="CC301" s="162"/>
      <c r="CD301" s="162"/>
      <c r="CE301" s="162"/>
      <c r="CF301" s="230"/>
      <c r="CG301" s="230"/>
      <c r="CH301" s="162"/>
      <c r="CI301" s="162"/>
      <c r="CJ301" s="162"/>
      <c r="CK301" s="162"/>
      <c r="CL301" s="162"/>
      <c r="CM301" s="230"/>
      <c r="CN301" s="230"/>
      <c r="CO301" s="162"/>
      <c r="CP301" s="162"/>
      <c r="CQ301" s="162"/>
      <c r="CR301" s="162"/>
      <c r="CS301" s="162"/>
      <c r="CT301" s="230"/>
      <c r="CU301" s="230"/>
      <c r="CV301" s="162"/>
      <c r="CW301" s="162"/>
      <c r="CX301" s="162"/>
      <c r="CY301" s="162"/>
      <c r="CZ301" s="162"/>
      <c r="DA301" s="230"/>
      <c r="DB301" s="230"/>
      <c r="DC301" s="162"/>
      <c r="DD301" s="162"/>
      <c r="DE301" s="162"/>
      <c r="DF301" s="162"/>
      <c r="DG301" s="162"/>
      <c r="DH301" s="230"/>
      <c r="DI301" s="230"/>
      <c r="DJ301" s="162"/>
      <c r="DK301" s="162"/>
      <c r="DL301" s="146"/>
      <c r="DM301" s="380"/>
      <c r="DN301" s="372"/>
      <c r="DO301" s="372"/>
      <c r="DP301" s="372"/>
      <c r="DQ301" s="372"/>
      <c r="DR301" s="372"/>
      <c r="DS301" s="372"/>
      <c r="DT301" s="89"/>
      <c r="DU301" s="89"/>
      <c r="DV301" s="89"/>
      <c r="DW301" s="146"/>
      <c r="DX301" s="146"/>
      <c r="DY301" s="146"/>
      <c r="DZ301" s="146"/>
      <c r="EA301" s="146"/>
      <c r="EB301" s="146"/>
      <c r="EC301" s="146"/>
      <c r="ED301" s="146"/>
      <c r="EE301" s="146"/>
      <c r="EF301" s="146"/>
      <c r="EG301" s="146"/>
      <c r="EH301" s="146"/>
    </row>
    <row r="302" spans="1:138" x14ac:dyDescent="0.25">
      <c r="A302" s="147"/>
      <c r="B302" s="147"/>
      <c r="C302" s="160"/>
      <c r="D302" s="160"/>
      <c r="E302" s="169"/>
      <c r="F302" s="229"/>
      <c r="G302" s="165"/>
      <c r="H302" s="165"/>
      <c r="I302" s="163"/>
      <c r="J302" s="163"/>
      <c r="K302" s="162"/>
      <c r="L302" s="162"/>
      <c r="M302" s="162"/>
      <c r="N302" s="230"/>
      <c r="O302" s="230"/>
      <c r="P302" s="162"/>
      <c r="Q302" s="162"/>
      <c r="R302" s="162"/>
      <c r="S302" s="162"/>
      <c r="T302" s="162"/>
      <c r="U302" s="230"/>
      <c r="V302" s="230"/>
      <c r="W302" s="162"/>
      <c r="X302" s="162"/>
      <c r="Y302" s="162"/>
      <c r="Z302" s="162"/>
      <c r="AA302" s="162"/>
      <c r="AB302" s="230"/>
      <c r="AC302" s="230"/>
      <c r="AD302" s="162"/>
      <c r="AE302" s="162"/>
      <c r="AF302" s="162"/>
      <c r="AG302" s="162"/>
      <c r="AH302" s="162"/>
      <c r="AI302" s="230"/>
      <c r="AJ302" s="230"/>
      <c r="AK302" s="162"/>
      <c r="AL302" s="162"/>
      <c r="AM302" s="162"/>
      <c r="AN302" s="162"/>
      <c r="AO302" s="162"/>
      <c r="AP302" s="230"/>
      <c r="AQ302" s="230"/>
      <c r="AR302" s="162"/>
      <c r="AS302" s="162"/>
      <c r="AT302" s="162"/>
      <c r="AU302" s="162"/>
      <c r="AV302" s="162"/>
      <c r="AW302" s="230"/>
      <c r="AX302" s="230"/>
      <c r="AY302" s="162"/>
      <c r="AZ302" s="162"/>
      <c r="BA302" s="162"/>
      <c r="BB302" s="162"/>
      <c r="BC302" s="162"/>
      <c r="BD302" s="230"/>
      <c r="BE302" s="230"/>
      <c r="BF302" s="162"/>
      <c r="BG302" s="162"/>
      <c r="BH302" s="162"/>
      <c r="BI302" s="162"/>
      <c r="BJ302" s="162"/>
      <c r="BK302" s="230"/>
      <c r="BL302" s="230"/>
      <c r="BM302" s="162"/>
      <c r="BN302" s="162"/>
      <c r="BO302" s="162"/>
      <c r="BP302" s="162"/>
      <c r="BQ302" s="162"/>
      <c r="BR302" s="230"/>
      <c r="BS302" s="230"/>
      <c r="BT302" s="162"/>
      <c r="BU302" s="162"/>
      <c r="BV302" s="162"/>
      <c r="BW302" s="162"/>
      <c r="BX302" s="162"/>
      <c r="BY302" s="230"/>
      <c r="BZ302" s="230"/>
      <c r="CA302" s="162"/>
      <c r="CB302" s="162"/>
      <c r="CC302" s="162"/>
      <c r="CD302" s="162"/>
      <c r="CE302" s="162"/>
      <c r="CF302" s="230"/>
      <c r="CG302" s="230"/>
      <c r="CH302" s="162"/>
      <c r="CI302" s="162"/>
      <c r="CJ302" s="162"/>
      <c r="CK302" s="162"/>
      <c r="CL302" s="162"/>
      <c r="CM302" s="230"/>
      <c r="CN302" s="230"/>
      <c r="CO302" s="162"/>
      <c r="CP302" s="162"/>
      <c r="CQ302" s="162"/>
      <c r="CR302" s="162"/>
      <c r="CS302" s="162"/>
      <c r="CT302" s="230"/>
      <c r="CU302" s="230"/>
      <c r="CV302" s="162"/>
      <c r="CW302" s="162"/>
      <c r="CX302" s="162"/>
      <c r="CY302" s="162"/>
      <c r="CZ302" s="162"/>
      <c r="DA302" s="230"/>
      <c r="DB302" s="230"/>
      <c r="DC302" s="162"/>
      <c r="DD302" s="162"/>
      <c r="DE302" s="162"/>
      <c r="DF302" s="162"/>
      <c r="DG302" s="162"/>
      <c r="DH302" s="230"/>
      <c r="DI302" s="230"/>
      <c r="DJ302" s="162"/>
      <c r="DK302" s="162"/>
      <c r="DL302" s="146"/>
      <c r="DM302" s="88"/>
      <c r="DN302" s="88"/>
      <c r="DO302" s="88"/>
      <c r="DP302" s="88"/>
      <c r="DQ302" s="88"/>
      <c r="DR302" s="88"/>
      <c r="DS302" s="88"/>
      <c r="DT302" s="88"/>
      <c r="DU302" s="88"/>
      <c r="DV302" s="88"/>
      <c r="DW302" s="146"/>
      <c r="DX302" s="146"/>
      <c r="DY302" s="146"/>
      <c r="DZ302" s="146"/>
      <c r="EA302" s="146"/>
      <c r="EB302" s="146"/>
      <c r="EC302" s="146"/>
      <c r="ED302" s="146"/>
      <c r="EE302" s="146"/>
      <c r="EF302" s="146"/>
      <c r="EG302" s="146"/>
      <c r="EH302" s="146"/>
    </row>
    <row r="303" spans="1:138" x14ac:dyDescent="0.25">
      <c r="A303" s="147"/>
      <c r="B303" s="147"/>
      <c r="C303" s="160"/>
      <c r="D303" s="160"/>
      <c r="E303" s="169"/>
      <c r="F303" s="229"/>
      <c r="G303" s="165"/>
      <c r="H303" s="165"/>
      <c r="I303" s="163"/>
      <c r="J303" s="163"/>
      <c r="K303" s="162"/>
      <c r="L303" s="162"/>
      <c r="M303" s="162"/>
      <c r="N303" s="230"/>
      <c r="O303" s="230"/>
      <c r="P303" s="162"/>
      <c r="Q303" s="162"/>
      <c r="R303" s="162"/>
      <c r="S303" s="162"/>
      <c r="T303" s="162"/>
      <c r="U303" s="230"/>
      <c r="V303" s="230"/>
      <c r="W303" s="162"/>
      <c r="X303" s="162"/>
      <c r="Y303" s="162"/>
      <c r="Z303" s="162"/>
      <c r="AA303" s="162"/>
      <c r="AB303" s="230"/>
      <c r="AC303" s="230"/>
      <c r="AD303" s="162"/>
      <c r="AE303" s="162"/>
      <c r="AF303" s="162"/>
      <c r="AG303" s="162"/>
      <c r="AH303" s="162"/>
      <c r="AI303" s="230"/>
      <c r="AJ303" s="230"/>
      <c r="AK303" s="162"/>
      <c r="AL303" s="162"/>
      <c r="AM303" s="162"/>
      <c r="AN303" s="162"/>
      <c r="AO303" s="162"/>
      <c r="AP303" s="230"/>
      <c r="AQ303" s="230"/>
      <c r="AR303" s="162"/>
      <c r="AS303" s="162"/>
      <c r="AT303" s="162"/>
      <c r="AU303" s="162"/>
      <c r="AV303" s="162"/>
      <c r="AW303" s="230"/>
      <c r="AX303" s="230"/>
      <c r="AY303" s="162"/>
      <c r="AZ303" s="162"/>
      <c r="BA303" s="162"/>
      <c r="BB303" s="162"/>
      <c r="BC303" s="162"/>
      <c r="BD303" s="230"/>
      <c r="BE303" s="230"/>
      <c r="BF303" s="162"/>
      <c r="BG303" s="162"/>
      <c r="BH303" s="162"/>
      <c r="BI303" s="162"/>
      <c r="BJ303" s="162"/>
      <c r="BK303" s="230"/>
      <c r="BL303" s="230"/>
      <c r="BM303" s="162"/>
      <c r="BN303" s="162"/>
      <c r="BO303" s="162"/>
      <c r="BP303" s="162"/>
      <c r="BQ303" s="162"/>
      <c r="BR303" s="230"/>
      <c r="BS303" s="230"/>
      <c r="BT303" s="162"/>
      <c r="BU303" s="162"/>
      <c r="BV303" s="162"/>
      <c r="BW303" s="162"/>
      <c r="BX303" s="162"/>
      <c r="BY303" s="230"/>
      <c r="BZ303" s="230"/>
      <c r="CA303" s="162"/>
      <c r="CB303" s="162"/>
      <c r="CC303" s="162"/>
      <c r="CD303" s="162"/>
      <c r="CE303" s="162"/>
      <c r="CF303" s="230"/>
      <c r="CG303" s="230"/>
      <c r="CH303" s="162"/>
      <c r="CI303" s="162"/>
      <c r="CJ303" s="162"/>
      <c r="CK303" s="162"/>
      <c r="CL303" s="162"/>
      <c r="CM303" s="230"/>
      <c r="CN303" s="230"/>
      <c r="CO303" s="162"/>
      <c r="CP303" s="162"/>
      <c r="CQ303" s="162"/>
      <c r="CR303" s="162"/>
      <c r="CS303" s="162"/>
      <c r="CT303" s="230"/>
      <c r="CU303" s="230"/>
      <c r="CV303" s="162"/>
      <c r="CW303" s="162"/>
      <c r="CX303" s="162"/>
      <c r="CY303" s="162"/>
      <c r="CZ303" s="162"/>
      <c r="DA303" s="230"/>
      <c r="DB303" s="230"/>
      <c r="DC303" s="162"/>
      <c r="DD303" s="162"/>
      <c r="DE303" s="162"/>
      <c r="DF303" s="162"/>
      <c r="DG303" s="162"/>
      <c r="DH303" s="230"/>
      <c r="DI303" s="230"/>
      <c r="DJ303" s="162"/>
      <c r="DK303" s="162"/>
      <c r="DL303" s="146"/>
      <c r="DM303" s="371"/>
      <c r="DN303" s="372"/>
      <c r="DO303" s="372"/>
      <c r="DP303" s="372"/>
      <c r="DQ303" s="372"/>
      <c r="DR303" s="372"/>
      <c r="DS303" s="372"/>
      <c r="DT303" s="372"/>
      <c r="DU303" s="372"/>
      <c r="DV303" s="372"/>
      <c r="DW303" s="146"/>
      <c r="DX303" s="146"/>
      <c r="DY303" s="146"/>
      <c r="DZ303" s="146"/>
      <c r="EA303" s="146"/>
      <c r="EB303" s="146"/>
      <c r="EC303" s="146"/>
      <c r="ED303" s="146"/>
      <c r="EE303" s="146"/>
      <c r="EF303" s="146"/>
      <c r="EG303" s="146"/>
      <c r="EH303" s="146"/>
    </row>
    <row r="304" spans="1:138" x14ac:dyDescent="0.25">
      <c r="A304" s="147"/>
      <c r="B304" s="147"/>
      <c r="C304" s="160"/>
      <c r="D304" s="160"/>
      <c r="E304" s="169"/>
      <c r="F304" s="229"/>
      <c r="G304" s="165"/>
      <c r="H304" s="165"/>
      <c r="I304" s="163"/>
      <c r="J304" s="163"/>
      <c r="K304" s="162"/>
      <c r="L304" s="162"/>
      <c r="M304" s="162"/>
      <c r="N304" s="230"/>
      <c r="O304" s="230"/>
      <c r="P304" s="162"/>
      <c r="Q304" s="162"/>
      <c r="R304" s="162"/>
      <c r="S304" s="162"/>
      <c r="T304" s="162"/>
      <c r="U304" s="230"/>
      <c r="V304" s="230"/>
      <c r="W304" s="162"/>
      <c r="X304" s="162"/>
      <c r="Y304" s="162"/>
      <c r="Z304" s="162"/>
      <c r="AA304" s="162"/>
      <c r="AB304" s="230"/>
      <c r="AC304" s="230"/>
      <c r="AD304" s="162"/>
      <c r="AE304" s="162"/>
      <c r="AF304" s="162"/>
      <c r="AG304" s="162"/>
      <c r="AH304" s="162"/>
      <c r="AI304" s="230"/>
      <c r="AJ304" s="230"/>
      <c r="AK304" s="162"/>
      <c r="AL304" s="162"/>
      <c r="AM304" s="162"/>
      <c r="AN304" s="162"/>
      <c r="AO304" s="162"/>
      <c r="AP304" s="230"/>
      <c r="AQ304" s="230"/>
      <c r="AR304" s="162"/>
      <c r="AS304" s="162"/>
      <c r="AT304" s="162"/>
      <c r="AU304" s="162"/>
      <c r="AV304" s="162"/>
      <c r="AW304" s="230"/>
      <c r="AX304" s="230"/>
      <c r="AY304" s="162"/>
      <c r="AZ304" s="162"/>
      <c r="BA304" s="162"/>
      <c r="BB304" s="162"/>
      <c r="BC304" s="162"/>
      <c r="BD304" s="230"/>
      <c r="BE304" s="230"/>
      <c r="BF304" s="162"/>
      <c r="BG304" s="162"/>
      <c r="BH304" s="162"/>
      <c r="BI304" s="162"/>
      <c r="BJ304" s="162"/>
      <c r="BK304" s="230"/>
      <c r="BL304" s="230"/>
      <c r="BM304" s="162"/>
      <c r="BN304" s="162"/>
      <c r="BO304" s="162"/>
      <c r="BP304" s="162"/>
      <c r="BQ304" s="162"/>
      <c r="BR304" s="230"/>
      <c r="BS304" s="230"/>
      <c r="BT304" s="162"/>
      <c r="BU304" s="162"/>
      <c r="BV304" s="162"/>
      <c r="BW304" s="162"/>
      <c r="BX304" s="162"/>
      <c r="BY304" s="230"/>
      <c r="BZ304" s="230"/>
      <c r="CA304" s="162"/>
      <c r="CB304" s="162"/>
      <c r="CC304" s="162"/>
      <c r="CD304" s="162"/>
      <c r="CE304" s="162"/>
      <c r="CF304" s="230"/>
      <c r="CG304" s="230"/>
      <c r="CH304" s="162"/>
      <c r="CI304" s="162"/>
      <c r="CJ304" s="162"/>
      <c r="CK304" s="162"/>
      <c r="CL304" s="162"/>
      <c r="CM304" s="230"/>
      <c r="CN304" s="230"/>
      <c r="CO304" s="162"/>
      <c r="CP304" s="162"/>
      <c r="CQ304" s="162"/>
      <c r="CR304" s="162"/>
      <c r="CS304" s="162"/>
      <c r="CT304" s="230"/>
      <c r="CU304" s="230"/>
      <c r="CV304" s="162"/>
      <c r="CW304" s="162"/>
      <c r="CX304" s="162"/>
      <c r="CY304" s="162"/>
      <c r="CZ304" s="162"/>
      <c r="DA304" s="230"/>
      <c r="DB304" s="230"/>
      <c r="DC304" s="162"/>
      <c r="DD304" s="162"/>
      <c r="DE304" s="162"/>
      <c r="DF304" s="162"/>
      <c r="DG304" s="162"/>
      <c r="DH304" s="230"/>
      <c r="DI304" s="230"/>
      <c r="DJ304" s="162"/>
      <c r="DK304" s="162"/>
      <c r="DL304" s="146"/>
      <c r="DM304" s="371"/>
      <c r="DN304" s="372"/>
      <c r="DO304" s="372"/>
      <c r="DP304" s="372"/>
      <c r="DQ304" s="372"/>
      <c r="DR304" s="372"/>
      <c r="DS304" s="372"/>
      <c r="DT304" s="372"/>
      <c r="DU304" s="372"/>
      <c r="DV304" s="372"/>
      <c r="DW304" s="146"/>
      <c r="DX304" s="146"/>
      <c r="DY304" s="146"/>
      <c r="DZ304" s="146"/>
      <c r="EA304" s="146"/>
      <c r="EB304" s="146"/>
      <c r="EC304" s="146"/>
      <c r="ED304" s="146"/>
      <c r="EE304" s="146"/>
      <c r="EF304" s="146"/>
      <c r="EG304" s="146"/>
      <c r="EH304" s="146"/>
    </row>
    <row r="305" spans="1:138" x14ac:dyDescent="0.25">
      <c r="A305" s="147"/>
      <c r="B305" s="147"/>
      <c r="C305" s="160"/>
      <c r="D305" s="160"/>
      <c r="E305" s="169"/>
      <c r="F305" s="229"/>
      <c r="G305" s="165"/>
      <c r="H305" s="165"/>
      <c r="I305" s="163"/>
      <c r="J305" s="163"/>
      <c r="K305" s="162"/>
      <c r="L305" s="162"/>
      <c r="M305" s="162"/>
      <c r="N305" s="230"/>
      <c r="O305" s="230"/>
      <c r="P305" s="162"/>
      <c r="Q305" s="162"/>
      <c r="R305" s="162"/>
      <c r="S305" s="162"/>
      <c r="T305" s="162"/>
      <c r="U305" s="230"/>
      <c r="V305" s="230"/>
      <c r="W305" s="162"/>
      <c r="X305" s="162"/>
      <c r="Y305" s="162"/>
      <c r="Z305" s="162"/>
      <c r="AA305" s="162"/>
      <c r="AB305" s="230"/>
      <c r="AC305" s="230"/>
      <c r="AD305" s="162"/>
      <c r="AE305" s="162"/>
      <c r="AF305" s="162"/>
      <c r="AG305" s="162"/>
      <c r="AH305" s="162"/>
      <c r="AI305" s="230"/>
      <c r="AJ305" s="230"/>
      <c r="AK305" s="162"/>
      <c r="AL305" s="162"/>
      <c r="AM305" s="162"/>
      <c r="AN305" s="162"/>
      <c r="AO305" s="162"/>
      <c r="AP305" s="230"/>
      <c r="AQ305" s="230"/>
      <c r="AR305" s="162"/>
      <c r="AS305" s="162"/>
      <c r="AT305" s="162"/>
      <c r="AU305" s="162"/>
      <c r="AV305" s="162"/>
      <c r="AW305" s="230"/>
      <c r="AX305" s="230"/>
      <c r="AY305" s="162"/>
      <c r="AZ305" s="162"/>
      <c r="BA305" s="162"/>
      <c r="BB305" s="162"/>
      <c r="BC305" s="162"/>
      <c r="BD305" s="230"/>
      <c r="BE305" s="230"/>
      <c r="BF305" s="162"/>
      <c r="BG305" s="162"/>
      <c r="BH305" s="162"/>
      <c r="BI305" s="162"/>
      <c r="BJ305" s="162"/>
      <c r="BK305" s="230"/>
      <c r="BL305" s="230"/>
      <c r="BM305" s="162"/>
      <c r="BN305" s="162"/>
      <c r="BO305" s="162"/>
      <c r="BP305" s="162"/>
      <c r="BQ305" s="162"/>
      <c r="BR305" s="230"/>
      <c r="BS305" s="230"/>
      <c r="BT305" s="162"/>
      <c r="BU305" s="162"/>
      <c r="BV305" s="162"/>
      <c r="BW305" s="162"/>
      <c r="BX305" s="162"/>
      <c r="BY305" s="230"/>
      <c r="BZ305" s="230"/>
      <c r="CA305" s="162"/>
      <c r="CB305" s="162"/>
      <c r="CC305" s="162"/>
      <c r="CD305" s="162"/>
      <c r="CE305" s="162"/>
      <c r="CF305" s="230"/>
      <c r="CG305" s="230"/>
      <c r="CH305" s="162"/>
      <c r="CI305" s="162"/>
      <c r="CJ305" s="162"/>
      <c r="CK305" s="162"/>
      <c r="CL305" s="162"/>
      <c r="CM305" s="230"/>
      <c r="CN305" s="230"/>
      <c r="CO305" s="162"/>
      <c r="CP305" s="162"/>
      <c r="CQ305" s="162"/>
      <c r="CR305" s="162"/>
      <c r="CS305" s="162"/>
      <c r="CT305" s="230"/>
      <c r="CU305" s="230"/>
      <c r="CV305" s="162"/>
      <c r="CW305" s="162"/>
      <c r="CX305" s="162"/>
      <c r="CY305" s="162"/>
      <c r="CZ305" s="162"/>
      <c r="DA305" s="230"/>
      <c r="DB305" s="230"/>
      <c r="DC305" s="162"/>
      <c r="DD305" s="162"/>
      <c r="DE305" s="162"/>
      <c r="DF305" s="162"/>
      <c r="DG305" s="162"/>
      <c r="DH305" s="230"/>
      <c r="DI305" s="230"/>
      <c r="DJ305" s="162"/>
      <c r="DK305" s="162"/>
      <c r="DL305" s="226"/>
      <c r="DM305" s="380"/>
      <c r="DN305" s="372"/>
      <c r="DO305" s="372"/>
      <c r="DP305" s="372"/>
      <c r="DQ305" s="372"/>
      <c r="DR305" s="372"/>
      <c r="DS305" s="372"/>
      <c r="DT305" s="88"/>
      <c r="DU305" s="88"/>
      <c r="DV305" s="88"/>
      <c r="DW305" s="226"/>
      <c r="DX305" s="226"/>
      <c r="DY305" s="226"/>
      <c r="DZ305" s="226"/>
      <c r="EA305" s="226"/>
      <c r="EB305" s="226"/>
      <c r="EC305" s="226"/>
      <c r="ED305" s="226"/>
      <c r="EE305" s="226"/>
      <c r="EF305" s="226"/>
      <c r="EG305" s="226"/>
      <c r="EH305" s="226"/>
    </row>
    <row r="306" spans="1:138" x14ac:dyDescent="0.25">
      <c r="A306" s="147"/>
      <c r="B306" s="147"/>
      <c r="C306" s="160"/>
      <c r="D306" s="160"/>
      <c r="E306" s="169"/>
      <c r="F306" s="229"/>
      <c r="G306" s="165"/>
      <c r="H306" s="165"/>
      <c r="I306" s="163"/>
      <c r="J306" s="163"/>
      <c r="K306" s="162"/>
      <c r="L306" s="162"/>
      <c r="M306" s="162"/>
      <c r="N306" s="230"/>
      <c r="O306" s="230"/>
      <c r="P306" s="162"/>
      <c r="Q306" s="162"/>
      <c r="R306" s="162"/>
      <c r="S306" s="162"/>
      <c r="T306" s="162"/>
      <c r="U306" s="230"/>
      <c r="V306" s="230"/>
      <c r="W306" s="162"/>
      <c r="X306" s="162"/>
      <c r="Y306" s="162"/>
      <c r="Z306" s="162"/>
      <c r="AA306" s="162"/>
      <c r="AB306" s="230"/>
      <c r="AC306" s="230"/>
      <c r="AD306" s="162"/>
      <c r="AE306" s="162"/>
      <c r="AF306" s="162"/>
      <c r="AG306" s="162"/>
      <c r="AH306" s="162"/>
      <c r="AI306" s="230"/>
      <c r="AJ306" s="230"/>
      <c r="AK306" s="162"/>
      <c r="AL306" s="162"/>
      <c r="AM306" s="162"/>
      <c r="AN306" s="162"/>
      <c r="AO306" s="162"/>
      <c r="AP306" s="230"/>
      <c r="AQ306" s="230"/>
      <c r="AR306" s="162"/>
      <c r="AS306" s="162"/>
      <c r="AT306" s="162"/>
      <c r="AU306" s="162"/>
      <c r="AV306" s="162"/>
      <c r="AW306" s="230"/>
      <c r="AX306" s="230"/>
      <c r="AY306" s="162"/>
      <c r="AZ306" s="162"/>
      <c r="BA306" s="162"/>
      <c r="BB306" s="162"/>
      <c r="BC306" s="162"/>
      <c r="BD306" s="230"/>
      <c r="BE306" s="230"/>
      <c r="BF306" s="162"/>
      <c r="BG306" s="162"/>
      <c r="BH306" s="162"/>
      <c r="BI306" s="162"/>
      <c r="BJ306" s="162"/>
      <c r="BK306" s="230"/>
      <c r="BL306" s="230"/>
      <c r="BM306" s="162"/>
      <c r="BN306" s="162"/>
      <c r="BO306" s="162"/>
      <c r="BP306" s="162"/>
      <c r="BQ306" s="162"/>
      <c r="BR306" s="230"/>
      <c r="BS306" s="230"/>
      <c r="BT306" s="162"/>
      <c r="BU306" s="162"/>
      <c r="BV306" s="162"/>
      <c r="BW306" s="162"/>
      <c r="BX306" s="162"/>
      <c r="BY306" s="230"/>
      <c r="BZ306" s="230"/>
      <c r="CA306" s="162"/>
      <c r="CB306" s="162"/>
      <c r="CC306" s="162"/>
      <c r="CD306" s="162"/>
      <c r="CE306" s="162"/>
      <c r="CF306" s="230"/>
      <c r="CG306" s="230"/>
      <c r="CH306" s="162"/>
      <c r="CI306" s="162"/>
      <c r="CJ306" s="162"/>
      <c r="CK306" s="162"/>
      <c r="CL306" s="162"/>
      <c r="CM306" s="230"/>
      <c r="CN306" s="230"/>
      <c r="CO306" s="162"/>
      <c r="CP306" s="162"/>
      <c r="CQ306" s="162"/>
      <c r="CR306" s="162"/>
      <c r="CS306" s="162"/>
      <c r="CT306" s="230"/>
      <c r="CU306" s="230"/>
      <c r="CV306" s="162"/>
      <c r="CW306" s="162"/>
      <c r="CX306" s="162"/>
      <c r="CY306" s="162"/>
      <c r="CZ306" s="162"/>
      <c r="DA306" s="230"/>
      <c r="DB306" s="230"/>
      <c r="DC306" s="162"/>
      <c r="DD306" s="162"/>
      <c r="DE306" s="162"/>
      <c r="DF306" s="162"/>
      <c r="DG306" s="162"/>
      <c r="DH306" s="230"/>
      <c r="DI306" s="230"/>
      <c r="DJ306" s="162"/>
      <c r="DK306" s="162"/>
      <c r="DL306" s="146"/>
      <c r="DM306" s="380"/>
      <c r="DN306" s="372"/>
      <c r="DO306" s="372"/>
      <c r="DP306" s="372"/>
      <c r="DQ306" s="372"/>
      <c r="DR306" s="372"/>
      <c r="DS306" s="372"/>
      <c r="DT306" s="88"/>
      <c r="DU306" s="88"/>
      <c r="DV306" s="88"/>
      <c r="DW306" s="146"/>
      <c r="DX306" s="146"/>
      <c r="DY306" s="146"/>
      <c r="DZ306" s="146"/>
      <c r="EA306" s="146"/>
      <c r="EB306" s="146"/>
      <c r="EC306" s="146"/>
      <c r="ED306" s="146"/>
      <c r="EE306" s="146"/>
      <c r="EF306" s="146"/>
      <c r="EG306" s="146"/>
      <c r="EH306" s="146"/>
    </row>
    <row r="307" spans="1:138" x14ac:dyDescent="0.25">
      <c r="A307" s="147"/>
      <c r="B307" s="147"/>
      <c r="C307" s="160"/>
      <c r="D307" s="160"/>
      <c r="E307" s="169"/>
      <c r="F307" s="229"/>
      <c r="G307" s="165"/>
      <c r="H307" s="165"/>
      <c r="I307" s="163"/>
      <c r="J307" s="163"/>
      <c r="K307" s="162"/>
      <c r="L307" s="162"/>
      <c r="M307" s="162"/>
      <c r="N307" s="230"/>
      <c r="O307" s="230"/>
      <c r="P307" s="162"/>
      <c r="Q307" s="162"/>
      <c r="R307" s="162"/>
      <c r="S307" s="162"/>
      <c r="T307" s="162"/>
      <c r="U307" s="230"/>
      <c r="V307" s="230"/>
      <c r="W307" s="162"/>
      <c r="X307" s="162"/>
      <c r="Y307" s="162"/>
      <c r="Z307" s="162"/>
      <c r="AA307" s="162"/>
      <c r="AB307" s="230"/>
      <c r="AC307" s="230"/>
      <c r="AD307" s="162"/>
      <c r="AE307" s="162"/>
      <c r="AF307" s="162"/>
      <c r="AG307" s="162"/>
      <c r="AH307" s="162"/>
      <c r="AI307" s="230"/>
      <c r="AJ307" s="230"/>
      <c r="AK307" s="162"/>
      <c r="AL307" s="162"/>
      <c r="AM307" s="162"/>
      <c r="AN307" s="162"/>
      <c r="AO307" s="162"/>
      <c r="AP307" s="230"/>
      <c r="AQ307" s="230"/>
      <c r="AR307" s="162"/>
      <c r="AS307" s="162"/>
      <c r="AT307" s="162"/>
      <c r="AU307" s="162"/>
      <c r="AV307" s="162"/>
      <c r="AW307" s="230"/>
      <c r="AX307" s="230"/>
      <c r="AY307" s="162"/>
      <c r="AZ307" s="162"/>
      <c r="BA307" s="162"/>
      <c r="BB307" s="162"/>
      <c r="BC307" s="162"/>
      <c r="BD307" s="230"/>
      <c r="BE307" s="230"/>
      <c r="BF307" s="162"/>
      <c r="BG307" s="162"/>
      <c r="BH307" s="162"/>
      <c r="BI307" s="162"/>
      <c r="BJ307" s="162"/>
      <c r="BK307" s="230"/>
      <c r="BL307" s="230"/>
      <c r="BM307" s="162"/>
      <c r="BN307" s="162"/>
      <c r="BO307" s="162"/>
      <c r="BP307" s="162"/>
      <c r="BQ307" s="162"/>
      <c r="BR307" s="230"/>
      <c r="BS307" s="230"/>
      <c r="BT307" s="162"/>
      <c r="BU307" s="162"/>
      <c r="BV307" s="162"/>
      <c r="BW307" s="162"/>
      <c r="BX307" s="162"/>
      <c r="BY307" s="230"/>
      <c r="BZ307" s="230"/>
      <c r="CA307" s="162"/>
      <c r="CB307" s="162"/>
      <c r="CC307" s="162"/>
      <c r="CD307" s="162"/>
      <c r="CE307" s="162"/>
      <c r="CF307" s="230"/>
      <c r="CG307" s="230"/>
      <c r="CH307" s="162"/>
      <c r="CI307" s="162"/>
      <c r="CJ307" s="162"/>
      <c r="CK307" s="162"/>
      <c r="CL307" s="162"/>
      <c r="CM307" s="230"/>
      <c r="CN307" s="230"/>
      <c r="CO307" s="162"/>
      <c r="CP307" s="162"/>
      <c r="CQ307" s="162"/>
      <c r="CR307" s="162"/>
      <c r="CS307" s="162"/>
      <c r="CT307" s="230"/>
      <c r="CU307" s="230"/>
      <c r="CV307" s="162"/>
      <c r="CW307" s="162"/>
      <c r="CX307" s="162"/>
      <c r="CY307" s="162"/>
      <c r="CZ307" s="162"/>
      <c r="DA307" s="230"/>
      <c r="DB307" s="230"/>
      <c r="DC307" s="162"/>
      <c r="DD307" s="162"/>
      <c r="DE307" s="162"/>
      <c r="DF307" s="162"/>
      <c r="DG307" s="162"/>
      <c r="DH307" s="230"/>
      <c r="DI307" s="230"/>
      <c r="DJ307" s="162"/>
      <c r="DK307" s="162"/>
      <c r="DL307" s="146"/>
      <c r="DM307" s="380"/>
      <c r="DN307" s="372"/>
      <c r="DO307" s="372"/>
      <c r="DP307" s="372"/>
      <c r="DQ307" s="372"/>
      <c r="DR307" s="372"/>
      <c r="DS307" s="372"/>
      <c r="DT307" s="89"/>
      <c r="DU307" s="89"/>
      <c r="DV307" s="89"/>
      <c r="DW307" s="146"/>
      <c r="DX307" s="146"/>
      <c r="DY307" s="146"/>
      <c r="DZ307" s="146"/>
      <c r="EA307" s="146"/>
      <c r="EB307" s="146"/>
      <c r="EC307" s="146"/>
      <c r="ED307" s="146"/>
      <c r="EE307" s="146"/>
      <c r="EF307" s="146"/>
      <c r="EG307" s="146"/>
      <c r="EH307" s="146"/>
    </row>
    <row r="308" spans="1:138" x14ac:dyDescent="0.25">
      <c r="A308" s="147"/>
      <c r="B308" s="147"/>
      <c r="C308" s="160"/>
      <c r="D308" s="160"/>
      <c r="E308" s="169"/>
      <c r="F308" s="229"/>
      <c r="G308" s="165"/>
      <c r="H308" s="165"/>
      <c r="I308" s="163"/>
      <c r="J308" s="163"/>
      <c r="K308" s="162"/>
      <c r="L308" s="162"/>
      <c r="M308" s="162"/>
      <c r="N308" s="230"/>
      <c r="O308" s="230"/>
      <c r="P308" s="162"/>
      <c r="Q308" s="162"/>
      <c r="R308" s="162"/>
      <c r="S308" s="162"/>
      <c r="T308" s="162"/>
      <c r="U308" s="230"/>
      <c r="V308" s="230"/>
      <c r="W308" s="162"/>
      <c r="X308" s="162"/>
      <c r="Y308" s="162"/>
      <c r="Z308" s="162"/>
      <c r="AA308" s="162"/>
      <c r="AB308" s="230"/>
      <c r="AC308" s="230"/>
      <c r="AD308" s="162"/>
      <c r="AE308" s="162"/>
      <c r="AF308" s="162"/>
      <c r="AG308" s="162"/>
      <c r="AH308" s="162"/>
      <c r="AI308" s="230"/>
      <c r="AJ308" s="230"/>
      <c r="AK308" s="162"/>
      <c r="AL308" s="162"/>
      <c r="AM308" s="162"/>
      <c r="AN308" s="162"/>
      <c r="AO308" s="162"/>
      <c r="AP308" s="230"/>
      <c r="AQ308" s="230"/>
      <c r="AR308" s="162"/>
      <c r="AS308" s="162"/>
      <c r="AT308" s="162"/>
      <c r="AU308" s="162"/>
      <c r="AV308" s="162"/>
      <c r="AW308" s="230"/>
      <c r="AX308" s="230"/>
      <c r="AY308" s="162"/>
      <c r="AZ308" s="162"/>
      <c r="BA308" s="162"/>
      <c r="BB308" s="162"/>
      <c r="BC308" s="162"/>
      <c r="BD308" s="230"/>
      <c r="BE308" s="230"/>
      <c r="BF308" s="162"/>
      <c r="BG308" s="162"/>
      <c r="BH308" s="162"/>
      <c r="BI308" s="162"/>
      <c r="BJ308" s="162"/>
      <c r="BK308" s="230"/>
      <c r="BL308" s="230"/>
      <c r="BM308" s="162"/>
      <c r="BN308" s="162"/>
      <c r="BO308" s="162"/>
      <c r="BP308" s="162"/>
      <c r="BQ308" s="162"/>
      <c r="BR308" s="230"/>
      <c r="BS308" s="230"/>
      <c r="BT308" s="162"/>
      <c r="BU308" s="162"/>
      <c r="BV308" s="162"/>
      <c r="BW308" s="162"/>
      <c r="BX308" s="162"/>
      <c r="BY308" s="230"/>
      <c r="BZ308" s="230"/>
      <c r="CA308" s="162"/>
      <c r="CB308" s="162"/>
      <c r="CC308" s="162"/>
      <c r="CD308" s="162"/>
      <c r="CE308" s="162"/>
      <c r="CF308" s="230"/>
      <c r="CG308" s="230"/>
      <c r="CH308" s="162"/>
      <c r="CI308" s="162"/>
      <c r="CJ308" s="162"/>
      <c r="CK308" s="162"/>
      <c r="CL308" s="162"/>
      <c r="CM308" s="230"/>
      <c r="CN308" s="230"/>
      <c r="CO308" s="162"/>
      <c r="CP308" s="162"/>
      <c r="CQ308" s="162"/>
      <c r="CR308" s="162"/>
      <c r="CS308" s="162"/>
      <c r="CT308" s="230"/>
      <c r="CU308" s="230"/>
      <c r="CV308" s="162"/>
      <c r="CW308" s="162"/>
      <c r="CX308" s="162"/>
      <c r="CY308" s="162"/>
      <c r="CZ308" s="162"/>
      <c r="DA308" s="230"/>
      <c r="DB308" s="230"/>
      <c r="DC308" s="162"/>
      <c r="DD308" s="162"/>
      <c r="DE308" s="162"/>
      <c r="DF308" s="162"/>
      <c r="DG308" s="162"/>
      <c r="DH308" s="230"/>
      <c r="DI308" s="230"/>
      <c r="DJ308" s="162"/>
      <c r="DK308" s="162"/>
      <c r="DL308" s="146"/>
      <c r="DM308" s="88"/>
      <c r="DN308" s="88"/>
      <c r="DO308" s="88"/>
      <c r="DP308" s="88"/>
      <c r="DQ308" s="88"/>
      <c r="DR308" s="88"/>
      <c r="DS308" s="88"/>
      <c r="DT308" s="88"/>
      <c r="DU308" s="88"/>
      <c r="DV308" s="88"/>
      <c r="DW308" s="146"/>
      <c r="DX308" s="146"/>
      <c r="DY308" s="146"/>
      <c r="DZ308" s="146"/>
      <c r="EA308" s="146"/>
      <c r="EB308" s="146"/>
      <c r="EC308" s="146"/>
      <c r="ED308" s="146"/>
      <c r="EE308" s="146"/>
      <c r="EF308" s="146"/>
      <c r="EG308" s="146"/>
      <c r="EH308" s="146"/>
    </row>
    <row r="309" spans="1:138" x14ac:dyDescent="0.25">
      <c r="A309" s="147"/>
      <c r="B309" s="147"/>
      <c r="C309" s="160"/>
      <c r="D309" s="160"/>
      <c r="E309" s="169"/>
      <c r="F309" s="229"/>
      <c r="G309" s="165"/>
      <c r="H309" s="165"/>
      <c r="I309" s="163"/>
      <c r="J309" s="163"/>
      <c r="K309" s="162"/>
      <c r="L309" s="162"/>
      <c r="M309" s="162"/>
      <c r="N309" s="230"/>
      <c r="O309" s="230"/>
      <c r="P309" s="162"/>
      <c r="Q309" s="162"/>
      <c r="R309" s="162"/>
      <c r="S309" s="162"/>
      <c r="T309" s="162"/>
      <c r="U309" s="230"/>
      <c r="V309" s="230"/>
      <c r="W309" s="162"/>
      <c r="X309" s="162"/>
      <c r="Y309" s="162"/>
      <c r="Z309" s="162"/>
      <c r="AA309" s="162"/>
      <c r="AB309" s="230"/>
      <c r="AC309" s="230"/>
      <c r="AD309" s="162"/>
      <c r="AE309" s="162"/>
      <c r="AF309" s="162"/>
      <c r="AG309" s="162"/>
      <c r="AH309" s="162"/>
      <c r="AI309" s="230"/>
      <c r="AJ309" s="230"/>
      <c r="AK309" s="162"/>
      <c r="AL309" s="162"/>
      <c r="AM309" s="162"/>
      <c r="AN309" s="162"/>
      <c r="AO309" s="162"/>
      <c r="AP309" s="230"/>
      <c r="AQ309" s="230"/>
      <c r="AR309" s="162"/>
      <c r="AS309" s="162"/>
      <c r="AT309" s="162"/>
      <c r="AU309" s="162"/>
      <c r="AV309" s="162"/>
      <c r="AW309" s="230"/>
      <c r="AX309" s="230"/>
      <c r="AY309" s="162"/>
      <c r="AZ309" s="162"/>
      <c r="BA309" s="162"/>
      <c r="BB309" s="162"/>
      <c r="BC309" s="162"/>
      <c r="BD309" s="230"/>
      <c r="BE309" s="230"/>
      <c r="BF309" s="162"/>
      <c r="BG309" s="162"/>
      <c r="BH309" s="162"/>
      <c r="BI309" s="162"/>
      <c r="BJ309" s="162"/>
      <c r="BK309" s="230"/>
      <c r="BL309" s="230"/>
      <c r="BM309" s="162"/>
      <c r="BN309" s="162"/>
      <c r="BO309" s="162"/>
      <c r="BP309" s="162"/>
      <c r="BQ309" s="162"/>
      <c r="BR309" s="230"/>
      <c r="BS309" s="230"/>
      <c r="BT309" s="162"/>
      <c r="BU309" s="162"/>
      <c r="BV309" s="162"/>
      <c r="BW309" s="162"/>
      <c r="BX309" s="162"/>
      <c r="BY309" s="230"/>
      <c r="BZ309" s="230"/>
      <c r="CA309" s="162"/>
      <c r="CB309" s="162"/>
      <c r="CC309" s="162"/>
      <c r="CD309" s="162"/>
      <c r="CE309" s="162"/>
      <c r="CF309" s="230"/>
      <c r="CG309" s="230"/>
      <c r="CH309" s="162"/>
      <c r="CI309" s="162"/>
      <c r="CJ309" s="162"/>
      <c r="CK309" s="162"/>
      <c r="CL309" s="162"/>
      <c r="CM309" s="230"/>
      <c r="CN309" s="230"/>
      <c r="CO309" s="162"/>
      <c r="CP309" s="162"/>
      <c r="CQ309" s="162"/>
      <c r="CR309" s="162"/>
      <c r="CS309" s="162"/>
      <c r="CT309" s="230"/>
      <c r="CU309" s="230"/>
      <c r="CV309" s="162"/>
      <c r="CW309" s="162"/>
      <c r="CX309" s="162"/>
      <c r="CY309" s="162"/>
      <c r="CZ309" s="162"/>
      <c r="DA309" s="230"/>
      <c r="DB309" s="230"/>
      <c r="DC309" s="162"/>
      <c r="DD309" s="162"/>
      <c r="DE309" s="162"/>
      <c r="DF309" s="162"/>
      <c r="DG309" s="162"/>
      <c r="DH309" s="230"/>
      <c r="DI309" s="230"/>
      <c r="DJ309" s="162"/>
      <c r="DK309" s="162"/>
      <c r="DL309" s="146"/>
      <c r="DM309" s="371"/>
      <c r="DN309" s="372"/>
      <c r="DO309" s="372"/>
      <c r="DP309" s="372"/>
      <c r="DQ309" s="372"/>
      <c r="DR309" s="372"/>
      <c r="DS309" s="372"/>
      <c r="DT309" s="372"/>
      <c r="DU309" s="372"/>
      <c r="DV309" s="372"/>
      <c r="DW309" s="146"/>
      <c r="DX309" s="146"/>
      <c r="DY309" s="146"/>
      <c r="DZ309" s="146"/>
      <c r="EA309" s="146"/>
      <c r="EB309" s="146"/>
      <c r="EC309" s="146"/>
      <c r="ED309" s="146"/>
      <c r="EE309" s="146"/>
      <c r="EF309" s="146"/>
      <c r="EG309" s="146"/>
      <c r="EH309" s="146"/>
    </row>
    <row r="310" spans="1:138" x14ac:dyDescent="0.25">
      <c r="A310" s="147"/>
      <c r="B310" s="147"/>
      <c r="C310" s="160"/>
      <c r="D310" s="160"/>
      <c r="E310" s="169"/>
      <c r="F310" s="229"/>
      <c r="G310" s="165"/>
      <c r="H310" s="165"/>
      <c r="I310" s="163"/>
      <c r="J310" s="163"/>
      <c r="K310" s="162"/>
      <c r="L310" s="162"/>
      <c r="M310" s="162"/>
      <c r="N310" s="230"/>
      <c r="O310" s="230"/>
      <c r="P310" s="162"/>
      <c r="Q310" s="162"/>
      <c r="R310" s="162"/>
      <c r="S310" s="162"/>
      <c r="T310" s="162"/>
      <c r="U310" s="230"/>
      <c r="V310" s="230"/>
      <c r="W310" s="162"/>
      <c r="X310" s="162"/>
      <c r="Y310" s="162"/>
      <c r="Z310" s="162"/>
      <c r="AA310" s="162"/>
      <c r="AB310" s="230"/>
      <c r="AC310" s="230"/>
      <c r="AD310" s="162"/>
      <c r="AE310" s="162"/>
      <c r="AF310" s="162"/>
      <c r="AG310" s="162"/>
      <c r="AH310" s="162"/>
      <c r="AI310" s="230"/>
      <c r="AJ310" s="230"/>
      <c r="AK310" s="162"/>
      <c r="AL310" s="162"/>
      <c r="AM310" s="162"/>
      <c r="AN310" s="162"/>
      <c r="AO310" s="162"/>
      <c r="AP310" s="230"/>
      <c r="AQ310" s="230"/>
      <c r="AR310" s="162"/>
      <c r="AS310" s="162"/>
      <c r="AT310" s="162"/>
      <c r="AU310" s="162"/>
      <c r="AV310" s="162"/>
      <c r="AW310" s="230"/>
      <c r="AX310" s="230"/>
      <c r="AY310" s="162"/>
      <c r="AZ310" s="162"/>
      <c r="BA310" s="162"/>
      <c r="BB310" s="162"/>
      <c r="BC310" s="162"/>
      <c r="BD310" s="230"/>
      <c r="BE310" s="230"/>
      <c r="BF310" s="162"/>
      <c r="BG310" s="162"/>
      <c r="BH310" s="162"/>
      <c r="BI310" s="162"/>
      <c r="BJ310" s="162"/>
      <c r="BK310" s="230"/>
      <c r="BL310" s="230"/>
      <c r="BM310" s="162"/>
      <c r="BN310" s="162"/>
      <c r="BO310" s="162"/>
      <c r="BP310" s="162"/>
      <c r="BQ310" s="162"/>
      <c r="BR310" s="230"/>
      <c r="BS310" s="230"/>
      <c r="BT310" s="162"/>
      <c r="BU310" s="162"/>
      <c r="BV310" s="162"/>
      <c r="BW310" s="162"/>
      <c r="BX310" s="162"/>
      <c r="BY310" s="230"/>
      <c r="BZ310" s="230"/>
      <c r="CA310" s="162"/>
      <c r="CB310" s="162"/>
      <c r="CC310" s="162"/>
      <c r="CD310" s="162"/>
      <c r="CE310" s="162"/>
      <c r="CF310" s="230"/>
      <c r="CG310" s="230"/>
      <c r="CH310" s="162"/>
      <c r="CI310" s="162"/>
      <c r="CJ310" s="162"/>
      <c r="CK310" s="162"/>
      <c r="CL310" s="162"/>
      <c r="CM310" s="230"/>
      <c r="CN310" s="230"/>
      <c r="CO310" s="162"/>
      <c r="CP310" s="162"/>
      <c r="CQ310" s="162"/>
      <c r="CR310" s="162"/>
      <c r="CS310" s="162"/>
      <c r="CT310" s="230"/>
      <c r="CU310" s="230"/>
      <c r="CV310" s="162"/>
      <c r="CW310" s="162"/>
      <c r="CX310" s="162"/>
      <c r="CY310" s="162"/>
      <c r="CZ310" s="162"/>
      <c r="DA310" s="230"/>
      <c r="DB310" s="230"/>
      <c r="DC310" s="162"/>
      <c r="DD310" s="162"/>
      <c r="DE310" s="162"/>
      <c r="DF310" s="162"/>
      <c r="DG310" s="162"/>
      <c r="DH310" s="230"/>
      <c r="DI310" s="230"/>
      <c r="DJ310" s="162"/>
      <c r="DK310" s="162"/>
      <c r="DL310" s="146"/>
      <c r="DM310" s="371"/>
      <c r="DN310" s="372"/>
      <c r="DO310" s="372"/>
      <c r="DP310" s="372"/>
      <c r="DQ310" s="372"/>
      <c r="DR310" s="372"/>
      <c r="DS310" s="372"/>
      <c r="DT310" s="372"/>
      <c r="DU310" s="372"/>
      <c r="DV310" s="372"/>
      <c r="DW310" s="146"/>
      <c r="DX310" s="146"/>
      <c r="DY310" s="146"/>
      <c r="DZ310" s="146"/>
      <c r="EA310" s="146"/>
      <c r="EB310" s="146"/>
      <c r="EC310" s="146"/>
      <c r="ED310" s="146"/>
      <c r="EE310" s="146"/>
      <c r="EF310" s="146"/>
      <c r="EG310" s="146"/>
      <c r="EH310" s="146"/>
    </row>
    <row r="311" spans="1:138" x14ac:dyDescent="0.25">
      <c r="A311" s="147"/>
      <c r="B311" s="147"/>
      <c r="C311" s="160"/>
      <c r="D311" s="160"/>
      <c r="E311" s="169"/>
      <c r="F311" s="229"/>
      <c r="G311" s="165"/>
      <c r="H311" s="165"/>
      <c r="I311" s="163"/>
      <c r="J311" s="163"/>
      <c r="K311" s="162"/>
      <c r="L311" s="162"/>
      <c r="M311" s="162"/>
      <c r="N311" s="230"/>
      <c r="O311" s="230"/>
      <c r="P311" s="162"/>
      <c r="Q311" s="162"/>
      <c r="R311" s="162"/>
      <c r="S311" s="162"/>
      <c r="T311" s="162"/>
      <c r="U311" s="230"/>
      <c r="V311" s="230"/>
      <c r="W311" s="162"/>
      <c r="X311" s="162"/>
      <c r="Y311" s="162"/>
      <c r="Z311" s="162"/>
      <c r="AA311" s="162"/>
      <c r="AB311" s="230"/>
      <c r="AC311" s="230"/>
      <c r="AD311" s="162"/>
      <c r="AE311" s="162"/>
      <c r="AF311" s="162"/>
      <c r="AG311" s="162"/>
      <c r="AH311" s="162"/>
      <c r="AI311" s="230"/>
      <c r="AJ311" s="230"/>
      <c r="AK311" s="162"/>
      <c r="AL311" s="162"/>
      <c r="AM311" s="162"/>
      <c r="AN311" s="162"/>
      <c r="AO311" s="162"/>
      <c r="AP311" s="230"/>
      <c r="AQ311" s="230"/>
      <c r="AR311" s="162"/>
      <c r="AS311" s="162"/>
      <c r="AT311" s="162"/>
      <c r="AU311" s="162"/>
      <c r="AV311" s="162"/>
      <c r="AW311" s="230"/>
      <c r="AX311" s="230"/>
      <c r="AY311" s="162"/>
      <c r="AZ311" s="162"/>
      <c r="BA311" s="162"/>
      <c r="BB311" s="162"/>
      <c r="BC311" s="162"/>
      <c r="BD311" s="230"/>
      <c r="BE311" s="230"/>
      <c r="BF311" s="162"/>
      <c r="BG311" s="162"/>
      <c r="BH311" s="162"/>
      <c r="BI311" s="162"/>
      <c r="BJ311" s="162"/>
      <c r="BK311" s="230"/>
      <c r="BL311" s="230"/>
      <c r="BM311" s="162"/>
      <c r="BN311" s="162"/>
      <c r="BO311" s="162"/>
      <c r="BP311" s="162"/>
      <c r="BQ311" s="162"/>
      <c r="BR311" s="230"/>
      <c r="BS311" s="230"/>
      <c r="BT311" s="162"/>
      <c r="BU311" s="162"/>
      <c r="BV311" s="162"/>
      <c r="BW311" s="162"/>
      <c r="BX311" s="162"/>
      <c r="BY311" s="230"/>
      <c r="BZ311" s="230"/>
      <c r="CA311" s="162"/>
      <c r="CB311" s="162"/>
      <c r="CC311" s="162"/>
      <c r="CD311" s="162"/>
      <c r="CE311" s="162"/>
      <c r="CF311" s="230"/>
      <c r="CG311" s="230"/>
      <c r="CH311" s="162"/>
      <c r="CI311" s="162"/>
      <c r="CJ311" s="162"/>
      <c r="CK311" s="162"/>
      <c r="CL311" s="162"/>
      <c r="CM311" s="230"/>
      <c r="CN311" s="230"/>
      <c r="CO311" s="162"/>
      <c r="CP311" s="162"/>
      <c r="CQ311" s="162"/>
      <c r="CR311" s="162"/>
      <c r="CS311" s="162"/>
      <c r="CT311" s="230"/>
      <c r="CU311" s="230"/>
      <c r="CV311" s="162"/>
      <c r="CW311" s="162"/>
      <c r="CX311" s="162"/>
      <c r="CY311" s="162"/>
      <c r="CZ311" s="162"/>
      <c r="DA311" s="230"/>
      <c r="DB311" s="230"/>
      <c r="DC311" s="162"/>
      <c r="DD311" s="162"/>
      <c r="DE311" s="162"/>
      <c r="DF311" s="162"/>
      <c r="DG311" s="162"/>
      <c r="DH311" s="230"/>
      <c r="DI311" s="230"/>
      <c r="DJ311" s="162"/>
      <c r="DK311" s="162"/>
      <c r="DL311" s="226"/>
      <c r="DM311" s="380"/>
      <c r="DN311" s="372"/>
      <c r="DO311" s="372"/>
      <c r="DP311" s="372"/>
      <c r="DQ311" s="372"/>
      <c r="DR311" s="372"/>
      <c r="DS311" s="372"/>
      <c r="DT311" s="88"/>
      <c r="DU311" s="88"/>
      <c r="DV311" s="88"/>
      <c r="DW311" s="226"/>
      <c r="DX311" s="226"/>
      <c r="DY311" s="226"/>
      <c r="DZ311" s="226"/>
      <c r="EA311" s="226"/>
      <c r="EB311" s="226"/>
      <c r="EC311" s="226"/>
      <c r="ED311" s="226"/>
      <c r="EE311" s="226"/>
      <c r="EF311" s="226"/>
      <c r="EG311" s="226"/>
      <c r="EH311" s="226"/>
    </row>
    <row r="312" spans="1:138" x14ac:dyDescent="0.25">
      <c r="A312" s="147"/>
      <c r="B312" s="147"/>
      <c r="C312" s="160"/>
      <c r="D312" s="160"/>
      <c r="E312" s="169"/>
      <c r="F312" s="229"/>
      <c r="G312" s="165"/>
      <c r="H312" s="165"/>
      <c r="I312" s="163"/>
      <c r="J312" s="163"/>
      <c r="K312" s="162"/>
      <c r="L312" s="162"/>
      <c r="M312" s="162"/>
      <c r="N312" s="230"/>
      <c r="O312" s="230"/>
      <c r="P312" s="162"/>
      <c r="Q312" s="162"/>
      <c r="R312" s="162"/>
      <c r="S312" s="162"/>
      <c r="T312" s="162"/>
      <c r="U312" s="230"/>
      <c r="V312" s="230"/>
      <c r="W312" s="162"/>
      <c r="X312" s="162"/>
      <c r="Y312" s="162"/>
      <c r="Z312" s="162"/>
      <c r="AA312" s="162"/>
      <c r="AB312" s="230"/>
      <c r="AC312" s="230"/>
      <c r="AD312" s="162"/>
      <c r="AE312" s="162"/>
      <c r="AF312" s="162"/>
      <c r="AG312" s="162"/>
      <c r="AH312" s="162"/>
      <c r="AI312" s="230"/>
      <c r="AJ312" s="230"/>
      <c r="AK312" s="162"/>
      <c r="AL312" s="162"/>
      <c r="AM312" s="162"/>
      <c r="AN312" s="162"/>
      <c r="AO312" s="162"/>
      <c r="AP312" s="230"/>
      <c r="AQ312" s="230"/>
      <c r="AR312" s="162"/>
      <c r="AS312" s="162"/>
      <c r="AT312" s="162"/>
      <c r="AU312" s="162"/>
      <c r="AV312" s="162"/>
      <c r="AW312" s="230"/>
      <c r="AX312" s="230"/>
      <c r="AY312" s="162"/>
      <c r="AZ312" s="162"/>
      <c r="BA312" s="162"/>
      <c r="BB312" s="162"/>
      <c r="BC312" s="162"/>
      <c r="BD312" s="230"/>
      <c r="BE312" s="230"/>
      <c r="BF312" s="162"/>
      <c r="BG312" s="162"/>
      <c r="BH312" s="162"/>
      <c r="BI312" s="162"/>
      <c r="BJ312" s="162"/>
      <c r="BK312" s="230"/>
      <c r="BL312" s="230"/>
      <c r="BM312" s="162"/>
      <c r="BN312" s="162"/>
      <c r="BO312" s="162"/>
      <c r="BP312" s="162"/>
      <c r="BQ312" s="162"/>
      <c r="BR312" s="230"/>
      <c r="BS312" s="230"/>
      <c r="BT312" s="162"/>
      <c r="BU312" s="162"/>
      <c r="BV312" s="162"/>
      <c r="BW312" s="162"/>
      <c r="BX312" s="162"/>
      <c r="BY312" s="230"/>
      <c r="BZ312" s="230"/>
      <c r="CA312" s="162"/>
      <c r="CB312" s="162"/>
      <c r="CC312" s="162"/>
      <c r="CD312" s="162"/>
      <c r="CE312" s="162"/>
      <c r="CF312" s="230"/>
      <c r="CG312" s="230"/>
      <c r="CH312" s="162"/>
      <c r="CI312" s="162"/>
      <c r="CJ312" s="162"/>
      <c r="CK312" s="162"/>
      <c r="CL312" s="162"/>
      <c r="CM312" s="230"/>
      <c r="CN312" s="230"/>
      <c r="CO312" s="162"/>
      <c r="CP312" s="162"/>
      <c r="CQ312" s="162"/>
      <c r="CR312" s="162"/>
      <c r="CS312" s="162"/>
      <c r="CT312" s="230"/>
      <c r="CU312" s="230"/>
      <c r="CV312" s="162"/>
      <c r="CW312" s="162"/>
      <c r="CX312" s="162"/>
      <c r="CY312" s="162"/>
      <c r="CZ312" s="162"/>
      <c r="DA312" s="230"/>
      <c r="DB312" s="230"/>
      <c r="DC312" s="162"/>
      <c r="DD312" s="162"/>
      <c r="DE312" s="162"/>
      <c r="DF312" s="162"/>
      <c r="DG312" s="162"/>
      <c r="DH312" s="230"/>
      <c r="DI312" s="230"/>
      <c r="DJ312" s="162"/>
      <c r="DK312" s="162"/>
      <c r="DL312" s="50"/>
      <c r="DM312" s="380"/>
      <c r="DN312" s="372"/>
      <c r="DO312" s="372"/>
      <c r="DP312" s="372"/>
      <c r="DQ312" s="372"/>
      <c r="DR312" s="372"/>
      <c r="DS312" s="372"/>
      <c r="DT312" s="88"/>
      <c r="DU312" s="88"/>
      <c r="DV312" s="88"/>
      <c r="DW312" s="50"/>
      <c r="DX312" s="50"/>
      <c r="DY312" s="50"/>
      <c r="DZ312" s="50"/>
      <c r="EA312" s="50"/>
      <c r="EB312" s="50"/>
      <c r="EC312" s="50"/>
      <c r="ED312" s="50"/>
      <c r="EE312" s="50"/>
      <c r="EF312" s="50"/>
      <c r="EG312" s="50"/>
      <c r="EH312" s="50"/>
    </row>
    <row r="313" spans="1:138" x14ac:dyDescent="0.25">
      <c r="A313" s="147"/>
      <c r="B313" s="147"/>
      <c r="C313" s="160"/>
      <c r="D313" s="160"/>
      <c r="E313" s="169"/>
      <c r="F313" s="229"/>
      <c r="G313" s="165"/>
      <c r="H313" s="165"/>
      <c r="I313" s="163"/>
      <c r="J313" s="163"/>
      <c r="K313" s="162"/>
      <c r="L313" s="162"/>
      <c r="M313" s="162"/>
      <c r="N313" s="230"/>
      <c r="O313" s="230"/>
      <c r="P313" s="162"/>
      <c r="Q313" s="162"/>
      <c r="R313" s="162"/>
      <c r="S313" s="162"/>
      <c r="T313" s="162"/>
      <c r="U313" s="230"/>
      <c r="V313" s="230"/>
      <c r="W313" s="162"/>
      <c r="X313" s="162"/>
      <c r="Y313" s="162"/>
      <c r="Z313" s="162"/>
      <c r="AA313" s="162"/>
      <c r="AB313" s="230"/>
      <c r="AC313" s="230"/>
      <c r="AD313" s="162"/>
      <c r="AE313" s="162"/>
      <c r="AF313" s="162"/>
      <c r="AG313" s="162"/>
      <c r="AH313" s="162"/>
      <c r="AI313" s="230"/>
      <c r="AJ313" s="230"/>
      <c r="AK313" s="162"/>
      <c r="AL313" s="162"/>
      <c r="AM313" s="162"/>
      <c r="AN313" s="162"/>
      <c r="AO313" s="162"/>
      <c r="AP313" s="230"/>
      <c r="AQ313" s="230"/>
      <c r="AR313" s="162"/>
      <c r="AS313" s="162"/>
      <c r="AT313" s="162"/>
      <c r="AU313" s="162"/>
      <c r="AV313" s="162"/>
      <c r="AW313" s="230"/>
      <c r="AX313" s="230"/>
      <c r="AY313" s="162"/>
      <c r="AZ313" s="162"/>
      <c r="BA313" s="162"/>
      <c r="BB313" s="162"/>
      <c r="BC313" s="162"/>
      <c r="BD313" s="230"/>
      <c r="BE313" s="230"/>
      <c r="BF313" s="162"/>
      <c r="BG313" s="162"/>
      <c r="BH313" s="162"/>
      <c r="BI313" s="162"/>
      <c r="BJ313" s="162"/>
      <c r="BK313" s="230"/>
      <c r="BL313" s="230"/>
      <c r="BM313" s="162"/>
      <c r="BN313" s="162"/>
      <c r="BO313" s="162"/>
      <c r="BP313" s="162"/>
      <c r="BQ313" s="162"/>
      <c r="BR313" s="230"/>
      <c r="BS313" s="230"/>
      <c r="BT313" s="162"/>
      <c r="BU313" s="162"/>
      <c r="BV313" s="162"/>
      <c r="BW313" s="162"/>
      <c r="BX313" s="162"/>
      <c r="BY313" s="230"/>
      <c r="BZ313" s="230"/>
      <c r="CA313" s="162"/>
      <c r="CB313" s="162"/>
      <c r="CC313" s="162"/>
      <c r="CD313" s="162"/>
      <c r="CE313" s="162"/>
      <c r="CF313" s="230"/>
      <c r="CG313" s="230"/>
      <c r="CH313" s="162"/>
      <c r="CI313" s="162"/>
      <c r="CJ313" s="162"/>
      <c r="CK313" s="162"/>
      <c r="CL313" s="162"/>
      <c r="CM313" s="230"/>
      <c r="CN313" s="230"/>
      <c r="CO313" s="162"/>
      <c r="CP313" s="162"/>
      <c r="CQ313" s="162"/>
      <c r="CR313" s="162"/>
      <c r="CS313" s="162"/>
      <c r="CT313" s="230"/>
      <c r="CU313" s="230"/>
      <c r="CV313" s="162"/>
      <c r="CW313" s="162"/>
      <c r="CX313" s="162"/>
      <c r="CY313" s="162"/>
      <c r="CZ313" s="162"/>
      <c r="DA313" s="230"/>
      <c r="DB313" s="230"/>
      <c r="DC313" s="162"/>
      <c r="DD313" s="162"/>
      <c r="DE313" s="162"/>
      <c r="DF313" s="162"/>
      <c r="DG313" s="162"/>
      <c r="DH313" s="230"/>
      <c r="DI313" s="230"/>
      <c r="DJ313" s="162"/>
      <c r="DK313" s="162"/>
      <c r="DL313" s="75"/>
      <c r="DM313" s="380"/>
      <c r="DN313" s="372"/>
      <c r="DO313" s="372"/>
      <c r="DP313" s="372"/>
      <c r="DQ313" s="372"/>
      <c r="DR313" s="372"/>
      <c r="DS313" s="372"/>
      <c r="DT313" s="146"/>
      <c r="DU313" s="146"/>
      <c r="DV313" s="146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</row>
    <row r="314" spans="1:138" x14ac:dyDescent="0.25">
      <c r="A314" s="147"/>
      <c r="B314" s="147"/>
      <c r="C314" s="160"/>
      <c r="D314" s="160"/>
      <c r="E314" s="169"/>
      <c r="F314" s="229"/>
      <c r="G314" s="165"/>
      <c r="H314" s="165"/>
      <c r="I314" s="163"/>
      <c r="J314" s="163"/>
      <c r="K314" s="162"/>
      <c r="L314" s="162"/>
      <c r="M314" s="162"/>
      <c r="N314" s="230"/>
      <c r="O314" s="230"/>
      <c r="P314" s="162"/>
      <c r="Q314" s="162"/>
      <c r="R314" s="162"/>
      <c r="S314" s="162"/>
      <c r="T314" s="162"/>
      <c r="U314" s="230"/>
      <c r="V314" s="230"/>
      <c r="W314" s="162"/>
      <c r="X314" s="162"/>
      <c r="Y314" s="162"/>
      <c r="Z314" s="162"/>
      <c r="AA314" s="162"/>
      <c r="AB314" s="230"/>
      <c r="AC314" s="230"/>
      <c r="AD314" s="162"/>
      <c r="AE314" s="162"/>
      <c r="AF314" s="162"/>
      <c r="AG314" s="162"/>
      <c r="AH314" s="162"/>
      <c r="AI314" s="230"/>
      <c r="AJ314" s="230"/>
      <c r="AK314" s="162"/>
      <c r="AL314" s="162"/>
      <c r="AM314" s="162"/>
      <c r="AN314" s="162"/>
      <c r="AO314" s="162"/>
      <c r="AP314" s="230"/>
      <c r="AQ314" s="230"/>
      <c r="AR314" s="162"/>
      <c r="AS314" s="162"/>
      <c r="AT314" s="162"/>
      <c r="AU314" s="162"/>
      <c r="AV314" s="162"/>
      <c r="AW314" s="230"/>
      <c r="AX314" s="230"/>
      <c r="AY314" s="162"/>
      <c r="AZ314" s="162"/>
      <c r="BA314" s="162"/>
      <c r="BB314" s="162"/>
      <c r="BC314" s="162"/>
      <c r="BD314" s="230"/>
      <c r="BE314" s="230"/>
      <c r="BF314" s="162"/>
      <c r="BG314" s="162"/>
      <c r="BH314" s="162"/>
      <c r="BI314" s="162"/>
      <c r="BJ314" s="162"/>
      <c r="BK314" s="230"/>
      <c r="BL314" s="230"/>
      <c r="BM314" s="162"/>
      <c r="BN314" s="162"/>
      <c r="BO314" s="162"/>
      <c r="BP314" s="162"/>
      <c r="BQ314" s="162"/>
      <c r="BR314" s="230"/>
      <c r="BS314" s="230"/>
      <c r="BT314" s="162"/>
      <c r="BU314" s="162"/>
      <c r="BV314" s="162"/>
      <c r="BW314" s="162"/>
      <c r="BX314" s="162"/>
      <c r="BY314" s="230"/>
      <c r="BZ314" s="230"/>
      <c r="CA314" s="162"/>
      <c r="CB314" s="162"/>
      <c r="CC314" s="162"/>
      <c r="CD314" s="162"/>
      <c r="CE314" s="162"/>
      <c r="CF314" s="230"/>
      <c r="CG314" s="230"/>
      <c r="CH314" s="162"/>
      <c r="CI314" s="162"/>
      <c r="CJ314" s="162"/>
      <c r="CK314" s="162"/>
      <c r="CL314" s="162"/>
      <c r="CM314" s="230"/>
      <c r="CN314" s="230"/>
      <c r="CO314" s="162"/>
      <c r="CP314" s="162"/>
      <c r="CQ314" s="162"/>
      <c r="CR314" s="162"/>
      <c r="CS314" s="162"/>
      <c r="CT314" s="230"/>
      <c r="CU314" s="230"/>
      <c r="CV314" s="162"/>
      <c r="CW314" s="162"/>
      <c r="CX314" s="162"/>
      <c r="CY314" s="162"/>
      <c r="CZ314" s="162"/>
      <c r="DA314" s="230"/>
      <c r="DB314" s="230"/>
      <c r="DC314" s="162"/>
      <c r="DD314" s="162"/>
      <c r="DE314" s="162"/>
      <c r="DF314" s="162"/>
      <c r="DG314" s="162"/>
      <c r="DH314" s="230"/>
      <c r="DI314" s="230"/>
      <c r="DJ314" s="162"/>
      <c r="DK314" s="162"/>
      <c r="DL314" s="75"/>
      <c r="DM314" s="88"/>
      <c r="DN314" s="88"/>
      <c r="DO314" s="88"/>
      <c r="DP314" s="88"/>
      <c r="DQ314" s="88"/>
      <c r="DR314" s="88"/>
      <c r="DS314" s="88"/>
      <c r="DT314" s="88"/>
      <c r="DU314" s="88"/>
      <c r="DV314" s="88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</row>
    <row r="315" spans="1:138" x14ac:dyDescent="0.25">
      <c r="A315" s="147"/>
      <c r="B315" s="147"/>
      <c r="C315" s="160"/>
      <c r="D315" s="160"/>
      <c r="E315" s="169"/>
      <c r="F315" s="229"/>
      <c r="G315" s="165"/>
      <c r="H315" s="165"/>
      <c r="I315" s="163"/>
      <c r="J315" s="163"/>
      <c r="K315" s="162"/>
      <c r="L315" s="162"/>
      <c r="M315" s="162"/>
      <c r="N315" s="230"/>
      <c r="O315" s="230"/>
      <c r="P315" s="162"/>
      <c r="Q315" s="162"/>
      <c r="R315" s="162"/>
      <c r="S315" s="162"/>
      <c r="T315" s="162"/>
      <c r="U315" s="230"/>
      <c r="V315" s="230"/>
      <c r="W315" s="162"/>
      <c r="X315" s="162"/>
      <c r="Y315" s="162"/>
      <c r="Z315" s="162"/>
      <c r="AA315" s="162"/>
      <c r="AB315" s="230"/>
      <c r="AC315" s="230"/>
      <c r="AD315" s="162"/>
      <c r="AE315" s="162"/>
      <c r="AF315" s="162"/>
      <c r="AG315" s="162"/>
      <c r="AH315" s="162"/>
      <c r="AI315" s="230"/>
      <c r="AJ315" s="230"/>
      <c r="AK315" s="162"/>
      <c r="AL315" s="162"/>
      <c r="AM315" s="162"/>
      <c r="AN315" s="162"/>
      <c r="AO315" s="162"/>
      <c r="AP315" s="230"/>
      <c r="AQ315" s="230"/>
      <c r="AR315" s="162"/>
      <c r="AS315" s="162"/>
      <c r="AT315" s="162"/>
      <c r="AU315" s="162"/>
      <c r="AV315" s="162"/>
      <c r="AW315" s="230"/>
      <c r="AX315" s="230"/>
      <c r="AY315" s="162"/>
      <c r="AZ315" s="162"/>
      <c r="BA315" s="162"/>
      <c r="BB315" s="162"/>
      <c r="BC315" s="162"/>
      <c r="BD315" s="230"/>
      <c r="BE315" s="230"/>
      <c r="BF315" s="162"/>
      <c r="BG315" s="162"/>
      <c r="BH315" s="162"/>
      <c r="BI315" s="162"/>
      <c r="BJ315" s="162"/>
      <c r="BK315" s="230"/>
      <c r="BL315" s="230"/>
      <c r="BM315" s="162"/>
      <c r="BN315" s="162"/>
      <c r="BO315" s="162"/>
      <c r="BP315" s="162"/>
      <c r="BQ315" s="162"/>
      <c r="BR315" s="230"/>
      <c r="BS315" s="230"/>
      <c r="BT315" s="162"/>
      <c r="BU315" s="162"/>
      <c r="BV315" s="162"/>
      <c r="BW315" s="162"/>
      <c r="BX315" s="162"/>
      <c r="BY315" s="230"/>
      <c r="BZ315" s="230"/>
      <c r="CA315" s="162"/>
      <c r="CB315" s="162"/>
      <c r="CC315" s="162"/>
      <c r="CD315" s="162"/>
      <c r="CE315" s="162"/>
      <c r="CF315" s="230"/>
      <c r="CG315" s="230"/>
      <c r="CH315" s="162"/>
      <c r="CI315" s="162"/>
      <c r="CJ315" s="162"/>
      <c r="CK315" s="162"/>
      <c r="CL315" s="162"/>
      <c r="CM315" s="230"/>
      <c r="CN315" s="230"/>
      <c r="CO315" s="162"/>
      <c r="CP315" s="162"/>
      <c r="CQ315" s="162"/>
      <c r="CR315" s="162"/>
      <c r="CS315" s="162"/>
      <c r="CT315" s="230"/>
      <c r="CU315" s="230"/>
      <c r="CV315" s="162"/>
      <c r="CW315" s="162"/>
      <c r="CX315" s="162"/>
      <c r="CY315" s="162"/>
      <c r="CZ315" s="162"/>
      <c r="DA315" s="230"/>
      <c r="DB315" s="230"/>
      <c r="DC315" s="162"/>
      <c r="DD315" s="162"/>
      <c r="DE315" s="162"/>
      <c r="DF315" s="162"/>
      <c r="DG315" s="162"/>
      <c r="DH315" s="230"/>
      <c r="DI315" s="230"/>
      <c r="DJ315" s="162"/>
      <c r="DK315" s="162"/>
      <c r="DL315" s="146"/>
      <c r="DM315" s="380"/>
      <c r="DN315" s="372"/>
      <c r="DO315" s="372"/>
      <c r="DP315" s="372"/>
      <c r="DQ315" s="372"/>
      <c r="DR315" s="372"/>
      <c r="DS315" s="372"/>
      <c r="DT315" s="88"/>
      <c r="DU315" s="88"/>
      <c r="DV315" s="88"/>
      <c r="DW315" s="146"/>
      <c r="DX315" s="146"/>
      <c r="DY315" s="146"/>
      <c r="DZ315" s="146"/>
      <c r="EA315" s="146"/>
      <c r="EB315" s="146"/>
      <c r="EC315" s="146"/>
      <c r="ED315" s="146"/>
      <c r="EE315" s="146"/>
      <c r="EF315" s="146"/>
      <c r="EG315" s="146"/>
      <c r="EH315" s="146"/>
    </row>
    <row r="316" spans="1:138" x14ac:dyDescent="0.25">
      <c r="A316" s="147"/>
      <c r="B316" s="147"/>
      <c r="C316" s="160"/>
      <c r="D316" s="160"/>
      <c r="E316" s="169"/>
      <c r="F316" s="229"/>
      <c r="G316" s="165"/>
      <c r="H316" s="165"/>
      <c r="I316" s="163"/>
      <c r="J316" s="163"/>
      <c r="K316" s="162"/>
      <c r="L316" s="162"/>
      <c r="M316" s="162"/>
      <c r="N316" s="230"/>
      <c r="O316" s="230"/>
      <c r="P316" s="162"/>
      <c r="Q316" s="162"/>
      <c r="R316" s="162"/>
      <c r="S316" s="162"/>
      <c r="T316" s="162"/>
      <c r="U316" s="230"/>
      <c r="V316" s="230"/>
      <c r="W316" s="162"/>
      <c r="X316" s="162"/>
      <c r="Y316" s="162"/>
      <c r="Z316" s="162"/>
      <c r="AA316" s="162"/>
      <c r="AB316" s="230"/>
      <c r="AC316" s="230"/>
      <c r="AD316" s="162"/>
      <c r="AE316" s="162"/>
      <c r="AF316" s="162"/>
      <c r="AG316" s="162"/>
      <c r="AH316" s="162"/>
      <c r="AI316" s="230"/>
      <c r="AJ316" s="230"/>
      <c r="AK316" s="162"/>
      <c r="AL316" s="162"/>
      <c r="AM316" s="162"/>
      <c r="AN316" s="162"/>
      <c r="AO316" s="162"/>
      <c r="AP316" s="230"/>
      <c r="AQ316" s="230"/>
      <c r="AR316" s="162"/>
      <c r="AS316" s="162"/>
      <c r="AT316" s="162"/>
      <c r="AU316" s="162"/>
      <c r="AV316" s="162"/>
      <c r="AW316" s="230"/>
      <c r="AX316" s="230"/>
      <c r="AY316" s="162"/>
      <c r="AZ316" s="162"/>
      <c r="BA316" s="162"/>
      <c r="BB316" s="162"/>
      <c r="BC316" s="162"/>
      <c r="BD316" s="230"/>
      <c r="BE316" s="230"/>
      <c r="BF316" s="162"/>
      <c r="BG316" s="162"/>
      <c r="BH316" s="162"/>
      <c r="BI316" s="162"/>
      <c r="BJ316" s="162"/>
      <c r="BK316" s="230"/>
      <c r="BL316" s="230"/>
      <c r="BM316" s="162"/>
      <c r="BN316" s="162"/>
      <c r="BO316" s="162"/>
      <c r="BP316" s="162"/>
      <c r="BQ316" s="162"/>
      <c r="BR316" s="230"/>
      <c r="BS316" s="230"/>
      <c r="BT316" s="162"/>
      <c r="BU316" s="162"/>
      <c r="BV316" s="162"/>
      <c r="BW316" s="162"/>
      <c r="BX316" s="162"/>
      <c r="BY316" s="230"/>
      <c r="BZ316" s="230"/>
      <c r="CA316" s="162"/>
      <c r="CB316" s="162"/>
      <c r="CC316" s="162"/>
      <c r="CD316" s="162"/>
      <c r="CE316" s="162"/>
      <c r="CF316" s="230"/>
      <c r="CG316" s="230"/>
      <c r="CH316" s="162"/>
      <c r="CI316" s="162"/>
      <c r="CJ316" s="162"/>
      <c r="CK316" s="162"/>
      <c r="CL316" s="162"/>
      <c r="CM316" s="230"/>
      <c r="CN316" s="230"/>
      <c r="CO316" s="162"/>
      <c r="CP316" s="162"/>
      <c r="CQ316" s="162"/>
      <c r="CR316" s="162"/>
      <c r="CS316" s="162"/>
      <c r="CT316" s="230"/>
      <c r="CU316" s="230"/>
      <c r="CV316" s="162"/>
      <c r="CW316" s="162"/>
      <c r="CX316" s="162"/>
      <c r="CY316" s="162"/>
      <c r="CZ316" s="162"/>
      <c r="DA316" s="230"/>
      <c r="DB316" s="230"/>
      <c r="DC316" s="162"/>
      <c r="DD316" s="162"/>
      <c r="DE316" s="162"/>
      <c r="DF316" s="162"/>
      <c r="DG316" s="162"/>
      <c r="DH316" s="230"/>
      <c r="DI316" s="230"/>
      <c r="DJ316" s="162"/>
      <c r="DK316" s="162"/>
      <c r="DL316" s="146"/>
      <c r="DM316" s="380"/>
      <c r="DN316" s="372"/>
      <c r="DO316" s="372"/>
      <c r="DP316" s="372"/>
      <c r="DQ316" s="372"/>
      <c r="DR316" s="372"/>
      <c r="DS316" s="372"/>
      <c r="DT316" s="89"/>
      <c r="DU316" s="89"/>
      <c r="DV316" s="89"/>
      <c r="DW316" s="146"/>
      <c r="DX316" s="146"/>
      <c r="DY316" s="146"/>
      <c r="DZ316" s="146"/>
      <c r="EA316" s="146"/>
      <c r="EB316" s="146"/>
      <c r="EC316" s="146"/>
      <c r="ED316" s="146"/>
      <c r="EE316" s="146"/>
      <c r="EF316" s="146"/>
      <c r="EG316" s="146"/>
      <c r="EH316" s="146"/>
    </row>
    <row r="317" spans="1:138" x14ac:dyDescent="0.25">
      <c r="A317" s="147"/>
      <c r="B317" s="147"/>
      <c r="C317" s="160"/>
      <c r="D317" s="160"/>
      <c r="E317" s="169"/>
      <c r="F317" s="229"/>
      <c r="G317" s="165"/>
      <c r="H317" s="165"/>
      <c r="I317" s="163"/>
      <c r="J317" s="163"/>
      <c r="K317" s="162"/>
      <c r="L317" s="162"/>
      <c r="M317" s="162"/>
      <c r="N317" s="230"/>
      <c r="O317" s="230"/>
      <c r="P317" s="162"/>
      <c r="Q317" s="162"/>
      <c r="R317" s="162"/>
      <c r="S317" s="162"/>
      <c r="T317" s="162"/>
      <c r="U317" s="230"/>
      <c r="V317" s="230"/>
      <c r="W317" s="162"/>
      <c r="X317" s="162"/>
      <c r="Y317" s="162"/>
      <c r="Z317" s="162"/>
      <c r="AA317" s="162"/>
      <c r="AB317" s="230"/>
      <c r="AC317" s="230"/>
      <c r="AD317" s="162"/>
      <c r="AE317" s="162"/>
      <c r="AF317" s="162"/>
      <c r="AG317" s="162"/>
      <c r="AH317" s="162"/>
      <c r="AI317" s="230"/>
      <c r="AJ317" s="230"/>
      <c r="AK317" s="162"/>
      <c r="AL317" s="162"/>
      <c r="AM317" s="162"/>
      <c r="AN317" s="162"/>
      <c r="AO317" s="162"/>
      <c r="AP317" s="230"/>
      <c r="AQ317" s="230"/>
      <c r="AR317" s="162"/>
      <c r="AS317" s="162"/>
      <c r="AT317" s="162"/>
      <c r="AU317" s="162"/>
      <c r="AV317" s="162"/>
      <c r="AW317" s="230"/>
      <c r="AX317" s="230"/>
      <c r="AY317" s="162"/>
      <c r="AZ317" s="162"/>
      <c r="BA317" s="162"/>
      <c r="BB317" s="162"/>
      <c r="BC317" s="162"/>
      <c r="BD317" s="230"/>
      <c r="BE317" s="230"/>
      <c r="BF317" s="162"/>
      <c r="BG317" s="162"/>
      <c r="BH317" s="162"/>
      <c r="BI317" s="162"/>
      <c r="BJ317" s="162"/>
      <c r="BK317" s="230"/>
      <c r="BL317" s="230"/>
      <c r="BM317" s="162"/>
      <c r="BN317" s="162"/>
      <c r="BO317" s="162"/>
      <c r="BP317" s="162"/>
      <c r="BQ317" s="162"/>
      <c r="BR317" s="230"/>
      <c r="BS317" s="230"/>
      <c r="BT317" s="162"/>
      <c r="BU317" s="162"/>
      <c r="BV317" s="162"/>
      <c r="BW317" s="162"/>
      <c r="BX317" s="162"/>
      <c r="BY317" s="230"/>
      <c r="BZ317" s="230"/>
      <c r="CA317" s="162"/>
      <c r="CB317" s="162"/>
      <c r="CC317" s="162"/>
      <c r="CD317" s="162"/>
      <c r="CE317" s="162"/>
      <c r="CF317" s="230"/>
      <c r="CG317" s="230"/>
      <c r="CH317" s="162"/>
      <c r="CI317" s="162"/>
      <c r="CJ317" s="162"/>
      <c r="CK317" s="162"/>
      <c r="CL317" s="162"/>
      <c r="CM317" s="230"/>
      <c r="CN317" s="230"/>
      <c r="CO317" s="162"/>
      <c r="CP317" s="162"/>
      <c r="CQ317" s="162"/>
      <c r="CR317" s="162"/>
      <c r="CS317" s="162"/>
      <c r="CT317" s="230"/>
      <c r="CU317" s="230"/>
      <c r="CV317" s="162"/>
      <c r="CW317" s="162"/>
      <c r="CX317" s="162"/>
      <c r="CY317" s="162"/>
      <c r="CZ317" s="162"/>
      <c r="DA317" s="230"/>
      <c r="DB317" s="230"/>
      <c r="DC317" s="162"/>
      <c r="DD317" s="162"/>
      <c r="DE317" s="162"/>
      <c r="DF317" s="162"/>
      <c r="DG317" s="162"/>
      <c r="DH317" s="230"/>
      <c r="DI317" s="230"/>
      <c r="DJ317" s="162"/>
      <c r="DK317" s="162"/>
      <c r="DL317" s="146"/>
      <c r="DM317" s="88"/>
      <c r="DN317" s="88"/>
      <c r="DO317" s="88"/>
      <c r="DP317" s="88"/>
      <c r="DQ317" s="88"/>
      <c r="DR317" s="88"/>
      <c r="DS317" s="88"/>
      <c r="DT317" s="88"/>
      <c r="DU317" s="88"/>
      <c r="DV317" s="88"/>
      <c r="DW317" s="146"/>
      <c r="DX317" s="146"/>
      <c r="DY317" s="146"/>
      <c r="DZ317" s="146"/>
      <c r="EA317" s="146"/>
      <c r="EB317" s="146"/>
      <c r="EC317" s="146"/>
      <c r="ED317" s="146"/>
      <c r="EE317" s="146"/>
      <c r="EF317" s="146"/>
      <c r="EG317" s="146"/>
      <c r="EH317" s="146"/>
    </row>
    <row r="318" spans="1:138" x14ac:dyDescent="0.25">
      <c r="A318" s="147"/>
      <c r="B318" s="147"/>
      <c r="C318" s="160"/>
      <c r="D318" s="160"/>
      <c r="E318" s="169"/>
      <c r="F318" s="229"/>
      <c r="G318" s="165"/>
      <c r="H318" s="165"/>
      <c r="I318" s="163"/>
      <c r="J318" s="163"/>
      <c r="K318" s="162"/>
      <c r="L318" s="162"/>
      <c r="M318" s="162"/>
      <c r="N318" s="230"/>
      <c r="O318" s="230"/>
      <c r="P318" s="162"/>
      <c r="Q318" s="162"/>
      <c r="R318" s="162"/>
      <c r="S318" s="162"/>
      <c r="T318" s="162"/>
      <c r="U318" s="230"/>
      <c r="V318" s="230"/>
      <c r="W318" s="162"/>
      <c r="X318" s="162"/>
      <c r="Y318" s="162"/>
      <c r="Z318" s="162"/>
      <c r="AA318" s="162"/>
      <c r="AB318" s="230"/>
      <c r="AC318" s="230"/>
      <c r="AD318" s="162"/>
      <c r="AE318" s="162"/>
      <c r="AF318" s="162"/>
      <c r="AG318" s="162"/>
      <c r="AH318" s="162"/>
      <c r="AI318" s="230"/>
      <c r="AJ318" s="230"/>
      <c r="AK318" s="162"/>
      <c r="AL318" s="162"/>
      <c r="AM318" s="162"/>
      <c r="AN318" s="162"/>
      <c r="AO318" s="162"/>
      <c r="AP318" s="230"/>
      <c r="AQ318" s="230"/>
      <c r="AR318" s="162"/>
      <c r="AS318" s="162"/>
      <c r="AT318" s="162"/>
      <c r="AU318" s="162"/>
      <c r="AV318" s="162"/>
      <c r="AW318" s="230"/>
      <c r="AX318" s="230"/>
      <c r="AY318" s="162"/>
      <c r="AZ318" s="162"/>
      <c r="BA318" s="162"/>
      <c r="BB318" s="162"/>
      <c r="BC318" s="162"/>
      <c r="BD318" s="230"/>
      <c r="BE318" s="230"/>
      <c r="BF318" s="162"/>
      <c r="BG318" s="162"/>
      <c r="BH318" s="162"/>
      <c r="BI318" s="162"/>
      <c r="BJ318" s="162"/>
      <c r="BK318" s="230"/>
      <c r="BL318" s="230"/>
      <c r="BM318" s="162"/>
      <c r="BN318" s="162"/>
      <c r="BO318" s="162"/>
      <c r="BP318" s="162"/>
      <c r="BQ318" s="162"/>
      <c r="BR318" s="230"/>
      <c r="BS318" s="230"/>
      <c r="BT318" s="162"/>
      <c r="BU318" s="162"/>
      <c r="BV318" s="162"/>
      <c r="BW318" s="162"/>
      <c r="BX318" s="162"/>
      <c r="BY318" s="230"/>
      <c r="BZ318" s="230"/>
      <c r="CA318" s="162"/>
      <c r="CB318" s="162"/>
      <c r="CC318" s="162"/>
      <c r="CD318" s="162"/>
      <c r="CE318" s="162"/>
      <c r="CF318" s="230"/>
      <c r="CG318" s="230"/>
      <c r="CH318" s="162"/>
      <c r="CI318" s="162"/>
      <c r="CJ318" s="162"/>
      <c r="CK318" s="162"/>
      <c r="CL318" s="162"/>
      <c r="CM318" s="230"/>
      <c r="CN318" s="230"/>
      <c r="CO318" s="162"/>
      <c r="CP318" s="162"/>
      <c r="CQ318" s="162"/>
      <c r="CR318" s="162"/>
      <c r="CS318" s="162"/>
      <c r="CT318" s="230"/>
      <c r="CU318" s="230"/>
      <c r="CV318" s="162"/>
      <c r="CW318" s="162"/>
      <c r="CX318" s="162"/>
      <c r="CY318" s="162"/>
      <c r="CZ318" s="162"/>
      <c r="DA318" s="230"/>
      <c r="DB318" s="230"/>
      <c r="DC318" s="162"/>
      <c r="DD318" s="162"/>
      <c r="DE318" s="162"/>
      <c r="DF318" s="162"/>
      <c r="DG318" s="162"/>
      <c r="DH318" s="230"/>
      <c r="DI318" s="230"/>
      <c r="DJ318" s="162"/>
      <c r="DK318" s="162"/>
      <c r="DL318" s="146"/>
      <c r="DM318" s="371"/>
      <c r="DN318" s="372"/>
      <c r="DO318" s="372"/>
      <c r="DP318" s="372"/>
      <c r="DQ318" s="372"/>
      <c r="DR318" s="372"/>
      <c r="DS318" s="372"/>
      <c r="DT318" s="372"/>
      <c r="DU318" s="372"/>
      <c r="DV318" s="372"/>
      <c r="DW318" s="146"/>
      <c r="DX318" s="146"/>
      <c r="DY318" s="146"/>
      <c r="DZ318" s="146"/>
      <c r="EA318" s="146"/>
      <c r="EB318" s="146"/>
      <c r="EC318" s="146"/>
      <c r="ED318" s="146"/>
      <c r="EE318" s="146"/>
      <c r="EF318" s="146"/>
      <c r="EG318" s="146"/>
      <c r="EH318" s="146"/>
    </row>
    <row r="319" spans="1:138" x14ac:dyDescent="0.25">
      <c r="A319" s="147"/>
      <c r="B319" s="147"/>
      <c r="C319" s="160"/>
      <c r="D319" s="160"/>
      <c r="E319" s="169"/>
      <c r="F319" s="229"/>
      <c r="G319" s="165"/>
      <c r="H319" s="165"/>
      <c r="I319" s="163"/>
      <c r="J319" s="163"/>
      <c r="K319" s="162"/>
      <c r="L319" s="162"/>
      <c r="M319" s="162"/>
      <c r="N319" s="230"/>
      <c r="O319" s="230"/>
      <c r="P319" s="162"/>
      <c r="Q319" s="162"/>
      <c r="R319" s="162"/>
      <c r="S319" s="162"/>
      <c r="T319" s="162"/>
      <c r="U319" s="230"/>
      <c r="V319" s="230"/>
      <c r="W319" s="162"/>
      <c r="X319" s="162"/>
      <c r="Y319" s="162"/>
      <c r="Z319" s="162"/>
      <c r="AA319" s="162"/>
      <c r="AB319" s="230"/>
      <c r="AC319" s="230"/>
      <c r="AD319" s="162"/>
      <c r="AE319" s="162"/>
      <c r="AF319" s="162"/>
      <c r="AG319" s="162"/>
      <c r="AH319" s="162"/>
      <c r="AI319" s="230"/>
      <c r="AJ319" s="230"/>
      <c r="AK319" s="162"/>
      <c r="AL319" s="162"/>
      <c r="AM319" s="162"/>
      <c r="AN319" s="162"/>
      <c r="AO319" s="162"/>
      <c r="AP319" s="230"/>
      <c r="AQ319" s="230"/>
      <c r="AR319" s="162"/>
      <c r="AS319" s="162"/>
      <c r="AT319" s="162"/>
      <c r="AU319" s="162"/>
      <c r="AV319" s="162"/>
      <c r="AW319" s="230"/>
      <c r="AX319" s="230"/>
      <c r="AY319" s="162"/>
      <c r="AZ319" s="162"/>
      <c r="BA319" s="162"/>
      <c r="BB319" s="162"/>
      <c r="BC319" s="162"/>
      <c r="BD319" s="230"/>
      <c r="BE319" s="230"/>
      <c r="BF319" s="162"/>
      <c r="BG319" s="162"/>
      <c r="BH319" s="162"/>
      <c r="BI319" s="162"/>
      <c r="BJ319" s="162"/>
      <c r="BK319" s="230"/>
      <c r="BL319" s="230"/>
      <c r="BM319" s="162"/>
      <c r="BN319" s="162"/>
      <c r="BO319" s="162"/>
      <c r="BP319" s="162"/>
      <c r="BQ319" s="162"/>
      <c r="BR319" s="230"/>
      <c r="BS319" s="230"/>
      <c r="BT319" s="162"/>
      <c r="BU319" s="162"/>
      <c r="BV319" s="162"/>
      <c r="BW319" s="162"/>
      <c r="BX319" s="162"/>
      <c r="BY319" s="230"/>
      <c r="BZ319" s="230"/>
      <c r="CA319" s="162"/>
      <c r="CB319" s="162"/>
      <c r="CC319" s="162"/>
      <c r="CD319" s="162"/>
      <c r="CE319" s="162"/>
      <c r="CF319" s="230"/>
      <c r="CG319" s="230"/>
      <c r="CH319" s="162"/>
      <c r="CI319" s="162"/>
      <c r="CJ319" s="162"/>
      <c r="CK319" s="162"/>
      <c r="CL319" s="162"/>
      <c r="CM319" s="230"/>
      <c r="CN319" s="230"/>
      <c r="CO319" s="162"/>
      <c r="CP319" s="162"/>
      <c r="CQ319" s="162"/>
      <c r="CR319" s="162"/>
      <c r="CS319" s="162"/>
      <c r="CT319" s="230"/>
      <c r="CU319" s="230"/>
      <c r="CV319" s="162"/>
      <c r="CW319" s="162"/>
      <c r="CX319" s="162"/>
      <c r="CY319" s="162"/>
      <c r="CZ319" s="162"/>
      <c r="DA319" s="230"/>
      <c r="DB319" s="230"/>
      <c r="DC319" s="162"/>
      <c r="DD319" s="162"/>
      <c r="DE319" s="162"/>
      <c r="DF319" s="162"/>
      <c r="DG319" s="162"/>
      <c r="DH319" s="230"/>
      <c r="DI319" s="230"/>
      <c r="DJ319" s="162"/>
      <c r="DK319" s="162"/>
      <c r="DL319" s="146"/>
      <c r="DM319" s="371"/>
      <c r="DN319" s="372"/>
      <c r="DO319" s="372"/>
      <c r="DP319" s="372"/>
      <c r="DQ319" s="372"/>
      <c r="DR319" s="372"/>
      <c r="DS319" s="372"/>
      <c r="DT319" s="372"/>
      <c r="DU319" s="372"/>
      <c r="DV319" s="372"/>
      <c r="DW319" s="146"/>
      <c r="DX319" s="146"/>
      <c r="DY319" s="146"/>
      <c r="DZ319" s="146"/>
      <c r="EA319" s="146"/>
      <c r="EB319" s="146"/>
      <c r="EC319" s="146"/>
      <c r="ED319" s="146"/>
      <c r="EE319" s="146"/>
      <c r="EF319" s="146"/>
      <c r="EG319" s="146"/>
      <c r="EH319" s="146"/>
    </row>
    <row r="320" spans="1:138" x14ac:dyDescent="0.25">
      <c r="A320" s="147"/>
      <c r="B320" s="147"/>
      <c r="C320" s="160"/>
      <c r="D320" s="160"/>
      <c r="E320" s="169"/>
      <c r="F320" s="229"/>
      <c r="G320" s="165"/>
      <c r="H320" s="165"/>
      <c r="I320" s="163"/>
      <c r="J320" s="163"/>
      <c r="K320" s="162"/>
      <c r="L320" s="162"/>
      <c r="M320" s="162"/>
      <c r="N320" s="230"/>
      <c r="O320" s="230"/>
      <c r="P320" s="162"/>
      <c r="Q320" s="162"/>
      <c r="R320" s="162"/>
      <c r="S320" s="162"/>
      <c r="T320" s="162"/>
      <c r="U320" s="230"/>
      <c r="V320" s="230"/>
      <c r="W320" s="162"/>
      <c r="X320" s="162"/>
      <c r="Y320" s="162"/>
      <c r="Z320" s="162"/>
      <c r="AA320" s="162"/>
      <c r="AB320" s="230"/>
      <c r="AC320" s="230"/>
      <c r="AD320" s="162"/>
      <c r="AE320" s="162"/>
      <c r="AF320" s="162"/>
      <c r="AG320" s="162"/>
      <c r="AH320" s="162"/>
      <c r="AI320" s="230"/>
      <c r="AJ320" s="230"/>
      <c r="AK320" s="162"/>
      <c r="AL320" s="162"/>
      <c r="AM320" s="162"/>
      <c r="AN320" s="162"/>
      <c r="AO320" s="162"/>
      <c r="AP320" s="230"/>
      <c r="AQ320" s="230"/>
      <c r="AR320" s="162"/>
      <c r="AS320" s="162"/>
      <c r="AT320" s="162"/>
      <c r="AU320" s="162"/>
      <c r="AV320" s="162"/>
      <c r="AW320" s="230"/>
      <c r="AX320" s="230"/>
      <c r="AY320" s="162"/>
      <c r="AZ320" s="162"/>
      <c r="BA320" s="162"/>
      <c r="BB320" s="162"/>
      <c r="BC320" s="162"/>
      <c r="BD320" s="230"/>
      <c r="BE320" s="230"/>
      <c r="BF320" s="162"/>
      <c r="BG320" s="162"/>
      <c r="BH320" s="162"/>
      <c r="BI320" s="162"/>
      <c r="BJ320" s="162"/>
      <c r="BK320" s="230"/>
      <c r="BL320" s="230"/>
      <c r="BM320" s="162"/>
      <c r="BN320" s="162"/>
      <c r="BO320" s="162"/>
      <c r="BP320" s="162"/>
      <c r="BQ320" s="162"/>
      <c r="BR320" s="230"/>
      <c r="BS320" s="230"/>
      <c r="BT320" s="162"/>
      <c r="BU320" s="162"/>
      <c r="BV320" s="162"/>
      <c r="BW320" s="162"/>
      <c r="BX320" s="162"/>
      <c r="BY320" s="230"/>
      <c r="BZ320" s="230"/>
      <c r="CA320" s="162"/>
      <c r="CB320" s="162"/>
      <c r="CC320" s="162"/>
      <c r="CD320" s="162"/>
      <c r="CE320" s="162"/>
      <c r="CF320" s="230"/>
      <c r="CG320" s="230"/>
      <c r="CH320" s="162"/>
      <c r="CI320" s="162"/>
      <c r="CJ320" s="162"/>
      <c r="CK320" s="162"/>
      <c r="CL320" s="162"/>
      <c r="CM320" s="230"/>
      <c r="CN320" s="230"/>
      <c r="CO320" s="162"/>
      <c r="CP320" s="162"/>
      <c r="CQ320" s="162"/>
      <c r="CR320" s="162"/>
      <c r="CS320" s="162"/>
      <c r="CT320" s="230"/>
      <c r="CU320" s="230"/>
      <c r="CV320" s="162"/>
      <c r="CW320" s="162"/>
      <c r="CX320" s="162"/>
      <c r="CY320" s="162"/>
      <c r="CZ320" s="162"/>
      <c r="DA320" s="230"/>
      <c r="DB320" s="230"/>
      <c r="DC320" s="162"/>
      <c r="DD320" s="162"/>
      <c r="DE320" s="162"/>
      <c r="DF320" s="162"/>
      <c r="DG320" s="162"/>
      <c r="DH320" s="230"/>
      <c r="DI320" s="230"/>
      <c r="DJ320" s="162"/>
      <c r="DK320" s="162"/>
      <c r="DL320" s="226"/>
      <c r="DM320" s="380"/>
      <c r="DN320" s="372"/>
      <c r="DO320" s="372"/>
      <c r="DP320" s="372"/>
      <c r="DQ320" s="372"/>
      <c r="DR320" s="372"/>
      <c r="DS320" s="372"/>
      <c r="DT320" s="88"/>
      <c r="DU320" s="88"/>
      <c r="DV320" s="88"/>
      <c r="DW320" s="226"/>
      <c r="DX320" s="226"/>
      <c r="DY320" s="226"/>
      <c r="DZ320" s="226"/>
      <c r="EA320" s="226"/>
      <c r="EB320" s="226"/>
      <c r="EC320" s="226"/>
      <c r="ED320" s="226"/>
      <c r="EE320" s="226"/>
      <c r="EF320" s="226"/>
      <c r="EG320" s="226"/>
      <c r="EH320" s="226"/>
    </row>
    <row r="321" spans="1:138" x14ac:dyDescent="0.25">
      <c r="A321" s="147"/>
      <c r="B321" s="147"/>
      <c r="C321" s="160"/>
      <c r="D321" s="160"/>
      <c r="E321" s="169"/>
      <c r="F321" s="229"/>
      <c r="G321" s="165"/>
      <c r="H321" s="165"/>
      <c r="I321" s="163"/>
      <c r="J321" s="163"/>
      <c r="K321" s="162"/>
      <c r="L321" s="162"/>
      <c r="M321" s="162"/>
      <c r="N321" s="230"/>
      <c r="O321" s="230"/>
      <c r="P321" s="162"/>
      <c r="Q321" s="162"/>
      <c r="R321" s="162"/>
      <c r="S321" s="162"/>
      <c r="T321" s="162"/>
      <c r="U321" s="230"/>
      <c r="V321" s="230"/>
      <c r="W321" s="162"/>
      <c r="X321" s="162"/>
      <c r="Y321" s="162"/>
      <c r="Z321" s="162"/>
      <c r="AA321" s="162"/>
      <c r="AB321" s="230"/>
      <c r="AC321" s="230"/>
      <c r="AD321" s="162"/>
      <c r="AE321" s="162"/>
      <c r="AF321" s="162"/>
      <c r="AG321" s="162"/>
      <c r="AH321" s="162"/>
      <c r="AI321" s="230"/>
      <c r="AJ321" s="230"/>
      <c r="AK321" s="162"/>
      <c r="AL321" s="162"/>
      <c r="AM321" s="162"/>
      <c r="AN321" s="162"/>
      <c r="AO321" s="162"/>
      <c r="AP321" s="230"/>
      <c r="AQ321" s="230"/>
      <c r="AR321" s="162"/>
      <c r="AS321" s="162"/>
      <c r="AT321" s="162"/>
      <c r="AU321" s="162"/>
      <c r="AV321" s="162"/>
      <c r="AW321" s="230"/>
      <c r="AX321" s="230"/>
      <c r="AY321" s="162"/>
      <c r="AZ321" s="162"/>
      <c r="BA321" s="162"/>
      <c r="BB321" s="162"/>
      <c r="BC321" s="162"/>
      <c r="BD321" s="230"/>
      <c r="BE321" s="230"/>
      <c r="BF321" s="162"/>
      <c r="BG321" s="162"/>
      <c r="BH321" s="162"/>
      <c r="BI321" s="162"/>
      <c r="BJ321" s="162"/>
      <c r="BK321" s="230"/>
      <c r="BL321" s="230"/>
      <c r="BM321" s="162"/>
      <c r="BN321" s="162"/>
      <c r="BO321" s="162"/>
      <c r="BP321" s="162"/>
      <c r="BQ321" s="162"/>
      <c r="BR321" s="230"/>
      <c r="BS321" s="230"/>
      <c r="BT321" s="162"/>
      <c r="BU321" s="162"/>
      <c r="BV321" s="162"/>
      <c r="BW321" s="162"/>
      <c r="BX321" s="162"/>
      <c r="BY321" s="230"/>
      <c r="BZ321" s="230"/>
      <c r="CA321" s="162"/>
      <c r="CB321" s="162"/>
      <c r="CC321" s="162"/>
      <c r="CD321" s="162"/>
      <c r="CE321" s="162"/>
      <c r="CF321" s="230"/>
      <c r="CG321" s="230"/>
      <c r="CH321" s="162"/>
      <c r="CI321" s="162"/>
      <c r="CJ321" s="162"/>
      <c r="CK321" s="162"/>
      <c r="CL321" s="162"/>
      <c r="CM321" s="230"/>
      <c r="CN321" s="230"/>
      <c r="CO321" s="162"/>
      <c r="CP321" s="162"/>
      <c r="CQ321" s="162"/>
      <c r="CR321" s="162"/>
      <c r="CS321" s="162"/>
      <c r="CT321" s="230"/>
      <c r="CU321" s="230"/>
      <c r="CV321" s="162"/>
      <c r="CW321" s="162"/>
      <c r="CX321" s="162"/>
      <c r="CY321" s="162"/>
      <c r="CZ321" s="162"/>
      <c r="DA321" s="230"/>
      <c r="DB321" s="230"/>
      <c r="DC321" s="162"/>
      <c r="DD321" s="162"/>
      <c r="DE321" s="162"/>
      <c r="DF321" s="162"/>
      <c r="DG321" s="162"/>
      <c r="DH321" s="230"/>
      <c r="DI321" s="230"/>
      <c r="DJ321" s="162"/>
      <c r="DK321" s="162"/>
      <c r="DL321" s="146"/>
      <c r="DM321" s="380"/>
      <c r="DN321" s="372"/>
      <c r="DO321" s="372"/>
      <c r="DP321" s="372"/>
      <c r="DQ321" s="372"/>
      <c r="DR321" s="372"/>
      <c r="DS321" s="372"/>
      <c r="DT321" s="88"/>
      <c r="DU321" s="88"/>
      <c r="DV321" s="88"/>
      <c r="DW321" s="146"/>
      <c r="DX321" s="146"/>
      <c r="DY321" s="146"/>
      <c r="DZ321" s="146"/>
      <c r="EA321" s="146"/>
      <c r="EB321" s="146"/>
      <c r="EC321" s="146"/>
      <c r="ED321" s="146"/>
      <c r="EE321" s="146"/>
      <c r="EF321" s="146"/>
      <c r="EG321" s="146"/>
      <c r="EH321" s="146"/>
    </row>
    <row r="322" spans="1:138" x14ac:dyDescent="0.25">
      <c r="A322" s="147"/>
      <c r="B322" s="147"/>
      <c r="C322" s="160"/>
      <c r="D322" s="160"/>
      <c r="E322" s="169"/>
      <c r="F322" s="229"/>
      <c r="G322" s="165"/>
      <c r="H322" s="165"/>
      <c r="I322" s="163"/>
      <c r="J322" s="163"/>
      <c r="K322" s="162"/>
      <c r="L322" s="162"/>
      <c r="M322" s="162"/>
      <c r="N322" s="230"/>
      <c r="O322" s="230"/>
      <c r="P322" s="162"/>
      <c r="Q322" s="162"/>
      <c r="R322" s="162"/>
      <c r="S322" s="162"/>
      <c r="T322" s="162"/>
      <c r="U322" s="230"/>
      <c r="V322" s="230"/>
      <c r="W322" s="162"/>
      <c r="X322" s="162"/>
      <c r="Y322" s="162"/>
      <c r="Z322" s="162"/>
      <c r="AA322" s="162"/>
      <c r="AB322" s="230"/>
      <c r="AC322" s="230"/>
      <c r="AD322" s="162"/>
      <c r="AE322" s="162"/>
      <c r="AF322" s="162"/>
      <c r="AG322" s="162"/>
      <c r="AH322" s="162"/>
      <c r="AI322" s="230"/>
      <c r="AJ322" s="230"/>
      <c r="AK322" s="162"/>
      <c r="AL322" s="162"/>
      <c r="AM322" s="162"/>
      <c r="AN322" s="162"/>
      <c r="AO322" s="162"/>
      <c r="AP322" s="230"/>
      <c r="AQ322" s="230"/>
      <c r="AR322" s="162"/>
      <c r="AS322" s="162"/>
      <c r="AT322" s="162"/>
      <c r="AU322" s="162"/>
      <c r="AV322" s="162"/>
      <c r="AW322" s="230"/>
      <c r="AX322" s="230"/>
      <c r="AY322" s="162"/>
      <c r="AZ322" s="162"/>
      <c r="BA322" s="162"/>
      <c r="BB322" s="162"/>
      <c r="BC322" s="162"/>
      <c r="BD322" s="230"/>
      <c r="BE322" s="230"/>
      <c r="BF322" s="162"/>
      <c r="BG322" s="162"/>
      <c r="BH322" s="162"/>
      <c r="BI322" s="162"/>
      <c r="BJ322" s="162"/>
      <c r="BK322" s="230"/>
      <c r="BL322" s="230"/>
      <c r="BM322" s="162"/>
      <c r="BN322" s="162"/>
      <c r="BO322" s="162"/>
      <c r="BP322" s="162"/>
      <c r="BQ322" s="162"/>
      <c r="BR322" s="230"/>
      <c r="BS322" s="230"/>
      <c r="BT322" s="162"/>
      <c r="BU322" s="162"/>
      <c r="BV322" s="162"/>
      <c r="BW322" s="162"/>
      <c r="BX322" s="162"/>
      <c r="BY322" s="230"/>
      <c r="BZ322" s="230"/>
      <c r="CA322" s="162"/>
      <c r="CB322" s="162"/>
      <c r="CC322" s="162"/>
      <c r="CD322" s="162"/>
      <c r="CE322" s="162"/>
      <c r="CF322" s="230"/>
      <c r="CG322" s="230"/>
      <c r="CH322" s="162"/>
      <c r="CI322" s="162"/>
      <c r="CJ322" s="162"/>
      <c r="CK322" s="162"/>
      <c r="CL322" s="162"/>
      <c r="CM322" s="230"/>
      <c r="CN322" s="230"/>
      <c r="CO322" s="162"/>
      <c r="CP322" s="162"/>
      <c r="CQ322" s="162"/>
      <c r="CR322" s="162"/>
      <c r="CS322" s="162"/>
      <c r="CT322" s="230"/>
      <c r="CU322" s="230"/>
      <c r="CV322" s="162"/>
      <c r="CW322" s="162"/>
      <c r="CX322" s="162"/>
      <c r="CY322" s="162"/>
      <c r="CZ322" s="162"/>
      <c r="DA322" s="230"/>
      <c r="DB322" s="230"/>
      <c r="DC322" s="162"/>
      <c r="DD322" s="162"/>
      <c r="DE322" s="162"/>
      <c r="DF322" s="162"/>
      <c r="DG322" s="162"/>
      <c r="DH322" s="230"/>
      <c r="DI322" s="230"/>
      <c r="DJ322" s="162"/>
      <c r="DK322" s="162"/>
      <c r="DL322" s="146"/>
      <c r="DM322" s="380"/>
      <c r="DN322" s="372"/>
      <c r="DO322" s="372"/>
      <c r="DP322" s="372"/>
      <c r="DQ322" s="372"/>
      <c r="DR322" s="372"/>
      <c r="DS322" s="372"/>
      <c r="DT322" s="89"/>
      <c r="DU322" s="89"/>
      <c r="DV322" s="89"/>
      <c r="DW322" s="146"/>
      <c r="DX322" s="146"/>
      <c r="DY322" s="146"/>
      <c r="DZ322" s="146"/>
      <c r="EA322" s="146"/>
      <c r="EB322" s="146"/>
      <c r="EC322" s="146"/>
      <c r="ED322" s="146"/>
      <c r="EE322" s="146"/>
      <c r="EF322" s="146"/>
      <c r="EG322" s="146"/>
      <c r="EH322" s="146"/>
    </row>
    <row r="323" spans="1:138" x14ac:dyDescent="0.25">
      <c r="A323" s="147"/>
      <c r="B323" s="147"/>
      <c r="C323" s="160"/>
      <c r="D323" s="160"/>
      <c r="E323" s="169"/>
      <c r="F323" s="229"/>
      <c r="G323" s="165"/>
      <c r="H323" s="165"/>
      <c r="I323" s="163"/>
      <c r="J323" s="163"/>
      <c r="K323" s="162"/>
      <c r="L323" s="162"/>
      <c r="M323" s="162"/>
      <c r="N323" s="230"/>
      <c r="O323" s="230"/>
      <c r="P323" s="162"/>
      <c r="Q323" s="162"/>
      <c r="R323" s="162"/>
      <c r="S323" s="162"/>
      <c r="T323" s="162"/>
      <c r="U323" s="230"/>
      <c r="V323" s="230"/>
      <c r="W323" s="162"/>
      <c r="X323" s="162"/>
      <c r="Y323" s="162"/>
      <c r="Z323" s="162"/>
      <c r="AA323" s="162"/>
      <c r="AB323" s="230"/>
      <c r="AC323" s="230"/>
      <c r="AD323" s="162"/>
      <c r="AE323" s="162"/>
      <c r="AF323" s="162"/>
      <c r="AG323" s="162"/>
      <c r="AH323" s="162"/>
      <c r="AI323" s="230"/>
      <c r="AJ323" s="230"/>
      <c r="AK323" s="162"/>
      <c r="AL323" s="162"/>
      <c r="AM323" s="162"/>
      <c r="AN323" s="162"/>
      <c r="AO323" s="162"/>
      <c r="AP323" s="230"/>
      <c r="AQ323" s="230"/>
      <c r="AR323" s="162"/>
      <c r="AS323" s="162"/>
      <c r="AT323" s="162"/>
      <c r="AU323" s="162"/>
      <c r="AV323" s="162"/>
      <c r="AW323" s="230"/>
      <c r="AX323" s="230"/>
      <c r="AY323" s="162"/>
      <c r="AZ323" s="162"/>
      <c r="BA323" s="162"/>
      <c r="BB323" s="162"/>
      <c r="BC323" s="162"/>
      <c r="BD323" s="230"/>
      <c r="BE323" s="230"/>
      <c r="BF323" s="162"/>
      <c r="BG323" s="162"/>
      <c r="BH323" s="162"/>
      <c r="BI323" s="162"/>
      <c r="BJ323" s="162"/>
      <c r="BK323" s="230"/>
      <c r="BL323" s="230"/>
      <c r="BM323" s="162"/>
      <c r="BN323" s="162"/>
      <c r="BO323" s="162"/>
      <c r="BP323" s="162"/>
      <c r="BQ323" s="162"/>
      <c r="BR323" s="230"/>
      <c r="BS323" s="230"/>
      <c r="BT323" s="162"/>
      <c r="BU323" s="162"/>
      <c r="BV323" s="162"/>
      <c r="BW323" s="162"/>
      <c r="BX323" s="162"/>
      <c r="BY323" s="230"/>
      <c r="BZ323" s="230"/>
      <c r="CA323" s="162"/>
      <c r="CB323" s="162"/>
      <c r="CC323" s="162"/>
      <c r="CD323" s="162"/>
      <c r="CE323" s="162"/>
      <c r="CF323" s="230"/>
      <c r="CG323" s="230"/>
      <c r="CH323" s="162"/>
      <c r="CI323" s="162"/>
      <c r="CJ323" s="162"/>
      <c r="CK323" s="162"/>
      <c r="CL323" s="162"/>
      <c r="CM323" s="230"/>
      <c r="CN323" s="230"/>
      <c r="CO323" s="162"/>
      <c r="CP323" s="162"/>
      <c r="CQ323" s="162"/>
      <c r="CR323" s="162"/>
      <c r="CS323" s="162"/>
      <c r="CT323" s="230"/>
      <c r="CU323" s="230"/>
      <c r="CV323" s="162"/>
      <c r="CW323" s="162"/>
      <c r="CX323" s="162"/>
      <c r="CY323" s="162"/>
      <c r="CZ323" s="162"/>
      <c r="DA323" s="230"/>
      <c r="DB323" s="230"/>
      <c r="DC323" s="162"/>
      <c r="DD323" s="162"/>
      <c r="DE323" s="162"/>
      <c r="DF323" s="162"/>
      <c r="DG323" s="162"/>
      <c r="DH323" s="230"/>
      <c r="DI323" s="230"/>
      <c r="DJ323" s="162"/>
      <c r="DK323" s="162"/>
      <c r="DL323" s="146"/>
      <c r="DM323" s="88"/>
      <c r="DN323" s="88"/>
      <c r="DO323" s="88"/>
      <c r="DP323" s="88"/>
      <c r="DQ323" s="88"/>
      <c r="DR323" s="88"/>
      <c r="DS323" s="88"/>
      <c r="DT323" s="88"/>
      <c r="DU323" s="88"/>
      <c r="DV323" s="88"/>
      <c r="DW323" s="146"/>
      <c r="DX323" s="146"/>
      <c r="DY323" s="146"/>
      <c r="DZ323" s="146"/>
      <c r="EA323" s="146"/>
      <c r="EB323" s="146"/>
      <c r="EC323" s="146"/>
      <c r="ED323" s="146"/>
      <c r="EE323" s="146"/>
      <c r="EF323" s="146"/>
      <c r="EG323" s="146"/>
      <c r="EH323" s="146"/>
    </row>
    <row r="324" spans="1:138" x14ac:dyDescent="0.25">
      <c r="A324" s="147"/>
      <c r="B324" s="147"/>
      <c r="C324" s="160"/>
      <c r="D324" s="160"/>
      <c r="E324" s="169"/>
      <c r="F324" s="229"/>
      <c r="G324" s="165"/>
      <c r="H324" s="165"/>
      <c r="I324" s="163"/>
      <c r="J324" s="163"/>
      <c r="K324" s="162"/>
      <c r="L324" s="162"/>
      <c r="M324" s="162"/>
      <c r="N324" s="230"/>
      <c r="O324" s="230"/>
      <c r="P324" s="162"/>
      <c r="Q324" s="162"/>
      <c r="R324" s="162"/>
      <c r="S324" s="162"/>
      <c r="T324" s="162"/>
      <c r="U324" s="230"/>
      <c r="V324" s="230"/>
      <c r="W324" s="162"/>
      <c r="X324" s="162"/>
      <c r="Y324" s="162"/>
      <c r="Z324" s="162"/>
      <c r="AA324" s="162"/>
      <c r="AB324" s="230"/>
      <c r="AC324" s="230"/>
      <c r="AD324" s="162"/>
      <c r="AE324" s="162"/>
      <c r="AF324" s="162"/>
      <c r="AG324" s="162"/>
      <c r="AH324" s="162"/>
      <c r="AI324" s="230"/>
      <c r="AJ324" s="230"/>
      <c r="AK324" s="162"/>
      <c r="AL324" s="162"/>
      <c r="AM324" s="162"/>
      <c r="AN324" s="162"/>
      <c r="AO324" s="162"/>
      <c r="AP324" s="230"/>
      <c r="AQ324" s="230"/>
      <c r="AR324" s="162"/>
      <c r="AS324" s="162"/>
      <c r="AT324" s="162"/>
      <c r="AU324" s="162"/>
      <c r="AV324" s="162"/>
      <c r="AW324" s="230"/>
      <c r="AX324" s="230"/>
      <c r="AY324" s="162"/>
      <c r="AZ324" s="162"/>
      <c r="BA324" s="162"/>
      <c r="BB324" s="162"/>
      <c r="BC324" s="162"/>
      <c r="BD324" s="230"/>
      <c r="BE324" s="230"/>
      <c r="BF324" s="162"/>
      <c r="BG324" s="162"/>
      <c r="BH324" s="162"/>
      <c r="BI324" s="162"/>
      <c r="BJ324" s="162"/>
      <c r="BK324" s="230"/>
      <c r="BL324" s="230"/>
      <c r="BM324" s="162"/>
      <c r="BN324" s="162"/>
      <c r="BO324" s="162"/>
      <c r="BP324" s="162"/>
      <c r="BQ324" s="162"/>
      <c r="BR324" s="230"/>
      <c r="BS324" s="230"/>
      <c r="BT324" s="162"/>
      <c r="BU324" s="162"/>
      <c r="BV324" s="162"/>
      <c r="BW324" s="162"/>
      <c r="BX324" s="162"/>
      <c r="BY324" s="230"/>
      <c r="BZ324" s="230"/>
      <c r="CA324" s="162"/>
      <c r="CB324" s="162"/>
      <c r="CC324" s="162"/>
      <c r="CD324" s="162"/>
      <c r="CE324" s="162"/>
      <c r="CF324" s="230"/>
      <c r="CG324" s="230"/>
      <c r="CH324" s="162"/>
      <c r="CI324" s="162"/>
      <c r="CJ324" s="162"/>
      <c r="CK324" s="162"/>
      <c r="CL324" s="162"/>
      <c r="CM324" s="230"/>
      <c r="CN324" s="230"/>
      <c r="CO324" s="162"/>
      <c r="CP324" s="162"/>
      <c r="CQ324" s="162"/>
      <c r="CR324" s="162"/>
      <c r="CS324" s="162"/>
      <c r="CT324" s="230"/>
      <c r="CU324" s="230"/>
      <c r="CV324" s="162"/>
      <c r="CW324" s="162"/>
      <c r="CX324" s="162"/>
      <c r="CY324" s="162"/>
      <c r="CZ324" s="162"/>
      <c r="DA324" s="230"/>
      <c r="DB324" s="230"/>
      <c r="DC324" s="162"/>
      <c r="DD324" s="162"/>
      <c r="DE324" s="162"/>
      <c r="DF324" s="162"/>
      <c r="DG324" s="162"/>
      <c r="DH324" s="230"/>
      <c r="DI324" s="230"/>
      <c r="DJ324" s="162"/>
      <c r="DK324" s="162"/>
      <c r="DL324" s="146"/>
      <c r="DM324" s="371"/>
      <c r="DN324" s="372"/>
      <c r="DO324" s="372"/>
      <c r="DP324" s="372"/>
      <c r="DQ324" s="372"/>
      <c r="DR324" s="372"/>
      <c r="DS324" s="372"/>
      <c r="DT324" s="372"/>
      <c r="DU324" s="372"/>
      <c r="DV324" s="372"/>
      <c r="DW324" s="146"/>
      <c r="DX324" s="146"/>
      <c r="DY324" s="146"/>
      <c r="DZ324" s="146"/>
      <c r="EA324" s="146"/>
      <c r="EB324" s="146"/>
      <c r="EC324" s="146"/>
      <c r="ED324" s="146"/>
      <c r="EE324" s="146"/>
      <c r="EF324" s="146"/>
      <c r="EG324" s="146"/>
      <c r="EH324" s="146"/>
    </row>
    <row r="325" spans="1:138" x14ac:dyDescent="0.25">
      <c r="A325" s="147"/>
      <c r="B325" s="147"/>
      <c r="C325" s="160"/>
      <c r="D325" s="160"/>
      <c r="E325" s="169"/>
      <c r="F325" s="229"/>
      <c r="G325" s="165"/>
      <c r="H325" s="165"/>
      <c r="I325" s="163"/>
      <c r="J325" s="163"/>
      <c r="K325" s="162"/>
      <c r="L325" s="162"/>
      <c r="M325" s="162"/>
      <c r="N325" s="230"/>
      <c r="O325" s="230"/>
      <c r="P325" s="162"/>
      <c r="Q325" s="162"/>
      <c r="R325" s="162"/>
      <c r="S325" s="162"/>
      <c r="T325" s="162"/>
      <c r="U325" s="230"/>
      <c r="V325" s="230"/>
      <c r="W325" s="162"/>
      <c r="X325" s="162"/>
      <c r="Y325" s="162"/>
      <c r="Z325" s="162"/>
      <c r="AA325" s="162"/>
      <c r="AB325" s="230"/>
      <c r="AC325" s="230"/>
      <c r="AD325" s="162"/>
      <c r="AE325" s="162"/>
      <c r="AF325" s="162"/>
      <c r="AG325" s="162"/>
      <c r="AH325" s="162"/>
      <c r="AI325" s="230"/>
      <c r="AJ325" s="230"/>
      <c r="AK325" s="162"/>
      <c r="AL325" s="162"/>
      <c r="AM325" s="162"/>
      <c r="AN325" s="162"/>
      <c r="AO325" s="162"/>
      <c r="AP325" s="230"/>
      <c r="AQ325" s="230"/>
      <c r="AR325" s="162"/>
      <c r="AS325" s="162"/>
      <c r="AT325" s="162"/>
      <c r="AU325" s="162"/>
      <c r="AV325" s="162"/>
      <c r="AW325" s="230"/>
      <c r="AX325" s="230"/>
      <c r="AY325" s="162"/>
      <c r="AZ325" s="162"/>
      <c r="BA325" s="162"/>
      <c r="BB325" s="162"/>
      <c r="BC325" s="162"/>
      <c r="BD325" s="230"/>
      <c r="BE325" s="230"/>
      <c r="BF325" s="162"/>
      <c r="BG325" s="162"/>
      <c r="BH325" s="162"/>
      <c r="BI325" s="162"/>
      <c r="BJ325" s="162"/>
      <c r="BK325" s="230"/>
      <c r="BL325" s="230"/>
      <c r="BM325" s="162"/>
      <c r="BN325" s="162"/>
      <c r="BO325" s="162"/>
      <c r="BP325" s="162"/>
      <c r="BQ325" s="162"/>
      <c r="BR325" s="230"/>
      <c r="BS325" s="230"/>
      <c r="BT325" s="162"/>
      <c r="BU325" s="162"/>
      <c r="BV325" s="162"/>
      <c r="BW325" s="162"/>
      <c r="BX325" s="162"/>
      <c r="BY325" s="230"/>
      <c r="BZ325" s="230"/>
      <c r="CA325" s="162"/>
      <c r="CB325" s="162"/>
      <c r="CC325" s="162"/>
      <c r="CD325" s="162"/>
      <c r="CE325" s="162"/>
      <c r="CF325" s="230"/>
      <c r="CG325" s="230"/>
      <c r="CH325" s="162"/>
      <c r="CI325" s="162"/>
      <c r="CJ325" s="162"/>
      <c r="CK325" s="162"/>
      <c r="CL325" s="162"/>
      <c r="CM325" s="230"/>
      <c r="CN325" s="230"/>
      <c r="CO325" s="162"/>
      <c r="CP325" s="162"/>
      <c r="CQ325" s="162"/>
      <c r="CR325" s="162"/>
      <c r="CS325" s="162"/>
      <c r="CT325" s="230"/>
      <c r="CU325" s="230"/>
      <c r="CV325" s="162"/>
      <c r="CW325" s="162"/>
      <c r="CX325" s="162"/>
      <c r="CY325" s="162"/>
      <c r="CZ325" s="162"/>
      <c r="DA325" s="230"/>
      <c r="DB325" s="230"/>
      <c r="DC325" s="162"/>
      <c r="DD325" s="162"/>
      <c r="DE325" s="162"/>
      <c r="DF325" s="162"/>
      <c r="DG325" s="162"/>
      <c r="DH325" s="230"/>
      <c r="DI325" s="230"/>
      <c r="DJ325" s="162"/>
      <c r="DK325" s="162"/>
      <c r="DL325" s="146"/>
      <c r="DM325" s="371"/>
      <c r="DN325" s="372"/>
      <c r="DO325" s="372"/>
      <c r="DP325" s="372"/>
      <c r="DQ325" s="372"/>
      <c r="DR325" s="372"/>
      <c r="DS325" s="372"/>
      <c r="DT325" s="372"/>
      <c r="DU325" s="372"/>
      <c r="DV325" s="372"/>
      <c r="DW325" s="146"/>
      <c r="DX325" s="146"/>
      <c r="DY325" s="146"/>
      <c r="DZ325" s="146"/>
      <c r="EA325" s="146"/>
      <c r="EB325" s="146"/>
      <c r="EC325" s="146"/>
      <c r="ED325" s="146"/>
      <c r="EE325" s="146"/>
      <c r="EF325" s="146"/>
      <c r="EG325" s="146"/>
      <c r="EH325" s="146"/>
    </row>
    <row r="326" spans="1:138" x14ac:dyDescent="0.25">
      <c r="A326" s="147"/>
      <c r="B326" s="147"/>
      <c r="C326" s="160"/>
      <c r="D326" s="160"/>
      <c r="E326" s="169"/>
      <c r="F326" s="229"/>
      <c r="G326" s="165"/>
      <c r="H326" s="165"/>
      <c r="I326" s="163"/>
      <c r="J326" s="163"/>
      <c r="K326" s="162"/>
      <c r="L326" s="162"/>
      <c r="M326" s="162"/>
      <c r="N326" s="230"/>
      <c r="O326" s="230"/>
      <c r="P326" s="162"/>
      <c r="Q326" s="162"/>
      <c r="R326" s="162"/>
      <c r="S326" s="162"/>
      <c r="T326" s="162"/>
      <c r="U326" s="230"/>
      <c r="V326" s="230"/>
      <c r="W326" s="162"/>
      <c r="X326" s="162"/>
      <c r="Y326" s="162"/>
      <c r="Z326" s="162"/>
      <c r="AA326" s="162"/>
      <c r="AB326" s="230"/>
      <c r="AC326" s="230"/>
      <c r="AD326" s="162"/>
      <c r="AE326" s="162"/>
      <c r="AF326" s="162"/>
      <c r="AG326" s="162"/>
      <c r="AH326" s="162"/>
      <c r="AI326" s="230"/>
      <c r="AJ326" s="230"/>
      <c r="AK326" s="162"/>
      <c r="AL326" s="162"/>
      <c r="AM326" s="162"/>
      <c r="AN326" s="162"/>
      <c r="AO326" s="162"/>
      <c r="AP326" s="230"/>
      <c r="AQ326" s="230"/>
      <c r="AR326" s="162"/>
      <c r="AS326" s="162"/>
      <c r="AT326" s="162"/>
      <c r="AU326" s="162"/>
      <c r="AV326" s="162"/>
      <c r="AW326" s="230"/>
      <c r="AX326" s="230"/>
      <c r="AY326" s="162"/>
      <c r="AZ326" s="162"/>
      <c r="BA326" s="162"/>
      <c r="BB326" s="162"/>
      <c r="BC326" s="162"/>
      <c r="BD326" s="230"/>
      <c r="BE326" s="230"/>
      <c r="BF326" s="162"/>
      <c r="BG326" s="162"/>
      <c r="BH326" s="162"/>
      <c r="BI326" s="162"/>
      <c r="BJ326" s="162"/>
      <c r="BK326" s="230"/>
      <c r="BL326" s="230"/>
      <c r="BM326" s="162"/>
      <c r="BN326" s="162"/>
      <c r="BO326" s="162"/>
      <c r="BP326" s="162"/>
      <c r="BQ326" s="162"/>
      <c r="BR326" s="230"/>
      <c r="BS326" s="230"/>
      <c r="BT326" s="162"/>
      <c r="BU326" s="162"/>
      <c r="BV326" s="162"/>
      <c r="BW326" s="162"/>
      <c r="BX326" s="162"/>
      <c r="BY326" s="230"/>
      <c r="BZ326" s="230"/>
      <c r="CA326" s="162"/>
      <c r="CB326" s="162"/>
      <c r="CC326" s="162"/>
      <c r="CD326" s="162"/>
      <c r="CE326" s="162"/>
      <c r="CF326" s="230"/>
      <c r="CG326" s="230"/>
      <c r="CH326" s="162"/>
      <c r="CI326" s="162"/>
      <c r="CJ326" s="162"/>
      <c r="CK326" s="162"/>
      <c r="CL326" s="162"/>
      <c r="CM326" s="230"/>
      <c r="CN326" s="230"/>
      <c r="CO326" s="162"/>
      <c r="CP326" s="162"/>
      <c r="CQ326" s="162"/>
      <c r="CR326" s="162"/>
      <c r="CS326" s="162"/>
      <c r="CT326" s="230"/>
      <c r="CU326" s="230"/>
      <c r="CV326" s="162"/>
      <c r="CW326" s="162"/>
      <c r="CX326" s="162"/>
      <c r="CY326" s="162"/>
      <c r="CZ326" s="162"/>
      <c r="DA326" s="230"/>
      <c r="DB326" s="230"/>
      <c r="DC326" s="162"/>
      <c r="DD326" s="162"/>
      <c r="DE326" s="162"/>
      <c r="DF326" s="162"/>
      <c r="DG326" s="162"/>
      <c r="DH326" s="230"/>
      <c r="DI326" s="230"/>
      <c r="DJ326" s="162"/>
      <c r="DK326" s="162"/>
      <c r="DL326" s="226"/>
      <c r="DM326" s="380"/>
      <c r="DN326" s="372"/>
      <c r="DO326" s="372"/>
      <c r="DP326" s="372"/>
      <c r="DQ326" s="372"/>
      <c r="DR326" s="372"/>
      <c r="DS326" s="372"/>
      <c r="DT326" s="88"/>
      <c r="DU326" s="88"/>
      <c r="DV326" s="88"/>
      <c r="DW326" s="226"/>
      <c r="DX326" s="226"/>
      <c r="DY326" s="226"/>
      <c r="DZ326" s="226"/>
      <c r="EA326" s="226"/>
      <c r="EB326" s="226"/>
      <c r="EC326" s="226"/>
      <c r="ED326" s="226"/>
      <c r="EE326" s="226"/>
      <c r="EF326" s="226"/>
      <c r="EG326" s="226"/>
      <c r="EH326" s="226"/>
    </row>
    <row r="327" spans="1:138" x14ac:dyDescent="0.25">
      <c r="A327" s="147"/>
      <c r="B327" s="147"/>
      <c r="C327" s="160"/>
      <c r="D327" s="160"/>
      <c r="E327" s="169"/>
      <c r="F327" s="229"/>
      <c r="G327" s="165"/>
      <c r="H327" s="165"/>
      <c r="I327" s="163"/>
      <c r="J327" s="163"/>
      <c r="K327" s="162"/>
      <c r="L327" s="162"/>
      <c r="M327" s="162"/>
      <c r="N327" s="230"/>
      <c r="O327" s="230"/>
      <c r="P327" s="162"/>
      <c r="Q327" s="162"/>
      <c r="R327" s="162"/>
      <c r="S327" s="162"/>
      <c r="T327" s="162"/>
      <c r="U327" s="230"/>
      <c r="V327" s="230"/>
      <c r="W327" s="162"/>
      <c r="X327" s="162"/>
      <c r="Y327" s="162"/>
      <c r="Z327" s="162"/>
      <c r="AA327" s="162"/>
      <c r="AB327" s="230"/>
      <c r="AC327" s="230"/>
      <c r="AD327" s="162"/>
      <c r="AE327" s="162"/>
      <c r="AF327" s="162"/>
      <c r="AG327" s="162"/>
      <c r="AH327" s="162"/>
      <c r="AI327" s="230"/>
      <c r="AJ327" s="230"/>
      <c r="AK327" s="162"/>
      <c r="AL327" s="162"/>
      <c r="AM327" s="162"/>
      <c r="AN327" s="162"/>
      <c r="AO327" s="162"/>
      <c r="AP327" s="230"/>
      <c r="AQ327" s="230"/>
      <c r="AR327" s="162"/>
      <c r="AS327" s="162"/>
      <c r="AT327" s="162"/>
      <c r="AU327" s="162"/>
      <c r="AV327" s="162"/>
      <c r="AW327" s="230"/>
      <c r="AX327" s="230"/>
      <c r="AY327" s="162"/>
      <c r="AZ327" s="162"/>
      <c r="BA327" s="162"/>
      <c r="BB327" s="162"/>
      <c r="BC327" s="162"/>
      <c r="BD327" s="230"/>
      <c r="BE327" s="230"/>
      <c r="BF327" s="162"/>
      <c r="BG327" s="162"/>
      <c r="BH327" s="162"/>
      <c r="BI327" s="162"/>
      <c r="BJ327" s="162"/>
      <c r="BK327" s="230"/>
      <c r="BL327" s="230"/>
      <c r="BM327" s="162"/>
      <c r="BN327" s="162"/>
      <c r="BO327" s="162"/>
      <c r="BP327" s="162"/>
      <c r="BQ327" s="162"/>
      <c r="BR327" s="230"/>
      <c r="BS327" s="230"/>
      <c r="BT327" s="162"/>
      <c r="BU327" s="162"/>
      <c r="BV327" s="162"/>
      <c r="BW327" s="162"/>
      <c r="BX327" s="162"/>
      <c r="BY327" s="230"/>
      <c r="BZ327" s="230"/>
      <c r="CA327" s="162"/>
      <c r="CB327" s="162"/>
      <c r="CC327" s="162"/>
      <c r="CD327" s="162"/>
      <c r="CE327" s="162"/>
      <c r="CF327" s="230"/>
      <c r="CG327" s="230"/>
      <c r="CH327" s="162"/>
      <c r="CI327" s="162"/>
      <c r="CJ327" s="162"/>
      <c r="CK327" s="162"/>
      <c r="CL327" s="162"/>
      <c r="CM327" s="230"/>
      <c r="CN327" s="230"/>
      <c r="CO327" s="162"/>
      <c r="CP327" s="162"/>
      <c r="CQ327" s="162"/>
      <c r="CR327" s="162"/>
      <c r="CS327" s="162"/>
      <c r="CT327" s="230"/>
      <c r="CU327" s="230"/>
      <c r="CV327" s="162"/>
      <c r="CW327" s="162"/>
      <c r="CX327" s="162"/>
      <c r="CY327" s="162"/>
      <c r="CZ327" s="162"/>
      <c r="DA327" s="230"/>
      <c r="DB327" s="230"/>
      <c r="DC327" s="162"/>
      <c r="DD327" s="162"/>
      <c r="DE327" s="162"/>
      <c r="DF327" s="162"/>
      <c r="DG327" s="162"/>
      <c r="DH327" s="230"/>
      <c r="DI327" s="230"/>
      <c r="DJ327" s="162"/>
      <c r="DK327" s="162"/>
      <c r="DL327" s="50"/>
      <c r="DM327" s="380"/>
      <c r="DN327" s="372"/>
      <c r="DO327" s="372"/>
      <c r="DP327" s="372"/>
      <c r="DQ327" s="372"/>
      <c r="DR327" s="372"/>
      <c r="DS327" s="372"/>
      <c r="DT327" s="88"/>
      <c r="DU327" s="88"/>
      <c r="DV327" s="88"/>
      <c r="DW327" s="50"/>
      <c r="DX327" s="50"/>
      <c r="DY327" s="50"/>
      <c r="DZ327" s="50"/>
      <c r="EA327" s="50"/>
      <c r="EB327" s="50"/>
      <c r="EC327" s="50"/>
      <c r="ED327" s="50"/>
      <c r="EE327" s="50"/>
      <c r="EF327" s="50"/>
      <c r="EG327" s="50"/>
      <c r="EH327" s="50"/>
    </row>
    <row r="328" spans="1:138" x14ac:dyDescent="0.25">
      <c r="A328" s="147"/>
      <c r="B328" s="147"/>
      <c r="C328" s="160"/>
      <c r="D328" s="160"/>
      <c r="E328" s="169"/>
      <c r="F328" s="229"/>
      <c r="G328" s="165"/>
      <c r="H328" s="165"/>
      <c r="I328" s="163"/>
      <c r="J328" s="163"/>
      <c r="K328" s="162"/>
      <c r="L328" s="162"/>
      <c r="M328" s="162"/>
      <c r="N328" s="230"/>
      <c r="O328" s="230"/>
      <c r="P328" s="162"/>
      <c r="Q328" s="162"/>
      <c r="R328" s="162"/>
      <c r="S328" s="162"/>
      <c r="T328" s="162"/>
      <c r="U328" s="230"/>
      <c r="V328" s="230"/>
      <c r="W328" s="162"/>
      <c r="X328" s="162"/>
      <c r="Y328" s="162"/>
      <c r="Z328" s="162"/>
      <c r="AA328" s="162"/>
      <c r="AB328" s="230"/>
      <c r="AC328" s="230"/>
      <c r="AD328" s="162"/>
      <c r="AE328" s="162"/>
      <c r="AF328" s="162"/>
      <c r="AG328" s="162"/>
      <c r="AH328" s="162"/>
      <c r="AI328" s="230"/>
      <c r="AJ328" s="230"/>
      <c r="AK328" s="162"/>
      <c r="AL328" s="162"/>
      <c r="AM328" s="162"/>
      <c r="AN328" s="162"/>
      <c r="AO328" s="162"/>
      <c r="AP328" s="230"/>
      <c r="AQ328" s="230"/>
      <c r="AR328" s="162"/>
      <c r="AS328" s="162"/>
      <c r="AT328" s="162"/>
      <c r="AU328" s="162"/>
      <c r="AV328" s="162"/>
      <c r="AW328" s="230"/>
      <c r="AX328" s="230"/>
      <c r="AY328" s="162"/>
      <c r="AZ328" s="162"/>
      <c r="BA328" s="162"/>
      <c r="BB328" s="162"/>
      <c r="BC328" s="162"/>
      <c r="BD328" s="230"/>
      <c r="BE328" s="230"/>
      <c r="BF328" s="162"/>
      <c r="BG328" s="162"/>
      <c r="BH328" s="162"/>
      <c r="BI328" s="162"/>
      <c r="BJ328" s="162"/>
      <c r="BK328" s="230"/>
      <c r="BL328" s="230"/>
      <c r="BM328" s="162"/>
      <c r="BN328" s="162"/>
      <c r="BO328" s="162"/>
      <c r="BP328" s="162"/>
      <c r="BQ328" s="162"/>
      <c r="BR328" s="230"/>
      <c r="BS328" s="230"/>
      <c r="BT328" s="162"/>
      <c r="BU328" s="162"/>
      <c r="BV328" s="162"/>
      <c r="BW328" s="162"/>
      <c r="BX328" s="162"/>
      <c r="BY328" s="230"/>
      <c r="BZ328" s="230"/>
      <c r="CA328" s="162"/>
      <c r="CB328" s="162"/>
      <c r="CC328" s="162"/>
      <c r="CD328" s="162"/>
      <c r="CE328" s="162"/>
      <c r="CF328" s="230"/>
      <c r="CG328" s="230"/>
      <c r="CH328" s="162"/>
      <c r="CI328" s="162"/>
      <c r="CJ328" s="162"/>
      <c r="CK328" s="162"/>
      <c r="CL328" s="162"/>
      <c r="CM328" s="230"/>
      <c r="CN328" s="230"/>
      <c r="CO328" s="162"/>
      <c r="CP328" s="162"/>
      <c r="CQ328" s="162"/>
      <c r="CR328" s="162"/>
      <c r="CS328" s="162"/>
      <c r="CT328" s="230"/>
      <c r="CU328" s="230"/>
      <c r="CV328" s="162"/>
      <c r="CW328" s="162"/>
      <c r="CX328" s="162"/>
      <c r="CY328" s="162"/>
      <c r="CZ328" s="162"/>
      <c r="DA328" s="230"/>
      <c r="DB328" s="230"/>
      <c r="DC328" s="162"/>
      <c r="DD328" s="162"/>
      <c r="DE328" s="162"/>
      <c r="DF328" s="162"/>
      <c r="DG328" s="162"/>
      <c r="DH328" s="230"/>
      <c r="DI328" s="230"/>
      <c r="DJ328" s="162"/>
      <c r="DK328" s="162"/>
      <c r="DL328" s="75"/>
      <c r="DM328" s="380"/>
      <c r="DN328" s="372"/>
      <c r="DO328" s="372"/>
      <c r="DP328" s="372"/>
      <c r="DQ328" s="372"/>
      <c r="DR328" s="372"/>
      <c r="DS328" s="372"/>
      <c r="DT328" s="146"/>
      <c r="DU328" s="146"/>
      <c r="DV328" s="146"/>
      <c r="DW328" s="75"/>
      <c r="DX328" s="75"/>
      <c r="DY328" s="75"/>
      <c r="DZ328" s="75"/>
      <c r="EA328" s="75"/>
      <c r="EB328" s="75"/>
      <c r="EC328" s="75"/>
      <c r="ED328" s="75"/>
      <c r="EE328" s="75"/>
      <c r="EF328" s="75"/>
      <c r="EG328" s="75"/>
      <c r="EH328" s="75"/>
    </row>
    <row r="329" spans="1:138" x14ac:dyDescent="0.25">
      <c r="A329" s="147"/>
      <c r="B329" s="147"/>
      <c r="C329" s="160"/>
      <c r="D329" s="160"/>
      <c r="E329" s="169"/>
      <c r="F329" s="229"/>
      <c r="G329" s="165"/>
      <c r="H329" s="165"/>
      <c r="I329" s="163"/>
      <c r="J329" s="163"/>
      <c r="K329" s="162"/>
      <c r="L329" s="162"/>
      <c r="M329" s="162"/>
      <c r="N329" s="230"/>
      <c r="O329" s="230"/>
      <c r="P329" s="162"/>
      <c r="Q329" s="162"/>
      <c r="R329" s="162"/>
      <c r="S329" s="162"/>
      <c r="T329" s="162"/>
      <c r="U329" s="230"/>
      <c r="V329" s="230"/>
      <c r="W329" s="162"/>
      <c r="X329" s="162"/>
      <c r="Y329" s="162"/>
      <c r="Z329" s="162"/>
      <c r="AA329" s="162"/>
      <c r="AB329" s="230"/>
      <c r="AC329" s="230"/>
      <c r="AD329" s="162"/>
      <c r="AE329" s="162"/>
      <c r="AF329" s="162"/>
      <c r="AG329" s="162"/>
      <c r="AH329" s="162"/>
      <c r="AI329" s="230"/>
      <c r="AJ329" s="230"/>
      <c r="AK329" s="162"/>
      <c r="AL329" s="162"/>
      <c r="AM329" s="162"/>
      <c r="AN329" s="162"/>
      <c r="AO329" s="162"/>
      <c r="AP329" s="230"/>
      <c r="AQ329" s="230"/>
      <c r="AR329" s="162"/>
      <c r="AS329" s="162"/>
      <c r="AT329" s="162"/>
      <c r="AU329" s="162"/>
      <c r="AV329" s="162"/>
      <c r="AW329" s="230"/>
      <c r="AX329" s="230"/>
      <c r="AY329" s="162"/>
      <c r="AZ329" s="162"/>
      <c r="BA329" s="162"/>
      <c r="BB329" s="162"/>
      <c r="BC329" s="162"/>
      <c r="BD329" s="230"/>
      <c r="BE329" s="230"/>
      <c r="BF329" s="162"/>
      <c r="BG329" s="162"/>
      <c r="BH329" s="162"/>
      <c r="BI329" s="162"/>
      <c r="BJ329" s="162"/>
      <c r="BK329" s="230"/>
      <c r="BL329" s="230"/>
      <c r="BM329" s="162"/>
      <c r="BN329" s="162"/>
      <c r="BO329" s="162"/>
      <c r="BP329" s="162"/>
      <c r="BQ329" s="162"/>
      <c r="BR329" s="230"/>
      <c r="BS329" s="230"/>
      <c r="BT329" s="162"/>
      <c r="BU329" s="162"/>
      <c r="BV329" s="162"/>
      <c r="BW329" s="162"/>
      <c r="BX329" s="162"/>
      <c r="BY329" s="230"/>
      <c r="BZ329" s="230"/>
      <c r="CA329" s="162"/>
      <c r="CB329" s="162"/>
      <c r="CC329" s="162"/>
      <c r="CD329" s="162"/>
      <c r="CE329" s="162"/>
      <c r="CF329" s="230"/>
      <c r="CG329" s="230"/>
      <c r="CH329" s="162"/>
      <c r="CI329" s="162"/>
      <c r="CJ329" s="162"/>
      <c r="CK329" s="162"/>
      <c r="CL329" s="162"/>
      <c r="CM329" s="230"/>
      <c r="CN329" s="230"/>
      <c r="CO329" s="162"/>
      <c r="CP329" s="162"/>
      <c r="CQ329" s="162"/>
      <c r="CR329" s="162"/>
      <c r="CS329" s="162"/>
      <c r="CT329" s="230"/>
      <c r="CU329" s="230"/>
      <c r="CV329" s="162"/>
      <c r="CW329" s="162"/>
      <c r="CX329" s="162"/>
      <c r="CY329" s="162"/>
      <c r="CZ329" s="162"/>
      <c r="DA329" s="230"/>
      <c r="DB329" s="230"/>
      <c r="DC329" s="162"/>
      <c r="DD329" s="162"/>
      <c r="DE329" s="162"/>
      <c r="DF329" s="162"/>
      <c r="DG329" s="162"/>
      <c r="DH329" s="230"/>
      <c r="DI329" s="230"/>
      <c r="DJ329" s="162"/>
      <c r="DK329" s="162"/>
      <c r="DL329" s="75"/>
      <c r="DM329" s="88"/>
      <c r="DN329" s="88"/>
      <c r="DO329" s="88"/>
      <c r="DP329" s="88"/>
      <c r="DQ329" s="88"/>
      <c r="DR329" s="88"/>
      <c r="DS329" s="88"/>
      <c r="DT329" s="88"/>
      <c r="DU329" s="88"/>
      <c r="DV329" s="88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</row>
    <row r="330" spans="1:138" x14ac:dyDescent="0.25">
      <c r="A330" s="147"/>
      <c r="B330" s="147"/>
      <c r="C330" s="160"/>
      <c r="D330" s="160"/>
      <c r="E330" s="169"/>
      <c r="F330" s="229"/>
      <c r="G330" s="165"/>
      <c r="H330" s="165"/>
      <c r="I330" s="163"/>
      <c r="J330" s="163"/>
      <c r="K330" s="162"/>
      <c r="L330" s="162"/>
      <c r="M330" s="162"/>
      <c r="N330" s="230"/>
      <c r="O330" s="230"/>
      <c r="P330" s="162"/>
      <c r="Q330" s="162"/>
      <c r="R330" s="162"/>
      <c r="S330" s="162"/>
      <c r="T330" s="162"/>
      <c r="U330" s="230"/>
      <c r="V330" s="230"/>
      <c r="W330" s="162"/>
      <c r="X330" s="162"/>
      <c r="Y330" s="162"/>
      <c r="Z330" s="162"/>
      <c r="AA330" s="162"/>
      <c r="AB330" s="230"/>
      <c r="AC330" s="230"/>
      <c r="AD330" s="162"/>
      <c r="AE330" s="162"/>
      <c r="AF330" s="162"/>
      <c r="AG330" s="162"/>
      <c r="AH330" s="162"/>
      <c r="AI330" s="230"/>
      <c r="AJ330" s="230"/>
      <c r="AK330" s="162"/>
      <c r="AL330" s="162"/>
      <c r="AM330" s="162"/>
      <c r="AN330" s="162"/>
      <c r="AO330" s="162"/>
      <c r="AP330" s="230"/>
      <c r="AQ330" s="230"/>
      <c r="AR330" s="162"/>
      <c r="AS330" s="162"/>
      <c r="AT330" s="162"/>
      <c r="AU330" s="162"/>
      <c r="AV330" s="162"/>
      <c r="AW330" s="230"/>
      <c r="AX330" s="230"/>
      <c r="AY330" s="162"/>
      <c r="AZ330" s="162"/>
      <c r="BA330" s="162"/>
      <c r="BB330" s="162"/>
      <c r="BC330" s="162"/>
      <c r="BD330" s="230"/>
      <c r="BE330" s="230"/>
      <c r="BF330" s="162"/>
      <c r="BG330" s="162"/>
      <c r="BH330" s="162"/>
      <c r="BI330" s="162"/>
      <c r="BJ330" s="162"/>
      <c r="BK330" s="230"/>
      <c r="BL330" s="230"/>
      <c r="BM330" s="162"/>
      <c r="BN330" s="162"/>
      <c r="BO330" s="162"/>
      <c r="BP330" s="162"/>
      <c r="BQ330" s="162"/>
      <c r="BR330" s="230"/>
      <c r="BS330" s="230"/>
      <c r="BT330" s="162"/>
      <c r="BU330" s="162"/>
      <c r="BV330" s="162"/>
      <c r="BW330" s="162"/>
      <c r="BX330" s="162"/>
      <c r="BY330" s="230"/>
      <c r="BZ330" s="230"/>
      <c r="CA330" s="162"/>
      <c r="CB330" s="162"/>
      <c r="CC330" s="162"/>
      <c r="CD330" s="162"/>
      <c r="CE330" s="162"/>
      <c r="CF330" s="230"/>
      <c r="CG330" s="230"/>
      <c r="CH330" s="162"/>
      <c r="CI330" s="162"/>
      <c r="CJ330" s="162"/>
      <c r="CK330" s="162"/>
      <c r="CL330" s="162"/>
      <c r="CM330" s="230"/>
      <c r="CN330" s="230"/>
      <c r="CO330" s="162"/>
      <c r="CP330" s="162"/>
      <c r="CQ330" s="162"/>
      <c r="CR330" s="162"/>
      <c r="CS330" s="162"/>
      <c r="CT330" s="230"/>
      <c r="CU330" s="230"/>
      <c r="CV330" s="162"/>
      <c r="CW330" s="162"/>
      <c r="CX330" s="162"/>
      <c r="CY330" s="162"/>
      <c r="CZ330" s="162"/>
      <c r="DA330" s="230"/>
      <c r="DB330" s="230"/>
      <c r="DC330" s="162"/>
      <c r="DD330" s="162"/>
      <c r="DE330" s="162"/>
      <c r="DF330" s="162"/>
      <c r="DG330" s="162"/>
      <c r="DH330" s="230"/>
      <c r="DI330" s="230"/>
      <c r="DJ330" s="162"/>
      <c r="DK330" s="162"/>
      <c r="DL330" s="146"/>
      <c r="DM330" s="380"/>
      <c r="DN330" s="372"/>
      <c r="DO330" s="372"/>
      <c r="DP330" s="372"/>
      <c r="DQ330" s="372"/>
      <c r="DR330" s="372"/>
      <c r="DS330" s="372"/>
      <c r="DT330" s="88"/>
      <c r="DU330" s="88"/>
      <c r="DV330" s="88"/>
      <c r="DW330" s="146"/>
      <c r="DX330" s="146"/>
      <c r="DY330" s="146"/>
      <c r="DZ330" s="146"/>
      <c r="EA330" s="146"/>
      <c r="EB330" s="146"/>
      <c r="EC330" s="146"/>
      <c r="ED330" s="146"/>
      <c r="EE330" s="146"/>
      <c r="EF330" s="146"/>
      <c r="EG330" s="146"/>
      <c r="EH330" s="146"/>
    </row>
    <row r="331" spans="1:138" x14ac:dyDescent="0.25">
      <c r="A331" s="147"/>
      <c r="B331" s="147"/>
      <c r="C331" s="160"/>
      <c r="D331" s="160"/>
      <c r="E331" s="169"/>
      <c r="F331" s="229"/>
      <c r="G331" s="165"/>
      <c r="H331" s="165"/>
      <c r="I331" s="163"/>
      <c r="J331" s="163"/>
      <c r="K331" s="162"/>
      <c r="L331" s="162"/>
      <c r="M331" s="162"/>
      <c r="N331" s="230"/>
      <c r="O331" s="230"/>
      <c r="P331" s="162"/>
      <c r="Q331" s="162"/>
      <c r="R331" s="162"/>
      <c r="S331" s="162"/>
      <c r="T331" s="162"/>
      <c r="U331" s="230"/>
      <c r="V331" s="230"/>
      <c r="W331" s="162"/>
      <c r="X331" s="162"/>
      <c r="Y331" s="162"/>
      <c r="Z331" s="162"/>
      <c r="AA331" s="162"/>
      <c r="AB331" s="230"/>
      <c r="AC331" s="230"/>
      <c r="AD331" s="162"/>
      <c r="AE331" s="162"/>
      <c r="AF331" s="162"/>
      <c r="AG331" s="162"/>
      <c r="AH331" s="162"/>
      <c r="AI331" s="230"/>
      <c r="AJ331" s="230"/>
      <c r="AK331" s="162"/>
      <c r="AL331" s="162"/>
      <c r="AM331" s="162"/>
      <c r="AN331" s="162"/>
      <c r="AO331" s="162"/>
      <c r="AP331" s="230"/>
      <c r="AQ331" s="230"/>
      <c r="AR331" s="162"/>
      <c r="AS331" s="162"/>
      <c r="AT331" s="162"/>
      <c r="AU331" s="162"/>
      <c r="AV331" s="162"/>
      <c r="AW331" s="230"/>
      <c r="AX331" s="230"/>
      <c r="AY331" s="162"/>
      <c r="AZ331" s="162"/>
      <c r="BA331" s="162"/>
      <c r="BB331" s="162"/>
      <c r="BC331" s="162"/>
      <c r="BD331" s="230"/>
      <c r="BE331" s="230"/>
      <c r="BF331" s="162"/>
      <c r="BG331" s="162"/>
      <c r="BH331" s="162"/>
      <c r="BI331" s="162"/>
      <c r="BJ331" s="162"/>
      <c r="BK331" s="230"/>
      <c r="BL331" s="230"/>
      <c r="BM331" s="162"/>
      <c r="BN331" s="162"/>
      <c r="BO331" s="162"/>
      <c r="BP331" s="162"/>
      <c r="BQ331" s="162"/>
      <c r="BR331" s="230"/>
      <c r="BS331" s="230"/>
      <c r="BT331" s="162"/>
      <c r="BU331" s="162"/>
      <c r="BV331" s="162"/>
      <c r="BW331" s="162"/>
      <c r="BX331" s="162"/>
      <c r="BY331" s="230"/>
      <c r="BZ331" s="230"/>
      <c r="CA331" s="162"/>
      <c r="CB331" s="162"/>
      <c r="CC331" s="162"/>
      <c r="CD331" s="162"/>
      <c r="CE331" s="162"/>
      <c r="CF331" s="230"/>
      <c r="CG331" s="230"/>
      <c r="CH331" s="162"/>
      <c r="CI331" s="162"/>
      <c r="CJ331" s="162"/>
      <c r="CK331" s="162"/>
      <c r="CL331" s="162"/>
      <c r="CM331" s="230"/>
      <c r="CN331" s="230"/>
      <c r="CO331" s="162"/>
      <c r="CP331" s="162"/>
      <c r="CQ331" s="162"/>
      <c r="CR331" s="162"/>
      <c r="CS331" s="162"/>
      <c r="CT331" s="230"/>
      <c r="CU331" s="230"/>
      <c r="CV331" s="162"/>
      <c r="CW331" s="162"/>
      <c r="CX331" s="162"/>
      <c r="CY331" s="162"/>
      <c r="CZ331" s="162"/>
      <c r="DA331" s="230"/>
      <c r="DB331" s="230"/>
      <c r="DC331" s="162"/>
      <c r="DD331" s="162"/>
      <c r="DE331" s="162"/>
      <c r="DF331" s="162"/>
      <c r="DG331" s="162"/>
      <c r="DH331" s="230"/>
      <c r="DI331" s="230"/>
      <c r="DJ331" s="162"/>
      <c r="DK331" s="162"/>
      <c r="DL331" s="146"/>
      <c r="DM331" s="380"/>
      <c r="DN331" s="372"/>
      <c r="DO331" s="372"/>
      <c r="DP331" s="372"/>
      <c r="DQ331" s="372"/>
      <c r="DR331" s="372"/>
      <c r="DS331" s="372"/>
      <c r="DT331" s="89"/>
      <c r="DU331" s="89"/>
      <c r="DV331" s="89"/>
      <c r="DW331" s="146"/>
      <c r="DX331" s="146"/>
      <c r="DY331" s="146"/>
      <c r="DZ331" s="146"/>
      <c r="EA331" s="146"/>
      <c r="EB331" s="146"/>
      <c r="EC331" s="146"/>
      <c r="ED331" s="146"/>
      <c r="EE331" s="146"/>
      <c r="EF331" s="146"/>
      <c r="EG331" s="146"/>
      <c r="EH331" s="146"/>
    </row>
    <row r="332" spans="1:138" x14ac:dyDescent="0.25">
      <c r="A332" s="147"/>
      <c r="B332" s="147"/>
      <c r="C332" s="160"/>
      <c r="D332" s="160"/>
      <c r="E332" s="169"/>
      <c r="F332" s="229"/>
      <c r="G332" s="165"/>
      <c r="H332" s="165"/>
      <c r="I332" s="163"/>
      <c r="J332" s="163"/>
      <c r="K332" s="162"/>
      <c r="L332" s="162"/>
      <c r="M332" s="162"/>
      <c r="N332" s="230"/>
      <c r="O332" s="230"/>
      <c r="P332" s="162"/>
      <c r="Q332" s="162"/>
      <c r="R332" s="162"/>
      <c r="S332" s="162"/>
      <c r="T332" s="162"/>
      <c r="U332" s="230"/>
      <c r="V332" s="230"/>
      <c r="W332" s="162"/>
      <c r="X332" s="162"/>
      <c r="Y332" s="162"/>
      <c r="Z332" s="162"/>
      <c r="AA332" s="162"/>
      <c r="AB332" s="230"/>
      <c r="AC332" s="230"/>
      <c r="AD332" s="162"/>
      <c r="AE332" s="162"/>
      <c r="AF332" s="162"/>
      <c r="AG332" s="162"/>
      <c r="AH332" s="162"/>
      <c r="AI332" s="230"/>
      <c r="AJ332" s="230"/>
      <c r="AK332" s="162"/>
      <c r="AL332" s="162"/>
      <c r="AM332" s="162"/>
      <c r="AN332" s="162"/>
      <c r="AO332" s="162"/>
      <c r="AP332" s="230"/>
      <c r="AQ332" s="230"/>
      <c r="AR332" s="162"/>
      <c r="AS332" s="162"/>
      <c r="AT332" s="162"/>
      <c r="AU332" s="162"/>
      <c r="AV332" s="162"/>
      <c r="AW332" s="230"/>
      <c r="AX332" s="230"/>
      <c r="AY332" s="162"/>
      <c r="AZ332" s="162"/>
      <c r="BA332" s="162"/>
      <c r="BB332" s="162"/>
      <c r="BC332" s="162"/>
      <c r="BD332" s="230"/>
      <c r="BE332" s="230"/>
      <c r="BF332" s="162"/>
      <c r="BG332" s="162"/>
      <c r="BH332" s="162"/>
      <c r="BI332" s="162"/>
      <c r="BJ332" s="162"/>
      <c r="BK332" s="230"/>
      <c r="BL332" s="230"/>
      <c r="BM332" s="162"/>
      <c r="BN332" s="162"/>
      <c r="BO332" s="162"/>
      <c r="BP332" s="162"/>
      <c r="BQ332" s="162"/>
      <c r="BR332" s="230"/>
      <c r="BS332" s="230"/>
      <c r="BT332" s="162"/>
      <c r="BU332" s="162"/>
      <c r="BV332" s="162"/>
      <c r="BW332" s="162"/>
      <c r="BX332" s="162"/>
      <c r="BY332" s="230"/>
      <c r="BZ332" s="230"/>
      <c r="CA332" s="162"/>
      <c r="CB332" s="162"/>
      <c r="CC332" s="162"/>
      <c r="CD332" s="162"/>
      <c r="CE332" s="162"/>
      <c r="CF332" s="230"/>
      <c r="CG332" s="230"/>
      <c r="CH332" s="162"/>
      <c r="CI332" s="162"/>
      <c r="CJ332" s="162"/>
      <c r="CK332" s="162"/>
      <c r="CL332" s="162"/>
      <c r="CM332" s="230"/>
      <c r="CN332" s="230"/>
      <c r="CO332" s="162"/>
      <c r="CP332" s="162"/>
      <c r="CQ332" s="162"/>
      <c r="CR332" s="162"/>
      <c r="CS332" s="162"/>
      <c r="CT332" s="230"/>
      <c r="CU332" s="230"/>
      <c r="CV332" s="162"/>
      <c r="CW332" s="162"/>
      <c r="CX332" s="162"/>
      <c r="CY332" s="162"/>
      <c r="CZ332" s="162"/>
      <c r="DA332" s="230"/>
      <c r="DB332" s="230"/>
      <c r="DC332" s="162"/>
      <c r="DD332" s="162"/>
      <c r="DE332" s="162"/>
      <c r="DF332" s="162"/>
      <c r="DG332" s="162"/>
      <c r="DH332" s="230"/>
      <c r="DI332" s="230"/>
      <c r="DJ332" s="162"/>
      <c r="DK332" s="162"/>
      <c r="DL332" s="146"/>
      <c r="DM332" s="88"/>
      <c r="DN332" s="88"/>
      <c r="DO332" s="88"/>
      <c r="DP332" s="88"/>
      <c r="DQ332" s="88"/>
      <c r="DR332" s="88"/>
      <c r="DS332" s="88"/>
      <c r="DT332" s="88"/>
      <c r="DU332" s="88"/>
      <c r="DV332" s="88"/>
      <c r="DW332" s="146"/>
      <c r="DX332" s="146"/>
      <c r="DY332" s="146"/>
      <c r="DZ332" s="146"/>
      <c r="EA332" s="146"/>
      <c r="EB332" s="146"/>
      <c r="EC332" s="146"/>
      <c r="ED332" s="146"/>
      <c r="EE332" s="146"/>
      <c r="EF332" s="146"/>
      <c r="EG332" s="146"/>
      <c r="EH332" s="146"/>
    </row>
    <row r="333" spans="1:138" x14ac:dyDescent="0.25">
      <c r="A333" s="147"/>
      <c r="B333" s="147"/>
      <c r="C333" s="160"/>
      <c r="D333" s="160"/>
      <c r="E333" s="169"/>
      <c r="F333" s="229"/>
      <c r="G333" s="165"/>
      <c r="H333" s="165"/>
      <c r="I333" s="163"/>
      <c r="J333" s="163"/>
      <c r="K333" s="162"/>
      <c r="L333" s="162"/>
      <c r="M333" s="162"/>
      <c r="N333" s="230"/>
      <c r="O333" s="230"/>
      <c r="P333" s="162"/>
      <c r="Q333" s="162"/>
      <c r="R333" s="162"/>
      <c r="S333" s="162"/>
      <c r="T333" s="162"/>
      <c r="U333" s="230"/>
      <c r="V333" s="230"/>
      <c r="W333" s="162"/>
      <c r="X333" s="162"/>
      <c r="Y333" s="162"/>
      <c r="Z333" s="162"/>
      <c r="AA333" s="162"/>
      <c r="AB333" s="230"/>
      <c r="AC333" s="230"/>
      <c r="AD333" s="162"/>
      <c r="AE333" s="162"/>
      <c r="AF333" s="162"/>
      <c r="AG333" s="162"/>
      <c r="AH333" s="162"/>
      <c r="AI333" s="230"/>
      <c r="AJ333" s="230"/>
      <c r="AK333" s="162"/>
      <c r="AL333" s="162"/>
      <c r="AM333" s="162"/>
      <c r="AN333" s="162"/>
      <c r="AO333" s="162"/>
      <c r="AP333" s="230"/>
      <c r="AQ333" s="230"/>
      <c r="AR333" s="162"/>
      <c r="AS333" s="162"/>
      <c r="AT333" s="162"/>
      <c r="AU333" s="162"/>
      <c r="AV333" s="162"/>
      <c r="AW333" s="230"/>
      <c r="AX333" s="230"/>
      <c r="AY333" s="162"/>
      <c r="AZ333" s="162"/>
      <c r="BA333" s="162"/>
      <c r="BB333" s="162"/>
      <c r="BC333" s="162"/>
      <c r="BD333" s="230"/>
      <c r="BE333" s="230"/>
      <c r="BF333" s="162"/>
      <c r="BG333" s="162"/>
      <c r="BH333" s="162"/>
      <c r="BI333" s="162"/>
      <c r="BJ333" s="162"/>
      <c r="BK333" s="230"/>
      <c r="BL333" s="230"/>
      <c r="BM333" s="162"/>
      <c r="BN333" s="162"/>
      <c r="BO333" s="162"/>
      <c r="BP333" s="162"/>
      <c r="BQ333" s="162"/>
      <c r="BR333" s="230"/>
      <c r="BS333" s="230"/>
      <c r="BT333" s="162"/>
      <c r="BU333" s="162"/>
      <c r="BV333" s="162"/>
      <c r="BW333" s="162"/>
      <c r="BX333" s="162"/>
      <c r="BY333" s="230"/>
      <c r="BZ333" s="230"/>
      <c r="CA333" s="162"/>
      <c r="CB333" s="162"/>
      <c r="CC333" s="162"/>
      <c r="CD333" s="162"/>
      <c r="CE333" s="162"/>
      <c r="CF333" s="230"/>
      <c r="CG333" s="230"/>
      <c r="CH333" s="162"/>
      <c r="CI333" s="162"/>
      <c r="CJ333" s="162"/>
      <c r="CK333" s="162"/>
      <c r="CL333" s="162"/>
      <c r="CM333" s="230"/>
      <c r="CN333" s="230"/>
      <c r="CO333" s="162"/>
      <c r="CP333" s="162"/>
      <c r="CQ333" s="162"/>
      <c r="CR333" s="162"/>
      <c r="CS333" s="162"/>
      <c r="CT333" s="230"/>
      <c r="CU333" s="230"/>
      <c r="CV333" s="162"/>
      <c r="CW333" s="162"/>
      <c r="CX333" s="162"/>
      <c r="CY333" s="162"/>
      <c r="CZ333" s="162"/>
      <c r="DA333" s="230"/>
      <c r="DB333" s="230"/>
      <c r="DC333" s="162"/>
      <c r="DD333" s="162"/>
      <c r="DE333" s="162"/>
      <c r="DF333" s="162"/>
      <c r="DG333" s="162"/>
      <c r="DH333" s="230"/>
      <c r="DI333" s="230"/>
      <c r="DJ333" s="162"/>
      <c r="DK333" s="162"/>
      <c r="DL333" s="146"/>
      <c r="DM333" s="371"/>
      <c r="DN333" s="372"/>
      <c r="DO333" s="372"/>
      <c r="DP333" s="372"/>
      <c r="DQ333" s="372"/>
      <c r="DR333" s="372"/>
      <c r="DS333" s="372"/>
      <c r="DT333" s="372"/>
      <c r="DU333" s="372"/>
      <c r="DV333" s="372"/>
      <c r="DW333" s="146"/>
      <c r="DX333" s="146"/>
      <c r="DY333" s="146"/>
      <c r="DZ333" s="146"/>
      <c r="EA333" s="146"/>
      <c r="EB333" s="146"/>
      <c r="EC333" s="146"/>
      <c r="ED333" s="146"/>
      <c r="EE333" s="146"/>
      <c r="EF333" s="146"/>
      <c r="EG333" s="146"/>
      <c r="EH333" s="146"/>
    </row>
    <row r="334" spans="1:138" x14ac:dyDescent="0.25">
      <c r="A334" s="147"/>
      <c r="B334" s="147"/>
      <c r="C334" s="160"/>
      <c r="D334" s="160"/>
      <c r="E334" s="169"/>
      <c r="F334" s="229"/>
      <c r="G334" s="165"/>
      <c r="H334" s="165"/>
      <c r="I334" s="163"/>
      <c r="J334" s="163"/>
      <c r="K334" s="162"/>
      <c r="L334" s="162"/>
      <c r="M334" s="162"/>
      <c r="N334" s="230"/>
      <c r="O334" s="230"/>
      <c r="P334" s="162"/>
      <c r="Q334" s="162"/>
      <c r="R334" s="162"/>
      <c r="S334" s="162"/>
      <c r="T334" s="162"/>
      <c r="U334" s="230"/>
      <c r="V334" s="230"/>
      <c r="W334" s="162"/>
      <c r="X334" s="162"/>
      <c r="Y334" s="162"/>
      <c r="Z334" s="162"/>
      <c r="AA334" s="162"/>
      <c r="AB334" s="230"/>
      <c r="AC334" s="230"/>
      <c r="AD334" s="162"/>
      <c r="AE334" s="162"/>
      <c r="AF334" s="162"/>
      <c r="AG334" s="162"/>
      <c r="AH334" s="162"/>
      <c r="AI334" s="230"/>
      <c r="AJ334" s="230"/>
      <c r="AK334" s="162"/>
      <c r="AL334" s="162"/>
      <c r="AM334" s="162"/>
      <c r="AN334" s="162"/>
      <c r="AO334" s="162"/>
      <c r="AP334" s="230"/>
      <c r="AQ334" s="230"/>
      <c r="AR334" s="162"/>
      <c r="AS334" s="162"/>
      <c r="AT334" s="162"/>
      <c r="AU334" s="162"/>
      <c r="AV334" s="162"/>
      <c r="AW334" s="230"/>
      <c r="AX334" s="230"/>
      <c r="AY334" s="162"/>
      <c r="AZ334" s="162"/>
      <c r="BA334" s="162"/>
      <c r="BB334" s="162"/>
      <c r="BC334" s="162"/>
      <c r="BD334" s="230"/>
      <c r="BE334" s="230"/>
      <c r="BF334" s="162"/>
      <c r="BG334" s="162"/>
      <c r="BH334" s="162"/>
      <c r="BI334" s="162"/>
      <c r="BJ334" s="162"/>
      <c r="BK334" s="230"/>
      <c r="BL334" s="230"/>
      <c r="BM334" s="162"/>
      <c r="BN334" s="162"/>
      <c r="BO334" s="162"/>
      <c r="BP334" s="162"/>
      <c r="BQ334" s="162"/>
      <c r="BR334" s="230"/>
      <c r="BS334" s="230"/>
      <c r="BT334" s="162"/>
      <c r="BU334" s="162"/>
      <c r="BV334" s="162"/>
      <c r="BW334" s="162"/>
      <c r="BX334" s="162"/>
      <c r="BY334" s="230"/>
      <c r="BZ334" s="230"/>
      <c r="CA334" s="162"/>
      <c r="CB334" s="162"/>
      <c r="CC334" s="162"/>
      <c r="CD334" s="162"/>
      <c r="CE334" s="162"/>
      <c r="CF334" s="230"/>
      <c r="CG334" s="230"/>
      <c r="CH334" s="162"/>
      <c r="CI334" s="162"/>
      <c r="CJ334" s="162"/>
      <c r="CK334" s="162"/>
      <c r="CL334" s="162"/>
      <c r="CM334" s="230"/>
      <c r="CN334" s="230"/>
      <c r="CO334" s="162"/>
      <c r="CP334" s="162"/>
      <c r="CQ334" s="162"/>
      <c r="CR334" s="162"/>
      <c r="CS334" s="162"/>
      <c r="CT334" s="230"/>
      <c r="CU334" s="230"/>
      <c r="CV334" s="162"/>
      <c r="CW334" s="162"/>
      <c r="CX334" s="162"/>
      <c r="CY334" s="162"/>
      <c r="CZ334" s="162"/>
      <c r="DA334" s="230"/>
      <c r="DB334" s="230"/>
      <c r="DC334" s="162"/>
      <c r="DD334" s="162"/>
      <c r="DE334" s="162"/>
      <c r="DF334" s="162"/>
      <c r="DG334" s="162"/>
      <c r="DH334" s="230"/>
      <c r="DI334" s="230"/>
      <c r="DJ334" s="162"/>
      <c r="DK334" s="162"/>
      <c r="DL334" s="146"/>
      <c r="DM334" s="371"/>
      <c r="DN334" s="372"/>
      <c r="DO334" s="372"/>
      <c r="DP334" s="372"/>
      <c r="DQ334" s="372"/>
      <c r="DR334" s="372"/>
      <c r="DS334" s="372"/>
      <c r="DT334" s="372"/>
      <c r="DU334" s="372"/>
      <c r="DV334" s="372"/>
      <c r="DW334" s="146"/>
      <c r="DX334" s="146"/>
      <c r="DY334" s="146"/>
      <c r="DZ334" s="146"/>
      <c r="EA334" s="146"/>
      <c r="EB334" s="146"/>
      <c r="EC334" s="146"/>
      <c r="ED334" s="146"/>
      <c r="EE334" s="146"/>
      <c r="EF334" s="146"/>
      <c r="EG334" s="146"/>
      <c r="EH334" s="146"/>
    </row>
    <row r="335" spans="1:138" x14ac:dyDescent="0.25">
      <c r="A335" s="147"/>
      <c r="B335" s="147"/>
      <c r="C335" s="160"/>
      <c r="D335" s="160"/>
      <c r="E335" s="169"/>
      <c r="F335" s="229"/>
      <c r="G335" s="165"/>
      <c r="H335" s="165"/>
      <c r="I335" s="163"/>
      <c r="J335" s="163"/>
      <c r="K335" s="162"/>
      <c r="L335" s="162"/>
      <c r="M335" s="162"/>
      <c r="N335" s="230"/>
      <c r="O335" s="230"/>
      <c r="P335" s="162"/>
      <c r="Q335" s="162"/>
      <c r="R335" s="162"/>
      <c r="S335" s="162"/>
      <c r="T335" s="162"/>
      <c r="U335" s="230"/>
      <c r="V335" s="230"/>
      <c r="W335" s="162"/>
      <c r="X335" s="162"/>
      <c r="Y335" s="162"/>
      <c r="Z335" s="162"/>
      <c r="AA335" s="162"/>
      <c r="AB335" s="230"/>
      <c r="AC335" s="230"/>
      <c r="AD335" s="162"/>
      <c r="AE335" s="162"/>
      <c r="AF335" s="162"/>
      <c r="AG335" s="162"/>
      <c r="AH335" s="162"/>
      <c r="AI335" s="230"/>
      <c r="AJ335" s="230"/>
      <c r="AK335" s="162"/>
      <c r="AL335" s="162"/>
      <c r="AM335" s="162"/>
      <c r="AN335" s="162"/>
      <c r="AO335" s="162"/>
      <c r="AP335" s="230"/>
      <c r="AQ335" s="230"/>
      <c r="AR335" s="162"/>
      <c r="AS335" s="162"/>
      <c r="AT335" s="162"/>
      <c r="AU335" s="162"/>
      <c r="AV335" s="162"/>
      <c r="AW335" s="230"/>
      <c r="AX335" s="230"/>
      <c r="AY335" s="162"/>
      <c r="AZ335" s="162"/>
      <c r="BA335" s="162"/>
      <c r="BB335" s="162"/>
      <c r="BC335" s="162"/>
      <c r="BD335" s="230"/>
      <c r="BE335" s="230"/>
      <c r="BF335" s="162"/>
      <c r="BG335" s="162"/>
      <c r="BH335" s="162"/>
      <c r="BI335" s="162"/>
      <c r="BJ335" s="162"/>
      <c r="BK335" s="230"/>
      <c r="BL335" s="230"/>
      <c r="BM335" s="162"/>
      <c r="BN335" s="162"/>
      <c r="BO335" s="162"/>
      <c r="BP335" s="162"/>
      <c r="BQ335" s="162"/>
      <c r="BR335" s="230"/>
      <c r="BS335" s="230"/>
      <c r="BT335" s="162"/>
      <c r="BU335" s="162"/>
      <c r="BV335" s="162"/>
      <c r="BW335" s="162"/>
      <c r="BX335" s="162"/>
      <c r="BY335" s="230"/>
      <c r="BZ335" s="230"/>
      <c r="CA335" s="162"/>
      <c r="CB335" s="162"/>
      <c r="CC335" s="162"/>
      <c r="CD335" s="162"/>
      <c r="CE335" s="162"/>
      <c r="CF335" s="230"/>
      <c r="CG335" s="230"/>
      <c r="CH335" s="162"/>
      <c r="CI335" s="162"/>
      <c r="CJ335" s="162"/>
      <c r="CK335" s="162"/>
      <c r="CL335" s="162"/>
      <c r="CM335" s="230"/>
      <c r="CN335" s="230"/>
      <c r="CO335" s="162"/>
      <c r="CP335" s="162"/>
      <c r="CQ335" s="162"/>
      <c r="CR335" s="162"/>
      <c r="CS335" s="162"/>
      <c r="CT335" s="230"/>
      <c r="CU335" s="230"/>
      <c r="CV335" s="162"/>
      <c r="CW335" s="162"/>
      <c r="CX335" s="162"/>
      <c r="CY335" s="162"/>
      <c r="CZ335" s="162"/>
      <c r="DA335" s="230"/>
      <c r="DB335" s="230"/>
      <c r="DC335" s="162"/>
      <c r="DD335" s="162"/>
      <c r="DE335" s="162"/>
      <c r="DF335" s="162"/>
      <c r="DG335" s="162"/>
      <c r="DH335" s="230"/>
      <c r="DI335" s="230"/>
      <c r="DJ335" s="162"/>
      <c r="DK335" s="162"/>
      <c r="DL335" s="226"/>
      <c r="DM335" s="380"/>
      <c r="DN335" s="372"/>
      <c r="DO335" s="372"/>
      <c r="DP335" s="372"/>
      <c r="DQ335" s="372"/>
      <c r="DR335" s="372"/>
      <c r="DS335" s="372"/>
      <c r="DT335" s="88"/>
      <c r="DU335" s="88"/>
      <c r="DV335" s="88"/>
      <c r="DW335" s="226"/>
      <c r="DX335" s="226"/>
      <c r="DY335" s="226"/>
      <c r="DZ335" s="226"/>
      <c r="EA335" s="226"/>
      <c r="EB335" s="226"/>
      <c r="EC335" s="226"/>
      <c r="ED335" s="226"/>
      <c r="EE335" s="226"/>
      <c r="EF335" s="226"/>
      <c r="EG335" s="226"/>
      <c r="EH335" s="226"/>
    </row>
    <row r="336" spans="1:138" x14ac:dyDescent="0.25">
      <c r="A336" s="147"/>
      <c r="B336" s="147"/>
      <c r="C336" s="160"/>
      <c r="D336" s="160"/>
      <c r="E336" s="169"/>
      <c r="F336" s="229"/>
      <c r="G336" s="165"/>
      <c r="H336" s="165"/>
      <c r="I336" s="163"/>
      <c r="J336" s="163"/>
      <c r="K336" s="162"/>
      <c r="L336" s="162"/>
      <c r="M336" s="162"/>
      <c r="N336" s="230"/>
      <c r="O336" s="230"/>
      <c r="P336" s="162"/>
      <c r="Q336" s="162"/>
      <c r="R336" s="162"/>
      <c r="S336" s="162"/>
      <c r="T336" s="162"/>
      <c r="U336" s="230"/>
      <c r="V336" s="230"/>
      <c r="W336" s="162"/>
      <c r="X336" s="162"/>
      <c r="Y336" s="162"/>
      <c r="Z336" s="162"/>
      <c r="AA336" s="162"/>
      <c r="AB336" s="230"/>
      <c r="AC336" s="230"/>
      <c r="AD336" s="162"/>
      <c r="AE336" s="162"/>
      <c r="AF336" s="162"/>
      <c r="AG336" s="162"/>
      <c r="AH336" s="162"/>
      <c r="AI336" s="230"/>
      <c r="AJ336" s="230"/>
      <c r="AK336" s="162"/>
      <c r="AL336" s="162"/>
      <c r="AM336" s="162"/>
      <c r="AN336" s="162"/>
      <c r="AO336" s="162"/>
      <c r="AP336" s="230"/>
      <c r="AQ336" s="230"/>
      <c r="AR336" s="162"/>
      <c r="AS336" s="162"/>
      <c r="AT336" s="162"/>
      <c r="AU336" s="162"/>
      <c r="AV336" s="162"/>
      <c r="AW336" s="230"/>
      <c r="AX336" s="230"/>
      <c r="AY336" s="162"/>
      <c r="AZ336" s="162"/>
      <c r="BA336" s="162"/>
      <c r="BB336" s="162"/>
      <c r="BC336" s="162"/>
      <c r="BD336" s="230"/>
      <c r="BE336" s="230"/>
      <c r="BF336" s="162"/>
      <c r="BG336" s="162"/>
      <c r="BH336" s="162"/>
      <c r="BI336" s="162"/>
      <c r="BJ336" s="162"/>
      <c r="BK336" s="230"/>
      <c r="BL336" s="230"/>
      <c r="BM336" s="162"/>
      <c r="BN336" s="162"/>
      <c r="BO336" s="162"/>
      <c r="BP336" s="162"/>
      <c r="BQ336" s="162"/>
      <c r="BR336" s="230"/>
      <c r="BS336" s="230"/>
      <c r="BT336" s="162"/>
      <c r="BU336" s="162"/>
      <c r="BV336" s="162"/>
      <c r="BW336" s="162"/>
      <c r="BX336" s="162"/>
      <c r="BY336" s="230"/>
      <c r="BZ336" s="230"/>
      <c r="CA336" s="162"/>
      <c r="CB336" s="162"/>
      <c r="CC336" s="162"/>
      <c r="CD336" s="162"/>
      <c r="CE336" s="162"/>
      <c r="CF336" s="230"/>
      <c r="CG336" s="230"/>
      <c r="CH336" s="162"/>
      <c r="CI336" s="162"/>
      <c r="CJ336" s="162"/>
      <c r="CK336" s="162"/>
      <c r="CL336" s="162"/>
      <c r="CM336" s="230"/>
      <c r="CN336" s="230"/>
      <c r="CO336" s="162"/>
      <c r="CP336" s="162"/>
      <c r="CQ336" s="162"/>
      <c r="CR336" s="162"/>
      <c r="CS336" s="162"/>
      <c r="CT336" s="230"/>
      <c r="CU336" s="230"/>
      <c r="CV336" s="162"/>
      <c r="CW336" s="162"/>
      <c r="CX336" s="162"/>
      <c r="CY336" s="162"/>
      <c r="CZ336" s="162"/>
      <c r="DA336" s="230"/>
      <c r="DB336" s="230"/>
      <c r="DC336" s="162"/>
      <c r="DD336" s="162"/>
      <c r="DE336" s="162"/>
      <c r="DF336" s="162"/>
      <c r="DG336" s="162"/>
      <c r="DH336" s="230"/>
      <c r="DI336" s="230"/>
      <c r="DJ336" s="162"/>
      <c r="DK336" s="162"/>
      <c r="DL336" s="146"/>
      <c r="DM336" s="380"/>
      <c r="DN336" s="372"/>
      <c r="DO336" s="372"/>
      <c r="DP336" s="372"/>
      <c r="DQ336" s="372"/>
      <c r="DR336" s="372"/>
      <c r="DS336" s="372"/>
      <c r="DT336" s="88"/>
      <c r="DU336" s="88"/>
      <c r="DV336" s="88"/>
      <c r="DW336" s="146"/>
      <c r="DX336" s="146"/>
      <c r="DY336" s="146"/>
      <c r="DZ336" s="146"/>
      <c r="EA336" s="146"/>
      <c r="EB336" s="146"/>
      <c r="EC336" s="146"/>
      <c r="ED336" s="146"/>
      <c r="EE336" s="146"/>
      <c r="EF336" s="146"/>
      <c r="EG336" s="146"/>
      <c r="EH336" s="146"/>
    </row>
    <row r="337" spans="1:138" x14ac:dyDescent="0.25">
      <c r="A337" s="147"/>
      <c r="B337" s="147"/>
      <c r="C337" s="160"/>
      <c r="D337" s="160"/>
      <c r="E337" s="169"/>
      <c r="F337" s="229"/>
      <c r="G337" s="165"/>
      <c r="H337" s="165"/>
      <c r="I337" s="163"/>
      <c r="J337" s="163"/>
      <c r="K337" s="162"/>
      <c r="L337" s="162"/>
      <c r="M337" s="162"/>
      <c r="N337" s="230"/>
      <c r="O337" s="230"/>
      <c r="P337" s="162"/>
      <c r="Q337" s="162"/>
      <c r="R337" s="162"/>
      <c r="S337" s="162"/>
      <c r="T337" s="162"/>
      <c r="U337" s="230"/>
      <c r="V337" s="230"/>
      <c r="W337" s="162"/>
      <c r="X337" s="162"/>
      <c r="Y337" s="162"/>
      <c r="Z337" s="162"/>
      <c r="AA337" s="162"/>
      <c r="AB337" s="230"/>
      <c r="AC337" s="230"/>
      <c r="AD337" s="162"/>
      <c r="AE337" s="162"/>
      <c r="AF337" s="162"/>
      <c r="AG337" s="162"/>
      <c r="AH337" s="162"/>
      <c r="AI337" s="230"/>
      <c r="AJ337" s="230"/>
      <c r="AK337" s="162"/>
      <c r="AL337" s="162"/>
      <c r="AM337" s="162"/>
      <c r="AN337" s="162"/>
      <c r="AO337" s="162"/>
      <c r="AP337" s="230"/>
      <c r="AQ337" s="230"/>
      <c r="AR337" s="162"/>
      <c r="AS337" s="162"/>
      <c r="AT337" s="162"/>
      <c r="AU337" s="162"/>
      <c r="AV337" s="162"/>
      <c r="AW337" s="230"/>
      <c r="AX337" s="230"/>
      <c r="AY337" s="162"/>
      <c r="AZ337" s="162"/>
      <c r="BA337" s="162"/>
      <c r="BB337" s="162"/>
      <c r="BC337" s="162"/>
      <c r="BD337" s="230"/>
      <c r="BE337" s="230"/>
      <c r="BF337" s="162"/>
      <c r="BG337" s="162"/>
      <c r="BH337" s="162"/>
      <c r="BI337" s="162"/>
      <c r="BJ337" s="162"/>
      <c r="BK337" s="230"/>
      <c r="BL337" s="230"/>
      <c r="BM337" s="162"/>
      <c r="BN337" s="162"/>
      <c r="BO337" s="162"/>
      <c r="BP337" s="162"/>
      <c r="BQ337" s="162"/>
      <c r="BR337" s="230"/>
      <c r="BS337" s="230"/>
      <c r="BT337" s="162"/>
      <c r="BU337" s="162"/>
      <c r="BV337" s="162"/>
      <c r="BW337" s="162"/>
      <c r="BX337" s="162"/>
      <c r="BY337" s="230"/>
      <c r="BZ337" s="230"/>
      <c r="CA337" s="162"/>
      <c r="CB337" s="162"/>
      <c r="CC337" s="162"/>
      <c r="CD337" s="162"/>
      <c r="CE337" s="162"/>
      <c r="CF337" s="230"/>
      <c r="CG337" s="230"/>
      <c r="CH337" s="162"/>
      <c r="CI337" s="162"/>
      <c r="CJ337" s="162"/>
      <c r="CK337" s="162"/>
      <c r="CL337" s="162"/>
      <c r="CM337" s="230"/>
      <c r="CN337" s="230"/>
      <c r="CO337" s="162"/>
      <c r="CP337" s="162"/>
      <c r="CQ337" s="162"/>
      <c r="CR337" s="162"/>
      <c r="CS337" s="162"/>
      <c r="CT337" s="230"/>
      <c r="CU337" s="230"/>
      <c r="CV337" s="162"/>
      <c r="CW337" s="162"/>
      <c r="CX337" s="162"/>
      <c r="CY337" s="162"/>
      <c r="CZ337" s="162"/>
      <c r="DA337" s="230"/>
      <c r="DB337" s="230"/>
      <c r="DC337" s="162"/>
      <c r="DD337" s="162"/>
      <c r="DE337" s="162"/>
      <c r="DF337" s="162"/>
      <c r="DG337" s="162"/>
      <c r="DH337" s="230"/>
      <c r="DI337" s="230"/>
      <c r="DJ337" s="162"/>
      <c r="DK337" s="162"/>
      <c r="DL337" s="146"/>
      <c r="DM337" s="380"/>
      <c r="DN337" s="372"/>
      <c r="DO337" s="372"/>
      <c r="DP337" s="372"/>
      <c r="DQ337" s="372"/>
      <c r="DR337" s="372"/>
      <c r="DS337" s="372"/>
      <c r="DT337" s="89"/>
      <c r="DU337" s="89"/>
      <c r="DV337" s="89"/>
      <c r="DW337" s="146"/>
      <c r="DX337" s="146"/>
      <c r="DY337" s="146"/>
      <c r="DZ337" s="146"/>
      <c r="EA337" s="146"/>
      <c r="EB337" s="146"/>
      <c r="EC337" s="146"/>
      <c r="ED337" s="146"/>
      <c r="EE337" s="146"/>
      <c r="EF337" s="146"/>
      <c r="EG337" s="146"/>
      <c r="EH337" s="146"/>
    </row>
    <row r="338" spans="1:138" x14ac:dyDescent="0.25">
      <c r="A338" s="147"/>
      <c r="B338" s="147"/>
      <c r="C338" s="160"/>
      <c r="D338" s="160"/>
      <c r="E338" s="169"/>
      <c r="F338" s="229"/>
      <c r="G338" s="165"/>
      <c r="H338" s="165"/>
      <c r="I338" s="163"/>
      <c r="J338" s="163"/>
      <c r="K338" s="162"/>
      <c r="L338" s="162"/>
      <c r="M338" s="162"/>
      <c r="N338" s="230"/>
      <c r="O338" s="230"/>
      <c r="P338" s="162"/>
      <c r="Q338" s="162"/>
      <c r="R338" s="162"/>
      <c r="S338" s="162"/>
      <c r="T338" s="162"/>
      <c r="U338" s="230"/>
      <c r="V338" s="230"/>
      <c r="W338" s="162"/>
      <c r="X338" s="162"/>
      <c r="Y338" s="162"/>
      <c r="Z338" s="162"/>
      <c r="AA338" s="162"/>
      <c r="AB338" s="230"/>
      <c r="AC338" s="230"/>
      <c r="AD338" s="162"/>
      <c r="AE338" s="162"/>
      <c r="AF338" s="162"/>
      <c r="AG338" s="162"/>
      <c r="AH338" s="162"/>
      <c r="AI338" s="230"/>
      <c r="AJ338" s="230"/>
      <c r="AK338" s="162"/>
      <c r="AL338" s="162"/>
      <c r="AM338" s="162"/>
      <c r="AN338" s="162"/>
      <c r="AO338" s="162"/>
      <c r="AP338" s="230"/>
      <c r="AQ338" s="230"/>
      <c r="AR338" s="162"/>
      <c r="AS338" s="162"/>
      <c r="AT338" s="162"/>
      <c r="AU338" s="162"/>
      <c r="AV338" s="162"/>
      <c r="AW338" s="230"/>
      <c r="AX338" s="230"/>
      <c r="AY338" s="162"/>
      <c r="AZ338" s="162"/>
      <c r="BA338" s="162"/>
      <c r="BB338" s="162"/>
      <c r="BC338" s="162"/>
      <c r="BD338" s="230"/>
      <c r="BE338" s="230"/>
      <c r="BF338" s="162"/>
      <c r="BG338" s="162"/>
      <c r="BH338" s="162"/>
      <c r="BI338" s="162"/>
      <c r="BJ338" s="162"/>
      <c r="BK338" s="230"/>
      <c r="BL338" s="230"/>
      <c r="BM338" s="162"/>
      <c r="BN338" s="162"/>
      <c r="BO338" s="162"/>
      <c r="BP338" s="162"/>
      <c r="BQ338" s="162"/>
      <c r="BR338" s="230"/>
      <c r="BS338" s="230"/>
      <c r="BT338" s="162"/>
      <c r="BU338" s="162"/>
      <c r="BV338" s="162"/>
      <c r="BW338" s="162"/>
      <c r="BX338" s="162"/>
      <c r="BY338" s="230"/>
      <c r="BZ338" s="230"/>
      <c r="CA338" s="162"/>
      <c r="CB338" s="162"/>
      <c r="CC338" s="162"/>
      <c r="CD338" s="162"/>
      <c r="CE338" s="162"/>
      <c r="CF338" s="230"/>
      <c r="CG338" s="230"/>
      <c r="CH338" s="162"/>
      <c r="CI338" s="162"/>
      <c r="CJ338" s="162"/>
      <c r="CK338" s="162"/>
      <c r="CL338" s="162"/>
      <c r="CM338" s="230"/>
      <c r="CN338" s="230"/>
      <c r="CO338" s="162"/>
      <c r="CP338" s="162"/>
      <c r="CQ338" s="162"/>
      <c r="CR338" s="162"/>
      <c r="CS338" s="162"/>
      <c r="CT338" s="230"/>
      <c r="CU338" s="230"/>
      <c r="CV338" s="162"/>
      <c r="CW338" s="162"/>
      <c r="CX338" s="162"/>
      <c r="CY338" s="162"/>
      <c r="CZ338" s="162"/>
      <c r="DA338" s="230"/>
      <c r="DB338" s="230"/>
      <c r="DC338" s="162"/>
      <c r="DD338" s="162"/>
      <c r="DE338" s="162"/>
      <c r="DF338" s="162"/>
      <c r="DG338" s="162"/>
      <c r="DH338" s="230"/>
      <c r="DI338" s="230"/>
      <c r="DJ338" s="162"/>
      <c r="DK338" s="162"/>
      <c r="DL338" s="146"/>
      <c r="DM338" s="88"/>
      <c r="DN338" s="88"/>
      <c r="DO338" s="88"/>
      <c r="DP338" s="88"/>
      <c r="DQ338" s="88"/>
      <c r="DR338" s="88"/>
      <c r="DS338" s="88"/>
      <c r="DT338" s="88"/>
      <c r="DU338" s="88"/>
      <c r="DV338" s="88"/>
      <c r="DW338" s="146"/>
      <c r="DX338" s="146"/>
      <c r="DY338" s="146"/>
      <c r="DZ338" s="146"/>
      <c r="EA338" s="146"/>
      <c r="EB338" s="146"/>
      <c r="EC338" s="146"/>
      <c r="ED338" s="146"/>
      <c r="EE338" s="146"/>
      <c r="EF338" s="146"/>
      <c r="EG338" s="146"/>
      <c r="EH338" s="146"/>
    </row>
    <row r="339" spans="1:138" x14ac:dyDescent="0.25">
      <c r="A339" s="147"/>
      <c r="B339" s="147"/>
      <c r="C339" s="160"/>
      <c r="D339" s="160"/>
      <c r="E339" s="169"/>
      <c r="F339" s="229"/>
      <c r="G339" s="165"/>
      <c r="H339" s="165"/>
      <c r="I339" s="163"/>
      <c r="J339" s="163"/>
      <c r="K339" s="162"/>
      <c r="L339" s="162"/>
      <c r="M339" s="162"/>
      <c r="N339" s="230"/>
      <c r="O339" s="230"/>
      <c r="P339" s="162"/>
      <c r="Q339" s="162"/>
      <c r="R339" s="162"/>
      <c r="S339" s="162"/>
      <c r="T339" s="162"/>
      <c r="U339" s="230"/>
      <c r="V339" s="230"/>
      <c r="W339" s="162"/>
      <c r="X339" s="162"/>
      <c r="Y339" s="162"/>
      <c r="Z339" s="162"/>
      <c r="AA339" s="162"/>
      <c r="AB339" s="230"/>
      <c r="AC339" s="230"/>
      <c r="AD339" s="162"/>
      <c r="AE339" s="162"/>
      <c r="AF339" s="162"/>
      <c r="AG339" s="162"/>
      <c r="AH339" s="162"/>
      <c r="AI339" s="230"/>
      <c r="AJ339" s="230"/>
      <c r="AK339" s="162"/>
      <c r="AL339" s="162"/>
      <c r="AM339" s="162"/>
      <c r="AN339" s="162"/>
      <c r="AO339" s="162"/>
      <c r="AP339" s="230"/>
      <c r="AQ339" s="230"/>
      <c r="AR339" s="162"/>
      <c r="AS339" s="162"/>
      <c r="AT339" s="162"/>
      <c r="AU339" s="162"/>
      <c r="AV339" s="162"/>
      <c r="AW339" s="230"/>
      <c r="AX339" s="230"/>
      <c r="AY339" s="162"/>
      <c r="AZ339" s="162"/>
      <c r="BA339" s="162"/>
      <c r="BB339" s="162"/>
      <c r="BC339" s="162"/>
      <c r="BD339" s="230"/>
      <c r="BE339" s="230"/>
      <c r="BF339" s="162"/>
      <c r="BG339" s="162"/>
      <c r="BH339" s="162"/>
      <c r="BI339" s="162"/>
      <c r="BJ339" s="162"/>
      <c r="BK339" s="230"/>
      <c r="BL339" s="230"/>
      <c r="BM339" s="162"/>
      <c r="BN339" s="162"/>
      <c r="BO339" s="162"/>
      <c r="BP339" s="162"/>
      <c r="BQ339" s="162"/>
      <c r="BR339" s="230"/>
      <c r="BS339" s="230"/>
      <c r="BT339" s="162"/>
      <c r="BU339" s="162"/>
      <c r="BV339" s="162"/>
      <c r="BW339" s="162"/>
      <c r="BX339" s="162"/>
      <c r="BY339" s="230"/>
      <c r="BZ339" s="230"/>
      <c r="CA339" s="162"/>
      <c r="CB339" s="162"/>
      <c r="CC339" s="162"/>
      <c r="CD339" s="162"/>
      <c r="CE339" s="162"/>
      <c r="CF339" s="230"/>
      <c r="CG339" s="230"/>
      <c r="CH339" s="162"/>
      <c r="CI339" s="162"/>
      <c r="CJ339" s="162"/>
      <c r="CK339" s="162"/>
      <c r="CL339" s="162"/>
      <c r="CM339" s="230"/>
      <c r="CN339" s="230"/>
      <c r="CO339" s="162"/>
      <c r="CP339" s="162"/>
      <c r="CQ339" s="162"/>
      <c r="CR339" s="162"/>
      <c r="CS339" s="162"/>
      <c r="CT339" s="230"/>
      <c r="CU339" s="230"/>
      <c r="CV339" s="162"/>
      <c r="CW339" s="162"/>
      <c r="CX339" s="162"/>
      <c r="CY339" s="162"/>
      <c r="CZ339" s="162"/>
      <c r="DA339" s="230"/>
      <c r="DB339" s="230"/>
      <c r="DC339" s="162"/>
      <c r="DD339" s="162"/>
      <c r="DE339" s="162"/>
      <c r="DF339" s="162"/>
      <c r="DG339" s="162"/>
      <c r="DH339" s="230"/>
      <c r="DI339" s="230"/>
      <c r="DJ339" s="162"/>
      <c r="DK339" s="162"/>
      <c r="DL339" s="146"/>
      <c r="DM339" s="371"/>
      <c r="DN339" s="372"/>
      <c r="DO339" s="372"/>
      <c r="DP339" s="372"/>
      <c r="DQ339" s="372"/>
      <c r="DR339" s="372"/>
      <c r="DS339" s="372"/>
      <c r="DT339" s="372"/>
      <c r="DU339" s="372"/>
      <c r="DV339" s="372"/>
      <c r="DW339" s="146"/>
      <c r="DX339" s="146"/>
      <c r="DY339" s="146"/>
      <c r="DZ339" s="146"/>
      <c r="EA339" s="146"/>
      <c r="EB339" s="146"/>
      <c r="EC339" s="146"/>
      <c r="ED339" s="146"/>
      <c r="EE339" s="146"/>
      <c r="EF339" s="146"/>
      <c r="EG339" s="146"/>
      <c r="EH339" s="146"/>
    </row>
    <row r="340" spans="1:138" x14ac:dyDescent="0.25">
      <c r="A340" s="147"/>
      <c r="B340" s="147"/>
      <c r="C340" s="160"/>
      <c r="D340" s="160"/>
      <c r="E340" s="169"/>
      <c r="F340" s="229"/>
      <c r="G340" s="165"/>
      <c r="H340" s="165"/>
      <c r="I340" s="163"/>
      <c r="J340" s="163"/>
      <c r="K340" s="162"/>
      <c r="L340" s="162"/>
      <c r="M340" s="162"/>
      <c r="N340" s="230"/>
      <c r="O340" s="230"/>
      <c r="P340" s="162"/>
      <c r="Q340" s="162"/>
      <c r="R340" s="162"/>
      <c r="S340" s="162"/>
      <c r="T340" s="162"/>
      <c r="U340" s="230"/>
      <c r="V340" s="230"/>
      <c r="W340" s="162"/>
      <c r="X340" s="162"/>
      <c r="Y340" s="162"/>
      <c r="Z340" s="162"/>
      <c r="AA340" s="162"/>
      <c r="AB340" s="230"/>
      <c r="AC340" s="230"/>
      <c r="AD340" s="162"/>
      <c r="AE340" s="162"/>
      <c r="AF340" s="162"/>
      <c r="AG340" s="162"/>
      <c r="AH340" s="162"/>
      <c r="AI340" s="230"/>
      <c r="AJ340" s="230"/>
      <c r="AK340" s="162"/>
      <c r="AL340" s="162"/>
      <c r="AM340" s="162"/>
      <c r="AN340" s="162"/>
      <c r="AO340" s="162"/>
      <c r="AP340" s="230"/>
      <c r="AQ340" s="230"/>
      <c r="AR340" s="162"/>
      <c r="AS340" s="162"/>
      <c r="AT340" s="162"/>
      <c r="AU340" s="162"/>
      <c r="AV340" s="162"/>
      <c r="AW340" s="230"/>
      <c r="AX340" s="230"/>
      <c r="AY340" s="162"/>
      <c r="AZ340" s="162"/>
      <c r="BA340" s="162"/>
      <c r="BB340" s="162"/>
      <c r="BC340" s="162"/>
      <c r="BD340" s="230"/>
      <c r="BE340" s="230"/>
      <c r="BF340" s="162"/>
      <c r="BG340" s="162"/>
      <c r="BH340" s="162"/>
      <c r="BI340" s="162"/>
      <c r="BJ340" s="162"/>
      <c r="BK340" s="230"/>
      <c r="BL340" s="230"/>
      <c r="BM340" s="162"/>
      <c r="BN340" s="162"/>
      <c r="BO340" s="162"/>
      <c r="BP340" s="162"/>
      <c r="BQ340" s="162"/>
      <c r="BR340" s="230"/>
      <c r="BS340" s="230"/>
      <c r="BT340" s="162"/>
      <c r="BU340" s="162"/>
      <c r="BV340" s="162"/>
      <c r="BW340" s="162"/>
      <c r="BX340" s="162"/>
      <c r="BY340" s="230"/>
      <c r="BZ340" s="230"/>
      <c r="CA340" s="162"/>
      <c r="CB340" s="162"/>
      <c r="CC340" s="162"/>
      <c r="CD340" s="162"/>
      <c r="CE340" s="162"/>
      <c r="CF340" s="230"/>
      <c r="CG340" s="230"/>
      <c r="CH340" s="162"/>
      <c r="CI340" s="162"/>
      <c r="CJ340" s="162"/>
      <c r="CK340" s="162"/>
      <c r="CL340" s="162"/>
      <c r="CM340" s="230"/>
      <c r="CN340" s="230"/>
      <c r="CO340" s="162"/>
      <c r="CP340" s="162"/>
      <c r="CQ340" s="162"/>
      <c r="CR340" s="162"/>
      <c r="CS340" s="162"/>
      <c r="CT340" s="230"/>
      <c r="CU340" s="230"/>
      <c r="CV340" s="162"/>
      <c r="CW340" s="162"/>
      <c r="CX340" s="162"/>
      <c r="CY340" s="162"/>
      <c r="CZ340" s="162"/>
      <c r="DA340" s="230"/>
      <c r="DB340" s="230"/>
      <c r="DC340" s="162"/>
      <c r="DD340" s="162"/>
      <c r="DE340" s="162"/>
      <c r="DF340" s="162"/>
      <c r="DG340" s="162"/>
      <c r="DH340" s="230"/>
      <c r="DI340" s="230"/>
      <c r="DJ340" s="162"/>
      <c r="DK340" s="162"/>
      <c r="DL340" s="146"/>
      <c r="DM340" s="371"/>
      <c r="DN340" s="372"/>
      <c r="DO340" s="372"/>
      <c r="DP340" s="372"/>
      <c r="DQ340" s="372"/>
      <c r="DR340" s="372"/>
      <c r="DS340" s="372"/>
      <c r="DT340" s="372"/>
      <c r="DU340" s="372"/>
      <c r="DV340" s="372"/>
      <c r="DW340" s="146"/>
      <c r="DX340" s="146"/>
      <c r="DY340" s="146"/>
      <c r="DZ340" s="146"/>
      <c r="EA340" s="146"/>
      <c r="EB340" s="146"/>
      <c r="EC340" s="146"/>
      <c r="ED340" s="146"/>
      <c r="EE340" s="146"/>
      <c r="EF340" s="146"/>
      <c r="EG340" s="146"/>
      <c r="EH340" s="146"/>
    </row>
    <row r="341" spans="1:138" x14ac:dyDescent="0.25">
      <c r="A341" s="147"/>
      <c r="B341" s="147"/>
      <c r="C341" s="160"/>
      <c r="D341" s="160"/>
      <c r="E341" s="169"/>
      <c r="F341" s="229"/>
      <c r="G341" s="165"/>
      <c r="H341" s="165"/>
      <c r="I341" s="163"/>
      <c r="J341" s="163"/>
      <c r="K341" s="162"/>
      <c r="L341" s="162"/>
      <c r="M341" s="162"/>
      <c r="N341" s="230"/>
      <c r="O341" s="230"/>
      <c r="P341" s="162"/>
      <c r="Q341" s="162"/>
      <c r="R341" s="162"/>
      <c r="S341" s="162"/>
      <c r="T341" s="162"/>
      <c r="U341" s="230"/>
      <c r="V341" s="230"/>
      <c r="W341" s="162"/>
      <c r="X341" s="162"/>
      <c r="Y341" s="162"/>
      <c r="Z341" s="162"/>
      <c r="AA341" s="162"/>
      <c r="AB341" s="230"/>
      <c r="AC341" s="230"/>
      <c r="AD341" s="162"/>
      <c r="AE341" s="162"/>
      <c r="AF341" s="162"/>
      <c r="AG341" s="162"/>
      <c r="AH341" s="162"/>
      <c r="AI341" s="230"/>
      <c r="AJ341" s="230"/>
      <c r="AK341" s="162"/>
      <c r="AL341" s="162"/>
      <c r="AM341" s="162"/>
      <c r="AN341" s="162"/>
      <c r="AO341" s="162"/>
      <c r="AP341" s="230"/>
      <c r="AQ341" s="230"/>
      <c r="AR341" s="162"/>
      <c r="AS341" s="162"/>
      <c r="AT341" s="162"/>
      <c r="AU341" s="162"/>
      <c r="AV341" s="162"/>
      <c r="AW341" s="230"/>
      <c r="AX341" s="230"/>
      <c r="AY341" s="162"/>
      <c r="AZ341" s="162"/>
      <c r="BA341" s="162"/>
      <c r="BB341" s="162"/>
      <c r="BC341" s="162"/>
      <c r="BD341" s="230"/>
      <c r="BE341" s="230"/>
      <c r="BF341" s="162"/>
      <c r="BG341" s="162"/>
      <c r="BH341" s="162"/>
      <c r="BI341" s="162"/>
      <c r="BJ341" s="162"/>
      <c r="BK341" s="230"/>
      <c r="BL341" s="230"/>
      <c r="BM341" s="162"/>
      <c r="BN341" s="162"/>
      <c r="BO341" s="162"/>
      <c r="BP341" s="162"/>
      <c r="BQ341" s="162"/>
      <c r="BR341" s="230"/>
      <c r="BS341" s="230"/>
      <c r="BT341" s="162"/>
      <c r="BU341" s="162"/>
      <c r="BV341" s="162"/>
      <c r="BW341" s="162"/>
      <c r="BX341" s="162"/>
      <c r="BY341" s="230"/>
      <c r="BZ341" s="230"/>
      <c r="CA341" s="162"/>
      <c r="CB341" s="162"/>
      <c r="CC341" s="162"/>
      <c r="CD341" s="162"/>
      <c r="CE341" s="162"/>
      <c r="CF341" s="230"/>
      <c r="CG341" s="230"/>
      <c r="CH341" s="162"/>
      <c r="CI341" s="162"/>
      <c r="CJ341" s="162"/>
      <c r="CK341" s="162"/>
      <c r="CL341" s="162"/>
      <c r="CM341" s="230"/>
      <c r="CN341" s="230"/>
      <c r="CO341" s="162"/>
      <c r="CP341" s="162"/>
      <c r="CQ341" s="162"/>
      <c r="CR341" s="162"/>
      <c r="CS341" s="162"/>
      <c r="CT341" s="230"/>
      <c r="CU341" s="230"/>
      <c r="CV341" s="162"/>
      <c r="CW341" s="162"/>
      <c r="CX341" s="162"/>
      <c r="CY341" s="162"/>
      <c r="CZ341" s="162"/>
      <c r="DA341" s="230"/>
      <c r="DB341" s="230"/>
      <c r="DC341" s="162"/>
      <c r="DD341" s="162"/>
      <c r="DE341" s="162"/>
      <c r="DF341" s="162"/>
      <c r="DG341" s="162"/>
      <c r="DH341" s="230"/>
      <c r="DI341" s="230"/>
      <c r="DJ341" s="162"/>
      <c r="DK341" s="162"/>
      <c r="DL341" s="226"/>
      <c r="DM341" s="380"/>
      <c r="DN341" s="372"/>
      <c r="DO341" s="372"/>
      <c r="DP341" s="372"/>
      <c r="DQ341" s="372"/>
      <c r="DR341" s="372"/>
      <c r="DS341" s="372"/>
      <c r="DT341" s="88"/>
      <c r="DU341" s="88"/>
      <c r="DV341" s="88"/>
      <c r="DW341" s="226"/>
      <c r="DX341" s="226"/>
      <c r="DY341" s="226"/>
      <c r="DZ341" s="226"/>
      <c r="EA341" s="226"/>
      <c r="EB341" s="226"/>
      <c r="EC341" s="226"/>
      <c r="ED341" s="226"/>
      <c r="EE341" s="226"/>
      <c r="EF341" s="226"/>
      <c r="EG341" s="226"/>
      <c r="EH341" s="226"/>
    </row>
    <row r="342" spans="1:138" x14ac:dyDescent="0.25">
      <c r="A342" s="147"/>
      <c r="B342" s="147"/>
      <c r="C342" s="160"/>
      <c r="D342" s="160"/>
      <c r="E342" s="169"/>
      <c r="F342" s="229"/>
      <c r="G342" s="165"/>
      <c r="H342" s="165"/>
      <c r="I342" s="163"/>
      <c r="J342" s="163"/>
      <c r="K342" s="162"/>
      <c r="L342" s="162"/>
      <c r="M342" s="162"/>
      <c r="N342" s="230"/>
      <c r="O342" s="230"/>
      <c r="P342" s="162"/>
      <c r="Q342" s="162"/>
      <c r="R342" s="162"/>
      <c r="S342" s="162"/>
      <c r="T342" s="162"/>
      <c r="U342" s="230"/>
      <c r="V342" s="230"/>
      <c r="W342" s="162"/>
      <c r="X342" s="162"/>
      <c r="Y342" s="162"/>
      <c r="Z342" s="162"/>
      <c r="AA342" s="162"/>
      <c r="AB342" s="230"/>
      <c r="AC342" s="230"/>
      <c r="AD342" s="162"/>
      <c r="AE342" s="162"/>
      <c r="AF342" s="162"/>
      <c r="AG342" s="162"/>
      <c r="AH342" s="162"/>
      <c r="AI342" s="230"/>
      <c r="AJ342" s="230"/>
      <c r="AK342" s="162"/>
      <c r="AL342" s="162"/>
      <c r="AM342" s="162"/>
      <c r="AN342" s="162"/>
      <c r="AO342" s="162"/>
      <c r="AP342" s="230"/>
      <c r="AQ342" s="230"/>
      <c r="AR342" s="162"/>
      <c r="AS342" s="162"/>
      <c r="AT342" s="162"/>
      <c r="AU342" s="162"/>
      <c r="AV342" s="162"/>
      <c r="AW342" s="230"/>
      <c r="AX342" s="230"/>
      <c r="AY342" s="162"/>
      <c r="AZ342" s="162"/>
      <c r="BA342" s="162"/>
      <c r="BB342" s="162"/>
      <c r="BC342" s="162"/>
      <c r="BD342" s="230"/>
      <c r="BE342" s="230"/>
      <c r="BF342" s="162"/>
      <c r="BG342" s="162"/>
      <c r="BH342" s="162"/>
      <c r="BI342" s="162"/>
      <c r="BJ342" s="162"/>
      <c r="BK342" s="230"/>
      <c r="BL342" s="230"/>
      <c r="BM342" s="162"/>
      <c r="BN342" s="162"/>
      <c r="BO342" s="162"/>
      <c r="BP342" s="162"/>
      <c r="BQ342" s="162"/>
      <c r="BR342" s="230"/>
      <c r="BS342" s="230"/>
      <c r="BT342" s="162"/>
      <c r="BU342" s="162"/>
      <c r="BV342" s="162"/>
      <c r="BW342" s="162"/>
      <c r="BX342" s="162"/>
      <c r="BY342" s="230"/>
      <c r="BZ342" s="230"/>
      <c r="CA342" s="162"/>
      <c r="CB342" s="162"/>
      <c r="CC342" s="162"/>
      <c r="CD342" s="162"/>
      <c r="CE342" s="162"/>
      <c r="CF342" s="230"/>
      <c r="CG342" s="230"/>
      <c r="CH342" s="162"/>
      <c r="CI342" s="162"/>
      <c r="CJ342" s="162"/>
      <c r="CK342" s="162"/>
      <c r="CL342" s="162"/>
      <c r="CM342" s="230"/>
      <c r="CN342" s="230"/>
      <c r="CO342" s="162"/>
      <c r="CP342" s="162"/>
      <c r="CQ342" s="162"/>
      <c r="CR342" s="162"/>
      <c r="CS342" s="162"/>
      <c r="CT342" s="230"/>
      <c r="CU342" s="230"/>
      <c r="CV342" s="162"/>
      <c r="CW342" s="162"/>
      <c r="CX342" s="162"/>
      <c r="CY342" s="162"/>
      <c r="CZ342" s="162"/>
      <c r="DA342" s="230"/>
      <c r="DB342" s="230"/>
      <c r="DC342" s="162"/>
      <c r="DD342" s="162"/>
      <c r="DE342" s="162"/>
      <c r="DF342" s="162"/>
      <c r="DG342" s="162"/>
      <c r="DH342" s="230"/>
      <c r="DI342" s="230"/>
      <c r="DJ342" s="162"/>
      <c r="DK342" s="162"/>
      <c r="DL342" s="50"/>
      <c r="DM342" s="380"/>
      <c r="DN342" s="372"/>
      <c r="DO342" s="372"/>
      <c r="DP342" s="372"/>
      <c r="DQ342" s="372"/>
      <c r="DR342" s="372"/>
      <c r="DS342" s="372"/>
      <c r="DT342" s="88"/>
      <c r="DU342" s="88"/>
      <c r="DV342" s="88"/>
      <c r="DW342" s="50"/>
      <c r="DX342" s="50"/>
      <c r="DY342" s="50"/>
      <c r="DZ342" s="50"/>
      <c r="EA342" s="50"/>
      <c r="EB342" s="50"/>
      <c r="EC342" s="50"/>
      <c r="ED342" s="50"/>
      <c r="EE342" s="50"/>
      <c r="EF342" s="50"/>
      <c r="EG342" s="50"/>
      <c r="EH342" s="50"/>
    </row>
    <row r="343" spans="1:138" x14ac:dyDescent="0.25">
      <c r="A343" s="147"/>
      <c r="B343" s="147"/>
      <c r="C343" s="160"/>
      <c r="D343" s="160"/>
      <c r="E343" s="169"/>
      <c r="F343" s="229"/>
      <c r="G343" s="165"/>
      <c r="H343" s="165"/>
      <c r="I343" s="163"/>
      <c r="J343" s="163"/>
      <c r="K343" s="162"/>
      <c r="L343" s="162"/>
      <c r="M343" s="162"/>
      <c r="N343" s="230"/>
      <c r="O343" s="230"/>
      <c r="P343" s="162"/>
      <c r="Q343" s="162"/>
      <c r="R343" s="162"/>
      <c r="S343" s="162"/>
      <c r="T343" s="162"/>
      <c r="U343" s="230"/>
      <c r="V343" s="230"/>
      <c r="W343" s="162"/>
      <c r="X343" s="162"/>
      <c r="Y343" s="162"/>
      <c r="Z343" s="162"/>
      <c r="AA343" s="162"/>
      <c r="AB343" s="230"/>
      <c r="AC343" s="230"/>
      <c r="AD343" s="162"/>
      <c r="AE343" s="162"/>
      <c r="AF343" s="162"/>
      <c r="AG343" s="162"/>
      <c r="AH343" s="162"/>
      <c r="AI343" s="230"/>
      <c r="AJ343" s="230"/>
      <c r="AK343" s="162"/>
      <c r="AL343" s="162"/>
      <c r="AM343" s="162"/>
      <c r="AN343" s="162"/>
      <c r="AO343" s="162"/>
      <c r="AP343" s="230"/>
      <c r="AQ343" s="230"/>
      <c r="AR343" s="162"/>
      <c r="AS343" s="162"/>
      <c r="AT343" s="162"/>
      <c r="AU343" s="162"/>
      <c r="AV343" s="162"/>
      <c r="AW343" s="230"/>
      <c r="AX343" s="230"/>
      <c r="AY343" s="162"/>
      <c r="AZ343" s="162"/>
      <c r="BA343" s="162"/>
      <c r="BB343" s="162"/>
      <c r="BC343" s="162"/>
      <c r="BD343" s="230"/>
      <c r="BE343" s="230"/>
      <c r="BF343" s="162"/>
      <c r="BG343" s="162"/>
      <c r="BH343" s="162"/>
      <c r="BI343" s="162"/>
      <c r="BJ343" s="162"/>
      <c r="BK343" s="230"/>
      <c r="BL343" s="230"/>
      <c r="BM343" s="162"/>
      <c r="BN343" s="162"/>
      <c r="BO343" s="162"/>
      <c r="BP343" s="162"/>
      <c r="BQ343" s="162"/>
      <c r="BR343" s="230"/>
      <c r="BS343" s="230"/>
      <c r="BT343" s="162"/>
      <c r="BU343" s="162"/>
      <c r="BV343" s="162"/>
      <c r="BW343" s="162"/>
      <c r="BX343" s="162"/>
      <c r="BY343" s="230"/>
      <c r="BZ343" s="230"/>
      <c r="CA343" s="162"/>
      <c r="CB343" s="162"/>
      <c r="CC343" s="162"/>
      <c r="CD343" s="162"/>
      <c r="CE343" s="162"/>
      <c r="CF343" s="230"/>
      <c r="CG343" s="230"/>
      <c r="CH343" s="162"/>
      <c r="CI343" s="162"/>
      <c r="CJ343" s="162"/>
      <c r="CK343" s="162"/>
      <c r="CL343" s="162"/>
      <c r="CM343" s="230"/>
      <c r="CN343" s="230"/>
      <c r="CO343" s="162"/>
      <c r="CP343" s="162"/>
      <c r="CQ343" s="162"/>
      <c r="CR343" s="162"/>
      <c r="CS343" s="162"/>
      <c r="CT343" s="230"/>
      <c r="CU343" s="230"/>
      <c r="CV343" s="162"/>
      <c r="CW343" s="162"/>
      <c r="CX343" s="162"/>
      <c r="CY343" s="162"/>
      <c r="CZ343" s="162"/>
      <c r="DA343" s="230"/>
      <c r="DB343" s="230"/>
      <c r="DC343" s="162"/>
      <c r="DD343" s="162"/>
      <c r="DE343" s="162"/>
      <c r="DF343" s="162"/>
      <c r="DG343" s="162"/>
      <c r="DH343" s="230"/>
      <c r="DI343" s="230"/>
      <c r="DJ343" s="162"/>
      <c r="DK343" s="162"/>
      <c r="DL343" s="75"/>
      <c r="DM343" s="380"/>
      <c r="DN343" s="372"/>
      <c r="DO343" s="372"/>
      <c r="DP343" s="372"/>
      <c r="DQ343" s="372"/>
      <c r="DR343" s="372"/>
      <c r="DS343" s="372"/>
      <c r="DT343" s="146"/>
      <c r="DU343" s="146"/>
      <c r="DV343" s="146"/>
      <c r="DW343" s="75"/>
      <c r="DX343" s="75"/>
      <c r="DY343" s="75"/>
      <c r="DZ343" s="75"/>
      <c r="EA343" s="75"/>
      <c r="EB343" s="75"/>
      <c r="EC343" s="75"/>
      <c r="ED343" s="75"/>
      <c r="EE343" s="75"/>
      <c r="EF343" s="75"/>
      <c r="EG343" s="75"/>
      <c r="EH343" s="75"/>
    </row>
    <row r="344" spans="1:138" x14ac:dyDescent="0.25">
      <c r="A344" s="147"/>
      <c r="B344" s="147"/>
      <c r="C344" s="160"/>
      <c r="D344" s="160"/>
      <c r="E344" s="169"/>
      <c r="F344" s="229"/>
      <c r="G344" s="165"/>
      <c r="H344" s="165"/>
      <c r="I344" s="163"/>
      <c r="J344" s="163"/>
      <c r="K344" s="162"/>
      <c r="L344" s="162"/>
      <c r="M344" s="162"/>
      <c r="N344" s="230"/>
      <c r="O344" s="230"/>
      <c r="P344" s="162"/>
      <c r="Q344" s="162"/>
      <c r="R344" s="162"/>
      <c r="S344" s="162"/>
      <c r="T344" s="162"/>
      <c r="U344" s="230"/>
      <c r="V344" s="230"/>
      <c r="W344" s="162"/>
      <c r="X344" s="162"/>
      <c r="Y344" s="162"/>
      <c r="Z344" s="162"/>
      <c r="AA344" s="162"/>
      <c r="AB344" s="230"/>
      <c r="AC344" s="230"/>
      <c r="AD344" s="162"/>
      <c r="AE344" s="162"/>
      <c r="AF344" s="162"/>
      <c r="AG344" s="162"/>
      <c r="AH344" s="162"/>
      <c r="AI344" s="230"/>
      <c r="AJ344" s="230"/>
      <c r="AK344" s="162"/>
      <c r="AL344" s="162"/>
      <c r="AM344" s="162"/>
      <c r="AN344" s="162"/>
      <c r="AO344" s="162"/>
      <c r="AP344" s="230"/>
      <c r="AQ344" s="230"/>
      <c r="AR344" s="162"/>
      <c r="AS344" s="162"/>
      <c r="AT344" s="162"/>
      <c r="AU344" s="162"/>
      <c r="AV344" s="162"/>
      <c r="AW344" s="230"/>
      <c r="AX344" s="230"/>
      <c r="AY344" s="162"/>
      <c r="AZ344" s="162"/>
      <c r="BA344" s="162"/>
      <c r="BB344" s="162"/>
      <c r="BC344" s="162"/>
      <c r="BD344" s="230"/>
      <c r="BE344" s="230"/>
      <c r="BF344" s="162"/>
      <c r="BG344" s="162"/>
      <c r="BH344" s="162"/>
      <c r="BI344" s="162"/>
      <c r="BJ344" s="162"/>
      <c r="BK344" s="230"/>
      <c r="BL344" s="230"/>
      <c r="BM344" s="162"/>
      <c r="BN344" s="162"/>
      <c r="BO344" s="162"/>
      <c r="BP344" s="162"/>
      <c r="BQ344" s="162"/>
      <c r="BR344" s="230"/>
      <c r="BS344" s="230"/>
      <c r="BT344" s="162"/>
      <c r="BU344" s="162"/>
      <c r="BV344" s="162"/>
      <c r="BW344" s="162"/>
      <c r="BX344" s="162"/>
      <c r="BY344" s="230"/>
      <c r="BZ344" s="230"/>
      <c r="CA344" s="162"/>
      <c r="CB344" s="162"/>
      <c r="CC344" s="162"/>
      <c r="CD344" s="162"/>
      <c r="CE344" s="162"/>
      <c r="CF344" s="230"/>
      <c r="CG344" s="230"/>
      <c r="CH344" s="162"/>
      <c r="CI344" s="162"/>
      <c r="CJ344" s="162"/>
      <c r="CK344" s="162"/>
      <c r="CL344" s="162"/>
      <c r="CM344" s="230"/>
      <c r="CN344" s="230"/>
      <c r="CO344" s="162"/>
      <c r="CP344" s="162"/>
      <c r="CQ344" s="162"/>
      <c r="CR344" s="162"/>
      <c r="CS344" s="162"/>
      <c r="CT344" s="230"/>
      <c r="CU344" s="230"/>
      <c r="CV344" s="162"/>
      <c r="CW344" s="162"/>
      <c r="CX344" s="162"/>
      <c r="CY344" s="162"/>
      <c r="CZ344" s="162"/>
      <c r="DA344" s="230"/>
      <c r="DB344" s="230"/>
      <c r="DC344" s="162"/>
      <c r="DD344" s="162"/>
      <c r="DE344" s="162"/>
      <c r="DF344" s="162"/>
      <c r="DG344" s="162"/>
      <c r="DH344" s="230"/>
      <c r="DI344" s="230"/>
      <c r="DJ344" s="162"/>
      <c r="DK344" s="162"/>
      <c r="DL344" s="75"/>
      <c r="DM344" s="88"/>
      <c r="DN344" s="88"/>
      <c r="DO344" s="88"/>
      <c r="DP344" s="88"/>
      <c r="DQ344" s="88"/>
      <c r="DR344" s="88"/>
      <c r="DS344" s="88"/>
      <c r="DT344" s="88"/>
      <c r="DU344" s="88"/>
      <c r="DV344" s="88"/>
      <c r="DW344" s="75"/>
      <c r="DX344" s="75"/>
      <c r="DY344" s="75"/>
      <c r="DZ344" s="75"/>
      <c r="EA344" s="75"/>
      <c r="EB344" s="75"/>
      <c r="EC344" s="75"/>
      <c r="ED344" s="75"/>
      <c r="EE344" s="75"/>
      <c r="EF344" s="75"/>
      <c r="EG344" s="75"/>
      <c r="EH344" s="75"/>
    </row>
    <row r="345" spans="1:138" x14ac:dyDescent="0.25">
      <c r="A345" s="147"/>
      <c r="B345" s="147"/>
      <c r="C345" s="160"/>
      <c r="D345" s="160"/>
      <c r="E345" s="169"/>
      <c r="F345" s="229"/>
      <c r="G345" s="165"/>
      <c r="H345" s="165"/>
      <c r="I345" s="163"/>
      <c r="J345" s="163"/>
      <c r="K345" s="162"/>
      <c r="L345" s="162"/>
      <c r="M345" s="162"/>
      <c r="N345" s="230"/>
      <c r="O345" s="230"/>
      <c r="P345" s="162"/>
      <c r="Q345" s="162"/>
      <c r="R345" s="162"/>
      <c r="S345" s="162"/>
      <c r="T345" s="162"/>
      <c r="U345" s="230"/>
      <c r="V345" s="230"/>
      <c r="W345" s="162"/>
      <c r="X345" s="162"/>
      <c r="Y345" s="162"/>
      <c r="Z345" s="162"/>
      <c r="AA345" s="162"/>
      <c r="AB345" s="230"/>
      <c r="AC345" s="230"/>
      <c r="AD345" s="162"/>
      <c r="AE345" s="162"/>
      <c r="AF345" s="162"/>
      <c r="AG345" s="162"/>
      <c r="AH345" s="162"/>
      <c r="AI345" s="230"/>
      <c r="AJ345" s="230"/>
      <c r="AK345" s="162"/>
      <c r="AL345" s="162"/>
      <c r="AM345" s="162"/>
      <c r="AN345" s="162"/>
      <c r="AO345" s="162"/>
      <c r="AP345" s="230"/>
      <c r="AQ345" s="230"/>
      <c r="AR345" s="162"/>
      <c r="AS345" s="162"/>
      <c r="AT345" s="162"/>
      <c r="AU345" s="162"/>
      <c r="AV345" s="162"/>
      <c r="AW345" s="230"/>
      <c r="AX345" s="230"/>
      <c r="AY345" s="162"/>
      <c r="AZ345" s="162"/>
      <c r="BA345" s="162"/>
      <c r="BB345" s="162"/>
      <c r="BC345" s="162"/>
      <c r="BD345" s="230"/>
      <c r="BE345" s="230"/>
      <c r="BF345" s="162"/>
      <c r="BG345" s="162"/>
      <c r="BH345" s="162"/>
      <c r="BI345" s="162"/>
      <c r="BJ345" s="162"/>
      <c r="BK345" s="230"/>
      <c r="BL345" s="230"/>
      <c r="BM345" s="162"/>
      <c r="BN345" s="162"/>
      <c r="BO345" s="162"/>
      <c r="BP345" s="162"/>
      <c r="BQ345" s="162"/>
      <c r="BR345" s="230"/>
      <c r="BS345" s="230"/>
      <c r="BT345" s="162"/>
      <c r="BU345" s="162"/>
      <c r="BV345" s="162"/>
      <c r="BW345" s="162"/>
      <c r="BX345" s="162"/>
      <c r="BY345" s="230"/>
      <c r="BZ345" s="230"/>
      <c r="CA345" s="162"/>
      <c r="CB345" s="162"/>
      <c r="CC345" s="162"/>
      <c r="CD345" s="162"/>
      <c r="CE345" s="162"/>
      <c r="CF345" s="230"/>
      <c r="CG345" s="230"/>
      <c r="CH345" s="162"/>
      <c r="CI345" s="162"/>
      <c r="CJ345" s="162"/>
      <c r="CK345" s="162"/>
      <c r="CL345" s="162"/>
      <c r="CM345" s="230"/>
      <c r="CN345" s="230"/>
      <c r="CO345" s="162"/>
      <c r="CP345" s="162"/>
      <c r="CQ345" s="162"/>
      <c r="CR345" s="162"/>
      <c r="CS345" s="162"/>
      <c r="CT345" s="230"/>
      <c r="CU345" s="230"/>
      <c r="CV345" s="162"/>
      <c r="CW345" s="162"/>
      <c r="CX345" s="162"/>
      <c r="CY345" s="162"/>
      <c r="CZ345" s="162"/>
      <c r="DA345" s="230"/>
      <c r="DB345" s="230"/>
      <c r="DC345" s="162"/>
      <c r="DD345" s="162"/>
      <c r="DE345" s="162"/>
      <c r="DF345" s="162"/>
      <c r="DG345" s="162"/>
      <c r="DH345" s="230"/>
      <c r="DI345" s="230"/>
      <c r="DJ345" s="162"/>
      <c r="DK345" s="162"/>
      <c r="DL345" s="146"/>
      <c r="DM345" s="380"/>
      <c r="DN345" s="372"/>
      <c r="DO345" s="372"/>
      <c r="DP345" s="372"/>
      <c r="DQ345" s="372"/>
      <c r="DR345" s="372"/>
      <c r="DS345" s="372"/>
      <c r="DT345" s="88"/>
      <c r="DU345" s="88"/>
      <c r="DV345" s="88"/>
      <c r="DW345" s="146"/>
      <c r="DX345" s="146"/>
      <c r="DY345" s="146"/>
      <c r="DZ345" s="146"/>
      <c r="EA345" s="146"/>
      <c r="EB345" s="146"/>
      <c r="EC345" s="146"/>
      <c r="ED345" s="146"/>
      <c r="EE345" s="146"/>
      <c r="EF345" s="146"/>
      <c r="EG345" s="146"/>
      <c r="EH345" s="146"/>
    </row>
    <row r="346" spans="1:138" x14ac:dyDescent="0.25">
      <c r="A346" s="147"/>
      <c r="B346" s="147"/>
      <c r="C346" s="160"/>
      <c r="D346" s="160"/>
      <c r="E346" s="169"/>
      <c r="F346" s="229"/>
      <c r="G346" s="165"/>
      <c r="H346" s="165"/>
      <c r="I346" s="163"/>
      <c r="J346" s="163"/>
      <c r="K346" s="162"/>
      <c r="L346" s="162"/>
      <c r="M346" s="162"/>
      <c r="N346" s="230"/>
      <c r="O346" s="230"/>
      <c r="P346" s="162"/>
      <c r="Q346" s="162"/>
      <c r="R346" s="162"/>
      <c r="S346" s="162"/>
      <c r="T346" s="162"/>
      <c r="U346" s="230"/>
      <c r="V346" s="230"/>
      <c r="W346" s="162"/>
      <c r="X346" s="162"/>
      <c r="Y346" s="162"/>
      <c r="Z346" s="162"/>
      <c r="AA346" s="162"/>
      <c r="AB346" s="230"/>
      <c r="AC346" s="230"/>
      <c r="AD346" s="162"/>
      <c r="AE346" s="162"/>
      <c r="AF346" s="162"/>
      <c r="AG346" s="162"/>
      <c r="AH346" s="162"/>
      <c r="AI346" s="230"/>
      <c r="AJ346" s="230"/>
      <c r="AK346" s="162"/>
      <c r="AL346" s="162"/>
      <c r="AM346" s="162"/>
      <c r="AN346" s="162"/>
      <c r="AO346" s="162"/>
      <c r="AP346" s="230"/>
      <c r="AQ346" s="230"/>
      <c r="AR346" s="162"/>
      <c r="AS346" s="162"/>
      <c r="AT346" s="162"/>
      <c r="AU346" s="162"/>
      <c r="AV346" s="162"/>
      <c r="AW346" s="230"/>
      <c r="AX346" s="230"/>
      <c r="AY346" s="162"/>
      <c r="AZ346" s="162"/>
      <c r="BA346" s="162"/>
      <c r="BB346" s="162"/>
      <c r="BC346" s="162"/>
      <c r="BD346" s="230"/>
      <c r="BE346" s="230"/>
      <c r="BF346" s="162"/>
      <c r="BG346" s="162"/>
      <c r="BH346" s="162"/>
      <c r="BI346" s="162"/>
      <c r="BJ346" s="162"/>
      <c r="BK346" s="230"/>
      <c r="BL346" s="230"/>
      <c r="BM346" s="162"/>
      <c r="BN346" s="162"/>
      <c r="BO346" s="162"/>
      <c r="BP346" s="162"/>
      <c r="BQ346" s="162"/>
      <c r="BR346" s="230"/>
      <c r="BS346" s="230"/>
      <c r="BT346" s="162"/>
      <c r="BU346" s="162"/>
      <c r="BV346" s="162"/>
      <c r="BW346" s="162"/>
      <c r="BX346" s="162"/>
      <c r="BY346" s="230"/>
      <c r="BZ346" s="230"/>
      <c r="CA346" s="162"/>
      <c r="CB346" s="162"/>
      <c r="CC346" s="162"/>
      <c r="CD346" s="162"/>
      <c r="CE346" s="162"/>
      <c r="CF346" s="230"/>
      <c r="CG346" s="230"/>
      <c r="CH346" s="162"/>
      <c r="CI346" s="162"/>
      <c r="CJ346" s="162"/>
      <c r="CK346" s="162"/>
      <c r="CL346" s="162"/>
      <c r="CM346" s="230"/>
      <c r="CN346" s="230"/>
      <c r="CO346" s="162"/>
      <c r="CP346" s="162"/>
      <c r="CQ346" s="162"/>
      <c r="CR346" s="162"/>
      <c r="CS346" s="162"/>
      <c r="CT346" s="230"/>
      <c r="CU346" s="230"/>
      <c r="CV346" s="162"/>
      <c r="CW346" s="162"/>
      <c r="CX346" s="162"/>
      <c r="CY346" s="162"/>
      <c r="CZ346" s="162"/>
      <c r="DA346" s="230"/>
      <c r="DB346" s="230"/>
      <c r="DC346" s="162"/>
      <c r="DD346" s="162"/>
      <c r="DE346" s="162"/>
      <c r="DF346" s="162"/>
      <c r="DG346" s="162"/>
      <c r="DH346" s="230"/>
      <c r="DI346" s="230"/>
      <c r="DJ346" s="162"/>
      <c r="DK346" s="162"/>
      <c r="DL346" s="146"/>
      <c r="DM346" s="380"/>
      <c r="DN346" s="372"/>
      <c r="DO346" s="372"/>
      <c r="DP346" s="372"/>
      <c r="DQ346" s="372"/>
      <c r="DR346" s="372"/>
      <c r="DS346" s="372"/>
      <c r="DT346" s="89"/>
      <c r="DU346" s="89"/>
      <c r="DV346" s="89"/>
      <c r="DW346" s="146"/>
      <c r="DX346" s="146"/>
      <c r="DY346" s="146"/>
      <c r="DZ346" s="146"/>
      <c r="EA346" s="146"/>
      <c r="EB346" s="146"/>
      <c r="EC346" s="146"/>
      <c r="ED346" s="146"/>
      <c r="EE346" s="146"/>
      <c r="EF346" s="146"/>
      <c r="EG346" s="146"/>
      <c r="EH346" s="146"/>
    </row>
    <row r="347" spans="1:138" x14ac:dyDescent="0.25">
      <c r="A347" s="147"/>
      <c r="B347" s="147"/>
      <c r="C347" s="160"/>
      <c r="D347" s="160"/>
      <c r="E347" s="169"/>
      <c r="F347" s="229"/>
      <c r="G347" s="165"/>
      <c r="H347" s="165"/>
      <c r="I347" s="163"/>
      <c r="J347" s="163"/>
      <c r="K347" s="162"/>
      <c r="L347" s="162"/>
      <c r="M347" s="162"/>
      <c r="N347" s="230"/>
      <c r="O347" s="230"/>
      <c r="P347" s="162"/>
      <c r="Q347" s="162"/>
      <c r="R347" s="162"/>
      <c r="S347" s="162"/>
      <c r="T347" s="162"/>
      <c r="U347" s="230"/>
      <c r="V347" s="230"/>
      <c r="W347" s="162"/>
      <c r="X347" s="162"/>
      <c r="Y347" s="162"/>
      <c r="Z347" s="162"/>
      <c r="AA347" s="162"/>
      <c r="AB347" s="230"/>
      <c r="AC347" s="230"/>
      <c r="AD347" s="162"/>
      <c r="AE347" s="162"/>
      <c r="AF347" s="162"/>
      <c r="AG347" s="162"/>
      <c r="AH347" s="162"/>
      <c r="AI347" s="230"/>
      <c r="AJ347" s="230"/>
      <c r="AK347" s="162"/>
      <c r="AL347" s="162"/>
      <c r="AM347" s="162"/>
      <c r="AN347" s="162"/>
      <c r="AO347" s="162"/>
      <c r="AP347" s="230"/>
      <c r="AQ347" s="230"/>
      <c r="AR347" s="162"/>
      <c r="AS347" s="162"/>
      <c r="AT347" s="162"/>
      <c r="AU347" s="162"/>
      <c r="AV347" s="162"/>
      <c r="AW347" s="230"/>
      <c r="AX347" s="230"/>
      <c r="AY347" s="162"/>
      <c r="AZ347" s="162"/>
      <c r="BA347" s="162"/>
      <c r="BB347" s="162"/>
      <c r="BC347" s="162"/>
      <c r="BD347" s="230"/>
      <c r="BE347" s="230"/>
      <c r="BF347" s="162"/>
      <c r="BG347" s="162"/>
      <c r="BH347" s="162"/>
      <c r="BI347" s="162"/>
      <c r="BJ347" s="162"/>
      <c r="BK347" s="230"/>
      <c r="BL347" s="230"/>
      <c r="BM347" s="162"/>
      <c r="BN347" s="162"/>
      <c r="BO347" s="162"/>
      <c r="BP347" s="162"/>
      <c r="BQ347" s="162"/>
      <c r="BR347" s="230"/>
      <c r="BS347" s="230"/>
      <c r="BT347" s="162"/>
      <c r="BU347" s="162"/>
      <c r="BV347" s="162"/>
      <c r="BW347" s="162"/>
      <c r="BX347" s="162"/>
      <c r="BY347" s="230"/>
      <c r="BZ347" s="230"/>
      <c r="CA347" s="162"/>
      <c r="CB347" s="162"/>
      <c r="CC347" s="162"/>
      <c r="CD347" s="162"/>
      <c r="CE347" s="162"/>
      <c r="CF347" s="230"/>
      <c r="CG347" s="230"/>
      <c r="CH347" s="162"/>
      <c r="CI347" s="162"/>
      <c r="CJ347" s="162"/>
      <c r="CK347" s="162"/>
      <c r="CL347" s="162"/>
      <c r="CM347" s="230"/>
      <c r="CN347" s="230"/>
      <c r="CO347" s="162"/>
      <c r="CP347" s="162"/>
      <c r="CQ347" s="162"/>
      <c r="CR347" s="162"/>
      <c r="CS347" s="162"/>
      <c r="CT347" s="230"/>
      <c r="CU347" s="230"/>
      <c r="CV347" s="162"/>
      <c r="CW347" s="162"/>
      <c r="CX347" s="162"/>
      <c r="CY347" s="162"/>
      <c r="CZ347" s="162"/>
      <c r="DA347" s="230"/>
      <c r="DB347" s="230"/>
      <c r="DC347" s="162"/>
      <c r="DD347" s="162"/>
      <c r="DE347" s="162"/>
      <c r="DF347" s="162"/>
      <c r="DG347" s="162"/>
      <c r="DH347" s="230"/>
      <c r="DI347" s="230"/>
      <c r="DJ347" s="162"/>
      <c r="DK347" s="162"/>
      <c r="DL347" s="146"/>
      <c r="DM347" s="88"/>
      <c r="DN347" s="88"/>
      <c r="DO347" s="88"/>
      <c r="DP347" s="88"/>
      <c r="DQ347" s="88"/>
      <c r="DR347" s="88"/>
      <c r="DS347" s="88"/>
      <c r="DT347" s="88"/>
      <c r="DU347" s="88"/>
      <c r="DV347" s="88"/>
      <c r="DW347" s="146"/>
      <c r="DX347" s="146"/>
      <c r="DY347" s="146"/>
      <c r="DZ347" s="146"/>
      <c r="EA347" s="146"/>
      <c r="EB347" s="146"/>
      <c r="EC347" s="146"/>
      <c r="ED347" s="146"/>
      <c r="EE347" s="146"/>
      <c r="EF347" s="146"/>
      <c r="EG347" s="146"/>
      <c r="EH347" s="146"/>
    </row>
    <row r="348" spans="1:138" x14ac:dyDescent="0.25">
      <c r="A348" s="147"/>
      <c r="B348" s="147"/>
      <c r="C348" s="160"/>
      <c r="D348" s="160"/>
      <c r="E348" s="169"/>
      <c r="F348" s="229"/>
      <c r="G348" s="165"/>
      <c r="H348" s="165"/>
      <c r="I348" s="163"/>
      <c r="J348" s="163"/>
      <c r="K348" s="162"/>
      <c r="L348" s="162"/>
      <c r="M348" s="162"/>
      <c r="N348" s="230"/>
      <c r="O348" s="230"/>
      <c r="P348" s="162"/>
      <c r="Q348" s="162"/>
      <c r="R348" s="162"/>
      <c r="S348" s="162"/>
      <c r="T348" s="162"/>
      <c r="U348" s="230"/>
      <c r="V348" s="230"/>
      <c r="W348" s="162"/>
      <c r="X348" s="162"/>
      <c r="Y348" s="162"/>
      <c r="Z348" s="162"/>
      <c r="AA348" s="162"/>
      <c r="AB348" s="230"/>
      <c r="AC348" s="230"/>
      <c r="AD348" s="162"/>
      <c r="AE348" s="162"/>
      <c r="AF348" s="162"/>
      <c r="AG348" s="162"/>
      <c r="AH348" s="162"/>
      <c r="AI348" s="230"/>
      <c r="AJ348" s="230"/>
      <c r="AK348" s="162"/>
      <c r="AL348" s="162"/>
      <c r="AM348" s="162"/>
      <c r="AN348" s="162"/>
      <c r="AO348" s="162"/>
      <c r="AP348" s="230"/>
      <c r="AQ348" s="230"/>
      <c r="AR348" s="162"/>
      <c r="AS348" s="162"/>
      <c r="AT348" s="162"/>
      <c r="AU348" s="162"/>
      <c r="AV348" s="162"/>
      <c r="AW348" s="230"/>
      <c r="AX348" s="230"/>
      <c r="AY348" s="162"/>
      <c r="AZ348" s="162"/>
      <c r="BA348" s="162"/>
      <c r="BB348" s="162"/>
      <c r="BC348" s="162"/>
      <c r="BD348" s="230"/>
      <c r="BE348" s="230"/>
      <c r="BF348" s="162"/>
      <c r="BG348" s="162"/>
      <c r="BH348" s="162"/>
      <c r="BI348" s="162"/>
      <c r="BJ348" s="162"/>
      <c r="BK348" s="230"/>
      <c r="BL348" s="230"/>
      <c r="BM348" s="162"/>
      <c r="BN348" s="162"/>
      <c r="BO348" s="162"/>
      <c r="BP348" s="162"/>
      <c r="BQ348" s="162"/>
      <c r="BR348" s="230"/>
      <c r="BS348" s="230"/>
      <c r="BT348" s="162"/>
      <c r="BU348" s="162"/>
      <c r="BV348" s="162"/>
      <c r="BW348" s="162"/>
      <c r="BX348" s="162"/>
      <c r="BY348" s="230"/>
      <c r="BZ348" s="230"/>
      <c r="CA348" s="162"/>
      <c r="CB348" s="162"/>
      <c r="CC348" s="162"/>
      <c r="CD348" s="162"/>
      <c r="CE348" s="162"/>
      <c r="CF348" s="230"/>
      <c r="CG348" s="230"/>
      <c r="CH348" s="162"/>
      <c r="CI348" s="162"/>
      <c r="CJ348" s="162"/>
      <c r="CK348" s="162"/>
      <c r="CL348" s="162"/>
      <c r="CM348" s="230"/>
      <c r="CN348" s="230"/>
      <c r="CO348" s="162"/>
      <c r="CP348" s="162"/>
      <c r="CQ348" s="162"/>
      <c r="CR348" s="162"/>
      <c r="CS348" s="162"/>
      <c r="CT348" s="230"/>
      <c r="CU348" s="230"/>
      <c r="CV348" s="162"/>
      <c r="CW348" s="162"/>
      <c r="CX348" s="162"/>
      <c r="CY348" s="162"/>
      <c r="CZ348" s="162"/>
      <c r="DA348" s="230"/>
      <c r="DB348" s="230"/>
      <c r="DC348" s="162"/>
      <c r="DD348" s="162"/>
      <c r="DE348" s="162"/>
      <c r="DF348" s="162"/>
      <c r="DG348" s="162"/>
      <c r="DH348" s="230"/>
      <c r="DI348" s="230"/>
      <c r="DJ348" s="162"/>
      <c r="DK348" s="162"/>
      <c r="DL348" s="146"/>
      <c r="DM348" s="371"/>
      <c r="DN348" s="372"/>
      <c r="DO348" s="372"/>
      <c r="DP348" s="372"/>
      <c r="DQ348" s="372"/>
      <c r="DR348" s="372"/>
      <c r="DS348" s="372"/>
      <c r="DT348" s="372"/>
      <c r="DU348" s="372"/>
      <c r="DV348" s="372"/>
      <c r="DW348" s="146"/>
      <c r="DX348" s="146"/>
      <c r="DY348" s="146"/>
      <c r="DZ348" s="146"/>
      <c r="EA348" s="146"/>
      <c r="EB348" s="146"/>
      <c r="EC348" s="146"/>
      <c r="ED348" s="146"/>
      <c r="EE348" s="146"/>
      <c r="EF348" s="146"/>
      <c r="EG348" s="146"/>
      <c r="EH348" s="146"/>
    </row>
    <row r="349" spans="1:138" x14ac:dyDescent="0.25">
      <c r="A349" s="147"/>
      <c r="B349" s="147"/>
      <c r="C349" s="160"/>
      <c r="D349" s="160"/>
      <c r="E349" s="169"/>
      <c r="F349" s="229"/>
      <c r="G349" s="165"/>
      <c r="H349" s="165"/>
      <c r="I349" s="163"/>
      <c r="J349" s="163"/>
      <c r="K349" s="162"/>
      <c r="L349" s="162"/>
      <c r="M349" s="162"/>
      <c r="N349" s="230"/>
      <c r="O349" s="230"/>
      <c r="P349" s="162"/>
      <c r="Q349" s="162"/>
      <c r="R349" s="162"/>
      <c r="S349" s="162"/>
      <c r="T349" s="162"/>
      <c r="U349" s="230"/>
      <c r="V349" s="230"/>
      <c r="W349" s="162"/>
      <c r="X349" s="162"/>
      <c r="Y349" s="162"/>
      <c r="Z349" s="162"/>
      <c r="AA349" s="162"/>
      <c r="AB349" s="230"/>
      <c r="AC349" s="230"/>
      <c r="AD349" s="162"/>
      <c r="AE349" s="162"/>
      <c r="AF349" s="162"/>
      <c r="AG349" s="162"/>
      <c r="AH349" s="162"/>
      <c r="AI349" s="230"/>
      <c r="AJ349" s="230"/>
      <c r="AK349" s="162"/>
      <c r="AL349" s="162"/>
      <c r="AM349" s="162"/>
      <c r="AN349" s="162"/>
      <c r="AO349" s="162"/>
      <c r="AP349" s="230"/>
      <c r="AQ349" s="230"/>
      <c r="AR349" s="162"/>
      <c r="AS349" s="162"/>
      <c r="AT349" s="162"/>
      <c r="AU349" s="162"/>
      <c r="AV349" s="162"/>
      <c r="AW349" s="230"/>
      <c r="AX349" s="230"/>
      <c r="AY349" s="162"/>
      <c r="AZ349" s="162"/>
      <c r="BA349" s="162"/>
      <c r="BB349" s="162"/>
      <c r="BC349" s="162"/>
      <c r="BD349" s="230"/>
      <c r="BE349" s="230"/>
      <c r="BF349" s="162"/>
      <c r="BG349" s="162"/>
      <c r="BH349" s="162"/>
      <c r="BI349" s="162"/>
      <c r="BJ349" s="162"/>
      <c r="BK349" s="230"/>
      <c r="BL349" s="230"/>
      <c r="BM349" s="162"/>
      <c r="BN349" s="162"/>
      <c r="BO349" s="162"/>
      <c r="BP349" s="162"/>
      <c r="BQ349" s="162"/>
      <c r="BR349" s="230"/>
      <c r="BS349" s="230"/>
      <c r="BT349" s="162"/>
      <c r="BU349" s="162"/>
      <c r="BV349" s="162"/>
      <c r="BW349" s="162"/>
      <c r="BX349" s="162"/>
      <c r="BY349" s="230"/>
      <c r="BZ349" s="230"/>
      <c r="CA349" s="162"/>
      <c r="CB349" s="162"/>
      <c r="CC349" s="162"/>
      <c r="CD349" s="162"/>
      <c r="CE349" s="162"/>
      <c r="CF349" s="230"/>
      <c r="CG349" s="230"/>
      <c r="CH349" s="162"/>
      <c r="CI349" s="162"/>
      <c r="CJ349" s="162"/>
      <c r="CK349" s="162"/>
      <c r="CL349" s="162"/>
      <c r="CM349" s="230"/>
      <c r="CN349" s="230"/>
      <c r="CO349" s="162"/>
      <c r="CP349" s="162"/>
      <c r="CQ349" s="162"/>
      <c r="CR349" s="162"/>
      <c r="CS349" s="162"/>
      <c r="CT349" s="230"/>
      <c r="CU349" s="230"/>
      <c r="CV349" s="162"/>
      <c r="CW349" s="162"/>
      <c r="CX349" s="162"/>
      <c r="CY349" s="162"/>
      <c r="CZ349" s="162"/>
      <c r="DA349" s="230"/>
      <c r="DB349" s="230"/>
      <c r="DC349" s="162"/>
      <c r="DD349" s="162"/>
      <c r="DE349" s="162"/>
      <c r="DF349" s="162"/>
      <c r="DG349" s="162"/>
      <c r="DH349" s="230"/>
      <c r="DI349" s="230"/>
      <c r="DJ349" s="162"/>
      <c r="DK349" s="162"/>
      <c r="DL349" s="146"/>
      <c r="DM349" s="371"/>
      <c r="DN349" s="372"/>
      <c r="DO349" s="372"/>
      <c r="DP349" s="372"/>
      <c r="DQ349" s="372"/>
      <c r="DR349" s="372"/>
      <c r="DS349" s="372"/>
      <c r="DT349" s="372"/>
      <c r="DU349" s="372"/>
      <c r="DV349" s="372"/>
      <c r="DW349" s="146"/>
      <c r="DX349" s="146"/>
      <c r="DY349" s="146"/>
      <c r="DZ349" s="146"/>
      <c r="EA349" s="146"/>
      <c r="EB349" s="146"/>
      <c r="EC349" s="146"/>
      <c r="ED349" s="146"/>
      <c r="EE349" s="146"/>
      <c r="EF349" s="146"/>
      <c r="EG349" s="146"/>
      <c r="EH349" s="146"/>
    </row>
    <row r="350" spans="1:138" x14ac:dyDescent="0.25">
      <c r="A350" s="147"/>
      <c r="B350" s="147"/>
      <c r="C350" s="160"/>
      <c r="D350" s="160"/>
      <c r="E350" s="169"/>
      <c r="F350" s="229"/>
      <c r="G350" s="165"/>
      <c r="H350" s="165"/>
      <c r="I350" s="163"/>
      <c r="J350" s="163"/>
      <c r="K350" s="162"/>
      <c r="L350" s="162"/>
      <c r="M350" s="162"/>
      <c r="N350" s="230"/>
      <c r="O350" s="230"/>
      <c r="P350" s="162"/>
      <c r="Q350" s="162"/>
      <c r="R350" s="162"/>
      <c r="S350" s="162"/>
      <c r="T350" s="162"/>
      <c r="U350" s="230"/>
      <c r="V350" s="230"/>
      <c r="W350" s="162"/>
      <c r="X350" s="162"/>
      <c r="Y350" s="162"/>
      <c r="Z350" s="162"/>
      <c r="AA350" s="162"/>
      <c r="AB350" s="230"/>
      <c r="AC350" s="230"/>
      <c r="AD350" s="162"/>
      <c r="AE350" s="162"/>
      <c r="AF350" s="162"/>
      <c r="AG350" s="162"/>
      <c r="AH350" s="162"/>
      <c r="AI350" s="230"/>
      <c r="AJ350" s="230"/>
      <c r="AK350" s="162"/>
      <c r="AL350" s="162"/>
      <c r="AM350" s="162"/>
      <c r="AN350" s="162"/>
      <c r="AO350" s="162"/>
      <c r="AP350" s="230"/>
      <c r="AQ350" s="230"/>
      <c r="AR350" s="162"/>
      <c r="AS350" s="162"/>
      <c r="AT350" s="162"/>
      <c r="AU350" s="162"/>
      <c r="AV350" s="162"/>
      <c r="AW350" s="230"/>
      <c r="AX350" s="230"/>
      <c r="AY350" s="162"/>
      <c r="AZ350" s="162"/>
      <c r="BA350" s="162"/>
      <c r="BB350" s="162"/>
      <c r="BC350" s="162"/>
      <c r="BD350" s="230"/>
      <c r="BE350" s="230"/>
      <c r="BF350" s="162"/>
      <c r="BG350" s="162"/>
      <c r="BH350" s="162"/>
      <c r="BI350" s="162"/>
      <c r="BJ350" s="162"/>
      <c r="BK350" s="230"/>
      <c r="BL350" s="230"/>
      <c r="BM350" s="162"/>
      <c r="BN350" s="162"/>
      <c r="BO350" s="162"/>
      <c r="BP350" s="162"/>
      <c r="BQ350" s="162"/>
      <c r="BR350" s="230"/>
      <c r="BS350" s="230"/>
      <c r="BT350" s="162"/>
      <c r="BU350" s="162"/>
      <c r="BV350" s="162"/>
      <c r="BW350" s="162"/>
      <c r="BX350" s="162"/>
      <c r="BY350" s="230"/>
      <c r="BZ350" s="230"/>
      <c r="CA350" s="162"/>
      <c r="CB350" s="162"/>
      <c r="CC350" s="162"/>
      <c r="CD350" s="162"/>
      <c r="CE350" s="162"/>
      <c r="CF350" s="230"/>
      <c r="CG350" s="230"/>
      <c r="CH350" s="162"/>
      <c r="CI350" s="162"/>
      <c r="CJ350" s="162"/>
      <c r="CK350" s="162"/>
      <c r="CL350" s="162"/>
      <c r="CM350" s="230"/>
      <c r="CN350" s="230"/>
      <c r="CO350" s="162"/>
      <c r="CP350" s="162"/>
      <c r="CQ350" s="162"/>
      <c r="CR350" s="162"/>
      <c r="CS350" s="162"/>
      <c r="CT350" s="230"/>
      <c r="CU350" s="230"/>
      <c r="CV350" s="162"/>
      <c r="CW350" s="162"/>
      <c r="CX350" s="162"/>
      <c r="CY350" s="162"/>
      <c r="CZ350" s="162"/>
      <c r="DA350" s="230"/>
      <c r="DB350" s="230"/>
      <c r="DC350" s="162"/>
      <c r="DD350" s="162"/>
      <c r="DE350" s="162"/>
      <c r="DF350" s="162"/>
      <c r="DG350" s="162"/>
      <c r="DH350" s="230"/>
      <c r="DI350" s="230"/>
      <c r="DJ350" s="162"/>
      <c r="DK350" s="162"/>
      <c r="DL350" s="226"/>
      <c r="DM350" s="380"/>
      <c r="DN350" s="372"/>
      <c r="DO350" s="372"/>
      <c r="DP350" s="372"/>
      <c r="DQ350" s="372"/>
      <c r="DR350" s="372"/>
      <c r="DS350" s="372"/>
      <c r="DT350" s="88"/>
      <c r="DU350" s="88"/>
      <c r="DV350" s="88"/>
      <c r="DW350" s="226"/>
      <c r="DX350" s="226"/>
      <c r="DY350" s="226"/>
      <c r="DZ350" s="226"/>
      <c r="EA350" s="226"/>
      <c r="EB350" s="226"/>
      <c r="EC350" s="226"/>
      <c r="ED350" s="226"/>
      <c r="EE350" s="226"/>
      <c r="EF350" s="226"/>
      <c r="EG350" s="226"/>
      <c r="EH350" s="226"/>
    </row>
    <row r="351" spans="1:138" x14ac:dyDescent="0.25">
      <c r="A351" s="147"/>
      <c r="B351" s="147"/>
      <c r="C351" s="160"/>
      <c r="D351" s="160"/>
      <c r="E351" s="169"/>
      <c r="F351" s="229"/>
      <c r="G351" s="165"/>
      <c r="H351" s="165"/>
      <c r="I351" s="163"/>
      <c r="J351" s="163"/>
      <c r="K351" s="162"/>
      <c r="L351" s="162"/>
      <c r="M351" s="162"/>
      <c r="N351" s="230"/>
      <c r="O351" s="230"/>
      <c r="P351" s="162"/>
      <c r="Q351" s="162"/>
      <c r="R351" s="162"/>
      <c r="S351" s="162"/>
      <c r="T351" s="162"/>
      <c r="U351" s="230"/>
      <c r="V351" s="230"/>
      <c r="W351" s="162"/>
      <c r="X351" s="162"/>
      <c r="Y351" s="162"/>
      <c r="Z351" s="162"/>
      <c r="AA351" s="162"/>
      <c r="AB351" s="230"/>
      <c r="AC351" s="230"/>
      <c r="AD351" s="162"/>
      <c r="AE351" s="162"/>
      <c r="AF351" s="162"/>
      <c r="AG351" s="162"/>
      <c r="AH351" s="162"/>
      <c r="AI351" s="230"/>
      <c r="AJ351" s="230"/>
      <c r="AK351" s="162"/>
      <c r="AL351" s="162"/>
      <c r="AM351" s="162"/>
      <c r="AN351" s="162"/>
      <c r="AO351" s="162"/>
      <c r="AP351" s="230"/>
      <c r="AQ351" s="230"/>
      <c r="AR351" s="162"/>
      <c r="AS351" s="162"/>
      <c r="AT351" s="162"/>
      <c r="AU351" s="162"/>
      <c r="AV351" s="162"/>
      <c r="AW351" s="230"/>
      <c r="AX351" s="230"/>
      <c r="AY351" s="162"/>
      <c r="AZ351" s="162"/>
      <c r="BA351" s="162"/>
      <c r="BB351" s="162"/>
      <c r="BC351" s="162"/>
      <c r="BD351" s="230"/>
      <c r="BE351" s="230"/>
      <c r="BF351" s="162"/>
      <c r="BG351" s="162"/>
      <c r="BH351" s="162"/>
      <c r="BI351" s="162"/>
      <c r="BJ351" s="162"/>
      <c r="BK351" s="230"/>
      <c r="BL351" s="230"/>
      <c r="BM351" s="162"/>
      <c r="BN351" s="162"/>
      <c r="BO351" s="162"/>
      <c r="BP351" s="162"/>
      <c r="BQ351" s="162"/>
      <c r="BR351" s="230"/>
      <c r="BS351" s="230"/>
      <c r="BT351" s="162"/>
      <c r="BU351" s="162"/>
      <c r="BV351" s="162"/>
      <c r="BW351" s="162"/>
      <c r="BX351" s="162"/>
      <c r="BY351" s="230"/>
      <c r="BZ351" s="230"/>
      <c r="CA351" s="162"/>
      <c r="CB351" s="162"/>
      <c r="CC351" s="162"/>
      <c r="CD351" s="162"/>
      <c r="CE351" s="162"/>
      <c r="CF351" s="230"/>
      <c r="CG351" s="230"/>
      <c r="CH351" s="162"/>
      <c r="CI351" s="162"/>
      <c r="CJ351" s="162"/>
      <c r="CK351" s="162"/>
      <c r="CL351" s="162"/>
      <c r="CM351" s="230"/>
      <c r="CN351" s="230"/>
      <c r="CO351" s="162"/>
      <c r="CP351" s="162"/>
      <c r="CQ351" s="162"/>
      <c r="CR351" s="162"/>
      <c r="CS351" s="162"/>
      <c r="CT351" s="230"/>
      <c r="CU351" s="230"/>
      <c r="CV351" s="162"/>
      <c r="CW351" s="162"/>
      <c r="CX351" s="162"/>
      <c r="CY351" s="162"/>
      <c r="CZ351" s="162"/>
      <c r="DA351" s="230"/>
      <c r="DB351" s="230"/>
      <c r="DC351" s="162"/>
      <c r="DD351" s="162"/>
      <c r="DE351" s="162"/>
      <c r="DF351" s="162"/>
      <c r="DG351" s="162"/>
      <c r="DH351" s="230"/>
      <c r="DI351" s="230"/>
      <c r="DJ351" s="162"/>
      <c r="DK351" s="162"/>
      <c r="DL351" s="146"/>
      <c r="DM351" s="380"/>
      <c r="DN351" s="372"/>
      <c r="DO351" s="372"/>
      <c r="DP351" s="372"/>
      <c r="DQ351" s="372"/>
      <c r="DR351" s="372"/>
      <c r="DS351" s="372"/>
      <c r="DT351" s="88"/>
      <c r="DU351" s="88"/>
      <c r="DV351" s="88"/>
      <c r="DW351" s="146"/>
      <c r="DX351" s="146"/>
      <c r="DY351" s="146"/>
      <c r="DZ351" s="146"/>
      <c r="EA351" s="146"/>
      <c r="EB351" s="146"/>
      <c r="EC351" s="146"/>
      <c r="ED351" s="146"/>
      <c r="EE351" s="146"/>
      <c r="EF351" s="146"/>
      <c r="EG351" s="146"/>
      <c r="EH351" s="146"/>
    </row>
    <row r="352" spans="1:138" x14ac:dyDescent="0.25">
      <c r="A352" s="147"/>
      <c r="B352" s="147"/>
      <c r="C352" s="160"/>
      <c r="D352" s="160"/>
      <c r="E352" s="169"/>
      <c r="F352" s="229"/>
      <c r="G352" s="165"/>
      <c r="H352" s="165"/>
      <c r="I352" s="163"/>
      <c r="J352" s="163"/>
      <c r="K352" s="162"/>
      <c r="L352" s="162"/>
      <c r="M352" s="162"/>
      <c r="N352" s="230"/>
      <c r="O352" s="230"/>
      <c r="P352" s="162"/>
      <c r="Q352" s="162"/>
      <c r="R352" s="162"/>
      <c r="S352" s="162"/>
      <c r="T352" s="162"/>
      <c r="U352" s="230"/>
      <c r="V352" s="230"/>
      <c r="W352" s="162"/>
      <c r="X352" s="162"/>
      <c r="Y352" s="162"/>
      <c r="Z352" s="162"/>
      <c r="AA352" s="162"/>
      <c r="AB352" s="230"/>
      <c r="AC352" s="230"/>
      <c r="AD352" s="162"/>
      <c r="AE352" s="162"/>
      <c r="AF352" s="162"/>
      <c r="AG352" s="162"/>
      <c r="AH352" s="162"/>
      <c r="AI352" s="230"/>
      <c r="AJ352" s="230"/>
      <c r="AK352" s="162"/>
      <c r="AL352" s="162"/>
      <c r="AM352" s="162"/>
      <c r="AN352" s="162"/>
      <c r="AO352" s="162"/>
      <c r="AP352" s="230"/>
      <c r="AQ352" s="230"/>
      <c r="AR352" s="162"/>
      <c r="AS352" s="162"/>
      <c r="AT352" s="162"/>
      <c r="AU352" s="162"/>
      <c r="AV352" s="162"/>
      <c r="AW352" s="230"/>
      <c r="AX352" s="230"/>
      <c r="AY352" s="162"/>
      <c r="AZ352" s="162"/>
      <c r="BA352" s="162"/>
      <c r="BB352" s="162"/>
      <c r="BC352" s="162"/>
      <c r="BD352" s="230"/>
      <c r="BE352" s="230"/>
      <c r="BF352" s="162"/>
      <c r="BG352" s="162"/>
      <c r="BH352" s="162"/>
      <c r="BI352" s="162"/>
      <c r="BJ352" s="162"/>
      <c r="BK352" s="230"/>
      <c r="BL352" s="230"/>
      <c r="BM352" s="162"/>
      <c r="BN352" s="162"/>
      <c r="BO352" s="162"/>
      <c r="BP352" s="162"/>
      <c r="BQ352" s="162"/>
      <c r="BR352" s="230"/>
      <c r="BS352" s="230"/>
      <c r="BT352" s="162"/>
      <c r="BU352" s="162"/>
      <c r="BV352" s="162"/>
      <c r="BW352" s="162"/>
      <c r="BX352" s="162"/>
      <c r="BY352" s="230"/>
      <c r="BZ352" s="230"/>
      <c r="CA352" s="162"/>
      <c r="CB352" s="162"/>
      <c r="CC352" s="162"/>
      <c r="CD352" s="162"/>
      <c r="CE352" s="162"/>
      <c r="CF352" s="230"/>
      <c r="CG352" s="230"/>
      <c r="CH352" s="162"/>
      <c r="CI352" s="162"/>
      <c r="CJ352" s="162"/>
      <c r="CK352" s="162"/>
      <c r="CL352" s="162"/>
      <c r="CM352" s="230"/>
      <c r="CN352" s="230"/>
      <c r="CO352" s="162"/>
      <c r="CP352" s="162"/>
      <c r="CQ352" s="162"/>
      <c r="CR352" s="162"/>
      <c r="CS352" s="162"/>
      <c r="CT352" s="230"/>
      <c r="CU352" s="230"/>
      <c r="CV352" s="162"/>
      <c r="CW352" s="162"/>
      <c r="CX352" s="162"/>
      <c r="CY352" s="162"/>
      <c r="CZ352" s="162"/>
      <c r="DA352" s="230"/>
      <c r="DB352" s="230"/>
      <c r="DC352" s="162"/>
      <c r="DD352" s="162"/>
      <c r="DE352" s="162"/>
      <c r="DF352" s="162"/>
      <c r="DG352" s="162"/>
      <c r="DH352" s="230"/>
      <c r="DI352" s="230"/>
      <c r="DJ352" s="162"/>
      <c r="DK352" s="162"/>
      <c r="DL352" s="146"/>
      <c r="DM352" s="380"/>
      <c r="DN352" s="372"/>
      <c r="DO352" s="372"/>
      <c r="DP352" s="372"/>
      <c r="DQ352" s="372"/>
      <c r="DR352" s="372"/>
      <c r="DS352" s="372"/>
      <c r="DT352" s="89"/>
      <c r="DU352" s="89"/>
      <c r="DV352" s="89"/>
      <c r="DW352" s="146"/>
      <c r="DX352" s="146"/>
      <c r="DY352" s="146"/>
      <c r="DZ352" s="146"/>
      <c r="EA352" s="146"/>
      <c r="EB352" s="146"/>
      <c r="EC352" s="146"/>
      <c r="ED352" s="146"/>
      <c r="EE352" s="146"/>
      <c r="EF352" s="146"/>
      <c r="EG352" s="146"/>
      <c r="EH352" s="146"/>
    </row>
    <row r="353" spans="1:138" x14ac:dyDescent="0.25">
      <c r="A353" s="147"/>
      <c r="B353" s="147"/>
      <c r="C353" s="160"/>
      <c r="D353" s="160"/>
      <c r="E353" s="169"/>
      <c r="F353" s="229"/>
      <c r="G353" s="165"/>
      <c r="H353" s="165"/>
      <c r="I353" s="163"/>
      <c r="J353" s="163"/>
      <c r="K353" s="162"/>
      <c r="L353" s="162"/>
      <c r="M353" s="162"/>
      <c r="N353" s="230"/>
      <c r="O353" s="230"/>
      <c r="P353" s="162"/>
      <c r="Q353" s="162"/>
      <c r="R353" s="162"/>
      <c r="S353" s="162"/>
      <c r="T353" s="162"/>
      <c r="U353" s="230"/>
      <c r="V353" s="230"/>
      <c r="W353" s="162"/>
      <c r="X353" s="162"/>
      <c r="Y353" s="162"/>
      <c r="Z353" s="162"/>
      <c r="AA353" s="162"/>
      <c r="AB353" s="230"/>
      <c r="AC353" s="230"/>
      <c r="AD353" s="162"/>
      <c r="AE353" s="162"/>
      <c r="AF353" s="162"/>
      <c r="AG353" s="162"/>
      <c r="AH353" s="162"/>
      <c r="AI353" s="230"/>
      <c r="AJ353" s="230"/>
      <c r="AK353" s="162"/>
      <c r="AL353" s="162"/>
      <c r="AM353" s="162"/>
      <c r="AN353" s="162"/>
      <c r="AO353" s="162"/>
      <c r="AP353" s="230"/>
      <c r="AQ353" s="230"/>
      <c r="AR353" s="162"/>
      <c r="AS353" s="162"/>
      <c r="AT353" s="162"/>
      <c r="AU353" s="162"/>
      <c r="AV353" s="162"/>
      <c r="AW353" s="230"/>
      <c r="AX353" s="230"/>
      <c r="AY353" s="162"/>
      <c r="AZ353" s="162"/>
      <c r="BA353" s="162"/>
      <c r="BB353" s="162"/>
      <c r="BC353" s="162"/>
      <c r="BD353" s="230"/>
      <c r="BE353" s="230"/>
      <c r="BF353" s="162"/>
      <c r="BG353" s="162"/>
      <c r="BH353" s="162"/>
      <c r="BI353" s="162"/>
      <c r="BJ353" s="162"/>
      <c r="BK353" s="230"/>
      <c r="BL353" s="230"/>
      <c r="BM353" s="162"/>
      <c r="BN353" s="162"/>
      <c r="BO353" s="162"/>
      <c r="BP353" s="162"/>
      <c r="BQ353" s="162"/>
      <c r="BR353" s="230"/>
      <c r="BS353" s="230"/>
      <c r="BT353" s="162"/>
      <c r="BU353" s="162"/>
      <c r="BV353" s="162"/>
      <c r="BW353" s="162"/>
      <c r="BX353" s="162"/>
      <c r="BY353" s="230"/>
      <c r="BZ353" s="230"/>
      <c r="CA353" s="162"/>
      <c r="CB353" s="162"/>
      <c r="CC353" s="162"/>
      <c r="CD353" s="162"/>
      <c r="CE353" s="162"/>
      <c r="CF353" s="230"/>
      <c r="CG353" s="230"/>
      <c r="CH353" s="162"/>
      <c r="CI353" s="162"/>
      <c r="CJ353" s="162"/>
      <c r="CK353" s="162"/>
      <c r="CL353" s="162"/>
      <c r="CM353" s="230"/>
      <c r="CN353" s="230"/>
      <c r="CO353" s="162"/>
      <c r="CP353" s="162"/>
      <c r="CQ353" s="162"/>
      <c r="CR353" s="162"/>
      <c r="CS353" s="162"/>
      <c r="CT353" s="230"/>
      <c r="CU353" s="230"/>
      <c r="CV353" s="162"/>
      <c r="CW353" s="162"/>
      <c r="CX353" s="162"/>
      <c r="CY353" s="162"/>
      <c r="CZ353" s="162"/>
      <c r="DA353" s="230"/>
      <c r="DB353" s="230"/>
      <c r="DC353" s="162"/>
      <c r="DD353" s="162"/>
      <c r="DE353" s="162"/>
      <c r="DF353" s="162"/>
      <c r="DG353" s="162"/>
      <c r="DH353" s="230"/>
      <c r="DI353" s="230"/>
      <c r="DJ353" s="162"/>
      <c r="DK353" s="162"/>
      <c r="DL353" s="146"/>
      <c r="DM353" s="88"/>
      <c r="DN353" s="88"/>
      <c r="DO353" s="88"/>
      <c r="DP353" s="88"/>
      <c r="DQ353" s="88"/>
      <c r="DR353" s="88"/>
      <c r="DS353" s="88"/>
      <c r="DT353" s="88"/>
      <c r="DU353" s="88"/>
      <c r="DV353" s="88"/>
      <c r="DW353" s="146"/>
      <c r="DX353" s="146"/>
      <c r="DY353" s="146"/>
      <c r="DZ353" s="146"/>
      <c r="EA353" s="146"/>
      <c r="EB353" s="146"/>
      <c r="EC353" s="146"/>
      <c r="ED353" s="146"/>
      <c r="EE353" s="146"/>
      <c r="EF353" s="146"/>
      <c r="EG353" s="146"/>
      <c r="EH353" s="146"/>
    </row>
    <row r="354" spans="1:138" x14ac:dyDescent="0.25">
      <c r="A354" s="147"/>
      <c r="B354" s="147"/>
      <c r="C354" s="160"/>
      <c r="D354" s="160"/>
      <c r="E354" s="169"/>
      <c r="F354" s="229"/>
      <c r="G354" s="165"/>
      <c r="H354" s="165"/>
      <c r="I354" s="163"/>
      <c r="J354" s="163"/>
      <c r="K354" s="162"/>
      <c r="L354" s="162"/>
      <c r="M354" s="162"/>
      <c r="N354" s="230"/>
      <c r="O354" s="230"/>
      <c r="P354" s="162"/>
      <c r="Q354" s="162"/>
      <c r="R354" s="162"/>
      <c r="S354" s="162"/>
      <c r="T354" s="162"/>
      <c r="U354" s="230"/>
      <c r="V354" s="230"/>
      <c r="W354" s="162"/>
      <c r="X354" s="162"/>
      <c r="Y354" s="162"/>
      <c r="Z354" s="162"/>
      <c r="AA354" s="162"/>
      <c r="AB354" s="230"/>
      <c r="AC354" s="230"/>
      <c r="AD354" s="162"/>
      <c r="AE354" s="162"/>
      <c r="AF354" s="162"/>
      <c r="AG354" s="162"/>
      <c r="AH354" s="162"/>
      <c r="AI354" s="230"/>
      <c r="AJ354" s="230"/>
      <c r="AK354" s="162"/>
      <c r="AL354" s="162"/>
      <c r="AM354" s="162"/>
      <c r="AN354" s="162"/>
      <c r="AO354" s="162"/>
      <c r="AP354" s="230"/>
      <c r="AQ354" s="230"/>
      <c r="AR354" s="162"/>
      <c r="AS354" s="162"/>
      <c r="AT354" s="162"/>
      <c r="AU354" s="162"/>
      <c r="AV354" s="162"/>
      <c r="AW354" s="230"/>
      <c r="AX354" s="230"/>
      <c r="AY354" s="162"/>
      <c r="AZ354" s="162"/>
      <c r="BA354" s="162"/>
      <c r="BB354" s="162"/>
      <c r="BC354" s="162"/>
      <c r="BD354" s="230"/>
      <c r="BE354" s="230"/>
      <c r="BF354" s="162"/>
      <c r="BG354" s="162"/>
      <c r="BH354" s="162"/>
      <c r="BI354" s="162"/>
      <c r="BJ354" s="162"/>
      <c r="BK354" s="230"/>
      <c r="BL354" s="230"/>
      <c r="BM354" s="162"/>
      <c r="BN354" s="162"/>
      <c r="BO354" s="162"/>
      <c r="BP354" s="162"/>
      <c r="BQ354" s="162"/>
      <c r="BR354" s="230"/>
      <c r="BS354" s="230"/>
      <c r="BT354" s="162"/>
      <c r="BU354" s="162"/>
      <c r="BV354" s="162"/>
      <c r="BW354" s="162"/>
      <c r="BX354" s="162"/>
      <c r="BY354" s="230"/>
      <c r="BZ354" s="230"/>
      <c r="CA354" s="162"/>
      <c r="CB354" s="162"/>
      <c r="CC354" s="162"/>
      <c r="CD354" s="162"/>
      <c r="CE354" s="162"/>
      <c r="CF354" s="230"/>
      <c r="CG354" s="230"/>
      <c r="CH354" s="162"/>
      <c r="CI354" s="162"/>
      <c r="CJ354" s="162"/>
      <c r="CK354" s="162"/>
      <c r="CL354" s="162"/>
      <c r="CM354" s="230"/>
      <c r="CN354" s="230"/>
      <c r="CO354" s="162"/>
      <c r="CP354" s="162"/>
      <c r="CQ354" s="162"/>
      <c r="CR354" s="162"/>
      <c r="CS354" s="162"/>
      <c r="CT354" s="230"/>
      <c r="CU354" s="230"/>
      <c r="CV354" s="162"/>
      <c r="CW354" s="162"/>
      <c r="CX354" s="162"/>
      <c r="CY354" s="162"/>
      <c r="CZ354" s="162"/>
      <c r="DA354" s="230"/>
      <c r="DB354" s="230"/>
      <c r="DC354" s="162"/>
      <c r="DD354" s="162"/>
      <c r="DE354" s="162"/>
      <c r="DF354" s="162"/>
      <c r="DG354" s="162"/>
      <c r="DH354" s="230"/>
      <c r="DI354" s="230"/>
      <c r="DJ354" s="162"/>
      <c r="DK354" s="162"/>
      <c r="DL354" s="146"/>
      <c r="DM354" s="371"/>
      <c r="DN354" s="372"/>
      <c r="DO354" s="372"/>
      <c r="DP354" s="372"/>
      <c r="DQ354" s="372"/>
      <c r="DR354" s="372"/>
      <c r="DS354" s="372"/>
      <c r="DT354" s="372"/>
      <c r="DU354" s="372"/>
      <c r="DV354" s="372"/>
      <c r="DW354" s="146"/>
      <c r="DX354" s="146"/>
      <c r="DY354" s="146"/>
      <c r="DZ354" s="146"/>
      <c r="EA354" s="146"/>
      <c r="EB354" s="146"/>
      <c r="EC354" s="146"/>
      <c r="ED354" s="146"/>
      <c r="EE354" s="146"/>
      <c r="EF354" s="146"/>
      <c r="EG354" s="146"/>
      <c r="EH354" s="146"/>
    </row>
    <row r="355" spans="1:138" x14ac:dyDescent="0.25">
      <c r="A355" s="147"/>
      <c r="B355" s="147"/>
      <c r="C355" s="160"/>
      <c r="D355" s="160"/>
      <c r="E355" s="169"/>
      <c r="F355" s="229"/>
      <c r="G355" s="165"/>
      <c r="H355" s="165"/>
      <c r="I355" s="163"/>
      <c r="J355" s="163"/>
      <c r="K355" s="162"/>
      <c r="L355" s="162"/>
      <c r="M355" s="162"/>
      <c r="N355" s="230"/>
      <c r="O355" s="230"/>
      <c r="P355" s="162"/>
      <c r="Q355" s="162"/>
      <c r="R355" s="162"/>
      <c r="S355" s="162"/>
      <c r="T355" s="162"/>
      <c r="U355" s="230"/>
      <c r="V355" s="230"/>
      <c r="W355" s="162"/>
      <c r="X355" s="162"/>
      <c r="Y355" s="162"/>
      <c r="Z355" s="162"/>
      <c r="AA355" s="162"/>
      <c r="AB355" s="230"/>
      <c r="AC355" s="230"/>
      <c r="AD355" s="162"/>
      <c r="AE355" s="162"/>
      <c r="AF355" s="162"/>
      <c r="AG355" s="162"/>
      <c r="AH355" s="162"/>
      <c r="AI355" s="230"/>
      <c r="AJ355" s="230"/>
      <c r="AK355" s="162"/>
      <c r="AL355" s="162"/>
      <c r="AM355" s="162"/>
      <c r="AN355" s="162"/>
      <c r="AO355" s="162"/>
      <c r="AP355" s="230"/>
      <c r="AQ355" s="230"/>
      <c r="AR355" s="162"/>
      <c r="AS355" s="162"/>
      <c r="AT355" s="162"/>
      <c r="AU355" s="162"/>
      <c r="AV355" s="162"/>
      <c r="AW355" s="230"/>
      <c r="AX355" s="230"/>
      <c r="AY355" s="162"/>
      <c r="AZ355" s="162"/>
      <c r="BA355" s="162"/>
      <c r="BB355" s="162"/>
      <c r="BC355" s="162"/>
      <c r="BD355" s="230"/>
      <c r="BE355" s="230"/>
      <c r="BF355" s="162"/>
      <c r="BG355" s="162"/>
      <c r="BH355" s="162"/>
      <c r="BI355" s="162"/>
      <c r="BJ355" s="162"/>
      <c r="BK355" s="230"/>
      <c r="BL355" s="230"/>
      <c r="BM355" s="162"/>
      <c r="BN355" s="162"/>
      <c r="BO355" s="162"/>
      <c r="BP355" s="162"/>
      <c r="BQ355" s="162"/>
      <c r="BR355" s="230"/>
      <c r="BS355" s="230"/>
      <c r="BT355" s="162"/>
      <c r="BU355" s="162"/>
      <c r="BV355" s="162"/>
      <c r="BW355" s="162"/>
      <c r="BX355" s="162"/>
      <c r="BY355" s="230"/>
      <c r="BZ355" s="230"/>
      <c r="CA355" s="162"/>
      <c r="CB355" s="162"/>
      <c r="CC355" s="162"/>
      <c r="CD355" s="162"/>
      <c r="CE355" s="162"/>
      <c r="CF355" s="230"/>
      <c r="CG355" s="230"/>
      <c r="CH355" s="162"/>
      <c r="CI355" s="162"/>
      <c r="CJ355" s="162"/>
      <c r="CK355" s="162"/>
      <c r="CL355" s="162"/>
      <c r="CM355" s="230"/>
      <c r="CN355" s="230"/>
      <c r="CO355" s="162"/>
      <c r="CP355" s="162"/>
      <c r="CQ355" s="162"/>
      <c r="CR355" s="162"/>
      <c r="CS355" s="162"/>
      <c r="CT355" s="230"/>
      <c r="CU355" s="230"/>
      <c r="CV355" s="162"/>
      <c r="CW355" s="162"/>
      <c r="CX355" s="162"/>
      <c r="CY355" s="162"/>
      <c r="CZ355" s="162"/>
      <c r="DA355" s="230"/>
      <c r="DB355" s="230"/>
      <c r="DC355" s="162"/>
      <c r="DD355" s="162"/>
      <c r="DE355" s="162"/>
      <c r="DF355" s="162"/>
      <c r="DG355" s="162"/>
      <c r="DH355" s="230"/>
      <c r="DI355" s="230"/>
      <c r="DJ355" s="162"/>
      <c r="DK355" s="162"/>
      <c r="DL355" s="146"/>
      <c r="DM355" s="371"/>
      <c r="DN355" s="372"/>
      <c r="DO355" s="372"/>
      <c r="DP355" s="372"/>
      <c r="DQ355" s="372"/>
      <c r="DR355" s="372"/>
      <c r="DS355" s="372"/>
      <c r="DT355" s="372"/>
      <c r="DU355" s="372"/>
      <c r="DV355" s="372"/>
      <c r="DW355" s="146"/>
      <c r="DX355" s="146"/>
      <c r="DY355" s="146"/>
      <c r="DZ355" s="146"/>
      <c r="EA355" s="146"/>
      <c r="EB355" s="146"/>
      <c r="EC355" s="146"/>
      <c r="ED355" s="146"/>
      <c r="EE355" s="146"/>
      <c r="EF355" s="146"/>
      <c r="EG355" s="146"/>
      <c r="EH355" s="146"/>
    </row>
    <row r="356" spans="1:138" x14ac:dyDescent="0.25">
      <c r="A356" s="147"/>
      <c r="B356" s="147"/>
      <c r="C356" s="160"/>
      <c r="D356" s="160"/>
      <c r="E356" s="169"/>
      <c r="F356" s="229"/>
      <c r="G356" s="165"/>
      <c r="H356" s="165"/>
      <c r="I356" s="163"/>
      <c r="J356" s="163"/>
      <c r="K356" s="162"/>
      <c r="L356" s="162"/>
      <c r="M356" s="162"/>
      <c r="N356" s="230"/>
      <c r="O356" s="230"/>
      <c r="P356" s="162"/>
      <c r="Q356" s="162"/>
      <c r="R356" s="162"/>
      <c r="S356" s="162"/>
      <c r="T356" s="162"/>
      <c r="U356" s="230"/>
      <c r="V356" s="230"/>
      <c r="W356" s="162"/>
      <c r="X356" s="162"/>
      <c r="Y356" s="162"/>
      <c r="Z356" s="162"/>
      <c r="AA356" s="162"/>
      <c r="AB356" s="230"/>
      <c r="AC356" s="230"/>
      <c r="AD356" s="162"/>
      <c r="AE356" s="162"/>
      <c r="AF356" s="162"/>
      <c r="AG356" s="162"/>
      <c r="AH356" s="162"/>
      <c r="AI356" s="230"/>
      <c r="AJ356" s="230"/>
      <c r="AK356" s="162"/>
      <c r="AL356" s="162"/>
      <c r="AM356" s="162"/>
      <c r="AN356" s="162"/>
      <c r="AO356" s="162"/>
      <c r="AP356" s="230"/>
      <c r="AQ356" s="230"/>
      <c r="AR356" s="162"/>
      <c r="AS356" s="162"/>
      <c r="AT356" s="162"/>
      <c r="AU356" s="162"/>
      <c r="AV356" s="162"/>
      <c r="AW356" s="230"/>
      <c r="AX356" s="230"/>
      <c r="AY356" s="162"/>
      <c r="AZ356" s="162"/>
      <c r="BA356" s="162"/>
      <c r="BB356" s="162"/>
      <c r="BC356" s="162"/>
      <c r="BD356" s="230"/>
      <c r="BE356" s="230"/>
      <c r="BF356" s="162"/>
      <c r="BG356" s="162"/>
      <c r="BH356" s="162"/>
      <c r="BI356" s="162"/>
      <c r="BJ356" s="162"/>
      <c r="BK356" s="230"/>
      <c r="BL356" s="230"/>
      <c r="BM356" s="162"/>
      <c r="BN356" s="162"/>
      <c r="BO356" s="162"/>
      <c r="BP356" s="162"/>
      <c r="BQ356" s="162"/>
      <c r="BR356" s="230"/>
      <c r="BS356" s="230"/>
      <c r="BT356" s="162"/>
      <c r="BU356" s="162"/>
      <c r="BV356" s="162"/>
      <c r="BW356" s="162"/>
      <c r="BX356" s="162"/>
      <c r="BY356" s="230"/>
      <c r="BZ356" s="230"/>
      <c r="CA356" s="162"/>
      <c r="CB356" s="162"/>
      <c r="CC356" s="162"/>
      <c r="CD356" s="162"/>
      <c r="CE356" s="162"/>
      <c r="CF356" s="230"/>
      <c r="CG356" s="230"/>
      <c r="CH356" s="162"/>
      <c r="CI356" s="162"/>
      <c r="CJ356" s="162"/>
      <c r="CK356" s="162"/>
      <c r="CL356" s="162"/>
      <c r="CM356" s="230"/>
      <c r="CN356" s="230"/>
      <c r="CO356" s="162"/>
      <c r="CP356" s="162"/>
      <c r="CQ356" s="162"/>
      <c r="CR356" s="162"/>
      <c r="CS356" s="162"/>
      <c r="CT356" s="230"/>
      <c r="CU356" s="230"/>
      <c r="CV356" s="162"/>
      <c r="CW356" s="162"/>
      <c r="CX356" s="162"/>
      <c r="CY356" s="162"/>
      <c r="CZ356" s="162"/>
      <c r="DA356" s="230"/>
      <c r="DB356" s="230"/>
      <c r="DC356" s="162"/>
      <c r="DD356" s="162"/>
      <c r="DE356" s="162"/>
      <c r="DF356" s="162"/>
      <c r="DG356" s="162"/>
      <c r="DH356" s="230"/>
      <c r="DI356" s="230"/>
      <c r="DJ356" s="162"/>
      <c r="DK356" s="162"/>
      <c r="DL356" s="226"/>
      <c r="DM356" s="380"/>
      <c r="DN356" s="372"/>
      <c r="DO356" s="372"/>
      <c r="DP356" s="372"/>
      <c r="DQ356" s="372"/>
      <c r="DR356" s="372"/>
      <c r="DS356" s="372"/>
      <c r="DT356" s="88"/>
      <c r="DU356" s="88"/>
      <c r="DV356" s="88"/>
      <c r="DW356" s="226"/>
      <c r="DX356" s="226"/>
      <c r="DY356" s="226"/>
      <c r="DZ356" s="226"/>
      <c r="EA356" s="226"/>
      <c r="EB356" s="226"/>
      <c r="EC356" s="226"/>
      <c r="ED356" s="226"/>
      <c r="EE356" s="226"/>
      <c r="EF356" s="226"/>
      <c r="EG356" s="226"/>
      <c r="EH356" s="226"/>
    </row>
    <row r="357" spans="1:138" x14ac:dyDescent="0.25">
      <c r="A357" s="147"/>
      <c r="B357" s="147"/>
      <c r="C357" s="160"/>
      <c r="D357" s="160"/>
      <c r="E357" s="169"/>
      <c r="F357" s="229"/>
      <c r="G357" s="165"/>
      <c r="H357" s="165"/>
      <c r="I357" s="163"/>
      <c r="J357" s="163"/>
      <c r="K357" s="162"/>
      <c r="L357" s="162"/>
      <c r="M357" s="162"/>
      <c r="N357" s="230"/>
      <c r="O357" s="230"/>
      <c r="P357" s="162"/>
      <c r="Q357" s="162"/>
      <c r="R357" s="162"/>
      <c r="S357" s="162"/>
      <c r="T357" s="162"/>
      <c r="U357" s="230"/>
      <c r="V357" s="230"/>
      <c r="W357" s="162"/>
      <c r="X357" s="162"/>
      <c r="Y357" s="162"/>
      <c r="Z357" s="162"/>
      <c r="AA357" s="162"/>
      <c r="AB357" s="230"/>
      <c r="AC357" s="230"/>
      <c r="AD357" s="162"/>
      <c r="AE357" s="162"/>
      <c r="AF357" s="162"/>
      <c r="AG357" s="162"/>
      <c r="AH357" s="162"/>
      <c r="AI357" s="230"/>
      <c r="AJ357" s="230"/>
      <c r="AK357" s="162"/>
      <c r="AL357" s="162"/>
      <c r="AM357" s="162"/>
      <c r="AN357" s="162"/>
      <c r="AO357" s="162"/>
      <c r="AP357" s="230"/>
      <c r="AQ357" s="230"/>
      <c r="AR357" s="162"/>
      <c r="AS357" s="162"/>
      <c r="AT357" s="162"/>
      <c r="AU357" s="162"/>
      <c r="AV357" s="162"/>
      <c r="AW357" s="230"/>
      <c r="AX357" s="230"/>
      <c r="AY357" s="162"/>
      <c r="AZ357" s="162"/>
      <c r="BA357" s="162"/>
      <c r="BB357" s="162"/>
      <c r="BC357" s="162"/>
      <c r="BD357" s="230"/>
      <c r="BE357" s="230"/>
      <c r="BF357" s="162"/>
      <c r="BG357" s="162"/>
      <c r="BH357" s="162"/>
      <c r="BI357" s="162"/>
      <c r="BJ357" s="162"/>
      <c r="BK357" s="230"/>
      <c r="BL357" s="230"/>
      <c r="BM357" s="162"/>
      <c r="BN357" s="162"/>
      <c r="BO357" s="162"/>
      <c r="BP357" s="162"/>
      <c r="BQ357" s="162"/>
      <c r="BR357" s="230"/>
      <c r="BS357" s="230"/>
      <c r="BT357" s="162"/>
      <c r="BU357" s="162"/>
      <c r="BV357" s="162"/>
      <c r="BW357" s="162"/>
      <c r="BX357" s="162"/>
      <c r="BY357" s="230"/>
      <c r="BZ357" s="230"/>
      <c r="CA357" s="162"/>
      <c r="CB357" s="162"/>
      <c r="CC357" s="162"/>
      <c r="CD357" s="162"/>
      <c r="CE357" s="162"/>
      <c r="CF357" s="230"/>
      <c r="CG357" s="230"/>
      <c r="CH357" s="162"/>
      <c r="CI357" s="162"/>
      <c r="CJ357" s="162"/>
      <c r="CK357" s="162"/>
      <c r="CL357" s="162"/>
      <c r="CM357" s="230"/>
      <c r="CN357" s="230"/>
      <c r="CO357" s="162"/>
      <c r="CP357" s="162"/>
      <c r="CQ357" s="162"/>
      <c r="CR357" s="162"/>
      <c r="CS357" s="162"/>
      <c r="CT357" s="230"/>
      <c r="CU357" s="230"/>
      <c r="CV357" s="162"/>
      <c r="CW357" s="162"/>
      <c r="CX357" s="162"/>
      <c r="CY357" s="162"/>
      <c r="CZ357" s="162"/>
      <c r="DA357" s="230"/>
      <c r="DB357" s="230"/>
      <c r="DC357" s="162"/>
      <c r="DD357" s="162"/>
      <c r="DE357" s="162"/>
      <c r="DF357" s="162"/>
      <c r="DG357" s="162"/>
      <c r="DH357" s="230"/>
      <c r="DI357" s="230"/>
      <c r="DJ357" s="162"/>
      <c r="DK357" s="162"/>
      <c r="DL357" s="50"/>
      <c r="DM357" s="380"/>
      <c r="DN357" s="372"/>
      <c r="DO357" s="372"/>
      <c r="DP357" s="372"/>
      <c r="DQ357" s="372"/>
      <c r="DR357" s="372"/>
      <c r="DS357" s="372"/>
      <c r="DT357" s="88"/>
      <c r="DU357" s="88"/>
      <c r="DV357" s="88"/>
      <c r="DW357" s="50"/>
      <c r="DX357" s="50"/>
      <c r="DY357" s="50"/>
      <c r="DZ357" s="50"/>
      <c r="EA357" s="50"/>
      <c r="EB357" s="50"/>
      <c r="EC357" s="50"/>
      <c r="ED357" s="50"/>
      <c r="EE357" s="50"/>
      <c r="EF357" s="50"/>
      <c r="EG357" s="50"/>
      <c r="EH357" s="50"/>
    </row>
    <row r="358" spans="1:138" x14ac:dyDescent="0.25">
      <c r="A358" s="147"/>
      <c r="B358" s="147"/>
      <c r="C358" s="160"/>
      <c r="D358" s="160"/>
      <c r="E358" s="169"/>
      <c r="F358" s="229"/>
      <c r="G358" s="165"/>
      <c r="H358" s="165"/>
      <c r="I358" s="163"/>
      <c r="J358" s="163"/>
      <c r="K358" s="162"/>
      <c r="L358" s="162"/>
      <c r="M358" s="162"/>
      <c r="N358" s="230"/>
      <c r="O358" s="230"/>
      <c r="P358" s="162"/>
      <c r="Q358" s="162"/>
      <c r="R358" s="162"/>
      <c r="S358" s="162"/>
      <c r="T358" s="162"/>
      <c r="U358" s="230"/>
      <c r="V358" s="230"/>
      <c r="W358" s="162"/>
      <c r="X358" s="162"/>
      <c r="Y358" s="162"/>
      <c r="Z358" s="162"/>
      <c r="AA358" s="162"/>
      <c r="AB358" s="230"/>
      <c r="AC358" s="230"/>
      <c r="AD358" s="162"/>
      <c r="AE358" s="162"/>
      <c r="AF358" s="162"/>
      <c r="AG358" s="162"/>
      <c r="AH358" s="162"/>
      <c r="AI358" s="230"/>
      <c r="AJ358" s="230"/>
      <c r="AK358" s="162"/>
      <c r="AL358" s="162"/>
      <c r="AM358" s="162"/>
      <c r="AN358" s="162"/>
      <c r="AO358" s="162"/>
      <c r="AP358" s="230"/>
      <c r="AQ358" s="230"/>
      <c r="AR358" s="162"/>
      <c r="AS358" s="162"/>
      <c r="AT358" s="162"/>
      <c r="AU358" s="162"/>
      <c r="AV358" s="162"/>
      <c r="AW358" s="230"/>
      <c r="AX358" s="230"/>
      <c r="AY358" s="162"/>
      <c r="AZ358" s="162"/>
      <c r="BA358" s="162"/>
      <c r="BB358" s="162"/>
      <c r="BC358" s="162"/>
      <c r="BD358" s="230"/>
      <c r="BE358" s="230"/>
      <c r="BF358" s="162"/>
      <c r="BG358" s="162"/>
      <c r="BH358" s="162"/>
      <c r="BI358" s="162"/>
      <c r="BJ358" s="162"/>
      <c r="BK358" s="230"/>
      <c r="BL358" s="230"/>
      <c r="BM358" s="162"/>
      <c r="BN358" s="162"/>
      <c r="BO358" s="162"/>
      <c r="BP358" s="162"/>
      <c r="BQ358" s="162"/>
      <c r="BR358" s="230"/>
      <c r="BS358" s="230"/>
      <c r="BT358" s="162"/>
      <c r="BU358" s="162"/>
      <c r="BV358" s="162"/>
      <c r="BW358" s="162"/>
      <c r="BX358" s="162"/>
      <c r="BY358" s="230"/>
      <c r="BZ358" s="230"/>
      <c r="CA358" s="162"/>
      <c r="CB358" s="162"/>
      <c r="CC358" s="162"/>
      <c r="CD358" s="162"/>
      <c r="CE358" s="162"/>
      <c r="CF358" s="230"/>
      <c r="CG358" s="230"/>
      <c r="CH358" s="162"/>
      <c r="CI358" s="162"/>
      <c r="CJ358" s="162"/>
      <c r="CK358" s="162"/>
      <c r="CL358" s="162"/>
      <c r="CM358" s="230"/>
      <c r="CN358" s="230"/>
      <c r="CO358" s="162"/>
      <c r="CP358" s="162"/>
      <c r="CQ358" s="162"/>
      <c r="CR358" s="162"/>
      <c r="CS358" s="162"/>
      <c r="CT358" s="230"/>
      <c r="CU358" s="230"/>
      <c r="CV358" s="162"/>
      <c r="CW358" s="162"/>
      <c r="CX358" s="162"/>
      <c r="CY358" s="162"/>
      <c r="CZ358" s="162"/>
      <c r="DA358" s="230"/>
      <c r="DB358" s="230"/>
      <c r="DC358" s="162"/>
      <c r="DD358" s="162"/>
      <c r="DE358" s="162"/>
      <c r="DF358" s="162"/>
      <c r="DG358" s="162"/>
      <c r="DH358" s="230"/>
      <c r="DI358" s="230"/>
      <c r="DJ358" s="162"/>
      <c r="DK358" s="162"/>
      <c r="DL358" s="75"/>
      <c r="DM358" s="380"/>
      <c r="DN358" s="372"/>
      <c r="DO358" s="372"/>
      <c r="DP358" s="372"/>
      <c r="DQ358" s="372"/>
      <c r="DR358" s="372"/>
      <c r="DS358" s="372"/>
      <c r="DT358" s="146"/>
      <c r="DU358" s="146"/>
      <c r="DV358" s="146"/>
      <c r="DW358" s="75"/>
      <c r="DX358" s="75"/>
      <c r="DY358" s="75"/>
      <c r="DZ358" s="75"/>
      <c r="EA358" s="75"/>
      <c r="EB358" s="75"/>
      <c r="EC358" s="75"/>
      <c r="ED358" s="75"/>
      <c r="EE358" s="75"/>
      <c r="EF358" s="75"/>
      <c r="EG358" s="75"/>
      <c r="EH358" s="75"/>
    </row>
    <row r="359" spans="1:138" x14ac:dyDescent="0.25">
      <c r="A359" s="147"/>
      <c r="B359" s="147"/>
      <c r="C359" s="160"/>
      <c r="D359" s="160"/>
      <c r="E359" s="169"/>
      <c r="F359" s="229"/>
      <c r="G359" s="165"/>
      <c r="H359" s="165"/>
      <c r="I359" s="163"/>
      <c r="J359" s="163"/>
      <c r="K359" s="162"/>
      <c r="L359" s="162"/>
      <c r="M359" s="162"/>
      <c r="N359" s="230"/>
      <c r="O359" s="230"/>
      <c r="P359" s="162"/>
      <c r="Q359" s="162"/>
      <c r="R359" s="162"/>
      <c r="S359" s="162"/>
      <c r="T359" s="162"/>
      <c r="U359" s="230"/>
      <c r="V359" s="230"/>
      <c r="W359" s="162"/>
      <c r="X359" s="162"/>
      <c r="Y359" s="162"/>
      <c r="Z359" s="162"/>
      <c r="AA359" s="162"/>
      <c r="AB359" s="230"/>
      <c r="AC359" s="230"/>
      <c r="AD359" s="162"/>
      <c r="AE359" s="162"/>
      <c r="AF359" s="162"/>
      <c r="AG359" s="162"/>
      <c r="AH359" s="162"/>
      <c r="AI359" s="230"/>
      <c r="AJ359" s="230"/>
      <c r="AK359" s="162"/>
      <c r="AL359" s="162"/>
      <c r="AM359" s="162"/>
      <c r="AN359" s="162"/>
      <c r="AO359" s="162"/>
      <c r="AP359" s="230"/>
      <c r="AQ359" s="230"/>
      <c r="AR359" s="162"/>
      <c r="AS359" s="162"/>
      <c r="AT359" s="162"/>
      <c r="AU359" s="162"/>
      <c r="AV359" s="162"/>
      <c r="AW359" s="230"/>
      <c r="AX359" s="230"/>
      <c r="AY359" s="162"/>
      <c r="AZ359" s="162"/>
      <c r="BA359" s="162"/>
      <c r="BB359" s="162"/>
      <c r="BC359" s="162"/>
      <c r="BD359" s="230"/>
      <c r="BE359" s="230"/>
      <c r="BF359" s="162"/>
      <c r="BG359" s="162"/>
      <c r="BH359" s="162"/>
      <c r="BI359" s="162"/>
      <c r="BJ359" s="162"/>
      <c r="BK359" s="230"/>
      <c r="BL359" s="230"/>
      <c r="BM359" s="162"/>
      <c r="BN359" s="162"/>
      <c r="BO359" s="162"/>
      <c r="BP359" s="162"/>
      <c r="BQ359" s="162"/>
      <c r="BR359" s="230"/>
      <c r="BS359" s="230"/>
      <c r="BT359" s="162"/>
      <c r="BU359" s="162"/>
      <c r="BV359" s="162"/>
      <c r="BW359" s="162"/>
      <c r="BX359" s="162"/>
      <c r="BY359" s="230"/>
      <c r="BZ359" s="230"/>
      <c r="CA359" s="162"/>
      <c r="CB359" s="162"/>
      <c r="CC359" s="162"/>
      <c r="CD359" s="162"/>
      <c r="CE359" s="162"/>
      <c r="CF359" s="230"/>
      <c r="CG359" s="230"/>
      <c r="CH359" s="162"/>
      <c r="CI359" s="162"/>
      <c r="CJ359" s="162"/>
      <c r="CK359" s="162"/>
      <c r="CL359" s="162"/>
      <c r="CM359" s="230"/>
      <c r="CN359" s="230"/>
      <c r="CO359" s="162"/>
      <c r="CP359" s="162"/>
      <c r="CQ359" s="162"/>
      <c r="CR359" s="162"/>
      <c r="CS359" s="162"/>
      <c r="CT359" s="230"/>
      <c r="CU359" s="230"/>
      <c r="CV359" s="162"/>
      <c r="CW359" s="162"/>
      <c r="CX359" s="162"/>
      <c r="CY359" s="162"/>
      <c r="CZ359" s="162"/>
      <c r="DA359" s="230"/>
      <c r="DB359" s="230"/>
      <c r="DC359" s="162"/>
      <c r="DD359" s="162"/>
      <c r="DE359" s="162"/>
      <c r="DF359" s="162"/>
      <c r="DG359" s="162"/>
      <c r="DH359" s="230"/>
      <c r="DI359" s="230"/>
      <c r="DJ359" s="162"/>
      <c r="DK359" s="162"/>
      <c r="DL359" s="75"/>
      <c r="DM359" s="88"/>
      <c r="DN359" s="88"/>
      <c r="DO359" s="88"/>
      <c r="DP359" s="88"/>
      <c r="DQ359" s="88"/>
      <c r="DR359" s="88"/>
      <c r="DS359" s="88"/>
      <c r="DT359" s="88"/>
      <c r="DU359" s="88"/>
      <c r="DV359" s="88"/>
      <c r="DW359" s="75"/>
      <c r="DX359" s="75"/>
      <c r="DY359" s="75"/>
      <c r="DZ359" s="75"/>
      <c r="EA359" s="75"/>
      <c r="EB359" s="75"/>
      <c r="EC359" s="75"/>
      <c r="ED359" s="75"/>
      <c r="EE359" s="75"/>
      <c r="EF359" s="75"/>
      <c r="EG359" s="75"/>
      <c r="EH359" s="75"/>
    </row>
    <row r="360" spans="1:138" x14ac:dyDescent="0.25">
      <c r="A360" s="147"/>
      <c r="B360" s="147"/>
      <c r="C360" s="160"/>
      <c r="D360" s="160"/>
      <c r="E360" s="169"/>
      <c r="F360" s="229"/>
      <c r="G360" s="165"/>
      <c r="H360" s="165"/>
      <c r="I360" s="163"/>
      <c r="J360" s="163"/>
      <c r="K360" s="162"/>
      <c r="L360" s="162"/>
      <c r="M360" s="162"/>
      <c r="N360" s="230"/>
      <c r="O360" s="230"/>
      <c r="P360" s="162"/>
      <c r="Q360" s="162"/>
      <c r="R360" s="162"/>
      <c r="S360" s="162"/>
      <c r="T360" s="162"/>
      <c r="U360" s="230"/>
      <c r="V360" s="230"/>
      <c r="W360" s="162"/>
      <c r="X360" s="162"/>
      <c r="Y360" s="162"/>
      <c r="Z360" s="162"/>
      <c r="AA360" s="162"/>
      <c r="AB360" s="230"/>
      <c r="AC360" s="230"/>
      <c r="AD360" s="162"/>
      <c r="AE360" s="162"/>
      <c r="AF360" s="162"/>
      <c r="AG360" s="162"/>
      <c r="AH360" s="162"/>
      <c r="AI360" s="230"/>
      <c r="AJ360" s="230"/>
      <c r="AK360" s="162"/>
      <c r="AL360" s="162"/>
      <c r="AM360" s="162"/>
      <c r="AN360" s="162"/>
      <c r="AO360" s="162"/>
      <c r="AP360" s="230"/>
      <c r="AQ360" s="230"/>
      <c r="AR360" s="162"/>
      <c r="AS360" s="162"/>
      <c r="AT360" s="162"/>
      <c r="AU360" s="162"/>
      <c r="AV360" s="162"/>
      <c r="AW360" s="230"/>
      <c r="AX360" s="230"/>
      <c r="AY360" s="162"/>
      <c r="AZ360" s="162"/>
      <c r="BA360" s="162"/>
      <c r="BB360" s="162"/>
      <c r="BC360" s="162"/>
      <c r="BD360" s="230"/>
      <c r="BE360" s="230"/>
      <c r="BF360" s="162"/>
      <c r="BG360" s="162"/>
      <c r="BH360" s="162"/>
      <c r="BI360" s="162"/>
      <c r="BJ360" s="162"/>
      <c r="BK360" s="230"/>
      <c r="BL360" s="230"/>
      <c r="BM360" s="162"/>
      <c r="BN360" s="162"/>
      <c r="BO360" s="162"/>
      <c r="BP360" s="162"/>
      <c r="BQ360" s="162"/>
      <c r="BR360" s="230"/>
      <c r="BS360" s="230"/>
      <c r="BT360" s="162"/>
      <c r="BU360" s="162"/>
      <c r="BV360" s="162"/>
      <c r="BW360" s="162"/>
      <c r="BX360" s="162"/>
      <c r="BY360" s="230"/>
      <c r="BZ360" s="230"/>
      <c r="CA360" s="162"/>
      <c r="CB360" s="162"/>
      <c r="CC360" s="162"/>
      <c r="CD360" s="162"/>
      <c r="CE360" s="162"/>
      <c r="CF360" s="230"/>
      <c r="CG360" s="230"/>
      <c r="CH360" s="162"/>
      <c r="CI360" s="162"/>
      <c r="CJ360" s="162"/>
      <c r="CK360" s="162"/>
      <c r="CL360" s="162"/>
      <c r="CM360" s="230"/>
      <c r="CN360" s="230"/>
      <c r="CO360" s="162"/>
      <c r="CP360" s="162"/>
      <c r="CQ360" s="162"/>
      <c r="CR360" s="162"/>
      <c r="CS360" s="162"/>
      <c r="CT360" s="230"/>
      <c r="CU360" s="230"/>
      <c r="CV360" s="162"/>
      <c r="CW360" s="162"/>
      <c r="CX360" s="162"/>
      <c r="CY360" s="162"/>
      <c r="CZ360" s="162"/>
      <c r="DA360" s="230"/>
      <c r="DB360" s="230"/>
      <c r="DC360" s="162"/>
      <c r="DD360" s="162"/>
      <c r="DE360" s="162"/>
      <c r="DF360" s="162"/>
      <c r="DG360" s="162"/>
      <c r="DH360" s="230"/>
      <c r="DI360" s="230"/>
      <c r="DJ360" s="162"/>
      <c r="DK360" s="162"/>
      <c r="DL360" s="146"/>
      <c r="DM360" s="380"/>
      <c r="DN360" s="372"/>
      <c r="DO360" s="372"/>
      <c r="DP360" s="372"/>
      <c r="DQ360" s="372"/>
      <c r="DR360" s="372"/>
      <c r="DS360" s="372"/>
      <c r="DT360" s="88"/>
      <c r="DU360" s="88"/>
      <c r="DV360" s="88"/>
      <c r="DW360" s="146"/>
      <c r="DX360" s="146"/>
      <c r="DY360" s="146"/>
      <c r="DZ360" s="146"/>
      <c r="EA360" s="146"/>
      <c r="EB360" s="146"/>
      <c r="EC360" s="146"/>
      <c r="ED360" s="146"/>
      <c r="EE360" s="146"/>
      <c r="EF360" s="146"/>
      <c r="EG360" s="146"/>
      <c r="EH360" s="146"/>
    </row>
    <row r="361" spans="1:138" x14ac:dyDescent="0.25">
      <c r="A361" s="147"/>
      <c r="B361" s="147"/>
      <c r="C361" s="160"/>
      <c r="D361" s="160"/>
      <c r="E361" s="169"/>
      <c r="F361" s="229"/>
      <c r="G361" s="165"/>
      <c r="H361" s="165"/>
      <c r="I361" s="163"/>
      <c r="J361" s="163"/>
      <c r="K361" s="162"/>
      <c r="L361" s="162"/>
      <c r="M361" s="162"/>
      <c r="N361" s="230"/>
      <c r="O361" s="230"/>
      <c r="P361" s="162"/>
      <c r="Q361" s="162"/>
      <c r="R361" s="162"/>
      <c r="S361" s="162"/>
      <c r="T361" s="162"/>
      <c r="U361" s="230"/>
      <c r="V361" s="230"/>
      <c r="W361" s="162"/>
      <c r="X361" s="162"/>
      <c r="Y361" s="162"/>
      <c r="Z361" s="162"/>
      <c r="AA361" s="162"/>
      <c r="AB361" s="230"/>
      <c r="AC361" s="230"/>
      <c r="AD361" s="162"/>
      <c r="AE361" s="162"/>
      <c r="AF361" s="162"/>
      <c r="AG361" s="162"/>
      <c r="AH361" s="162"/>
      <c r="AI361" s="230"/>
      <c r="AJ361" s="230"/>
      <c r="AK361" s="162"/>
      <c r="AL361" s="162"/>
      <c r="AM361" s="162"/>
      <c r="AN361" s="162"/>
      <c r="AO361" s="162"/>
      <c r="AP361" s="230"/>
      <c r="AQ361" s="230"/>
      <c r="AR361" s="162"/>
      <c r="AS361" s="162"/>
      <c r="AT361" s="162"/>
      <c r="AU361" s="162"/>
      <c r="AV361" s="162"/>
      <c r="AW361" s="230"/>
      <c r="AX361" s="230"/>
      <c r="AY361" s="162"/>
      <c r="AZ361" s="162"/>
      <c r="BA361" s="162"/>
      <c r="BB361" s="162"/>
      <c r="BC361" s="162"/>
      <c r="BD361" s="230"/>
      <c r="BE361" s="230"/>
      <c r="BF361" s="162"/>
      <c r="BG361" s="162"/>
      <c r="BH361" s="162"/>
      <c r="BI361" s="162"/>
      <c r="BJ361" s="162"/>
      <c r="BK361" s="230"/>
      <c r="BL361" s="230"/>
      <c r="BM361" s="162"/>
      <c r="BN361" s="162"/>
      <c r="BO361" s="162"/>
      <c r="BP361" s="162"/>
      <c r="BQ361" s="162"/>
      <c r="BR361" s="230"/>
      <c r="BS361" s="230"/>
      <c r="BT361" s="162"/>
      <c r="BU361" s="162"/>
      <c r="BV361" s="162"/>
      <c r="BW361" s="162"/>
      <c r="BX361" s="162"/>
      <c r="BY361" s="230"/>
      <c r="BZ361" s="230"/>
      <c r="CA361" s="162"/>
      <c r="CB361" s="162"/>
      <c r="CC361" s="162"/>
      <c r="CD361" s="162"/>
      <c r="CE361" s="162"/>
      <c r="CF361" s="230"/>
      <c r="CG361" s="230"/>
      <c r="CH361" s="162"/>
      <c r="CI361" s="162"/>
      <c r="CJ361" s="162"/>
      <c r="CK361" s="162"/>
      <c r="CL361" s="162"/>
      <c r="CM361" s="230"/>
      <c r="CN361" s="230"/>
      <c r="CO361" s="162"/>
      <c r="CP361" s="162"/>
      <c r="CQ361" s="162"/>
      <c r="CR361" s="162"/>
      <c r="CS361" s="162"/>
      <c r="CT361" s="230"/>
      <c r="CU361" s="230"/>
      <c r="CV361" s="162"/>
      <c r="CW361" s="162"/>
      <c r="CX361" s="162"/>
      <c r="CY361" s="162"/>
      <c r="CZ361" s="162"/>
      <c r="DA361" s="230"/>
      <c r="DB361" s="230"/>
      <c r="DC361" s="162"/>
      <c r="DD361" s="162"/>
      <c r="DE361" s="162"/>
      <c r="DF361" s="162"/>
      <c r="DG361" s="162"/>
      <c r="DH361" s="230"/>
      <c r="DI361" s="230"/>
      <c r="DJ361" s="162"/>
      <c r="DK361" s="162"/>
      <c r="DL361" s="146"/>
      <c r="DM361" s="380"/>
      <c r="DN361" s="372"/>
      <c r="DO361" s="372"/>
      <c r="DP361" s="372"/>
      <c r="DQ361" s="372"/>
      <c r="DR361" s="372"/>
      <c r="DS361" s="372"/>
      <c r="DT361" s="89"/>
      <c r="DU361" s="89"/>
      <c r="DV361" s="89"/>
      <c r="DW361" s="146"/>
      <c r="DX361" s="146"/>
      <c r="DY361" s="146"/>
      <c r="DZ361" s="146"/>
      <c r="EA361" s="146"/>
      <c r="EB361" s="146"/>
      <c r="EC361" s="146"/>
      <c r="ED361" s="146"/>
      <c r="EE361" s="146"/>
      <c r="EF361" s="146"/>
      <c r="EG361" s="146"/>
      <c r="EH361" s="146"/>
    </row>
    <row r="362" spans="1:138" x14ac:dyDescent="0.25">
      <c r="A362" s="147"/>
      <c r="B362" s="147"/>
      <c r="C362" s="160"/>
      <c r="D362" s="160"/>
      <c r="E362" s="169"/>
      <c r="F362" s="229"/>
      <c r="G362" s="165"/>
      <c r="H362" s="165"/>
      <c r="I362" s="163"/>
      <c r="J362" s="163"/>
      <c r="K362" s="162"/>
      <c r="L362" s="162"/>
      <c r="M362" s="162"/>
      <c r="N362" s="230"/>
      <c r="O362" s="230"/>
      <c r="P362" s="162"/>
      <c r="Q362" s="162"/>
      <c r="R362" s="162"/>
      <c r="S362" s="162"/>
      <c r="T362" s="162"/>
      <c r="U362" s="230"/>
      <c r="V362" s="230"/>
      <c r="W362" s="162"/>
      <c r="X362" s="162"/>
      <c r="Y362" s="162"/>
      <c r="Z362" s="162"/>
      <c r="AA362" s="162"/>
      <c r="AB362" s="230"/>
      <c r="AC362" s="230"/>
      <c r="AD362" s="162"/>
      <c r="AE362" s="162"/>
      <c r="AF362" s="162"/>
      <c r="AG362" s="162"/>
      <c r="AH362" s="162"/>
      <c r="AI362" s="230"/>
      <c r="AJ362" s="230"/>
      <c r="AK362" s="162"/>
      <c r="AL362" s="162"/>
      <c r="AM362" s="162"/>
      <c r="AN362" s="162"/>
      <c r="AO362" s="162"/>
      <c r="AP362" s="230"/>
      <c r="AQ362" s="230"/>
      <c r="AR362" s="162"/>
      <c r="AS362" s="162"/>
      <c r="AT362" s="162"/>
      <c r="AU362" s="162"/>
      <c r="AV362" s="162"/>
      <c r="AW362" s="230"/>
      <c r="AX362" s="230"/>
      <c r="AY362" s="162"/>
      <c r="AZ362" s="162"/>
      <c r="BA362" s="162"/>
      <c r="BB362" s="162"/>
      <c r="BC362" s="162"/>
      <c r="BD362" s="230"/>
      <c r="BE362" s="230"/>
      <c r="BF362" s="162"/>
      <c r="BG362" s="162"/>
      <c r="BH362" s="162"/>
      <c r="BI362" s="162"/>
      <c r="BJ362" s="162"/>
      <c r="BK362" s="230"/>
      <c r="BL362" s="230"/>
      <c r="BM362" s="162"/>
      <c r="BN362" s="162"/>
      <c r="BO362" s="162"/>
      <c r="BP362" s="162"/>
      <c r="BQ362" s="162"/>
      <c r="BR362" s="230"/>
      <c r="BS362" s="230"/>
      <c r="BT362" s="162"/>
      <c r="BU362" s="162"/>
      <c r="BV362" s="162"/>
      <c r="BW362" s="162"/>
      <c r="BX362" s="162"/>
      <c r="BY362" s="230"/>
      <c r="BZ362" s="230"/>
      <c r="CA362" s="162"/>
      <c r="CB362" s="162"/>
      <c r="CC362" s="162"/>
      <c r="CD362" s="162"/>
      <c r="CE362" s="162"/>
      <c r="CF362" s="230"/>
      <c r="CG362" s="230"/>
      <c r="CH362" s="162"/>
      <c r="CI362" s="162"/>
      <c r="CJ362" s="162"/>
      <c r="CK362" s="162"/>
      <c r="CL362" s="162"/>
      <c r="CM362" s="230"/>
      <c r="CN362" s="230"/>
      <c r="CO362" s="162"/>
      <c r="CP362" s="162"/>
      <c r="CQ362" s="162"/>
      <c r="CR362" s="162"/>
      <c r="CS362" s="162"/>
      <c r="CT362" s="230"/>
      <c r="CU362" s="230"/>
      <c r="CV362" s="162"/>
      <c r="CW362" s="162"/>
      <c r="CX362" s="162"/>
      <c r="CY362" s="162"/>
      <c r="CZ362" s="162"/>
      <c r="DA362" s="230"/>
      <c r="DB362" s="230"/>
      <c r="DC362" s="162"/>
      <c r="DD362" s="162"/>
      <c r="DE362" s="162"/>
      <c r="DF362" s="162"/>
      <c r="DG362" s="162"/>
      <c r="DH362" s="230"/>
      <c r="DI362" s="230"/>
      <c r="DJ362" s="162"/>
      <c r="DK362" s="162"/>
      <c r="DL362" s="146"/>
      <c r="DM362" s="88"/>
      <c r="DN362" s="88"/>
      <c r="DO362" s="88"/>
      <c r="DP362" s="88"/>
      <c r="DQ362" s="88"/>
      <c r="DR362" s="88"/>
      <c r="DS362" s="88"/>
      <c r="DT362" s="88"/>
      <c r="DU362" s="88"/>
      <c r="DV362" s="88"/>
      <c r="DW362" s="146"/>
      <c r="DX362" s="146"/>
      <c r="DY362" s="146"/>
      <c r="DZ362" s="146"/>
      <c r="EA362" s="146"/>
      <c r="EB362" s="146"/>
      <c r="EC362" s="146"/>
      <c r="ED362" s="146"/>
      <c r="EE362" s="146"/>
      <c r="EF362" s="146"/>
      <c r="EG362" s="146"/>
      <c r="EH362" s="146"/>
    </row>
    <row r="363" spans="1:138" x14ac:dyDescent="0.25">
      <c r="A363" s="147"/>
      <c r="B363" s="147"/>
      <c r="C363" s="160"/>
      <c r="D363" s="160"/>
      <c r="E363" s="169"/>
      <c r="F363" s="229"/>
      <c r="G363" s="165"/>
      <c r="H363" s="165"/>
      <c r="I363" s="163"/>
      <c r="J363" s="163"/>
      <c r="K363" s="162"/>
      <c r="L363" s="162"/>
      <c r="M363" s="162"/>
      <c r="N363" s="230"/>
      <c r="O363" s="230"/>
      <c r="P363" s="162"/>
      <c r="Q363" s="162"/>
      <c r="R363" s="162"/>
      <c r="S363" s="162"/>
      <c r="T363" s="162"/>
      <c r="U363" s="230"/>
      <c r="V363" s="230"/>
      <c r="W363" s="162"/>
      <c r="X363" s="162"/>
      <c r="Y363" s="162"/>
      <c r="Z363" s="162"/>
      <c r="AA363" s="162"/>
      <c r="AB363" s="230"/>
      <c r="AC363" s="230"/>
      <c r="AD363" s="162"/>
      <c r="AE363" s="162"/>
      <c r="AF363" s="162"/>
      <c r="AG363" s="162"/>
      <c r="AH363" s="162"/>
      <c r="AI363" s="230"/>
      <c r="AJ363" s="230"/>
      <c r="AK363" s="162"/>
      <c r="AL363" s="162"/>
      <c r="AM363" s="162"/>
      <c r="AN363" s="162"/>
      <c r="AO363" s="162"/>
      <c r="AP363" s="230"/>
      <c r="AQ363" s="230"/>
      <c r="AR363" s="162"/>
      <c r="AS363" s="162"/>
      <c r="AT363" s="162"/>
      <c r="AU363" s="162"/>
      <c r="AV363" s="162"/>
      <c r="AW363" s="230"/>
      <c r="AX363" s="230"/>
      <c r="AY363" s="162"/>
      <c r="AZ363" s="162"/>
      <c r="BA363" s="162"/>
      <c r="BB363" s="162"/>
      <c r="BC363" s="162"/>
      <c r="BD363" s="230"/>
      <c r="BE363" s="230"/>
      <c r="BF363" s="162"/>
      <c r="BG363" s="162"/>
      <c r="BH363" s="162"/>
      <c r="BI363" s="162"/>
      <c r="BJ363" s="162"/>
      <c r="BK363" s="230"/>
      <c r="BL363" s="230"/>
      <c r="BM363" s="162"/>
      <c r="BN363" s="162"/>
      <c r="BO363" s="162"/>
      <c r="BP363" s="162"/>
      <c r="BQ363" s="162"/>
      <c r="BR363" s="230"/>
      <c r="BS363" s="230"/>
      <c r="BT363" s="162"/>
      <c r="BU363" s="162"/>
      <c r="BV363" s="162"/>
      <c r="BW363" s="162"/>
      <c r="BX363" s="162"/>
      <c r="BY363" s="230"/>
      <c r="BZ363" s="230"/>
      <c r="CA363" s="162"/>
      <c r="CB363" s="162"/>
      <c r="CC363" s="162"/>
      <c r="CD363" s="162"/>
      <c r="CE363" s="162"/>
      <c r="CF363" s="230"/>
      <c r="CG363" s="230"/>
      <c r="CH363" s="162"/>
      <c r="CI363" s="162"/>
      <c r="CJ363" s="162"/>
      <c r="CK363" s="162"/>
      <c r="CL363" s="162"/>
      <c r="CM363" s="230"/>
      <c r="CN363" s="230"/>
      <c r="CO363" s="162"/>
      <c r="CP363" s="162"/>
      <c r="CQ363" s="162"/>
      <c r="CR363" s="162"/>
      <c r="CS363" s="162"/>
      <c r="CT363" s="230"/>
      <c r="CU363" s="230"/>
      <c r="CV363" s="162"/>
      <c r="CW363" s="162"/>
      <c r="CX363" s="162"/>
      <c r="CY363" s="162"/>
      <c r="CZ363" s="162"/>
      <c r="DA363" s="230"/>
      <c r="DB363" s="230"/>
      <c r="DC363" s="162"/>
      <c r="DD363" s="162"/>
      <c r="DE363" s="162"/>
      <c r="DF363" s="162"/>
      <c r="DG363" s="162"/>
      <c r="DH363" s="230"/>
      <c r="DI363" s="230"/>
      <c r="DJ363" s="162"/>
      <c r="DK363" s="162"/>
      <c r="DL363" s="146"/>
      <c r="DM363" s="371"/>
      <c r="DN363" s="372"/>
      <c r="DO363" s="372"/>
      <c r="DP363" s="372"/>
      <c r="DQ363" s="372"/>
      <c r="DR363" s="372"/>
      <c r="DS363" s="372"/>
      <c r="DT363" s="372"/>
      <c r="DU363" s="372"/>
      <c r="DV363" s="372"/>
      <c r="DW363" s="146"/>
      <c r="DX363" s="146"/>
      <c r="DY363" s="146"/>
      <c r="DZ363" s="146"/>
      <c r="EA363" s="146"/>
      <c r="EB363" s="146"/>
      <c r="EC363" s="146"/>
      <c r="ED363" s="146"/>
      <c r="EE363" s="146"/>
      <c r="EF363" s="146"/>
      <c r="EG363" s="146"/>
      <c r="EH363" s="146"/>
    </row>
    <row r="364" spans="1:138" x14ac:dyDescent="0.25">
      <c r="A364" s="147"/>
      <c r="B364" s="147"/>
      <c r="C364" s="160"/>
      <c r="D364" s="160"/>
      <c r="E364" s="169"/>
      <c r="F364" s="229"/>
      <c r="G364" s="165"/>
      <c r="H364" s="165"/>
      <c r="I364" s="163"/>
      <c r="J364" s="163"/>
      <c r="K364" s="162"/>
      <c r="L364" s="162"/>
      <c r="M364" s="162"/>
      <c r="N364" s="230"/>
      <c r="O364" s="230"/>
      <c r="P364" s="162"/>
      <c r="Q364" s="162"/>
      <c r="R364" s="162"/>
      <c r="S364" s="162"/>
      <c r="T364" s="162"/>
      <c r="U364" s="230"/>
      <c r="V364" s="230"/>
      <c r="W364" s="162"/>
      <c r="X364" s="162"/>
      <c r="Y364" s="162"/>
      <c r="Z364" s="162"/>
      <c r="AA364" s="162"/>
      <c r="AB364" s="230"/>
      <c r="AC364" s="230"/>
      <c r="AD364" s="162"/>
      <c r="AE364" s="162"/>
      <c r="AF364" s="162"/>
      <c r="AG364" s="162"/>
      <c r="AH364" s="162"/>
      <c r="AI364" s="230"/>
      <c r="AJ364" s="230"/>
      <c r="AK364" s="162"/>
      <c r="AL364" s="162"/>
      <c r="AM364" s="162"/>
      <c r="AN364" s="162"/>
      <c r="AO364" s="162"/>
      <c r="AP364" s="230"/>
      <c r="AQ364" s="230"/>
      <c r="AR364" s="162"/>
      <c r="AS364" s="162"/>
      <c r="AT364" s="162"/>
      <c r="AU364" s="162"/>
      <c r="AV364" s="162"/>
      <c r="AW364" s="230"/>
      <c r="AX364" s="230"/>
      <c r="AY364" s="162"/>
      <c r="AZ364" s="162"/>
      <c r="BA364" s="162"/>
      <c r="BB364" s="162"/>
      <c r="BC364" s="162"/>
      <c r="BD364" s="230"/>
      <c r="BE364" s="230"/>
      <c r="BF364" s="162"/>
      <c r="BG364" s="162"/>
      <c r="BH364" s="162"/>
      <c r="BI364" s="162"/>
      <c r="BJ364" s="162"/>
      <c r="BK364" s="230"/>
      <c r="BL364" s="230"/>
      <c r="BM364" s="162"/>
      <c r="BN364" s="162"/>
      <c r="BO364" s="162"/>
      <c r="BP364" s="162"/>
      <c r="BQ364" s="162"/>
      <c r="BR364" s="230"/>
      <c r="BS364" s="230"/>
      <c r="BT364" s="162"/>
      <c r="BU364" s="162"/>
      <c r="BV364" s="162"/>
      <c r="BW364" s="162"/>
      <c r="BX364" s="162"/>
      <c r="BY364" s="230"/>
      <c r="BZ364" s="230"/>
      <c r="CA364" s="162"/>
      <c r="CB364" s="162"/>
      <c r="CC364" s="162"/>
      <c r="CD364" s="162"/>
      <c r="CE364" s="162"/>
      <c r="CF364" s="230"/>
      <c r="CG364" s="230"/>
      <c r="CH364" s="162"/>
      <c r="CI364" s="162"/>
      <c r="CJ364" s="162"/>
      <c r="CK364" s="162"/>
      <c r="CL364" s="162"/>
      <c r="CM364" s="230"/>
      <c r="CN364" s="230"/>
      <c r="CO364" s="162"/>
      <c r="CP364" s="162"/>
      <c r="CQ364" s="162"/>
      <c r="CR364" s="162"/>
      <c r="CS364" s="162"/>
      <c r="CT364" s="230"/>
      <c r="CU364" s="230"/>
      <c r="CV364" s="162"/>
      <c r="CW364" s="162"/>
      <c r="CX364" s="162"/>
      <c r="CY364" s="162"/>
      <c r="CZ364" s="162"/>
      <c r="DA364" s="230"/>
      <c r="DB364" s="230"/>
      <c r="DC364" s="162"/>
      <c r="DD364" s="162"/>
      <c r="DE364" s="162"/>
      <c r="DF364" s="162"/>
      <c r="DG364" s="162"/>
      <c r="DH364" s="230"/>
      <c r="DI364" s="230"/>
      <c r="DJ364" s="162"/>
      <c r="DK364" s="162"/>
      <c r="DL364" s="146"/>
      <c r="DM364" s="371"/>
      <c r="DN364" s="372"/>
      <c r="DO364" s="372"/>
      <c r="DP364" s="372"/>
      <c r="DQ364" s="372"/>
      <c r="DR364" s="372"/>
      <c r="DS364" s="372"/>
      <c r="DT364" s="372"/>
      <c r="DU364" s="372"/>
      <c r="DV364" s="372"/>
      <c r="DW364" s="146"/>
      <c r="DX364" s="146"/>
      <c r="DY364" s="146"/>
      <c r="DZ364" s="146"/>
      <c r="EA364" s="146"/>
      <c r="EB364" s="146"/>
      <c r="EC364" s="146"/>
      <c r="ED364" s="146"/>
      <c r="EE364" s="146"/>
      <c r="EF364" s="146"/>
      <c r="EG364" s="146"/>
      <c r="EH364" s="146"/>
    </row>
    <row r="365" spans="1:138" x14ac:dyDescent="0.25">
      <c r="A365" s="147"/>
      <c r="B365" s="147"/>
      <c r="C365" s="160"/>
      <c r="D365" s="160"/>
      <c r="E365" s="169"/>
      <c r="F365" s="229"/>
      <c r="G365" s="165"/>
      <c r="H365" s="165"/>
      <c r="I365" s="163"/>
      <c r="J365" s="163"/>
      <c r="K365" s="162"/>
      <c r="L365" s="162"/>
      <c r="M365" s="162"/>
      <c r="N365" s="230"/>
      <c r="O365" s="230"/>
      <c r="P365" s="162"/>
      <c r="Q365" s="162"/>
      <c r="R365" s="162"/>
      <c r="S365" s="162"/>
      <c r="T365" s="162"/>
      <c r="U365" s="230"/>
      <c r="V365" s="230"/>
      <c r="W365" s="162"/>
      <c r="X365" s="162"/>
      <c r="Y365" s="162"/>
      <c r="Z365" s="162"/>
      <c r="AA365" s="162"/>
      <c r="AB365" s="230"/>
      <c r="AC365" s="230"/>
      <c r="AD365" s="162"/>
      <c r="AE365" s="162"/>
      <c r="AF365" s="162"/>
      <c r="AG365" s="162"/>
      <c r="AH365" s="162"/>
      <c r="AI365" s="230"/>
      <c r="AJ365" s="230"/>
      <c r="AK365" s="162"/>
      <c r="AL365" s="162"/>
      <c r="AM365" s="162"/>
      <c r="AN365" s="162"/>
      <c r="AO365" s="162"/>
      <c r="AP365" s="230"/>
      <c r="AQ365" s="230"/>
      <c r="AR365" s="162"/>
      <c r="AS365" s="162"/>
      <c r="AT365" s="162"/>
      <c r="AU365" s="162"/>
      <c r="AV365" s="162"/>
      <c r="AW365" s="230"/>
      <c r="AX365" s="230"/>
      <c r="AY365" s="162"/>
      <c r="AZ365" s="162"/>
      <c r="BA365" s="162"/>
      <c r="BB365" s="162"/>
      <c r="BC365" s="162"/>
      <c r="BD365" s="230"/>
      <c r="BE365" s="230"/>
      <c r="BF365" s="162"/>
      <c r="BG365" s="162"/>
      <c r="BH365" s="162"/>
      <c r="BI365" s="162"/>
      <c r="BJ365" s="162"/>
      <c r="BK365" s="230"/>
      <c r="BL365" s="230"/>
      <c r="BM365" s="162"/>
      <c r="BN365" s="162"/>
      <c r="BO365" s="162"/>
      <c r="BP365" s="162"/>
      <c r="BQ365" s="162"/>
      <c r="BR365" s="230"/>
      <c r="BS365" s="230"/>
      <c r="BT365" s="162"/>
      <c r="BU365" s="162"/>
      <c r="BV365" s="162"/>
      <c r="BW365" s="162"/>
      <c r="BX365" s="162"/>
      <c r="BY365" s="230"/>
      <c r="BZ365" s="230"/>
      <c r="CA365" s="162"/>
      <c r="CB365" s="162"/>
      <c r="CC365" s="162"/>
      <c r="CD365" s="162"/>
      <c r="CE365" s="162"/>
      <c r="CF365" s="230"/>
      <c r="CG365" s="230"/>
      <c r="CH365" s="162"/>
      <c r="CI365" s="162"/>
      <c r="CJ365" s="162"/>
      <c r="CK365" s="162"/>
      <c r="CL365" s="162"/>
      <c r="CM365" s="230"/>
      <c r="CN365" s="230"/>
      <c r="CO365" s="162"/>
      <c r="CP365" s="162"/>
      <c r="CQ365" s="162"/>
      <c r="CR365" s="162"/>
      <c r="CS365" s="162"/>
      <c r="CT365" s="230"/>
      <c r="CU365" s="230"/>
      <c r="CV365" s="162"/>
      <c r="CW365" s="162"/>
      <c r="CX365" s="162"/>
      <c r="CY365" s="162"/>
      <c r="CZ365" s="162"/>
      <c r="DA365" s="230"/>
      <c r="DB365" s="230"/>
      <c r="DC365" s="162"/>
      <c r="DD365" s="162"/>
      <c r="DE365" s="162"/>
      <c r="DF365" s="162"/>
      <c r="DG365" s="162"/>
      <c r="DH365" s="230"/>
      <c r="DI365" s="230"/>
      <c r="DJ365" s="162"/>
      <c r="DK365" s="162"/>
      <c r="DL365" s="226"/>
      <c r="DM365" s="380"/>
      <c r="DN365" s="372"/>
      <c r="DO365" s="372"/>
      <c r="DP365" s="372"/>
      <c r="DQ365" s="372"/>
      <c r="DR365" s="372"/>
      <c r="DS365" s="372"/>
      <c r="DT365" s="88"/>
      <c r="DU365" s="88"/>
      <c r="DV365" s="88"/>
      <c r="DW365" s="226"/>
      <c r="DX365" s="226"/>
      <c r="DY365" s="226"/>
      <c r="DZ365" s="226"/>
      <c r="EA365" s="226"/>
      <c r="EB365" s="226"/>
      <c r="EC365" s="226"/>
      <c r="ED365" s="226"/>
      <c r="EE365" s="226"/>
      <c r="EF365" s="226"/>
      <c r="EG365" s="226"/>
      <c r="EH365" s="226"/>
    </row>
    <row r="366" spans="1:138" x14ac:dyDescent="0.25">
      <c r="A366" s="147"/>
      <c r="B366" s="147"/>
      <c r="C366" s="160"/>
      <c r="D366" s="160"/>
      <c r="E366" s="169"/>
      <c r="F366" s="229"/>
      <c r="G366" s="165"/>
      <c r="H366" s="165"/>
      <c r="I366" s="163"/>
      <c r="J366" s="163"/>
      <c r="K366" s="162"/>
      <c r="L366" s="162"/>
      <c r="M366" s="162"/>
      <c r="N366" s="230"/>
      <c r="O366" s="230"/>
      <c r="P366" s="162"/>
      <c r="Q366" s="162"/>
      <c r="R366" s="162"/>
      <c r="S366" s="162"/>
      <c r="T366" s="162"/>
      <c r="U366" s="230"/>
      <c r="V366" s="230"/>
      <c r="W366" s="162"/>
      <c r="X366" s="162"/>
      <c r="Y366" s="162"/>
      <c r="Z366" s="162"/>
      <c r="AA366" s="162"/>
      <c r="AB366" s="230"/>
      <c r="AC366" s="230"/>
      <c r="AD366" s="162"/>
      <c r="AE366" s="162"/>
      <c r="AF366" s="162"/>
      <c r="AG366" s="162"/>
      <c r="AH366" s="162"/>
      <c r="AI366" s="230"/>
      <c r="AJ366" s="230"/>
      <c r="AK366" s="162"/>
      <c r="AL366" s="162"/>
      <c r="AM366" s="162"/>
      <c r="AN366" s="162"/>
      <c r="AO366" s="162"/>
      <c r="AP366" s="230"/>
      <c r="AQ366" s="230"/>
      <c r="AR366" s="162"/>
      <c r="AS366" s="162"/>
      <c r="AT366" s="162"/>
      <c r="AU366" s="162"/>
      <c r="AV366" s="162"/>
      <c r="AW366" s="230"/>
      <c r="AX366" s="230"/>
      <c r="AY366" s="162"/>
      <c r="AZ366" s="162"/>
      <c r="BA366" s="162"/>
      <c r="BB366" s="162"/>
      <c r="BC366" s="162"/>
      <c r="BD366" s="230"/>
      <c r="BE366" s="230"/>
      <c r="BF366" s="162"/>
      <c r="BG366" s="162"/>
      <c r="BH366" s="162"/>
      <c r="BI366" s="162"/>
      <c r="BJ366" s="162"/>
      <c r="BK366" s="230"/>
      <c r="BL366" s="230"/>
      <c r="BM366" s="162"/>
      <c r="BN366" s="162"/>
      <c r="BO366" s="162"/>
      <c r="BP366" s="162"/>
      <c r="BQ366" s="162"/>
      <c r="BR366" s="230"/>
      <c r="BS366" s="230"/>
      <c r="BT366" s="162"/>
      <c r="BU366" s="162"/>
      <c r="BV366" s="162"/>
      <c r="BW366" s="162"/>
      <c r="BX366" s="162"/>
      <c r="BY366" s="230"/>
      <c r="BZ366" s="230"/>
      <c r="CA366" s="162"/>
      <c r="CB366" s="162"/>
      <c r="CC366" s="162"/>
      <c r="CD366" s="162"/>
      <c r="CE366" s="162"/>
      <c r="CF366" s="230"/>
      <c r="CG366" s="230"/>
      <c r="CH366" s="162"/>
      <c r="CI366" s="162"/>
      <c r="CJ366" s="162"/>
      <c r="CK366" s="162"/>
      <c r="CL366" s="162"/>
      <c r="CM366" s="230"/>
      <c r="CN366" s="230"/>
      <c r="CO366" s="162"/>
      <c r="CP366" s="162"/>
      <c r="CQ366" s="162"/>
      <c r="CR366" s="162"/>
      <c r="CS366" s="162"/>
      <c r="CT366" s="230"/>
      <c r="CU366" s="230"/>
      <c r="CV366" s="162"/>
      <c r="CW366" s="162"/>
      <c r="CX366" s="162"/>
      <c r="CY366" s="162"/>
      <c r="CZ366" s="162"/>
      <c r="DA366" s="230"/>
      <c r="DB366" s="230"/>
      <c r="DC366" s="162"/>
      <c r="DD366" s="162"/>
      <c r="DE366" s="162"/>
      <c r="DF366" s="162"/>
      <c r="DG366" s="162"/>
      <c r="DH366" s="230"/>
      <c r="DI366" s="230"/>
      <c r="DJ366" s="162"/>
      <c r="DK366" s="162"/>
      <c r="DL366" s="75"/>
      <c r="DM366" s="88"/>
      <c r="DN366" s="88"/>
      <c r="DO366" s="88"/>
      <c r="DP366" s="88"/>
      <c r="DQ366" s="88"/>
      <c r="DR366" s="88"/>
      <c r="DS366" s="88"/>
      <c r="DT366" s="88"/>
      <c r="DU366" s="88"/>
      <c r="DV366" s="88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</row>
    <row r="367" spans="1:138" x14ac:dyDescent="0.25">
      <c r="A367" s="147"/>
      <c r="B367" s="147"/>
      <c r="C367" s="160"/>
      <c r="D367" s="160"/>
      <c r="E367" s="169"/>
      <c r="F367" s="229"/>
      <c r="G367" s="165"/>
      <c r="H367" s="165"/>
      <c r="I367" s="163"/>
      <c r="J367" s="163"/>
      <c r="K367" s="162"/>
      <c r="L367" s="162"/>
      <c r="M367" s="162"/>
      <c r="N367" s="230"/>
      <c r="O367" s="230"/>
      <c r="P367" s="162"/>
      <c r="Q367" s="162"/>
      <c r="R367" s="162"/>
      <c r="S367" s="162"/>
      <c r="T367" s="162"/>
      <c r="U367" s="230"/>
      <c r="V367" s="230"/>
      <c r="W367" s="162"/>
      <c r="X367" s="162"/>
      <c r="Y367" s="162"/>
      <c r="Z367" s="162"/>
      <c r="AA367" s="162"/>
      <c r="AB367" s="230"/>
      <c r="AC367" s="230"/>
      <c r="AD367" s="162"/>
      <c r="AE367" s="162"/>
      <c r="AF367" s="162"/>
      <c r="AG367" s="162"/>
      <c r="AH367" s="162"/>
      <c r="AI367" s="230"/>
      <c r="AJ367" s="230"/>
      <c r="AK367" s="162"/>
      <c r="AL367" s="162"/>
      <c r="AM367" s="162"/>
      <c r="AN367" s="162"/>
      <c r="AO367" s="162"/>
      <c r="AP367" s="230"/>
      <c r="AQ367" s="230"/>
      <c r="AR367" s="162"/>
      <c r="AS367" s="162"/>
      <c r="AT367" s="162"/>
      <c r="AU367" s="162"/>
      <c r="AV367" s="162"/>
      <c r="AW367" s="230"/>
      <c r="AX367" s="230"/>
      <c r="AY367" s="162"/>
      <c r="AZ367" s="162"/>
      <c r="BA367" s="162"/>
      <c r="BB367" s="162"/>
      <c r="BC367" s="162"/>
      <c r="BD367" s="230"/>
      <c r="BE367" s="230"/>
      <c r="BF367" s="162"/>
      <c r="BG367" s="162"/>
      <c r="BH367" s="162"/>
      <c r="BI367" s="162"/>
      <c r="BJ367" s="162"/>
      <c r="BK367" s="230"/>
      <c r="BL367" s="230"/>
      <c r="BM367" s="162"/>
      <c r="BN367" s="162"/>
      <c r="BO367" s="162"/>
      <c r="BP367" s="162"/>
      <c r="BQ367" s="162"/>
      <c r="BR367" s="230"/>
      <c r="BS367" s="230"/>
      <c r="BT367" s="162"/>
      <c r="BU367" s="162"/>
      <c r="BV367" s="162"/>
      <c r="BW367" s="162"/>
      <c r="BX367" s="162"/>
      <c r="BY367" s="230"/>
      <c r="BZ367" s="230"/>
      <c r="CA367" s="162"/>
      <c r="CB367" s="162"/>
      <c r="CC367" s="162"/>
      <c r="CD367" s="162"/>
      <c r="CE367" s="162"/>
      <c r="CF367" s="230"/>
      <c r="CG367" s="230"/>
      <c r="CH367" s="162"/>
      <c r="CI367" s="162"/>
      <c r="CJ367" s="162"/>
      <c r="CK367" s="162"/>
      <c r="CL367" s="162"/>
      <c r="CM367" s="230"/>
      <c r="CN367" s="230"/>
      <c r="CO367" s="162"/>
      <c r="CP367" s="162"/>
      <c r="CQ367" s="162"/>
      <c r="CR367" s="162"/>
      <c r="CS367" s="162"/>
      <c r="CT367" s="230"/>
      <c r="CU367" s="230"/>
      <c r="CV367" s="162"/>
      <c r="CW367" s="162"/>
      <c r="CX367" s="162"/>
      <c r="CY367" s="162"/>
      <c r="CZ367" s="162"/>
      <c r="DA367" s="230"/>
      <c r="DB367" s="230"/>
      <c r="DC367" s="162"/>
      <c r="DD367" s="162"/>
      <c r="DE367" s="162"/>
      <c r="DF367" s="162"/>
      <c r="DG367" s="162"/>
      <c r="DH367" s="230"/>
      <c r="DI367" s="230"/>
      <c r="DJ367" s="162"/>
      <c r="DK367" s="162"/>
      <c r="DL367" s="146"/>
      <c r="DM367" s="380"/>
      <c r="DN367" s="372"/>
      <c r="DO367" s="372"/>
      <c r="DP367" s="372"/>
      <c r="DQ367" s="372"/>
      <c r="DR367" s="372"/>
      <c r="DS367" s="372"/>
      <c r="DT367" s="88"/>
      <c r="DU367" s="88"/>
      <c r="DV367" s="88"/>
      <c r="DW367" s="146"/>
      <c r="DX367" s="146"/>
      <c r="DY367" s="146"/>
      <c r="DZ367" s="146"/>
      <c r="EA367" s="146"/>
      <c r="EB367" s="146"/>
      <c r="EC367" s="146"/>
      <c r="ED367" s="146"/>
      <c r="EE367" s="146"/>
      <c r="EF367" s="146"/>
      <c r="EG367" s="146"/>
      <c r="EH367" s="146"/>
    </row>
    <row r="368" spans="1:138" x14ac:dyDescent="0.25">
      <c r="A368" s="147"/>
      <c r="B368" s="147"/>
      <c r="C368" s="160"/>
      <c r="D368" s="160"/>
      <c r="E368" s="169"/>
      <c r="F368" s="229"/>
      <c r="G368" s="165"/>
      <c r="H368" s="165"/>
      <c r="I368" s="163"/>
      <c r="J368" s="163"/>
      <c r="K368" s="162"/>
      <c r="L368" s="162"/>
      <c r="M368" s="162"/>
      <c r="N368" s="230"/>
      <c r="O368" s="230"/>
      <c r="P368" s="162"/>
      <c r="Q368" s="162"/>
      <c r="R368" s="162"/>
      <c r="S368" s="162"/>
      <c r="T368" s="162"/>
      <c r="U368" s="230"/>
      <c r="V368" s="230"/>
      <c r="W368" s="162"/>
      <c r="X368" s="162"/>
      <c r="Y368" s="162"/>
      <c r="Z368" s="162"/>
      <c r="AA368" s="162"/>
      <c r="AB368" s="230"/>
      <c r="AC368" s="230"/>
      <c r="AD368" s="162"/>
      <c r="AE368" s="162"/>
      <c r="AF368" s="162"/>
      <c r="AG368" s="162"/>
      <c r="AH368" s="162"/>
      <c r="AI368" s="230"/>
      <c r="AJ368" s="230"/>
      <c r="AK368" s="162"/>
      <c r="AL368" s="162"/>
      <c r="AM368" s="162"/>
      <c r="AN368" s="162"/>
      <c r="AO368" s="162"/>
      <c r="AP368" s="230"/>
      <c r="AQ368" s="230"/>
      <c r="AR368" s="162"/>
      <c r="AS368" s="162"/>
      <c r="AT368" s="162"/>
      <c r="AU368" s="162"/>
      <c r="AV368" s="162"/>
      <c r="AW368" s="230"/>
      <c r="AX368" s="230"/>
      <c r="AY368" s="162"/>
      <c r="AZ368" s="162"/>
      <c r="BA368" s="162"/>
      <c r="BB368" s="162"/>
      <c r="BC368" s="162"/>
      <c r="BD368" s="230"/>
      <c r="BE368" s="230"/>
      <c r="BF368" s="162"/>
      <c r="BG368" s="162"/>
      <c r="BH368" s="162"/>
      <c r="BI368" s="162"/>
      <c r="BJ368" s="162"/>
      <c r="BK368" s="230"/>
      <c r="BL368" s="230"/>
      <c r="BM368" s="162"/>
      <c r="BN368" s="162"/>
      <c r="BO368" s="162"/>
      <c r="BP368" s="162"/>
      <c r="BQ368" s="162"/>
      <c r="BR368" s="230"/>
      <c r="BS368" s="230"/>
      <c r="BT368" s="162"/>
      <c r="BU368" s="162"/>
      <c r="BV368" s="162"/>
      <c r="BW368" s="162"/>
      <c r="BX368" s="162"/>
      <c r="BY368" s="230"/>
      <c r="BZ368" s="230"/>
      <c r="CA368" s="162"/>
      <c r="CB368" s="162"/>
      <c r="CC368" s="162"/>
      <c r="CD368" s="162"/>
      <c r="CE368" s="162"/>
      <c r="CF368" s="230"/>
      <c r="CG368" s="230"/>
      <c r="CH368" s="162"/>
      <c r="CI368" s="162"/>
      <c r="CJ368" s="162"/>
      <c r="CK368" s="162"/>
      <c r="CL368" s="162"/>
      <c r="CM368" s="230"/>
      <c r="CN368" s="230"/>
      <c r="CO368" s="162"/>
      <c r="CP368" s="162"/>
      <c r="CQ368" s="162"/>
      <c r="CR368" s="162"/>
      <c r="CS368" s="162"/>
      <c r="CT368" s="230"/>
      <c r="CU368" s="230"/>
      <c r="CV368" s="162"/>
      <c r="CW368" s="162"/>
      <c r="CX368" s="162"/>
      <c r="CY368" s="162"/>
      <c r="CZ368" s="162"/>
      <c r="DA368" s="230"/>
      <c r="DB368" s="230"/>
      <c r="DC368" s="162"/>
      <c r="DD368" s="162"/>
      <c r="DE368" s="162"/>
      <c r="DF368" s="162"/>
      <c r="DG368" s="162"/>
      <c r="DH368" s="230"/>
      <c r="DI368" s="230"/>
      <c r="DJ368" s="162"/>
      <c r="DK368" s="162"/>
      <c r="DL368" s="146"/>
      <c r="DM368" s="380"/>
      <c r="DN368" s="372"/>
      <c r="DO368" s="372"/>
      <c r="DP368" s="372"/>
      <c r="DQ368" s="372"/>
      <c r="DR368" s="372"/>
      <c r="DS368" s="372"/>
      <c r="DT368" s="89"/>
      <c r="DU368" s="89"/>
      <c r="DV368" s="89"/>
      <c r="DW368" s="146"/>
      <c r="DX368" s="146"/>
      <c r="DY368" s="146"/>
      <c r="DZ368" s="146"/>
      <c r="EA368" s="146"/>
      <c r="EB368" s="146"/>
      <c r="EC368" s="146"/>
      <c r="ED368" s="146"/>
      <c r="EE368" s="146"/>
      <c r="EF368" s="146"/>
      <c r="EG368" s="146"/>
      <c r="EH368" s="146"/>
    </row>
    <row r="369" spans="1:138" x14ac:dyDescent="0.25">
      <c r="A369" s="147"/>
      <c r="B369" s="147"/>
      <c r="C369" s="160"/>
      <c r="D369" s="160"/>
      <c r="E369" s="169"/>
      <c r="F369" s="229"/>
      <c r="G369" s="165"/>
      <c r="H369" s="165"/>
      <c r="I369" s="163"/>
      <c r="J369" s="163"/>
      <c r="K369" s="162"/>
      <c r="L369" s="162"/>
      <c r="M369" s="162"/>
      <c r="N369" s="230"/>
      <c r="O369" s="230"/>
      <c r="P369" s="162"/>
      <c r="Q369" s="162"/>
      <c r="R369" s="162"/>
      <c r="S369" s="162"/>
      <c r="T369" s="162"/>
      <c r="U369" s="230"/>
      <c r="V369" s="230"/>
      <c r="W369" s="162"/>
      <c r="X369" s="162"/>
      <c r="Y369" s="162"/>
      <c r="Z369" s="162"/>
      <c r="AA369" s="162"/>
      <c r="AB369" s="230"/>
      <c r="AC369" s="230"/>
      <c r="AD369" s="162"/>
      <c r="AE369" s="162"/>
      <c r="AF369" s="162"/>
      <c r="AG369" s="162"/>
      <c r="AH369" s="162"/>
      <c r="AI369" s="230"/>
      <c r="AJ369" s="230"/>
      <c r="AK369" s="162"/>
      <c r="AL369" s="162"/>
      <c r="AM369" s="162"/>
      <c r="AN369" s="162"/>
      <c r="AO369" s="162"/>
      <c r="AP369" s="230"/>
      <c r="AQ369" s="230"/>
      <c r="AR369" s="162"/>
      <c r="AS369" s="162"/>
      <c r="AT369" s="162"/>
      <c r="AU369" s="162"/>
      <c r="AV369" s="162"/>
      <c r="AW369" s="230"/>
      <c r="AX369" s="230"/>
      <c r="AY369" s="162"/>
      <c r="AZ369" s="162"/>
      <c r="BA369" s="162"/>
      <c r="BB369" s="162"/>
      <c r="BC369" s="162"/>
      <c r="BD369" s="230"/>
      <c r="BE369" s="230"/>
      <c r="BF369" s="162"/>
      <c r="BG369" s="162"/>
      <c r="BH369" s="162"/>
      <c r="BI369" s="162"/>
      <c r="BJ369" s="162"/>
      <c r="BK369" s="230"/>
      <c r="BL369" s="230"/>
      <c r="BM369" s="162"/>
      <c r="BN369" s="162"/>
      <c r="BO369" s="162"/>
      <c r="BP369" s="162"/>
      <c r="BQ369" s="162"/>
      <c r="BR369" s="230"/>
      <c r="BS369" s="230"/>
      <c r="BT369" s="162"/>
      <c r="BU369" s="162"/>
      <c r="BV369" s="162"/>
      <c r="BW369" s="162"/>
      <c r="BX369" s="162"/>
      <c r="BY369" s="230"/>
      <c r="BZ369" s="230"/>
      <c r="CA369" s="162"/>
      <c r="CB369" s="162"/>
      <c r="CC369" s="162"/>
      <c r="CD369" s="162"/>
      <c r="CE369" s="162"/>
      <c r="CF369" s="230"/>
      <c r="CG369" s="230"/>
      <c r="CH369" s="162"/>
      <c r="CI369" s="162"/>
      <c r="CJ369" s="162"/>
      <c r="CK369" s="162"/>
      <c r="CL369" s="162"/>
      <c r="CM369" s="230"/>
      <c r="CN369" s="230"/>
      <c r="CO369" s="162"/>
      <c r="CP369" s="162"/>
      <c r="CQ369" s="162"/>
      <c r="CR369" s="162"/>
      <c r="CS369" s="162"/>
      <c r="CT369" s="230"/>
      <c r="CU369" s="230"/>
      <c r="CV369" s="162"/>
      <c r="CW369" s="162"/>
      <c r="CX369" s="162"/>
      <c r="CY369" s="162"/>
      <c r="CZ369" s="162"/>
      <c r="DA369" s="230"/>
      <c r="DB369" s="230"/>
      <c r="DC369" s="162"/>
      <c r="DD369" s="162"/>
      <c r="DE369" s="162"/>
      <c r="DF369" s="162"/>
      <c r="DG369" s="162"/>
      <c r="DH369" s="230"/>
      <c r="DI369" s="230"/>
      <c r="DJ369" s="162"/>
      <c r="DK369" s="162"/>
      <c r="DL369" s="146"/>
      <c r="DM369" s="88"/>
      <c r="DN369" s="88"/>
      <c r="DO369" s="88"/>
      <c r="DP369" s="88"/>
      <c r="DQ369" s="88"/>
      <c r="DR369" s="88"/>
      <c r="DS369" s="88"/>
      <c r="DT369" s="88"/>
      <c r="DU369" s="88"/>
      <c r="DV369" s="88"/>
      <c r="DW369" s="146"/>
      <c r="DX369" s="146"/>
      <c r="DY369" s="146"/>
      <c r="DZ369" s="146"/>
      <c r="EA369" s="146"/>
      <c r="EB369" s="146"/>
      <c r="EC369" s="146"/>
      <c r="ED369" s="146"/>
      <c r="EE369" s="146"/>
      <c r="EF369" s="146"/>
      <c r="EG369" s="146"/>
      <c r="EH369" s="146"/>
    </row>
    <row r="370" spans="1:138" x14ac:dyDescent="0.25">
      <c r="A370" s="147"/>
      <c r="B370" s="147"/>
      <c r="C370" s="160"/>
      <c r="D370" s="160"/>
      <c r="E370" s="169"/>
      <c r="F370" s="229"/>
      <c r="G370" s="165"/>
      <c r="H370" s="165"/>
      <c r="I370" s="163"/>
      <c r="J370" s="163"/>
      <c r="K370" s="162"/>
      <c r="L370" s="162"/>
      <c r="M370" s="162"/>
      <c r="N370" s="230"/>
      <c r="O370" s="230"/>
      <c r="P370" s="162"/>
      <c r="Q370" s="162"/>
      <c r="R370" s="162"/>
      <c r="S370" s="162"/>
      <c r="T370" s="162"/>
      <c r="U370" s="230"/>
      <c r="V370" s="230"/>
      <c r="W370" s="162"/>
      <c r="X370" s="162"/>
      <c r="Y370" s="162"/>
      <c r="Z370" s="162"/>
      <c r="AA370" s="162"/>
      <c r="AB370" s="230"/>
      <c r="AC370" s="230"/>
      <c r="AD370" s="162"/>
      <c r="AE370" s="162"/>
      <c r="AF370" s="162"/>
      <c r="AG370" s="162"/>
      <c r="AH370" s="162"/>
      <c r="AI370" s="230"/>
      <c r="AJ370" s="230"/>
      <c r="AK370" s="162"/>
      <c r="AL370" s="162"/>
      <c r="AM370" s="162"/>
      <c r="AN370" s="162"/>
      <c r="AO370" s="162"/>
      <c r="AP370" s="230"/>
      <c r="AQ370" s="230"/>
      <c r="AR370" s="162"/>
      <c r="AS370" s="162"/>
      <c r="AT370" s="162"/>
      <c r="AU370" s="162"/>
      <c r="AV370" s="162"/>
      <c r="AW370" s="230"/>
      <c r="AX370" s="230"/>
      <c r="AY370" s="162"/>
      <c r="AZ370" s="162"/>
      <c r="BA370" s="162"/>
      <c r="BB370" s="162"/>
      <c r="BC370" s="162"/>
      <c r="BD370" s="230"/>
      <c r="BE370" s="230"/>
      <c r="BF370" s="162"/>
      <c r="BG370" s="162"/>
      <c r="BH370" s="162"/>
      <c r="BI370" s="162"/>
      <c r="BJ370" s="162"/>
      <c r="BK370" s="230"/>
      <c r="BL370" s="230"/>
      <c r="BM370" s="162"/>
      <c r="BN370" s="162"/>
      <c r="BO370" s="162"/>
      <c r="BP370" s="162"/>
      <c r="BQ370" s="162"/>
      <c r="BR370" s="230"/>
      <c r="BS370" s="230"/>
      <c r="BT370" s="162"/>
      <c r="BU370" s="162"/>
      <c r="BV370" s="162"/>
      <c r="BW370" s="162"/>
      <c r="BX370" s="162"/>
      <c r="BY370" s="230"/>
      <c r="BZ370" s="230"/>
      <c r="CA370" s="162"/>
      <c r="CB370" s="162"/>
      <c r="CC370" s="162"/>
      <c r="CD370" s="162"/>
      <c r="CE370" s="162"/>
      <c r="CF370" s="230"/>
      <c r="CG370" s="230"/>
      <c r="CH370" s="162"/>
      <c r="CI370" s="162"/>
      <c r="CJ370" s="162"/>
      <c r="CK370" s="162"/>
      <c r="CL370" s="162"/>
      <c r="CM370" s="230"/>
      <c r="CN370" s="230"/>
      <c r="CO370" s="162"/>
      <c r="CP370" s="162"/>
      <c r="CQ370" s="162"/>
      <c r="CR370" s="162"/>
      <c r="CS370" s="162"/>
      <c r="CT370" s="230"/>
      <c r="CU370" s="230"/>
      <c r="CV370" s="162"/>
      <c r="CW370" s="162"/>
      <c r="CX370" s="162"/>
      <c r="CY370" s="162"/>
      <c r="CZ370" s="162"/>
      <c r="DA370" s="230"/>
      <c r="DB370" s="230"/>
      <c r="DC370" s="162"/>
      <c r="DD370" s="162"/>
      <c r="DE370" s="162"/>
      <c r="DF370" s="162"/>
      <c r="DG370" s="162"/>
      <c r="DH370" s="230"/>
      <c r="DI370" s="230"/>
      <c r="DJ370" s="162"/>
      <c r="DK370" s="162"/>
      <c r="DL370" s="146"/>
      <c r="DM370" s="371"/>
      <c r="DN370" s="372"/>
      <c r="DO370" s="372"/>
      <c r="DP370" s="372"/>
      <c r="DQ370" s="372"/>
      <c r="DR370" s="372"/>
      <c r="DS370" s="372"/>
      <c r="DT370" s="372"/>
      <c r="DU370" s="372"/>
      <c r="DV370" s="372"/>
      <c r="DW370" s="146"/>
      <c r="DX370" s="146"/>
      <c r="DY370" s="146"/>
      <c r="DZ370" s="146"/>
      <c r="EA370" s="146"/>
      <c r="EB370" s="146"/>
      <c r="EC370" s="146"/>
      <c r="ED370" s="146"/>
      <c r="EE370" s="146"/>
      <c r="EF370" s="146"/>
      <c r="EG370" s="146"/>
      <c r="EH370" s="146"/>
    </row>
    <row r="371" spans="1:138" x14ac:dyDescent="0.25">
      <c r="A371" s="147"/>
      <c r="B371" s="147"/>
      <c r="C371" s="160"/>
      <c r="D371" s="160"/>
      <c r="E371" s="169"/>
      <c r="F371" s="229"/>
      <c r="G371" s="165"/>
      <c r="H371" s="165"/>
      <c r="I371" s="163"/>
      <c r="J371" s="163"/>
      <c r="K371" s="162"/>
      <c r="L371" s="162"/>
      <c r="M371" s="162"/>
      <c r="N371" s="230"/>
      <c r="O371" s="230"/>
      <c r="P371" s="162"/>
      <c r="Q371" s="162"/>
      <c r="R371" s="162"/>
      <c r="S371" s="162"/>
      <c r="T371" s="162"/>
      <c r="U371" s="230"/>
      <c r="V371" s="230"/>
      <c r="W371" s="162"/>
      <c r="X371" s="162"/>
      <c r="Y371" s="162"/>
      <c r="Z371" s="162"/>
      <c r="AA371" s="162"/>
      <c r="AB371" s="230"/>
      <c r="AC371" s="230"/>
      <c r="AD371" s="162"/>
      <c r="AE371" s="162"/>
      <c r="AF371" s="162"/>
      <c r="AG371" s="162"/>
      <c r="AH371" s="162"/>
      <c r="AI371" s="230"/>
      <c r="AJ371" s="230"/>
      <c r="AK371" s="162"/>
      <c r="AL371" s="162"/>
      <c r="AM371" s="162"/>
      <c r="AN371" s="162"/>
      <c r="AO371" s="162"/>
      <c r="AP371" s="230"/>
      <c r="AQ371" s="230"/>
      <c r="AR371" s="162"/>
      <c r="AS371" s="162"/>
      <c r="AT371" s="162"/>
      <c r="AU371" s="162"/>
      <c r="AV371" s="162"/>
      <c r="AW371" s="230"/>
      <c r="AX371" s="230"/>
      <c r="AY371" s="162"/>
      <c r="AZ371" s="162"/>
      <c r="BA371" s="162"/>
      <c r="BB371" s="162"/>
      <c r="BC371" s="162"/>
      <c r="BD371" s="230"/>
      <c r="BE371" s="230"/>
      <c r="BF371" s="162"/>
      <c r="BG371" s="162"/>
      <c r="BH371" s="162"/>
      <c r="BI371" s="162"/>
      <c r="BJ371" s="162"/>
      <c r="BK371" s="230"/>
      <c r="BL371" s="230"/>
      <c r="BM371" s="162"/>
      <c r="BN371" s="162"/>
      <c r="BO371" s="162"/>
      <c r="BP371" s="162"/>
      <c r="BQ371" s="162"/>
      <c r="BR371" s="230"/>
      <c r="BS371" s="230"/>
      <c r="BT371" s="162"/>
      <c r="BU371" s="162"/>
      <c r="BV371" s="162"/>
      <c r="BW371" s="162"/>
      <c r="BX371" s="162"/>
      <c r="BY371" s="230"/>
      <c r="BZ371" s="230"/>
      <c r="CA371" s="162"/>
      <c r="CB371" s="162"/>
      <c r="CC371" s="162"/>
      <c r="CD371" s="162"/>
      <c r="CE371" s="162"/>
      <c r="CF371" s="230"/>
      <c r="CG371" s="230"/>
      <c r="CH371" s="162"/>
      <c r="CI371" s="162"/>
      <c r="CJ371" s="162"/>
      <c r="CK371" s="162"/>
      <c r="CL371" s="162"/>
      <c r="CM371" s="230"/>
      <c r="CN371" s="230"/>
      <c r="CO371" s="162"/>
      <c r="CP371" s="162"/>
      <c r="CQ371" s="162"/>
      <c r="CR371" s="162"/>
      <c r="CS371" s="162"/>
      <c r="CT371" s="230"/>
      <c r="CU371" s="230"/>
      <c r="CV371" s="162"/>
      <c r="CW371" s="162"/>
      <c r="CX371" s="162"/>
      <c r="CY371" s="162"/>
      <c r="CZ371" s="162"/>
      <c r="DA371" s="230"/>
      <c r="DB371" s="230"/>
      <c r="DC371" s="162"/>
      <c r="DD371" s="162"/>
      <c r="DE371" s="162"/>
      <c r="DF371" s="162"/>
      <c r="DG371" s="162"/>
      <c r="DH371" s="230"/>
      <c r="DI371" s="230"/>
      <c r="DJ371" s="162"/>
      <c r="DK371" s="162"/>
      <c r="DL371" s="146"/>
      <c r="DM371" s="371"/>
      <c r="DN371" s="372"/>
      <c r="DO371" s="372"/>
      <c r="DP371" s="372"/>
      <c r="DQ371" s="372"/>
      <c r="DR371" s="372"/>
      <c r="DS371" s="372"/>
      <c r="DT371" s="372"/>
      <c r="DU371" s="372"/>
      <c r="DV371" s="372"/>
      <c r="DW371" s="146"/>
      <c r="DX371" s="146"/>
      <c r="DY371" s="146"/>
      <c r="DZ371" s="146"/>
      <c r="EA371" s="146"/>
      <c r="EB371" s="146"/>
      <c r="EC371" s="146"/>
      <c r="ED371" s="146"/>
      <c r="EE371" s="146"/>
      <c r="EF371" s="146"/>
      <c r="EG371" s="146"/>
      <c r="EH371" s="146"/>
    </row>
    <row r="372" spans="1:138" x14ac:dyDescent="0.25">
      <c r="A372" s="147"/>
      <c r="B372" s="147"/>
      <c r="C372" s="160"/>
      <c r="D372" s="160"/>
      <c r="E372" s="169"/>
      <c r="F372" s="229"/>
      <c r="G372" s="165"/>
      <c r="H372" s="165"/>
      <c r="I372" s="163"/>
      <c r="J372" s="163"/>
      <c r="K372" s="162"/>
      <c r="L372" s="162"/>
      <c r="M372" s="162"/>
      <c r="N372" s="230"/>
      <c r="O372" s="230"/>
      <c r="P372" s="162"/>
      <c r="Q372" s="162"/>
      <c r="R372" s="162"/>
      <c r="S372" s="162"/>
      <c r="T372" s="162"/>
      <c r="U372" s="230"/>
      <c r="V372" s="230"/>
      <c r="W372" s="162"/>
      <c r="X372" s="162"/>
      <c r="Y372" s="162"/>
      <c r="Z372" s="162"/>
      <c r="AA372" s="162"/>
      <c r="AB372" s="230"/>
      <c r="AC372" s="230"/>
      <c r="AD372" s="162"/>
      <c r="AE372" s="162"/>
      <c r="AF372" s="162"/>
      <c r="AG372" s="162"/>
      <c r="AH372" s="162"/>
      <c r="AI372" s="230"/>
      <c r="AJ372" s="230"/>
      <c r="AK372" s="162"/>
      <c r="AL372" s="162"/>
      <c r="AM372" s="162"/>
      <c r="AN372" s="162"/>
      <c r="AO372" s="162"/>
      <c r="AP372" s="230"/>
      <c r="AQ372" s="230"/>
      <c r="AR372" s="162"/>
      <c r="AS372" s="162"/>
      <c r="AT372" s="162"/>
      <c r="AU372" s="162"/>
      <c r="AV372" s="162"/>
      <c r="AW372" s="230"/>
      <c r="AX372" s="230"/>
      <c r="AY372" s="162"/>
      <c r="AZ372" s="162"/>
      <c r="BA372" s="162"/>
      <c r="BB372" s="162"/>
      <c r="BC372" s="162"/>
      <c r="BD372" s="230"/>
      <c r="BE372" s="230"/>
      <c r="BF372" s="162"/>
      <c r="BG372" s="162"/>
      <c r="BH372" s="162"/>
      <c r="BI372" s="162"/>
      <c r="BJ372" s="162"/>
      <c r="BK372" s="230"/>
      <c r="BL372" s="230"/>
      <c r="BM372" s="162"/>
      <c r="BN372" s="162"/>
      <c r="BO372" s="162"/>
      <c r="BP372" s="162"/>
      <c r="BQ372" s="162"/>
      <c r="BR372" s="230"/>
      <c r="BS372" s="230"/>
      <c r="BT372" s="162"/>
      <c r="BU372" s="162"/>
      <c r="BV372" s="162"/>
      <c r="BW372" s="162"/>
      <c r="BX372" s="162"/>
      <c r="BY372" s="230"/>
      <c r="BZ372" s="230"/>
      <c r="CA372" s="162"/>
      <c r="CB372" s="162"/>
      <c r="CC372" s="162"/>
      <c r="CD372" s="162"/>
      <c r="CE372" s="162"/>
      <c r="CF372" s="230"/>
      <c r="CG372" s="230"/>
      <c r="CH372" s="162"/>
      <c r="CI372" s="162"/>
      <c r="CJ372" s="162"/>
      <c r="CK372" s="162"/>
      <c r="CL372" s="162"/>
      <c r="CM372" s="230"/>
      <c r="CN372" s="230"/>
      <c r="CO372" s="162"/>
      <c r="CP372" s="162"/>
      <c r="CQ372" s="162"/>
      <c r="CR372" s="162"/>
      <c r="CS372" s="162"/>
      <c r="CT372" s="230"/>
      <c r="CU372" s="230"/>
      <c r="CV372" s="162"/>
      <c r="CW372" s="162"/>
      <c r="CX372" s="162"/>
      <c r="CY372" s="162"/>
      <c r="CZ372" s="162"/>
      <c r="DA372" s="230"/>
      <c r="DB372" s="230"/>
      <c r="DC372" s="162"/>
      <c r="DD372" s="162"/>
      <c r="DE372" s="162"/>
      <c r="DF372" s="162"/>
      <c r="DG372" s="162"/>
      <c r="DH372" s="230"/>
      <c r="DI372" s="230"/>
      <c r="DJ372" s="162"/>
      <c r="DK372" s="162"/>
      <c r="DL372" s="226"/>
      <c r="DM372" s="380"/>
      <c r="DN372" s="372"/>
      <c r="DO372" s="372"/>
      <c r="DP372" s="372"/>
      <c r="DQ372" s="372"/>
      <c r="DR372" s="372"/>
      <c r="DS372" s="372"/>
      <c r="DT372" s="88"/>
      <c r="DU372" s="88"/>
      <c r="DV372" s="88"/>
      <c r="DW372" s="226"/>
      <c r="DX372" s="226"/>
      <c r="DY372" s="226"/>
      <c r="DZ372" s="226"/>
      <c r="EA372" s="226"/>
      <c r="EB372" s="226"/>
      <c r="EC372" s="226"/>
      <c r="ED372" s="226"/>
      <c r="EE372" s="226"/>
      <c r="EF372" s="226"/>
      <c r="EG372" s="226"/>
      <c r="EH372" s="226"/>
    </row>
    <row r="373" spans="1:138" x14ac:dyDescent="0.25">
      <c r="A373" s="147"/>
      <c r="B373" s="147"/>
      <c r="C373" s="160"/>
      <c r="D373" s="160"/>
      <c r="E373" s="169"/>
      <c r="F373" s="229"/>
      <c r="G373" s="165"/>
      <c r="H373" s="165"/>
      <c r="I373" s="163"/>
      <c r="J373" s="163"/>
      <c r="K373" s="162"/>
      <c r="L373" s="162"/>
      <c r="M373" s="162"/>
      <c r="N373" s="230"/>
      <c r="O373" s="230"/>
      <c r="P373" s="162"/>
      <c r="Q373" s="162"/>
      <c r="R373" s="162"/>
      <c r="S373" s="162"/>
      <c r="T373" s="162"/>
      <c r="U373" s="230"/>
      <c r="V373" s="230"/>
      <c r="W373" s="162"/>
      <c r="X373" s="162"/>
      <c r="Y373" s="162"/>
      <c r="Z373" s="162"/>
      <c r="AA373" s="162"/>
      <c r="AB373" s="230"/>
      <c r="AC373" s="230"/>
      <c r="AD373" s="162"/>
      <c r="AE373" s="162"/>
      <c r="AF373" s="162"/>
      <c r="AG373" s="162"/>
      <c r="AH373" s="162"/>
      <c r="AI373" s="230"/>
      <c r="AJ373" s="230"/>
      <c r="AK373" s="162"/>
      <c r="AL373" s="162"/>
      <c r="AM373" s="162"/>
      <c r="AN373" s="162"/>
      <c r="AO373" s="162"/>
      <c r="AP373" s="230"/>
      <c r="AQ373" s="230"/>
      <c r="AR373" s="162"/>
      <c r="AS373" s="162"/>
      <c r="AT373" s="162"/>
      <c r="AU373" s="162"/>
      <c r="AV373" s="162"/>
      <c r="AW373" s="230"/>
      <c r="AX373" s="230"/>
      <c r="AY373" s="162"/>
      <c r="AZ373" s="162"/>
      <c r="BA373" s="162"/>
      <c r="BB373" s="162"/>
      <c r="BC373" s="162"/>
      <c r="BD373" s="230"/>
      <c r="BE373" s="230"/>
      <c r="BF373" s="162"/>
      <c r="BG373" s="162"/>
      <c r="BH373" s="162"/>
      <c r="BI373" s="162"/>
      <c r="BJ373" s="162"/>
      <c r="BK373" s="230"/>
      <c r="BL373" s="230"/>
      <c r="BM373" s="162"/>
      <c r="BN373" s="162"/>
      <c r="BO373" s="162"/>
      <c r="BP373" s="162"/>
      <c r="BQ373" s="162"/>
      <c r="BR373" s="230"/>
      <c r="BS373" s="230"/>
      <c r="BT373" s="162"/>
      <c r="BU373" s="162"/>
      <c r="BV373" s="162"/>
      <c r="BW373" s="162"/>
      <c r="BX373" s="162"/>
      <c r="BY373" s="230"/>
      <c r="BZ373" s="230"/>
      <c r="CA373" s="162"/>
      <c r="CB373" s="162"/>
      <c r="CC373" s="162"/>
      <c r="CD373" s="162"/>
      <c r="CE373" s="162"/>
      <c r="CF373" s="230"/>
      <c r="CG373" s="230"/>
      <c r="CH373" s="162"/>
      <c r="CI373" s="162"/>
      <c r="CJ373" s="162"/>
      <c r="CK373" s="162"/>
      <c r="CL373" s="162"/>
      <c r="CM373" s="230"/>
      <c r="CN373" s="230"/>
      <c r="CO373" s="162"/>
      <c r="CP373" s="162"/>
      <c r="CQ373" s="162"/>
      <c r="CR373" s="162"/>
      <c r="CS373" s="162"/>
      <c r="CT373" s="230"/>
      <c r="CU373" s="230"/>
      <c r="CV373" s="162"/>
      <c r="CW373" s="162"/>
      <c r="CX373" s="162"/>
      <c r="CY373" s="162"/>
      <c r="CZ373" s="162"/>
      <c r="DA373" s="230"/>
      <c r="DB373" s="230"/>
      <c r="DC373" s="162"/>
      <c r="DD373" s="162"/>
      <c r="DE373" s="162"/>
      <c r="DF373" s="162"/>
      <c r="DG373" s="162"/>
      <c r="DH373" s="230"/>
      <c r="DI373" s="230"/>
      <c r="DJ373" s="162"/>
      <c r="DK373" s="162"/>
      <c r="DL373" s="146"/>
      <c r="DM373" s="380"/>
      <c r="DN373" s="372"/>
      <c r="DO373" s="372"/>
      <c r="DP373" s="372"/>
      <c r="DQ373" s="372"/>
      <c r="DR373" s="372"/>
      <c r="DS373" s="372"/>
      <c r="DT373" s="88"/>
      <c r="DU373" s="88"/>
      <c r="DV373" s="88"/>
      <c r="DW373" s="146"/>
      <c r="DX373" s="146"/>
      <c r="DY373" s="146"/>
      <c r="DZ373" s="146"/>
      <c r="EA373" s="146"/>
      <c r="EB373" s="146"/>
      <c r="EC373" s="146"/>
      <c r="ED373" s="146"/>
      <c r="EE373" s="146"/>
      <c r="EF373" s="146"/>
      <c r="EG373" s="146"/>
      <c r="EH373" s="146"/>
    </row>
    <row r="374" spans="1:138" x14ac:dyDescent="0.25">
      <c r="A374" s="147"/>
      <c r="B374" s="147"/>
      <c r="C374" s="160"/>
      <c r="D374" s="160"/>
      <c r="E374" s="169"/>
      <c r="F374" s="229"/>
      <c r="G374" s="165"/>
      <c r="H374" s="165"/>
      <c r="I374" s="163"/>
      <c r="J374" s="163"/>
      <c r="K374" s="162"/>
      <c r="L374" s="162"/>
      <c r="M374" s="162"/>
      <c r="N374" s="230"/>
      <c r="O374" s="230"/>
      <c r="P374" s="162"/>
      <c r="Q374" s="162"/>
      <c r="R374" s="162"/>
      <c r="S374" s="162"/>
      <c r="T374" s="162"/>
      <c r="U374" s="230"/>
      <c r="V374" s="230"/>
      <c r="W374" s="162"/>
      <c r="X374" s="162"/>
      <c r="Y374" s="162"/>
      <c r="Z374" s="162"/>
      <c r="AA374" s="162"/>
      <c r="AB374" s="230"/>
      <c r="AC374" s="230"/>
      <c r="AD374" s="162"/>
      <c r="AE374" s="162"/>
      <c r="AF374" s="162"/>
      <c r="AG374" s="162"/>
      <c r="AH374" s="162"/>
      <c r="AI374" s="230"/>
      <c r="AJ374" s="230"/>
      <c r="AK374" s="162"/>
      <c r="AL374" s="162"/>
      <c r="AM374" s="162"/>
      <c r="AN374" s="162"/>
      <c r="AO374" s="162"/>
      <c r="AP374" s="230"/>
      <c r="AQ374" s="230"/>
      <c r="AR374" s="162"/>
      <c r="AS374" s="162"/>
      <c r="AT374" s="162"/>
      <c r="AU374" s="162"/>
      <c r="AV374" s="162"/>
      <c r="AW374" s="230"/>
      <c r="AX374" s="230"/>
      <c r="AY374" s="162"/>
      <c r="AZ374" s="162"/>
      <c r="BA374" s="162"/>
      <c r="BB374" s="162"/>
      <c r="BC374" s="162"/>
      <c r="BD374" s="230"/>
      <c r="BE374" s="230"/>
      <c r="BF374" s="162"/>
      <c r="BG374" s="162"/>
      <c r="BH374" s="162"/>
      <c r="BI374" s="162"/>
      <c r="BJ374" s="162"/>
      <c r="BK374" s="230"/>
      <c r="BL374" s="230"/>
      <c r="BM374" s="162"/>
      <c r="BN374" s="162"/>
      <c r="BO374" s="162"/>
      <c r="BP374" s="162"/>
      <c r="BQ374" s="162"/>
      <c r="BR374" s="230"/>
      <c r="BS374" s="230"/>
      <c r="BT374" s="162"/>
      <c r="BU374" s="162"/>
      <c r="BV374" s="162"/>
      <c r="BW374" s="162"/>
      <c r="BX374" s="162"/>
      <c r="BY374" s="230"/>
      <c r="BZ374" s="230"/>
      <c r="CA374" s="162"/>
      <c r="CB374" s="162"/>
      <c r="CC374" s="162"/>
      <c r="CD374" s="162"/>
      <c r="CE374" s="162"/>
      <c r="CF374" s="230"/>
      <c r="CG374" s="230"/>
      <c r="CH374" s="162"/>
      <c r="CI374" s="162"/>
      <c r="CJ374" s="162"/>
      <c r="CK374" s="162"/>
      <c r="CL374" s="162"/>
      <c r="CM374" s="230"/>
      <c r="CN374" s="230"/>
      <c r="CO374" s="162"/>
      <c r="CP374" s="162"/>
      <c r="CQ374" s="162"/>
      <c r="CR374" s="162"/>
      <c r="CS374" s="162"/>
      <c r="CT374" s="230"/>
      <c r="CU374" s="230"/>
      <c r="CV374" s="162"/>
      <c r="CW374" s="162"/>
      <c r="CX374" s="162"/>
      <c r="CY374" s="162"/>
      <c r="CZ374" s="162"/>
      <c r="DA374" s="230"/>
      <c r="DB374" s="230"/>
      <c r="DC374" s="162"/>
      <c r="DD374" s="162"/>
      <c r="DE374" s="162"/>
      <c r="DF374" s="162"/>
      <c r="DG374" s="162"/>
      <c r="DH374" s="230"/>
      <c r="DI374" s="230"/>
      <c r="DJ374" s="162"/>
      <c r="DK374" s="162"/>
      <c r="DL374" s="146"/>
      <c r="DM374" s="380"/>
      <c r="DN374" s="372"/>
      <c r="DO374" s="372"/>
      <c r="DP374" s="372"/>
      <c r="DQ374" s="372"/>
      <c r="DR374" s="372"/>
      <c r="DS374" s="372"/>
      <c r="DT374" s="89"/>
      <c r="DU374" s="89"/>
      <c r="DV374" s="89"/>
      <c r="DW374" s="146"/>
      <c r="DX374" s="146"/>
      <c r="DY374" s="146"/>
      <c r="DZ374" s="146"/>
      <c r="EA374" s="146"/>
      <c r="EB374" s="146"/>
      <c r="EC374" s="146"/>
      <c r="ED374" s="146"/>
      <c r="EE374" s="146"/>
      <c r="EF374" s="146"/>
      <c r="EG374" s="146"/>
      <c r="EH374" s="146"/>
    </row>
    <row r="375" spans="1:138" x14ac:dyDescent="0.25">
      <c r="A375" s="147"/>
      <c r="B375" s="147"/>
      <c r="C375" s="160"/>
      <c r="D375" s="160"/>
      <c r="E375" s="169"/>
      <c r="F375" s="229"/>
      <c r="G375" s="165"/>
      <c r="H375" s="165"/>
      <c r="I375" s="163"/>
      <c r="J375" s="163"/>
      <c r="K375" s="162"/>
      <c r="L375" s="162"/>
      <c r="M375" s="162"/>
      <c r="N375" s="230"/>
      <c r="O375" s="230"/>
      <c r="P375" s="162"/>
      <c r="Q375" s="162"/>
      <c r="R375" s="162"/>
      <c r="S375" s="162"/>
      <c r="T375" s="162"/>
      <c r="U375" s="230"/>
      <c r="V375" s="230"/>
      <c r="W375" s="162"/>
      <c r="X375" s="162"/>
      <c r="Y375" s="162"/>
      <c r="Z375" s="162"/>
      <c r="AA375" s="162"/>
      <c r="AB375" s="230"/>
      <c r="AC375" s="230"/>
      <c r="AD375" s="162"/>
      <c r="AE375" s="162"/>
      <c r="AF375" s="162"/>
      <c r="AG375" s="162"/>
      <c r="AH375" s="162"/>
      <c r="AI375" s="230"/>
      <c r="AJ375" s="230"/>
      <c r="AK375" s="162"/>
      <c r="AL375" s="162"/>
      <c r="AM375" s="162"/>
      <c r="AN375" s="162"/>
      <c r="AO375" s="162"/>
      <c r="AP375" s="230"/>
      <c r="AQ375" s="230"/>
      <c r="AR375" s="162"/>
      <c r="AS375" s="162"/>
      <c r="AT375" s="162"/>
      <c r="AU375" s="162"/>
      <c r="AV375" s="162"/>
      <c r="AW375" s="230"/>
      <c r="AX375" s="230"/>
      <c r="AY375" s="162"/>
      <c r="AZ375" s="162"/>
      <c r="BA375" s="162"/>
      <c r="BB375" s="162"/>
      <c r="BC375" s="162"/>
      <c r="BD375" s="230"/>
      <c r="BE375" s="230"/>
      <c r="BF375" s="162"/>
      <c r="BG375" s="162"/>
      <c r="BH375" s="162"/>
      <c r="BI375" s="162"/>
      <c r="BJ375" s="162"/>
      <c r="BK375" s="230"/>
      <c r="BL375" s="230"/>
      <c r="BM375" s="162"/>
      <c r="BN375" s="162"/>
      <c r="BO375" s="162"/>
      <c r="BP375" s="162"/>
      <c r="BQ375" s="162"/>
      <c r="BR375" s="230"/>
      <c r="BS375" s="230"/>
      <c r="BT375" s="162"/>
      <c r="BU375" s="162"/>
      <c r="BV375" s="162"/>
      <c r="BW375" s="162"/>
      <c r="BX375" s="162"/>
      <c r="BY375" s="230"/>
      <c r="BZ375" s="230"/>
      <c r="CA375" s="162"/>
      <c r="CB375" s="162"/>
      <c r="CC375" s="162"/>
      <c r="CD375" s="162"/>
      <c r="CE375" s="162"/>
      <c r="CF375" s="230"/>
      <c r="CG375" s="230"/>
      <c r="CH375" s="162"/>
      <c r="CI375" s="162"/>
      <c r="CJ375" s="162"/>
      <c r="CK375" s="162"/>
      <c r="CL375" s="162"/>
      <c r="CM375" s="230"/>
      <c r="CN375" s="230"/>
      <c r="CO375" s="162"/>
      <c r="CP375" s="162"/>
      <c r="CQ375" s="162"/>
      <c r="CR375" s="162"/>
      <c r="CS375" s="162"/>
      <c r="CT375" s="230"/>
      <c r="CU375" s="230"/>
      <c r="CV375" s="162"/>
      <c r="CW375" s="162"/>
      <c r="CX375" s="162"/>
      <c r="CY375" s="162"/>
      <c r="CZ375" s="162"/>
      <c r="DA375" s="230"/>
      <c r="DB375" s="230"/>
      <c r="DC375" s="162"/>
      <c r="DD375" s="162"/>
      <c r="DE375" s="162"/>
      <c r="DF375" s="162"/>
      <c r="DG375" s="162"/>
      <c r="DH375" s="230"/>
      <c r="DI375" s="230"/>
      <c r="DJ375" s="162"/>
      <c r="DK375" s="162"/>
      <c r="DL375" s="146"/>
      <c r="DM375" s="88"/>
      <c r="DN375" s="88"/>
      <c r="DO375" s="88"/>
      <c r="DP375" s="88"/>
      <c r="DQ375" s="88"/>
      <c r="DR375" s="88"/>
      <c r="DS375" s="88"/>
      <c r="DT375" s="88"/>
      <c r="DU375" s="88"/>
      <c r="DV375" s="88"/>
      <c r="DW375" s="146"/>
      <c r="DX375" s="146"/>
      <c r="DY375" s="146"/>
      <c r="DZ375" s="146"/>
      <c r="EA375" s="146"/>
      <c r="EB375" s="146"/>
      <c r="EC375" s="146"/>
      <c r="ED375" s="146"/>
      <c r="EE375" s="146"/>
      <c r="EF375" s="146"/>
      <c r="EG375" s="146"/>
      <c r="EH375" s="146"/>
    </row>
    <row r="376" spans="1:138" x14ac:dyDescent="0.25">
      <c r="A376" s="147"/>
      <c r="B376" s="147"/>
      <c r="C376" s="160"/>
      <c r="D376" s="160"/>
      <c r="E376" s="169"/>
      <c r="F376" s="229"/>
      <c r="G376" s="165"/>
      <c r="H376" s="165"/>
      <c r="I376" s="163"/>
      <c r="J376" s="163"/>
      <c r="K376" s="162"/>
      <c r="L376" s="162"/>
      <c r="M376" s="162"/>
      <c r="N376" s="230"/>
      <c r="O376" s="230"/>
      <c r="P376" s="162"/>
      <c r="Q376" s="162"/>
      <c r="R376" s="162"/>
      <c r="S376" s="162"/>
      <c r="T376" s="162"/>
      <c r="U376" s="230"/>
      <c r="V376" s="230"/>
      <c r="W376" s="162"/>
      <c r="X376" s="162"/>
      <c r="Y376" s="162"/>
      <c r="Z376" s="162"/>
      <c r="AA376" s="162"/>
      <c r="AB376" s="230"/>
      <c r="AC376" s="230"/>
      <c r="AD376" s="162"/>
      <c r="AE376" s="162"/>
      <c r="AF376" s="162"/>
      <c r="AG376" s="162"/>
      <c r="AH376" s="162"/>
      <c r="AI376" s="230"/>
      <c r="AJ376" s="230"/>
      <c r="AK376" s="162"/>
      <c r="AL376" s="162"/>
      <c r="AM376" s="162"/>
      <c r="AN376" s="162"/>
      <c r="AO376" s="162"/>
      <c r="AP376" s="230"/>
      <c r="AQ376" s="230"/>
      <c r="AR376" s="162"/>
      <c r="AS376" s="162"/>
      <c r="AT376" s="162"/>
      <c r="AU376" s="162"/>
      <c r="AV376" s="162"/>
      <c r="AW376" s="230"/>
      <c r="AX376" s="230"/>
      <c r="AY376" s="162"/>
      <c r="AZ376" s="162"/>
      <c r="BA376" s="162"/>
      <c r="BB376" s="162"/>
      <c r="BC376" s="162"/>
      <c r="BD376" s="230"/>
      <c r="BE376" s="230"/>
      <c r="BF376" s="162"/>
      <c r="BG376" s="162"/>
      <c r="BH376" s="162"/>
      <c r="BI376" s="162"/>
      <c r="BJ376" s="162"/>
      <c r="BK376" s="230"/>
      <c r="BL376" s="230"/>
      <c r="BM376" s="162"/>
      <c r="BN376" s="162"/>
      <c r="BO376" s="162"/>
      <c r="BP376" s="162"/>
      <c r="BQ376" s="162"/>
      <c r="BR376" s="230"/>
      <c r="BS376" s="230"/>
      <c r="BT376" s="162"/>
      <c r="BU376" s="162"/>
      <c r="BV376" s="162"/>
      <c r="BW376" s="162"/>
      <c r="BX376" s="162"/>
      <c r="BY376" s="230"/>
      <c r="BZ376" s="230"/>
      <c r="CA376" s="162"/>
      <c r="CB376" s="162"/>
      <c r="CC376" s="162"/>
      <c r="CD376" s="162"/>
      <c r="CE376" s="162"/>
      <c r="CF376" s="230"/>
      <c r="CG376" s="230"/>
      <c r="CH376" s="162"/>
      <c r="CI376" s="162"/>
      <c r="CJ376" s="162"/>
      <c r="CK376" s="162"/>
      <c r="CL376" s="162"/>
      <c r="CM376" s="230"/>
      <c r="CN376" s="230"/>
      <c r="CO376" s="162"/>
      <c r="CP376" s="162"/>
      <c r="CQ376" s="162"/>
      <c r="CR376" s="162"/>
      <c r="CS376" s="162"/>
      <c r="CT376" s="230"/>
      <c r="CU376" s="230"/>
      <c r="CV376" s="162"/>
      <c r="CW376" s="162"/>
      <c r="CX376" s="162"/>
      <c r="CY376" s="162"/>
      <c r="CZ376" s="162"/>
      <c r="DA376" s="230"/>
      <c r="DB376" s="230"/>
      <c r="DC376" s="162"/>
      <c r="DD376" s="162"/>
      <c r="DE376" s="162"/>
      <c r="DF376" s="162"/>
      <c r="DG376" s="162"/>
      <c r="DH376" s="230"/>
      <c r="DI376" s="230"/>
      <c r="DJ376" s="162"/>
      <c r="DK376" s="162"/>
      <c r="DL376" s="146"/>
      <c r="DM376" s="371"/>
      <c r="DN376" s="372"/>
      <c r="DO376" s="372"/>
      <c r="DP376" s="372"/>
      <c r="DQ376" s="372"/>
      <c r="DR376" s="372"/>
      <c r="DS376" s="372"/>
      <c r="DT376" s="372"/>
      <c r="DU376" s="372"/>
      <c r="DV376" s="372"/>
      <c r="DW376" s="146"/>
      <c r="DX376" s="146"/>
      <c r="DY376" s="146"/>
      <c r="DZ376" s="146"/>
      <c r="EA376" s="146"/>
      <c r="EB376" s="146"/>
      <c r="EC376" s="146"/>
      <c r="ED376" s="146"/>
      <c r="EE376" s="146"/>
      <c r="EF376" s="146"/>
      <c r="EG376" s="146"/>
      <c r="EH376" s="146"/>
    </row>
    <row r="377" spans="1:138" x14ac:dyDescent="0.25">
      <c r="A377" s="147"/>
      <c r="B377" s="147"/>
      <c r="C377" s="160"/>
      <c r="D377" s="160"/>
      <c r="E377" s="169"/>
      <c r="F377" s="229"/>
      <c r="G377" s="165"/>
      <c r="H377" s="165"/>
      <c r="I377" s="163"/>
      <c r="J377" s="163"/>
      <c r="K377" s="162"/>
      <c r="L377" s="162"/>
      <c r="M377" s="162"/>
      <c r="N377" s="230"/>
      <c r="O377" s="230"/>
      <c r="P377" s="162"/>
      <c r="Q377" s="162"/>
      <c r="R377" s="162"/>
      <c r="S377" s="162"/>
      <c r="T377" s="162"/>
      <c r="U377" s="230"/>
      <c r="V377" s="230"/>
      <c r="W377" s="162"/>
      <c r="X377" s="162"/>
      <c r="Y377" s="162"/>
      <c r="Z377" s="162"/>
      <c r="AA377" s="162"/>
      <c r="AB377" s="230"/>
      <c r="AC377" s="230"/>
      <c r="AD377" s="162"/>
      <c r="AE377" s="162"/>
      <c r="AF377" s="162"/>
      <c r="AG377" s="162"/>
      <c r="AH377" s="162"/>
      <c r="AI377" s="230"/>
      <c r="AJ377" s="230"/>
      <c r="AK377" s="162"/>
      <c r="AL377" s="162"/>
      <c r="AM377" s="162"/>
      <c r="AN377" s="162"/>
      <c r="AO377" s="162"/>
      <c r="AP377" s="230"/>
      <c r="AQ377" s="230"/>
      <c r="AR377" s="162"/>
      <c r="AS377" s="162"/>
      <c r="AT377" s="162"/>
      <c r="AU377" s="162"/>
      <c r="AV377" s="162"/>
      <c r="AW377" s="230"/>
      <c r="AX377" s="230"/>
      <c r="AY377" s="162"/>
      <c r="AZ377" s="162"/>
      <c r="BA377" s="162"/>
      <c r="BB377" s="162"/>
      <c r="BC377" s="162"/>
      <c r="BD377" s="230"/>
      <c r="BE377" s="230"/>
      <c r="BF377" s="162"/>
      <c r="BG377" s="162"/>
      <c r="BH377" s="162"/>
      <c r="BI377" s="162"/>
      <c r="BJ377" s="162"/>
      <c r="BK377" s="230"/>
      <c r="BL377" s="230"/>
      <c r="BM377" s="162"/>
      <c r="BN377" s="162"/>
      <c r="BO377" s="162"/>
      <c r="BP377" s="162"/>
      <c r="BQ377" s="162"/>
      <c r="BR377" s="230"/>
      <c r="BS377" s="230"/>
      <c r="BT377" s="162"/>
      <c r="BU377" s="162"/>
      <c r="BV377" s="162"/>
      <c r="BW377" s="162"/>
      <c r="BX377" s="162"/>
      <c r="BY377" s="230"/>
      <c r="BZ377" s="230"/>
      <c r="CA377" s="162"/>
      <c r="CB377" s="162"/>
      <c r="CC377" s="162"/>
      <c r="CD377" s="162"/>
      <c r="CE377" s="162"/>
      <c r="CF377" s="230"/>
      <c r="CG377" s="230"/>
      <c r="CH377" s="162"/>
      <c r="CI377" s="162"/>
      <c r="CJ377" s="162"/>
      <c r="CK377" s="162"/>
      <c r="CL377" s="162"/>
      <c r="CM377" s="230"/>
      <c r="CN377" s="230"/>
      <c r="CO377" s="162"/>
      <c r="CP377" s="162"/>
      <c r="CQ377" s="162"/>
      <c r="CR377" s="162"/>
      <c r="CS377" s="162"/>
      <c r="CT377" s="230"/>
      <c r="CU377" s="230"/>
      <c r="CV377" s="162"/>
      <c r="CW377" s="162"/>
      <c r="CX377" s="162"/>
      <c r="CY377" s="162"/>
      <c r="CZ377" s="162"/>
      <c r="DA377" s="230"/>
      <c r="DB377" s="230"/>
      <c r="DC377" s="162"/>
      <c r="DD377" s="162"/>
      <c r="DE377" s="162"/>
      <c r="DF377" s="162"/>
      <c r="DG377" s="162"/>
      <c r="DH377" s="230"/>
      <c r="DI377" s="230"/>
      <c r="DJ377" s="162"/>
      <c r="DK377" s="162"/>
      <c r="DL377" s="146"/>
      <c r="DM377" s="371"/>
      <c r="DN377" s="372"/>
      <c r="DO377" s="372"/>
      <c r="DP377" s="372"/>
      <c r="DQ377" s="372"/>
      <c r="DR377" s="372"/>
      <c r="DS377" s="372"/>
      <c r="DT377" s="372"/>
      <c r="DU377" s="372"/>
      <c r="DV377" s="372"/>
      <c r="DW377" s="146"/>
      <c r="DX377" s="146"/>
      <c r="DY377" s="146"/>
      <c r="DZ377" s="146"/>
      <c r="EA377" s="146"/>
      <c r="EB377" s="146"/>
      <c r="EC377" s="146"/>
      <c r="ED377" s="146"/>
      <c r="EE377" s="146"/>
      <c r="EF377" s="146"/>
      <c r="EG377" s="146"/>
      <c r="EH377" s="146"/>
    </row>
    <row r="378" spans="1:138" x14ac:dyDescent="0.25">
      <c r="A378" s="147"/>
      <c r="B378" s="147"/>
      <c r="C378" s="160"/>
      <c r="D378" s="160"/>
      <c r="E378" s="169"/>
      <c r="F378" s="229"/>
      <c r="G378" s="165"/>
      <c r="H378" s="165"/>
      <c r="I378" s="163"/>
      <c r="J378" s="163"/>
      <c r="K378" s="162"/>
      <c r="L378" s="162"/>
      <c r="M378" s="162"/>
      <c r="N378" s="230"/>
      <c r="O378" s="230"/>
      <c r="P378" s="162"/>
      <c r="Q378" s="162"/>
      <c r="R378" s="162"/>
      <c r="S378" s="162"/>
      <c r="T378" s="162"/>
      <c r="U378" s="230"/>
      <c r="V378" s="230"/>
      <c r="W378" s="162"/>
      <c r="X378" s="162"/>
      <c r="Y378" s="162"/>
      <c r="Z378" s="162"/>
      <c r="AA378" s="162"/>
      <c r="AB378" s="230"/>
      <c r="AC378" s="230"/>
      <c r="AD378" s="162"/>
      <c r="AE378" s="162"/>
      <c r="AF378" s="162"/>
      <c r="AG378" s="162"/>
      <c r="AH378" s="162"/>
      <c r="AI378" s="230"/>
      <c r="AJ378" s="230"/>
      <c r="AK378" s="162"/>
      <c r="AL378" s="162"/>
      <c r="AM378" s="162"/>
      <c r="AN378" s="162"/>
      <c r="AO378" s="162"/>
      <c r="AP378" s="230"/>
      <c r="AQ378" s="230"/>
      <c r="AR378" s="162"/>
      <c r="AS378" s="162"/>
      <c r="AT378" s="162"/>
      <c r="AU378" s="162"/>
      <c r="AV378" s="162"/>
      <c r="AW378" s="230"/>
      <c r="AX378" s="230"/>
      <c r="AY378" s="162"/>
      <c r="AZ378" s="162"/>
      <c r="BA378" s="162"/>
      <c r="BB378" s="162"/>
      <c r="BC378" s="162"/>
      <c r="BD378" s="230"/>
      <c r="BE378" s="230"/>
      <c r="BF378" s="162"/>
      <c r="BG378" s="162"/>
      <c r="BH378" s="162"/>
      <c r="BI378" s="162"/>
      <c r="BJ378" s="162"/>
      <c r="BK378" s="230"/>
      <c r="BL378" s="230"/>
      <c r="BM378" s="162"/>
      <c r="BN378" s="162"/>
      <c r="BO378" s="162"/>
      <c r="BP378" s="162"/>
      <c r="BQ378" s="162"/>
      <c r="BR378" s="230"/>
      <c r="BS378" s="230"/>
      <c r="BT378" s="162"/>
      <c r="BU378" s="162"/>
      <c r="BV378" s="162"/>
      <c r="BW378" s="162"/>
      <c r="BX378" s="162"/>
      <c r="BY378" s="230"/>
      <c r="BZ378" s="230"/>
      <c r="CA378" s="162"/>
      <c r="CB378" s="162"/>
      <c r="CC378" s="162"/>
      <c r="CD378" s="162"/>
      <c r="CE378" s="162"/>
      <c r="CF378" s="230"/>
      <c r="CG378" s="230"/>
      <c r="CH378" s="162"/>
      <c r="CI378" s="162"/>
      <c r="CJ378" s="162"/>
      <c r="CK378" s="162"/>
      <c r="CL378" s="162"/>
      <c r="CM378" s="230"/>
      <c r="CN378" s="230"/>
      <c r="CO378" s="162"/>
      <c r="CP378" s="162"/>
      <c r="CQ378" s="162"/>
      <c r="CR378" s="162"/>
      <c r="CS378" s="162"/>
      <c r="CT378" s="230"/>
      <c r="CU378" s="230"/>
      <c r="CV378" s="162"/>
      <c r="CW378" s="162"/>
      <c r="CX378" s="162"/>
      <c r="CY378" s="162"/>
      <c r="CZ378" s="162"/>
      <c r="DA378" s="230"/>
      <c r="DB378" s="230"/>
      <c r="DC378" s="162"/>
      <c r="DD378" s="162"/>
      <c r="DE378" s="162"/>
      <c r="DF378" s="162"/>
      <c r="DG378" s="162"/>
      <c r="DH378" s="230"/>
      <c r="DI378" s="230"/>
      <c r="DJ378" s="162"/>
      <c r="DK378" s="162"/>
      <c r="DL378" s="226"/>
      <c r="DM378" s="380"/>
      <c r="DN378" s="372"/>
      <c r="DO378" s="372"/>
      <c r="DP378" s="372"/>
      <c r="DQ378" s="372"/>
      <c r="DR378" s="372"/>
      <c r="DS378" s="372"/>
      <c r="DT378" s="88"/>
      <c r="DU378" s="88"/>
      <c r="DV378" s="88"/>
      <c r="DW378" s="226"/>
      <c r="DX378" s="226"/>
      <c r="DY378" s="226"/>
      <c r="DZ378" s="226"/>
      <c r="EA378" s="226"/>
      <c r="EB378" s="226"/>
      <c r="EC378" s="226"/>
      <c r="ED378" s="226"/>
      <c r="EE378" s="226"/>
      <c r="EF378" s="226"/>
      <c r="EG378" s="226"/>
      <c r="EH378" s="226"/>
    </row>
    <row r="379" spans="1:138" x14ac:dyDescent="0.25">
      <c r="A379" s="147"/>
      <c r="B379" s="147"/>
      <c r="C379" s="160"/>
      <c r="D379" s="160"/>
      <c r="E379" s="169"/>
      <c r="F379" s="229"/>
      <c r="G379" s="165"/>
      <c r="H379" s="165"/>
      <c r="I379" s="163"/>
      <c r="J379" s="163"/>
      <c r="K379" s="162"/>
      <c r="L379" s="162"/>
      <c r="M379" s="162"/>
      <c r="N379" s="230"/>
      <c r="O379" s="230"/>
      <c r="P379" s="162"/>
      <c r="Q379" s="162"/>
      <c r="R379" s="162"/>
      <c r="S379" s="162"/>
      <c r="T379" s="162"/>
      <c r="U379" s="230"/>
      <c r="V379" s="230"/>
      <c r="W379" s="162"/>
      <c r="X379" s="162"/>
      <c r="Y379" s="162"/>
      <c r="Z379" s="162"/>
      <c r="AA379" s="162"/>
      <c r="AB379" s="230"/>
      <c r="AC379" s="230"/>
      <c r="AD379" s="162"/>
      <c r="AE379" s="162"/>
      <c r="AF379" s="162"/>
      <c r="AG379" s="162"/>
      <c r="AH379" s="162"/>
      <c r="AI379" s="230"/>
      <c r="AJ379" s="230"/>
      <c r="AK379" s="162"/>
      <c r="AL379" s="162"/>
      <c r="AM379" s="162"/>
      <c r="AN379" s="162"/>
      <c r="AO379" s="162"/>
      <c r="AP379" s="230"/>
      <c r="AQ379" s="230"/>
      <c r="AR379" s="162"/>
      <c r="AS379" s="162"/>
      <c r="AT379" s="162"/>
      <c r="AU379" s="162"/>
      <c r="AV379" s="162"/>
      <c r="AW379" s="230"/>
      <c r="AX379" s="230"/>
      <c r="AY379" s="162"/>
      <c r="AZ379" s="162"/>
      <c r="BA379" s="162"/>
      <c r="BB379" s="162"/>
      <c r="BC379" s="162"/>
      <c r="BD379" s="230"/>
      <c r="BE379" s="230"/>
      <c r="BF379" s="162"/>
      <c r="BG379" s="162"/>
      <c r="BH379" s="162"/>
      <c r="BI379" s="162"/>
      <c r="BJ379" s="162"/>
      <c r="BK379" s="230"/>
      <c r="BL379" s="230"/>
      <c r="BM379" s="162"/>
      <c r="BN379" s="162"/>
      <c r="BO379" s="162"/>
      <c r="BP379" s="162"/>
      <c r="BQ379" s="162"/>
      <c r="BR379" s="230"/>
      <c r="BS379" s="230"/>
      <c r="BT379" s="162"/>
      <c r="BU379" s="162"/>
      <c r="BV379" s="162"/>
      <c r="BW379" s="162"/>
      <c r="BX379" s="162"/>
      <c r="BY379" s="230"/>
      <c r="BZ379" s="230"/>
      <c r="CA379" s="162"/>
      <c r="CB379" s="162"/>
      <c r="CC379" s="162"/>
      <c r="CD379" s="162"/>
      <c r="CE379" s="162"/>
      <c r="CF379" s="230"/>
      <c r="CG379" s="230"/>
      <c r="CH379" s="162"/>
      <c r="CI379" s="162"/>
      <c r="CJ379" s="162"/>
      <c r="CK379" s="162"/>
      <c r="CL379" s="162"/>
      <c r="CM379" s="230"/>
      <c r="CN379" s="230"/>
      <c r="CO379" s="162"/>
      <c r="CP379" s="162"/>
      <c r="CQ379" s="162"/>
      <c r="CR379" s="162"/>
      <c r="CS379" s="162"/>
      <c r="CT379" s="230"/>
      <c r="CU379" s="230"/>
      <c r="CV379" s="162"/>
      <c r="CW379" s="162"/>
      <c r="CX379" s="162"/>
      <c r="CY379" s="162"/>
      <c r="CZ379" s="162"/>
      <c r="DA379" s="230"/>
      <c r="DB379" s="230"/>
      <c r="DC379" s="162"/>
      <c r="DD379" s="162"/>
      <c r="DE379" s="162"/>
      <c r="DF379" s="162"/>
      <c r="DG379" s="162"/>
      <c r="DH379" s="230"/>
      <c r="DI379" s="230"/>
      <c r="DJ379" s="162"/>
      <c r="DK379" s="162"/>
      <c r="DL379" s="50"/>
      <c r="DM379" s="380"/>
      <c r="DN379" s="372"/>
      <c r="DO379" s="372"/>
      <c r="DP379" s="372"/>
      <c r="DQ379" s="372"/>
      <c r="DR379" s="372"/>
      <c r="DS379" s="372"/>
      <c r="DT379" s="88"/>
      <c r="DU379" s="88"/>
      <c r="DV379" s="88"/>
      <c r="DW379" s="50"/>
      <c r="DX379" s="50"/>
      <c r="DY379" s="50"/>
      <c r="DZ379" s="50"/>
      <c r="EA379" s="50"/>
      <c r="EB379" s="50"/>
      <c r="EC379" s="50"/>
      <c r="ED379" s="50"/>
      <c r="EE379" s="50"/>
      <c r="EF379" s="50"/>
      <c r="EG379" s="50"/>
      <c r="EH379" s="50"/>
    </row>
    <row r="380" spans="1:138" x14ac:dyDescent="0.25">
      <c r="A380" s="147"/>
      <c r="B380" s="147"/>
      <c r="C380" s="160"/>
      <c r="D380" s="160"/>
      <c r="E380" s="169"/>
      <c r="F380" s="229"/>
      <c r="G380" s="165"/>
      <c r="H380" s="165"/>
      <c r="I380" s="163"/>
      <c r="J380" s="163"/>
      <c r="K380" s="162"/>
      <c r="L380" s="162"/>
      <c r="M380" s="162"/>
      <c r="N380" s="230"/>
      <c r="O380" s="230"/>
      <c r="P380" s="162"/>
      <c r="Q380" s="162"/>
      <c r="R380" s="162"/>
      <c r="S380" s="162"/>
      <c r="T380" s="162"/>
      <c r="U380" s="230"/>
      <c r="V380" s="230"/>
      <c r="W380" s="162"/>
      <c r="X380" s="162"/>
      <c r="Y380" s="162"/>
      <c r="Z380" s="162"/>
      <c r="AA380" s="162"/>
      <c r="AB380" s="230"/>
      <c r="AC380" s="230"/>
      <c r="AD380" s="162"/>
      <c r="AE380" s="162"/>
      <c r="AF380" s="162"/>
      <c r="AG380" s="162"/>
      <c r="AH380" s="162"/>
      <c r="AI380" s="230"/>
      <c r="AJ380" s="230"/>
      <c r="AK380" s="162"/>
      <c r="AL380" s="162"/>
      <c r="AM380" s="162"/>
      <c r="AN380" s="162"/>
      <c r="AO380" s="162"/>
      <c r="AP380" s="230"/>
      <c r="AQ380" s="230"/>
      <c r="AR380" s="162"/>
      <c r="AS380" s="162"/>
      <c r="AT380" s="162"/>
      <c r="AU380" s="162"/>
      <c r="AV380" s="162"/>
      <c r="AW380" s="230"/>
      <c r="AX380" s="230"/>
      <c r="AY380" s="162"/>
      <c r="AZ380" s="162"/>
      <c r="BA380" s="162"/>
      <c r="BB380" s="162"/>
      <c r="BC380" s="162"/>
      <c r="BD380" s="230"/>
      <c r="BE380" s="230"/>
      <c r="BF380" s="162"/>
      <c r="BG380" s="162"/>
      <c r="BH380" s="162"/>
      <c r="BI380" s="162"/>
      <c r="BJ380" s="162"/>
      <c r="BK380" s="230"/>
      <c r="BL380" s="230"/>
      <c r="BM380" s="162"/>
      <c r="BN380" s="162"/>
      <c r="BO380" s="162"/>
      <c r="BP380" s="162"/>
      <c r="BQ380" s="162"/>
      <c r="BR380" s="230"/>
      <c r="BS380" s="230"/>
      <c r="BT380" s="162"/>
      <c r="BU380" s="162"/>
      <c r="BV380" s="162"/>
      <c r="BW380" s="162"/>
      <c r="BX380" s="162"/>
      <c r="BY380" s="230"/>
      <c r="BZ380" s="230"/>
      <c r="CA380" s="162"/>
      <c r="CB380" s="162"/>
      <c r="CC380" s="162"/>
      <c r="CD380" s="162"/>
      <c r="CE380" s="162"/>
      <c r="CF380" s="230"/>
      <c r="CG380" s="230"/>
      <c r="CH380" s="162"/>
      <c r="CI380" s="162"/>
      <c r="CJ380" s="162"/>
      <c r="CK380" s="162"/>
      <c r="CL380" s="162"/>
      <c r="CM380" s="230"/>
      <c r="CN380" s="230"/>
      <c r="CO380" s="162"/>
      <c r="CP380" s="162"/>
      <c r="CQ380" s="162"/>
      <c r="CR380" s="162"/>
      <c r="CS380" s="162"/>
      <c r="CT380" s="230"/>
      <c r="CU380" s="230"/>
      <c r="CV380" s="162"/>
      <c r="CW380" s="162"/>
      <c r="CX380" s="162"/>
      <c r="CY380" s="162"/>
      <c r="CZ380" s="162"/>
      <c r="DA380" s="230"/>
      <c r="DB380" s="230"/>
      <c r="DC380" s="162"/>
      <c r="DD380" s="162"/>
      <c r="DE380" s="162"/>
      <c r="DF380" s="162"/>
      <c r="DG380" s="162"/>
      <c r="DH380" s="230"/>
      <c r="DI380" s="230"/>
      <c r="DJ380" s="162"/>
      <c r="DK380" s="162"/>
      <c r="DL380" s="75"/>
      <c r="DM380" s="380"/>
      <c r="DN380" s="372"/>
      <c r="DO380" s="372"/>
      <c r="DP380" s="372"/>
      <c r="DQ380" s="372"/>
      <c r="DR380" s="372"/>
      <c r="DS380" s="372"/>
      <c r="DT380" s="146"/>
      <c r="DU380" s="146"/>
      <c r="DV380" s="146"/>
      <c r="DW380" s="75"/>
      <c r="DX380" s="75"/>
      <c r="DY380" s="75"/>
      <c r="DZ380" s="75"/>
      <c r="EA380" s="75"/>
      <c r="EB380" s="75"/>
      <c r="EC380" s="75"/>
      <c r="ED380" s="75"/>
      <c r="EE380" s="75"/>
      <c r="EF380" s="75"/>
      <c r="EG380" s="75"/>
      <c r="EH380" s="75"/>
    </row>
    <row r="381" spans="1:138" x14ac:dyDescent="0.25">
      <c r="A381" s="147"/>
      <c r="B381" s="147"/>
      <c r="C381" s="160"/>
      <c r="D381" s="160"/>
      <c r="E381" s="169"/>
      <c r="F381" s="229"/>
      <c r="G381" s="165"/>
      <c r="H381" s="165"/>
      <c r="I381" s="163"/>
      <c r="J381" s="163"/>
      <c r="K381" s="162"/>
      <c r="L381" s="162"/>
      <c r="M381" s="162"/>
      <c r="N381" s="230"/>
      <c r="O381" s="230"/>
      <c r="P381" s="162"/>
      <c r="Q381" s="162"/>
      <c r="R381" s="162"/>
      <c r="S381" s="162"/>
      <c r="T381" s="162"/>
      <c r="U381" s="230"/>
      <c r="V381" s="230"/>
      <c r="W381" s="162"/>
      <c r="X381" s="162"/>
      <c r="Y381" s="162"/>
      <c r="Z381" s="162"/>
      <c r="AA381" s="162"/>
      <c r="AB381" s="230"/>
      <c r="AC381" s="230"/>
      <c r="AD381" s="162"/>
      <c r="AE381" s="162"/>
      <c r="AF381" s="162"/>
      <c r="AG381" s="162"/>
      <c r="AH381" s="162"/>
      <c r="AI381" s="230"/>
      <c r="AJ381" s="230"/>
      <c r="AK381" s="162"/>
      <c r="AL381" s="162"/>
      <c r="AM381" s="162"/>
      <c r="AN381" s="162"/>
      <c r="AO381" s="162"/>
      <c r="AP381" s="230"/>
      <c r="AQ381" s="230"/>
      <c r="AR381" s="162"/>
      <c r="AS381" s="162"/>
      <c r="AT381" s="162"/>
      <c r="AU381" s="162"/>
      <c r="AV381" s="162"/>
      <c r="AW381" s="230"/>
      <c r="AX381" s="230"/>
      <c r="AY381" s="162"/>
      <c r="AZ381" s="162"/>
      <c r="BA381" s="162"/>
      <c r="BB381" s="162"/>
      <c r="BC381" s="162"/>
      <c r="BD381" s="230"/>
      <c r="BE381" s="230"/>
      <c r="BF381" s="162"/>
      <c r="BG381" s="162"/>
      <c r="BH381" s="162"/>
      <c r="BI381" s="162"/>
      <c r="BJ381" s="162"/>
      <c r="BK381" s="230"/>
      <c r="BL381" s="230"/>
      <c r="BM381" s="162"/>
      <c r="BN381" s="162"/>
      <c r="BO381" s="162"/>
      <c r="BP381" s="162"/>
      <c r="BQ381" s="162"/>
      <c r="BR381" s="230"/>
      <c r="BS381" s="230"/>
      <c r="BT381" s="162"/>
      <c r="BU381" s="162"/>
      <c r="BV381" s="162"/>
      <c r="BW381" s="162"/>
      <c r="BX381" s="162"/>
      <c r="BY381" s="230"/>
      <c r="BZ381" s="230"/>
      <c r="CA381" s="162"/>
      <c r="CB381" s="162"/>
      <c r="CC381" s="162"/>
      <c r="CD381" s="162"/>
      <c r="CE381" s="162"/>
      <c r="CF381" s="230"/>
      <c r="CG381" s="230"/>
      <c r="CH381" s="162"/>
      <c r="CI381" s="162"/>
      <c r="CJ381" s="162"/>
      <c r="CK381" s="162"/>
      <c r="CL381" s="162"/>
      <c r="CM381" s="230"/>
      <c r="CN381" s="230"/>
      <c r="CO381" s="162"/>
      <c r="CP381" s="162"/>
      <c r="CQ381" s="162"/>
      <c r="CR381" s="162"/>
      <c r="CS381" s="162"/>
      <c r="CT381" s="230"/>
      <c r="CU381" s="230"/>
      <c r="CV381" s="162"/>
      <c r="CW381" s="162"/>
      <c r="CX381" s="162"/>
      <c r="CY381" s="162"/>
      <c r="CZ381" s="162"/>
      <c r="DA381" s="230"/>
      <c r="DB381" s="230"/>
      <c r="DC381" s="162"/>
      <c r="DD381" s="162"/>
      <c r="DE381" s="162"/>
      <c r="DF381" s="162"/>
      <c r="DG381" s="162"/>
      <c r="DH381" s="230"/>
      <c r="DI381" s="230"/>
      <c r="DJ381" s="162"/>
      <c r="DK381" s="162"/>
      <c r="DL381" s="75"/>
      <c r="DM381" s="88"/>
      <c r="DN381" s="88"/>
      <c r="DO381" s="88"/>
      <c r="DP381" s="88"/>
      <c r="DQ381" s="88"/>
      <c r="DR381" s="88"/>
      <c r="DS381" s="88"/>
      <c r="DT381" s="88"/>
      <c r="DU381" s="88"/>
      <c r="DV381" s="88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</row>
    <row r="382" spans="1:138" x14ac:dyDescent="0.25">
      <c r="A382" s="147"/>
      <c r="B382" s="147"/>
      <c r="C382" s="160"/>
      <c r="D382" s="160"/>
      <c r="E382" s="169"/>
      <c r="F382" s="229"/>
      <c r="G382" s="165"/>
      <c r="H382" s="165"/>
      <c r="I382" s="163"/>
      <c r="J382" s="163"/>
      <c r="K382" s="162"/>
      <c r="L382" s="162"/>
      <c r="M382" s="162"/>
      <c r="N382" s="230"/>
      <c r="O382" s="230"/>
      <c r="P382" s="162"/>
      <c r="Q382" s="162"/>
      <c r="R382" s="162"/>
      <c r="S382" s="162"/>
      <c r="T382" s="162"/>
      <c r="U382" s="230"/>
      <c r="V382" s="230"/>
      <c r="W382" s="162"/>
      <c r="X382" s="162"/>
      <c r="Y382" s="162"/>
      <c r="Z382" s="162"/>
      <c r="AA382" s="162"/>
      <c r="AB382" s="230"/>
      <c r="AC382" s="230"/>
      <c r="AD382" s="162"/>
      <c r="AE382" s="162"/>
      <c r="AF382" s="162"/>
      <c r="AG382" s="162"/>
      <c r="AH382" s="162"/>
      <c r="AI382" s="230"/>
      <c r="AJ382" s="230"/>
      <c r="AK382" s="162"/>
      <c r="AL382" s="162"/>
      <c r="AM382" s="162"/>
      <c r="AN382" s="162"/>
      <c r="AO382" s="162"/>
      <c r="AP382" s="230"/>
      <c r="AQ382" s="230"/>
      <c r="AR382" s="162"/>
      <c r="AS382" s="162"/>
      <c r="AT382" s="162"/>
      <c r="AU382" s="162"/>
      <c r="AV382" s="162"/>
      <c r="AW382" s="230"/>
      <c r="AX382" s="230"/>
      <c r="AY382" s="162"/>
      <c r="AZ382" s="162"/>
      <c r="BA382" s="162"/>
      <c r="BB382" s="162"/>
      <c r="BC382" s="162"/>
      <c r="BD382" s="230"/>
      <c r="BE382" s="230"/>
      <c r="BF382" s="162"/>
      <c r="BG382" s="162"/>
      <c r="BH382" s="162"/>
      <c r="BI382" s="162"/>
      <c r="BJ382" s="162"/>
      <c r="BK382" s="230"/>
      <c r="BL382" s="230"/>
      <c r="BM382" s="162"/>
      <c r="BN382" s="162"/>
      <c r="BO382" s="162"/>
      <c r="BP382" s="162"/>
      <c r="BQ382" s="162"/>
      <c r="BR382" s="230"/>
      <c r="BS382" s="230"/>
      <c r="BT382" s="162"/>
      <c r="BU382" s="162"/>
      <c r="BV382" s="162"/>
      <c r="BW382" s="162"/>
      <c r="BX382" s="162"/>
      <c r="BY382" s="230"/>
      <c r="BZ382" s="230"/>
      <c r="CA382" s="162"/>
      <c r="CB382" s="162"/>
      <c r="CC382" s="162"/>
      <c r="CD382" s="162"/>
      <c r="CE382" s="162"/>
      <c r="CF382" s="230"/>
      <c r="CG382" s="230"/>
      <c r="CH382" s="162"/>
      <c r="CI382" s="162"/>
      <c r="CJ382" s="162"/>
      <c r="CK382" s="162"/>
      <c r="CL382" s="162"/>
      <c r="CM382" s="230"/>
      <c r="CN382" s="230"/>
      <c r="CO382" s="162"/>
      <c r="CP382" s="162"/>
      <c r="CQ382" s="162"/>
      <c r="CR382" s="162"/>
      <c r="CS382" s="162"/>
      <c r="CT382" s="230"/>
      <c r="CU382" s="230"/>
      <c r="CV382" s="162"/>
      <c r="CW382" s="162"/>
      <c r="CX382" s="162"/>
      <c r="CY382" s="162"/>
      <c r="CZ382" s="162"/>
      <c r="DA382" s="230"/>
      <c r="DB382" s="230"/>
      <c r="DC382" s="162"/>
      <c r="DD382" s="162"/>
      <c r="DE382" s="162"/>
      <c r="DF382" s="162"/>
      <c r="DG382" s="162"/>
      <c r="DH382" s="230"/>
      <c r="DI382" s="230"/>
      <c r="DJ382" s="162"/>
      <c r="DK382" s="162"/>
      <c r="DL382" s="146"/>
      <c r="DM382" s="380"/>
      <c r="DN382" s="372"/>
      <c r="DO382" s="372"/>
      <c r="DP382" s="372"/>
      <c r="DQ382" s="372"/>
      <c r="DR382" s="372"/>
      <c r="DS382" s="372"/>
      <c r="DT382" s="88"/>
      <c r="DU382" s="88"/>
      <c r="DV382" s="88"/>
      <c r="DW382" s="146"/>
      <c r="DX382" s="146"/>
      <c r="DY382" s="146"/>
      <c r="DZ382" s="146"/>
      <c r="EA382" s="146"/>
      <c r="EB382" s="146"/>
      <c r="EC382" s="146"/>
      <c r="ED382" s="146"/>
      <c r="EE382" s="146"/>
      <c r="EF382" s="146"/>
      <c r="EG382" s="146"/>
      <c r="EH382" s="146"/>
    </row>
    <row r="383" spans="1:138" x14ac:dyDescent="0.25">
      <c r="A383" s="147"/>
      <c r="B383" s="147"/>
      <c r="C383" s="160"/>
      <c r="D383" s="160"/>
      <c r="E383" s="169"/>
      <c r="F383" s="229"/>
      <c r="G383" s="165"/>
      <c r="H383" s="165"/>
      <c r="I383" s="163"/>
      <c r="J383" s="163"/>
      <c r="K383" s="162"/>
      <c r="L383" s="162"/>
      <c r="M383" s="162"/>
      <c r="N383" s="230"/>
      <c r="O383" s="230"/>
      <c r="P383" s="162"/>
      <c r="Q383" s="162"/>
      <c r="R383" s="162"/>
      <c r="S383" s="162"/>
      <c r="T383" s="162"/>
      <c r="U383" s="230"/>
      <c r="V383" s="230"/>
      <c r="W383" s="162"/>
      <c r="X383" s="162"/>
      <c r="Y383" s="162"/>
      <c r="Z383" s="162"/>
      <c r="AA383" s="162"/>
      <c r="AB383" s="230"/>
      <c r="AC383" s="230"/>
      <c r="AD383" s="162"/>
      <c r="AE383" s="162"/>
      <c r="AF383" s="162"/>
      <c r="AG383" s="162"/>
      <c r="AH383" s="162"/>
      <c r="AI383" s="230"/>
      <c r="AJ383" s="230"/>
      <c r="AK383" s="162"/>
      <c r="AL383" s="162"/>
      <c r="AM383" s="162"/>
      <c r="AN383" s="162"/>
      <c r="AO383" s="162"/>
      <c r="AP383" s="230"/>
      <c r="AQ383" s="230"/>
      <c r="AR383" s="162"/>
      <c r="AS383" s="162"/>
      <c r="AT383" s="162"/>
      <c r="AU383" s="162"/>
      <c r="AV383" s="162"/>
      <c r="AW383" s="230"/>
      <c r="AX383" s="230"/>
      <c r="AY383" s="162"/>
      <c r="AZ383" s="162"/>
      <c r="BA383" s="162"/>
      <c r="BB383" s="162"/>
      <c r="BC383" s="162"/>
      <c r="BD383" s="230"/>
      <c r="BE383" s="230"/>
      <c r="BF383" s="162"/>
      <c r="BG383" s="162"/>
      <c r="BH383" s="162"/>
      <c r="BI383" s="162"/>
      <c r="BJ383" s="162"/>
      <c r="BK383" s="230"/>
      <c r="BL383" s="230"/>
      <c r="BM383" s="162"/>
      <c r="BN383" s="162"/>
      <c r="BO383" s="162"/>
      <c r="BP383" s="162"/>
      <c r="BQ383" s="162"/>
      <c r="BR383" s="230"/>
      <c r="BS383" s="230"/>
      <c r="BT383" s="162"/>
      <c r="BU383" s="162"/>
      <c r="BV383" s="162"/>
      <c r="BW383" s="162"/>
      <c r="BX383" s="162"/>
      <c r="BY383" s="230"/>
      <c r="BZ383" s="230"/>
      <c r="CA383" s="162"/>
      <c r="CB383" s="162"/>
      <c r="CC383" s="162"/>
      <c r="CD383" s="162"/>
      <c r="CE383" s="162"/>
      <c r="CF383" s="230"/>
      <c r="CG383" s="230"/>
      <c r="CH383" s="162"/>
      <c r="CI383" s="162"/>
      <c r="CJ383" s="162"/>
      <c r="CK383" s="162"/>
      <c r="CL383" s="162"/>
      <c r="CM383" s="230"/>
      <c r="CN383" s="230"/>
      <c r="CO383" s="162"/>
      <c r="CP383" s="162"/>
      <c r="CQ383" s="162"/>
      <c r="CR383" s="162"/>
      <c r="CS383" s="162"/>
      <c r="CT383" s="230"/>
      <c r="CU383" s="230"/>
      <c r="CV383" s="162"/>
      <c r="CW383" s="162"/>
      <c r="CX383" s="162"/>
      <c r="CY383" s="162"/>
      <c r="CZ383" s="162"/>
      <c r="DA383" s="230"/>
      <c r="DB383" s="230"/>
      <c r="DC383" s="162"/>
      <c r="DD383" s="162"/>
      <c r="DE383" s="162"/>
      <c r="DF383" s="162"/>
      <c r="DG383" s="162"/>
      <c r="DH383" s="230"/>
      <c r="DI383" s="230"/>
      <c r="DJ383" s="162"/>
      <c r="DK383" s="162"/>
      <c r="DL383" s="146"/>
      <c r="DM383" s="380"/>
      <c r="DN383" s="372"/>
      <c r="DO383" s="372"/>
      <c r="DP383" s="372"/>
      <c r="DQ383" s="372"/>
      <c r="DR383" s="372"/>
      <c r="DS383" s="372"/>
      <c r="DT383" s="89"/>
      <c r="DU383" s="89"/>
      <c r="DV383" s="89"/>
      <c r="DW383" s="146"/>
      <c r="DX383" s="146"/>
      <c r="DY383" s="146"/>
      <c r="DZ383" s="146"/>
      <c r="EA383" s="146"/>
      <c r="EB383" s="146"/>
      <c r="EC383" s="146"/>
      <c r="ED383" s="146"/>
      <c r="EE383" s="146"/>
      <c r="EF383" s="146"/>
      <c r="EG383" s="146"/>
      <c r="EH383" s="146"/>
    </row>
    <row r="384" spans="1:138" x14ac:dyDescent="0.25">
      <c r="A384" s="147"/>
      <c r="B384" s="147"/>
      <c r="C384" s="160"/>
      <c r="D384" s="160"/>
      <c r="E384" s="169"/>
      <c r="F384" s="229"/>
      <c r="G384" s="165"/>
      <c r="H384" s="165"/>
      <c r="I384" s="163"/>
      <c r="J384" s="163"/>
      <c r="K384" s="162"/>
      <c r="L384" s="162"/>
      <c r="M384" s="162"/>
      <c r="N384" s="230"/>
      <c r="O384" s="230"/>
      <c r="P384" s="162"/>
      <c r="Q384" s="162"/>
      <c r="R384" s="162"/>
      <c r="S384" s="162"/>
      <c r="T384" s="162"/>
      <c r="U384" s="230"/>
      <c r="V384" s="230"/>
      <c r="W384" s="162"/>
      <c r="X384" s="162"/>
      <c r="Y384" s="162"/>
      <c r="Z384" s="162"/>
      <c r="AA384" s="162"/>
      <c r="AB384" s="230"/>
      <c r="AC384" s="230"/>
      <c r="AD384" s="162"/>
      <c r="AE384" s="162"/>
      <c r="AF384" s="162"/>
      <c r="AG384" s="162"/>
      <c r="AH384" s="162"/>
      <c r="AI384" s="230"/>
      <c r="AJ384" s="230"/>
      <c r="AK384" s="162"/>
      <c r="AL384" s="162"/>
      <c r="AM384" s="162"/>
      <c r="AN384" s="162"/>
      <c r="AO384" s="162"/>
      <c r="AP384" s="230"/>
      <c r="AQ384" s="230"/>
      <c r="AR384" s="162"/>
      <c r="AS384" s="162"/>
      <c r="AT384" s="162"/>
      <c r="AU384" s="162"/>
      <c r="AV384" s="162"/>
      <c r="AW384" s="230"/>
      <c r="AX384" s="230"/>
      <c r="AY384" s="162"/>
      <c r="AZ384" s="162"/>
      <c r="BA384" s="162"/>
      <c r="BB384" s="162"/>
      <c r="BC384" s="162"/>
      <c r="BD384" s="230"/>
      <c r="BE384" s="230"/>
      <c r="BF384" s="162"/>
      <c r="BG384" s="162"/>
      <c r="BH384" s="162"/>
      <c r="BI384" s="162"/>
      <c r="BJ384" s="162"/>
      <c r="BK384" s="230"/>
      <c r="BL384" s="230"/>
      <c r="BM384" s="162"/>
      <c r="BN384" s="162"/>
      <c r="BO384" s="162"/>
      <c r="BP384" s="162"/>
      <c r="BQ384" s="162"/>
      <c r="BR384" s="230"/>
      <c r="BS384" s="230"/>
      <c r="BT384" s="162"/>
      <c r="BU384" s="162"/>
      <c r="BV384" s="162"/>
      <c r="BW384" s="162"/>
      <c r="BX384" s="162"/>
      <c r="BY384" s="230"/>
      <c r="BZ384" s="230"/>
      <c r="CA384" s="162"/>
      <c r="CB384" s="162"/>
      <c r="CC384" s="162"/>
      <c r="CD384" s="162"/>
      <c r="CE384" s="162"/>
      <c r="CF384" s="230"/>
      <c r="CG384" s="230"/>
      <c r="CH384" s="162"/>
      <c r="CI384" s="162"/>
      <c r="CJ384" s="162"/>
      <c r="CK384" s="162"/>
      <c r="CL384" s="162"/>
      <c r="CM384" s="230"/>
      <c r="CN384" s="230"/>
      <c r="CO384" s="162"/>
      <c r="CP384" s="162"/>
      <c r="CQ384" s="162"/>
      <c r="CR384" s="162"/>
      <c r="CS384" s="162"/>
      <c r="CT384" s="230"/>
      <c r="CU384" s="230"/>
      <c r="CV384" s="162"/>
      <c r="CW384" s="162"/>
      <c r="CX384" s="162"/>
      <c r="CY384" s="162"/>
      <c r="CZ384" s="162"/>
      <c r="DA384" s="230"/>
      <c r="DB384" s="230"/>
      <c r="DC384" s="162"/>
      <c r="DD384" s="162"/>
      <c r="DE384" s="162"/>
      <c r="DF384" s="162"/>
      <c r="DG384" s="162"/>
      <c r="DH384" s="230"/>
      <c r="DI384" s="230"/>
      <c r="DJ384" s="162"/>
      <c r="DK384" s="162"/>
      <c r="DL384" s="146"/>
      <c r="DM384" s="88"/>
      <c r="DN384" s="88"/>
      <c r="DO384" s="88"/>
      <c r="DP384" s="88"/>
      <c r="DQ384" s="88"/>
      <c r="DR384" s="88"/>
      <c r="DS384" s="88"/>
      <c r="DT384" s="88"/>
      <c r="DU384" s="88"/>
      <c r="DV384" s="88"/>
      <c r="DW384" s="146"/>
      <c r="DX384" s="146"/>
      <c r="DY384" s="146"/>
      <c r="DZ384" s="146"/>
      <c r="EA384" s="146"/>
      <c r="EB384" s="146"/>
      <c r="EC384" s="146"/>
      <c r="ED384" s="146"/>
      <c r="EE384" s="146"/>
      <c r="EF384" s="146"/>
      <c r="EG384" s="146"/>
      <c r="EH384" s="146"/>
    </row>
    <row r="385" spans="1:138" x14ac:dyDescent="0.25">
      <c r="A385" s="147"/>
      <c r="B385" s="147"/>
      <c r="C385" s="160"/>
      <c r="D385" s="160"/>
      <c r="E385" s="169"/>
      <c r="F385" s="229"/>
      <c r="G385" s="165"/>
      <c r="H385" s="165"/>
      <c r="I385" s="163"/>
      <c r="J385" s="163"/>
      <c r="K385" s="162"/>
      <c r="L385" s="162"/>
      <c r="M385" s="162"/>
      <c r="N385" s="230"/>
      <c r="O385" s="230"/>
      <c r="P385" s="162"/>
      <c r="Q385" s="162"/>
      <c r="R385" s="162"/>
      <c r="S385" s="162"/>
      <c r="T385" s="162"/>
      <c r="U385" s="230"/>
      <c r="V385" s="230"/>
      <c r="W385" s="162"/>
      <c r="X385" s="162"/>
      <c r="Y385" s="162"/>
      <c r="Z385" s="162"/>
      <c r="AA385" s="162"/>
      <c r="AB385" s="230"/>
      <c r="AC385" s="230"/>
      <c r="AD385" s="162"/>
      <c r="AE385" s="162"/>
      <c r="AF385" s="162"/>
      <c r="AG385" s="162"/>
      <c r="AH385" s="162"/>
      <c r="AI385" s="230"/>
      <c r="AJ385" s="230"/>
      <c r="AK385" s="162"/>
      <c r="AL385" s="162"/>
      <c r="AM385" s="162"/>
      <c r="AN385" s="162"/>
      <c r="AO385" s="162"/>
      <c r="AP385" s="230"/>
      <c r="AQ385" s="230"/>
      <c r="AR385" s="162"/>
      <c r="AS385" s="162"/>
      <c r="AT385" s="162"/>
      <c r="AU385" s="162"/>
      <c r="AV385" s="162"/>
      <c r="AW385" s="230"/>
      <c r="AX385" s="230"/>
      <c r="AY385" s="162"/>
      <c r="AZ385" s="162"/>
      <c r="BA385" s="162"/>
      <c r="BB385" s="162"/>
      <c r="BC385" s="162"/>
      <c r="BD385" s="230"/>
      <c r="BE385" s="230"/>
      <c r="BF385" s="162"/>
      <c r="BG385" s="162"/>
      <c r="BH385" s="162"/>
      <c r="BI385" s="162"/>
      <c r="BJ385" s="162"/>
      <c r="BK385" s="230"/>
      <c r="BL385" s="230"/>
      <c r="BM385" s="162"/>
      <c r="BN385" s="162"/>
      <c r="BO385" s="162"/>
      <c r="BP385" s="162"/>
      <c r="BQ385" s="162"/>
      <c r="BR385" s="230"/>
      <c r="BS385" s="230"/>
      <c r="BT385" s="162"/>
      <c r="BU385" s="162"/>
      <c r="BV385" s="162"/>
      <c r="BW385" s="162"/>
      <c r="BX385" s="162"/>
      <c r="BY385" s="230"/>
      <c r="BZ385" s="230"/>
      <c r="CA385" s="162"/>
      <c r="CB385" s="162"/>
      <c r="CC385" s="162"/>
      <c r="CD385" s="162"/>
      <c r="CE385" s="162"/>
      <c r="CF385" s="230"/>
      <c r="CG385" s="230"/>
      <c r="CH385" s="162"/>
      <c r="CI385" s="162"/>
      <c r="CJ385" s="162"/>
      <c r="CK385" s="162"/>
      <c r="CL385" s="162"/>
      <c r="CM385" s="230"/>
      <c r="CN385" s="230"/>
      <c r="CO385" s="162"/>
      <c r="CP385" s="162"/>
      <c r="CQ385" s="162"/>
      <c r="CR385" s="162"/>
      <c r="CS385" s="162"/>
      <c r="CT385" s="230"/>
      <c r="CU385" s="230"/>
      <c r="CV385" s="162"/>
      <c r="CW385" s="162"/>
      <c r="CX385" s="162"/>
      <c r="CY385" s="162"/>
      <c r="CZ385" s="162"/>
      <c r="DA385" s="230"/>
      <c r="DB385" s="230"/>
      <c r="DC385" s="162"/>
      <c r="DD385" s="162"/>
      <c r="DE385" s="162"/>
      <c r="DF385" s="162"/>
      <c r="DG385" s="162"/>
      <c r="DH385" s="230"/>
      <c r="DI385" s="230"/>
      <c r="DJ385" s="162"/>
      <c r="DK385" s="162"/>
      <c r="DL385" s="146"/>
      <c r="DM385" s="371"/>
      <c r="DN385" s="372"/>
      <c r="DO385" s="372"/>
      <c r="DP385" s="372"/>
      <c r="DQ385" s="372"/>
      <c r="DR385" s="372"/>
      <c r="DS385" s="372"/>
      <c r="DT385" s="372"/>
      <c r="DU385" s="372"/>
      <c r="DV385" s="372"/>
      <c r="DW385" s="146"/>
      <c r="DX385" s="146"/>
      <c r="DY385" s="146"/>
      <c r="DZ385" s="146"/>
      <c r="EA385" s="146"/>
      <c r="EB385" s="146"/>
      <c r="EC385" s="146"/>
      <c r="ED385" s="146"/>
      <c r="EE385" s="146"/>
      <c r="EF385" s="146"/>
      <c r="EG385" s="146"/>
      <c r="EH385" s="146"/>
    </row>
    <row r="386" spans="1:138" x14ac:dyDescent="0.25">
      <c r="A386" s="147"/>
      <c r="B386" s="147"/>
      <c r="C386" s="160"/>
      <c r="D386" s="160"/>
      <c r="E386" s="169"/>
      <c r="F386" s="229"/>
      <c r="G386" s="165"/>
      <c r="H386" s="165"/>
      <c r="I386" s="163"/>
      <c r="J386" s="163"/>
      <c r="K386" s="162"/>
      <c r="L386" s="162"/>
      <c r="M386" s="162"/>
      <c r="N386" s="230"/>
      <c r="O386" s="230"/>
      <c r="P386" s="162"/>
      <c r="Q386" s="162"/>
      <c r="R386" s="162"/>
      <c r="S386" s="162"/>
      <c r="T386" s="162"/>
      <c r="U386" s="230"/>
      <c r="V386" s="230"/>
      <c r="W386" s="162"/>
      <c r="X386" s="162"/>
      <c r="Y386" s="162"/>
      <c r="Z386" s="162"/>
      <c r="AA386" s="162"/>
      <c r="AB386" s="230"/>
      <c r="AC386" s="230"/>
      <c r="AD386" s="162"/>
      <c r="AE386" s="162"/>
      <c r="AF386" s="162"/>
      <c r="AG386" s="162"/>
      <c r="AH386" s="162"/>
      <c r="AI386" s="230"/>
      <c r="AJ386" s="230"/>
      <c r="AK386" s="162"/>
      <c r="AL386" s="162"/>
      <c r="AM386" s="162"/>
      <c r="AN386" s="162"/>
      <c r="AO386" s="162"/>
      <c r="AP386" s="230"/>
      <c r="AQ386" s="230"/>
      <c r="AR386" s="162"/>
      <c r="AS386" s="162"/>
      <c r="AT386" s="162"/>
      <c r="AU386" s="162"/>
      <c r="AV386" s="162"/>
      <c r="AW386" s="230"/>
      <c r="AX386" s="230"/>
      <c r="AY386" s="162"/>
      <c r="AZ386" s="162"/>
      <c r="BA386" s="162"/>
      <c r="BB386" s="162"/>
      <c r="BC386" s="162"/>
      <c r="BD386" s="230"/>
      <c r="BE386" s="230"/>
      <c r="BF386" s="162"/>
      <c r="BG386" s="162"/>
      <c r="BH386" s="162"/>
      <c r="BI386" s="162"/>
      <c r="BJ386" s="162"/>
      <c r="BK386" s="230"/>
      <c r="BL386" s="230"/>
      <c r="BM386" s="162"/>
      <c r="BN386" s="162"/>
      <c r="BO386" s="162"/>
      <c r="BP386" s="162"/>
      <c r="BQ386" s="162"/>
      <c r="BR386" s="230"/>
      <c r="BS386" s="230"/>
      <c r="BT386" s="162"/>
      <c r="BU386" s="162"/>
      <c r="BV386" s="162"/>
      <c r="BW386" s="162"/>
      <c r="BX386" s="162"/>
      <c r="BY386" s="230"/>
      <c r="BZ386" s="230"/>
      <c r="CA386" s="162"/>
      <c r="CB386" s="162"/>
      <c r="CC386" s="162"/>
      <c r="CD386" s="162"/>
      <c r="CE386" s="162"/>
      <c r="CF386" s="230"/>
      <c r="CG386" s="230"/>
      <c r="CH386" s="162"/>
      <c r="CI386" s="162"/>
      <c r="CJ386" s="162"/>
      <c r="CK386" s="162"/>
      <c r="CL386" s="162"/>
      <c r="CM386" s="230"/>
      <c r="CN386" s="230"/>
      <c r="CO386" s="162"/>
      <c r="CP386" s="162"/>
      <c r="CQ386" s="162"/>
      <c r="CR386" s="162"/>
      <c r="CS386" s="162"/>
      <c r="CT386" s="230"/>
      <c r="CU386" s="230"/>
      <c r="CV386" s="162"/>
      <c r="CW386" s="162"/>
      <c r="CX386" s="162"/>
      <c r="CY386" s="162"/>
      <c r="CZ386" s="162"/>
      <c r="DA386" s="230"/>
      <c r="DB386" s="230"/>
      <c r="DC386" s="162"/>
      <c r="DD386" s="162"/>
      <c r="DE386" s="162"/>
      <c r="DF386" s="162"/>
      <c r="DG386" s="162"/>
      <c r="DH386" s="230"/>
      <c r="DI386" s="230"/>
      <c r="DJ386" s="162"/>
      <c r="DK386" s="162"/>
      <c r="DL386" s="146"/>
      <c r="DM386" s="371"/>
      <c r="DN386" s="372"/>
      <c r="DO386" s="372"/>
      <c r="DP386" s="372"/>
      <c r="DQ386" s="372"/>
      <c r="DR386" s="372"/>
      <c r="DS386" s="372"/>
      <c r="DT386" s="372"/>
      <c r="DU386" s="372"/>
      <c r="DV386" s="372"/>
      <c r="DW386" s="146"/>
      <c r="DX386" s="146"/>
      <c r="DY386" s="146"/>
      <c r="DZ386" s="146"/>
      <c r="EA386" s="146"/>
      <c r="EB386" s="146"/>
      <c r="EC386" s="146"/>
      <c r="ED386" s="146"/>
      <c r="EE386" s="146"/>
      <c r="EF386" s="146"/>
      <c r="EG386" s="146"/>
      <c r="EH386" s="146"/>
    </row>
    <row r="387" spans="1:138" x14ac:dyDescent="0.25">
      <c r="A387" s="147"/>
      <c r="B387" s="147"/>
      <c r="C387" s="160"/>
      <c r="D387" s="160"/>
      <c r="E387" s="169"/>
      <c r="F387" s="229"/>
      <c r="G387" s="165"/>
      <c r="H387" s="165"/>
      <c r="I387" s="163"/>
      <c r="J387" s="163"/>
      <c r="K387" s="162"/>
      <c r="L387" s="162"/>
      <c r="M387" s="162"/>
      <c r="N387" s="230"/>
      <c r="O387" s="230"/>
      <c r="P387" s="162"/>
      <c r="Q387" s="162"/>
      <c r="R387" s="162"/>
      <c r="S387" s="162"/>
      <c r="T387" s="162"/>
      <c r="U387" s="230"/>
      <c r="V387" s="230"/>
      <c r="W387" s="162"/>
      <c r="X387" s="162"/>
      <c r="Y387" s="162"/>
      <c r="Z387" s="162"/>
      <c r="AA387" s="162"/>
      <c r="AB387" s="230"/>
      <c r="AC387" s="230"/>
      <c r="AD387" s="162"/>
      <c r="AE387" s="162"/>
      <c r="AF387" s="162"/>
      <c r="AG387" s="162"/>
      <c r="AH387" s="162"/>
      <c r="AI387" s="230"/>
      <c r="AJ387" s="230"/>
      <c r="AK387" s="162"/>
      <c r="AL387" s="162"/>
      <c r="AM387" s="162"/>
      <c r="AN387" s="162"/>
      <c r="AO387" s="162"/>
      <c r="AP387" s="230"/>
      <c r="AQ387" s="230"/>
      <c r="AR387" s="162"/>
      <c r="AS387" s="162"/>
      <c r="AT387" s="162"/>
      <c r="AU387" s="162"/>
      <c r="AV387" s="162"/>
      <c r="AW387" s="230"/>
      <c r="AX387" s="230"/>
      <c r="AY387" s="162"/>
      <c r="AZ387" s="162"/>
      <c r="BA387" s="162"/>
      <c r="BB387" s="162"/>
      <c r="BC387" s="162"/>
      <c r="BD387" s="230"/>
      <c r="BE387" s="230"/>
      <c r="BF387" s="162"/>
      <c r="BG387" s="162"/>
      <c r="BH387" s="162"/>
      <c r="BI387" s="162"/>
      <c r="BJ387" s="162"/>
      <c r="BK387" s="230"/>
      <c r="BL387" s="230"/>
      <c r="BM387" s="162"/>
      <c r="BN387" s="162"/>
      <c r="BO387" s="162"/>
      <c r="BP387" s="162"/>
      <c r="BQ387" s="162"/>
      <c r="BR387" s="230"/>
      <c r="BS387" s="230"/>
      <c r="BT387" s="162"/>
      <c r="BU387" s="162"/>
      <c r="BV387" s="162"/>
      <c r="BW387" s="162"/>
      <c r="BX387" s="162"/>
      <c r="BY387" s="230"/>
      <c r="BZ387" s="230"/>
      <c r="CA387" s="162"/>
      <c r="CB387" s="162"/>
      <c r="CC387" s="162"/>
      <c r="CD387" s="162"/>
      <c r="CE387" s="162"/>
      <c r="CF387" s="230"/>
      <c r="CG387" s="230"/>
      <c r="CH387" s="162"/>
      <c r="CI387" s="162"/>
      <c r="CJ387" s="162"/>
      <c r="CK387" s="162"/>
      <c r="CL387" s="162"/>
      <c r="CM387" s="230"/>
      <c r="CN387" s="230"/>
      <c r="CO387" s="162"/>
      <c r="CP387" s="162"/>
      <c r="CQ387" s="162"/>
      <c r="CR387" s="162"/>
      <c r="CS387" s="162"/>
      <c r="CT387" s="230"/>
      <c r="CU387" s="230"/>
      <c r="CV387" s="162"/>
      <c r="CW387" s="162"/>
      <c r="CX387" s="162"/>
      <c r="CY387" s="162"/>
      <c r="CZ387" s="162"/>
      <c r="DA387" s="230"/>
      <c r="DB387" s="230"/>
      <c r="DC387" s="162"/>
      <c r="DD387" s="162"/>
      <c r="DE387" s="162"/>
      <c r="DF387" s="162"/>
      <c r="DG387" s="162"/>
      <c r="DH387" s="230"/>
      <c r="DI387" s="230"/>
      <c r="DJ387" s="162"/>
      <c r="DK387" s="162"/>
      <c r="DL387" s="226"/>
      <c r="DM387" s="380"/>
      <c r="DN387" s="372"/>
      <c r="DO387" s="372"/>
      <c r="DP387" s="372"/>
      <c r="DQ387" s="372"/>
      <c r="DR387" s="372"/>
      <c r="DS387" s="372"/>
      <c r="DT387" s="88"/>
      <c r="DU387" s="88"/>
      <c r="DV387" s="88"/>
      <c r="DW387" s="226"/>
      <c r="DX387" s="226"/>
      <c r="DY387" s="226"/>
      <c r="DZ387" s="226"/>
      <c r="EA387" s="226"/>
      <c r="EB387" s="226"/>
      <c r="EC387" s="226"/>
      <c r="ED387" s="226"/>
      <c r="EE387" s="226"/>
      <c r="EF387" s="226"/>
      <c r="EG387" s="226"/>
      <c r="EH387" s="226"/>
    </row>
    <row r="388" spans="1:138" x14ac:dyDescent="0.25">
      <c r="A388" s="147"/>
      <c r="B388" s="147"/>
      <c r="C388" s="160"/>
      <c r="D388" s="160"/>
      <c r="E388" s="169"/>
      <c r="F388" s="229"/>
      <c r="G388" s="165"/>
      <c r="H388" s="165"/>
      <c r="I388" s="163"/>
      <c r="J388" s="163"/>
      <c r="K388" s="162"/>
      <c r="L388" s="162"/>
      <c r="M388" s="162"/>
      <c r="N388" s="230"/>
      <c r="O388" s="230"/>
      <c r="P388" s="162"/>
      <c r="Q388" s="162"/>
      <c r="R388" s="162"/>
      <c r="S388" s="162"/>
      <c r="T388" s="162"/>
      <c r="U388" s="230"/>
      <c r="V388" s="230"/>
      <c r="W388" s="162"/>
      <c r="X388" s="162"/>
      <c r="Y388" s="162"/>
      <c r="Z388" s="162"/>
      <c r="AA388" s="162"/>
      <c r="AB388" s="230"/>
      <c r="AC388" s="230"/>
      <c r="AD388" s="162"/>
      <c r="AE388" s="162"/>
      <c r="AF388" s="162"/>
      <c r="AG388" s="162"/>
      <c r="AH388" s="162"/>
      <c r="AI388" s="230"/>
      <c r="AJ388" s="230"/>
      <c r="AK388" s="162"/>
      <c r="AL388" s="162"/>
      <c r="AM388" s="162"/>
      <c r="AN388" s="162"/>
      <c r="AO388" s="162"/>
      <c r="AP388" s="230"/>
      <c r="AQ388" s="230"/>
      <c r="AR388" s="162"/>
      <c r="AS388" s="162"/>
      <c r="AT388" s="162"/>
      <c r="AU388" s="162"/>
      <c r="AV388" s="162"/>
      <c r="AW388" s="230"/>
      <c r="AX388" s="230"/>
      <c r="AY388" s="162"/>
      <c r="AZ388" s="162"/>
      <c r="BA388" s="162"/>
      <c r="BB388" s="162"/>
      <c r="BC388" s="162"/>
      <c r="BD388" s="230"/>
      <c r="BE388" s="230"/>
      <c r="BF388" s="162"/>
      <c r="BG388" s="162"/>
      <c r="BH388" s="162"/>
      <c r="BI388" s="162"/>
      <c r="BJ388" s="162"/>
      <c r="BK388" s="230"/>
      <c r="BL388" s="230"/>
      <c r="BM388" s="162"/>
      <c r="BN388" s="162"/>
      <c r="BO388" s="162"/>
      <c r="BP388" s="162"/>
      <c r="BQ388" s="162"/>
      <c r="BR388" s="230"/>
      <c r="BS388" s="230"/>
      <c r="BT388" s="162"/>
      <c r="BU388" s="162"/>
      <c r="BV388" s="162"/>
      <c r="BW388" s="162"/>
      <c r="BX388" s="162"/>
      <c r="BY388" s="230"/>
      <c r="BZ388" s="230"/>
      <c r="CA388" s="162"/>
      <c r="CB388" s="162"/>
      <c r="CC388" s="162"/>
      <c r="CD388" s="162"/>
      <c r="CE388" s="162"/>
      <c r="CF388" s="230"/>
      <c r="CG388" s="230"/>
      <c r="CH388" s="162"/>
      <c r="CI388" s="162"/>
      <c r="CJ388" s="162"/>
      <c r="CK388" s="162"/>
      <c r="CL388" s="162"/>
      <c r="CM388" s="230"/>
      <c r="CN388" s="230"/>
      <c r="CO388" s="162"/>
      <c r="CP388" s="162"/>
      <c r="CQ388" s="162"/>
      <c r="CR388" s="162"/>
      <c r="CS388" s="162"/>
      <c r="CT388" s="230"/>
      <c r="CU388" s="230"/>
      <c r="CV388" s="162"/>
      <c r="CW388" s="162"/>
      <c r="CX388" s="162"/>
      <c r="CY388" s="162"/>
      <c r="CZ388" s="162"/>
      <c r="DA388" s="230"/>
      <c r="DB388" s="230"/>
      <c r="DC388" s="162"/>
      <c r="DD388" s="162"/>
      <c r="DE388" s="162"/>
      <c r="DF388" s="162"/>
      <c r="DG388" s="162"/>
      <c r="DH388" s="230"/>
      <c r="DI388" s="230"/>
      <c r="DJ388" s="162"/>
      <c r="DK388" s="162"/>
      <c r="DL388" s="146"/>
      <c r="DM388" s="380"/>
      <c r="DN388" s="372"/>
      <c r="DO388" s="372"/>
      <c r="DP388" s="372"/>
      <c r="DQ388" s="372"/>
      <c r="DR388" s="372"/>
      <c r="DS388" s="372"/>
      <c r="DT388" s="88"/>
      <c r="DU388" s="88"/>
      <c r="DV388" s="88"/>
      <c r="DW388" s="146"/>
      <c r="DX388" s="146"/>
      <c r="DY388" s="146"/>
      <c r="DZ388" s="146"/>
      <c r="EA388" s="146"/>
      <c r="EB388" s="146"/>
      <c r="EC388" s="146"/>
      <c r="ED388" s="146"/>
      <c r="EE388" s="146"/>
      <c r="EF388" s="146"/>
      <c r="EG388" s="146"/>
      <c r="EH388" s="146"/>
    </row>
    <row r="389" spans="1:138" x14ac:dyDescent="0.25">
      <c r="A389" s="147"/>
      <c r="B389" s="147"/>
      <c r="C389" s="160"/>
      <c r="D389" s="160"/>
      <c r="E389" s="169"/>
      <c r="F389" s="229"/>
      <c r="G389" s="165"/>
      <c r="H389" s="165"/>
      <c r="I389" s="163"/>
      <c r="J389" s="163"/>
      <c r="K389" s="162"/>
      <c r="L389" s="162"/>
      <c r="M389" s="162"/>
      <c r="N389" s="230"/>
      <c r="O389" s="230"/>
      <c r="P389" s="162"/>
      <c r="Q389" s="162"/>
      <c r="R389" s="162"/>
      <c r="S389" s="162"/>
      <c r="T389" s="162"/>
      <c r="U389" s="230"/>
      <c r="V389" s="230"/>
      <c r="W389" s="162"/>
      <c r="X389" s="162"/>
      <c r="Y389" s="162"/>
      <c r="Z389" s="162"/>
      <c r="AA389" s="162"/>
      <c r="AB389" s="230"/>
      <c r="AC389" s="230"/>
      <c r="AD389" s="162"/>
      <c r="AE389" s="162"/>
      <c r="AF389" s="162"/>
      <c r="AG389" s="162"/>
      <c r="AH389" s="162"/>
      <c r="AI389" s="230"/>
      <c r="AJ389" s="230"/>
      <c r="AK389" s="162"/>
      <c r="AL389" s="162"/>
      <c r="AM389" s="162"/>
      <c r="AN389" s="162"/>
      <c r="AO389" s="162"/>
      <c r="AP389" s="230"/>
      <c r="AQ389" s="230"/>
      <c r="AR389" s="162"/>
      <c r="AS389" s="162"/>
      <c r="AT389" s="162"/>
      <c r="AU389" s="162"/>
      <c r="AV389" s="162"/>
      <c r="AW389" s="230"/>
      <c r="AX389" s="230"/>
      <c r="AY389" s="162"/>
      <c r="AZ389" s="162"/>
      <c r="BA389" s="162"/>
      <c r="BB389" s="162"/>
      <c r="BC389" s="162"/>
      <c r="BD389" s="230"/>
      <c r="BE389" s="230"/>
      <c r="BF389" s="162"/>
      <c r="BG389" s="162"/>
      <c r="BH389" s="162"/>
      <c r="BI389" s="162"/>
      <c r="BJ389" s="162"/>
      <c r="BK389" s="230"/>
      <c r="BL389" s="230"/>
      <c r="BM389" s="162"/>
      <c r="BN389" s="162"/>
      <c r="BO389" s="162"/>
      <c r="BP389" s="162"/>
      <c r="BQ389" s="162"/>
      <c r="BR389" s="230"/>
      <c r="BS389" s="230"/>
      <c r="BT389" s="162"/>
      <c r="BU389" s="162"/>
      <c r="BV389" s="162"/>
      <c r="BW389" s="162"/>
      <c r="BX389" s="162"/>
      <c r="BY389" s="230"/>
      <c r="BZ389" s="230"/>
      <c r="CA389" s="162"/>
      <c r="CB389" s="162"/>
      <c r="CC389" s="162"/>
      <c r="CD389" s="162"/>
      <c r="CE389" s="162"/>
      <c r="CF389" s="230"/>
      <c r="CG389" s="230"/>
      <c r="CH389" s="162"/>
      <c r="CI389" s="162"/>
      <c r="CJ389" s="162"/>
      <c r="CK389" s="162"/>
      <c r="CL389" s="162"/>
      <c r="CM389" s="230"/>
      <c r="CN389" s="230"/>
      <c r="CO389" s="162"/>
      <c r="CP389" s="162"/>
      <c r="CQ389" s="162"/>
      <c r="CR389" s="162"/>
      <c r="CS389" s="162"/>
      <c r="CT389" s="230"/>
      <c r="CU389" s="230"/>
      <c r="CV389" s="162"/>
      <c r="CW389" s="162"/>
      <c r="CX389" s="162"/>
      <c r="CY389" s="162"/>
      <c r="CZ389" s="162"/>
      <c r="DA389" s="230"/>
      <c r="DB389" s="230"/>
      <c r="DC389" s="162"/>
      <c r="DD389" s="162"/>
      <c r="DE389" s="162"/>
      <c r="DF389" s="162"/>
      <c r="DG389" s="162"/>
      <c r="DH389" s="230"/>
      <c r="DI389" s="230"/>
      <c r="DJ389" s="162"/>
      <c r="DK389" s="162"/>
      <c r="DL389" s="146"/>
      <c r="DM389" s="380"/>
      <c r="DN389" s="372"/>
      <c r="DO389" s="372"/>
      <c r="DP389" s="372"/>
      <c r="DQ389" s="372"/>
      <c r="DR389" s="372"/>
      <c r="DS389" s="372"/>
      <c r="DT389" s="89"/>
      <c r="DU389" s="89"/>
      <c r="DV389" s="89"/>
      <c r="DW389" s="146"/>
      <c r="DX389" s="146"/>
      <c r="DY389" s="146"/>
      <c r="DZ389" s="146"/>
      <c r="EA389" s="146"/>
      <c r="EB389" s="146"/>
      <c r="EC389" s="146"/>
      <c r="ED389" s="146"/>
      <c r="EE389" s="146"/>
      <c r="EF389" s="146"/>
      <c r="EG389" s="146"/>
      <c r="EH389" s="146"/>
    </row>
    <row r="390" spans="1:138" x14ac:dyDescent="0.25">
      <c r="A390" s="147"/>
      <c r="B390" s="147"/>
      <c r="C390" s="160"/>
      <c r="D390" s="160"/>
      <c r="E390" s="169"/>
      <c r="F390" s="229"/>
      <c r="G390" s="165"/>
      <c r="H390" s="165"/>
      <c r="I390" s="163"/>
      <c r="J390" s="163"/>
      <c r="K390" s="162"/>
      <c r="L390" s="162"/>
      <c r="M390" s="162"/>
      <c r="N390" s="230"/>
      <c r="O390" s="230"/>
      <c r="P390" s="162"/>
      <c r="Q390" s="162"/>
      <c r="R390" s="162"/>
      <c r="S390" s="162"/>
      <c r="T390" s="162"/>
      <c r="U390" s="230"/>
      <c r="V390" s="230"/>
      <c r="W390" s="162"/>
      <c r="X390" s="162"/>
      <c r="Y390" s="162"/>
      <c r="Z390" s="162"/>
      <c r="AA390" s="162"/>
      <c r="AB390" s="230"/>
      <c r="AC390" s="230"/>
      <c r="AD390" s="162"/>
      <c r="AE390" s="162"/>
      <c r="AF390" s="162"/>
      <c r="AG390" s="162"/>
      <c r="AH390" s="162"/>
      <c r="AI390" s="230"/>
      <c r="AJ390" s="230"/>
      <c r="AK390" s="162"/>
      <c r="AL390" s="162"/>
      <c r="AM390" s="162"/>
      <c r="AN390" s="162"/>
      <c r="AO390" s="162"/>
      <c r="AP390" s="230"/>
      <c r="AQ390" s="230"/>
      <c r="AR390" s="162"/>
      <c r="AS390" s="162"/>
      <c r="AT390" s="162"/>
      <c r="AU390" s="162"/>
      <c r="AV390" s="162"/>
      <c r="AW390" s="230"/>
      <c r="AX390" s="230"/>
      <c r="AY390" s="162"/>
      <c r="AZ390" s="162"/>
      <c r="BA390" s="162"/>
      <c r="BB390" s="162"/>
      <c r="BC390" s="162"/>
      <c r="BD390" s="230"/>
      <c r="BE390" s="230"/>
      <c r="BF390" s="162"/>
      <c r="BG390" s="162"/>
      <c r="BH390" s="162"/>
      <c r="BI390" s="162"/>
      <c r="BJ390" s="162"/>
      <c r="BK390" s="230"/>
      <c r="BL390" s="230"/>
      <c r="BM390" s="162"/>
      <c r="BN390" s="162"/>
      <c r="BO390" s="162"/>
      <c r="BP390" s="162"/>
      <c r="BQ390" s="162"/>
      <c r="BR390" s="230"/>
      <c r="BS390" s="230"/>
      <c r="BT390" s="162"/>
      <c r="BU390" s="162"/>
      <c r="BV390" s="162"/>
      <c r="BW390" s="162"/>
      <c r="BX390" s="162"/>
      <c r="BY390" s="230"/>
      <c r="BZ390" s="230"/>
      <c r="CA390" s="162"/>
      <c r="CB390" s="162"/>
      <c r="CC390" s="162"/>
      <c r="CD390" s="162"/>
      <c r="CE390" s="162"/>
      <c r="CF390" s="230"/>
      <c r="CG390" s="230"/>
      <c r="CH390" s="162"/>
      <c r="CI390" s="162"/>
      <c r="CJ390" s="162"/>
      <c r="CK390" s="162"/>
      <c r="CL390" s="162"/>
      <c r="CM390" s="230"/>
      <c r="CN390" s="230"/>
      <c r="CO390" s="162"/>
      <c r="CP390" s="162"/>
      <c r="CQ390" s="162"/>
      <c r="CR390" s="162"/>
      <c r="CS390" s="162"/>
      <c r="CT390" s="230"/>
      <c r="CU390" s="230"/>
      <c r="CV390" s="162"/>
      <c r="CW390" s="162"/>
      <c r="CX390" s="162"/>
      <c r="CY390" s="162"/>
      <c r="CZ390" s="162"/>
      <c r="DA390" s="230"/>
      <c r="DB390" s="230"/>
      <c r="DC390" s="162"/>
      <c r="DD390" s="162"/>
      <c r="DE390" s="162"/>
      <c r="DF390" s="162"/>
      <c r="DG390" s="162"/>
      <c r="DH390" s="230"/>
      <c r="DI390" s="230"/>
      <c r="DJ390" s="162"/>
      <c r="DK390" s="162"/>
      <c r="DL390" s="146"/>
      <c r="DM390" s="88"/>
      <c r="DN390" s="88"/>
      <c r="DO390" s="88"/>
      <c r="DP390" s="88"/>
      <c r="DQ390" s="88"/>
      <c r="DR390" s="88"/>
      <c r="DS390" s="88"/>
      <c r="DT390" s="88"/>
      <c r="DU390" s="88"/>
      <c r="DV390" s="88"/>
      <c r="DW390" s="146"/>
      <c r="DX390" s="146"/>
      <c r="DY390" s="146"/>
      <c r="DZ390" s="146"/>
      <c r="EA390" s="146"/>
      <c r="EB390" s="146"/>
      <c r="EC390" s="146"/>
      <c r="ED390" s="146"/>
      <c r="EE390" s="146"/>
      <c r="EF390" s="146"/>
      <c r="EG390" s="146"/>
      <c r="EH390" s="146"/>
    </row>
    <row r="391" spans="1:138" x14ac:dyDescent="0.25">
      <c r="A391" s="147"/>
      <c r="B391" s="147"/>
      <c r="C391" s="160"/>
      <c r="D391" s="160"/>
      <c r="E391" s="169"/>
      <c r="F391" s="229"/>
      <c r="G391" s="165"/>
      <c r="H391" s="165"/>
      <c r="I391" s="163"/>
      <c r="J391" s="163"/>
      <c r="K391" s="162"/>
      <c r="L391" s="162"/>
      <c r="M391" s="162"/>
      <c r="N391" s="230"/>
      <c r="O391" s="230"/>
      <c r="P391" s="162"/>
      <c r="Q391" s="162"/>
      <c r="R391" s="162"/>
      <c r="S391" s="162"/>
      <c r="T391" s="162"/>
      <c r="U391" s="230"/>
      <c r="V391" s="230"/>
      <c r="W391" s="162"/>
      <c r="X391" s="162"/>
      <c r="Y391" s="162"/>
      <c r="Z391" s="162"/>
      <c r="AA391" s="162"/>
      <c r="AB391" s="230"/>
      <c r="AC391" s="230"/>
      <c r="AD391" s="162"/>
      <c r="AE391" s="162"/>
      <c r="AF391" s="162"/>
      <c r="AG391" s="162"/>
      <c r="AH391" s="162"/>
      <c r="AI391" s="230"/>
      <c r="AJ391" s="230"/>
      <c r="AK391" s="162"/>
      <c r="AL391" s="162"/>
      <c r="AM391" s="162"/>
      <c r="AN391" s="162"/>
      <c r="AO391" s="162"/>
      <c r="AP391" s="230"/>
      <c r="AQ391" s="230"/>
      <c r="AR391" s="162"/>
      <c r="AS391" s="162"/>
      <c r="AT391" s="162"/>
      <c r="AU391" s="162"/>
      <c r="AV391" s="162"/>
      <c r="AW391" s="230"/>
      <c r="AX391" s="230"/>
      <c r="AY391" s="162"/>
      <c r="AZ391" s="162"/>
      <c r="BA391" s="162"/>
      <c r="BB391" s="162"/>
      <c r="BC391" s="162"/>
      <c r="BD391" s="230"/>
      <c r="BE391" s="230"/>
      <c r="BF391" s="162"/>
      <c r="BG391" s="162"/>
      <c r="BH391" s="162"/>
      <c r="BI391" s="162"/>
      <c r="BJ391" s="162"/>
      <c r="BK391" s="230"/>
      <c r="BL391" s="230"/>
      <c r="BM391" s="162"/>
      <c r="BN391" s="162"/>
      <c r="BO391" s="162"/>
      <c r="BP391" s="162"/>
      <c r="BQ391" s="162"/>
      <c r="BR391" s="230"/>
      <c r="BS391" s="230"/>
      <c r="BT391" s="162"/>
      <c r="BU391" s="162"/>
      <c r="BV391" s="162"/>
      <c r="BW391" s="162"/>
      <c r="BX391" s="162"/>
      <c r="BY391" s="230"/>
      <c r="BZ391" s="230"/>
      <c r="CA391" s="162"/>
      <c r="CB391" s="162"/>
      <c r="CC391" s="162"/>
      <c r="CD391" s="162"/>
      <c r="CE391" s="162"/>
      <c r="CF391" s="230"/>
      <c r="CG391" s="230"/>
      <c r="CH391" s="162"/>
      <c r="CI391" s="162"/>
      <c r="CJ391" s="162"/>
      <c r="CK391" s="162"/>
      <c r="CL391" s="162"/>
      <c r="CM391" s="230"/>
      <c r="CN391" s="230"/>
      <c r="CO391" s="162"/>
      <c r="CP391" s="162"/>
      <c r="CQ391" s="162"/>
      <c r="CR391" s="162"/>
      <c r="CS391" s="162"/>
      <c r="CT391" s="230"/>
      <c r="CU391" s="230"/>
      <c r="CV391" s="162"/>
      <c r="CW391" s="162"/>
      <c r="CX391" s="162"/>
      <c r="CY391" s="162"/>
      <c r="CZ391" s="162"/>
      <c r="DA391" s="230"/>
      <c r="DB391" s="230"/>
      <c r="DC391" s="162"/>
      <c r="DD391" s="162"/>
      <c r="DE391" s="162"/>
      <c r="DF391" s="162"/>
      <c r="DG391" s="162"/>
      <c r="DH391" s="230"/>
      <c r="DI391" s="230"/>
      <c r="DJ391" s="162"/>
      <c r="DK391" s="162"/>
      <c r="DL391" s="146"/>
      <c r="DM391" s="371"/>
      <c r="DN391" s="372"/>
      <c r="DO391" s="372"/>
      <c r="DP391" s="372"/>
      <c r="DQ391" s="372"/>
      <c r="DR391" s="372"/>
      <c r="DS391" s="372"/>
      <c r="DT391" s="372"/>
      <c r="DU391" s="372"/>
      <c r="DV391" s="372"/>
      <c r="DW391" s="146"/>
      <c r="DX391" s="146"/>
      <c r="DY391" s="146"/>
      <c r="DZ391" s="146"/>
      <c r="EA391" s="146"/>
      <c r="EB391" s="146"/>
      <c r="EC391" s="146"/>
      <c r="ED391" s="146"/>
      <c r="EE391" s="146"/>
      <c r="EF391" s="146"/>
      <c r="EG391" s="146"/>
      <c r="EH391" s="146"/>
    </row>
    <row r="392" spans="1:138" x14ac:dyDescent="0.25">
      <c r="A392" s="147"/>
      <c r="B392" s="147"/>
      <c r="C392" s="160"/>
      <c r="D392" s="160"/>
      <c r="E392" s="169"/>
      <c r="F392" s="229"/>
      <c r="G392" s="165"/>
      <c r="H392" s="165"/>
      <c r="I392" s="163"/>
      <c r="J392" s="163"/>
      <c r="K392" s="162"/>
      <c r="L392" s="162"/>
      <c r="M392" s="162"/>
      <c r="N392" s="230"/>
      <c r="O392" s="230"/>
      <c r="P392" s="162"/>
      <c r="Q392" s="162"/>
      <c r="R392" s="162"/>
      <c r="S392" s="162"/>
      <c r="T392" s="162"/>
      <c r="U392" s="230"/>
      <c r="V392" s="230"/>
      <c r="W392" s="162"/>
      <c r="X392" s="162"/>
      <c r="Y392" s="162"/>
      <c r="Z392" s="162"/>
      <c r="AA392" s="162"/>
      <c r="AB392" s="230"/>
      <c r="AC392" s="230"/>
      <c r="AD392" s="162"/>
      <c r="AE392" s="162"/>
      <c r="AF392" s="162"/>
      <c r="AG392" s="162"/>
      <c r="AH392" s="162"/>
      <c r="AI392" s="230"/>
      <c r="AJ392" s="230"/>
      <c r="AK392" s="162"/>
      <c r="AL392" s="162"/>
      <c r="AM392" s="162"/>
      <c r="AN392" s="162"/>
      <c r="AO392" s="162"/>
      <c r="AP392" s="230"/>
      <c r="AQ392" s="230"/>
      <c r="AR392" s="162"/>
      <c r="AS392" s="162"/>
      <c r="AT392" s="162"/>
      <c r="AU392" s="162"/>
      <c r="AV392" s="162"/>
      <c r="AW392" s="230"/>
      <c r="AX392" s="230"/>
      <c r="AY392" s="162"/>
      <c r="AZ392" s="162"/>
      <c r="BA392" s="162"/>
      <c r="BB392" s="162"/>
      <c r="BC392" s="162"/>
      <c r="BD392" s="230"/>
      <c r="BE392" s="230"/>
      <c r="BF392" s="162"/>
      <c r="BG392" s="162"/>
      <c r="BH392" s="162"/>
      <c r="BI392" s="162"/>
      <c r="BJ392" s="162"/>
      <c r="BK392" s="230"/>
      <c r="BL392" s="230"/>
      <c r="BM392" s="162"/>
      <c r="BN392" s="162"/>
      <c r="BO392" s="162"/>
      <c r="BP392" s="162"/>
      <c r="BQ392" s="162"/>
      <c r="BR392" s="230"/>
      <c r="BS392" s="230"/>
      <c r="BT392" s="162"/>
      <c r="BU392" s="162"/>
      <c r="BV392" s="162"/>
      <c r="BW392" s="162"/>
      <c r="BX392" s="162"/>
      <c r="BY392" s="230"/>
      <c r="BZ392" s="230"/>
      <c r="CA392" s="162"/>
      <c r="CB392" s="162"/>
      <c r="CC392" s="162"/>
      <c r="CD392" s="162"/>
      <c r="CE392" s="162"/>
      <c r="CF392" s="230"/>
      <c r="CG392" s="230"/>
      <c r="CH392" s="162"/>
      <c r="CI392" s="162"/>
      <c r="CJ392" s="162"/>
      <c r="CK392" s="162"/>
      <c r="CL392" s="162"/>
      <c r="CM392" s="230"/>
      <c r="CN392" s="230"/>
      <c r="CO392" s="162"/>
      <c r="CP392" s="162"/>
      <c r="CQ392" s="162"/>
      <c r="CR392" s="162"/>
      <c r="CS392" s="162"/>
      <c r="CT392" s="230"/>
      <c r="CU392" s="230"/>
      <c r="CV392" s="162"/>
      <c r="CW392" s="162"/>
      <c r="CX392" s="162"/>
      <c r="CY392" s="162"/>
      <c r="CZ392" s="162"/>
      <c r="DA392" s="230"/>
      <c r="DB392" s="230"/>
      <c r="DC392" s="162"/>
      <c r="DD392" s="162"/>
      <c r="DE392" s="162"/>
      <c r="DF392" s="162"/>
      <c r="DG392" s="162"/>
      <c r="DH392" s="230"/>
      <c r="DI392" s="230"/>
      <c r="DJ392" s="162"/>
      <c r="DK392" s="162"/>
      <c r="DL392" s="146"/>
      <c r="DM392" s="371"/>
      <c r="DN392" s="372"/>
      <c r="DO392" s="372"/>
      <c r="DP392" s="372"/>
      <c r="DQ392" s="372"/>
      <c r="DR392" s="372"/>
      <c r="DS392" s="372"/>
      <c r="DT392" s="372"/>
      <c r="DU392" s="372"/>
      <c r="DV392" s="372"/>
      <c r="DW392" s="146"/>
      <c r="DX392" s="146"/>
      <c r="DY392" s="146"/>
      <c r="DZ392" s="146"/>
      <c r="EA392" s="146"/>
      <c r="EB392" s="146"/>
      <c r="EC392" s="146"/>
      <c r="ED392" s="146"/>
      <c r="EE392" s="146"/>
      <c r="EF392" s="146"/>
      <c r="EG392" s="146"/>
      <c r="EH392" s="146"/>
    </row>
    <row r="393" spans="1:138" x14ac:dyDescent="0.25">
      <c r="A393" s="147"/>
      <c r="B393" s="147"/>
      <c r="C393" s="160"/>
      <c r="D393" s="160"/>
      <c r="E393" s="169"/>
      <c r="F393" s="229"/>
      <c r="G393" s="165"/>
      <c r="H393" s="165"/>
      <c r="I393" s="163"/>
      <c r="J393" s="163"/>
      <c r="K393" s="162"/>
      <c r="L393" s="162"/>
      <c r="M393" s="162"/>
      <c r="N393" s="230"/>
      <c r="O393" s="230"/>
      <c r="P393" s="162"/>
      <c r="Q393" s="162"/>
      <c r="R393" s="162"/>
      <c r="S393" s="162"/>
      <c r="T393" s="162"/>
      <c r="U393" s="230"/>
      <c r="V393" s="230"/>
      <c r="W393" s="162"/>
      <c r="X393" s="162"/>
      <c r="Y393" s="162"/>
      <c r="Z393" s="162"/>
      <c r="AA393" s="162"/>
      <c r="AB393" s="230"/>
      <c r="AC393" s="230"/>
      <c r="AD393" s="162"/>
      <c r="AE393" s="162"/>
      <c r="AF393" s="162"/>
      <c r="AG393" s="162"/>
      <c r="AH393" s="162"/>
      <c r="AI393" s="230"/>
      <c r="AJ393" s="230"/>
      <c r="AK393" s="162"/>
      <c r="AL393" s="162"/>
      <c r="AM393" s="162"/>
      <c r="AN393" s="162"/>
      <c r="AO393" s="162"/>
      <c r="AP393" s="230"/>
      <c r="AQ393" s="230"/>
      <c r="AR393" s="162"/>
      <c r="AS393" s="162"/>
      <c r="AT393" s="162"/>
      <c r="AU393" s="162"/>
      <c r="AV393" s="162"/>
      <c r="AW393" s="230"/>
      <c r="AX393" s="230"/>
      <c r="AY393" s="162"/>
      <c r="AZ393" s="162"/>
      <c r="BA393" s="162"/>
      <c r="BB393" s="162"/>
      <c r="BC393" s="162"/>
      <c r="BD393" s="230"/>
      <c r="BE393" s="230"/>
      <c r="BF393" s="162"/>
      <c r="BG393" s="162"/>
      <c r="BH393" s="162"/>
      <c r="BI393" s="162"/>
      <c r="BJ393" s="162"/>
      <c r="BK393" s="230"/>
      <c r="BL393" s="230"/>
      <c r="BM393" s="162"/>
      <c r="BN393" s="162"/>
      <c r="BO393" s="162"/>
      <c r="BP393" s="162"/>
      <c r="BQ393" s="162"/>
      <c r="BR393" s="230"/>
      <c r="BS393" s="230"/>
      <c r="BT393" s="162"/>
      <c r="BU393" s="162"/>
      <c r="BV393" s="162"/>
      <c r="BW393" s="162"/>
      <c r="BX393" s="162"/>
      <c r="BY393" s="230"/>
      <c r="BZ393" s="230"/>
      <c r="CA393" s="162"/>
      <c r="CB393" s="162"/>
      <c r="CC393" s="162"/>
      <c r="CD393" s="162"/>
      <c r="CE393" s="162"/>
      <c r="CF393" s="230"/>
      <c r="CG393" s="230"/>
      <c r="CH393" s="162"/>
      <c r="CI393" s="162"/>
      <c r="CJ393" s="162"/>
      <c r="CK393" s="162"/>
      <c r="CL393" s="162"/>
      <c r="CM393" s="230"/>
      <c r="CN393" s="230"/>
      <c r="CO393" s="162"/>
      <c r="CP393" s="162"/>
      <c r="CQ393" s="162"/>
      <c r="CR393" s="162"/>
      <c r="CS393" s="162"/>
      <c r="CT393" s="230"/>
      <c r="CU393" s="230"/>
      <c r="CV393" s="162"/>
      <c r="CW393" s="162"/>
      <c r="CX393" s="162"/>
      <c r="CY393" s="162"/>
      <c r="CZ393" s="162"/>
      <c r="DA393" s="230"/>
      <c r="DB393" s="230"/>
      <c r="DC393" s="162"/>
      <c r="DD393" s="162"/>
      <c r="DE393" s="162"/>
      <c r="DF393" s="162"/>
      <c r="DG393" s="162"/>
      <c r="DH393" s="230"/>
      <c r="DI393" s="230"/>
      <c r="DJ393" s="162"/>
      <c r="DK393" s="162"/>
      <c r="DL393" s="226"/>
      <c r="DM393" s="380"/>
      <c r="DN393" s="372"/>
      <c r="DO393" s="372"/>
      <c r="DP393" s="372"/>
      <c r="DQ393" s="372"/>
      <c r="DR393" s="372"/>
      <c r="DS393" s="372"/>
      <c r="DT393" s="88"/>
      <c r="DU393" s="88"/>
      <c r="DV393" s="88"/>
      <c r="DW393" s="226"/>
      <c r="DX393" s="226"/>
      <c r="DY393" s="226"/>
      <c r="DZ393" s="226"/>
      <c r="EA393" s="226"/>
      <c r="EB393" s="226"/>
      <c r="EC393" s="226"/>
      <c r="ED393" s="226"/>
      <c r="EE393" s="226"/>
      <c r="EF393" s="226"/>
      <c r="EG393" s="226"/>
      <c r="EH393" s="226"/>
    </row>
    <row r="394" spans="1:138" x14ac:dyDescent="0.25">
      <c r="A394" s="147"/>
      <c r="B394" s="147"/>
      <c r="C394" s="160"/>
      <c r="D394" s="160"/>
      <c r="E394" s="169"/>
      <c r="F394" s="229"/>
      <c r="G394" s="165"/>
      <c r="H394" s="165"/>
      <c r="I394" s="163"/>
      <c r="J394" s="163"/>
      <c r="K394" s="162"/>
      <c r="L394" s="162"/>
      <c r="M394" s="162"/>
      <c r="N394" s="230"/>
      <c r="O394" s="230"/>
      <c r="P394" s="162"/>
      <c r="Q394" s="162"/>
      <c r="R394" s="162"/>
      <c r="S394" s="162"/>
      <c r="T394" s="162"/>
      <c r="U394" s="230"/>
      <c r="V394" s="230"/>
      <c r="W394" s="162"/>
      <c r="X394" s="162"/>
      <c r="Y394" s="162"/>
      <c r="Z394" s="162"/>
      <c r="AA394" s="162"/>
      <c r="AB394" s="230"/>
      <c r="AC394" s="230"/>
      <c r="AD394" s="162"/>
      <c r="AE394" s="162"/>
      <c r="AF394" s="162"/>
      <c r="AG394" s="162"/>
      <c r="AH394" s="162"/>
      <c r="AI394" s="230"/>
      <c r="AJ394" s="230"/>
      <c r="AK394" s="162"/>
      <c r="AL394" s="162"/>
      <c r="AM394" s="162"/>
      <c r="AN394" s="162"/>
      <c r="AO394" s="162"/>
      <c r="AP394" s="230"/>
      <c r="AQ394" s="230"/>
      <c r="AR394" s="162"/>
      <c r="AS394" s="162"/>
      <c r="AT394" s="162"/>
      <c r="AU394" s="162"/>
      <c r="AV394" s="162"/>
      <c r="AW394" s="230"/>
      <c r="AX394" s="230"/>
      <c r="AY394" s="162"/>
      <c r="AZ394" s="162"/>
      <c r="BA394" s="162"/>
      <c r="BB394" s="162"/>
      <c r="BC394" s="162"/>
      <c r="BD394" s="230"/>
      <c r="BE394" s="230"/>
      <c r="BF394" s="162"/>
      <c r="BG394" s="162"/>
      <c r="BH394" s="162"/>
      <c r="BI394" s="162"/>
      <c r="BJ394" s="162"/>
      <c r="BK394" s="230"/>
      <c r="BL394" s="230"/>
      <c r="BM394" s="162"/>
      <c r="BN394" s="162"/>
      <c r="BO394" s="162"/>
      <c r="BP394" s="162"/>
      <c r="BQ394" s="162"/>
      <c r="BR394" s="230"/>
      <c r="BS394" s="230"/>
      <c r="BT394" s="162"/>
      <c r="BU394" s="162"/>
      <c r="BV394" s="162"/>
      <c r="BW394" s="162"/>
      <c r="BX394" s="162"/>
      <c r="BY394" s="230"/>
      <c r="BZ394" s="230"/>
      <c r="CA394" s="162"/>
      <c r="CB394" s="162"/>
      <c r="CC394" s="162"/>
      <c r="CD394" s="162"/>
      <c r="CE394" s="162"/>
      <c r="CF394" s="230"/>
      <c r="CG394" s="230"/>
      <c r="CH394" s="162"/>
      <c r="CI394" s="162"/>
      <c r="CJ394" s="162"/>
      <c r="CK394" s="162"/>
      <c r="CL394" s="162"/>
      <c r="CM394" s="230"/>
      <c r="CN394" s="230"/>
      <c r="CO394" s="162"/>
      <c r="CP394" s="162"/>
      <c r="CQ394" s="162"/>
      <c r="CR394" s="162"/>
      <c r="CS394" s="162"/>
      <c r="CT394" s="230"/>
      <c r="CU394" s="230"/>
      <c r="CV394" s="162"/>
      <c r="CW394" s="162"/>
      <c r="CX394" s="162"/>
      <c r="CY394" s="162"/>
      <c r="CZ394" s="162"/>
      <c r="DA394" s="230"/>
      <c r="DB394" s="230"/>
      <c r="DC394" s="162"/>
      <c r="DD394" s="162"/>
      <c r="DE394" s="162"/>
      <c r="DF394" s="162"/>
      <c r="DG394" s="162"/>
      <c r="DH394" s="230"/>
      <c r="DI394" s="230"/>
      <c r="DJ394" s="162"/>
      <c r="DK394" s="162"/>
      <c r="DL394" s="50"/>
      <c r="DM394" s="380"/>
      <c r="DN394" s="372"/>
      <c r="DO394" s="372"/>
      <c r="DP394" s="372"/>
      <c r="DQ394" s="372"/>
      <c r="DR394" s="372"/>
      <c r="DS394" s="372"/>
      <c r="DT394" s="88"/>
      <c r="DU394" s="88"/>
      <c r="DV394" s="88"/>
      <c r="DW394" s="50"/>
      <c r="DX394" s="50"/>
      <c r="DY394" s="50"/>
      <c r="DZ394" s="50"/>
      <c r="EA394" s="50"/>
      <c r="EB394" s="50"/>
      <c r="EC394" s="50"/>
      <c r="ED394" s="50"/>
      <c r="EE394" s="50"/>
      <c r="EF394" s="50"/>
      <c r="EG394" s="50"/>
      <c r="EH394" s="50"/>
    </row>
    <row r="395" spans="1:138" x14ac:dyDescent="0.25">
      <c r="A395" s="147"/>
      <c r="B395" s="147"/>
      <c r="C395" s="160"/>
      <c r="D395" s="160"/>
      <c r="E395" s="169"/>
      <c r="F395" s="229"/>
      <c r="G395" s="165"/>
      <c r="H395" s="165"/>
      <c r="I395" s="163"/>
      <c r="J395" s="163"/>
      <c r="K395" s="162"/>
      <c r="L395" s="162"/>
      <c r="M395" s="162"/>
      <c r="N395" s="230"/>
      <c r="O395" s="230"/>
      <c r="P395" s="162"/>
      <c r="Q395" s="162"/>
      <c r="R395" s="162"/>
      <c r="S395" s="162"/>
      <c r="T395" s="162"/>
      <c r="U395" s="230"/>
      <c r="V395" s="230"/>
      <c r="W395" s="162"/>
      <c r="X395" s="162"/>
      <c r="Y395" s="162"/>
      <c r="Z395" s="162"/>
      <c r="AA395" s="162"/>
      <c r="AB395" s="230"/>
      <c r="AC395" s="230"/>
      <c r="AD395" s="162"/>
      <c r="AE395" s="162"/>
      <c r="AF395" s="162"/>
      <c r="AG395" s="162"/>
      <c r="AH395" s="162"/>
      <c r="AI395" s="230"/>
      <c r="AJ395" s="230"/>
      <c r="AK395" s="162"/>
      <c r="AL395" s="162"/>
      <c r="AM395" s="162"/>
      <c r="AN395" s="162"/>
      <c r="AO395" s="162"/>
      <c r="AP395" s="230"/>
      <c r="AQ395" s="230"/>
      <c r="AR395" s="162"/>
      <c r="AS395" s="162"/>
      <c r="AT395" s="162"/>
      <c r="AU395" s="162"/>
      <c r="AV395" s="162"/>
      <c r="AW395" s="230"/>
      <c r="AX395" s="230"/>
      <c r="AY395" s="162"/>
      <c r="AZ395" s="162"/>
      <c r="BA395" s="162"/>
      <c r="BB395" s="162"/>
      <c r="BC395" s="162"/>
      <c r="BD395" s="230"/>
      <c r="BE395" s="230"/>
      <c r="BF395" s="162"/>
      <c r="BG395" s="162"/>
      <c r="BH395" s="162"/>
      <c r="BI395" s="162"/>
      <c r="BJ395" s="162"/>
      <c r="BK395" s="230"/>
      <c r="BL395" s="230"/>
      <c r="BM395" s="162"/>
      <c r="BN395" s="162"/>
      <c r="BO395" s="162"/>
      <c r="BP395" s="162"/>
      <c r="BQ395" s="162"/>
      <c r="BR395" s="230"/>
      <c r="BS395" s="230"/>
      <c r="BT395" s="162"/>
      <c r="BU395" s="162"/>
      <c r="BV395" s="162"/>
      <c r="BW395" s="162"/>
      <c r="BX395" s="162"/>
      <c r="BY395" s="230"/>
      <c r="BZ395" s="230"/>
      <c r="CA395" s="162"/>
      <c r="CB395" s="162"/>
      <c r="CC395" s="162"/>
      <c r="CD395" s="162"/>
      <c r="CE395" s="162"/>
      <c r="CF395" s="230"/>
      <c r="CG395" s="230"/>
      <c r="CH395" s="162"/>
      <c r="CI395" s="162"/>
      <c r="CJ395" s="162"/>
      <c r="CK395" s="162"/>
      <c r="CL395" s="162"/>
      <c r="CM395" s="230"/>
      <c r="CN395" s="230"/>
      <c r="CO395" s="162"/>
      <c r="CP395" s="162"/>
      <c r="CQ395" s="162"/>
      <c r="CR395" s="162"/>
      <c r="CS395" s="162"/>
      <c r="CT395" s="230"/>
      <c r="CU395" s="230"/>
      <c r="CV395" s="162"/>
      <c r="CW395" s="162"/>
      <c r="CX395" s="162"/>
      <c r="CY395" s="162"/>
      <c r="CZ395" s="162"/>
      <c r="DA395" s="230"/>
      <c r="DB395" s="230"/>
      <c r="DC395" s="162"/>
      <c r="DD395" s="162"/>
      <c r="DE395" s="162"/>
      <c r="DF395" s="162"/>
      <c r="DG395" s="162"/>
      <c r="DH395" s="230"/>
      <c r="DI395" s="230"/>
      <c r="DJ395" s="162"/>
      <c r="DK395" s="162"/>
      <c r="DL395" s="75"/>
      <c r="DM395" s="380"/>
      <c r="DN395" s="372"/>
      <c r="DO395" s="372"/>
      <c r="DP395" s="372"/>
      <c r="DQ395" s="372"/>
      <c r="DR395" s="372"/>
      <c r="DS395" s="372"/>
      <c r="DT395" s="146"/>
      <c r="DU395" s="146"/>
      <c r="DV395" s="146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</row>
    <row r="396" spans="1:138" x14ac:dyDescent="0.25">
      <c r="A396" s="147"/>
      <c r="B396" s="147"/>
      <c r="C396" s="160"/>
      <c r="D396" s="160"/>
      <c r="E396" s="169"/>
      <c r="F396" s="229"/>
      <c r="G396" s="165"/>
      <c r="H396" s="165"/>
      <c r="I396" s="163"/>
      <c r="J396" s="163"/>
      <c r="K396" s="162"/>
      <c r="L396" s="162"/>
      <c r="M396" s="162"/>
      <c r="N396" s="230"/>
      <c r="O396" s="230"/>
      <c r="P396" s="162"/>
      <c r="Q396" s="162"/>
      <c r="R396" s="162"/>
      <c r="S396" s="162"/>
      <c r="T396" s="162"/>
      <c r="U396" s="230"/>
      <c r="V396" s="230"/>
      <c r="W396" s="162"/>
      <c r="X396" s="162"/>
      <c r="Y396" s="162"/>
      <c r="Z396" s="162"/>
      <c r="AA396" s="162"/>
      <c r="AB396" s="230"/>
      <c r="AC396" s="230"/>
      <c r="AD396" s="162"/>
      <c r="AE396" s="162"/>
      <c r="AF396" s="162"/>
      <c r="AG396" s="162"/>
      <c r="AH396" s="162"/>
      <c r="AI396" s="230"/>
      <c r="AJ396" s="230"/>
      <c r="AK396" s="162"/>
      <c r="AL396" s="162"/>
      <c r="AM396" s="162"/>
      <c r="AN396" s="162"/>
      <c r="AO396" s="162"/>
      <c r="AP396" s="230"/>
      <c r="AQ396" s="230"/>
      <c r="AR396" s="162"/>
      <c r="AS396" s="162"/>
      <c r="AT396" s="162"/>
      <c r="AU396" s="162"/>
      <c r="AV396" s="162"/>
      <c r="AW396" s="230"/>
      <c r="AX396" s="230"/>
      <c r="AY396" s="162"/>
      <c r="AZ396" s="162"/>
      <c r="BA396" s="162"/>
      <c r="BB396" s="162"/>
      <c r="BC396" s="162"/>
      <c r="BD396" s="230"/>
      <c r="BE396" s="230"/>
      <c r="BF396" s="162"/>
      <c r="BG396" s="162"/>
      <c r="BH396" s="162"/>
      <c r="BI396" s="162"/>
      <c r="BJ396" s="162"/>
      <c r="BK396" s="230"/>
      <c r="BL396" s="230"/>
      <c r="BM396" s="162"/>
      <c r="BN396" s="162"/>
      <c r="BO396" s="162"/>
      <c r="BP396" s="162"/>
      <c r="BQ396" s="162"/>
      <c r="BR396" s="230"/>
      <c r="BS396" s="230"/>
      <c r="BT396" s="162"/>
      <c r="BU396" s="162"/>
      <c r="BV396" s="162"/>
      <c r="BW396" s="162"/>
      <c r="BX396" s="162"/>
      <c r="BY396" s="230"/>
      <c r="BZ396" s="230"/>
      <c r="CA396" s="162"/>
      <c r="CB396" s="162"/>
      <c r="CC396" s="162"/>
      <c r="CD396" s="162"/>
      <c r="CE396" s="162"/>
      <c r="CF396" s="230"/>
      <c r="CG396" s="230"/>
      <c r="CH396" s="162"/>
      <c r="CI396" s="162"/>
      <c r="CJ396" s="162"/>
      <c r="CK396" s="162"/>
      <c r="CL396" s="162"/>
      <c r="CM396" s="230"/>
      <c r="CN396" s="230"/>
      <c r="CO396" s="162"/>
      <c r="CP396" s="162"/>
      <c r="CQ396" s="162"/>
      <c r="CR396" s="162"/>
      <c r="CS396" s="162"/>
      <c r="CT396" s="230"/>
      <c r="CU396" s="230"/>
      <c r="CV396" s="162"/>
      <c r="CW396" s="162"/>
      <c r="CX396" s="162"/>
      <c r="CY396" s="162"/>
      <c r="CZ396" s="162"/>
      <c r="DA396" s="230"/>
      <c r="DB396" s="230"/>
      <c r="DC396" s="162"/>
      <c r="DD396" s="162"/>
      <c r="DE396" s="162"/>
      <c r="DF396" s="162"/>
      <c r="DG396" s="162"/>
      <c r="DH396" s="230"/>
      <c r="DI396" s="230"/>
      <c r="DJ396" s="162"/>
      <c r="DK396" s="162"/>
      <c r="DL396" s="75"/>
      <c r="DM396" s="88"/>
      <c r="DN396" s="88"/>
      <c r="DO396" s="88"/>
      <c r="DP396" s="88"/>
      <c r="DQ396" s="88"/>
      <c r="DR396" s="88"/>
      <c r="DS396" s="88"/>
      <c r="DT396" s="88"/>
      <c r="DU396" s="88"/>
      <c r="DV396" s="88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</row>
    <row r="397" spans="1:138" x14ac:dyDescent="0.25">
      <c r="A397" s="147"/>
      <c r="B397" s="147"/>
      <c r="C397" s="160"/>
      <c r="D397" s="160"/>
      <c r="E397" s="169"/>
      <c r="F397" s="229"/>
      <c r="G397" s="165"/>
      <c r="H397" s="165"/>
      <c r="I397" s="163"/>
      <c r="J397" s="163"/>
      <c r="K397" s="162"/>
      <c r="L397" s="162"/>
      <c r="M397" s="162"/>
      <c r="N397" s="230"/>
      <c r="O397" s="230"/>
      <c r="P397" s="162"/>
      <c r="Q397" s="162"/>
      <c r="R397" s="162"/>
      <c r="S397" s="162"/>
      <c r="T397" s="162"/>
      <c r="U397" s="230"/>
      <c r="V397" s="230"/>
      <c r="W397" s="162"/>
      <c r="X397" s="162"/>
      <c r="Y397" s="162"/>
      <c r="Z397" s="162"/>
      <c r="AA397" s="162"/>
      <c r="AB397" s="230"/>
      <c r="AC397" s="230"/>
      <c r="AD397" s="162"/>
      <c r="AE397" s="162"/>
      <c r="AF397" s="162"/>
      <c r="AG397" s="162"/>
      <c r="AH397" s="162"/>
      <c r="AI397" s="230"/>
      <c r="AJ397" s="230"/>
      <c r="AK397" s="162"/>
      <c r="AL397" s="162"/>
      <c r="AM397" s="162"/>
      <c r="AN397" s="162"/>
      <c r="AO397" s="162"/>
      <c r="AP397" s="230"/>
      <c r="AQ397" s="230"/>
      <c r="AR397" s="162"/>
      <c r="AS397" s="162"/>
      <c r="AT397" s="162"/>
      <c r="AU397" s="162"/>
      <c r="AV397" s="162"/>
      <c r="AW397" s="230"/>
      <c r="AX397" s="230"/>
      <c r="AY397" s="162"/>
      <c r="AZ397" s="162"/>
      <c r="BA397" s="162"/>
      <c r="BB397" s="162"/>
      <c r="BC397" s="162"/>
      <c r="BD397" s="230"/>
      <c r="BE397" s="230"/>
      <c r="BF397" s="162"/>
      <c r="BG397" s="162"/>
      <c r="BH397" s="162"/>
      <c r="BI397" s="162"/>
      <c r="BJ397" s="162"/>
      <c r="BK397" s="230"/>
      <c r="BL397" s="230"/>
      <c r="BM397" s="162"/>
      <c r="BN397" s="162"/>
      <c r="BO397" s="162"/>
      <c r="BP397" s="162"/>
      <c r="BQ397" s="162"/>
      <c r="BR397" s="230"/>
      <c r="BS397" s="230"/>
      <c r="BT397" s="162"/>
      <c r="BU397" s="162"/>
      <c r="BV397" s="162"/>
      <c r="BW397" s="162"/>
      <c r="BX397" s="162"/>
      <c r="BY397" s="230"/>
      <c r="BZ397" s="230"/>
      <c r="CA397" s="162"/>
      <c r="CB397" s="162"/>
      <c r="CC397" s="162"/>
      <c r="CD397" s="162"/>
      <c r="CE397" s="162"/>
      <c r="CF397" s="230"/>
      <c r="CG397" s="230"/>
      <c r="CH397" s="162"/>
      <c r="CI397" s="162"/>
      <c r="CJ397" s="162"/>
      <c r="CK397" s="162"/>
      <c r="CL397" s="162"/>
      <c r="CM397" s="230"/>
      <c r="CN397" s="230"/>
      <c r="CO397" s="162"/>
      <c r="CP397" s="162"/>
      <c r="CQ397" s="162"/>
      <c r="CR397" s="162"/>
      <c r="CS397" s="162"/>
      <c r="CT397" s="230"/>
      <c r="CU397" s="230"/>
      <c r="CV397" s="162"/>
      <c r="CW397" s="162"/>
      <c r="CX397" s="162"/>
      <c r="CY397" s="162"/>
      <c r="CZ397" s="162"/>
      <c r="DA397" s="230"/>
      <c r="DB397" s="230"/>
      <c r="DC397" s="162"/>
      <c r="DD397" s="162"/>
      <c r="DE397" s="162"/>
      <c r="DF397" s="162"/>
      <c r="DG397" s="162"/>
      <c r="DH397" s="230"/>
      <c r="DI397" s="230"/>
      <c r="DJ397" s="162"/>
      <c r="DK397" s="162"/>
      <c r="DL397" s="146"/>
      <c r="DM397" s="380"/>
      <c r="DN397" s="372"/>
      <c r="DO397" s="372"/>
      <c r="DP397" s="372"/>
      <c r="DQ397" s="372"/>
      <c r="DR397" s="372"/>
      <c r="DS397" s="372"/>
      <c r="DT397" s="88"/>
      <c r="DU397" s="88"/>
      <c r="DV397" s="88"/>
      <c r="DW397" s="146"/>
      <c r="DX397" s="146"/>
      <c r="DY397" s="146"/>
      <c r="DZ397" s="146"/>
      <c r="EA397" s="146"/>
      <c r="EB397" s="146"/>
      <c r="EC397" s="146"/>
      <c r="ED397" s="146"/>
      <c r="EE397" s="146"/>
      <c r="EF397" s="146"/>
      <c r="EG397" s="146"/>
      <c r="EH397" s="146"/>
    </row>
    <row r="398" spans="1:138" x14ac:dyDescent="0.25">
      <c r="A398" s="147"/>
      <c r="B398" s="147"/>
      <c r="C398" s="160"/>
      <c r="D398" s="160"/>
      <c r="E398" s="169"/>
      <c r="F398" s="229"/>
      <c r="G398" s="165"/>
      <c r="H398" s="165"/>
      <c r="I398" s="163"/>
      <c r="J398" s="163"/>
      <c r="K398" s="162"/>
      <c r="L398" s="162"/>
      <c r="M398" s="162"/>
      <c r="N398" s="230"/>
      <c r="O398" s="230"/>
      <c r="P398" s="162"/>
      <c r="Q398" s="162"/>
      <c r="R398" s="162"/>
      <c r="S398" s="162"/>
      <c r="T398" s="162"/>
      <c r="U398" s="230"/>
      <c r="V398" s="230"/>
      <c r="W398" s="162"/>
      <c r="X398" s="162"/>
      <c r="Y398" s="162"/>
      <c r="Z398" s="162"/>
      <c r="AA398" s="162"/>
      <c r="AB398" s="230"/>
      <c r="AC398" s="230"/>
      <c r="AD398" s="162"/>
      <c r="AE398" s="162"/>
      <c r="AF398" s="162"/>
      <c r="AG398" s="162"/>
      <c r="AH398" s="162"/>
      <c r="AI398" s="230"/>
      <c r="AJ398" s="230"/>
      <c r="AK398" s="162"/>
      <c r="AL398" s="162"/>
      <c r="AM398" s="162"/>
      <c r="AN398" s="162"/>
      <c r="AO398" s="162"/>
      <c r="AP398" s="230"/>
      <c r="AQ398" s="230"/>
      <c r="AR398" s="162"/>
      <c r="AS398" s="162"/>
      <c r="AT398" s="162"/>
      <c r="AU398" s="162"/>
      <c r="AV398" s="162"/>
      <c r="AW398" s="230"/>
      <c r="AX398" s="230"/>
      <c r="AY398" s="162"/>
      <c r="AZ398" s="162"/>
      <c r="BA398" s="162"/>
      <c r="BB398" s="162"/>
      <c r="BC398" s="162"/>
      <c r="BD398" s="230"/>
      <c r="BE398" s="230"/>
      <c r="BF398" s="162"/>
      <c r="BG398" s="162"/>
      <c r="BH398" s="162"/>
      <c r="BI398" s="162"/>
      <c r="BJ398" s="162"/>
      <c r="BK398" s="230"/>
      <c r="BL398" s="230"/>
      <c r="BM398" s="162"/>
      <c r="BN398" s="162"/>
      <c r="BO398" s="162"/>
      <c r="BP398" s="162"/>
      <c r="BQ398" s="162"/>
      <c r="BR398" s="230"/>
      <c r="BS398" s="230"/>
      <c r="BT398" s="162"/>
      <c r="BU398" s="162"/>
      <c r="BV398" s="162"/>
      <c r="BW398" s="162"/>
      <c r="BX398" s="162"/>
      <c r="BY398" s="230"/>
      <c r="BZ398" s="230"/>
      <c r="CA398" s="162"/>
      <c r="CB398" s="162"/>
      <c r="CC398" s="162"/>
      <c r="CD398" s="162"/>
      <c r="CE398" s="162"/>
      <c r="CF398" s="230"/>
      <c r="CG398" s="230"/>
      <c r="CH398" s="162"/>
      <c r="CI398" s="162"/>
      <c r="CJ398" s="162"/>
      <c r="CK398" s="162"/>
      <c r="CL398" s="162"/>
      <c r="CM398" s="230"/>
      <c r="CN398" s="230"/>
      <c r="CO398" s="162"/>
      <c r="CP398" s="162"/>
      <c r="CQ398" s="162"/>
      <c r="CR398" s="162"/>
      <c r="CS398" s="162"/>
      <c r="CT398" s="230"/>
      <c r="CU398" s="230"/>
      <c r="CV398" s="162"/>
      <c r="CW398" s="162"/>
      <c r="CX398" s="162"/>
      <c r="CY398" s="162"/>
      <c r="CZ398" s="162"/>
      <c r="DA398" s="230"/>
      <c r="DB398" s="230"/>
      <c r="DC398" s="162"/>
      <c r="DD398" s="162"/>
      <c r="DE398" s="162"/>
      <c r="DF398" s="162"/>
      <c r="DG398" s="162"/>
      <c r="DH398" s="230"/>
      <c r="DI398" s="230"/>
      <c r="DJ398" s="162"/>
      <c r="DK398" s="162"/>
      <c r="DL398" s="146"/>
      <c r="DM398" s="380"/>
      <c r="DN398" s="372"/>
      <c r="DO398" s="372"/>
      <c r="DP398" s="372"/>
      <c r="DQ398" s="372"/>
      <c r="DR398" s="372"/>
      <c r="DS398" s="372"/>
      <c r="DT398" s="89"/>
      <c r="DU398" s="89"/>
      <c r="DV398" s="89"/>
      <c r="DW398" s="146"/>
      <c r="DX398" s="146"/>
      <c r="DY398" s="146"/>
      <c r="DZ398" s="146"/>
      <c r="EA398" s="146"/>
      <c r="EB398" s="146"/>
      <c r="EC398" s="146"/>
      <c r="ED398" s="146"/>
      <c r="EE398" s="146"/>
      <c r="EF398" s="146"/>
      <c r="EG398" s="146"/>
      <c r="EH398" s="146"/>
    </row>
    <row r="399" spans="1:138" x14ac:dyDescent="0.25">
      <c r="A399" s="147"/>
      <c r="B399" s="147"/>
      <c r="C399" s="160"/>
      <c r="D399" s="160"/>
      <c r="E399" s="169"/>
      <c r="F399" s="229"/>
      <c r="G399" s="165"/>
      <c r="H399" s="165"/>
      <c r="I399" s="163"/>
      <c r="J399" s="163"/>
      <c r="K399" s="162"/>
      <c r="L399" s="162"/>
      <c r="M399" s="162"/>
      <c r="N399" s="230"/>
      <c r="O399" s="230"/>
      <c r="P399" s="162"/>
      <c r="Q399" s="162"/>
      <c r="R399" s="162"/>
      <c r="S399" s="162"/>
      <c r="T399" s="162"/>
      <c r="U399" s="230"/>
      <c r="V399" s="230"/>
      <c r="W399" s="162"/>
      <c r="X399" s="162"/>
      <c r="Y399" s="162"/>
      <c r="Z399" s="162"/>
      <c r="AA399" s="162"/>
      <c r="AB399" s="230"/>
      <c r="AC399" s="230"/>
      <c r="AD399" s="162"/>
      <c r="AE399" s="162"/>
      <c r="AF399" s="162"/>
      <c r="AG399" s="162"/>
      <c r="AH399" s="162"/>
      <c r="AI399" s="230"/>
      <c r="AJ399" s="230"/>
      <c r="AK399" s="162"/>
      <c r="AL399" s="162"/>
      <c r="AM399" s="162"/>
      <c r="AN399" s="162"/>
      <c r="AO399" s="162"/>
      <c r="AP399" s="230"/>
      <c r="AQ399" s="230"/>
      <c r="AR399" s="162"/>
      <c r="AS399" s="162"/>
      <c r="AT399" s="162"/>
      <c r="AU399" s="162"/>
      <c r="AV399" s="162"/>
      <c r="AW399" s="230"/>
      <c r="AX399" s="230"/>
      <c r="AY399" s="162"/>
      <c r="AZ399" s="162"/>
      <c r="BA399" s="162"/>
      <c r="BB399" s="162"/>
      <c r="BC399" s="162"/>
      <c r="BD399" s="230"/>
      <c r="BE399" s="230"/>
      <c r="BF399" s="162"/>
      <c r="BG399" s="162"/>
      <c r="BH399" s="162"/>
      <c r="BI399" s="162"/>
      <c r="BJ399" s="162"/>
      <c r="BK399" s="230"/>
      <c r="BL399" s="230"/>
      <c r="BM399" s="162"/>
      <c r="BN399" s="162"/>
      <c r="BO399" s="162"/>
      <c r="BP399" s="162"/>
      <c r="BQ399" s="162"/>
      <c r="BR399" s="230"/>
      <c r="BS399" s="230"/>
      <c r="BT399" s="162"/>
      <c r="BU399" s="162"/>
      <c r="BV399" s="162"/>
      <c r="BW399" s="162"/>
      <c r="BX399" s="162"/>
      <c r="BY399" s="230"/>
      <c r="BZ399" s="230"/>
      <c r="CA399" s="162"/>
      <c r="CB399" s="162"/>
      <c r="CC399" s="162"/>
      <c r="CD399" s="162"/>
      <c r="CE399" s="162"/>
      <c r="CF399" s="230"/>
      <c r="CG399" s="230"/>
      <c r="CH399" s="162"/>
      <c r="CI399" s="162"/>
      <c r="CJ399" s="162"/>
      <c r="CK399" s="162"/>
      <c r="CL399" s="162"/>
      <c r="CM399" s="230"/>
      <c r="CN399" s="230"/>
      <c r="CO399" s="162"/>
      <c r="CP399" s="162"/>
      <c r="CQ399" s="162"/>
      <c r="CR399" s="162"/>
      <c r="CS399" s="162"/>
      <c r="CT399" s="230"/>
      <c r="CU399" s="230"/>
      <c r="CV399" s="162"/>
      <c r="CW399" s="162"/>
      <c r="CX399" s="162"/>
      <c r="CY399" s="162"/>
      <c r="CZ399" s="162"/>
      <c r="DA399" s="230"/>
      <c r="DB399" s="230"/>
      <c r="DC399" s="162"/>
      <c r="DD399" s="162"/>
      <c r="DE399" s="162"/>
      <c r="DF399" s="162"/>
      <c r="DG399" s="162"/>
      <c r="DH399" s="230"/>
      <c r="DI399" s="230"/>
      <c r="DJ399" s="162"/>
      <c r="DK399" s="162"/>
      <c r="DL399" s="146"/>
      <c r="DM399" s="88"/>
      <c r="DN399" s="88"/>
      <c r="DO399" s="88"/>
      <c r="DP399" s="88"/>
      <c r="DQ399" s="88"/>
      <c r="DR399" s="88"/>
      <c r="DS399" s="88"/>
      <c r="DT399" s="88"/>
      <c r="DU399" s="88"/>
      <c r="DV399" s="88"/>
      <c r="DW399" s="146"/>
      <c r="DX399" s="146"/>
      <c r="DY399" s="146"/>
      <c r="DZ399" s="146"/>
      <c r="EA399" s="146"/>
      <c r="EB399" s="146"/>
      <c r="EC399" s="146"/>
      <c r="ED399" s="146"/>
      <c r="EE399" s="146"/>
      <c r="EF399" s="146"/>
      <c r="EG399" s="146"/>
      <c r="EH399" s="146"/>
    </row>
    <row r="400" spans="1:138" x14ac:dyDescent="0.25">
      <c r="A400" s="147"/>
      <c r="B400" s="147"/>
      <c r="C400" s="160"/>
      <c r="D400" s="160"/>
      <c r="E400" s="169"/>
      <c r="F400" s="229"/>
      <c r="G400" s="165"/>
      <c r="H400" s="165"/>
      <c r="I400" s="163"/>
      <c r="J400" s="163"/>
      <c r="K400" s="162"/>
      <c r="L400" s="162"/>
      <c r="M400" s="162"/>
      <c r="N400" s="230"/>
      <c r="O400" s="230"/>
      <c r="P400" s="162"/>
      <c r="Q400" s="162"/>
      <c r="R400" s="162"/>
      <c r="S400" s="162"/>
      <c r="T400" s="162"/>
      <c r="U400" s="230"/>
      <c r="V400" s="230"/>
      <c r="W400" s="162"/>
      <c r="X400" s="162"/>
      <c r="Y400" s="162"/>
      <c r="Z400" s="162"/>
      <c r="AA400" s="162"/>
      <c r="AB400" s="230"/>
      <c r="AC400" s="230"/>
      <c r="AD400" s="162"/>
      <c r="AE400" s="162"/>
      <c r="AF400" s="162"/>
      <c r="AG400" s="162"/>
      <c r="AH400" s="162"/>
      <c r="AI400" s="230"/>
      <c r="AJ400" s="230"/>
      <c r="AK400" s="162"/>
      <c r="AL400" s="162"/>
      <c r="AM400" s="162"/>
      <c r="AN400" s="162"/>
      <c r="AO400" s="162"/>
      <c r="AP400" s="230"/>
      <c r="AQ400" s="230"/>
      <c r="AR400" s="162"/>
      <c r="AS400" s="162"/>
      <c r="AT400" s="162"/>
      <c r="AU400" s="162"/>
      <c r="AV400" s="162"/>
      <c r="AW400" s="230"/>
      <c r="AX400" s="230"/>
      <c r="AY400" s="162"/>
      <c r="AZ400" s="162"/>
      <c r="BA400" s="162"/>
      <c r="BB400" s="162"/>
      <c r="BC400" s="162"/>
      <c r="BD400" s="230"/>
      <c r="BE400" s="230"/>
      <c r="BF400" s="162"/>
      <c r="BG400" s="162"/>
      <c r="BH400" s="162"/>
      <c r="BI400" s="162"/>
      <c r="BJ400" s="162"/>
      <c r="BK400" s="230"/>
      <c r="BL400" s="230"/>
      <c r="BM400" s="162"/>
      <c r="BN400" s="162"/>
      <c r="BO400" s="162"/>
      <c r="BP400" s="162"/>
      <c r="BQ400" s="162"/>
      <c r="BR400" s="230"/>
      <c r="BS400" s="230"/>
      <c r="BT400" s="162"/>
      <c r="BU400" s="162"/>
      <c r="BV400" s="162"/>
      <c r="BW400" s="162"/>
      <c r="BX400" s="162"/>
      <c r="BY400" s="230"/>
      <c r="BZ400" s="230"/>
      <c r="CA400" s="162"/>
      <c r="CB400" s="162"/>
      <c r="CC400" s="162"/>
      <c r="CD400" s="162"/>
      <c r="CE400" s="162"/>
      <c r="CF400" s="230"/>
      <c r="CG400" s="230"/>
      <c r="CH400" s="162"/>
      <c r="CI400" s="162"/>
      <c r="CJ400" s="162"/>
      <c r="CK400" s="162"/>
      <c r="CL400" s="162"/>
      <c r="CM400" s="230"/>
      <c r="CN400" s="230"/>
      <c r="CO400" s="162"/>
      <c r="CP400" s="162"/>
      <c r="CQ400" s="162"/>
      <c r="CR400" s="162"/>
      <c r="CS400" s="162"/>
      <c r="CT400" s="230"/>
      <c r="CU400" s="230"/>
      <c r="CV400" s="162"/>
      <c r="CW400" s="162"/>
      <c r="CX400" s="162"/>
      <c r="CY400" s="162"/>
      <c r="CZ400" s="162"/>
      <c r="DA400" s="230"/>
      <c r="DB400" s="230"/>
      <c r="DC400" s="162"/>
      <c r="DD400" s="162"/>
      <c r="DE400" s="162"/>
      <c r="DF400" s="162"/>
      <c r="DG400" s="162"/>
      <c r="DH400" s="230"/>
      <c r="DI400" s="230"/>
      <c r="DJ400" s="162"/>
      <c r="DK400" s="162"/>
      <c r="DL400" s="146"/>
      <c r="DM400" s="371"/>
      <c r="DN400" s="372"/>
      <c r="DO400" s="372"/>
      <c r="DP400" s="372"/>
      <c r="DQ400" s="372"/>
      <c r="DR400" s="372"/>
      <c r="DS400" s="372"/>
      <c r="DT400" s="372"/>
      <c r="DU400" s="372"/>
      <c r="DV400" s="372"/>
      <c r="DW400" s="146"/>
      <c r="DX400" s="146"/>
      <c r="DY400" s="146"/>
      <c r="DZ400" s="146"/>
      <c r="EA400" s="146"/>
      <c r="EB400" s="146"/>
      <c r="EC400" s="146"/>
      <c r="ED400" s="146"/>
      <c r="EE400" s="146"/>
      <c r="EF400" s="146"/>
      <c r="EG400" s="146"/>
      <c r="EH400" s="146"/>
    </row>
    <row r="401" spans="1:138" x14ac:dyDescent="0.25">
      <c r="A401" s="147"/>
      <c r="B401" s="147"/>
      <c r="C401" s="160"/>
      <c r="D401" s="160"/>
      <c r="E401" s="169"/>
      <c r="F401" s="229"/>
      <c r="G401" s="165"/>
      <c r="H401" s="165"/>
      <c r="I401" s="163"/>
      <c r="J401" s="163"/>
      <c r="K401" s="162"/>
      <c r="L401" s="162"/>
      <c r="M401" s="162"/>
      <c r="N401" s="230"/>
      <c r="O401" s="230"/>
      <c r="P401" s="162"/>
      <c r="Q401" s="162"/>
      <c r="R401" s="162"/>
      <c r="S401" s="162"/>
      <c r="T401" s="162"/>
      <c r="U401" s="230"/>
      <c r="V401" s="230"/>
      <c r="W401" s="162"/>
      <c r="X401" s="162"/>
      <c r="Y401" s="162"/>
      <c r="Z401" s="162"/>
      <c r="AA401" s="162"/>
      <c r="AB401" s="230"/>
      <c r="AC401" s="230"/>
      <c r="AD401" s="162"/>
      <c r="AE401" s="162"/>
      <c r="AF401" s="162"/>
      <c r="AG401" s="162"/>
      <c r="AH401" s="162"/>
      <c r="AI401" s="230"/>
      <c r="AJ401" s="230"/>
      <c r="AK401" s="162"/>
      <c r="AL401" s="162"/>
      <c r="AM401" s="162"/>
      <c r="AN401" s="162"/>
      <c r="AO401" s="162"/>
      <c r="AP401" s="230"/>
      <c r="AQ401" s="230"/>
      <c r="AR401" s="162"/>
      <c r="AS401" s="162"/>
      <c r="AT401" s="162"/>
      <c r="AU401" s="162"/>
      <c r="AV401" s="162"/>
      <c r="AW401" s="230"/>
      <c r="AX401" s="230"/>
      <c r="AY401" s="162"/>
      <c r="AZ401" s="162"/>
      <c r="BA401" s="162"/>
      <c r="BB401" s="162"/>
      <c r="BC401" s="162"/>
      <c r="BD401" s="230"/>
      <c r="BE401" s="230"/>
      <c r="BF401" s="162"/>
      <c r="BG401" s="162"/>
      <c r="BH401" s="162"/>
      <c r="BI401" s="162"/>
      <c r="BJ401" s="162"/>
      <c r="BK401" s="230"/>
      <c r="BL401" s="230"/>
      <c r="BM401" s="162"/>
      <c r="BN401" s="162"/>
      <c r="BO401" s="162"/>
      <c r="BP401" s="162"/>
      <c r="BQ401" s="162"/>
      <c r="BR401" s="230"/>
      <c r="BS401" s="230"/>
      <c r="BT401" s="162"/>
      <c r="BU401" s="162"/>
      <c r="BV401" s="162"/>
      <c r="BW401" s="162"/>
      <c r="BX401" s="162"/>
      <c r="BY401" s="230"/>
      <c r="BZ401" s="230"/>
      <c r="CA401" s="162"/>
      <c r="CB401" s="162"/>
      <c r="CC401" s="162"/>
      <c r="CD401" s="162"/>
      <c r="CE401" s="162"/>
      <c r="CF401" s="230"/>
      <c r="CG401" s="230"/>
      <c r="CH401" s="162"/>
      <c r="CI401" s="162"/>
      <c r="CJ401" s="162"/>
      <c r="CK401" s="162"/>
      <c r="CL401" s="162"/>
      <c r="CM401" s="230"/>
      <c r="CN401" s="230"/>
      <c r="CO401" s="162"/>
      <c r="CP401" s="162"/>
      <c r="CQ401" s="162"/>
      <c r="CR401" s="162"/>
      <c r="CS401" s="162"/>
      <c r="CT401" s="230"/>
      <c r="CU401" s="230"/>
      <c r="CV401" s="162"/>
      <c r="CW401" s="162"/>
      <c r="CX401" s="162"/>
      <c r="CY401" s="162"/>
      <c r="CZ401" s="162"/>
      <c r="DA401" s="230"/>
      <c r="DB401" s="230"/>
      <c r="DC401" s="162"/>
      <c r="DD401" s="162"/>
      <c r="DE401" s="162"/>
      <c r="DF401" s="162"/>
      <c r="DG401" s="162"/>
      <c r="DH401" s="230"/>
      <c r="DI401" s="230"/>
      <c r="DJ401" s="162"/>
      <c r="DK401" s="162"/>
      <c r="DL401" s="146"/>
      <c r="DM401" s="371"/>
      <c r="DN401" s="372"/>
      <c r="DO401" s="372"/>
      <c r="DP401" s="372"/>
      <c r="DQ401" s="372"/>
      <c r="DR401" s="372"/>
      <c r="DS401" s="372"/>
      <c r="DT401" s="372"/>
      <c r="DU401" s="372"/>
      <c r="DV401" s="372"/>
      <c r="DW401" s="146"/>
      <c r="DX401" s="146"/>
      <c r="DY401" s="146"/>
      <c r="DZ401" s="146"/>
      <c r="EA401" s="146"/>
      <c r="EB401" s="146"/>
      <c r="EC401" s="146"/>
      <c r="ED401" s="146"/>
      <c r="EE401" s="146"/>
      <c r="EF401" s="146"/>
      <c r="EG401" s="146"/>
      <c r="EH401" s="146"/>
    </row>
    <row r="402" spans="1:138" x14ac:dyDescent="0.25">
      <c r="A402" s="147"/>
      <c r="B402" s="147"/>
      <c r="C402" s="160"/>
      <c r="D402" s="160"/>
      <c r="E402" s="169"/>
      <c r="F402" s="229"/>
      <c r="G402" s="165"/>
      <c r="H402" s="165"/>
      <c r="I402" s="163"/>
      <c r="J402" s="163"/>
      <c r="K402" s="162"/>
      <c r="L402" s="162"/>
      <c r="M402" s="162"/>
      <c r="N402" s="230"/>
      <c r="O402" s="230"/>
      <c r="P402" s="162"/>
      <c r="Q402" s="162"/>
      <c r="R402" s="162"/>
      <c r="S402" s="162"/>
      <c r="T402" s="162"/>
      <c r="U402" s="230"/>
      <c r="V402" s="230"/>
      <c r="W402" s="162"/>
      <c r="X402" s="162"/>
      <c r="Y402" s="162"/>
      <c r="Z402" s="162"/>
      <c r="AA402" s="162"/>
      <c r="AB402" s="230"/>
      <c r="AC402" s="230"/>
      <c r="AD402" s="162"/>
      <c r="AE402" s="162"/>
      <c r="AF402" s="162"/>
      <c r="AG402" s="162"/>
      <c r="AH402" s="162"/>
      <c r="AI402" s="230"/>
      <c r="AJ402" s="230"/>
      <c r="AK402" s="162"/>
      <c r="AL402" s="162"/>
      <c r="AM402" s="162"/>
      <c r="AN402" s="162"/>
      <c r="AO402" s="162"/>
      <c r="AP402" s="230"/>
      <c r="AQ402" s="230"/>
      <c r="AR402" s="162"/>
      <c r="AS402" s="162"/>
      <c r="AT402" s="162"/>
      <c r="AU402" s="162"/>
      <c r="AV402" s="162"/>
      <c r="AW402" s="230"/>
      <c r="AX402" s="230"/>
      <c r="AY402" s="162"/>
      <c r="AZ402" s="162"/>
      <c r="BA402" s="162"/>
      <c r="BB402" s="162"/>
      <c r="BC402" s="162"/>
      <c r="BD402" s="230"/>
      <c r="BE402" s="230"/>
      <c r="BF402" s="162"/>
      <c r="BG402" s="162"/>
      <c r="BH402" s="162"/>
      <c r="BI402" s="162"/>
      <c r="BJ402" s="162"/>
      <c r="BK402" s="230"/>
      <c r="BL402" s="230"/>
      <c r="BM402" s="162"/>
      <c r="BN402" s="162"/>
      <c r="BO402" s="162"/>
      <c r="BP402" s="162"/>
      <c r="BQ402" s="162"/>
      <c r="BR402" s="230"/>
      <c r="BS402" s="230"/>
      <c r="BT402" s="162"/>
      <c r="BU402" s="162"/>
      <c r="BV402" s="162"/>
      <c r="BW402" s="162"/>
      <c r="BX402" s="162"/>
      <c r="BY402" s="230"/>
      <c r="BZ402" s="230"/>
      <c r="CA402" s="162"/>
      <c r="CB402" s="162"/>
      <c r="CC402" s="162"/>
      <c r="CD402" s="162"/>
      <c r="CE402" s="162"/>
      <c r="CF402" s="230"/>
      <c r="CG402" s="230"/>
      <c r="CH402" s="162"/>
      <c r="CI402" s="162"/>
      <c r="CJ402" s="162"/>
      <c r="CK402" s="162"/>
      <c r="CL402" s="162"/>
      <c r="CM402" s="230"/>
      <c r="CN402" s="230"/>
      <c r="CO402" s="162"/>
      <c r="CP402" s="162"/>
      <c r="CQ402" s="162"/>
      <c r="CR402" s="162"/>
      <c r="CS402" s="162"/>
      <c r="CT402" s="230"/>
      <c r="CU402" s="230"/>
      <c r="CV402" s="162"/>
      <c r="CW402" s="162"/>
      <c r="CX402" s="162"/>
      <c r="CY402" s="162"/>
      <c r="CZ402" s="162"/>
      <c r="DA402" s="230"/>
      <c r="DB402" s="230"/>
      <c r="DC402" s="162"/>
      <c r="DD402" s="162"/>
      <c r="DE402" s="162"/>
      <c r="DF402" s="162"/>
      <c r="DG402" s="162"/>
      <c r="DH402" s="230"/>
      <c r="DI402" s="230"/>
      <c r="DJ402" s="162"/>
      <c r="DK402" s="162"/>
      <c r="DL402" s="226"/>
      <c r="DM402" s="380"/>
      <c r="DN402" s="372"/>
      <c r="DO402" s="372"/>
      <c r="DP402" s="372"/>
      <c r="DQ402" s="372"/>
      <c r="DR402" s="372"/>
      <c r="DS402" s="372"/>
      <c r="DT402" s="88"/>
      <c r="DU402" s="88"/>
      <c r="DV402" s="88"/>
      <c r="DW402" s="226"/>
      <c r="DX402" s="226"/>
      <c r="DY402" s="226"/>
      <c r="DZ402" s="226"/>
      <c r="EA402" s="226"/>
      <c r="EB402" s="226"/>
      <c r="EC402" s="226"/>
      <c r="ED402" s="226"/>
      <c r="EE402" s="226"/>
      <c r="EF402" s="226"/>
      <c r="EG402" s="226"/>
      <c r="EH402" s="226"/>
    </row>
    <row r="403" spans="1:138" x14ac:dyDescent="0.25">
      <c r="A403" s="147"/>
      <c r="B403" s="147"/>
      <c r="C403" s="160"/>
      <c r="D403" s="160"/>
      <c r="E403" s="169"/>
      <c r="F403" s="229"/>
      <c r="G403" s="165"/>
      <c r="H403" s="165"/>
      <c r="I403" s="163"/>
      <c r="J403" s="163"/>
      <c r="K403" s="162"/>
      <c r="L403" s="162"/>
      <c r="M403" s="162"/>
      <c r="N403" s="230"/>
      <c r="O403" s="230"/>
      <c r="P403" s="162"/>
      <c r="Q403" s="162"/>
      <c r="R403" s="162"/>
      <c r="S403" s="162"/>
      <c r="T403" s="162"/>
      <c r="U403" s="230"/>
      <c r="V403" s="230"/>
      <c r="W403" s="162"/>
      <c r="X403" s="162"/>
      <c r="Y403" s="162"/>
      <c r="Z403" s="162"/>
      <c r="AA403" s="162"/>
      <c r="AB403" s="230"/>
      <c r="AC403" s="230"/>
      <c r="AD403" s="162"/>
      <c r="AE403" s="162"/>
      <c r="AF403" s="162"/>
      <c r="AG403" s="162"/>
      <c r="AH403" s="162"/>
      <c r="AI403" s="230"/>
      <c r="AJ403" s="230"/>
      <c r="AK403" s="162"/>
      <c r="AL403" s="162"/>
      <c r="AM403" s="162"/>
      <c r="AN403" s="162"/>
      <c r="AO403" s="162"/>
      <c r="AP403" s="230"/>
      <c r="AQ403" s="230"/>
      <c r="AR403" s="162"/>
      <c r="AS403" s="162"/>
      <c r="AT403" s="162"/>
      <c r="AU403" s="162"/>
      <c r="AV403" s="162"/>
      <c r="AW403" s="230"/>
      <c r="AX403" s="230"/>
      <c r="AY403" s="162"/>
      <c r="AZ403" s="162"/>
      <c r="BA403" s="162"/>
      <c r="BB403" s="162"/>
      <c r="BC403" s="162"/>
      <c r="BD403" s="230"/>
      <c r="BE403" s="230"/>
      <c r="BF403" s="162"/>
      <c r="BG403" s="162"/>
      <c r="BH403" s="162"/>
      <c r="BI403" s="162"/>
      <c r="BJ403" s="162"/>
      <c r="BK403" s="230"/>
      <c r="BL403" s="230"/>
      <c r="BM403" s="162"/>
      <c r="BN403" s="162"/>
      <c r="BO403" s="162"/>
      <c r="BP403" s="162"/>
      <c r="BQ403" s="162"/>
      <c r="BR403" s="230"/>
      <c r="BS403" s="230"/>
      <c r="BT403" s="162"/>
      <c r="BU403" s="162"/>
      <c r="BV403" s="162"/>
      <c r="BW403" s="162"/>
      <c r="BX403" s="162"/>
      <c r="BY403" s="230"/>
      <c r="BZ403" s="230"/>
      <c r="CA403" s="162"/>
      <c r="CB403" s="162"/>
      <c r="CC403" s="162"/>
      <c r="CD403" s="162"/>
      <c r="CE403" s="162"/>
      <c r="CF403" s="230"/>
      <c r="CG403" s="230"/>
      <c r="CH403" s="162"/>
      <c r="CI403" s="162"/>
      <c r="CJ403" s="162"/>
      <c r="CK403" s="162"/>
      <c r="CL403" s="162"/>
      <c r="CM403" s="230"/>
      <c r="CN403" s="230"/>
      <c r="CO403" s="162"/>
      <c r="CP403" s="162"/>
      <c r="CQ403" s="162"/>
      <c r="CR403" s="162"/>
      <c r="CS403" s="162"/>
      <c r="CT403" s="230"/>
      <c r="CU403" s="230"/>
      <c r="CV403" s="162"/>
      <c r="CW403" s="162"/>
      <c r="CX403" s="162"/>
      <c r="CY403" s="162"/>
      <c r="CZ403" s="162"/>
      <c r="DA403" s="230"/>
      <c r="DB403" s="230"/>
      <c r="DC403" s="162"/>
      <c r="DD403" s="162"/>
      <c r="DE403" s="162"/>
      <c r="DF403" s="162"/>
      <c r="DG403" s="162"/>
      <c r="DH403" s="230"/>
      <c r="DI403" s="230"/>
      <c r="DJ403" s="162"/>
      <c r="DK403" s="162"/>
      <c r="DL403" s="75"/>
      <c r="DM403" s="88"/>
      <c r="DN403" s="88"/>
      <c r="DO403" s="88"/>
      <c r="DP403" s="88"/>
      <c r="DQ403" s="88"/>
      <c r="DR403" s="88"/>
      <c r="DS403" s="88"/>
      <c r="DT403" s="88"/>
      <c r="DU403" s="88"/>
      <c r="DV403" s="88"/>
      <c r="DW403" s="75"/>
      <c r="DX403" s="75"/>
      <c r="DY403" s="75"/>
      <c r="DZ403" s="75"/>
      <c r="EA403" s="75"/>
      <c r="EB403" s="75"/>
      <c r="EC403" s="75"/>
      <c r="ED403" s="75"/>
      <c r="EE403" s="75"/>
      <c r="EF403" s="75"/>
      <c r="EG403" s="75"/>
      <c r="EH403" s="75"/>
    </row>
    <row r="404" spans="1:138" x14ac:dyDescent="0.25">
      <c r="A404" s="147"/>
      <c r="B404" s="147"/>
      <c r="C404" s="160"/>
      <c r="D404" s="160"/>
      <c r="E404" s="169"/>
      <c r="F404" s="229"/>
      <c r="G404" s="165"/>
      <c r="H404" s="165"/>
      <c r="I404" s="163"/>
      <c r="J404" s="163"/>
      <c r="K404" s="162"/>
      <c r="L404" s="162"/>
      <c r="M404" s="162"/>
      <c r="N404" s="230"/>
      <c r="O404" s="230"/>
      <c r="P404" s="162"/>
      <c r="Q404" s="162"/>
      <c r="R404" s="162"/>
      <c r="S404" s="162"/>
      <c r="T404" s="162"/>
      <c r="U404" s="230"/>
      <c r="V404" s="230"/>
      <c r="W404" s="162"/>
      <c r="X404" s="162"/>
      <c r="Y404" s="162"/>
      <c r="Z404" s="162"/>
      <c r="AA404" s="162"/>
      <c r="AB404" s="230"/>
      <c r="AC404" s="230"/>
      <c r="AD404" s="162"/>
      <c r="AE404" s="162"/>
      <c r="AF404" s="162"/>
      <c r="AG404" s="162"/>
      <c r="AH404" s="162"/>
      <c r="AI404" s="230"/>
      <c r="AJ404" s="230"/>
      <c r="AK404" s="162"/>
      <c r="AL404" s="162"/>
      <c r="AM404" s="162"/>
      <c r="AN404" s="162"/>
      <c r="AO404" s="162"/>
      <c r="AP404" s="230"/>
      <c r="AQ404" s="230"/>
      <c r="AR404" s="162"/>
      <c r="AS404" s="162"/>
      <c r="AT404" s="162"/>
      <c r="AU404" s="162"/>
      <c r="AV404" s="162"/>
      <c r="AW404" s="230"/>
      <c r="AX404" s="230"/>
      <c r="AY404" s="162"/>
      <c r="AZ404" s="162"/>
      <c r="BA404" s="162"/>
      <c r="BB404" s="162"/>
      <c r="BC404" s="162"/>
      <c r="BD404" s="230"/>
      <c r="BE404" s="230"/>
      <c r="BF404" s="162"/>
      <c r="BG404" s="162"/>
      <c r="BH404" s="162"/>
      <c r="BI404" s="162"/>
      <c r="BJ404" s="162"/>
      <c r="BK404" s="230"/>
      <c r="BL404" s="230"/>
      <c r="BM404" s="162"/>
      <c r="BN404" s="162"/>
      <c r="BO404" s="162"/>
      <c r="BP404" s="162"/>
      <c r="BQ404" s="162"/>
      <c r="BR404" s="230"/>
      <c r="BS404" s="230"/>
      <c r="BT404" s="162"/>
      <c r="BU404" s="162"/>
      <c r="BV404" s="162"/>
      <c r="BW404" s="162"/>
      <c r="BX404" s="162"/>
      <c r="BY404" s="230"/>
      <c r="BZ404" s="230"/>
      <c r="CA404" s="162"/>
      <c r="CB404" s="162"/>
      <c r="CC404" s="162"/>
      <c r="CD404" s="162"/>
      <c r="CE404" s="162"/>
      <c r="CF404" s="230"/>
      <c r="CG404" s="230"/>
      <c r="CH404" s="162"/>
      <c r="CI404" s="162"/>
      <c r="CJ404" s="162"/>
      <c r="CK404" s="162"/>
      <c r="CL404" s="162"/>
      <c r="CM404" s="230"/>
      <c r="CN404" s="230"/>
      <c r="CO404" s="162"/>
      <c r="CP404" s="162"/>
      <c r="CQ404" s="162"/>
      <c r="CR404" s="162"/>
      <c r="CS404" s="162"/>
      <c r="CT404" s="230"/>
      <c r="CU404" s="230"/>
      <c r="CV404" s="162"/>
      <c r="CW404" s="162"/>
      <c r="CX404" s="162"/>
      <c r="CY404" s="162"/>
      <c r="CZ404" s="162"/>
      <c r="DA404" s="230"/>
      <c r="DB404" s="230"/>
      <c r="DC404" s="162"/>
      <c r="DD404" s="162"/>
      <c r="DE404" s="162"/>
      <c r="DF404" s="162"/>
      <c r="DG404" s="162"/>
      <c r="DH404" s="230"/>
      <c r="DI404" s="230"/>
      <c r="DJ404" s="162"/>
      <c r="DK404" s="162"/>
      <c r="DL404" s="146"/>
      <c r="DM404" s="380"/>
      <c r="DN404" s="372"/>
      <c r="DO404" s="372"/>
      <c r="DP404" s="372"/>
      <c r="DQ404" s="372"/>
      <c r="DR404" s="372"/>
      <c r="DS404" s="372"/>
      <c r="DT404" s="88"/>
      <c r="DU404" s="88"/>
      <c r="DV404" s="88"/>
      <c r="DW404" s="146"/>
      <c r="DX404" s="146"/>
      <c r="DY404" s="146"/>
      <c r="DZ404" s="146"/>
      <c r="EA404" s="146"/>
      <c r="EB404" s="146"/>
      <c r="EC404" s="146"/>
      <c r="ED404" s="146"/>
      <c r="EE404" s="146"/>
      <c r="EF404" s="146"/>
      <c r="EG404" s="146"/>
      <c r="EH404" s="146"/>
    </row>
    <row r="405" spans="1:138" x14ac:dyDescent="0.25">
      <c r="A405" s="147"/>
      <c r="B405" s="147"/>
      <c r="C405" s="160"/>
      <c r="D405" s="160"/>
      <c r="E405" s="169"/>
      <c r="F405" s="229"/>
      <c r="G405" s="165"/>
      <c r="H405" s="165"/>
      <c r="I405" s="163"/>
      <c r="J405" s="163"/>
      <c r="K405" s="162"/>
      <c r="L405" s="162"/>
      <c r="M405" s="162"/>
      <c r="N405" s="230"/>
      <c r="O405" s="230"/>
      <c r="P405" s="162"/>
      <c r="Q405" s="162"/>
      <c r="R405" s="162"/>
      <c r="S405" s="162"/>
      <c r="T405" s="162"/>
      <c r="U405" s="230"/>
      <c r="V405" s="230"/>
      <c r="W405" s="162"/>
      <c r="X405" s="162"/>
      <c r="Y405" s="162"/>
      <c r="Z405" s="162"/>
      <c r="AA405" s="162"/>
      <c r="AB405" s="230"/>
      <c r="AC405" s="230"/>
      <c r="AD405" s="162"/>
      <c r="AE405" s="162"/>
      <c r="AF405" s="162"/>
      <c r="AG405" s="162"/>
      <c r="AH405" s="162"/>
      <c r="AI405" s="230"/>
      <c r="AJ405" s="230"/>
      <c r="AK405" s="162"/>
      <c r="AL405" s="162"/>
      <c r="AM405" s="162"/>
      <c r="AN405" s="162"/>
      <c r="AO405" s="162"/>
      <c r="AP405" s="230"/>
      <c r="AQ405" s="230"/>
      <c r="AR405" s="162"/>
      <c r="AS405" s="162"/>
      <c r="AT405" s="162"/>
      <c r="AU405" s="162"/>
      <c r="AV405" s="162"/>
      <c r="AW405" s="230"/>
      <c r="AX405" s="230"/>
      <c r="AY405" s="162"/>
      <c r="AZ405" s="162"/>
      <c r="BA405" s="162"/>
      <c r="BB405" s="162"/>
      <c r="BC405" s="162"/>
      <c r="BD405" s="230"/>
      <c r="BE405" s="230"/>
      <c r="BF405" s="162"/>
      <c r="BG405" s="162"/>
      <c r="BH405" s="162"/>
      <c r="BI405" s="162"/>
      <c r="BJ405" s="162"/>
      <c r="BK405" s="230"/>
      <c r="BL405" s="230"/>
      <c r="BM405" s="162"/>
      <c r="BN405" s="162"/>
      <c r="BO405" s="162"/>
      <c r="BP405" s="162"/>
      <c r="BQ405" s="162"/>
      <c r="BR405" s="230"/>
      <c r="BS405" s="230"/>
      <c r="BT405" s="162"/>
      <c r="BU405" s="162"/>
      <c r="BV405" s="162"/>
      <c r="BW405" s="162"/>
      <c r="BX405" s="162"/>
      <c r="BY405" s="230"/>
      <c r="BZ405" s="230"/>
      <c r="CA405" s="162"/>
      <c r="CB405" s="162"/>
      <c r="CC405" s="162"/>
      <c r="CD405" s="162"/>
      <c r="CE405" s="162"/>
      <c r="CF405" s="230"/>
      <c r="CG405" s="230"/>
      <c r="CH405" s="162"/>
      <c r="CI405" s="162"/>
      <c r="CJ405" s="162"/>
      <c r="CK405" s="162"/>
      <c r="CL405" s="162"/>
      <c r="CM405" s="230"/>
      <c r="CN405" s="230"/>
      <c r="CO405" s="162"/>
      <c r="CP405" s="162"/>
      <c r="CQ405" s="162"/>
      <c r="CR405" s="162"/>
      <c r="CS405" s="162"/>
      <c r="CT405" s="230"/>
      <c r="CU405" s="230"/>
      <c r="CV405" s="162"/>
      <c r="CW405" s="162"/>
      <c r="CX405" s="162"/>
      <c r="CY405" s="162"/>
      <c r="CZ405" s="162"/>
      <c r="DA405" s="230"/>
      <c r="DB405" s="230"/>
      <c r="DC405" s="162"/>
      <c r="DD405" s="162"/>
      <c r="DE405" s="162"/>
      <c r="DF405" s="162"/>
      <c r="DG405" s="162"/>
      <c r="DH405" s="230"/>
      <c r="DI405" s="230"/>
      <c r="DJ405" s="162"/>
      <c r="DK405" s="162"/>
      <c r="DL405" s="146"/>
      <c r="DM405" s="380"/>
      <c r="DN405" s="372"/>
      <c r="DO405" s="372"/>
      <c r="DP405" s="372"/>
      <c r="DQ405" s="372"/>
      <c r="DR405" s="372"/>
      <c r="DS405" s="372"/>
      <c r="DT405" s="89"/>
      <c r="DU405" s="89"/>
      <c r="DV405" s="89"/>
      <c r="DW405" s="146"/>
      <c r="DX405" s="146"/>
      <c r="DY405" s="146"/>
      <c r="DZ405" s="146"/>
      <c r="EA405" s="146"/>
      <c r="EB405" s="146"/>
      <c r="EC405" s="146"/>
      <c r="ED405" s="146"/>
      <c r="EE405" s="146"/>
      <c r="EF405" s="146"/>
      <c r="EG405" s="146"/>
      <c r="EH405" s="146"/>
    </row>
    <row r="406" spans="1:138" x14ac:dyDescent="0.25">
      <c r="A406" s="147"/>
      <c r="B406" s="147"/>
      <c r="C406" s="160"/>
      <c r="D406" s="160"/>
      <c r="E406" s="169"/>
      <c r="F406" s="229"/>
      <c r="G406" s="165"/>
      <c r="H406" s="165"/>
      <c r="I406" s="163"/>
      <c r="J406" s="163"/>
      <c r="K406" s="162"/>
      <c r="L406" s="162"/>
      <c r="M406" s="162"/>
      <c r="N406" s="230"/>
      <c r="O406" s="230"/>
      <c r="P406" s="162"/>
      <c r="Q406" s="162"/>
      <c r="R406" s="162"/>
      <c r="S406" s="162"/>
      <c r="T406" s="162"/>
      <c r="U406" s="230"/>
      <c r="V406" s="230"/>
      <c r="W406" s="162"/>
      <c r="X406" s="162"/>
      <c r="Y406" s="162"/>
      <c r="Z406" s="162"/>
      <c r="AA406" s="162"/>
      <c r="AB406" s="230"/>
      <c r="AC406" s="230"/>
      <c r="AD406" s="162"/>
      <c r="AE406" s="162"/>
      <c r="AF406" s="162"/>
      <c r="AG406" s="162"/>
      <c r="AH406" s="162"/>
      <c r="AI406" s="230"/>
      <c r="AJ406" s="230"/>
      <c r="AK406" s="162"/>
      <c r="AL406" s="162"/>
      <c r="AM406" s="162"/>
      <c r="AN406" s="162"/>
      <c r="AO406" s="162"/>
      <c r="AP406" s="230"/>
      <c r="AQ406" s="230"/>
      <c r="AR406" s="162"/>
      <c r="AS406" s="162"/>
      <c r="AT406" s="162"/>
      <c r="AU406" s="162"/>
      <c r="AV406" s="162"/>
      <c r="AW406" s="230"/>
      <c r="AX406" s="230"/>
      <c r="AY406" s="162"/>
      <c r="AZ406" s="162"/>
      <c r="BA406" s="162"/>
      <c r="BB406" s="162"/>
      <c r="BC406" s="162"/>
      <c r="BD406" s="230"/>
      <c r="BE406" s="230"/>
      <c r="BF406" s="162"/>
      <c r="BG406" s="162"/>
      <c r="BH406" s="162"/>
      <c r="BI406" s="162"/>
      <c r="BJ406" s="162"/>
      <c r="BK406" s="230"/>
      <c r="BL406" s="230"/>
      <c r="BM406" s="162"/>
      <c r="BN406" s="162"/>
      <c r="BO406" s="162"/>
      <c r="BP406" s="162"/>
      <c r="BQ406" s="162"/>
      <c r="BR406" s="230"/>
      <c r="BS406" s="230"/>
      <c r="BT406" s="162"/>
      <c r="BU406" s="162"/>
      <c r="BV406" s="162"/>
      <c r="BW406" s="162"/>
      <c r="BX406" s="162"/>
      <c r="BY406" s="230"/>
      <c r="BZ406" s="230"/>
      <c r="CA406" s="162"/>
      <c r="CB406" s="162"/>
      <c r="CC406" s="162"/>
      <c r="CD406" s="162"/>
      <c r="CE406" s="162"/>
      <c r="CF406" s="230"/>
      <c r="CG406" s="230"/>
      <c r="CH406" s="162"/>
      <c r="CI406" s="162"/>
      <c r="CJ406" s="162"/>
      <c r="CK406" s="162"/>
      <c r="CL406" s="162"/>
      <c r="CM406" s="230"/>
      <c r="CN406" s="230"/>
      <c r="CO406" s="162"/>
      <c r="CP406" s="162"/>
      <c r="CQ406" s="162"/>
      <c r="CR406" s="162"/>
      <c r="CS406" s="162"/>
      <c r="CT406" s="230"/>
      <c r="CU406" s="230"/>
      <c r="CV406" s="162"/>
      <c r="CW406" s="162"/>
      <c r="CX406" s="162"/>
      <c r="CY406" s="162"/>
      <c r="CZ406" s="162"/>
      <c r="DA406" s="230"/>
      <c r="DB406" s="230"/>
      <c r="DC406" s="162"/>
      <c r="DD406" s="162"/>
      <c r="DE406" s="162"/>
      <c r="DF406" s="162"/>
      <c r="DG406" s="162"/>
      <c r="DH406" s="230"/>
      <c r="DI406" s="230"/>
      <c r="DJ406" s="162"/>
      <c r="DK406" s="162"/>
      <c r="DL406" s="146"/>
      <c r="DM406" s="88"/>
      <c r="DN406" s="88"/>
      <c r="DO406" s="88"/>
      <c r="DP406" s="88"/>
      <c r="DQ406" s="88"/>
      <c r="DR406" s="88"/>
      <c r="DS406" s="88"/>
      <c r="DT406" s="88"/>
      <c r="DU406" s="88"/>
      <c r="DV406" s="88"/>
      <c r="DW406" s="146"/>
      <c r="DX406" s="146"/>
      <c r="DY406" s="146"/>
      <c r="DZ406" s="146"/>
      <c r="EA406" s="146"/>
      <c r="EB406" s="146"/>
      <c r="EC406" s="146"/>
      <c r="ED406" s="146"/>
      <c r="EE406" s="146"/>
      <c r="EF406" s="146"/>
      <c r="EG406" s="146"/>
      <c r="EH406" s="146"/>
    </row>
    <row r="407" spans="1:138" x14ac:dyDescent="0.25">
      <c r="A407" s="147"/>
      <c r="B407" s="147"/>
      <c r="C407" s="160"/>
      <c r="D407" s="160"/>
      <c r="E407" s="169"/>
      <c r="F407" s="229"/>
      <c r="G407" s="165"/>
      <c r="H407" s="165"/>
      <c r="I407" s="163"/>
      <c r="J407" s="163"/>
      <c r="K407" s="162"/>
      <c r="L407" s="162"/>
      <c r="M407" s="162"/>
      <c r="N407" s="230"/>
      <c r="O407" s="230"/>
      <c r="P407" s="162"/>
      <c r="Q407" s="162"/>
      <c r="R407" s="162"/>
      <c r="S407" s="162"/>
      <c r="T407" s="162"/>
      <c r="U407" s="230"/>
      <c r="V407" s="230"/>
      <c r="W407" s="162"/>
      <c r="X407" s="162"/>
      <c r="Y407" s="162"/>
      <c r="Z407" s="162"/>
      <c r="AA407" s="162"/>
      <c r="AB407" s="230"/>
      <c r="AC407" s="230"/>
      <c r="AD407" s="162"/>
      <c r="AE407" s="162"/>
      <c r="AF407" s="162"/>
      <c r="AG407" s="162"/>
      <c r="AH407" s="162"/>
      <c r="AI407" s="230"/>
      <c r="AJ407" s="230"/>
      <c r="AK407" s="162"/>
      <c r="AL407" s="162"/>
      <c r="AM407" s="162"/>
      <c r="AN407" s="162"/>
      <c r="AO407" s="162"/>
      <c r="AP407" s="230"/>
      <c r="AQ407" s="230"/>
      <c r="AR407" s="162"/>
      <c r="AS407" s="162"/>
      <c r="AT407" s="162"/>
      <c r="AU407" s="162"/>
      <c r="AV407" s="162"/>
      <c r="AW407" s="230"/>
      <c r="AX407" s="230"/>
      <c r="AY407" s="162"/>
      <c r="AZ407" s="162"/>
      <c r="BA407" s="162"/>
      <c r="BB407" s="162"/>
      <c r="BC407" s="162"/>
      <c r="BD407" s="230"/>
      <c r="BE407" s="230"/>
      <c r="BF407" s="162"/>
      <c r="BG407" s="162"/>
      <c r="BH407" s="162"/>
      <c r="BI407" s="162"/>
      <c r="BJ407" s="162"/>
      <c r="BK407" s="230"/>
      <c r="BL407" s="230"/>
      <c r="BM407" s="162"/>
      <c r="BN407" s="162"/>
      <c r="BO407" s="162"/>
      <c r="BP407" s="162"/>
      <c r="BQ407" s="162"/>
      <c r="BR407" s="230"/>
      <c r="BS407" s="230"/>
      <c r="BT407" s="162"/>
      <c r="BU407" s="162"/>
      <c r="BV407" s="162"/>
      <c r="BW407" s="162"/>
      <c r="BX407" s="162"/>
      <c r="BY407" s="230"/>
      <c r="BZ407" s="230"/>
      <c r="CA407" s="162"/>
      <c r="CB407" s="162"/>
      <c r="CC407" s="162"/>
      <c r="CD407" s="162"/>
      <c r="CE407" s="162"/>
      <c r="CF407" s="230"/>
      <c r="CG407" s="230"/>
      <c r="CH407" s="162"/>
      <c r="CI407" s="162"/>
      <c r="CJ407" s="162"/>
      <c r="CK407" s="162"/>
      <c r="CL407" s="162"/>
      <c r="CM407" s="230"/>
      <c r="CN407" s="230"/>
      <c r="CO407" s="162"/>
      <c r="CP407" s="162"/>
      <c r="CQ407" s="162"/>
      <c r="CR407" s="162"/>
      <c r="CS407" s="162"/>
      <c r="CT407" s="230"/>
      <c r="CU407" s="230"/>
      <c r="CV407" s="162"/>
      <c r="CW407" s="162"/>
      <c r="CX407" s="162"/>
      <c r="CY407" s="162"/>
      <c r="CZ407" s="162"/>
      <c r="DA407" s="230"/>
      <c r="DB407" s="230"/>
      <c r="DC407" s="162"/>
      <c r="DD407" s="162"/>
      <c r="DE407" s="162"/>
      <c r="DF407" s="162"/>
      <c r="DG407" s="162"/>
      <c r="DH407" s="230"/>
      <c r="DI407" s="230"/>
      <c r="DJ407" s="162"/>
      <c r="DK407" s="162"/>
      <c r="DL407" s="146"/>
      <c r="DM407" s="371"/>
      <c r="DN407" s="372"/>
      <c r="DO407" s="372"/>
      <c r="DP407" s="372"/>
      <c r="DQ407" s="372"/>
      <c r="DR407" s="372"/>
      <c r="DS407" s="372"/>
      <c r="DT407" s="372"/>
      <c r="DU407" s="372"/>
      <c r="DV407" s="372"/>
      <c r="DW407" s="146"/>
      <c r="DX407" s="146"/>
      <c r="DY407" s="146"/>
      <c r="DZ407" s="146"/>
      <c r="EA407" s="146"/>
      <c r="EB407" s="146"/>
      <c r="EC407" s="146"/>
      <c r="ED407" s="146"/>
      <c r="EE407" s="146"/>
      <c r="EF407" s="146"/>
      <c r="EG407" s="146"/>
      <c r="EH407" s="146"/>
    </row>
    <row r="408" spans="1:138" x14ac:dyDescent="0.25">
      <c r="A408" s="147"/>
      <c r="B408" s="147"/>
      <c r="C408" s="160"/>
      <c r="D408" s="160"/>
      <c r="E408" s="169"/>
      <c r="F408" s="229"/>
      <c r="G408" s="165"/>
      <c r="H408" s="165"/>
      <c r="I408" s="163"/>
      <c r="J408" s="163"/>
      <c r="K408" s="162"/>
      <c r="L408" s="162"/>
      <c r="M408" s="162"/>
      <c r="N408" s="230"/>
      <c r="O408" s="230"/>
      <c r="P408" s="162"/>
      <c r="Q408" s="162"/>
      <c r="R408" s="162"/>
      <c r="S408" s="162"/>
      <c r="T408" s="162"/>
      <c r="U408" s="230"/>
      <c r="V408" s="230"/>
      <c r="W408" s="162"/>
      <c r="X408" s="162"/>
      <c r="Y408" s="162"/>
      <c r="Z408" s="162"/>
      <c r="AA408" s="162"/>
      <c r="AB408" s="230"/>
      <c r="AC408" s="230"/>
      <c r="AD408" s="162"/>
      <c r="AE408" s="162"/>
      <c r="AF408" s="162"/>
      <c r="AG408" s="162"/>
      <c r="AH408" s="162"/>
      <c r="AI408" s="230"/>
      <c r="AJ408" s="230"/>
      <c r="AK408" s="162"/>
      <c r="AL408" s="162"/>
      <c r="AM408" s="162"/>
      <c r="AN408" s="162"/>
      <c r="AO408" s="162"/>
      <c r="AP408" s="230"/>
      <c r="AQ408" s="230"/>
      <c r="AR408" s="162"/>
      <c r="AS408" s="162"/>
      <c r="AT408" s="162"/>
      <c r="AU408" s="162"/>
      <c r="AV408" s="162"/>
      <c r="AW408" s="230"/>
      <c r="AX408" s="230"/>
      <c r="AY408" s="162"/>
      <c r="AZ408" s="162"/>
      <c r="BA408" s="162"/>
      <c r="BB408" s="162"/>
      <c r="BC408" s="162"/>
      <c r="BD408" s="230"/>
      <c r="BE408" s="230"/>
      <c r="BF408" s="162"/>
      <c r="BG408" s="162"/>
      <c r="BH408" s="162"/>
      <c r="BI408" s="162"/>
      <c r="BJ408" s="162"/>
      <c r="BK408" s="230"/>
      <c r="BL408" s="230"/>
      <c r="BM408" s="162"/>
      <c r="BN408" s="162"/>
      <c r="BO408" s="162"/>
      <c r="BP408" s="162"/>
      <c r="BQ408" s="162"/>
      <c r="BR408" s="230"/>
      <c r="BS408" s="230"/>
      <c r="BT408" s="162"/>
      <c r="BU408" s="162"/>
      <c r="BV408" s="162"/>
      <c r="BW408" s="162"/>
      <c r="BX408" s="162"/>
      <c r="BY408" s="230"/>
      <c r="BZ408" s="230"/>
      <c r="CA408" s="162"/>
      <c r="CB408" s="162"/>
      <c r="CC408" s="162"/>
      <c r="CD408" s="162"/>
      <c r="CE408" s="162"/>
      <c r="CF408" s="230"/>
      <c r="CG408" s="230"/>
      <c r="CH408" s="162"/>
      <c r="CI408" s="162"/>
      <c r="CJ408" s="162"/>
      <c r="CK408" s="162"/>
      <c r="CL408" s="162"/>
      <c r="CM408" s="230"/>
      <c r="CN408" s="230"/>
      <c r="CO408" s="162"/>
      <c r="CP408" s="162"/>
      <c r="CQ408" s="162"/>
      <c r="CR408" s="162"/>
      <c r="CS408" s="162"/>
      <c r="CT408" s="230"/>
      <c r="CU408" s="230"/>
      <c r="CV408" s="162"/>
      <c r="CW408" s="162"/>
      <c r="CX408" s="162"/>
      <c r="CY408" s="162"/>
      <c r="CZ408" s="162"/>
      <c r="DA408" s="230"/>
      <c r="DB408" s="230"/>
      <c r="DC408" s="162"/>
      <c r="DD408" s="162"/>
      <c r="DE408" s="162"/>
      <c r="DF408" s="162"/>
      <c r="DG408" s="162"/>
      <c r="DH408" s="230"/>
      <c r="DI408" s="230"/>
      <c r="DJ408" s="162"/>
      <c r="DK408" s="162"/>
      <c r="DL408" s="146"/>
      <c r="DM408" s="371"/>
      <c r="DN408" s="372"/>
      <c r="DO408" s="372"/>
      <c r="DP408" s="372"/>
      <c r="DQ408" s="372"/>
      <c r="DR408" s="372"/>
      <c r="DS408" s="372"/>
      <c r="DT408" s="372"/>
      <c r="DU408" s="372"/>
      <c r="DV408" s="372"/>
      <c r="DW408" s="146"/>
      <c r="DX408" s="146"/>
      <c r="DY408" s="146"/>
      <c r="DZ408" s="146"/>
      <c r="EA408" s="146"/>
      <c r="EB408" s="146"/>
      <c r="EC408" s="146"/>
      <c r="ED408" s="146"/>
      <c r="EE408" s="146"/>
      <c r="EF408" s="146"/>
      <c r="EG408" s="146"/>
      <c r="EH408" s="146"/>
    </row>
    <row r="409" spans="1:138" x14ac:dyDescent="0.25">
      <c r="A409" s="147"/>
      <c r="B409" s="147"/>
      <c r="C409" s="160"/>
      <c r="D409" s="160"/>
      <c r="E409" s="169"/>
      <c r="F409" s="229"/>
      <c r="G409" s="165"/>
      <c r="H409" s="165"/>
      <c r="I409" s="163"/>
      <c r="J409" s="163"/>
      <c r="K409" s="162"/>
      <c r="L409" s="162"/>
      <c r="M409" s="162"/>
      <c r="N409" s="230"/>
      <c r="O409" s="230"/>
      <c r="P409" s="162"/>
      <c r="Q409" s="162"/>
      <c r="R409" s="162"/>
      <c r="S409" s="162"/>
      <c r="T409" s="162"/>
      <c r="U409" s="230"/>
      <c r="V409" s="230"/>
      <c r="W409" s="162"/>
      <c r="X409" s="162"/>
      <c r="Y409" s="162"/>
      <c r="Z409" s="162"/>
      <c r="AA409" s="162"/>
      <c r="AB409" s="230"/>
      <c r="AC409" s="230"/>
      <c r="AD409" s="162"/>
      <c r="AE409" s="162"/>
      <c r="AF409" s="162"/>
      <c r="AG409" s="162"/>
      <c r="AH409" s="162"/>
      <c r="AI409" s="230"/>
      <c r="AJ409" s="230"/>
      <c r="AK409" s="162"/>
      <c r="AL409" s="162"/>
      <c r="AM409" s="162"/>
      <c r="AN409" s="162"/>
      <c r="AO409" s="162"/>
      <c r="AP409" s="230"/>
      <c r="AQ409" s="230"/>
      <c r="AR409" s="162"/>
      <c r="AS409" s="162"/>
      <c r="AT409" s="162"/>
      <c r="AU409" s="162"/>
      <c r="AV409" s="162"/>
      <c r="AW409" s="230"/>
      <c r="AX409" s="230"/>
      <c r="AY409" s="162"/>
      <c r="AZ409" s="162"/>
      <c r="BA409" s="162"/>
      <c r="BB409" s="162"/>
      <c r="BC409" s="162"/>
      <c r="BD409" s="230"/>
      <c r="BE409" s="230"/>
      <c r="BF409" s="162"/>
      <c r="BG409" s="162"/>
      <c r="BH409" s="162"/>
      <c r="BI409" s="162"/>
      <c r="BJ409" s="162"/>
      <c r="BK409" s="230"/>
      <c r="BL409" s="230"/>
      <c r="BM409" s="162"/>
      <c r="BN409" s="162"/>
      <c r="BO409" s="162"/>
      <c r="BP409" s="162"/>
      <c r="BQ409" s="162"/>
      <c r="BR409" s="230"/>
      <c r="BS409" s="230"/>
      <c r="BT409" s="162"/>
      <c r="BU409" s="162"/>
      <c r="BV409" s="162"/>
      <c r="BW409" s="162"/>
      <c r="BX409" s="162"/>
      <c r="BY409" s="230"/>
      <c r="BZ409" s="230"/>
      <c r="CA409" s="162"/>
      <c r="CB409" s="162"/>
      <c r="CC409" s="162"/>
      <c r="CD409" s="162"/>
      <c r="CE409" s="162"/>
      <c r="CF409" s="230"/>
      <c r="CG409" s="230"/>
      <c r="CH409" s="162"/>
      <c r="CI409" s="162"/>
      <c r="CJ409" s="162"/>
      <c r="CK409" s="162"/>
      <c r="CL409" s="162"/>
      <c r="CM409" s="230"/>
      <c r="CN409" s="230"/>
      <c r="CO409" s="162"/>
      <c r="CP409" s="162"/>
      <c r="CQ409" s="162"/>
      <c r="CR409" s="162"/>
      <c r="CS409" s="162"/>
      <c r="CT409" s="230"/>
      <c r="CU409" s="230"/>
      <c r="CV409" s="162"/>
      <c r="CW409" s="162"/>
      <c r="CX409" s="162"/>
      <c r="CY409" s="162"/>
      <c r="CZ409" s="162"/>
      <c r="DA409" s="230"/>
      <c r="DB409" s="230"/>
      <c r="DC409" s="162"/>
      <c r="DD409" s="162"/>
      <c r="DE409" s="162"/>
      <c r="DF409" s="162"/>
      <c r="DG409" s="162"/>
      <c r="DH409" s="230"/>
      <c r="DI409" s="230"/>
      <c r="DJ409" s="162"/>
      <c r="DK409" s="162"/>
      <c r="DL409" s="226"/>
      <c r="DM409" s="380"/>
      <c r="DN409" s="372"/>
      <c r="DO409" s="372"/>
      <c r="DP409" s="372"/>
      <c r="DQ409" s="372"/>
      <c r="DR409" s="372"/>
      <c r="DS409" s="372"/>
      <c r="DT409" s="88"/>
      <c r="DU409" s="88"/>
      <c r="DV409" s="88"/>
      <c r="DW409" s="226"/>
      <c r="DX409" s="226"/>
      <c r="DY409" s="226"/>
      <c r="DZ409" s="226"/>
      <c r="EA409" s="226"/>
      <c r="EB409" s="226"/>
      <c r="EC409" s="226"/>
      <c r="ED409" s="226"/>
      <c r="EE409" s="226"/>
      <c r="EF409" s="226"/>
      <c r="EG409" s="226"/>
      <c r="EH409" s="226"/>
    </row>
    <row r="410" spans="1:138" x14ac:dyDescent="0.25">
      <c r="A410" s="147"/>
      <c r="B410" s="147"/>
      <c r="C410" s="160"/>
      <c r="D410" s="160"/>
      <c r="E410" s="169"/>
      <c r="F410" s="229"/>
      <c r="G410" s="165"/>
      <c r="H410" s="165"/>
      <c r="I410" s="163"/>
      <c r="J410" s="163"/>
      <c r="K410" s="162"/>
      <c r="L410" s="162"/>
      <c r="M410" s="162"/>
      <c r="N410" s="230"/>
      <c r="O410" s="230"/>
      <c r="P410" s="162"/>
      <c r="Q410" s="162"/>
      <c r="R410" s="162"/>
      <c r="S410" s="162"/>
      <c r="T410" s="162"/>
      <c r="U410" s="230"/>
      <c r="V410" s="230"/>
      <c r="W410" s="162"/>
      <c r="X410" s="162"/>
      <c r="Y410" s="162"/>
      <c r="Z410" s="162"/>
      <c r="AA410" s="162"/>
      <c r="AB410" s="230"/>
      <c r="AC410" s="230"/>
      <c r="AD410" s="162"/>
      <c r="AE410" s="162"/>
      <c r="AF410" s="162"/>
      <c r="AG410" s="162"/>
      <c r="AH410" s="162"/>
      <c r="AI410" s="230"/>
      <c r="AJ410" s="230"/>
      <c r="AK410" s="162"/>
      <c r="AL410" s="162"/>
      <c r="AM410" s="162"/>
      <c r="AN410" s="162"/>
      <c r="AO410" s="162"/>
      <c r="AP410" s="230"/>
      <c r="AQ410" s="230"/>
      <c r="AR410" s="162"/>
      <c r="AS410" s="162"/>
      <c r="AT410" s="162"/>
      <c r="AU410" s="162"/>
      <c r="AV410" s="162"/>
      <c r="AW410" s="230"/>
      <c r="AX410" s="230"/>
      <c r="AY410" s="162"/>
      <c r="AZ410" s="162"/>
      <c r="BA410" s="162"/>
      <c r="BB410" s="162"/>
      <c r="BC410" s="162"/>
      <c r="BD410" s="230"/>
      <c r="BE410" s="230"/>
      <c r="BF410" s="162"/>
      <c r="BG410" s="162"/>
      <c r="BH410" s="162"/>
      <c r="BI410" s="162"/>
      <c r="BJ410" s="162"/>
      <c r="BK410" s="230"/>
      <c r="BL410" s="230"/>
      <c r="BM410" s="162"/>
      <c r="BN410" s="162"/>
      <c r="BO410" s="162"/>
      <c r="BP410" s="162"/>
      <c r="BQ410" s="162"/>
      <c r="BR410" s="230"/>
      <c r="BS410" s="230"/>
      <c r="BT410" s="162"/>
      <c r="BU410" s="162"/>
      <c r="BV410" s="162"/>
      <c r="BW410" s="162"/>
      <c r="BX410" s="162"/>
      <c r="BY410" s="230"/>
      <c r="BZ410" s="230"/>
      <c r="CA410" s="162"/>
      <c r="CB410" s="162"/>
      <c r="CC410" s="162"/>
      <c r="CD410" s="162"/>
      <c r="CE410" s="162"/>
      <c r="CF410" s="230"/>
      <c r="CG410" s="230"/>
      <c r="CH410" s="162"/>
      <c r="CI410" s="162"/>
      <c r="CJ410" s="162"/>
      <c r="CK410" s="162"/>
      <c r="CL410" s="162"/>
      <c r="CM410" s="230"/>
      <c r="CN410" s="230"/>
      <c r="CO410" s="162"/>
      <c r="CP410" s="162"/>
      <c r="CQ410" s="162"/>
      <c r="CR410" s="162"/>
      <c r="CS410" s="162"/>
      <c r="CT410" s="230"/>
      <c r="CU410" s="230"/>
      <c r="CV410" s="162"/>
      <c r="CW410" s="162"/>
      <c r="CX410" s="162"/>
      <c r="CY410" s="162"/>
      <c r="CZ410" s="162"/>
      <c r="DA410" s="230"/>
      <c r="DB410" s="230"/>
      <c r="DC410" s="162"/>
      <c r="DD410" s="162"/>
      <c r="DE410" s="162"/>
      <c r="DF410" s="162"/>
      <c r="DG410" s="162"/>
      <c r="DH410" s="230"/>
      <c r="DI410" s="230"/>
      <c r="DJ410" s="162"/>
      <c r="DK410" s="162"/>
      <c r="DL410" s="146"/>
      <c r="DM410" s="380"/>
      <c r="DN410" s="372"/>
      <c r="DO410" s="372"/>
      <c r="DP410" s="372"/>
      <c r="DQ410" s="372"/>
      <c r="DR410" s="372"/>
      <c r="DS410" s="372"/>
      <c r="DT410" s="88"/>
      <c r="DU410" s="88"/>
      <c r="DV410" s="88"/>
      <c r="DW410" s="146"/>
      <c r="DX410" s="146"/>
      <c r="DY410" s="146"/>
      <c r="DZ410" s="146"/>
      <c r="EA410" s="146"/>
      <c r="EB410" s="146"/>
      <c r="EC410" s="146"/>
      <c r="ED410" s="146"/>
      <c r="EE410" s="146"/>
      <c r="EF410" s="146"/>
      <c r="EG410" s="146"/>
      <c r="EH410" s="146"/>
    </row>
    <row r="411" spans="1:138" x14ac:dyDescent="0.25">
      <c r="A411" s="147"/>
      <c r="B411" s="147"/>
      <c r="C411" s="160"/>
      <c r="D411" s="160"/>
      <c r="E411" s="169"/>
      <c r="F411" s="229"/>
      <c r="G411" s="165"/>
      <c r="H411" s="165"/>
      <c r="I411" s="163"/>
      <c r="J411" s="163"/>
      <c r="K411" s="162"/>
      <c r="L411" s="162"/>
      <c r="M411" s="162"/>
      <c r="N411" s="230"/>
      <c r="O411" s="230"/>
      <c r="P411" s="162"/>
      <c r="Q411" s="162"/>
      <c r="R411" s="162"/>
      <c r="S411" s="162"/>
      <c r="T411" s="162"/>
      <c r="U411" s="230"/>
      <c r="V411" s="230"/>
      <c r="W411" s="162"/>
      <c r="X411" s="162"/>
      <c r="Y411" s="162"/>
      <c r="Z411" s="162"/>
      <c r="AA411" s="162"/>
      <c r="AB411" s="230"/>
      <c r="AC411" s="230"/>
      <c r="AD411" s="162"/>
      <c r="AE411" s="162"/>
      <c r="AF411" s="162"/>
      <c r="AG411" s="162"/>
      <c r="AH411" s="162"/>
      <c r="AI411" s="230"/>
      <c r="AJ411" s="230"/>
      <c r="AK411" s="162"/>
      <c r="AL411" s="162"/>
      <c r="AM411" s="162"/>
      <c r="AN411" s="162"/>
      <c r="AO411" s="162"/>
      <c r="AP411" s="230"/>
      <c r="AQ411" s="230"/>
      <c r="AR411" s="162"/>
      <c r="AS411" s="162"/>
      <c r="AT411" s="162"/>
      <c r="AU411" s="162"/>
      <c r="AV411" s="162"/>
      <c r="AW411" s="230"/>
      <c r="AX411" s="230"/>
      <c r="AY411" s="162"/>
      <c r="AZ411" s="162"/>
      <c r="BA411" s="162"/>
      <c r="BB411" s="162"/>
      <c r="BC411" s="162"/>
      <c r="BD411" s="230"/>
      <c r="BE411" s="230"/>
      <c r="BF411" s="162"/>
      <c r="BG411" s="162"/>
      <c r="BH411" s="162"/>
      <c r="BI411" s="162"/>
      <c r="BJ411" s="162"/>
      <c r="BK411" s="230"/>
      <c r="BL411" s="230"/>
      <c r="BM411" s="162"/>
      <c r="BN411" s="162"/>
      <c r="BO411" s="162"/>
      <c r="BP411" s="162"/>
      <c r="BQ411" s="162"/>
      <c r="BR411" s="230"/>
      <c r="BS411" s="230"/>
      <c r="BT411" s="162"/>
      <c r="BU411" s="162"/>
      <c r="BV411" s="162"/>
      <c r="BW411" s="162"/>
      <c r="BX411" s="162"/>
      <c r="BY411" s="230"/>
      <c r="BZ411" s="230"/>
      <c r="CA411" s="162"/>
      <c r="CB411" s="162"/>
      <c r="CC411" s="162"/>
      <c r="CD411" s="162"/>
      <c r="CE411" s="162"/>
      <c r="CF411" s="230"/>
      <c r="CG411" s="230"/>
      <c r="CH411" s="162"/>
      <c r="CI411" s="162"/>
      <c r="CJ411" s="162"/>
      <c r="CK411" s="162"/>
      <c r="CL411" s="162"/>
      <c r="CM411" s="230"/>
      <c r="CN411" s="230"/>
      <c r="CO411" s="162"/>
      <c r="CP411" s="162"/>
      <c r="CQ411" s="162"/>
      <c r="CR411" s="162"/>
      <c r="CS411" s="162"/>
      <c r="CT411" s="230"/>
      <c r="CU411" s="230"/>
      <c r="CV411" s="162"/>
      <c r="CW411" s="162"/>
      <c r="CX411" s="162"/>
      <c r="CY411" s="162"/>
      <c r="CZ411" s="162"/>
      <c r="DA411" s="230"/>
      <c r="DB411" s="230"/>
      <c r="DC411" s="162"/>
      <c r="DD411" s="162"/>
      <c r="DE411" s="162"/>
      <c r="DF411" s="162"/>
      <c r="DG411" s="162"/>
      <c r="DH411" s="230"/>
      <c r="DI411" s="230"/>
      <c r="DJ411" s="162"/>
      <c r="DK411" s="162"/>
      <c r="DL411" s="146"/>
      <c r="DM411" s="380"/>
      <c r="DN411" s="372"/>
      <c r="DO411" s="372"/>
      <c r="DP411" s="372"/>
      <c r="DQ411" s="372"/>
      <c r="DR411" s="372"/>
      <c r="DS411" s="372"/>
      <c r="DT411" s="89"/>
      <c r="DU411" s="89"/>
      <c r="DV411" s="89"/>
      <c r="DW411" s="146"/>
      <c r="DX411" s="146"/>
      <c r="DY411" s="146"/>
      <c r="DZ411" s="146"/>
      <c r="EA411" s="146"/>
      <c r="EB411" s="146"/>
      <c r="EC411" s="146"/>
      <c r="ED411" s="146"/>
      <c r="EE411" s="146"/>
      <c r="EF411" s="146"/>
      <c r="EG411" s="146"/>
      <c r="EH411" s="146"/>
    </row>
    <row r="412" spans="1:138" x14ac:dyDescent="0.25">
      <c r="A412" s="147"/>
      <c r="B412" s="147"/>
      <c r="C412" s="160"/>
      <c r="D412" s="160"/>
      <c r="E412" s="169"/>
      <c r="F412" s="229"/>
      <c r="G412" s="165"/>
      <c r="H412" s="165"/>
      <c r="I412" s="163"/>
      <c r="J412" s="163"/>
      <c r="K412" s="162"/>
      <c r="L412" s="162"/>
      <c r="M412" s="162"/>
      <c r="N412" s="230"/>
      <c r="O412" s="230"/>
      <c r="P412" s="162"/>
      <c r="Q412" s="162"/>
      <c r="R412" s="162"/>
      <c r="S412" s="162"/>
      <c r="T412" s="162"/>
      <c r="U412" s="230"/>
      <c r="V412" s="230"/>
      <c r="W412" s="162"/>
      <c r="X412" s="162"/>
      <c r="Y412" s="162"/>
      <c r="Z412" s="162"/>
      <c r="AA412" s="162"/>
      <c r="AB412" s="230"/>
      <c r="AC412" s="230"/>
      <c r="AD412" s="162"/>
      <c r="AE412" s="162"/>
      <c r="AF412" s="162"/>
      <c r="AG412" s="162"/>
      <c r="AH412" s="162"/>
      <c r="AI412" s="230"/>
      <c r="AJ412" s="230"/>
      <c r="AK412" s="162"/>
      <c r="AL412" s="162"/>
      <c r="AM412" s="162"/>
      <c r="AN412" s="162"/>
      <c r="AO412" s="162"/>
      <c r="AP412" s="230"/>
      <c r="AQ412" s="230"/>
      <c r="AR412" s="162"/>
      <c r="AS412" s="162"/>
      <c r="AT412" s="162"/>
      <c r="AU412" s="162"/>
      <c r="AV412" s="162"/>
      <c r="AW412" s="230"/>
      <c r="AX412" s="230"/>
      <c r="AY412" s="162"/>
      <c r="AZ412" s="162"/>
      <c r="BA412" s="162"/>
      <c r="BB412" s="162"/>
      <c r="BC412" s="162"/>
      <c r="BD412" s="230"/>
      <c r="BE412" s="230"/>
      <c r="BF412" s="162"/>
      <c r="BG412" s="162"/>
      <c r="BH412" s="162"/>
      <c r="BI412" s="162"/>
      <c r="BJ412" s="162"/>
      <c r="BK412" s="230"/>
      <c r="BL412" s="230"/>
      <c r="BM412" s="162"/>
      <c r="BN412" s="162"/>
      <c r="BO412" s="162"/>
      <c r="BP412" s="162"/>
      <c r="BQ412" s="162"/>
      <c r="BR412" s="230"/>
      <c r="BS412" s="230"/>
      <c r="BT412" s="162"/>
      <c r="BU412" s="162"/>
      <c r="BV412" s="162"/>
      <c r="BW412" s="162"/>
      <c r="BX412" s="162"/>
      <c r="BY412" s="230"/>
      <c r="BZ412" s="230"/>
      <c r="CA412" s="162"/>
      <c r="CB412" s="162"/>
      <c r="CC412" s="162"/>
      <c r="CD412" s="162"/>
      <c r="CE412" s="162"/>
      <c r="CF412" s="230"/>
      <c r="CG412" s="230"/>
      <c r="CH412" s="162"/>
      <c r="CI412" s="162"/>
      <c r="CJ412" s="162"/>
      <c r="CK412" s="162"/>
      <c r="CL412" s="162"/>
      <c r="CM412" s="230"/>
      <c r="CN412" s="230"/>
      <c r="CO412" s="162"/>
      <c r="CP412" s="162"/>
      <c r="CQ412" s="162"/>
      <c r="CR412" s="162"/>
      <c r="CS412" s="162"/>
      <c r="CT412" s="230"/>
      <c r="CU412" s="230"/>
      <c r="CV412" s="162"/>
      <c r="CW412" s="162"/>
      <c r="CX412" s="162"/>
      <c r="CY412" s="162"/>
      <c r="CZ412" s="162"/>
      <c r="DA412" s="230"/>
      <c r="DB412" s="230"/>
      <c r="DC412" s="162"/>
      <c r="DD412" s="162"/>
      <c r="DE412" s="162"/>
      <c r="DF412" s="162"/>
      <c r="DG412" s="162"/>
      <c r="DH412" s="230"/>
      <c r="DI412" s="230"/>
      <c r="DJ412" s="162"/>
      <c r="DK412" s="162"/>
      <c r="DL412" s="146"/>
      <c r="DM412" s="88"/>
      <c r="DN412" s="88"/>
      <c r="DO412" s="88"/>
      <c r="DP412" s="88"/>
      <c r="DQ412" s="88"/>
      <c r="DR412" s="88"/>
      <c r="DS412" s="88"/>
      <c r="DT412" s="88"/>
      <c r="DU412" s="88"/>
      <c r="DV412" s="88"/>
      <c r="DW412" s="146"/>
      <c r="DX412" s="146"/>
      <c r="DY412" s="146"/>
      <c r="DZ412" s="146"/>
      <c r="EA412" s="146"/>
      <c r="EB412" s="146"/>
      <c r="EC412" s="146"/>
      <c r="ED412" s="146"/>
      <c r="EE412" s="146"/>
      <c r="EF412" s="146"/>
      <c r="EG412" s="146"/>
      <c r="EH412" s="146"/>
    </row>
    <row r="413" spans="1:138" x14ac:dyDescent="0.25">
      <c r="A413" s="147"/>
      <c r="B413" s="147"/>
      <c r="C413" s="160"/>
      <c r="D413" s="160"/>
      <c r="E413" s="169"/>
      <c r="F413" s="229"/>
      <c r="G413" s="165"/>
      <c r="H413" s="165"/>
      <c r="I413" s="163"/>
      <c r="J413" s="163"/>
      <c r="K413" s="162"/>
      <c r="L413" s="162"/>
      <c r="M413" s="162"/>
      <c r="N413" s="230"/>
      <c r="O413" s="230"/>
      <c r="P413" s="162"/>
      <c r="Q413" s="162"/>
      <c r="R413" s="162"/>
      <c r="S413" s="162"/>
      <c r="T413" s="162"/>
      <c r="U413" s="230"/>
      <c r="V413" s="230"/>
      <c r="W413" s="162"/>
      <c r="X413" s="162"/>
      <c r="Y413" s="162"/>
      <c r="Z413" s="162"/>
      <c r="AA413" s="162"/>
      <c r="AB413" s="230"/>
      <c r="AC413" s="230"/>
      <c r="AD413" s="162"/>
      <c r="AE413" s="162"/>
      <c r="AF413" s="162"/>
      <c r="AG413" s="162"/>
      <c r="AH413" s="162"/>
      <c r="AI413" s="230"/>
      <c r="AJ413" s="230"/>
      <c r="AK413" s="162"/>
      <c r="AL413" s="162"/>
      <c r="AM413" s="162"/>
      <c r="AN413" s="162"/>
      <c r="AO413" s="162"/>
      <c r="AP413" s="230"/>
      <c r="AQ413" s="230"/>
      <c r="AR413" s="162"/>
      <c r="AS413" s="162"/>
      <c r="AT413" s="162"/>
      <c r="AU413" s="162"/>
      <c r="AV413" s="162"/>
      <c r="AW413" s="230"/>
      <c r="AX413" s="230"/>
      <c r="AY413" s="162"/>
      <c r="AZ413" s="162"/>
      <c r="BA413" s="162"/>
      <c r="BB413" s="162"/>
      <c r="BC413" s="162"/>
      <c r="BD413" s="230"/>
      <c r="BE413" s="230"/>
      <c r="BF413" s="162"/>
      <c r="BG413" s="162"/>
      <c r="BH413" s="162"/>
      <c r="BI413" s="162"/>
      <c r="BJ413" s="162"/>
      <c r="BK413" s="230"/>
      <c r="BL413" s="230"/>
      <c r="BM413" s="162"/>
      <c r="BN413" s="162"/>
      <c r="BO413" s="162"/>
      <c r="BP413" s="162"/>
      <c r="BQ413" s="162"/>
      <c r="BR413" s="230"/>
      <c r="BS413" s="230"/>
      <c r="BT413" s="162"/>
      <c r="BU413" s="162"/>
      <c r="BV413" s="162"/>
      <c r="BW413" s="162"/>
      <c r="BX413" s="162"/>
      <c r="BY413" s="230"/>
      <c r="BZ413" s="230"/>
      <c r="CA413" s="162"/>
      <c r="CB413" s="162"/>
      <c r="CC413" s="162"/>
      <c r="CD413" s="162"/>
      <c r="CE413" s="162"/>
      <c r="CF413" s="230"/>
      <c r="CG413" s="230"/>
      <c r="CH413" s="162"/>
      <c r="CI413" s="162"/>
      <c r="CJ413" s="162"/>
      <c r="CK413" s="162"/>
      <c r="CL413" s="162"/>
      <c r="CM413" s="230"/>
      <c r="CN413" s="230"/>
      <c r="CO413" s="162"/>
      <c r="CP413" s="162"/>
      <c r="CQ413" s="162"/>
      <c r="CR413" s="162"/>
      <c r="CS413" s="162"/>
      <c r="CT413" s="230"/>
      <c r="CU413" s="230"/>
      <c r="CV413" s="162"/>
      <c r="CW413" s="162"/>
      <c r="CX413" s="162"/>
      <c r="CY413" s="162"/>
      <c r="CZ413" s="162"/>
      <c r="DA413" s="230"/>
      <c r="DB413" s="230"/>
      <c r="DC413" s="162"/>
      <c r="DD413" s="162"/>
      <c r="DE413" s="162"/>
      <c r="DF413" s="162"/>
      <c r="DG413" s="162"/>
      <c r="DH413" s="230"/>
      <c r="DI413" s="230"/>
      <c r="DJ413" s="162"/>
      <c r="DK413" s="162"/>
      <c r="DL413" s="146"/>
      <c r="DM413" s="371"/>
      <c r="DN413" s="372"/>
      <c r="DO413" s="372"/>
      <c r="DP413" s="372"/>
      <c r="DQ413" s="372"/>
      <c r="DR413" s="372"/>
      <c r="DS413" s="372"/>
      <c r="DT413" s="372"/>
      <c r="DU413" s="372"/>
      <c r="DV413" s="372"/>
      <c r="DW413" s="146"/>
      <c r="DX413" s="146"/>
      <c r="DY413" s="146"/>
      <c r="DZ413" s="146"/>
      <c r="EA413" s="146"/>
      <c r="EB413" s="146"/>
      <c r="EC413" s="146"/>
      <c r="ED413" s="146"/>
      <c r="EE413" s="146"/>
      <c r="EF413" s="146"/>
      <c r="EG413" s="146"/>
      <c r="EH413" s="146"/>
    </row>
    <row r="414" spans="1:138" x14ac:dyDescent="0.25">
      <c r="A414" s="147"/>
      <c r="B414" s="147"/>
      <c r="C414" s="160"/>
      <c r="D414" s="160"/>
      <c r="E414" s="169"/>
      <c r="F414" s="229"/>
      <c r="G414" s="165"/>
      <c r="H414" s="165"/>
      <c r="I414" s="163"/>
      <c r="J414" s="163"/>
      <c r="K414" s="162"/>
      <c r="L414" s="162"/>
      <c r="M414" s="162"/>
      <c r="N414" s="230"/>
      <c r="O414" s="230"/>
      <c r="P414" s="162"/>
      <c r="Q414" s="162"/>
      <c r="R414" s="162"/>
      <c r="S414" s="162"/>
      <c r="T414" s="162"/>
      <c r="U414" s="230"/>
      <c r="V414" s="230"/>
      <c r="W414" s="162"/>
      <c r="X414" s="162"/>
      <c r="Y414" s="162"/>
      <c r="Z414" s="162"/>
      <c r="AA414" s="162"/>
      <c r="AB414" s="230"/>
      <c r="AC414" s="230"/>
      <c r="AD414" s="162"/>
      <c r="AE414" s="162"/>
      <c r="AF414" s="162"/>
      <c r="AG414" s="162"/>
      <c r="AH414" s="162"/>
      <c r="AI414" s="230"/>
      <c r="AJ414" s="230"/>
      <c r="AK414" s="162"/>
      <c r="AL414" s="162"/>
      <c r="AM414" s="162"/>
      <c r="AN414" s="162"/>
      <c r="AO414" s="162"/>
      <c r="AP414" s="230"/>
      <c r="AQ414" s="230"/>
      <c r="AR414" s="162"/>
      <c r="AS414" s="162"/>
      <c r="AT414" s="162"/>
      <c r="AU414" s="162"/>
      <c r="AV414" s="162"/>
      <c r="AW414" s="230"/>
      <c r="AX414" s="230"/>
      <c r="AY414" s="162"/>
      <c r="AZ414" s="162"/>
      <c r="BA414" s="162"/>
      <c r="BB414" s="162"/>
      <c r="BC414" s="162"/>
      <c r="BD414" s="230"/>
      <c r="BE414" s="230"/>
      <c r="BF414" s="162"/>
      <c r="BG414" s="162"/>
      <c r="BH414" s="162"/>
      <c r="BI414" s="162"/>
      <c r="BJ414" s="162"/>
      <c r="BK414" s="230"/>
      <c r="BL414" s="230"/>
      <c r="BM414" s="162"/>
      <c r="BN414" s="162"/>
      <c r="BO414" s="162"/>
      <c r="BP414" s="162"/>
      <c r="BQ414" s="162"/>
      <c r="BR414" s="230"/>
      <c r="BS414" s="230"/>
      <c r="BT414" s="162"/>
      <c r="BU414" s="162"/>
      <c r="BV414" s="162"/>
      <c r="BW414" s="162"/>
      <c r="BX414" s="162"/>
      <c r="BY414" s="230"/>
      <c r="BZ414" s="230"/>
      <c r="CA414" s="162"/>
      <c r="CB414" s="162"/>
      <c r="CC414" s="162"/>
      <c r="CD414" s="162"/>
      <c r="CE414" s="162"/>
      <c r="CF414" s="230"/>
      <c r="CG414" s="230"/>
      <c r="CH414" s="162"/>
      <c r="CI414" s="162"/>
      <c r="CJ414" s="162"/>
      <c r="CK414" s="162"/>
      <c r="CL414" s="162"/>
      <c r="CM414" s="230"/>
      <c r="CN414" s="230"/>
      <c r="CO414" s="162"/>
      <c r="CP414" s="162"/>
      <c r="CQ414" s="162"/>
      <c r="CR414" s="162"/>
      <c r="CS414" s="162"/>
      <c r="CT414" s="230"/>
      <c r="CU414" s="230"/>
      <c r="CV414" s="162"/>
      <c r="CW414" s="162"/>
      <c r="CX414" s="162"/>
      <c r="CY414" s="162"/>
      <c r="CZ414" s="162"/>
      <c r="DA414" s="230"/>
      <c r="DB414" s="230"/>
      <c r="DC414" s="162"/>
      <c r="DD414" s="162"/>
      <c r="DE414" s="162"/>
      <c r="DF414" s="162"/>
      <c r="DG414" s="162"/>
      <c r="DH414" s="230"/>
      <c r="DI414" s="230"/>
      <c r="DJ414" s="162"/>
      <c r="DK414" s="162"/>
      <c r="DL414" s="146"/>
      <c r="DM414" s="371"/>
      <c r="DN414" s="372"/>
      <c r="DO414" s="372"/>
      <c r="DP414" s="372"/>
      <c r="DQ414" s="372"/>
      <c r="DR414" s="372"/>
      <c r="DS414" s="372"/>
      <c r="DT414" s="372"/>
      <c r="DU414" s="372"/>
      <c r="DV414" s="372"/>
      <c r="DW414" s="146"/>
      <c r="DX414" s="146"/>
      <c r="DY414" s="146"/>
      <c r="DZ414" s="146"/>
      <c r="EA414" s="146"/>
      <c r="EB414" s="146"/>
      <c r="EC414" s="146"/>
      <c r="ED414" s="146"/>
      <c r="EE414" s="146"/>
      <c r="EF414" s="146"/>
      <c r="EG414" s="146"/>
      <c r="EH414" s="146"/>
    </row>
    <row r="415" spans="1:138" x14ac:dyDescent="0.25">
      <c r="A415" s="147"/>
      <c r="B415" s="147"/>
      <c r="C415" s="160"/>
      <c r="D415" s="160"/>
      <c r="E415" s="169"/>
      <c r="F415" s="229"/>
      <c r="G415" s="165"/>
      <c r="H415" s="165"/>
      <c r="I415" s="163"/>
      <c r="J415" s="163"/>
      <c r="K415" s="162"/>
      <c r="L415" s="162"/>
      <c r="M415" s="162"/>
      <c r="N415" s="230"/>
      <c r="O415" s="230"/>
      <c r="P415" s="162"/>
      <c r="Q415" s="162"/>
      <c r="R415" s="162"/>
      <c r="S415" s="162"/>
      <c r="T415" s="162"/>
      <c r="U415" s="230"/>
      <c r="V415" s="230"/>
      <c r="W415" s="162"/>
      <c r="X415" s="162"/>
      <c r="Y415" s="162"/>
      <c r="Z415" s="162"/>
      <c r="AA415" s="162"/>
      <c r="AB415" s="230"/>
      <c r="AC415" s="230"/>
      <c r="AD415" s="162"/>
      <c r="AE415" s="162"/>
      <c r="AF415" s="162"/>
      <c r="AG415" s="162"/>
      <c r="AH415" s="162"/>
      <c r="AI415" s="230"/>
      <c r="AJ415" s="230"/>
      <c r="AK415" s="162"/>
      <c r="AL415" s="162"/>
      <c r="AM415" s="162"/>
      <c r="AN415" s="162"/>
      <c r="AO415" s="162"/>
      <c r="AP415" s="230"/>
      <c r="AQ415" s="230"/>
      <c r="AR415" s="162"/>
      <c r="AS415" s="162"/>
      <c r="AT415" s="162"/>
      <c r="AU415" s="162"/>
      <c r="AV415" s="162"/>
      <c r="AW415" s="230"/>
      <c r="AX415" s="230"/>
      <c r="AY415" s="162"/>
      <c r="AZ415" s="162"/>
      <c r="BA415" s="162"/>
      <c r="BB415" s="162"/>
      <c r="BC415" s="162"/>
      <c r="BD415" s="230"/>
      <c r="BE415" s="230"/>
      <c r="BF415" s="162"/>
      <c r="BG415" s="162"/>
      <c r="BH415" s="162"/>
      <c r="BI415" s="162"/>
      <c r="BJ415" s="162"/>
      <c r="BK415" s="230"/>
      <c r="BL415" s="230"/>
      <c r="BM415" s="162"/>
      <c r="BN415" s="162"/>
      <c r="BO415" s="162"/>
      <c r="BP415" s="162"/>
      <c r="BQ415" s="162"/>
      <c r="BR415" s="230"/>
      <c r="BS415" s="230"/>
      <c r="BT415" s="162"/>
      <c r="BU415" s="162"/>
      <c r="BV415" s="162"/>
      <c r="BW415" s="162"/>
      <c r="BX415" s="162"/>
      <c r="BY415" s="230"/>
      <c r="BZ415" s="230"/>
      <c r="CA415" s="162"/>
      <c r="CB415" s="162"/>
      <c r="CC415" s="162"/>
      <c r="CD415" s="162"/>
      <c r="CE415" s="162"/>
      <c r="CF415" s="230"/>
      <c r="CG415" s="230"/>
      <c r="CH415" s="162"/>
      <c r="CI415" s="162"/>
      <c r="CJ415" s="162"/>
      <c r="CK415" s="162"/>
      <c r="CL415" s="162"/>
      <c r="CM415" s="230"/>
      <c r="CN415" s="230"/>
      <c r="CO415" s="162"/>
      <c r="CP415" s="162"/>
      <c r="CQ415" s="162"/>
      <c r="CR415" s="162"/>
      <c r="CS415" s="162"/>
      <c r="CT415" s="230"/>
      <c r="CU415" s="230"/>
      <c r="CV415" s="162"/>
      <c r="CW415" s="162"/>
      <c r="CX415" s="162"/>
      <c r="CY415" s="162"/>
      <c r="CZ415" s="162"/>
      <c r="DA415" s="230"/>
      <c r="DB415" s="230"/>
      <c r="DC415" s="162"/>
      <c r="DD415" s="162"/>
      <c r="DE415" s="162"/>
      <c r="DF415" s="162"/>
      <c r="DG415" s="162"/>
      <c r="DH415" s="230"/>
      <c r="DI415" s="230"/>
      <c r="DJ415" s="162"/>
      <c r="DK415" s="162"/>
      <c r="DL415" s="226"/>
      <c r="DM415" s="380"/>
      <c r="DN415" s="372"/>
      <c r="DO415" s="372"/>
      <c r="DP415" s="372"/>
      <c r="DQ415" s="372"/>
      <c r="DR415" s="372"/>
      <c r="DS415" s="372"/>
      <c r="DT415" s="88"/>
      <c r="DU415" s="88"/>
      <c r="DV415" s="88"/>
      <c r="DW415" s="226"/>
      <c r="DX415" s="226"/>
      <c r="DY415" s="226"/>
      <c r="DZ415" s="226"/>
      <c r="EA415" s="226"/>
      <c r="EB415" s="226"/>
      <c r="EC415" s="226"/>
      <c r="ED415" s="226"/>
      <c r="EE415" s="226"/>
      <c r="EF415" s="226"/>
      <c r="EG415" s="226"/>
      <c r="EH415" s="226"/>
    </row>
    <row r="416" spans="1:138" x14ac:dyDescent="0.25">
      <c r="A416" s="147"/>
      <c r="B416" s="147"/>
      <c r="C416" s="160"/>
      <c r="D416" s="160"/>
      <c r="E416" s="169"/>
      <c r="F416" s="229"/>
      <c r="G416" s="165"/>
      <c r="H416" s="165"/>
      <c r="I416" s="163"/>
      <c r="J416" s="163"/>
      <c r="K416" s="162"/>
      <c r="L416" s="162"/>
      <c r="M416" s="162"/>
      <c r="N416" s="230"/>
      <c r="O416" s="230"/>
      <c r="P416" s="162"/>
      <c r="Q416" s="162"/>
      <c r="R416" s="162"/>
      <c r="S416" s="162"/>
      <c r="T416" s="162"/>
      <c r="U416" s="230"/>
      <c r="V416" s="230"/>
      <c r="W416" s="162"/>
      <c r="X416" s="162"/>
      <c r="Y416" s="162"/>
      <c r="Z416" s="162"/>
      <c r="AA416" s="162"/>
      <c r="AB416" s="230"/>
      <c r="AC416" s="230"/>
      <c r="AD416" s="162"/>
      <c r="AE416" s="162"/>
      <c r="AF416" s="162"/>
      <c r="AG416" s="162"/>
      <c r="AH416" s="162"/>
      <c r="AI416" s="230"/>
      <c r="AJ416" s="230"/>
      <c r="AK416" s="162"/>
      <c r="AL416" s="162"/>
      <c r="AM416" s="162"/>
      <c r="AN416" s="162"/>
      <c r="AO416" s="162"/>
      <c r="AP416" s="230"/>
      <c r="AQ416" s="230"/>
      <c r="AR416" s="162"/>
      <c r="AS416" s="162"/>
      <c r="AT416" s="162"/>
      <c r="AU416" s="162"/>
      <c r="AV416" s="162"/>
      <c r="AW416" s="230"/>
      <c r="AX416" s="230"/>
      <c r="AY416" s="162"/>
      <c r="AZ416" s="162"/>
      <c r="BA416" s="162"/>
      <c r="BB416" s="162"/>
      <c r="BC416" s="162"/>
      <c r="BD416" s="230"/>
      <c r="BE416" s="230"/>
      <c r="BF416" s="162"/>
      <c r="BG416" s="162"/>
      <c r="BH416" s="162"/>
      <c r="BI416" s="162"/>
      <c r="BJ416" s="162"/>
      <c r="BK416" s="230"/>
      <c r="BL416" s="230"/>
      <c r="BM416" s="162"/>
      <c r="BN416" s="162"/>
      <c r="BO416" s="162"/>
      <c r="BP416" s="162"/>
      <c r="BQ416" s="162"/>
      <c r="BR416" s="230"/>
      <c r="BS416" s="230"/>
      <c r="BT416" s="162"/>
      <c r="BU416" s="162"/>
      <c r="BV416" s="162"/>
      <c r="BW416" s="162"/>
      <c r="BX416" s="162"/>
      <c r="BY416" s="230"/>
      <c r="BZ416" s="230"/>
      <c r="CA416" s="162"/>
      <c r="CB416" s="162"/>
      <c r="CC416" s="162"/>
      <c r="CD416" s="162"/>
      <c r="CE416" s="162"/>
      <c r="CF416" s="230"/>
      <c r="CG416" s="230"/>
      <c r="CH416" s="162"/>
      <c r="CI416" s="162"/>
      <c r="CJ416" s="162"/>
      <c r="CK416" s="162"/>
      <c r="CL416" s="162"/>
      <c r="CM416" s="230"/>
      <c r="CN416" s="230"/>
      <c r="CO416" s="162"/>
      <c r="CP416" s="162"/>
      <c r="CQ416" s="162"/>
      <c r="CR416" s="162"/>
      <c r="CS416" s="162"/>
      <c r="CT416" s="230"/>
      <c r="CU416" s="230"/>
      <c r="CV416" s="162"/>
      <c r="CW416" s="162"/>
      <c r="CX416" s="162"/>
      <c r="CY416" s="162"/>
      <c r="CZ416" s="162"/>
      <c r="DA416" s="230"/>
      <c r="DB416" s="230"/>
      <c r="DC416" s="162"/>
      <c r="DD416" s="162"/>
      <c r="DE416" s="162"/>
      <c r="DF416" s="162"/>
      <c r="DG416" s="162"/>
      <c r="DH416" s="230"/>
      <c r="DI416" s="230"/>
      <c r="DJ416" s="162"/>
      <c r="DK416" s="162"/>
      <c r="DL416" s="50"/>
      <c r="DM416" s="380"/>
      <c r="DN416" s="372"/>
      <c r="DO416" s="372"/>
      <c r="DP416" s="372"/>
      <c r="DQ416" s="372"/>
      <c r="DR416" s="372"/>
      <c r="DS416" s="372"/>
      <c r="DT416" s="88"/>
      <c r="DU416" s="88"/>
      <c r="DV416" s="88"/>
      <c r="DW416" s="50"/>
      <c r="DX416" s="50"/>
      <c r="DY416" s="50"/>
      <c r="DZ416" s="50"/>
      <c r="EA416" s="50"/>
      <c r="EB416" s="50"/>
      <c r="EC416" s="50"/>
      <c r="ED416" s="50"/>
      <c r="EE416" s="50"/>
      <c r="EF416" s="50"/>
      <c r="EG416" s="50"/>
      <c r="EH416" s="50"/>
    </row>
    <row r="417" spans="1:138" x14ac:dyDescent="0.25">
      <c r="A417" s="147"/>
      <c r="B417" s="147"/>
      <c r="C417" s="160"/>
      <c r="D417" s="160"/>
      <c r="E417" s="169"/>
      <c r="F417" s="229"/>
      <c r="G417" s="165"/>
      <c r="H417" s="165"/>
      <c r="I417" s="163"/>
      <c r="J417" s="163"/>
      <c r="K417" s="162"/>
      <c r="L417" s="162"/>
      <c r="M417" s="162"/>
      <c r="N417" s="230"/>
      <c r="O417" s="230"/>
      <c r="P417" s="162"/>
      <c r="Q417" s="162"/>
      <c r="R417" s="162"/>
      <c r="S417" s="162"/>
      <c r="T417" s="162"/>
      <c r="U417" s="230"/>
      <c r="V417" s="230"/>
      <c r="W417" s="162"/>
      <c r="X417" s="162"/>
      <c r="Y417" s="162"/>
      <c r="Z417" s="162"/>
      <c r="AA417" s="162"/>
      <c r="AB417" s="230"/>
      <c r="AC417" s="230"/>
      <c r="AD417" s="162"/>
      <c r="AE417" s="162"/>
      <c r="AF417" s="162"/>
      <c r="AG417" s="162"/>
      <c r="AH417" s="162"/>
      <c r="AI417" s="230"/>
      <c r="AJ417" s="230"/>
      <c r="AK417" s="162"/>
      <c r="AL417" s="162"/>
      <c r="AM417" s="162"/>
      <c r="AN417" s="162"/>
      <c r="AO417" s="162"/>
      <c r="AP417" s="230"/>
      <c r="AQ417" s="230"/>
      <c r="AR417" s="162"/>
      <c r="AS417" s="162"/>
      <c r="AT417" s="162"/>
      <c r="AU417" s="162"/>
      <c r="AV417" s="162"/>
      <c r="AW417" s="230"/>
      <c r="AX417" s="230"/>
      <c r="AY417" s="162"/>
      <c r="AZ417" s="162"/>
      <c r="BA417" s="162"/>
      <c r="BB417" s="162"/>
      <c r="BC417" s="162"/>
      <c r="BD417" s="230"/>
      <c r="BE417" s="230"/>
      <c r="BF417" s="162"/>
      <c r="BG417" s="162"/>
      <c r="BH417" s="162"/>
      <c r="BI417" s="162"/>
      <c r="BJ417" s="162"/>
      <c r="BK417" s="230"/>
      <c r="BL417" s="230"/>
      <c r="BM417" s="162"/>
      <c r="BN417" s="162"/>
      <c r="BO417" s="162"/>
      <c r="BP417" s="162"/>
      <c r="BQ417" s="162"/>
      <c r="BR417" s="230"/>
      <c r="BS417" s="230"/>
      <c r="BT417" s="162"/>
      <c r="BU417" s="162"/>
      <c r="BV417" s="162"/>
      <c r="BW417" s="162"/>
      <c r="BX417" s="162"/>
      <c r="BY417" s="230"/>
      <c r="BZ417" s="230"/>
      <c r="CA417" s="162"/>
      <c r="CB417" s="162"/>
      <c r="CC417" s="162"/>
      <c r="CD417" s="162"/>
      <c r="CE417" s="162"/>
      <c r="CF417" s="230"/>
      <c r="CG417" s="230"/>
      <c r="CH417" s="162"/>
      <c r="CI417" s="162"/>
      <c r="CJ417" s="162"/>
      <c r="CK417" s="162"/>
      <c r="CL417" s="162"/>
      <c r="CM417" s="230"/>
      <c r="CN417" s="230"/>
      <c r="CO417" s="162"/>
      <c r="CP417" s="162"/>
      <c r="CQ417" s="162"/>
      <c r="CR417" s="162"/>
      <c r="CS417" s="162"/>
      <c r="CT417" s="230"/>
      <c r="CU417" s="230"/>
      <c r="CV417" s="162"/>
      <c r="CW417" s="162"/>
      <c r="CX417" s="162"/>
      <c r="CY417" s="162"/>
      <c r="CZ417" s="162"/>
      <c r="DA417" s="230"/>
      <c r="DB417" s="230"/>
      <c r="DC417" s="162"/>
      <c r="DD417" s="162"/>
      <c r="DE417" s="162"/>
      <c r="DF417" s="162"/>
      <c r="DG417" s="162"/>
      <c r="DH417" s="230"/>
      <c r="DI417" s="230"/>
      <c r="DJ417" s="162"/>
      <c r="DK417" s="162"/>
      <c r="DL417" s="75"/>
      <c r="DM417" s="380"/>
      <c r="DN417" s="372"/>
      <c r="DO417" s="372"/>
      <c r="DP417" s="372"/>
      <c r="DQ417" s="372"/>
      <c r="DR417" s="372"/>
      <c r="DS417" s="372"/>
      <c r="DT417" s="146"/>
      <c r="DU417" s="146"/>
      <c r="DV417" s="146"/>
      <c r="DW417" s="75"/>
      <c r="DX417" s="75"/>
      <c r="DY417" s="75"/>
      <c r="DZ417" s="75"/>
      <c r="EA417" s="75"/>
      <c r="EB417" s="75"/>
      <c r="EC417" s="75"/>
      <c r="ED417" s="75"/>
      <c r="EE417" s="75"/>
      <c r="EF417" s="75"/>
      <c r="EG417" s="75"/>
      <c r="EH417" s="75"/>
    </row>
    <row r="418" spans="1:138" x14ac:dyDescent="0.25">
      <c r="A418" s="147"/>
      <c r="B418" s="147"/>
      <c r="C418" s="160"/>
      <c r="D418" s="160"/>
      <c r="E418" s="169"/>
      <c r="F418" s="229"/>
      <c r="G418" s="165"/>
      <c r="H418" s="165"/>
      <c r="I418" s="163"/>
      <c r="J418" s="163"/>
      <c r="K418" s="162"/>
      <c r="L418" s="162"/>
      <c r="M418" s="162"/>
      <c r="N418" s="230"/>
      <c r="O418" s="230"/>
      <c r="P418" s="162"/>
      <c r="Q418" s="162"/>
      <c r="R418" s="162"/>
      <c r="S418" s="162"/>
      <c r="T418" s="162"/>
      <c r="U418" s="230"/>
      <c r="V418" s="230"/>
      <c r="W418" s="162"/>
      <c r="X418" s="162"/>
      <c r="Y418" s="162"/>
      <c r="Z418" s="162"/>
      <c r="AA418" s="162"/>
      <c r="AB418" s="230"/>
      <c r="AC418" s="230"/>
      <c r="AD418" s="162"/>
      <c r="AE418" s="162"/>
      <c r="AF418" s="162"/>
      <c r="AG418" s="162"/>
      <c r="AH418" s="162"/>
      <c r="AI418" s="230"/>
      <c r="AJ418" s="230"/>
      <c r="AK418" s="162"/>
      <c r="AL418" s="162"/>
      <c r="AM418" s="162"/>
      <c r="AN418" s="162"/>
      <c r="AO418" s="162"/>
      <c r="AP418" s="230"/>
      <c r="AQ418" s="230"/>
      <c r="AR418" s="162"/>
      <c r="AS418" s="162"/>
      <c r="AT418" s="162"/>
      <c r="AU418" s="162"/>
      <c r="AV418" s="162"/>
      <c r="AW418" s="230"/>
      <c r="AX418" s="230"/>
      <c r="AY418" s="162"/>
      <c r="AZ418" s="162"/>
      <c r="BA418" s="162"/>
      <c r="BB418" s="162"/>
      <c r="BC418" s="162"/>
      <c r="BD418" s="230"/>
      <c r="BE418" s="230"/>
      <c r="BF418" s="162"/>
      <c r="BG418" s="162"/>
      <c r="BH418" s="162"/>
      <c r="BI418" s="162"/>
      <c r="BJ418" s="162"/>
      <c r="BK418" s="230"/>
      <c r="BL418" s="230"/>
      <c r="BM418" s="162"/>
      <c r="BN418" s="162"/>
      <c r="BO418" s="162"/>
      <c r="BP418" s="162"/>
      <c r="BQ418" s="162"/>
      <c r="BR418" s="230"/>
      <c r="BS418" s="230"/>
      <c r="BT418" s="162"/>
      <c r="BU418" s="162"/>
      <c r="BV418" s="162"/>
      <c r="BW418" s="162"/>
      <c r="BX418" s="162"/>
      <c r="BY418" s="230"/>
      <c r="BZ418" s="230"/>
      <c r="CA418" s="162"/>
      <c r="CB418" s="162"/>
      <c r="CC418" s="162"/>
      <c r="CD418" s="162"/>
      <c r="CE418" s="162"/>
      <c r="CF418" s="230"/>
      <c r="CG418" s="230"/>
      <c r="CH418" s="162"/>
      <c r="CI418" s="162"/>
      <c r="CJ418" s="162"/>
      <c r="CK418" s="162"/>
      <c r="CL418" s="162"/>
      <c r="CM418" s="230"/>
      <c r="CN418" s="230"/>
      <c r="CO418" s="162"/>
      <c r="CP418" s="162"/>
      <c r="CQ418" s="162"/>
      <c r="CR418" s="162"/>
      <c r="CS418" s="162"/>
      <c r="CT418" s="230"/>
      <c r="CU418" s="230"/>
      <c r="CV418" s="162"/>
      <c r="CW418" s="162"/>
      <c r="CX418" s="162"/>
      <c r="CY418" s="162"/>
      <c r="CZ418" s="162"/>
      <c r="DA418" s="230"/>
      <c r="DB418" s="230"/>
      <c r="DC418" s="162"/>
      <c r="DD418" s="162"/>
      <c r="DE418" s="162"/>
      <c r="DF418" s="162"/>
      <c r="DG418" s="162"/>
      <c r="DH418" s="230"/>
      <c r="DI418" s="230"/>
      <c r="DJ418" s="162"/>
      <c r="DK418" s="162"/>
      <c r="DL418" s="75"/>
      <c r="DM418" s="88"/>
      <c r="DN418" s="88"/>
      <c r="DO418" s="88"/>
      <c r="DP418" s="88"/>
      <c r="DQ418" s="88"/>
      <c r="DR418" s="88"/>
      <c r="DS418" s="88"/>
      <c r="DT418" s="88"/>
      <c r="DU418" s="88"/>
      <c r="DV418" s="88"/>
      <c r="DW418" s="75"/>
      <c r="DX418" s="75"/>
      <c r="DY418" s="75"/>
      <c r="DZ418" s="75"/>
      <c r="EA418" s="75"/>
      <c r="EB418" s="75"/>
      <c r="EC418" s="75"/>
      <c r="ED418" s="75"/>
      <c r="EE418" s="75"/>
      <c r="EF418" s="75"/>
      <c r="EG418" s="75"/>
      <c r="EH418" s="75"/>
    </row>
    <row r="419" spans="1:138" x14ac:dyDescent="0.25">
      <c r="A419" s="147"/>
      <c r="B419" s="147"/>
      <c r="C419" s="160"/>
      <c r="D419" s="160"/>
      <c r="E419" s="169"/>
      <c r="F419" s="229"/>
      <c r="G419" s="165"/>
      <c r="H419" s="165"/>
      <c r="I419" s="163"/>
      <c r="J419" s="163"/>
      <c r="K419" s="162"/>
      <c r="L419" s="162"/>
      <c r="M419" s="162"/>
      <c r="N419" s="230"/>
      <c r="O419" s="230"/>
      <c r="P419" s="162"/>
      <c r="Q419" s="162"/>
      <c r="R419" s="162"/>
      <c r="S419" s="162"/>
      <c r="T419" s="162"/>
      <c r="U419" s="230"/>
      <c r="V419" s="230"/>
      <c r="W419" s="162"/>
      <c r="X419" s="162"/>
      <c r="Y419" s="162"/>
      <c r="Z419" s="162"/>
      <c r="AA419" s="162"/>
      <c r="AB419" s="230"/>
      <c r="AC419" s="230"/>
      <c r="AD419" s="162"/>
      <c r="AE419" s="162"/>
      <c r="AF419" s="162"/>
      <c r="AG419" s="162"/>
      <c r="AH419" s="162"/>
      <c r="AI419" s="230"/>
      <c r="AJ419" s="230"/>
      <c r="AK419" s="162"/>
      <c r="AL419" s="162"/>
      <c r="AM419" s="162"/>
      <c r="AN419" s="162"/>
      <c r="AO419" s="162"/>
      <c r="AP419" s="230"/>
      <c r="AQ419" s="230"/>
      <c r="AR419" s="162"/>
      <c r="AS419" s="162"/>
      <c r="AT419" s="162"/>
      <c r="AU419" s="162"/>
      <c r="AV419" s="162"/>
      <c r="AW419" s="230"/>
      <c r="AX419" s="230"/>
      <c r="AY419" s="162"/>
      <c r="AZ419" s="162"/>
      <c r="BA419" s="162"/>
      <c r="BB419" s="162"/>
      <c r="BC419" s="162"/>
      <c r="BD419" s="230"/>
      <c r="BE419" s="230"/>
      <c r="BF419" s="162"/>
      <c r="BG419" s="162"/>
      <c r="BH419" s="162"/>
      <c r="BI419" s="162"/>
      <c r="BJ419" s="162"/>
      <c r="BK419" s="230"/>
      <c r="BL419" s="230"/>
      <c r="BM419" s="162"/>
      <c r="BN419" s="162"/>
      <c r="BO419" s="162"/>
      <c r="BP419" s="162"/>
      <c r="BQ419" s="162"/>
      <c r="BR419" s="230"/>
      <c r="BS419" s="230"/>
      <c r="BT419" s="162"/>
      <c r="BU419" s="162"/>
      <c r="BV419" s="162"/>
      <c r="BW419" s="162"/>
      <c r="BX419" s="162"/>
      <c r="BY419" s="230"/>
      <c r="BZ419" s="230"/>
      <c r="CA419" s="162"/>
      <c r="CB419" s="162"/>
      <c r="CC419" s="162"/>
      <c r="CD419" s="162"/>
      <c r="CE419" s="162"/>
      <c r="CF419" s="230"/>
      <c r="CG419" s="230"/>
      <c r="CH419" s="162"/>
      <c r="CI419" s="162"/>
      <c r="CJ419" s="162"/>
      <c r="CK419" s="162"/>
      <c r="CL419" s="162"/>
      <c r="CM419" s="230"/>
      <c r="CN419" s="230"/>
      <c r="CO419" s="162"/>
      <c r="CP419" s="162"/>
      <c r="CQ419" s="162"/>
      <c r="CR419" s="162"/>
      <c r="CS419" s="162"/>
      <c r="CT419" s="230"/>
      <c r="CU419" s="230"/>
      <c r="CV419" s="162"/>
      <c r="CW419" s="162"/>
      <c r="CX419" s="162"/>
      <c r="CY419" s="162"/>
      <c r="CZ419" s="162"/>
      <c r="DA419" s="230"/>
      <c r="DB419" s="230"/>
      <c r="DC419" s="162"/>
      <c r="DD419" s="162"/>
      <c r="DE419" s="162"/>
      <c r="DF419" s="162"/>
      <c r="DG419" s="162"/>
      <c r="DH419" s="230"/>
      <c r="DI419" s="230"/>
      <c r="DJ419" s="162"/>
      <c r="DK419" s="162"/>
      <c r="DL419" s="146"/>
      <c r="DM419" s="380"/>
      <c r="DN419" s="372"/>
      <c r="DO419" s="372"/>
      <c r="DP419" s="372"/>
      <c r="DQ419" s="372"/>
      <c r="DR419" s="372"/>
      <c r="DS419" s="372"/>
      <c r="DT419" s="88"/>
      <c r="DU419" s="88"/>
      <c r="DV419" s="88"/>
      <c r="DW419" s="146"/>
      <c r="DX419" s="146"/>
      <c r="DY419" s="146"/>
      <c r="DZ419" s="146"/>
      <c r="EA419" s="146"/>
      <c r="EB419" s="146"/>
      <c r="EC419" s="146"/>
      <c r="ED419" s="146"/>
      <c r="EE419" s="146"/>
      <c r="EF419" s="146"/>
      <c r="EG419" s="146"/>
      <c r="EH419" s="146"/>
    </row>
    <row r="420" spans="1:138" x14ac:dyDescent="0.25">
      <c r="A420" s="147"/>
      <c r="B420" s="147"/>
      <c r="C420" s="160"/>
      <c r="D420" s="160"/>
      <c r="E420" s="169"/>
      <c r="F420" s="229"/>
      <c r="G420" s="165"/>
      <c r="H420" s="165"/>
      <c r="I420" s="163"/>
      <c r="J420" s="163"/>
      <c r="K420" s="162"/>
      <c r="L420" s="162"/>
      <c r="M420" s="162"/>
      <c r="N420" s="230"/>
      <c r="O420" s="230"/>
      <c r="P420" s="162"/>
      <c r="Q420" s="162"/>
      <c r="R420" s="162"/>
      <c r="S420" s="162"/>
      <c r="T420" s="162"/>
      <c r="U420" s="230"/>
      <c r="V420" s="230"/>
      <c r="W420" s="162"/>
      <c r="X420" s="162"/>
      <c r="Y420" s="162"/>
      <c r="Z420" s="162"/>
      <c r="AA420" s="162"/>
      <c r="AB420" s="230"/>
      <c r="AC420" s="230"/>
      <c r="AD420" s="162"/>
      <c r="AE420" s="162"/>
      <c r="AF420" s="162"/>
      <c r="AG420" s="162"/>
      <c r="AH420" s="162"/>
      <c r="AI420" s="230"/>
      <c r="AJ420" s="230"/>
      <c r="AK420" s="162"/>
      <c r="AL420" s="162"/>
      <c r="AM420" s="162"/>
      <c r="AN420" s="162"/>
      <c r="AO420" s="162"/>
      <c r="AP420" s="230"/>
      <c r="AQ420" s="230"/>
      <c r="AR420" s="162"/>
      <c r="AS420" s="162"/>
      <c r="AT420" s="162"/>
      <c r="AU420" s="162"/>
      <c r="AV420" s="162"/>
      <c r="AW420" s="230"/>
      <c r="AX420" s="230"/>
      <c r="AY420" s="162"/>
      <c r="AZ420" s="162"/>
      <c r="BA420" s="162"/>
      <c r="BB420" s="162"/>
      <c r="BC420" s="162"/>
      <c r="BD420" s="230"/>
      <c r="BE420" s="230"/>
      <c r="BF420" s="162"/>
      <c r="BG420" s="162"/>
      <c r="BH420" s="162"/>
      <c r="BI420" s="162"/>
      <c r="BJ420" s="162"/>
      <c r="BK420" s="230"/>
      <c r="BL420" s="230"/>
      <c r="BM420" s="162"/>
      <c r="BN420" s="162"/>
      <c r="BO420" s="162"/>
      <c r="BP420" s="162"/>
      <c r="BQ420" s="162"/>
      <c r="BR420" s="230"/>
      <c r="BS420" s="230"/>
      <c r="BT420" s="162"/>
      <c r="BU420" s="162"/>
      <c r="BV420" s="162"/>
      <c r="BW420" s="162"/>
      <c r="BX420" s="162"/>
      <c r="BY420" s="230"/>
      <c r="BZ420" s="230"/>
      <c r="CA420" s="162"/>
      <c r="CB420" s="162"/>
      <c r="CC420" s="162"/>
      <c r="CD420" s="162"/>
      <c r="CE420" s="162"/>
      <c r="CF420" s="230"/>
      <c r="CG420" s="230"/>
      <c r="CH420" s="162"/>
      <c r="CI420" s="162"/>
      <c r="CJ420" s="162"/>
      <c r="CK420" s="162"/>
      <c r="CL420" s="162"/>
      <c r="CM420" s="230"/>
      <c r="CN420" s="230"/>
      <c r="CO420" s="162"/>
      <c r="CP420" s="162"/>
      <c r="CQ420" s="162"/>
      <c r="CR420" s="162"/>
      <c r="CS420" s="162"/>
      <c r="CT420" s="230"/>
      <c r="CU420" s="230"/>
      <c r="CV420" s="162"/>
      <c r="CW420" s="162"/>
      <c r="CX420" s="162"/>
      <c r="CY420" s="162"/>
      <c r="CZ420" s="162"/>
      <c r="DA420" s="230"/>
      <c r="DB420" s="230"/>
      <c r="DC420" s="162"/>
      <c r="DD420" s="162"/>
      <c r="DE420" s="162"/>
      <c r="DF420" s="162"/>
      <c r="DG420" s="162"/>
      <c r="DH420" s="230"/>
      <c r="DI420" s="230"/>
      <c r="DJ420" s="162"/>
      <c r="DK420" s="162"/>
      <c r="DL420" s="146"/>
      <c r="DM420" s="380"/>
      <c r="DN420" s="372"/>
      <c r="DO420" s="372"/>
      <c r="DP420" s="372"/>
      <c r="DQ420" s="372"/>
      <c r="DR420" s="372"/>
      <c r="DS420" s="372"/>
      <c r="DT420" s="89"/>
      <c r="DU420" s="89"/>
      <c r="DV420" s="89"/>
      <c r="DW420" s="146"/>
      <c r="DX420" s="146"/>
      <c r="DY420" s="146"/>
      <c r="DZ420" s="146"/>
      <c r="EA420" s="146"/>
      <c r="EB420" s="146"/>
      <c r="EC420" s="146"/>
      <c r="ED420" s="146"/>
      <c r="EE420" s="146"/>
      <c r="EF420" s="146"/>
      <c r="EG420" s="146"/>
      <c r="EH420" s="146"/>
    </row>
    <row r="421" spans="1:138" x14ac:dyDescent="0.25">
      <c r="A421" s="147"/>
      <c r="B421" s="147"/>
      <c r="C421" s="160"/>
      <c r="D421" s="160"/>
      <c r="E421" s="169"/>
      <c r="F421" s="229"/>
      <c r="G421" s="165"/>
      <c r="H421" s="165"/>
      <c r="I421" s="163"/>
      <c r="J421" s="163"/>
      <c r="K421" s="162"/>
      <c r="L421" s="162"/>
      <c r="M421" s="162"/>
      <c r="N421" s="230"/>
      <c r="O421" s="230"/>
      <c r="P421" s="162"/>
      <c r="Q421" s="162"/>
      <c r="R421" s="162"/>
      <c r="S421" s="162"/>
      <c r="T421" s="162"/>
      <c r="U421" s="230"/>
      <c r="V421" s="230"/>
      <c r="W421" s="162"/>
      <c r="X421" s="162"/>
      <c r="Y421" s="162"/>
      <c r="Z421" s="162"/>
      <c r="AA421" s="162"/>
      <c r="AB421" s="230"/>
      <c r="AC421" s="230"/>
      <c r="AD421" s="162"/>
      <c r="AE421" s="162"/>
      <c r="AF421" s="162"/>
      <c r="AG421" s="162"/>
      <c r="AH421" s="162"/>
      <c r="AI421" s="230"/>
      <c r="AJ421" s="230"/>
      <c r="AK421" s="162"/>
      <c r="AL421" s="162"/>
      <c r="AM421" s="162"/>
      <c r="AN421" s="162"/>
      <c r="AO421" s="162"/>
      <c r="AP421" s="230"/>
      <c r="AQ421" s="230"/>
      <c r="AR421" s="162"/>
      <c r="AS421" s="162"/>
      <c r="AT421" s="162"/>
      <c r="AU421" s="162"/>
      <c r="AV421" s="162"/>
      <c r="AW421" s="230"/>
      <c r="AX421" s="230"/>
      <c r="AY421" s="162"/>
      <c r="AZ421" s="162"/>
      <c r="BA421" s="162"/>
      <c r="BB421" s="162"/>
      <c r="BC421" s="162"/>
      <c r="BD421" s="230"/>
      <c r="BE421" s="230"/>
      <c r="BF421" s="162"/>
      <c r="BG421" s="162"/>
      <c r="BH421" s="162"/>
      <c r="BI421" s="162"/>
      <c r="BJ421" s="162"/>
      <c r="BK421" s="230"/>
      <c r="BL421" s="230"/>
      <c r="BM421" s="162"/>
      <c r="BN421" s="162"/>
      <c r="BO421" s="162"/>
      <c r="BP421" s="162"/>
      <c r="BQ421" s="162"/>
      <c r="BR421" s="230"/>
      <c r="BS421" s="230"/>
      <c r="BT421" s="162"/>
      <c r="BU421" s="162"/>
      <c r="BV421" s="162"/>
      <c r="BW421" s="162"/>
      <c r="BX421" s="162"/>
      <c r="BY421" s="230"/>
      <c r="BZ421" s="230"/>
      <c r="CA421" s="162"/>
      <c r="CB421" s="162"/>
      <c r="CC421" s="162"/>
      <c r="CD421" s="162"/>
      <c r="CE421" s="162"/>
      <c r="CF421" s="230"/>
      <c r="CG421" s="230"/>
      <c r="CH421" s="162"/>
      <c r="CI421" s="162"/>
      <c r="CJ421" s="162"/>
      <c r="CK421" s="162"/>
      <c r="CL421" s="162"/>
      <c r="CM421" s="230"/>
      <c r="CN421" s="230"/>
      <c r="CO421" s="162"/>
      <c r="CP421" s="162"/>
      <c r="CQ421" s="162"/>
      <c r="CR421" s="162"/>
      <c r="CS421" s="162"/>
      <c r="CT421" s="230"/>
      <c r="CU421" s="230"/>
      <c r="CV421" s="162"/>
      <c r="CW421" s="162"/>
      <c r="CX421" s="162"/>
      <c r="CY421" s="162"/>
      <c r="CZ421" s="162"/>
      <c r="DA421" s="230"/>
      <c r="DB421" s="230"/>
      <c r="DC421" s="162"/>
      <c r="DD421" s="162"/>
      <c r="DE421" s="162"/>
      <c r="DF421" s="162"/>
      <c r="DG421" s="162"/>
      <c r="DH421" s="230"/>
      <c r="DI421" s="230"/>
      <c r="DJ421" s="162"/>
      <c r="DK421" s="162"/>
      <c r="DL421" s="146"/>
      <c r="DM421" s="88"/>
      <c r="DN421" s="88"/>
      <c r="DO421" s="88"/>
      <c r="DP421" s="88"/>
      <c r="DQ421" s="88"/>
      <c r="DR421" s="88"/>
      <c r="DS421" s="88"/>
      <c r="DT421" s="88"/>
      <c r="DU421" s="88"/>
      <c r="DV421" s="88"/>
      <c r="DW421" s="146"/>
      <c r="DX421" s="146"/>
      <c r="DY421" s="146"/>
      <c r="DZ421" s="146"/>
      <c r="EA421" s="146"/>
      <c r="EB421" s="146"/>
      <c r="EC421" s="146"/>
      <c r="ED421" s="146"/>
      <c r="EE421" s="146"/>
      <c r="EF421" s="146"/>
      <c r="EG421" s="146"/>
      <c r="EH421" s="146"/>
    </row>
    <row r="422" spans="1:138" x14ac:dyDescent="0.25">
      <c r="A422" s="147"/>
      <c r="B422" s="147"/>
      <c r="C422" s="160"/>
      <c r="D422" s="160"/>
      <c r="E422" s="169"/>
      <c r="F422" s="229"/>
      <c r="G422" s="165"/>
      <c r="H422" s="165"/>
      <c r="I422" s="163"/>
      <c r="J422" s="163"/>
      <c r="K422" s="162"/>
      <c r="L422" s="162"/>
      <c r="M422" s="162"/>
      <c r="N422" s="230"/>
      <c r="O422" s="230"/>
      <c r="P422" s="162"/>
      <c r="Q422" s="162"/>
      <c r="R422" s="162"/>
      <c r="S422" s="162"/>
      <c r="T422" s="162"/>
      <c r="U422" s="230"/>
      <c r="V422" s="230"/>
      <c r="W422" s="162"/>
      <c r="X422" s="162"/>
      <c r="Y422" s="162"/>
      <c r="Z422" s="162"/>
      <c r="AA422" s="162"/>
      <c r="AB422" s="230"/>
      <c r="AC422" s="230"/>
      <c r="AD422" s="162"/>
      <c r="AE422" s="162"/>
      <c r="AF422" s="162"/>
      <c r="AG422" s="162"/>
      <c r="AH422" s="162"/>
      <c r="AI422" s="230"/>
      <c r="AJ422" s="230"/>
      <c r="AK422" s="162"/>
      <c r="AL422" s="162"/>
      <c r="AM422" s="162"/>
      <c r="AN422" s="162"/>
      <c r="AO422" s="162"/>
      <c r="AP422" s="230"/>
      <c r="AQ422" s="230"/>
      <c r="AR422" s="162"/>
      <c r="AS422" s="162"/>
      <c r="AT422" s="162"/>
      <c r="AU422" s="162"/>
      <c r="AV422" s="162"/>
      <c r="AW422" s="230"/>
      <c r="AX422" s="230"/>
      <c r="AY422" s="162"/>
      <c r="AZ422" s="162"/>
      <c r="BA422" s="162"/>
      <c r="BB422" s="162"/>
      <c r="BC422" s="162"/>
      <c r="BD422" s="230"/>
      <c r="BE422" s="230"/>
      <c r="BF422" s="162"/>
      <c r="BG422" s="162"/>
      <c r="BH422" s="162"/>
      <c r="BI422" s="162"/>
      <c r="BJ422" s="162"/>
      <c r="BK422" s="230"/>
      <c r="BL422" s="230"/>
      <c r="BM422" s="162"/>
      <c r="BN422" s="162"/>
      <c r="BO422" s="162"/>
      <c r="BP422" s="162"/>
      <c r="BQ422" s="162"/>
      <c r="BR422" s="230"/>
      <c r="BS422" s="230"/>
      <c r="BT422" s="162"/>
      <c r="BU422" s="162"/>
      <c r="BV422" s="162"/>
      <c r="BW422" s="162"/>
      <c r="BX422" s="162"/>
      <c r="BY422" s="230"/>
      <c r="BZ422" s="230"/>
      <c r="CA422" s="162"/>
      <c r="CB422" s="162"/>
      <c r="CC422" s="162"/>
      <c r="CD422" s="162"/>
      <c r="CE422" s="162"/>
      <c r="CF422" s="230"/>
      <c r="CG422" s="230"/>
      <c r="CH422" s="162"/>
      <c r="CI422" s="162"/>
      <c r="CJ422" s="162"/>
      <c r="CK422" s="162"/>
      <c r="CL422" s="162"/>
      <c r="CM422" s="230"/>
      <c r="CN422" s="230"/>
      <c r="CO422" s="162"/>
      <c r="CP422" s="162"/>
      <c r="CQ422" s="162"/>
      <c r="CR422" s="162"/>
      <c r="CS422" s="162"/>
      <c r="CT422" s="230"/>
      <c r="CU422" s="230"/>
      <c r="CV422" s="162"/>
      <c r="CW422" s="162"/>
      <c r="CX422" s="162"/>
      <c r="CY422" s="162"/>
      <c r="CZ422" s="162"/>
      <c r="DA422" s="230"/>
      <c r="DB422" s="230"/>
      <c r="DC422" s="162"/>
      <c r="DD422" s="162"/>
      <c r="DE422" s="162"/>
      <c r="DF422" s="162"/>
      <c r="DG422" s="162"/>
      <c r="DH422" s="230"/>
      <c r="DI422" s="230"/>
      <c r="DJ422" s="162"/>
      <c r="DK422" s="162"/>
      <c r="DL422" s="146"/>
      <c r="DM422" s="371"/>
      <c r="DN422" s="372"/>
      <c r="DO422" s="372"/>
      <c r="DP422" s="372"/>
      <c r="DQ422" s="372"/>
      <c r="DR422" s="372"/>
      <c r="DS422" s="372"/>
      <c r="DT422" s="372"/>
      <c r="DU422" s="372"/>
      <c r="DV422" s="372"/>
      <c r="DW422" s="146"/>
      <c r="DX422" s="146"/>
      <c r="DY422" s="146"/>
      <c r="DZ422" s="146"/>
      <c r="EA422" s="146"/>
      <c r="EB422" s="146"/>
      <c r="EC422" s="146"/>
      <c r="ED422" s="146"/>
      <c r="EE422" s="146"/>
      <c r="EF422" s="146"/>
      <c r="EG422" s="146"/>
      <c r="EH422" s="146"/>
    </row>
    <row r="423" spans="1:138" x14ac:dyDescent="0.25">
      <c r="A423" s="147"/>
      <c r="B423" s="147"/>
      <c r="C423" s="160"/>
      <c r="D423" s="160"/>
      <c r="E423" s="169"/>
      <c r="F423" s="229"/>
      <c r="G423" s="165"/>
      <c r="H423" s="165"/>
      <c r="I423" s="163"/>
      <c r="J423" s="163"/>
      <c r="K423" s="162"/>
      <c r="L423" s="162"/>
      <c r="M423" s="162"/>
      <c r="N423" s="230"/>
      <c r="O423" s="230"/>
      <c r="P423" s="162"/>
      <c r="Q423" s="162"/>
      <c r="R423" s="162"/>
      <c r="S423" s="162"/>
      <c r="T423" s="162"/>
      <c r="U423" s="230"/>
      <c r="V423" s="230"/>
      <c r="W423" s="162"/>
      <c r="X423" s="162"/>
      <c r="Y423" s="162"/>
      <c r="Z423" s="162"/>
      <c r="AA423" s="162"/>
      <c r="AB423" s="230"/>
      <c r="AC423" s="230"/>
      <c r="AD423" s="162"/>
      <c r="AE423" s="162"/>
      <c r="AF423" s="162"/>
      <c r="AG423" s="162"/>
      <c r="AH423" s="162"/>
      <c r="AI423" s="230"/>
      <c r="AJ423" s="230"/>
      <c r="AK423" s="162"/>
      <c r="AL423" s="162"/>
      <c r="AM423" s="162"/>
      <c r="AN423" s="162"/>
      <c r="AO423" s="162"/>
      <c r="AP423" s="230"/>
      <c r="AQ423" s="230"/>
      <c r="AR423" s="162"/>
      <c r="AS423" s="162"/>
      <c r="AT423" s="162"/>
      <c r="AU423" s="162"/>
      <c r="AV423" s="162"/>
      <c r="AW423" s="230"/>
      <c r="AX423" s="230"/>
      <c r="AY423" s="162"/>
      <c r="AZ423" s="162"/>
      <c r="BA423" s="162"/>
      <c r="BB423" s="162"/>
      <c r="BC423" s="162"/>
      <c r="BD423" s="230"/>
      <c r="BE423" s="230"/>
      <c r="BF423" s="162"/>
      <c r="BG423" s="162"/>
      <c r="BH423" s="162"/>
      <c r="BI423" s="162"/>
      <c r="BJ423" s="162"/>
      <c r="BK423" s="230"/>
      <c r="BL423" s="230"/>
      <c r="BM423" s="162"/>
      <c r="BN423" s="162"/>
      <c r="BO423" s="162"/>
      <c r="BP423" s="162"/>
      <c r="BQ423" s="162"/>
      <c r="BR423" s="230"/>
      <c r="BS423" s="230"/>
      <c r="BT423" s="162"/>
      <c r="BU423" s="162"/>
      <c r="BV423" s="162"/>
      <c r="BW423" s="162"/>
      <c r="BX423" s="162"/>
      <c r="BY423" s="230"/>
      <c r="BZ423" s="230"/>
      <c r="CA423" s="162"/>
      <c r="CB423" s="162"/>
      <c r="CC423" s="162"/>
      <c r="CD423" s="162"/>
      <c r="CE423" s="162"/>
      <c r="CF423" s="230"/>
      <c r="CG423" s="230"/>
      <c r="CH423" s="162"/>
      <c r="CI423" s="162"/>
      <c r="CJ423" s="162"/>
      <c r="CK423" s="162"/>
      <c r="CL423" s="162"/>
      <c r="CM423" s="230"/>
      <c r="CN423" s="230"/>
      <c r="CO423" s="162"/>
      <c r="CP423" s="162"/>
      <c r="CQ423" s="162"/>
      <c r="CR423" s="162"/>
      <c r="CS423" s="162"/>
      <c r="CT423" s="230"/>
      <c r="CU423" s="230"/>
      <c r="CV423" s="162"/>
      <c r="CW423" s="162"/>
      <c r="CX423" s="162"/>
      <c r="CY423" s="162"/>
      <c r="CZ423" s="162"/>
      <c r="DA423" s="230"/>
      <c r="DB423" s="230"/>
      <c r="DC423" s="162"/>
      <c r="DD423" s="162"/>
      <c r="DE423" s="162"/>
      <c r="DF423" s="162"/>
      <c r="DG423" s="162"/>
      <c r="DH423" s="230"/>
      <c r="DI423" s="230"/>
      <c r="DJ423" s="162"/>
      <c r="DK423" s="162"/>
      <c r="DL423" s="146"/>
      <c r="DM423" s="371"/>
      <c r="DN423" s="372"/>
      <c r="DO423" s="372"/>
      <c r="DP423" s="372"/>
      <c r="DQ423" s="372"/>
      <c r="DR423" s="372"/>
      <c r="DS423" s="372"/>
      <c r="DT423" s="372"/>
      <c r="DU423" s="372"/>
      <c r="DV423" s="372"/>
      <c r="DW423" s="146"/>
      <c r="DX423" s="146"/>
      <c r="DY423" s="146"/>
      <c r="DZ423" s="146"/>
      <c r="EA423" s="146"/>
      <c r="EB423" s="146"/>
      <c r="EC423" s="146"/>
      <c r="ED423" s="146"/>
      <c r="EE423" s="146"/>
      <c r="EF423" s="146"/>
      <c r="EG423" s="146"/>
      <c r="EH423" s="146"/>
    </row>
    <row r="424" spans="1:138" x14ac:dyDescent="0.25">
      <c r="A424" s="147"/>
      <c r="B424" s="147"/>
      <c r="C424" s="160"/>
      <c r="D424" s="160"/>
      <c r="E424" s="169"/>
      <c r="F424" s="229"/>
      <c r="G424" s="165"/>
      <c r="H424" s="165"/>
      <c r="I424" s="163"/>
      <c r="J424" s="163"/>
      <c r="K424" s="162"/>
      <c r="L424" s="162"/>
      <c r="M424" s="162"/>
      <c r="N424" s="230"/>
      <c r="O424" s="230"/>
      <c r="P424" s="162"/>
      <c r="Q424" s="162"/>
      <c r="R424" s="162"/>
      <c r="S424" s="162"/>
      <c r="T424" s="162"/>
      <c r="U424" s="230"/>
      <c r="V424" s="230"/>
      <c r="W424" s="162"/>
      <c r="X424" s="162"/>
      <c r="Y424" s="162"/>
      <c r="Z424" s="162"/>
      <c r="AA424" s="162"/>
      <c r="AB424" s="230"/>
      <c r="AC424" s="230"/>
      <c r="AD424" s="162"/>
      <c r="AE424" s="162"/>
      <c r="AF424" s="162"/>
      <c r="AG424" s="162"/>
      <c r="AH424" s="162"/>
      <c r="AI424" s="230"/>
      <c r="AJ424" s="230"/>
      <c r="AK424" s="162"/>
      <c r="AL424" s="162"/>
      <c r="AM424" s="162"/>
      <c r="AN424" s="162"/>
      <c r="AO424" s="162"/>
      <c r="AP424" s="230"/>
      <c r="AQ424" s="230"/>
      <c r="AR424" s="162"/>
      <c r="AS424" s="162"/>
      <c r="AT424" s="162"/>
      <c r="AU424" s="162"/>
      <c r="AV424" s="162"/>
      <c r="AW424" s="230"/>
      <c r="AX424" s="230"/>
      <c r="AY424" s="162"/>
      <c r="AZ424" s="162"/>
      <c r="BA424" s="162"/>
      <c r="BB424" s="162"/>
      <c r="BC424" s="162"/>
      <c r="BD424" s="230"/>
      <c r="BE424" s="230"/>
      <c r="BF424" s="162"/>
      <c r="BG424" s="162"/>
      <c r="BH424" s="162"/>
      <c r="BI424" s="162"/>
      <c r="BJ424" s="162"/>
      <c r="BK424" s="230"/>
      <c r="BL424" s="230"/>
      <c r="BM424" s="162"/>
      <c r="BN424" s="162"/>
      <c r="BO424" s="162"/>
      <c r="BP424" s="162"/>
      <c r="BQ424" s="162"/>
      <c r="BR424" s="230"/>
      <c r="BS424" s="230"/>
      <c r="BT424" s="162"/>
      <c r="BU424" s="162"/>
      <c r="BV424" s="162"/>
      <c r="BW424" s="162"/>
      <c r="BX424" s="162"/>
      <c r="BY424" s="230"/>
      <c r="BZ424" s="230"/>
      <c r="CA424" s="162"/>
      <c r="CB424" s="162"/>
      <c r="CC424" s="162"/>
      <c r="CD424" s="162"/>
      <c r="CE424" s="162"/>
      <c r="CF424" s="230"/>
      <c r="CG424" s="230"/>
      <c r="CH424" s="162"/>
      <c r="CI424" s="162"/>
      <c r="CJ424" s="162"/>
      <c r="CK424" s="162"/>
      <c r="CL424" s="162"/>
      <c r="CM424" s="230"/>
      <c r="CN424" s="230"/>
      <c r="CO424" s="162"/>
      <c r="CP424" s="162"/>
      <c r="CQ424" s="162"/>
      <c r="CR424" s="162"/>
      <c r="CS424" s="162"/>
      <c r="CT424" s="230"/>
      <c r="CU424" s="230"/>
      <c r="CV424" s="162"/>
      <c r="CW424" s="162"/>
      <c r="CX424" s="162"/>
      <c r="CY424" s="162"/>
      <c r="CZ424" s="162"/>
      <c r="DA424" s="230"/>
      <c r="DB424" s="230"/>
      <c r="DC424" s="162"/>
      <c r="DD424" s="162"/>
      <c r="DE424" s="162"/>
      <c r="DF424" s="162"/>
      <c r="DG424" s="162"/>
      <c r="DH424" s="230"/>
      <c r="DI424" s="230"/>
      <c r="DJ424" s="162"/>
      <c r="DK424" s="162"/>
      <c r="DL424" s="226"/>
      <c r="DM424" s="380"/>
      <c r="DN424" s="372"/>
      <c r="DO424" s="372"/>
      <c r="DP424" s="372"/>
      <c r="DQ424" s="372"/>
      <c r="DR424" s="372"/>
      <c r="DS424" s="372"/>
      <c r="DT424" s="88"/>
      <c r="DU424" s="88"/>
      <c r="DV424" s="88"/>
      <c r="DW424" s="226"/>
      <c r="DX424" s="226"/>
      <c r="DY424" s="226"/>
      <c r="DZ424" s="226"/>
      <c r="EA424" s="226"/>
      <c r="EB424" s="226"/>
      <c r="EC424" s="226"/>
      <c r="ED424" s="226"/>
      <c r="EE424" s="226"/>
      <c r="EF424" s="226"/>
      <c r="EG424" s="226"/>
      <c r="EH424" s="226"/>
    </row>
    <row r="425" spans="1:138" x14ac:dyDescent="0.25">
      <c r="A425" s="147"/>
      <c r="B425" s="147"/>
      <c r="C425" s="160"/>
      <c r="D425" s="160"/>
      <c r="E425" s="169"/>
      <c r="F425" s="229"/>
      <c r="G425" s="165"/>
      <c r="H425" s="165"/>
      <c r="I425" s="163"/>
      <c r="J425" s="163"/>
      <c r="K425" s="162"/>
      <c r="L425" s="162"/>
      <c r="M425" s="162"/>
      <c r="N425" s="230"/>
      <c r="O425" s="230"/>
      <c r="P425" s="162"/>
      <c r="Q425" s="162"/>
      <c r="R425" s="162"/>
      <c r="S425" s="162"/>
      <c r="T425" s="162"/>
      <c r="U425" s="230"/>
      <c r="V425" s="230"/>
      <c r="W425" s="162"/>
      <c r="X425" s="162"/>
      <c r="Y425" s="162"/>
      <c r="Z425" s="162"/>
      <c r="AA425" s="162"/>
      <c r="AB425" s="230"/>
      <c r="AC425" s="230"/>
      <c r="AD425" s="162"/>
      <c r="AE425" s="162"/>
      <c r="AF425" s="162"/>
      <c r="AG425" s="162"/>
      <c r="AH425" s="162"/>
      <c r="AI425" s="230"/>
      <c r="AJ425" s="230"/>
      <c r="AK425" s="162"/>
      <c r="AL425" s="162"/>
      <c r="AM425" s="162"/>
      <c r="AN425" s="162"/>
      <c r="AO425" s="162"/>
      <c r="AP425" s="230"/>
      <c r="AQ425" s="230"/>
      <c r="AR425" s="162"/>
      <c r="AS425" s="162"/>
      <c r="AT425" s="162"/>
      <c r="AU425" s="162"/>
      <c r="AV425" s="162"/>
      <c r="AW425" s="230"/>
      <c r="AX425" s="230"/>
      <c r="AY425" s="162"/>
      <c r="AZ425" s="162"/>
      <c r="BA425" s="162"/>
      <c r="BB425" s="162"/>
      <c r="BC425" s="162"/>
      <c r="BD425" s="230"/>
      <c r="BE425" s="230"/>
      <c r="BF425" s="162"/>
      <c r="BG425" s="162"/>
      <c r="BH425" s="162"/>
      <c r="BI425" s="162"/>
      <c r="BJ425" s="162"/>
      <c r="BK425" s="230"/>
      <c r="BL425" s="230"/>
      <c r="BM425" s="162"/>
      <c r="BN425" s="162"/>
      <c r="BO425" s="162"/>
      <c r="BP425" s="162"/>
      <c r="BQ425" s="162"/>
      <c r="BR425" s="230"/>
      <c r="BS425" s="230"/>
      <c r="BT425" s="162"/>
      <c r="BU425" s="162"/>
      <c r="BV425" s="162"/>
      <c r="BW425" s="162"/>
      <c r="BX425" s="162"/>
      <c r="BY425" s="230"/>
      <c r="BZ425" s="230"/>
      <c r="CA425" s="162"/>
      <c r="CB425" s="162"/>
      <c r="CC425" s="162"/>
      <c r="CD425" s="162"/>
      <c r="CE425" s="162"/>
      <c r="CF425" s="230"/>
      <c r="CG425" s="230"/>
      <c r="CH425" s="162"/>
      <c r="CI425" s="162"/>
      <c r="CJ425" s="162"/>
      <c r="CK425" s="162"/>
      <c r="CL425" s="162"/>
      <c r="CM425" s="230"/>
      <c r="CN425" s="230"/>
      <c r="CO425" s="162"/>
      <c r="CP425" s="162"/>
      <c r="CQ425" s="162"/>
      <c r="CR425" s="162"/>
      <c r="CS425" s="162"/>
      <c r="CT425" s="230"/>
      <c r="CU425" s="230"/>
      <c r="CV425" s="162"/>
      <c r="CW425" s="162"/>
      <c r="CX425" s="162"/>
      <c r="CY425" s="162"/>
      <c r="CZ425" s="162"/>
      <c r="DA425" s="230"/>
      <c r="DB425" s="230"/>
      <c r="DC425" s="162"/>
      <c r="DD425" s="162"/>
      <c r="DE425" s="162"/>
      <c r="DF425" s="162"/>
      <c r="DG425" s="162"/>
      <c r="DH425" s="230"/>
      <c r="DI425" s="230"/>
      <c r="DJ425" s="162"/>
      <c r="DK425" s="162"/>
      <c r="DL425" s="146"/>
      <c r="DM425" s="380"/>
      <c r="DN425" s="372"/>
      <c r="DO425" s="372"/>
      <c r="DP425" s="372"/>
      <c r="DQ425" s="372"/>
      <c r="DR425" s="372"/>
      <c r="DS425" s="372"/>
      <c r="DT425" s="88"/>
      <c r="DU425" s="88"/>
      <c r="DV425" s="88"/>
      <c r="DW425" s="146"/>
      <c r="DX425" s="146"/>
      <c r="DY425" s="146"/>
      <c r="DZ425" s="146"/>
      <c r="EA425" s="146"/>
      <c r="EB425" s="146"/>
      <c r="EC425" s="146"/>
      <c r="ED425" s="146"/>
      <c r="EE425" s="146"/>
      <c r="EF425" s="146"/>
      <c r="EG425" s="146"/>
      <c r="EH425" s="146"/>
    </row>
    <row r="426" spans="1:138" x14ac:dyDescent="0.25">
      <c r="A426" s="147"/>
      <c r="B426" s="147"/>
      <c r="C426" s="160"/>
      <c r="D426" s="160"/>
      <c r="E426" s="169"/>
      <c r="F426" s="229"/>
      <c r="G426" s="165"/>
      <c r="H426" s="165"/>
      <c r="I426" s="163"/>
      <c r="J426" s="163"/>
      <c r="K426" s="162"/>
      <c r="L426" s="162"/>
      <c r="M426" s="162"/>
      <c r="N426" s="230"/>
      <c r="O426" s="230"/>
      <c r="P426" s="162"/>
      <c r="Q426" s="162"/>
      <c r="R426" s="162"/>
      <c r="S426" s="162"/>
      <c r="T426" s="162"/>
      <c r="U426" s="230"/>
      <c r="V426" s="230"/>
      <c r="W426" s="162"/>
      <c r="X426" s="162"/>
      <c r="Y426" s="162"/>
      <c r="Z426" s="162"/>
      <c r="AA426" s="162"/>
      <c r="AB426" s="230"/>
      <c r="AC426" s="230"/>
      <c r="AD426" s="162"/>
      <c r="AE426" s="162"/>
      <c r="AF426" s="162"/>
      <c r="AG426" s="162"/>
      <c r="AH426" s="162"/>
      <c r="AI426" s="230"/>
      <c r="AJ426" s="230"/>
      <c r="AK426" s="162"/>
      <c r="AL426" s="162"/>
      <c r="AM426" s="162"/>
      <c r="AN426" s="162"/>
      <c r="AO426" s="162"/>
      <c r="AP426" s="230"/>
      <c r="AQ426" s="230"/>
      <c r="AR426" s="162"/>
      <c r="AS426" s="162"/>
      <c r="AT426" s="162"/>
      <c r="AU426" s="162"/>
      <c r="AV426" s="162"/>
      <c r="AW426" s="230"/>
      <c r="AX426" s="230"/>
      <c r="AY426" s="162"/>
      <c r="AZ426" s="162"/>
      <c r="BA426" s="162"/>
      <c r="BB426" s="162"/>
      <c r="BC426" s="162"/>
      <c r="BD426" s="230"/>
      <c r="BE426" s="230"/>
      <c r="BF426" s="162"/>
      <c r="BG426" s="162"/>
      <c r="BH426" s="162"/>
      <c r="BI426" s="162"/>
      <c r="BJ426" s="162"/>
      <c r="BK426" s="230"/>
      <c r="BL426" s="230"/>
      <c r="BM426" s="162"/>
      <c r="BN426" s="162"/>
      <c r="BO426" s="162"/>
      <c r="BP426" s="162"/>
      <c r="BQ426" s="162"/>
      <c r="BR426" s="230"/>
      <c r="BS426" s="230"/>
      <c r="BT426" s="162"/>
      <c r="BU426" s="162"/>
      <c r="BV426" s="162"/>
      <c r="BW426" s="162"/>
      <c r="BX426" s="162"/>
      <c r="BY426" s="230"/>
      <c r="BZ426" s="230"/>
      <c r="CA426" s="162"/>
      <c r="CB426" s="162"/>
      <c r="CC426" s="162"/>
      <c r="CD426" s="162"/>
      <c r="CE426" s="162"/>
      <c r="CF426" s="230"/>
      <c r="CG426" s="230"/>
      <c r="CH426" s="162"/>
      <c r="CI426" s="162"/>
      <c r="CJ426" s="162"/>
      <c r="CK426" s="162"/>
      <c r="CL426" s="162"/>
      <c r="CM426" s="230"/>
      <c r="CN426" s="230"/>
      <c r="CO426" s="162"/>
      <c r="CP426" s="162"/>
      <c r="CQ426" s="162"/>
      <c r="CR426" s="162"/>
      <c r="CS426" s="162"/>
      <c r="CT426" s="230"/>
      <c r="CU426" s="230"/>
      <c r="CV426" s="162"/>
      <c r="CW426" s="162"/>
      <c r="CX426" s="162"/>
      <c r="CY426" s="162"/>
      <c r="CZ426" s="162"/>
      <c r="DA426" s="230"/>
      <c r="DB426" s="230"/>
      <c r="DC426" s="162"/>
      <c r="DD426" s="162"/>
      <c r="DE426" s="162"/>
      <c r="DF426" s="162"/>
      <c r="DG426" s="162"/>
      <c r="DH426" s="230"/>
      <c r="DI426" s="230"/>
      <c r="DJ426" s="162"/>
      <c r="DK426" s="162"/>
      <c r="DL426" s="146"/>
      <c r="DM426" s="380"/>
      <c r="DN426" s="372"/>
      <c r="DO426" s="372"/>
      <c r="DP426" s="372"/>
      <c r="DQ426" s="372"/>
      <c r="DR426" s="372"/>
      <c r="DS426" s="372"/>
      <c r="DT426" s="89"/>
      <c r="DU426" s="89"/>
      <c r="DV426" s="89"/>
      <c r="DW426" s="146"/>
      <c r="DX426" s="146"/>
      <c r="DY426" s="146"/>
      <c r="DZ426" s="146"/>
      <c r="EA426" s="146"/>
      <c r="EB426" s="146"/>
      <c r="EC426" s="146"/>
      <c r="ED426" s="146"/>
      <c r="EE426" s="146"/>
      <c r="EF426" s="146"/>
      <c r="EG426" s="146"/>
      <c r="EH426" s="146"/>
    </row>
    <row r="427" spans="1:138" x14ac:dyDescent="0.25">
      <c r="A427" s="147"/>
      <c r="B427" s="147"/>
      <c r="C427" s="160"/>
      <c r="D427" s="160"/>
      <c r="E427" s="169"/>
      <c r="F427" s="229"/>
      <c r="G427" s="165"/>
      <c r="H427" s="165"/>
      <c r="I427" s="163"/>
      <c r="J427" s="163"/>
      <c r="K427" s="162"/>
      <c r="L427" s="162"/>
      <c r="M427" s="162"/>
      <c r="N427" s="230"/>
      <c r="O427" s="230"/>
      <c r="P427" s="162"/>
      <c r="Q427" s="162"/>
      <c r="R427" s="162"/>
      <c r="S427" s="162"/>
      <c r="T427" s="162"/>
      <c r="U427" s="230"/>
      <c r="V427" s="230"/>
      <c r="W427" s="162"/>
      <c r="X427" s="162"/>
      <c r="Y427" s="162"/>
      <c r="Z427" s="162"/>
      <c r="AA427" s="162"/>
      <c r="AB427" s="230"/>
      <c r="AC427" s="230"/>
      <c r="AD427" s="162"/>
      <c r="AE427" s="162"/>
      <c r="AF427" s="162"/>
      <c r="AG427" s="162"/>
      <c r="AH427" s="162"/>
      <c r="AI427" s="230"/>
      <c r="AJ427" s="230"/>
      <c r="AK427" s="162"/>
      <c r="AL427" s="162"/>
      <c r="AM427" s="162"/>
      <c r="AN427" s="162"/>
      <c r="AO427" s="162"/>
      <c r="AP427" s="230"/>
      <c r="AQ427" s="230"/>
      <c r="AR427" s="162"/>
      <c r="AS427" s="162"/>
      <c r="AT427" s="162"/>
      <c r="AU427" s="162"/>
      <c r="AV427" s="162"/>
      <c r="AW427" s="230"/>
      <c r="AX427" s="230"/>
      <c r="AY427" s="162"/>
      <c r="AZ427" s="162"/>
      <c r="BA427" s="162"/>
      <c r="BB427" s="162"/>
      <c r="BC427" s="162"/>
      <c r="BD427" s="230"/>
      <c r="BE427" s="230"/>
      <c r="BF427" s="162"/>
      <c r="BG427" s="162"/>
      <c r="BH427" s="162"/>
      <c r="BI427" s="162"/>
      <c r="BJ427" s="162"/>
      <c r="BK427" s="230"/>
      <c r="BL427" s="230"/>
      <c r="BM427" s="162"/>
      <c r="BN427" s="162"/>
      <c r="BO427" s="162"/>
      <c r="BP427" s="162"/>
      <c r="BQ427" s="162"/>
      <c r="BR427" s="230"/>
      <c r="BS427" s="230"/>
      <c r="BT427" s="162"/>
      <c r="BU427" s="162"/>
      <c r="BV427" s="162"/>
      <c r="BW427" s="162"/>
      <c r="BX427" s="162"/>
      <c r="BY427" s="230"/>
      <c r="BZ427" s="230"/>
      <c r="CA427" s="162"/>
      <c r="CB427" s="162"/>
      <c r="CC427" s="162"/>
      <c r="CD427" s="162"/>
      <c r="CE427" s="162"/>
      <c r="CF427" s="230"/>
      <c r="CG427" s="230"/>
      <c r="CH427" s="162"/>
      <c r="CI427" s="162"/>
      <c r="CJ427" s="162"/>
      <c r="CK427" s="162"/>
      <c r="CL427" s="162"/>
      <c r="CM427" s="230"/>
      <c r="CN427" s="230"/>
      <c r="CO427" s="162"/>
      <c r="CP427" s="162"/>
      <c r="CQ427" s="162"/>
      <c r="CR427" s="162"/>
      <c r="CS427" s="162"/>
      <c r="CT427" s="230"/>
      <c r="CU427" s="230"/>
      <c r="CV427" s="162"/>
      <c r="CW427" s="162"/>
      <c r="CX427" s="162"/>
      <c r="CY427" s="162"/>
      <c r="CZ427" s="162"/>
      <c r="DA427" s="230"/>
      <c r="DB427" s="230"/>
      <c r="DC427" s="162"/>
      <c r="DD427" s="162"/>
      <c r="DE427" s="162"/>
      <c r="DF427" s="162"/>
      <c r="DG427" s="162"/>
      <c r="DH427" s="230"/>
      <c r="DI427" s="230"/>
      <c r="DJ427" s="162"/>
      <c r="DK427" s="162"/>
      <c r="DL427" s="146"/>
      <c r="DM427" s="88"/>
      <c r="DN427" s="88"/>
      <c r="DO427" s="88"/>
      <c r="DP427" s="88"/>
      <c r="DQ427" s="88"/>
      <c r="DR427" s="88"/>
      <c r="DS427" s="88"/>
      <c r="DT427" s="88"/>
      <c r="DU427" s="88"/>
      <c r="DV427" s="88"/>
      <c r="DW427" s="146"/>
      <c r="DX427" s="146"/>
      <c r="DY427" s="146"/>
      <c r="DZ427" s="146"/>
      <c r="EA427" s="146"/>
      <c r="EB427" s="146"/>
      <c r="EC427" s="146"/>
      <c r="ED427" s="146"/>
      <c r="EE427" s="146"/>
      <c r="EF427" s="146"/>
      <c r="EG427" s="146"/>
      <c r="EH427" s="146"/>
    </row>
    <row r="428" spans="1:138" x14ac:dyDescent="0.25">
      <c r="A428" s="147"/>
      <c r="B428" s="147"/>
      <c r="C428" s="160"/>
      <c r="D428" s="160"/>
      <c r="E428" s="169"/>
      <c r="F428" s="229"/>
      <c r="G428" s="165"/>
      <c r="H428" s="165"/>
      <c r="I428" s="163"/>
      <c r="J428" s="163"/>
      <c r="K428" s="162"/>
      <c r="L428" s="162"/>
      <c r="M428" s="162"/>
      <c r="N428" s="230"/>
      <c r="O428" s="230"/>
      <c r="P428" s="162"/>
      <c r="Q428" s="162"/>
      <c r="R428" s="162"/>
      <c r="S428" s="162"/>
      <c r="T428" s="162"/>
      <c r="U428" s="230"/>
      <c r="V428" s="230"/>
      <c r="W428" s="162"/>
      <c r="X428" s="162"/>
      <c r="Y428" s="162"/>
      <c r="Z428" s="162"/>
      <c r="AA428" s="162"/>
      <c r="AB428" s="230"/>
      <c r="AC428" s="230"/>
      <c r="AD428" s="162"/>
      <c r="AE428" s="162"/>
      <c r="AF428" s="162"/>
      <c r="AG428" s="162"/>
      <c r="AH428" s="162"/>
      <c r="AI428" s="230"/>
      <c r="AJ428" s="230"/>
      <c r="AK428" s="162"/>
      <c r="AL428" s="162"/>
      <c r="AM428" s="162"/>
      <c r="AN428" s="162"/>
      <c r="AO428" s="162"/>
      <c r="AP428" s="230"/>
      <c r="AQ428" s="230"/>
      <c r="AR428" s="162"/>
      <c r="AS428" s="162"/>
      <c r="AT428" s="162"/>
      <c r="AU428" s="162"/>
      <c r="AV428" s="162"/>
      <c r="AW428" s="230"/>
      <c r="AX428" s="230"/>
      <c r="AY428" s="162"/>
      <c r="AZ428" s="162"/>
      <c r="BA428" s="162"/>
      <c r="BB428" s="162"/>
      <c r="BC428" s="162"/>
      <c r="BD428" s="230"/>
      <c r="BE428" s="230"/>
      <c r="BF428" s="162"/>
      <c r="BG428" s="162"/>
      <c r="BH428" s="162"/>
      <c r="BI428" s="162"/>
      <c r="BJ428" s="162"/>
      <c r="BK428" s="230"/>
      <c r="BL428" s="230"/>
      <c r="BM428" s="162"/>
      <c r="BN428" s="162"/>
      <c r="BO428" s="162"/>
      <c r="BP428" s="162"/>
      <c r="BQ428" s="162"/>
      <c r="BR428" s="230"/>
      <c r="BS428" s="230"/>
      <c r="BT428" s="162"/>
      <c r="BU428" s="162"/>
      <c r="BV428" s="162"/>
      <c r="BW428" s="162"/>
      <c r="BX428" s="162"/>
      <c r="BY428" s="230"/>
      <c r="BZ428" s="230"/>
      <c r="CA428" s="162"/>
      <c r="CB428" s="162"/>
      <c r="CC428" s="162"/>
      <c r="CD428" s="162"/>
      <c r="CE428" s="162"/>
      <c r="CF428" s="230"/>
      <c r="CG428" s="230"/>
      <c r="CH428" s="162"/>
      <c r="CI428" s="162"/>
      <c r="CJ428" s="162"/>
      <c r="CK428" s="162"/>
      <c r="CL428" s="162"/>
      <c r="CM428" s="230"/>
      <c r="CN428" s="230"/>
      <c r="CO428" s="162"/>
      <c r="CP428" s="162"/>
      <c r="CQ428" s="162"/>
      <c r="CR428" s="162"/>
      <c r="CS428" s="162"/>
      <c r="CT428" s="230"/>
      <c r="CU428" s="230"/>
      <c r="CV428" s="162"/>
      <c r="CW428" s="162"/>
      <c r="CX428" s="162"/>
      <c r="CY428" s="162"/>
      <c r="CZ428" s="162"/>
      <c r="DA428" s="230"/>
      <c r="DB428" s="230"/>
      <c r="DC428" s="162"/>
      <c r="DD428" s="162"/>
      <c r="DE428" s="162"/>
      <c r="DF428" s="162"/>
      <c r="DG428" s="162"/>
      <c r="DH428" s="230"/>
      <c r="DI428" s="230"/>
      <c r="DJ428" s="162"/>
      <c r="DK428" s="162"/>
      <c r="DL428" s="146"/>
      <c r="DM428" s="371"/>
      <c r="DN428" s="372"/>
      <c r="DO428" s="372"/>
      <c r="DP428" s="372"/>
      <c r="DQ428" s="372"/>
      <c r="DR428" s="372"/>
      <c r="DS428" s="372"/>
      <c r="DT428" s="372"/>
      <c r="DU428" s="372"/>
      <c r="DV428" s="372"/>
      <c r="DW428" s="146"/>
      <c r="DX428" s="146"/>
      <c r="DY428" s="146"/>
      <c r="DZ428" s="146"/>
      <c r="EA428" s="146"/>
      <c r="EB428" s="146"/>
      <c r="EC428" s="146"/>
      <c r="ED428" s="146"/>
      <c r="EE428" s="146"/>
      <c r="EF428" s="146"/>
      <c r="EG428" s="146"/>
      <c r="EH428" s="146"/>
    </row>
    <row r="429" spans="1:138" x14ac:dyDescent="0.25">
      <c r="A429" s="147"/>
      <c r="B429" s="147"/>
      <c r="C429" s="160"/>
      <c r="D429" s="160"/>
      <c r="E429" s="169"/>
      <c r="F429" s="229"/>
      <c r="G429" s="165"/>
      <c r="H429" s="165"/>
      <c r="I429" s="163"/>
      <c r="J429" s="163"/>
      <c r="K429" s="162"/>
      <c r="L429" s="162"/>
      <c r="M429" s="162"/>
      <c r="N429" s="230"/>
      <c r="O429" s="230"/>
      <c r="P429" s="162"/>
      <c r="Q429" s="162"/>
      <c r="R429" s="162"/>
      <c r="S429" s="162"/>
      <c r="T429" s="162"/>
      <c r="U429" s="230"/>
      <c r="V429" s="230"/>
      <c r="W429" s="162"/>
      <c r="X429" s="162"/>
      <c r="Y429" s="162"/>
      <c r="Z429" s="162"/>
      <c r="AA429" s="162"/>
      <c r="AB429" s="230"/>
      <c r="AC429" s="230"/>
      <c r="AD429" s="162"/>
      <c r="AE429" s="162"/>
      <c r="AF429" s="162"/>
      <c r="AG429" s="162"/>
      <c r="AH429" s="162"/>
      <c r="AI429" s="230"/>
      <c r="AJ429" s="230"/>
      <c r="AK429" s="162"/>
      <c r="AL429" s="162"/>
      <c r="AM429" s="162"/>
      <c r="AN429" s="162"/>
      <c r="AO429" s="162"/>
      <c r="AP429" s="230"/>
      <c r="AQ429" s="230"/>
      <c r="AR429" s="162"/>
      <c r="AS429" s="162"/>
      <c r="AT429" s="162"/>
      <c r="AU429" s="162"/>
      <c r="AV429" s="162"/>
      <c r="AW429" s="230"/>
      <c r="AX429" s="230"/>
      <c r="AY429" s="162"/>
      <c r="AZ429" s="162"/>
      <c r="BA429" s="162"/>
      <c r="BB429" s="162"/>
      <c r="BC429" s="162"/>
      <c r="BD429" s="230"/>
      <c r="BE429" s="230"/>
      <c r="BF429" s="162"/>
      <c r="BG429" s="162"/>
      <c r="BH429" s="162"/>
      <c r="BI429" s="162"/>
      <c r="BJ429" s="162"/>
      <c r="BK429" s="230"/>
      <c r="BL429" s="230"/>
      <c r="BM429" s="162"/>
      <c r="BN429" s="162"/>
      <c r="BO429" s="162"/>
      <c r="BP429" s="162"/>
      <c r="BQ429" s="162"/>
      <c r="BR429" s="230"/>
      <c r="BS429" s="230"/>
      <c r="BT429" s="162"/>
      <c r="BU429" s="162"/>
      <c r="BV429" s="162"/>
      <c r="BW429" s="162"/>
      <c r="BX429" s="162"/>
      <c r="BY429" s="230"/>
      <c r="BZ429" s="230"/>
      <c r="CA429" s="162"/>
      <c r="CB429" s="162"/>
      <c r="CC429" s="162"/>
      <c r="CD429" s="162"/>
      <c r="CE429" s="162"/>
      <c r="CF429" s="230"/>
      <c r="CG429" s="230"/>
      <c r="CH429" s="162"/>
      <c r="CI429" s="162"/>
      <c r="CJ429" s="162"/>
      <c r="CK429" s="162"/>
      <c r="CL429" s="162"/>
      <c r="CM429" s="230"/>
      <c r="CN429" s="230"/>
      <c r="CO429" s="162"/>
      <c r="CP429" s="162"/>
      <c r="CQ429" s="162"/>
      <c r="CR429" s="162"/>
      <c r="CS429" s="162"/>
      <c r="CT429" s="230"/>
      <c r="CU429" s="230"/>
      <c r="CV429" s="162"/>
      <c r="CW429" s="162"/>
      <c r="CX429" s="162"/>
      <c r="CY429" s="162"/>
      <c r="CZ429" s="162"/>
      <c r="DA429" s="230"/>
      <c r="DB429" s="230"/>
      <c r="DC429" s="162"/>
      <c r="DD429" s="162"/>
      <c r="DE429" s="162"/>
      <c r="DF429" s="162"/>
      <c r="DG429" s="162"/>
      <c r="DH429" s="230"/>
      <c r="DI429" s="230"/>
      <c r="DJ429" s="162"/>
      <c r="DK429" s="162"/>
      <c r="DL429" s="146"/>
      <c r="DM429" s="371"/>
      <c r="DN429" s="372"/>
      <c r="DO429" s="372"/>
      <c r="DP429" s="372"/>
      <c r="DQ429" s="372"/>
      <c r="DR429" s="372"/>
      <c r="DS429" s="372"/>
      <c r="DT429" s="372"/>
      <c r="DU429" s="372"/>
      <c r="DV429" s="372"/>
      <c r="DW429" s="146"/>
      <c r="DX429" s="146"/>
      <c r="DY429" s="146"/>
      <c r="DZ429" s="146"/>
      <c r="EA429" s="146"/>
      <c r="EB429" s="146"/>
      <c r="EC429" s="146"/>
      <c r="ED429" s="146"/>
      <c r="EE429" s="146"/>
      <c r="EF429" s="146"/>
      <c r="EG429" s="146"/>
      <c r="EH429" s="146"/>
    </row>
    <row r="430" spans="1:138" x14ac:dyDescent="0.25">
      <c r="A430" s="147"/>
      <c r="B430" s="147"/>
      <c r="C430" s="160"/>
      <c r="D430" s="160"/>
      <c r="E430" s="169"/>
      <c r="F430" s="229"/>
      <c r="G430" s="165"/>
      <c r="H430" s="165"/>
      <c r="I430" s="163"/>
      <c r="J430" s="163"/>
      <c r="K430" s="162"/>
      <c r="L430" s="162"/>
      <c r="M430" s="162"/>
      <c r="N430" s="230"/>
      <c r="O430" s="230"/>
      <c r="P430" s="162"/>
      <c r="Q430" s="162"/>
      <c r="R430" s="162"/>
      <c r="S430" s="162"/>
      <c r="T430" s="162"/>
      <c r="U430" s="230"/>
      <c r="V430" s="230"/>
      <c r="W430" s="162"/>
      <c r="X430" s="162"/>
      <c r="Y430" s="162"/>
      <c r="Z430" s="162"/>
      <c r="AA430" s="162"/>
      <c r="AB430" s="230"/>
      <c r="AC430" s="230"/>
      <c r="AD430" s="162"/>
      <c r="AE430" s="162"/>
      <c r="AF430" s="162"/>
      <c r="AG430" s="162"/>
      <c r="AH430" s="162"/>
      <c r="AI430" s="230"/>
      <c r="AJ430" s="230"/>
      <c r="AK430" s="162"/>
      <c r="AL430" s="162"/>
      <c r="AM430" s="162"/>
      <c r="AN430" s="162"/>
      <c r="AO430" s="162"/>
      <c r="AP430" s="230"/>
      <c r="AQ430" s="230"/>
      <c r="AR430" s="162"/>
      <c r="AS430" s="162"/>
      <c r="AT430" s="162"/>
      <c r="AU430" s="162"/>
      <c r="AV430" s="162"/>
      <c r="AW430" s="230"/>
      <c r="AX430" s="230"/>
      <c r="AY430" s="162"/>
      <c r="AZ430" s="162"/>
      <c r="BA430" s="162"/>
      <c r="BB430" s="162"/>
      <c r="BC430" s="162"/>
      <c r="BD430" s="230"/>
      <c r="BE430" s="230"/>
      <c r="BF430" s="162"/>
      <c r="BG430" s="162"/>
      <c r="BH430" s="162"/>
      <c r="BI430" s="162"/>
      <c r="BJ430" s="162"/>
      <c r="BK430" s="230"/>
      <c r="BL430" s="230"/>
      <c r="BM430" s="162"/>
      <c r="BN430" s="162"/>
      <c r="BO430" s="162"/>
      <c r="BP430" s="162"/>
      <c r="BQ430" s="162"/>
      <c r="BR430" s="230"/>
      <c r="BS430" s="230"/>
      <c r="BT430" s="162"/>
      <c r="BU430" s="162"/>
      <c r="BV430" s="162"/>
      <c r="BW430" s="162"/>
      <c r="BX430" s="162"/>
      <c r="BY430" s="230"/>
      <c r="BZ430" s="230"/>
      <c r="CA430" s="162"/>
      <c r="CB430" s="162"/>
      <c r="CC430" s="162"/>
      <c r="CD430" s="162"/>
      <c r="CE430" s="162"/>
      <c r="CF430" s="230"/>
      <c r="CG430" s="230"/>
      <c r="CH430" s="162"/>
      <c r="CI430" s="162"/>
      <c r="CJ430" s="162"/>
      <c r="CK430" s="162"/>
      <c r="CL430" s="162"/>
      <c r="CM430" s="230"/>
      <c r="CN430" s="230"/>
      <c r="CO430" s="162"/>
      <c r="CP430" s="162"/>
      <c r="CQ430" s="162"/>
      <c r="CR430" s="162"/>
      <c r="CS430" s="162"/>
      <c r="CT430" s="230"/>
      <c r="CU430" s="230"/>
      <c r="CV430" s="162"/>
      <c r="CW430" s="162"/>
      <c r="CX430" s="162"/>
      <c r="CY430" s="162"/>
      <c r="CZ430" s="162"/>
      <c r="DA430" s="230"/>
      <c r="DB430" s="230"/>
      <c r="DC430" s="162"/>
      <c r="DD430" s="162"/>
      <c r="DE430" s="162"/>
      <c r="DF430" s="162"/>
      <c r="DG430" s="162"/>
      <c r="DH430" s="230"/>
      <c r="DI430" s="230"/>
      <c r="DJ430" s="162"/>
      <c r="DK430" s="162"/>
      <c r="DL430" s="226"/>
      <c r="DM430" s="380"/>
      <c r="DN430" s="372"/>
      <c r="DO430" s="372"/>
      <c r="DP430" s="372"/>
      <c r="DQ430" s="372"/>
      <c r="DR430" s="372"/>
      <c r="DS430" s="372"/>
      <c r="DT430" s="88"/>
      <c r="DU430" s="88"/>
      <c r="DV430" s="88"/>
      <c r="DW430" s="226"/>
      <c r="DX430" s="226"/>
      <c r="DY430" s="226"/>
      <c r="DZ430" s="226"/>
      <c r="EA430" s="226"/>
      <c r="EB430" s="226"/>
      <c r="EC430" s="226"/>
      <c r="ED430" s="226"/>
      <c r="EE430" s="226"/>
      <c r="EF430" s="226"/>
      <c r="EG430" s="226"/>
      <c r="EH430" s="226"/>
    </row>
    <row r="431" spans="1:138" x14ac:dyDescent="0.25">
      <c r="A431" s="147"/>
      <c r="B431" s="147"/>
      <c r="C431" s="160"/>
      <c r="D431" s="160"/>
      <c r="E431" s="169"/>
      <c r="F431" s="229"/>
      <c r="G431" s="165"/>
      <c r="H431" s="165"/>
      <c r="I431" s="163"/>
      <c r="J431" s="163"/>
      <c r="K431" s="162"/>
      <c r="L431" s="162"/>
      <c r="M431" s="162"/>
      <c r="N431" s="230"/>
      <c r="O431" s="230"/>
      <c r="P431" s="162"/>
      <c r="Q431" s="162"/>
      <c r="R431" s="162"/>
      <c r="S431" s="162"/>
      <c r="T431" s="162"/>
      <c r="U431" s="230"/>
      <c r="V431" s="230"/>
      <c r="W431" s="162"/>
      <c r="X431" s="162"/>
      <c r="Y431" s="162"/>
      <c r="Z431" s="162"/>
      <c r="AA431" s="162"/>
      <c r="AB431" s="230"/>
      <c r="AC431" s="230"/>
      <c r="AD431" s="162"/>
      <c r="AE431" s="162"/>
      <c r="AF431" s="162"/>
      <c r="AG431" s="162"/>
      <c r="AH431" s="162"/>
      <c r="AI431" s="230"/>
      <c r="AJ431" s="230"/>
      <c r="AK431" s="162"/>
      <c r="AL431" s="162"/>
      <c r="AM431" s="162"/>
      <c r="AN431" s="162"/>
      <c r="AO431" s="162"/>
      <c r="AP431" s="230"/>
      <c r="AQ431" s="230"/>
      <c r="AR431" s="162"/>
      <c r="AS431" s="162"/>
      <c r="AT431" s="162"/>
      <c r="AU431" s="162"/>
      <c r="AV431" s="162"/>
      <c r="AW431" s="230"/>
      <c r="AX431" s="230"/>
      <c r="AY431" s="162"/>
      <c r="AZ431" s="162"/>
      <c r="BA431" s="162"/>
      <c r="BB431" s="162"/>
      <c r="BC431" s="162"/>
      <c r="BD431" s="230"/>
      <c r="BE431" s="230"/>
      <c r="BF431" s="162"/>
      <c r="BG431" s="162"/>
      <c r="BH431" s="162"/>
      <c r="BI431" s="162"/>
      <c r="BJ431" s="162"/>
      <c r="BK431" s="230"/>
      <c r="BL431" s="230"/>
      <c r="BM431" s="162"/>
      <c r="BN431" s="162"/>
      <c r="BO431" s="162"/>
      <c r="BP431" s="162"/>
      <c r="BQ431" s="162"/>
      <c r="BR431" s="230"/>
      <c r="BS431" s="230"/>
      <c r="BT431" s="162"/>
      <c r="BU431" s="162"/>
      <c r="BV431" s="162"/>
      <c r="BW431" s="162"/>
      <c r="BX431" s="162"/>
      <c r="BY431" s="230"/>
      <c r="BZ431" s="230"/>
      <c r="CA431" s="162"/>
      <c r="CB431" s="162"/>
      <c r="CC431" s="162"/>
      <c r="CD431" s="162"/>
      <c r="CE431" s="162"/>
      <c r="CF431" s="230"/>
      <c r="CG431" s="230"/>
      <c r="CH431" s="162"/>
      <c r="CI431" s="162"/>
      <c r="CJ431" s="162"/>
      <c r="CK431" s="162"/>
      <c r="CL431" s="162"/>
      <c r="CM431" s="230"/>
      <c r="CN431" s="230"/>
      <c r="CO431" s="162"/>
      <c r="CP431" s="162"/>
      <c r="CQ431" s="162"/>
      <c r="CR431" s="162"/>
      <c r="CS431" s="162"/>
      <c r="CT431" s="230"/>
      <c r="CU431" s="230"/>
      <c r="CV431" s="162"/>
      <c r="CW431" s="162"/>
      <c r="CX431" s="162"/>
      <c r="CY431" s="162"/>
      <c r="CZ431" s="162"/>
      <c r="DA431" s="230"/>
      <c r="DB431" s="230"/>
      <c r="DC431" s="162"/>
      <c r="DD431" s="162"/>
      <c r="DE431" s="162"/>
      <c r="DF431" s="162"/>
      <c r="DG431" s="162"/>
      <c r="DH431" s="230"/>
      <c r="DI431" s="230"/>
      <c r="DJ431" s="162"/>
      <c r="DK431" s="162"/>
      <c r="DL431" s="50"/>
      <c r="DM431" s="380"/>
      <c r="DN431" s="372"/>
      <c r="DO431" s="372"/>
      <c r="DP431" s="372"/>
      <c r="DQ431" s="372"/>
      <c r="DR431" s="372"/>
      <c r="DS431" s="372"/>
      <c r="DT431" s="88"/>
      <c r="DU431" s="88"/>
      <c r="DV431" s="88"/>
      <c r="DW431" s="50"/>
      <c r="DX431" s="50"/>
      <c r="DY431" s="50"/>
      <c r="DZ431" s="50"/>
      <c r="EA431" s="50"/>
      <c r="EB431" s="50"/>
      <c r="EC431" s="50"/>
      <c r="ED431" s="50"/>
      <c r="EE431" s="50"/>
      <c r="EF431" s="50"/>
      <c r="EG431" s="50"/>
      <c r="EH431" s="50"/>
    </row>
    <row r="432" spans="1:138" x14ac:dyDescent="0.25">
      <c r="A432" s="147"/>
      <c r="B432" s="147"/>
      <c r="C432" s="160"/>
      <c r="D432" s="160"/>
      <c r="E432" s="169"/>
      <c r="F432" s="229"/>
      <c r="G432" s="165"/>
      <c r="H432" s="165"/>
      <c r="I432" s="163"/>
      <c r="J432" s="163"/>
      <c r="K432" s="162"/>
      <c r="L432" s="162"/>
      <c r="M432" s="162"/>
      <c r="N432" s="230"/>
      <c r="O432" s="230"/>
      <c r="P432" s="162"/>
      <c r="Q432" s="162"/>
      <c r="R432" s="162"/>
      <c r="S432" s="162"/>
      <c r="T432" s="162"/>
      <c r="U432" s="230"/>
      <c r="V432" s="230"/>
      <c r="W432" s="162"/>
      <c r="X432" s="162"/>
      <c r="Y432" s="162"/>
      <c r="Z432" s="162"/>
      <c r="AA432" s="162"/>
      <c r="AB432" s="230"/>
      <c r="AC432" s="230"/>
      <c r="AD432" s="162"/>
      <c r="AE432" s="162"/>
      <c r="AF432" s="162"/>
      <c r="AG432" s="162"/>
      <c r="AH432" s="162"/>
      <c r="AI432" s="230"/>
      <c r="AJ432" s="230"/>
      <c r="AK432" s="162"/>
      <c r="AL432" s="162"/>
      <c r="AM432" s="162"/>
      <c r="AN432" s="162"/>
      <c r="AO432" s="162"/>
      <c r="AP432" s="230"/>
      <c r="AQ432" s="230"/>
      <c r="AR432" s="162"/>
      <c r="AS432" s="162"/>
      <c r="AT432" s="162"/>
      <c r="AU432" s="162"/>
      <c r="AV432" s="162"/>
      <c r="AW432" s="230"/>
      <c r="AX432" s="230"/>
      <c r="AY432" s="162"/>
      <c r="AZ432" s="162"/>
      <c r="BA432" s="162"/>
      <c r="BB432" s="162"/>
      <c r="BC432" s="162"/>
      <c r="BD432" s="230"/>
      <c r="BE432" s="230"/>
      <c r="BF432" s="162"/>
      <c r="BG432" s="162"/>
      <c r="BH432" s="162"/>
      <c r="BI432" s="162"/>
      <c r="BJ432" s="162"/>
      <c r="BK432" s="230"/>
      <c r="BL432" s="230"/>
      <c r="BM432" s="162"/>
      <c r="BN432" s="162"/>
      <c r="BO432" s="162"/>
      <c r="BP432" s="162"/>
      <c r="BQ432" s="162"/>
      <c r="BR432" s="230"/>
      <c r="BS432" s="230"/>
      <c r="BT432" s="162"/>
      <c r="BU432" s="162"/>
      <c r="BV432" s="162"/>
      <c r="BW432" s="162"/>
      <c r="BX432" s="162"/>
      <c r="BY432" s="230"/>
      <c r="BZ432" s="230"/>
      <c r="CA432" s="162"/>
      <c r="CB432" s="162"/>
      <c r="CC432" s="162"/>
      <c r="CD432" s="162"/>
      <c r="CE432" s="162"/>
      <c r="CF432" s="230"/>
      <c r="CG432" s="230"/>
      <c r="CH432" s="162"/>
      <c r="CI432" s="162"/>
      <c r="CJ432" s="162"/>
      <c r="CK432" s="162"/>
      <c r="CL432" s="162"/>
      <c r="CM432" s="230"/>
      <c r="CN432" s="230"/>
      <c r="CO432" s="162"/>
      <c r="CP432" s="162"/>
      <c r="CQ432" s="162"/>
      <c r="CR432" s="162"/>
      <c r="CS432" s="162"/>
      <c r="CT432" s="230"/>
      <c r="CU432" s="230"/>
      <c r="CV432" s="162"/>
      <c r="CW432" s="162"/>
      <c r="CX432" s="162"/>
      <c r="CY432" s="162"/>
      <c r="CZ432" s="162"/>
      <c r="DA432" s="230"/>
      <c r="DB432" s="230"/>
      <c r="DC432" s="162"/>
      <c r="DD432" s="162"/>
      <c r="DE432" s="162"/>
      <c r="DF432" s="162"/>
      <c r="DG432" s="162"/>
      <c r="DH432" s="230"/>
      <c r="DI432" s="230"/>
      <c r="DJ432" s="162"/>
      <c r="DK432" s="162"/>
      <c r="DL432" s="75"/>
      <c r="DM432" s="380"/>
      <c r="DN432" s="372"/>
      <c r="DO432" s="372"/>
      <c r="DP432" s="372"/>
      <c r="DQ432" s="372"/>
      <c r="DR432" s="372"/>
      <c r="DS432" s="372"/>
      <c r="DT432" s="146"/>
      <c r="DU432" s="146"/>
      <c r="DV432" s="146"/>
      <c r="DW432" s="75"/>
      <c r="DX432" s="75"/>
      <c r="DY432" s="75"/>
      <c r="DZ432" s="75"/>
      <c r="EA432" s="75"/>
      <c r="EB432" s="75"/>
      <c r="EC432" s="75"/>
      <c r="ED432" s="75"/>
      <c r="EE432" s="75"/>
      <c r="EF432" s="75"/>
      <c r="EG432" s="75"/>
      <c r="EH432" s="75"/>
    </row>
    <row r="433" spans="1:138" x14ac:dyDescent="0.25">
      <c r="A433" s="147"/>
      <c r="B433" s="147"/>
      <c r="C433" s="160"/>
      <c r="D433" s="160"/>
      <c r="E433" s="169"/>
      <c r="F433" s="229"/>
      <c r="G433" s="165"/>
      <c r="H433" s="165"/>
      <c r="I433" s="163"/>
      <c r="J433" s="163"/>
      <c r="K433" s="162"/>
      <c r="L433" s="162"/>
      <c r="M433" s="162"/>
      <c r="N433" s="230"/>
      <c r="O433" s="230"/>
      <c r="P433" s="162"/>
      <c r="Q433" s="162"/>
      <c r="R433" s="162"/>
      <c r="S433" s="162"/>
      <c r="T433" s="162"/>
      <c r="U433" s="230"/>
      <c r="V433" s="230"/>
      <c r="W433" s="162"/>
      <c r="X433" s="162"/>
      <c r="Y433" s="162"/>
      <c r="Z433" s="162"/>
      <c r="AA433" s="162"/>
      <c r="AB433" s="230"/>
      <c r="AC433" s="230"/>
      <c r="AD433" s="162"/>
      <c r="AE433" s="162"/>
      <c r="AF433" s="162"/>
      <c r="AG433" s="162"/>
      <c r="AH433" s="162"/>
      <c r="AI433" s="230"/>
      <c r="AJ433" s="230"/>
      <c r="AK433" s="162"/>
      <c r="AL433" s="162"/>
      <c r="AM433" s="162"/>
      <c r="AN433" s="162"/>
      <c r="AO433" s="162"/>
      <c r="AP433" s="230"/>
      <c r="AQ433" s="230"/>
      <c r="AR433" s="162"/>
      <c r="AS433" s="162"/>
      <c r="AT433" s="162"/>
      <c r="AU433" s="162"/>
      <c r="AV433" s="162"/>
      <c r="AW433" s="230"/>
      <c r="AX433" s="230"/>
      <c r="AY433" s="162"/>
      <c r="AZ433" s="162"/>
      <c r="BA433" s="162"/>
      <c r="BB433" s="162"/>
      <c r="BC433" s="162"/>
      <c r="BD433" s="230"/>
      <c r="BE433" s="230"/>
      <c r="BF433" s="162"/>
      <c r="BG433" s="162"/>
      <c r="BH433" s="162"/>
      <c r="BI433" s="162"/>
      <c r="BJ433" s="162"/>
      <c r="BK433" s="230"/>
      <c r="BL433" s="230"/>
      <c r="BM433" s="162"/>
      <c r="BN433" s="162"/>
      <c r="BO433" s="162"/>
      <c r="BP433" s="162"/>
      <c r="BQ433" s="162"/>
      <c r="BR433" s="230"/>
      <c r="BS433" s="230"/>
      <c r="BT433" s="162"/>
      <c r="BU433" s="162"/>
      <c r="BV433" s="162"/>
      <c r="BW433" s="162"/>
      <c r="BX433" s="162"/>
      <c r="BY433" s="230"/>
      <c r="BZ433" s="230"/>
      <c r="CA433" s="162"/>
      <c r="CB433" s="162"/>
      <c r="CC433" s="162"/>
      <c r="CD433" s="162"/>
      <c r="CE433" s="162"/>
      <c r="CF433" s="230"/>
      <c r="CG433" s="230"/>
      <c r="CH433" s="162"/>
      <c r="CI433" s="162"/>
      <c r="CJ433" s="162"/>
      <c r="CK433" s="162"/>
      <c r="CL433" s="162"/>
      <c r="CM433" s="230"/>
      <c r="CN433" s="230"/>
      <c r="CO433" s="162"/>
      <c r="CP433" s="162"/>
      <c r="CQ433" s="162"/>
      <c r="CR433" s="162"/>
      <c r="CS433" s="162"/>
      <c r="CT433" s="230"/>
      <c r="CU433" s="230"/>
      <c r="CV433" s="162"/>
      <c r="CW433" s="162"/>
      <c r="CX433" s="162"/>
      <c r="CY433" s="162"/>
      <c r="CZ433" s="162"/>
      <c r="DA433" s="230"/>
      <c r="DB433" s="230"/>
      <c r="DC433" s="162"/>
      <c r="DD433" s="162"/>
      <c r="DE433" s="162"/>
      <c r="DF433" s="162"/>
      <c r="DG433" s="162"/>
      <c r="DH433" s="230"/>
      <c r="DI433" s="230"/>
      <c r="DJ433" s="162"/>
      <c r="DK433" s="162"/>
      <c r="DL433" s="75"/>
      <c r="DM433" s="88"/>
      <c r="DN433" s="88"/>
      <c r="DO433" s="88"/>
      <c r="DP433" s="88"/>
      <c r="DQ433" s="88"/>
      <c r="DR433" s="88"/>
      <c r="DS433" s="88"/>
      <c r="DT433" s="88"/>
      <c r="DU433" s="88"/>
      <c r="DV433" s="88"/>
      <c r="DW433" s="75"/>
      <c r="DX433" s="75"/>
      <c r="DY433" s="75"/>
      <c r="DZ433" s="75"/>
      <c r="EA433" s="75"/>
      <c r="EB433" s="75"/>
      <c r="EC433" s="75"/>
      <c r="ED433" s="75"/>
      <c r="EE433" s="75"/>
      <c r="EF433" s="75"/>
      <c r="EG433" s="75"/>
      <c r="EH433" s="75"/>
    </row>
    <row r="434" spans="1:138" x14ac:dyDescent="0.25">
      <c r="A434" s="147"/>
      <c r="B434" s="147"/>
      <c r="C434" s="160"/>
      <c r="D434" s="160"/>
      <c r="E434" s="169"/>
      <c r="F434" s="229"/>
      <c r="G434" s="165"/>
      <c r="H434" s="165"/>
      <c r="I434" s="163"/>
      <c r="J434" s="163"/>
      <c r="K434" s="162"/>
      <c r="L434" s="162"/>
      <c r="M434" s="162"/>
      <c r="N434" s="230"/>
      <c r="O434" s="230"/>
      <c r="P434" s="162"/>
      <c r="Q434" s="162"/>
      <c r="R434" s="162"/>
      <c r="S434" s="162"/>
      <c r="T434" s="162"/>
      <c r="U434" s="230"/>
      <c r="V434" s="230"/>
      <c r="W434" s="162"/>
      <c r="X434" s="162"/>
      <c r="Y434" s="162"/>
      <c r="Z434" s="162"/>
      <c r="AA434" s="162"/>
      <c r="AB434" s="230"/>
      <c r="AC434" s="230"/>
      <c r="AD434" s="162"/>
      <c r="AE434" s="162"/>
      <c r="AF434" s="162"/>
      <c r="AG434" s="162"/>
      <c r="AH434" s="162"/>
      <c r="AI434" s="230"/>
      <c r="AJ434" s="230"/>
      <c r="AK434" s="162"/>
      <c r="AL434" s="162"/>
      <c r="AM434" s="162"/>
      <c r="AN434" s="162"/>
      <c r="AO434" s="162"/>
      <c r="AP434" s="230"/>
      <c r="AQ434" s="230"/>
      <c r="AR434" s="162"/>
      <c r="AS434" s="162"/>
      <c r="AT434" s="162"/>
      <c r="AU434" s="162"/>
      <c r="AV434" s="162"/>
      <c r="AW434" s="230"/>
      <c r="AX434" s="230"/>
      <c r="AY434" s="162"/>
      <c r="AZ434" s="162"/>
      <c r="BA434" s="162"/>
      <c r="BB434" s="162"/>
      <c r="BC434" s="162"/>
      <c r="BD434" s="230"/>
      <c r="BE434" s="230"/>
      <c r="BF434" s="162"/>
      <c r="BG434" s="162"/>
      <c r="BH434" s="162"/>
      <c r="BI434" s="162"/>
      <c r="BJ434" s="162"/>
      <c r="BK434" s="230"/>
      <c r="BL434" s="230"/>
      <c r="BM434" s="162"/>
      <c r="BN434" s="162"/>
      <c r="BO434" s="162"/>
      <c r="BP434" s="162"/>
      <c r="BQ434" s="162"/>
      <c r="BR434" s="230"/>
      <c r="BS434" s="230"/>
      <c r="BT434" s="162"/>
      <c r="BU434" s="162"/>
      <c r="BV434" s="162"/>
      <c r="BW434" s="162"/>
      <c r="BX434" s="162"/>
      <c r="BY434" s="230"/>
      <c r="BZ434" s="230"/>
      <c r="CA434" s="162"/>
      <c r="CB434" s="162"/>
      <c r="CC434" s="162"/>
      <c r="CD434" s="162"/>
      <c r="CE434" s="162"/>
      <c r="CF434" s="230"/>
      <c r="CG434" s="230"/>
      <c r="CH434" s="162"/>
      <c r="CI434" s="162"/>
      <c r="CJ434" s="162"/>
      <c r="CK434" s="162"/>
      <c r="CL434" s="162"/>
      <c r="CM434" s="230"/>
      <c r="CN434" s="230"/>
      <c r="CO434" s="162"/>
      <c r="CP434" s="162"/>
      <c r="CQ434" s="162"/>
      <c r="CR434" s="162"/>
      <c r="CS434" s="162"/>
      <c r="CT434" s="230"/>
      <c r="CU434" s="230"/>
      <c r="CV434" s="162"/>
      <c r="CW434" s="162"/>
      <c r="CX434" s="162"/>
      <c r="CY434" s="162"/>
      <c r="CZ434" s="162"/>
      <c r="DA434" s="230"/>
      <c r="DB434" s="230"/>
      <c r="DC434" s="162"/>
      <c r="DD434" s="162"/>
      <c r="DE434" s="162"/>
      <c r="DF434" s="162"/>
      <c r="DG434" s="162"/>
      <c r="DH434" s="230"/>
      <c r="DI434" s="230"/>
      <c r="DJ434" s="162"/>
      <c r="DK434" s="162"/>
      <c r="DL434" s="146"/>
      <c r="DM434" s="380"/>
      <c r="DN434" s="372"/>
      <c r="DO434" s="372"/>
      <c r="DP434" s="372"/>
      <c r="DQ434" s="372"/>
      <c r="DR434" s="372"/>
      <c r="DS434" s="372"/>
      <c r="DT434" s="88"/>
      <c r="DU434" s="88"/>
      <c r="DV434" s="88"/>
      <c r="DW434" s="146"/>
      <c r="DX434" s="146"/>
      <c r="DY434" s="146"/>
      <c r="DZ434" s="146"/>
      <c r="EA434" s="146"/>
      <c r="EB434" s="146"/>
      <c r="EC434" s="146"/>
      <c r="ED434" s="146"/>
      <c r="EE434" s="146"/>
      <c r="EF434" s="146"/>
      <c r="EG434" s="146"/>
      <c r="EH434" s="146"/>
    </row>
    <row r="435" spans="1:138" x14ac:dyDescent="0.25">
      <c r="A435" s="147"/>
      <c r="B435" s="147"/>
      <c r="C435" s="160"/>
      <c r="D435" s="160"/>
      <c r="E435" s="169"/>
      <c r="F435" s="229"/>
      <c r="G435" s="165"/>
      <c r="H435" s="165"/>
      <c r="I435" s="163"/>
      <c r="J435" s="163"/>
      <c r="K435" s="162"/>
      <c r="L435" s="162"/>
      <c r="M435" s="162"/>
      <c r="N435" s="230"/>
      <c r="O435" s="230"/>
      <c r="P435" s="162"/>
      <c r="Q435" s="162"/>
      <c r="R435" s="162"/>
      <c r="S435" s="162"/>
      <c r="T435" s="162"/>
      <c r="U435" s="230"/>
      <c r="V435" s="230"/>
      <c r="W435" s="162"/>
      <c r="X435" s="162"/>
      <c r="Y435" s="162"/>
      <c r="Z435" s="162"/>
      <c r="AA435" s="162"/>
      <c r="AB435" s="230"/>
      <c r="AC435" s="230"/>
      <c r="AD435" s="162"/>
      <c r="AE435" s="162"/>
      <c r="AF435" s="162"/>
      <c r="AG435" s="162"/>
      <c r="AH435" s="162"/>
      <c r="AI435" s="230"/>
      <c r="AJ435" s="230"/>
      <c r="AK435" s="162"/>
      <c r="AL435" s="162"/>
      <c r="AM435" s="162"/>
      <c r="AN435" s="162"/>
      <c r="AO435" s="162"/>
      <c r="AP435" s="230"/>
      <c r="AQ435" s="230"/>
      <c r="AR435" s="162"/>
      <c r="AS435" s="162"/>
      <c r="AT435" s="162"/>
      <c r="AU435" s="162"/>
      <c r="AV435" s="162"/>
      <c r="AW435" s="230"/>
      <c r="AX435" s="230"/>
      <c r="AY435" s="162"/>
      <c r="AZ435" s="162"/>
      <c r="BA435" s="162"/>
      <c r="BB435" s="162"/>
      <c r="BC435" s="162"/>
      <c r="BD435" s="230"/>
      <c r="BE435" s="230"/>
      <c r="BF435" s="162"/>
      <c r="BG435" s="162"/>
      <c r="BH435" s="162"/>
      <c r="BI435" s="162"/>
      <c r="BJ435" s="162"/>
      <c r="BK435" s="230"/>
      <c r="BL435" s="230"/>
      <c r="BM435" s="162"/>
      <c r="BN435" s="162"/>
      <c r="BO435" s="162"/>
      <c r="BP435" s="162"/>
      <c r="BQ435" s="162"/>
      <c r="BR435" s="230"/>
      <c r="BS435" s="230"/>
      <c r="BT435" s="162"/>
      <c r="BU435" s="162"/>
      <c r="BV435" s="162"/>
      <c r="BW435" s="162"/>
      <c r="BX435" s="162"/>
      <c r="BY435" s="230"/>
      <c r="BZ435" s="230"/>
      <c r="CA435" s="162"/>
      <c r="CB435" s="162"/>
      <c r="CC435" s="162"/>
      <c r="CD435" s="162"/>
      <c r="CE435" s="162"/>
      <c r="CF435" s="230"/>
      <c r="CG435" s="230"/>
      <c r="CH435" s="162"/>
      <c r="CI435" s="162"/>
      <c r="CJ435" s="162"/>
      <c r="CK435" s="162"/>
      <c r="CL435" s="162"/>
      <c r="CM435" s="230"/>
      <c r="CN435" s="230"/>
      <c r="CO435" s="162"/>
      <c r="CP435" s="162"/>
      <c r="CQ435" s="162"/>
      <c r="CR435" s="162"/>
      <c r="CS435" s="162"/>
      <c r="CT435" s="230"/>
      <c r="CU435" s="230"/>
      <c r="CV435" s="162"/>
      <c r="CW435" s="162"/>
      <c r="CX435" s="162"/>
      <c r="CY435" s="162"/>
      <c r="CZ435" s="162"/>
      <c r="DA435" s="230"/>
      <c r="DB435" s="230"/>
      <c r="DC435" s="162"/>
      <c r="DD435" s="162"/>
      <c r="DE435" s="162"/>
      <c r="DF435" s="162"/>
      <c r="DG435" s="162"/>
      <c r="DH435" s="230"/>
      <c r="DI435" s="230"/>
      <c r="DJ435" s="162"/>
      <c r="DK435" s="162"/>
      <c r="DL435" s="146"/>
      <c r="DM435" s="380"/>
      <c r="DN435" s="372"/>
      <c r="DO435" s="372"/>
      <c r="DP435" s="372"/>
      <c r="DQ435" s="372"/>
      <c r="DR435" s="372"/>
      <c r="DS435" s="372"/>
      <c r="DT435" s="89"/>
      <c r="DU435" s="89"/>
      <c r="DV435" s="89"/>
      <c r="DW435" s="146"/>
      <c r="DX435" s="146"/>
      <c r="DY435" s="146"/>
      <c r="DZ435" s="146"/>
      <c r="EA435" s="146"/>
      <c r="EB435" s="146"/>
      <c r="EC435" s="146"/>
      <c r="ED435" s="146"/>
      <c r="EE435" s="146"/>
      <c r="EF435" s="146"/>
      <c r="EG435" s="146"/>
      <c r="EH435" s="146"/>
    </row>
    <row r="436" spans="1:138" x14ac:dyDescent="0.25">
      <c r="A436" s="147"/>
      <c r="B436" s="147"/>
      <c r="C436" s="160"/>
      <c r="D436" s="160"/>
      <c r="E436" s="169"/>
      <c r="F436" s="229"/>
      <c r="G436" s="165"/>
      <c r="H436" s="165"/>
      <c r="I436" s="163"/>
      <c r="J436" s="163"/>
      <c r="K436" s="162"/>
      <c r="L436" s="162"/>
      <c r="M436" s="162"/>
      <c r="N436" s="230"/>
      <c r="O436" s="230"/>
      <c r="P436" s="162"/>
      <c r="Q436" s="162"/>
      <c r="R436" s="162"/>
      <c r="S436" s="162"/>
      <c r="T436" s="162"/>
      <c r="U436" s="230"/>
      <c r="V436" s="230"/>
      <c r="W436" s="162"/>
      <c r="X436" s="162"/>
      <c r="Y436" s="162"/>
      <c r="Z436" s="162"/>
      <c r="AA436" s="162"/>
      <c r="AB436" s="230"/>
      <c r="AC436" s="230"/>
      <c r="AD436" s="162"/>
      <c r="AE436" s="162"/>
      <c r="AF436" s="162"/>
      <c r="AG436" s="162"/>
      <c r="AH436" s="162"/>
      <c r="AI436" s="230"/>
      <c r="AJ436" s="230"/>
      <c r="AK436" s="162"/>
      <c r="AL436" s="162"/>
      <c r="AM436" s="162"/>
      <c r="AN436" s="162"/>
      <c r="AO436" s="162"/>
      <c r="AP436" s="230"/>
      <c r="AQ436" s="230"/>
      <c r="AR436" s="162"/>
      <c r="AS436" s="162"/>
      <c r="AT436" s="162"/>
      <c r="AU436" s="162"/>
      <c r="AV436" s="162"/>
      <c r="AW436" s="230"/>
      <c r="AX436" s="230"/>
      <c r="AY436" s="162"/>
      <c r="AZ436" s="162"/>
      <c r="BA436" s="162"/>
      <c r="BB436" s="162"/>
      <c r="BC436" s="162"/>
      <c r="BD436" s="230"/>
      <c r="BE436" s="230"/>
      <c r="BF436" s="162"/>
      <c r="BG436" s="162"/>
      <c r="BH436" s="162"/>
      <c r="BI436" s="162"/>
      <c r="BJ436" s="162"/>
      <c r="BK436" s="230"/>
      <c r="BL436" s="230"/>
      <c r="BM436" s="162"/>
      <c r="BN436" s="162"/>
      <c r="BO436" s="162"/>
      <c r="BP436" s="162"/>
      <c r="BQ436" s="162"/>
      <c r="BR436" s="230"/>
      <c r="BS436" s="230"/>
      <c r="BT436" s="162"/>
      <c r="BU436" s="162"/>
      <c r="BV436" s="162"/>
      <c r="BW436" s="162"/>
      <c r="BX436" s="162"/>
      <c r="BY436" s="230"/>
      <c r="BZ436" s="230"/>
      <c r="CA436" s="162"/>
      <c r="CB436" s="162"/>
      <c r="CC436" s="162"/>
      <c r="CD436" s="162"/>
      <c r="CE436" s="162"/>
      <c r="CF436" s="230"/>
      <c r="CG436" s="230"/>
      <c r="CH436" s="162"/>
      <c r="CI436" s="162"/>
      <c r="CJ436" s="162"/>
      <c r="CK436" s="162"/>
      <c r="CL436" s="162"/>
      <c r="CM436" s="230"/>
      <c r="CN436" s="230"/>
      <c r="CO436" s="162"/>
      <c r="CP436" s="162"/>
      <c r="CQ436" s="162"/>
      <c r="CR436" s="162"/>
      <c r="CS436" s="162"/>
      <c r="CT436" s="230"/>
      <c r="CU436" s="230"/>
      <c r="CV436" s="162"/>
      <c r="CW436" s="162"/>
      <c r="CX436" s="162"/>
      <c r="CY436" s="162"/>
      <c r="CZ436" s="162"/>
      <c r="DA436" s="230"/>
      <c r="DB436" s="230"/>
      <c r="DC436" s="162"/>
      <c r="DD436" s="162"/>
      <c r="DE436" s="162"/>
      <c r="DF436" s="162"/>
      <c r="DG436" s="162"/>
      <c r="DH436" s="230"/>
      <c r="DI436" s="230"/>
      <c r="DJ436" s="162"/>
      <c r="DK436" s="162"/>
      <c r="DL436" s="146"/>
      <c r="DM436" s="88"/>
      <c r="DN436" s="88"/>
      <c r="DO436" s="88"/>
      <c r="DP436" s="88"/>
      <c r="DQ436" s="88"/>
      <c r="DR436" s="88"/>
      <c r="DS436" s="88"/>
      <c r="DT436" s="88"/>
      <c r="DU436" s="88"/>
      <c r="DV436" s="88"/>
      <c r="DW436" s="146"/>
      <c r="DX436" s="146"/>
      <c r="DY436" s="146"/>
      <c r="DZ436" s="146"/>
      <c r="EA436" s="146"/>
      <c r="EB436" s="146"/>
      <c r="EC436" s="146"/>
      <c r="ED436" s="146"/>
      <c r="EE436" s="146"/>
      <c r="EF436" s="146"/>
      <c r="EG436" s="146"/>
      <c r="EH436" s="146"/>
    </row>
    <row r="437" spans="1:138" x14ac:dyDescent="0.25">
      <c r="A437" s="147"/>
      <c r="B437" s="147"/>
      <c r="C437" s="160"/>
      <c r="D437" s="160"/>
      <c r="E437" s="169"/>
      <c r="F437" s="229"/>
      <c r="G437" s="165"/>
      <c r="H437" s="165"/>
      <c r="I437" s="163"/>
      <c r="J437" s="163"/>
      <c r="K437" s="162"/>
      <c r="L437" s="162"/>
      <c r="M437" s="162"/>
      <c r="N437" s="230"/>
      <c r="O437" s="230"/>
      <c r="P437" s="162"/>
      <c r="Q437" s="162"/>
      <c r="R437" s="162"/>
      <c r="S437" s="162"/>
      <c r="T437" s="162"/>
      <c r="U437" s="230"/>
      <c r="V437" s="230"/>
      <c r="W437" s="162"/>
      <c r="X437" s="162"/>
      <c r="Y437" s="162"/>
      <c r="Z437" s="162"/>
      <c r="AA437" s="162"/>
      <c r="AB437" s="230"/>
      <c r="AC437" s="230"/>
      <c r="AD437" s="162"/>
      <c r="AE437" s="162"/>
      <c r="AF437" s="162"/>
      <c r="AG437" s="162"/>
      <c r="AH437" s="162"/>
      <c r="AI437" s="230"/>
      <c r="AJ437" s="230"/>
      <c r="AK437" s="162"/>
      <c r="AL437" s="162"/>
      <c r="AM437" s="162"/>
      <c r="AN437" s="162"/>
      <c r="AO437" s="162"/>
      <c r="AP437" s="230"/>
      <c r="AQ437" s="230"/>
      <c r="AR437" s="162"/>
      <c r="AS437" s="162"/>
      <c r="AT437" s="162"/>
      <c r="AU437" s="162"/>
      <c r="AV437" s="162"/>
      <c r="AW437" s="230"/>
      <c r="AX437" s="230"/>
      <c r="AY437" s="162"/>
      <c r="AZ437" s="162"/>
      <c r="BA437" s="162"/>
      <c r="BB437" s="162"/>
      <c r="BC437" s="162"/>
      <c r="BD437" s="230"/>
      <c r="BE437" s="230"/>
      <c r="BF437" s="162"/>
      <c r="BG437" s="162"/>
      <c r="BH437" s="162"/>
      <c r="BI437" s="162"/>
      <c r="BJ437" s="162"/>
      <c r="BK437" s="230"/>
      <c r="BL437" s="230"/>
      <c r="BM437" s="162"/>
      <c r="BN437" s="162"/>
      <c r="BO437" s="162"/>
      <c r="BP437" s="162"/>
      <c r="BQ437" s="162"/>
      <c r="BR437" s="230"/>
      <c r="BS437" s="230"/>
      <c r="BT437" s="162"/>
      <c r="BU437" s="162"/>
      <c r="BV437" s="162"/>
      <c r="BW437" s="162"/>
      <c r="BX437" s="162"/>
      <c r="BY437" s="230"/>
      <c r="BZ437" s="230"/>
      <c r="CA437" s="162"/>
      <c r="CB437" s="162"/>
      <c r="CC437" s="162"/>
      <c r="CD437" s="162"/>
      <c r="CE437" s="162"/>
      <c r="CF437" s="230"/>
      <c r="CG437" s="230"/>
      <c r="CH437" s="162"/>
      <c r="CI437" s="162"/>
      <c r="CJ437" s="162"/>
      <c r="CK437" s="162"/>
      <c r="CL437" s="162"/>
      <c r="CM437" s="230"/>
      <c r="CN437" s="230"/>
      <c r="CO437" s="162"/>
      <c r="CP437" s="162"/>
      <c r="CQ437" s="162"/>
      <c r="CR437" s="162"/>
      <c r="CS437" s="162"/>
      <c r="CT437" s="230"/>
      <c r="CU437" s="230"/>
      <c r="CV437" s="162"/>
      <c r="CW437" s="162"/>
      <c r="CX437" s="162"/>
      <c r="CY437" s="162"/>
      <c r="CZ437" s="162"/>
      <c r="DA437" s="230"/>
      <c r="DB437" s="230"/>
      <c r="DC437" s="162"/>
      <c r="DD437" s="162"/>
      <c r="DE437" s="162"/>
      <c r="DF437" s="162"/>
      <c r="DG437" s="162"/>
      <c r="DH437" s="230"/>
      <c r="DI437" s="230"/>
      <c r="DJ437" s="162"/>
      <c r="DK437" s="162"/>
      <c r="DL437" s="146"/>
      <c r="DM437" s="371"/>
      <c r="DN437" s="372"/>
      <c r="DO437" s="372"/>
      <c r="DP437" s="372"/>
      <c r="DQ437" s="372"/>
      <c r="DR437" s="372"/>
      <c r="DS437" s="372"/>
      <c r="DT437" s="372"/>
      <c r="DU437" s="372"/>
      <c r="DV437" s="372"/>
      <c r="DW437" s="146"/>
      <c r="DX437" s="146"/>
      <c r="DY437" s="146"/>
      <c r="DZ437" s="146"/>
      <c r="EA437" s="146"/>
      <c r="EB437" s="146"/>
      <c r="EC437" s="146"/>
      <c r="ED437" s="146"/>
      <c r="EE437" s="146"/>
      <c r="EF437" s="146"/>
      <c r="EG437" s="146"/>
      <c r="EH437" s="146"/>
    </row>
    <row r="438" spans="1:138" x14ac:dyDescent="0.25">
      <c r="A438" s="147"/>
      <c r="B438" s="147"/>
      <c r="C438" s="160"/>
      <c r="D438" s="160"/>
      <c r="E438" s="169"/>
      <c r="F438" s="229"/>
      <c r="G438" s="165"/>
      <c r="H438" s="165"/>
      <c r="I438" s="163"/>
      <c r="J438" s="163"/>
      <c r="K438" s="162"/>
      <c r="L438" s="162"/>
      <c r="M438" s="162"/>
      <c r="N438" s="230"/>
      <c r="O438" s="230"/>
      <c r="P438" s="162"/>
      <c r="Q438" s="162"/>
      <c r="R438" s="162"/>
      <c r="S438" s="162"/>
      <c r="T438" s="162"/>
      <c r="U438" s="230"/>
      <c r="V438" s="230"/>
      <c r="W438" s="162"/>
      <c r="X438" s="162"/>
      <c r="Y438" s="162"/>
      <c r="Z438" s="162"/>
      <c r="AA438" s="162"/>
      <c r="AB438" s="230"/>
      <c r="AC438" s="230"/>
      <c r="AD438" s="162"/>
      <c r="AE438" s="162"/>
      <c r="AF438" s="162"/>
      <c r="AG438" s="162"/>
      <c r="AH438" s="162"/>
      <c r="AI438" s="230"/>
      <c r="AJ438" s="230"/>
      <c r="AK438" s="162"/>
      <c r="AL438" s="162"/>
      <c r="AM438" s="162"/>
      <c r="AN438" s="162"/>
      <c r="AO438" s="162"/>
      <c r="AP438" s="230"/>
      <c r="AQ438" s="230"/>
      <c r="AR438" s="162"/>
      <c r="AS438" s="162"/>
      <c r="AT438" s="162"/>
      <c r="AU438" s="162"/>
      <c r="AV438" s="162"/>
      <c r="AW438" s="230"/>
      <c r="AX438" s="230"/>
      <c r="AY438" s="162"/>
      <c r="AZ438" s="162"/>
      <c r="BA438" s="162"/>
      <c r="BB438" s="162"/>
      <c r="BC438" s="162"/>
      <c r="BD438" s="230"/>
      <c r="BE438" s="230"/>
      <c r="BF438" s="162"/>
      <c r="BG438" s="162"/>
      <c r="BH438" s="162"/>
      <c r="BI438" s="162"/>
      <c r="BJ438" s="162"/>
      <c r="BK438" s="230"/>
      <c r="BL438" s="230"/>
      <c r="BM438" s="162"/>
      <c r="BN438" s="162"/>
      <c r="BO438" s="162"/>
      <c r="BP438" s="162"/>
      <c r="BQ438" s="162"/>
      <c r="BR438" s="230"/>
      <c r="BS438" s="230"/>
      <c r="BT438" s="162"/>
      <c r="BU438" s="162"/>
      <c r="BV438" s="162"/>
      <c r="BW438" s="162"/>
      <c r="BX438" s="162"/>
      <c r="BY438" s="230"/>
      <c r="BZ438" s="230"/>
      <c r="CA438" s="162"/>
      <c r="CB438" s="162"/>
      <c r="CC438" s="162"/>
      <c r="CD438" s="162"/>
      <c r="CE438" s="162"/>
      <c r="CF438" s="230"/>
      <c r="CG438" s="230"/>
      <c r="CH438" s="162"/>
      <c r="CI438" s="162"/>
      <c r="CJ438" s="162"/>
      <c r="CK438" s="162"/>
      <c r="CL438" s="162"/>
      <c r="CM438" s="230"/>
      <c r="CN438" s="230"/>
      <c r="CO438" s="162"/>
      <c r="CP438" s="162"/>
      <c r="CQ438" s="162"/>
      <c r="CR438" s="162"/>
      <c r="CS438" s="162"/>
      <c r="CT438" s="230"/>
      <c r="CU438" s="230"/>
      <c r="CV438" s="162"/>
      <c r="CW438" s="162"/>
      <c r="CX438" s="162"/>
      <c r="CY438" s="162"/>
      <c r="CZ438" s="162"/>
      <c r="DA438" s="230"/>
      <c r="DB438" s="230"/>
      <c r="DC438" s="162"/>
      <c r="DD438" s="162"/>
      <c r="DE438" s="162"/>
      <c r="DF438" s="162"/>
      <c r="DG438" s="162"/>
      <c r="DH438" s="230"/>
      <c r="DI438" s="230"/>
      <c r="DJ438" s="162"/>
      <c r="DK438" s="162"/>
      <c r="DL438" s="146"/>
      <c r="DM438" s="371"/>
      <c r="DN438" s="372"/>
      <c r="DO438" s="372"/>
      <c r="DP438" s="372"/>
      <c r="DQ438" s="372"/>
      <c r="DR438" s="372"/>
      <c r="DS438" s="372"/>
      <c r="DT438" s="372"/>
      <c r="DU438" s="372"/>
      <c r="DV438" s="372"/>
      <c r="DW438" s="146"/>
      <c r="DX438" s="146"/>
      <c r="DY438" s="146"/>
      <c r="DZ438" s="146"/>
      <c r="EA438" s="146"/>
      <c r="EB438" s="146"/>
      <c r="EC438" s="146"/>
      <c r="ED438" s="146"/>
      <c r="EE438" s="146"/>
      <c r="EF438" s="146"/>
      <c r="EG438" s="146"/>
      <c r="EH438" s="146"/>
    </row>
    <row r="439" spans="1:138" x14ac:dyDescent="0.25">
      <c r="A439" s="147"/>
      <c r="B439" s="147"/>
      <c r="C439" s="160"/>
      <c r="D439" s="160"/>
      <c r="E439" s="169"/>
      <c r="F439" s="229"/>
      <c r="G439" s="165"/>
      <c r="H439" s="165"/>
      <c r="I439" s="163"/>
      <c r="J439" s="163"/>
      <c r="K439" s="162"/>
      <c r="L439" s="162"/>
      <c r="M439" s="162"/>
      <c r="N439" s="230"/>
      <c r="O439" s="230"/>
      <c r="P439" s="162"/>
      <c r="Q439" s="162"/>
      <c r="R439" s="162"/>
      <c r="S439" s="162"/>
      <c r="T439" s="162"/>
      <c r="U439" s="230"/>
      <c r="V439" s="230"/>
      <c r="W439" s="162"/>
      <c r="X439" s="162"/>
      <c r="Y439" s="162"/>
      <c r="Z439" s="162"/>
      <c r="AA439" s="162"/>
      <c r="AB439" s="230"/>
      <c r="AC439" s="230"/>
      <c r="AD439" s="162"/>
      <c r="AE439" s="162"/>
      <c r="AF439" s="162"/>
      <c r="AG439" s="162"/>
      <c r="AH439" s="162"/>
      <c r="AI439" s="230"/>
      <c r="AJ439" s="230"/>
      <c r="AK439" s="162"/>
      <c r="AL439" s="162"/>
      <c r="AM439" s="162"/>
      <c r="AN439" s="162"/>
      <c r="AO439" s="162"/>
      <c r="AP439" s="230"/>
      <c r="AQ439" s="230"/>
      <c r="AR439" s="162"/>
      <c r="AS439" s="162"/>
      <c r="AT439" s="162"/>
      <c r="AU439" s="162"/>
      <c r="AV439" s="162"/>
      <c r="AW439" s="230"/>
      <c r="AX439" s="230"/>
      <c r="AY439" s="162"/>
      <c r="AZ439" s="162"/>
      <c r="BA439" s="162"/>
      <c r="BB439" s="162"/>
      <c r="BC439" s="162"/>
      <c r="BD439" s="230"/>
      <c r="BE439" s="230"/>
      <c r="BF439" s="162"/>
      <c r="BG439" s="162"/>
      <c r="BH439" s="162"/>
      <c r="BI439" s="162"/>
      <c r="BJ439" s="162"/>
      <c r="BK439" s="230"/>
      <c r="BL439" s="230"/>
      <c r="BM439" s="162"/>
      <c r="BN439" s="162"/>
      <c r="BO439" s="162"/>
      <c r="BP439" s="162"/>
      <c r="BQ439" s="162"/>
      <c r="BR439" s="230"/>
      <c r="BS439" s="230"/>
      <c r="BT439" s="162"/>
      <c r="BU439" s="162"/>
      <c r="BV439" s="162"/>
      <c r="BW439" s="162"/>
      <c r="BX439" s="162"/>
      <c r="BY439" s="230"/>
      <c r="BZ439" s="230"/>
      <c r="CA439" s="162"/>
      <c r="CB439" s="162"/>
      <c r="CC439" s="162"/>
      <c r="CD439" s="162"/>
      <c r="CE439" s="162"/>
      <c r="CF439" s="230"/>
      <c r="CG439" s="230"/>
      <c r="CH439" s="162"/>
      <c r="CI439" s="162"/>
      <c r="CJ439" s="162"/>
      <c r="CK439" s="162"/>
      <c r="CL439" s="162"/>
      <c r="CM439" s="230"/>
      <c r="CN439" s="230"/>
      <c r="CO439" s="162"/>
      <c r="CP439" s="162"/>
      <c r="CQ439" s="162"/>
      <c r="CR439" s="162"/>
      <c r="CS439" s="162"/>
      <c r="CT439" s="230"/>
      <c r="CU439" s="230"/>
      <c r="CV439" s="162"/>
      <c r="CW439" s="162"/>
      <c r="CX439" s="162"/>
      <c r="CY439" s="162"/>
      <c r="CZ439" s="162"/>
      <c r="DA439" s="230"/>
      <c r="DB439" s="230"/>
      <c r="DC439" s="162"/>
      <c r="DD439" s="162"/>
      <c r="DE439" s="162"/>
      <c r="DF439" s="162"/>
      <c r="DG439" s="162"/>
      <c r="DH439" s="230"/>
      <c r="DI439" s="230"/>
      <c r="DJ439" s="162"/>
      <c r="DK439" s="162"/>
      <c r="DL439" s="226"/>
      <c r="DM439" s="380"/>
      <c r="DN439" s="372"/>
      <c r="DO439" s="372"/>
      <c r="DP439" s="372"/>
      <c r="DQ439" s="372"/>
      <c r="DR439" s="372"/>
      <c r="DS439" s="372"/>
      <c r="DT439" s="88"/>
      <c r="DU439" s="88"/>
      <c r="DV439" s="88"/>
      <c r="DW439" s="226"/>
      <c r="DX439" s="226"/>
      <c r="DY439" s="226"/>
      <c r="DZ439" s="226"/>
      <c r="EA439" s="226"/>
      <c r="EB439" s="226"/>
      <c r="EC439" s="226"/>
      <c r="ED439" s="226"/>
      <c r="EE439" s="226"/>
      <c r="EF439" s="226"/>
      <c r="EG439" s="226"/>
      <c r="EH439" s="226"/>
    </row>
    <row r="440" spans="1:138" x14ac:dyDescent="0.25">
      <c r="A440" s="147"/>
      <c r="B440" s="147"/>
      <c r="C440" s="160"/>
      <c r="D440" s="160"/>
      <c r="E440" s="169"/>
      <c r="F440" s="229"/>
      <c r="G440" s="165"/>
      <c r="H440" s="165"/>
      <c r="I440" s="163"/>
      <c r="J440" s="163"/>
      <c r="K440" s="162"/>
      <c r="L440" s="162"/>
      <c r="M440" s="162"/>
      <c r="N440" s="230"/>
      <c r="O440" s="230"/>
      <c r="P440" s="162"/>
      <c r="Q440" s="162"/>
      <c r="R440" s="162"/>
      <c r="S440" s="162"/>
      <c r="T440" s="162"/>
      <c r="U440" s="230"/>
      <c r="V440" s="230"/>
      <c r="W440" s="162"/>
      <c r="X440" s="162"/>
      <c r="Y440" s="162"/>
      <c r="Z440" s="162"/>
      <c r="AA440" s="162"/>
      <c r="AB440" s="230"/>
      <c r="AC440" s="230"/>
      <c r="AD440" s="162"/>
      <c r="AE440" s="162"/>
      <c r="AF440" s="162"/>
      <c r="AG440" s="162"/>
      <c r="AH440" s="162"/>
      <c r="AI440" s="230"/>
      <c r="AJ440" s="230"/>
      <c r="AK440" s="162"/>
      <c r="AL440" s="162"/>
      <c r="AM440" s="162"/>
      <c r="AN440" s="162"/>
      <c r="AO440" s="162"/>
      <c r="AP440" s="230"/>
      <c r="AQ440" s="230"/>
      <c r="AR440" s="162"/>
      <c r="AS440" s="162"/>
      <c r="AT440" s="162"/>
      <c r="AU440" s="162"/>
      <c r="AV440" s="162"/>
      <c r="AW440" s="230"/>
      <c r="AX440" s="230"/>
      <c r="AY440" s="162"/>
      <c r="AZ440" s="162"/>
      <c r="BA440" s="162"/>
      <c r="BB440" s="162"/>
      <c r="BC440" s="162"/>
      <c r="BD440" s="230"/>
      <c r="BE440" s="230"/>
      <c r="BF440" s="162"/>
      <c r="BG440" s="162"/>
      <c r="BH440" s="162"/>
      <c r="BI440" s="162"/>
      <c r="BJ440" s="162"/>
      <c r="BK440" s="230"/>
      <c r="BL440" s="230"/>
      <c r="BM440" s="162"/>
      <c r="BN440" s="162"/>
      <c r="BO440" s="162"/>
      <c r="BP440" s="162"/>
      <c r="BQ440" s="162"/>
      <c r="BR440" s="230"/>
      <c r="BS440" s="230"/>
      <c r="BT440" s="162"/>
      <c r="BU440" s="162"/>
      <c r="BV440" s="162"/>
      <c r="BW440" s="162"/>
      <c r="BX440" s="162"/>
      <c r="BY440" s="230"/>
      <c r="BZ440" s="230"/>
      <c r="CA440" s="162"/>
      <c r="CB440" s="162"/>
      <c r="CC440" s="162"/>
      <c r="CD440" s="162"/>
      <c r="CE440" s="162"/>
      <c r="CF440" s="230"/>
      <c r="CG440" s="230"/>
      <c r="CH440" s="162"/>
      <c r="CI440" s="162"/>
      <c r="CJ440" s="162"/>
      <c r="CK440" s="162"/>
      <c r="CL440" s="162"/>
      <c r="CM440" s="230"/>
      <c r="CN440" s="230"/>
      <c r="CO440" s="162"/>
      <c r="CP440" s="162"/>
      <c r="CQ440" s="162"/>
      <c r="CR440" s="162"/>
      <c r="CS440" s="162"/>
      <c r="CT440" s="230"/>
      <c r="CU440" s="230"/>
      <c r="CV440" s="162"/>
      <c r="CW440" s="162"/>
      <c r="CX440" s="162"/>
      <c r="CY440" s="162"/>
      <c r="CZ440" s="162"/>
      <c r="DA440" s="230"/>
      <c r="DB440" s="230"/>
      <c r="DC440" s="162"/>
      <c r="DD440" s="162"/>
      <c r="DE440" s="162"/>
      <c r="DF440" s="162"/>
      <c r="DG440" s="162"/>
      <c r="DH440" s="230"/>
      <c r="DI440" s="230"/>
      <c r="DJ440" s="162"/>
      <c r="DK440" s="162"/>
      <c r="DL440" s="75"/>
      <c r="DM440" s="88"/>
      <c r="DN440" s="88"/>
      <c r="DO440" s="88"/>
      <c r="DP440" s="88"/>
      <c r="DQ440" s="88"/>
      <c r="DR440" s="88"/>
      <c r="DS440" s="88"/>
      <c r="DT440" s="88"/>
      <c r="DU440" s="88"/>
      <c r="DV440" s="88"/>
      <c r="DW440" s="75"/>
      <c r="DX440" s="75"/>
      <c r="DY440" s="75"/>
      <c r="DZ440" s="75"/>
      <c r="EA440" s="75"/>
      <c r="EB440" s="75"/>
      <c r="EC440" s="75"/>
      <c r="ED440" s="75"/>
      <c r="EE440" s="75"/>
      <c r="EF440" s="75"/>
      <c r="EG440" s="75"/>
      <c r="EH440" s="75"/>
    </row>
    <row r="441" spans="1:138" x14ac:dyDescent="0.25">
      <c r="A441" s="147"/>
      <c r="B441" s="147"/>
      <c r="C441" s="160"/>
      <c r="D441" s="160"/>
      <c r="E441" s="169"/>
      <c r="F441" s="229"/>
      <c r="G441" s="165"/>
      <c r="H441" s="165"/>
      <c r="I441" s="163"/>
      <c r="J441" s="163"/>
      <c r="K441" s="162"/>
      <c r="L441" s="162"/>
      <c r="M441" s="162"/>
      <c r="N441" s="230"/>
      <c r="O441" s="230"/>
      <c r="P441" s="162"/>
      <c r="Q441" s="162"/>
      <c r="R441" s="162"/>
      <c r="S441" s="162"/>
      <c r="T441" s="162"/>
      <c r="U441" s="230"/>
      <c r="V441" s="230"/>
      <c r="W441" s="162"/>
      <c r="X441" s="162"/>
      <c r="Y441" s="162"/>
      <c r="Z441" s="162"/>
      <c r="AA441" s="162"/>
      <c r="AB441" s="230"/>
      <c r="AC441" s="230"/>
      <c r="AD441" s="162"/>
      <c r="AE441" s="162"/>
      <c r="AF441" s="162"/>
      <c r="AG441" s="162"/>
      <c r="AH441" s="162"/>
      <c r="AI441" s="230"/>
      <c r="AJ441" s="230"/>
      <c r="AK441" s="162"/>
      <c r="AL441" s="162"/>
      <c r="AM441" s="162"/>
      <c r="AN441" s="162"/>
      <c r="AO441" s="162"/>
      <c r="AP441" s="230"/>
      <c r="AQ441" s="230"/>
      <c r="AR441" s="162"/>
      <c r="AS441" s="162"/>
      <c r="AT441" s="162"/>
      <c r="AU441" s="162"/>
      <c r="AV441" s="162"/>
      <c r="AW441" s="230"/>
      <c r="AX441" s="230"/>
      <c r="AY441" s="162"/>
      <c r="AZ441" s="162"/>
      <c r="BA441" s="162"/>
      <c r="BB441" s="162"/>
      <c r="BC441" s="162"/>
      <c r="BD441" s="230"/>
      <c r="BE441" s="230"/>
      <c r="BF441" s="162"/>
      <c r="BG441" s="162"/>
      <c r="BH441" s="162"/>
      <c r="BI441" s="162"/>
      <c r="BJ441" s="162"/>
      <c r="BK441" s="230"/>
      <c r="BL441" s="230"/>
      <c r="BM441" s="162"/>
      <c r="BN441" s="162"/>
      <c r="BO441" s="162"/>
      <c r="BP441" s="162"/>
      <c r="BQ441" s="162"/>
      <c r="BR441" s="230"/>
      <c r="BS441" s="230"/>
      <c r="BT441" s="162"/>
      <c r="BU441" s="162"/>
      <c r="BV441" s="162"/>
      <c r="BW441" s="162"/>
      <c r="BX441" s="162"/>
      <c r="BY441" s="230"/>
      <c r="BZ441" s="230"/>
      <c r="CA441" s="162"/>
      <c r="CB441" s="162"/>
      <c r="CC441" s="162"/>
      <c r="CD441" s="162"/>
      <c r="CE441" s="162"/>
      <c r="CF441" s="230"/>
      <c r="CG441" s="230"/>
      <c r="CH441" s="162"/>
      <c r="CI441" s="162"/>
      <c r="CJ441" s="162"/>
      <c r="CK441" s="162"/>
      <c r="CL441" s="162"/>
      <c r="CM441" s="230"/>
      <c r="CN441" s="230"/>
      <c r="CO441" s="162"/>
      <c r="CP441" s="162"/>
      <c r="CQ441" s="162"/>
      <c r="CR441" s="162"/>
      <c r="CS441" s="162"/>
      <c r="CT441" s="230"/>
      <c r="CU441" s="230"/>
      <c r="CV441" s="162"/>
      <c r="CW441" s="162"/>
      <c r="CX441" s="162"/>
      <c r="CY441" s="162"/>
      <c r="CZ441" s="162"/>
      <c r="DA441" s="230"/>
      <c r="DB441" s="230"/>
      <c r="DC441" s="162"/>
      <c r="DD441" s="162"/>
      <c r="DE441" s="162"/>
      <c r="DF441" s="162"/>
      <c r="DG441" s="162"/>
      <c r="DH441" s="230"/>
      <c r="DI441" s="230"/>
      <c r="DJ441" s="162"/>
      <c r="DK441" s="162"/>
      <c r="DL441" s="146"/>
      <c r="DM441" s="380"/>
      <c r="DN441" s="372"/>
      <c r="DO441" s="372"/>
      <c r="DP441" s="372"/>
      <c r="DQ441" s="372"/>
      <c r="DR441" s="372"/>
      <c r="DS441" s="372"/>
      <c r="DT441" s="88"/>
      <c r="DU441" s="88"/>
      <c r="DV441" s="88"/>
      <c r="DW441" s="146"/>
      <c r="DX441" s="146"/>
      <c r="DY441" s="146"/>
      <c r="DZ441" s="146"/>
      <c r="EA441" s="146"/>
      <c r="EB441" s="146"/>
      <c r="EC441" s="146"/>
      <c r="ED441" s="146"/>
      <c r="EE441" s="146"/>
      <c r="EF441" s="146"/>
      <c r="EG441" s="146"/>
      <c r="EH441" s="146"/>
    </row>
    <row r="442" spans="1:138" x14ac:dyDescent="0.25">
      <c r="A442" s="147"/>
      <c r="B442" s="147"/>
      <c r="C442" s="160"/>
      <c r="D442" s="160"/>
      <c r="E442" s="169"/>
      <c r="F442" s="229"/>
      <c r="G442" s="165"/>
      <c r="H442" s="165"/>
      <c r="I442" s="163"/>
      <c r="J442" s="163"/>
      <c r="K442" s="162"/>
      <c r="L442" s="162"/>
      <c r="M442" s="162"/>
      <c r="N442" s="230"/>
      <c r="O442" s="230"/>
      <c r="P442" s="162"/>
      <c r="Q442" s="162"/>
      <c r="R442" s="162"/>
      <c r="S442" s="162"/>
      <c r="T442" s="162"/>
      <c r="U442" s="230"/>
      <c r="V442" s="230"/>
      <c r="W442" s="162"/>
      <c r="X442" s="162"/>
      <c r="Y442" s="162"/>
      <c r="Z442" s="162"/>
      <c r="AA442" s="162"/>
      <c r="AB442" s="230"/>
      <c r="AC442" s="230"/>
      <c r="AD442" s="162"/>
      <c r="AE442" s="162"/>
      <c r="AF442" s="162"/>
      <c r="AG442" s="162"/>
      <c r="AH442" s="162"/>
      <c r="AI442" s="230"/>
      <c r="AJ442" s="230"/>
      <c r="AK442" s="162"/>
      <c r="AL442" s="162"/>
      <c r="AM442" s="162"/>
      <c r="AN442" s="162"/>
      <c r="AO442" s="162"/>
      <c r="AP442" s="230"/>
      <c r="AQ442" s="230"/>
      <c r="AR442" s="162"/>
      <c r="AS442" s="162"/>
      <c r="AT442" s="162"/>
      <c r="AU442" s="162"/>
      <c r="AV442" s="162"/>
      <c r="AW442" s="230"/>
      <c r="AX442" s="230"/>
      <c r="AY442" s="162"/>
      <c r="AZ442" s="162"/>
      <c r="BA442" s="162"/>
      <c r="BB442" s="162"/>
      <c r="BC442" s="162"/>
      <c r="BD442" s="230"/>
      <c r="BE442" s="230"/>
      <c r="BF442" s="162"/>
      <c r="BG442" s="162"/>
      <c r="BH442" s="162"/>
      <c r="BI442" s="162"/>
      <c r="BJ442" s="162"/>
      <c r="BK442" s="230"/>
      <c r="BL442" s="230"/>
      <c r="BM442" s="162"/>
      <c r="BN442" s="162"/>
      <c r="BO442" s="162"/>
      <c r="BP442" s="162"/>
      <c r="BQ442" s="162"/>
      <c r="BR442" s="230"/>
      <c r="BS442" s="230"/>
      <c r="BT442" s="162"/>
      <c r="BU442" s="162"/>
      <c r="BV442" s="162"/>
      <c r="BW442" s="162"/>
      <c r="BX442" s="162"/>
      <c r="BY442" s="230"/>
      <c r="BZ442" s="230"/>
      <c r="CA442" s="162"/>
      <c r="CB442" s="162"/>
      <c r="CC442" s="162"/>
      <c r="CD442" s="162"/>
      <c r="CE442" s="162"/>
      <c r="CF442" s="230"/>
      <c r="CG442" s="230"/>
      <c r="CH442" s="162"/>
      <c r="CI442" s="162"/>
      <c r="CJ442" s="162"/>
      <c r="CK442" s="162"/>
      <c r="CL442" s="162"/>
      <c r="CM442" s="230"/>
      <c r="CN442" s="230"/>
      <c r="CO442" s="162"/>
      <c r="CP442" s="162"/>
      <c r="CQ442" s="162"/>
      <c r="CR442" s="162"/>
      <c r="CS442" s="162"/>
      <c r="CT442" s="230"/>
      <c r="CU442" s="230"/>
      <c r="CV442" s="162"/>
      <c r="CW442" s="162"/>
      <c r="CX442" s="162"/>
      <c r="CY442" s="162"/>
      <c r="CZ442" s="162"/>
      <c r="DA442" s="230"/>
      <c r="DB442" s="230"/>
      <c r="DC442" s="162"/>
      <c r="DD442" s="162"/>
      <c r="DE442" s="162"/>
      <c r="DF442" s="162"/>
      <c r="DG442" s="162"/>
      <c r="DH442" s="230"/>
      <c r="DI442" s="230"/>
      <c r="DJ442" s="162"/>
      <c r="DK442" s="162"/>
      <c r="DL442" s="146"/>
      <c r="DM442" s="380"/>
      <c r="DN442" s="372"/>
      <c r="DO442" s="372"/>
      <c r="DP442" s="372"/>
      <c r="DQ442" s="372"/>
      <c r="DR442" s="372"/>
      <c r="DS442" s="372"/>
      <c r="DT442" s="89"/>
      <c r="DU442" s="89"/>
      <c r="DV442" s="89"/>
      <c r="DW442" s="146"/>
      <c r="DX442" s="146"/>
      <c r="DY442" s="146"/>
      <c r="DZ442" s="146"/>
      <c r="EA442" s="146"/>
      <c r="EB442" s="146"/>
      <c r="EC442" s="146"/>
      <c r="ED442" s="146"/>
      <c r="EE442" s="146"/>
      <c r="EF442" s="146"/>
      <c r="EG442" s="146"/>
      <c r="EH442" s="146"/>
    </row>
    <row r="443" spans="1:138" x14ac:dyDescent="0.25">
      <c r="A443" s="147"/>
      <c r="B443" s="147"/>
      <c r="C443" s="160"/>
      <c r="D443" s="160"/>
      <c r="E443" s="169"/>
      <c r="F443" s="229"/>
      <c r="G443" s="165"/>
      <c r="H443" s="165"/>
      <c r="I443" s="163"/>
      <c r="J443" s="163"/>
      <c r="K443" s="162"/>
      <c r="L443" s="162"/>
      <c r="M443" s="162"/>
      <c r="N443" s="230"/>
      <c r="O443" s="230"/>
      <c r="P443" s="162"/>
      <c r="Q443" s="162"/>
      <c r="R443" s="162"/>
      <c r="S443" s="162"/>
      <c r="T443" s="162"/>
      <c r="U443" s="230"/>
      <c r="V443" s="230"/>
      <c r="W443" s="162"/>
      <c r="X443" s="162"/>
      <c r="Y443" s="162"/>
      <c r="Z443" s="162"/>
      <c r="AA443" s="162"/>
      <c r="AB443" s="230"/>
      <c r="AC443" s="230"/>
      <c r="AD443" s="162"/>
      <c r="AE443" s="162"/>
      <c r="AF443" s="162"/>
      <c r="AG443" s="162"/>
      <c r="AH443" s="162"/>
      <c r="AI443" s="230"/>
      <c r="AJ443" s="230"/>
      <c r="AK443" s="162"/>
      <c r="AL443" s="162"/>
      <c r="AM443" s="162"/>
      <c r="AN443" s="162"/>
      <c r="AO443" s="162"/>
      <c r="AP443" s="230"/>
      <c r="AQ443" s="230"/>
      <c r="AR443" s="162"/>
      <c r="AS443" s="162"/>
      <c r="AT443" s="162"/>
      <c r="AU443" s="162"/>
      <c r="AV443" s="162"/>
      <c r="AW443" s="230"/>
      <c r="AX443" s="230"/>
      <c r="AY443" s="162"/>
      <c r="AZ443" s="162"/>
      <c r="BA443" s="162"/>
      <c r="BB443" s="162"/>
      <c r="BC443" s="162"/>
      <c r="BD443" s="230"/>
      <c r="BE443" s="230"/>
      <c r="BF443" s="162"/>
      <c r="BG443" s="162"/>
      <c r="BH443" s="162"/>
      <c r="BI443" s="162"/>
      <c r="BJ443" s="162"/>
      <c r="BK443" s="230"/>
      <c r="BL443" s="230"/>
      <c r="BM443" s="162"/>
      <c r="BN443" s="162"/>
      <c r="BO443" s="162"/>
      <c r="BP443" s="162"/>
      <c r="BQ443" s="162"/>
      <c r="BR443" s="230"/>
      <c r="BS443" s="230"/>
      <c r="BT443" s="162"/>
      <c r="BU443" s="162"/>
      <c r="BV443" s="162"/>
      <c r="BW443" s="162"/>
      <c r="BX443" s="162"/>
      <c r="BY443" s="230"/>
      <c r="BZ443" s="230"/>
      <c r="CA443" s="162"/>
      <c r="CB443" s="162"/>
      <c r="CC443" s="162"/>
      <c r="CD443" s="162"/>
      <c r="CE443" s="162"/>
      <c r="CF443" s="230"/>
      <c r="CG443" s="230"/>
      <c r="CH443" s="162"/>
      <c r="CI443" s="162"/>
      <c r="CJ443" s="162"/>
      <c r="CK443" s="162"/>
      <c r="CL443" s="162"/>
      <c r="CM443" s="230"/>
      <c r="CN443" s="230"/>
      <c r="CO443" s="162"/>
      <c r="CP443" s="162"/>
      <c r="CQ443" s="162"/>
      <c r="CR443" s="162"/>
      <c r="CS443" s="162"/>
      <c r="CT443" s="230"/>
      <c r="CU443" s="230"/>
      <c r="CV443" s="162"/>
      <c r="CW443" s="162"/>
      <c r="CX443" s="162"/>
      <c r="CY443" s="162"/>
      <c r="CZ443" s="162"/>
      <c r="DA443" s="230"/>
      <c r="DB443" s="230"/>
      <c r="DC443" s="162"/>
      <c r="DD443" s="162"/>
      <c r="DE443" s="162"/>
      <c r="DF443" s="162"/>
      <c r="DG443" s="162"/>
      <c r="DH443" s="230"/>
      <c r="DI443" s="230"/>
      <c r="DJ443" s="162"/>
      <c r="DK443" s="162"/>
      <c r="DL443" s="146"/>
      <c r="DM443" s="88"/>
      <c r="DN443" s="88"/>
      <c r="DO443" s="88"/>
      <c r="DP443" s="88"/>
      <c r="DQ443" s="88"/>
      <c r="DR443" s="88"/>
      <c r="DS443" s="88"/>
      <c r="DT443" s="88"/>
      <c r="DU443" s="88"/>
      <c r="DV443" s="88"/>
      <c r="DW443" s="146"/>
      <c r="DX443" s="146"/>
      <c r="DY443" s="146"/>
      <c r="DZ443" s="146"/>
      <c r="EA443" s="146"/>
      <c r="EB443" s="146"/>
      <c r="EC443" s="146"/>
      <c r="ED443" s="146"/>
      <c r="EE443" s="146"/>
      <c r="EF443" s="146"/>
      <c r="EG443" s="146"/>
      <c r="EH443" s="146"/>
    </row>
    <row r="444" spans="1:138" x14ac:dyDescent="0.25">
      <c r="A444" s="147"/>
      <c r="B444" s="147"/>
      <c r="C444" s="160"/>
      <c r="D444" s="160"/>
      <c r="E444" s="169"/>
      <c r="F444" s="229"/>
      <c r="G444" s="165"/>
      <c r="H444" s="165"/>
      <c r="I444" s="163"/>
      <c r="J444" s="163"/>
      <c r="K444" s="162"/>
      <c r="L444" s="162"/>
      <c r="M444" s="162"/>
      <c r="N444" s="230"/>
      <c r="O444" s="230"/>
      <c r="P444" s="162"/>
      <c r="Q444" s="162"/>
      <c r="R444" s="162"/>
      <c r="S444" s="162"/>
      <c r="T444" s="162"/>
      <c r="U444" s="230"/>
      <c r="V444" s="230"/>
      <c r="W444" s="162"/>
      <c r="X444" s="162"/>
      <c r="Y444" s="162"/>
      <c r="Z444" s="162"/>
      <c r="AA444" s="162"/>
      <c r="AB444" s="230"/>
      <c r="AC444" s="230"/>
      <c r="AD444" s="162"/>
      <c r="AE444" s="162"/>
      <c r="AF444" s="162"/>
      <c r="AG444" s="162"/>
      <c r="AH444" s="162"/>
      <c r="AI444" s="230"/>
      <c r="AJ444" s="230"/>
      <c r="AK444" s="162"/>
      <c r="AL444" s="162"/>
      <c r="AM444" s="162"/>
      <c r="AN444" s="162"/>
      <c r="AO444" s="162"/>
      <c r="AP444" s="230"/>
      <c r="AQ444" s="230"/>
      <c r="AR444" s="162"/>
      <c r="AS444" s="162"/>
      <c r="AT444" s="162"/>
      <c r="AU444" s="162"/>
      <c r="AV444" s="162"/>
      <c r="AW444" s="230"/>
      <c r="AX444" s="230"/>
      <c r="AY444" s="162"/>
      <c r="AZ444" s="162"/>
      <c r="BA444" s="162"/>
      <c r="BB444" s="162"/>
      <c r="BC444" s="162"/>
      <c r="BD444" s="230"/>
      <c r="BE444" s="230"/>
      <c r="BF444" s="162"/>
      <c r="BG444" s="162"/>
      <c r="BH444" s="162"/>
      <c r="BI444" s="162"/>
      <c r="BJ444" s="162"/>
      <c r="BK444" s="230"/>
      <c r="BL444" s="230"/>
      <c r="BM444" s="162"/>
      <c r="BN444" s="162"/>
      <c r="BO444" s="162"/>
      <c r="BP444" s="162"/>
      <c r="BQ444" s="162"/>
      <c r="BR444" s="230"/>
      <c r="BS444" s="230"/>
      <c r="BT444" s="162"/>
      <c r="BU444" s="162"/>
      <c r="BV444" s="162"/>
      <c r="BW444" s="162"/>
      <c r="BX444" s="162"/>
      <c r="BY444" s="230"/>
      <c r="BZ444" s="230"/>
      <c r="CA444" s="162"/>
      <c r="CB444" s="162"/>
      <c r="CC444" s="162"/>
      <c r="CD444" s="162"/>
      <c r="CE444" s="162"/>
      <c r="CF444" s="230"/>
      <c r="CG444" s="230"/>
      <c r="CH444" s="162"/>
      <c r="CI444" s="162"/>
      <c r="CJ444" s="162"/>
      <c r="CK444" s="162"/>
      <c r="CL444" s="162"/>
      <c r="CM444" s="230"/>
      <c r="CN444" s="230"/>
      <c r="CO444" s="162"/>
      <c r="CP444" s="162"/>
      <c r="CQ444" s="162"/>
      <c r="CR444" s="162"/>
      <c r="CS444" s="162"/>
      <c r="CT444" s="230"/>
      <c r="CU444" s="230"/>
      <c r="CV444" s="162"/>
      <c r="CW444" s="162"/>
      <c r="CX444" s="162"/>
      <c r="CY444" s="162"/>
      <c r="CZ444" s="162"/>
      <c r="DA444" s="230"/>
      <c r="DB444" s="230"/>
      <c r="DC444" s="162"/>
      <c r="DD444" s="162"/>
      <c r="DE444" s="162"/>
      <c r="DF444" s="162"/>
      <c r="DG444" s="162"/>
      <c r="DH444" s="230"/>
      <c r="DI444" s="230"/>
      <c r="DJ444" s="162"/>
      <c r="DK444" s="162"/>
      <c r="DL444" s="146"/>
      <c r="DM444" s="371"/>
      <c r="DN444" s="372"/>
      <c r="DO444" s="372"/>
      <c r="DP444" s="372"/>
      <c r="DQ444" s="372"/>
      <c r="DR444" s="372"/>
      <c r="DS444" s="372"/>
      <c r="DT444" s="372"/>
      <c r="DU444" s="372"/>
      <c r="DV444" s="372"/>
      <c r="DW444" s="146"/>
      <c r="DX444" s="146"/>
      <c r="DY444" s="146"/>
      <c r="DZ444" s="146"/>
      <c r="EA444" s="146"/>
      <c r="EB444" s="146"/>
      <c r="EC444" s="146"/>
      <c r="ED444" s="146"/>
      <c r="EE444" s="146"/>
      <c r="EF444" s="146"/>
      <c r="EG444" s="146"/>
      <c r="EH444" s="146"/>
    </row>
    <row r="445" spans="1:138" x14ac:dyDescent="0.25">
      <c r="A445" s="147"/>
      <c r="B445" s="147"/>
      <c r="C445" s="160"/>
      <c r="D445" s="160"/>
      <c r="E445" s="169"/>
      <c r="F445" s="229"/>
      <c r="G445" s="165"/>
      <c r="H445" s="165"/>
      <c r="I445" s="163"/>
      <c r="J445" s="163"/>
      <c r="K445" s="162"/>
      <c r="L445" s="162"/>
      <c r="M445" s="162"/>
      <c r="N445" s="230"/>
      <c r="O445" s="230"/>
      <c r="P445" s="162"/>
      <c r="Q445" s="162"/>
      <c r="R445" s="162"/>
      <c r="S445" s="162"/>
      <c r="T445" s="162"/>
      <c r="U445" s="230"/>
      <c r="V445" s="230"/>
      <c r="W445" s="162"/>
      <c r="X445" s="162"/>
      <c r="Y445" s="162"/>
      <c r="Z445" s="162"/>
      <c r="AA445" s="162"/>
      <c r="AB445" s="230"/>
      <c r="AC445" s="230"/>
      <c r="AD445" s="162"/>
      <c r="AE445" s="162"/>
      <c r="AF445" s="162"/>
      <c r="AG445" s="162"/>
      <c r="AH445" s="162"/>
      <c r="AI445" s="230"/>
      <c r="AJ445" s="230"/>
      <c r="AK445" s="162"/>
      <c r="AL445" s="162"/>
      <c r="AM445" s="162"/>
      <c r="AN445" s="162"/>
      <c r="AO445" s="162"/>
      <c r="AP445" s="230"/>
      <c r="AQ445" s="230"/>
      <c r="AR445" s="162"/>
      <c r="AS445" s="162"/>
      <c r="AT445" s="162"/>
      <c r="AU445" s="162"/>
      <c r="AV445" s="162"/>
      <c r="AW445" s="230"/>
      <c r="AX445" s="230"/>
      <c r="AY445" s="162"/>
      <c r="AZ445" s="162"/>
      <c r="BA445" s="162"/>
      <c r="BB445" s="162"/>
      <c r="BC445" s="162"/>
      <c r="BD445" s="230"/>
      <c r="BE445" s="230"/>
      <c r="BF445" s="162"/>
      <c r="BG445" s="162"/>
      <c r="BH445" s="162"/>
      <c r="BI445" s="162"/>
      <c r="BJ445" s="162"/>
      <c r="BK445" s="230"/>
      <c r="BL445" s="230"/>
      <c r="BM445" s="162"/>
      <c r="BN445" s="162"/>
      <c r="BO445" s="162"/>
      <c r="BP445" s="162"/>
      <c r="BQ445" s="162"/>
      <c r="BR445" s="230"/>
      <c r="BS445" s="230"/>
      <c r="BT445" s="162"/>
      <c r="BU445" s="162"/>
      <c r="BV445" s="162"/>
      <c r="BW445" s="162"/>
      <c r="BX445" s="162"/>
      <c r="BY445" s="230"/>
      <c r="BZ445" s="230"/>
      <c r="CA445" s="162"/>
      <c r="CB445" s="162"/>
      <c r="CC445" s="162"/>
      <c r="CD445" s="162"/>
      <c r="CE445" s="162"/>
      <c r="CF445" s="230"/>
      <c r="CG445" s="230"/>
      <c r="CH445" s="162"/>
      <c r="CI445" s="162"/>
      <c r="CJ445" s="162"/>
      <c r="CK445" s="162"/>
      <c r="CL445" s="162"/>
      <c r="CM445" s="230"/>
      <c r="CN445" s="230"/>
      <c r="CO445" s="162"/>
      <c r="CP445" s="162"/>
      <c r="CQ445" s="162"/>
      <c r="CR445" s="162"/>
      <c r="CS445" s="162"/>
      <c r="CT445" s="230"/>
      <c r="CU445" s="230"/>
      <c r="CV445" s="162"/>
      <c r="CW445" s="162"/>
      <c r="CX445" s="162"/>
      <c r="CY445" s="162"/>
      <c r="CZ445" s="162"/>
      <c r="DA445" s="230"/>
      <c r="DB445" s="230"/>
      <c r="DC445" s="162"/>
      <c r="DD445" s="162"/>
      <c r="DE445" s="162"/>
      <c r="DF445" s="162"/>
      <c r="DG445" s="162"/>
      <c r="DH445" s="230"/>
      <c r="DI445" s="230"/>
      <c r="DJ445" s="162"/>
      <c r="DK445" s="162"/>
      <c r="DL445" s="146"/>
      <c r="DM445" s="371"/>
      <c r="DN445" s="372"/>
      <c r="DO445" s="372"/>
      <c r="DP445" s="372"/>
      <c r="DQ445" s="372"/>
      <c r="DR445" s="372"/>
      <c r="DS445" s="372"/>
      <c r="DT445" s="372"/>
      <c r="DU445" s="372"/>
      <c r="DV445" s="372"/>
      <c r="DW445" s="146"/>
      <c r="DX445" s="146"/>
      <c r="DY445" s="146"/>
      <c r="DZ445" s="146"/>
      <c r="EA445" s="146"/>
      <c r="EB445" s="146"/>
      <c r="EC445" s="146"/>
      <c r="ED445" s="146"/>
      <c r="EE445" s="146"/>
      <c r="EF445" s="146"/>
      <c r="EG445" s="146"/>
      <c r="EH445" s="146"/>
    </row>
    <row r="446" spans="1:138" x14ac:dyDescent="0.25">
      <c r="A446" s="147"/>
      <c r="B446" s="147"/>
      <c r="C446" s="160"/>
      <c r="D446" s="160"/>
      <c r="E446" s="169"/>
      <c r="F446" s="229"/>
      <c r="G446" s="165"/>
      <c r="H446" s="165"/>
      <c r="I446" s="163"/>
      <c r="J446" s="163"/>
      <c r="K446" s="162"/>
      <c r="L446" s="162"/>
      <c r="M446" s="162"/>
      <c r="N446" s="230"/>
      <c r="O446" s="230"/>
      <c r="P446" s="162"/>
      <c r="Q446" s="162"/>
      <c r="R446" s="162"/>
      <c r="S446" s="162"/>
      <c r="T446" s="162"/>
      <c r="U446" s="230"/>
      <c r="V446" s="230"/>
      <c r="W446" s="162"/>
      <c r="X446" s="162"/>
      <c r="Y446" s="162"/>
      <c r="Z446" s="162"/>
      <c r="AA446" s="162"/>
      <c r="AB446" s="230"/>
      <c r="AC446" s="230"/>
      <c r="AD446" s="162"/>
      <c r="AE446" s="162"/>
      <c r="AF446" s="162"/>
      <c r="AG446" s="162"/>
      <c r="AH446" s="162"/>
      <c r="AI446" s="230"/>
      <c r="AJ446" s="230"/>
      <c r="AK446" s="162"/>
      <c r="AL446" s="162"/>
      <c r="AM446" s="162"/>
      <c r="AN446" s="162"/>
      <c r="AO446" s="162"/>
      <c r="AP446" s="230"/>
      <c r="AQ446" s="230"/>
      <c r="AR446" s="162"/>
      <c r="AS446" s="162"/>
      <c r="AT446" s="162"/>
      <c r="AU446" s="162"/>
      <c r="AV446" s="162"/>
      <c r="AW446" s="230"/>
      <c r="AX446" s="230"/>
      <c r="AY446" s="162"/>
      <c r="AZ446" s="162"/>
      <c r="BA446" s="162"/>
      <c r="BB446" s="162"/>
      <c r="BC446" s="162"/>
      <c r="BD446" s="230"/>
      <c r="BE446" s="230"/>
      <c r="BF446" s="162"/>
      <c r="BG446" s="162"/>
      <c r="BH446" s="162"/>
      <c r="BI446" s="162"/>
      <c r="BJ446" s="162"/>
      <c r="BK446" s="230"/>
      <c r="BL446" s="230"/>
      <c r="BM446" s="162"/>
      <c r="BN446" s="162"/>
      <c r="BO446" s="162"/>
      <c r="BP446" s="162"/>
      <c r="BQ446" s="162"/>
      <c r="BR446" s="230"/>
      <c r="BS446" s="230"/>
      <c r="BT446" s="162"/>
      <c r="BU446" s="162"/>
      <c r="BV446" s="162"/>
      <c r="BW446" s="162"/>
      <c r="BX446" s="162"/>
      <c r="BY446" s="230"/>
      <c r="BZ446" s="230"/>
      <c r="CA446" s="162"/>
      <c r="CB446" s="162"/>
      <c r="CC446" s="162"/>
      <c r="CD446" s="162"/>
      <c r="CE446" s="162"/>
      <c r="CF446" s="230"/>
      <c r="CG446" s="230"/>
      <c r="CH446" s="162"/>
      <c r="CI446" s="162"/>
      <c r="CJ446" s="162"/>
      <c r="CK446" s="162"/>
      <c r="CL446" s="162"/>
      <c r="CM446" s="230"/>
      <c r="CN446" s="230"/>
      <c r="CO446" s="162"/>
      <c r="CP446" s="162"/>
      <c r="CQ446" s="162"/>
      <c r="CR446" s="162"/>
      <c r="CS446" s="162"/>
      <c r="CT446" s="230"/>
      <c r="CU446" s="230"/>
      <c r="CV446" s="162"/>
      <c r="CW446" s="162"/>
      <c r="CX446" s="162"/>
      <c r="CY446" s="162"/>
      <c r="CZ446" s="162"/>
      <c r="DA446" s="230"/>
      <c r="DB446" s="230"/>
      <c r="DC446" s="162"/>
      <c r="DD446" s="162"/>
      <c r="DE446" s="162"/>
      <c r="DF446" s="162"/>
      <c r="DG446" s="162"/>
      <c r="DH446" s="230"/>
      <c r="DI446" s="230"/>
      <c r="DJ446" s="162"/>
      <c r="DK446" s="162"/>
      <c r="DL446" s="226"/>
      <c r="DM446" s="380"/>
      <c r="DN446" s="372"/>
      <c r="DO446" s="372"/>
      <c r="DP446" s="372"/>
      <c r="DQ446" s="372"/>
      <c r="DR446" s="372"/>
      <c r="DS446" s="372"/>
      <c r="DT446" s="88"/>
      <c r="DU446" s="88"/>
      <c r="DV446" s="88"/>
      <c r="DW446" s="226"/>
      <c r="DX446" s="226"/>
      <c r="DY446" s="226"/>
      <c r="DZ446" s="226"/>
      <c r="EA446" s="226"/>
      <c r="EB446" s="226"/>
      <c r="EC446" s="226"/>
      <c r="ED446" s="226"/>
      <c r="EE446" s="226"/>
      <c r="EF446" s="226"/>
      <c r="EG446" s="226"/>
      <c r="EH446" s="226"/>
    </row>
    <row r="447" spans="1:138" x14ac:dyDescent="0.25">
      <c r="A447" s="147"/>
      <c r="B447" s="147"/>
      <c r="C447" s="160"/>
      <c r="D447" s="160"/>
      <c r="E447" s="169"/>
      <c r="F447" s="229"/>
      <c r="G447" s="165"/>
      <c r="H447" s="165"/>
      <c r="I447" s="163"/>
      <c r="J447" s="163"/>
      <c r="K447" s="162"/>
      <c r="L447" s="162"/>
      <c r="M447" s="162"/>
      <c r="N447" s="230"/>
      <c r="O447" s="230"/>
      <c r="P447" s="162"/>
      <c r="Q447" s="162"/>
      <c r="R447" s="162"/>
      <c r="S447" s="162"/>
      <c r="T447" s="162"/>
      <c r="U447" s="230"/>
      <c r="V447" s="230"/>
      <c r="W447" s="162"/>
      <c r="X447" s="162"/>
      <c r="Y447" s="162"/>
      <c r="Z447" s="162"/>
      <c r="AA447" s="162"/>
      <c r="AB447" s="230"/>
      <c r="AC447" s="230"/>
      <c r="AD447" s="162"/>
      <c r="AE447" s="162"/>
      <c r="AF447" s="162"/>
      <c r="AG447" s="162"/>
      <c r="AH447" s="162"/>
      <c r="AI447" s="230"/>
      <c r="AJ447" s="230"/>
      <c r="AK447" s="162"/>
      <c r="AL447" s="162"/>
      <c r="AM447" s="162"/>
      <c r="AN447" s="162"/>
      <c r="AO447" s="162"/>
      <c r="AP447" s="230"/>
      <c r="AQ447" s="230"/>
      <c r="AR447" s="162"/>
      <c r="AS447" s="162"/>
      <c r="AT447" s="162"/>
      <c r="AU447" s="162"/>
      <c r="AV447" s="162"/>
      <c r="AW447" s="230"/>
      <c r="AX447" s="230"/>
      <c r="AY447" s="162"/>
      <c r="AZ447" s="162"/>
      <c r="BA447" s="162"/>
      <c r="BB447" s="162"/>
      <c r="BC447" s="162"/>
      <c r="BD447" s="230"/>
      <c r="BE447" s="230"/>
      <c r="BF447" s="162"/>
      <c r="BG447" s="162"/>
      <c r="BH447" s="162"/>
      <c r="BI447" s="162"/>
      <c r="BJ447" s="162"/>
      <c r="BK447" s="230"/>
      <c r="BL447" s="230"/>
      <c r="BM447" s="162"/>
      <c r="BN447" s="162"/>
      <c r="BO447" s="162"/>
      <c r="BP447" s="162"/>
      <c r="BQ447" s="162"/>
      <c r="BR447" s="230"/>
      <c r="BS447" s="230"/>
      <c r="BT447" s="162"/>
      <c r="BU447" s="162"/>
      <c r="BV447" s="162"/>
      <c r="BW447" s="162"/>
      <c r="BX447" s="162"/>
      <c r="BY447" s="230"/>
      <c r="BZ447" s="230"/>
      <c r="CA447" s="162"/>
      <c r="CB447" s="162"/>
      <c r="CC447" s="162"/>
      <c r="CD447" s="162"/>
      <c r="CE447" s="162"/>
      <c r="CF447" s="230"/>
      <c r="CG447" s="230"/>
      <c r="CH447" s="162"/>
      <c r="CI447" s="162"/>
      <c r="CJ447" s="162"/>
      <c r="CK447" s="162"/>
      <c r="CL447" s="162"/>
      <c r="CM447" s="230"/>
      <c r="CN447" s="230"/>
      <c r="CO447" s="162"/>
      <c r="CP447" s="162"/>
      <c r="CQ447" s="162"/>
      <c r="CR447" s="162"/>
      <c r="CS447" s="162"/>
      <c r="CT447" s="230"/>
      <c r="CU447" s="230"/>
      <c r="CV447" s="162"/>
      <c r="CW447" s="162"/>
      <c r="CX447" s="162"/>
      <c r="CY447" s="162"/>
      <c r="CZ447" s="162"/>
      <c r="DA447" s="230"/>
      <c r="DB447" s="230"/>
      <c r="DC447" s="162"/>
      <c r="DD447" s="162"/>
      <c r="DE447" s="162"/>
      <c r="DF447" s="162"/>
      <c r="DG447" s="162"/>
      <c r="DH447" s="230"/>
      <c r="DI447" s="230"/>
      <c r="DJ447" s="162"/>
      <c r="DK447" s="162"/>
      <c r="DL447" s="146"/>
      <c r="DM447" s="380"/>
      <c r="DN447" s="372"/>
      <c r="DO447" s="372"/>
      <c r="DP447" s="372"/>
      <c r="DQ447" s="372"/>
      <c r="DR447" s="372"/>
      <c r="DS447" s="372"/>
      <c r="DT447" s="88"/>
      <c r="DU447" s="88"/>
      <c r="DV447" s="88"/>
      <c r="DW447" s="146"/>
      <c r="DX447" s="146"/>
      <c r="DY447" s="146"/>
      <c r="DZ447" s="146"/>
      <c r="EA447" s="146"/>
      <c r="EB447" s="146"/>
      <c r="EC447" s="146"/>
      <c r="ED447" s="146"/>
      <c r="EE447" s="146"/>
      <c r="EF447" s="146"/>
      <c r="EG447" s="146"/>
      <c r="EH447" s="146"/>
    </row>
    <row r="448" spans="1:138" x14ac:dyDescent="0.25">
      <c r="A448" s="147"/>
      <c r="B448" s="147"/>
      <c r="C448" s="160"/>
      <c r="D448" s="160"/>
      <c r="E448" s="169"/>
      <c r="F448" s="229"/>
      <c r="G448" s="165"/>
      <c r="H448" s="165"/>
      <c r="I448" s="163"/>
      <c r="J448" s="163"/>
      <c r="K448" s="162"/>
      <c r="L448" s="162"/>
      <c r="M448" s="162"/>
      <c r="N448" s="230"/>
      <c r="O448" s="230"/>
      <c r="P448" s="162"/>
      <c r="Q448" s="162"/>
      <c r="R448" s="162"/>
      <c r="S448" s="162"/>
      <c r="T448" s="162"/>
      <c r="U448" s="230"/>
      <c r="V448" s="230"/>
      <c r="W448" s="162"/>
      <c r="X448" s="162"/>
      <c r="Y448" s="162"/>
      <c r="Z448" s="162"/>
      <c r="AA448" s="162"/>
      <c r="AB448" s="230"/>
      <c r="AC448" s="230"/>
      <c r="AD448" s="162"/>
      <c r="AE448" s="162"/>
      <c r="AF448" s="162"/>
      <c r="AG448" s="162"/>
      <c r="AH448" s="162"/>
      <c r="AI448" s="230"/>
      <c r="AJ448" s="230"/>
      <c r="AK448" s="162"/>
      <c r="AL448" s="162"/>
      <c r="AM448" s="162"/>
      <c r="AN448" s="162"/>
      <c r="AO448" s="162"/>
      <c r="AP448" s="230"/>
      <c r="AQ448" s="230"/>
      <c r="AR448" s="162"/>
      <c r="AS448" s="162"/>
      <c r="AT448" s="162"/>
      <c r="AU448" s="162"/>
      <c r="AV448" s="162"/>
      <c r="AW448" s="230"/>
      <c r="AX448" s="230"/>
      <c r="AY448" s="162"/>
      <c r="AZ448" s="162"/>
      <c r="BA448" s="162"/>
      <c r="BB448" s="162"/>
      <c r="BC448" s="162"/>
      <c r="BD448" s="230"/>
      <c r="BE448" s="230"/>
      <c r="BF448" s="162"/>
      <c r="BG448" s="162"/>
      <c r="BH448" s="162"/>
      <c r="BI448" s="162"/>
      <c r="BJ448" s="162"/>
      <c r="BK448" s="230"/>
      <c r="BL448" s="230"/>
      <c r="BM448" s="162"/>
      <c r="BN448" s="162"/>
      <c r="BO448" s="162"/>
      <c r="BP448" s="162"/>
      <c r="BQ448" s="162"/>
      <c r="BR448" s="230"/>
      <c r="BS448" s="230"/>
      <c r="BT448" s="162"/>
      <c r="BU448" s="162"/>
      <c r="BV448" s="162"/>
      <c r="BW448" s="162"/>
      <c r="BX448" s="162"/>
      <c r="BY448" s="230"/>
      <c r="BZ448" s="230"/>
      <c r="CA448" s="162"/>
      <c r="CB448" s="162"/>
      <c r="CC448" s="162"/>
      <c r="CD448" s="162"/>
      <c r="CE448" s="162"/>
      <c r="CF448" s="230"/>
      <c r="CG448" s="230"/>
      <c r="CH448" s="162"/>
      <c r="CI448" s="162"/>
      <c r="CJ448" s="162"/>
      <c r="CK448" s="162"/>
      <c r="CL448" s="162"/>
      <c r="CM448" s="230"/>
      <c r="CN448" s="230"/>
      <c r="CO448" s="162"/>
      <c r="CP448" s="162"/>
      <c r="CQ448" s="162"/>
      <c r="CR448" s="162"/>
      <c r="CS448" s="162"/>
      <c r="CT448" s="230"/>
      <c r="CU448" s="230"/>
      <c r="CV448" s="162"/>
      <c r="CW448" s="162"/>
      <c r="CX448" s="162"/>
      <c r="CY448" s="162"/>
      <c r="CZ448" s="162"/>
      <c r="DA448" s="230"/>
      <c r="DB448" s="230"/>
      <c r="DC448" s="162"/>
      <c r="DD448" s="162"/>
      <c r="DE448" s="162"/>
      <c r="DF448" s="162"/>
      <c r="DG448" s="162"/>
      <c r="DH448" s="230"/>
      <c r="DI448" s="230"/>
      <c r="DJ448" s="162"/>
      <c r="DK448" s="162"/>
      <c r="DL448" s="146"/>
      <c r="DM448" s="380"/>
      <c r="DN448" s="372"/>
      <c r="DO448" s="372"/>
      <c r="DP448" s="372"/>
      <c r="DQ448" s="372"/>
      <c r="DR448" s="372"/>
      <c r="DS448" s="372"/>
      <c r="DT448" s="89"/>
      <c r="DU448" s="89"/>
      <c r="DV448" s="89"/>
      <c r="DW448" s="146"/>
      <c r="DX448" s="146"/>
      <c r="DY448" s="146"/>
      <c r="DZ448" s="146"/>
      <c r="EA448" s="146"/>
      <c r="EB448" s="146"/>
      <c r="EC448" s="146"/>
      <c r="ED448" s="146"/>
      <c r="EE448" s="146"/>
      <c r="EF448" s="146"/>
      <c r="EG448" s="146"/>
      <c r="EH448" s="146"/>
    </row>
    <row r="449" spans="1:138" x14ac:dyDescent="0.25">
      <c r="A449" s="147"/>
      <c r="B449" s="147"/>
      <c r="C449" s="160"/>
      <c r="D449" s="160"/>
      <c r="E449" s="169"/>
      <c r="F449" s="229"/>
      <c r="G449" s="165"/>
      <c r="H449" s="165"/>
      <c r="I449" s="163"/>
      <c r="J449" s="163"/>
      <c r="K449" s="162"/>
      <c r="L449" s="162"/>
      <c r="M449" s="162"/>
      <c r="N449" s="230"/>
      <c r="O449" s="230"/>
      <c r="P449" s="162"/>
      <c r="Q449" s="162"/>
      <c r="R449" s="162"/>
      <c r="S449" s="162"/>
      <c r="T449" s="162"/>
      <c r="U449" s="230"/>
      <c r="V449" s="230"/>
      <c r="W449" s="162"/>
      <c r="X449" s="162"/>
      <c r="Y449" s="162"/>
      <c r="Z449" s="162"/>
      <c r="AA449" s="162"/>
      <c r="AB449" s="230"/>
      <c r="AC449" s="230"/>
      <c r="AD449" s="162"/>
      <c r="AE449" s="162"/>
      <c r="AF449" s="162"/>
      <c r="AG449" s="162"/>
      <c r="AH449" s="162"/>
      <c r="AI449" s="230"/>
      <c r="AJ449" s="230"/>
      <c r="AK449" s="162"/>
      <c r="AL449" s="162"/>
      <c r="AM449" s="162"/>
      <c r="AN449" s="162"/>
      <c r="AO449" s="162"/>
      <c r="AP449" s="230"/>
      <c r="AQ449" s="230"/>
      <c r="AR449" s="162"/>
      <c r="AS449" s="162"/>
      <c r="AT449" s="162"/>
      <c r="AU449" s="162"/>
      <c r="AV449" s="162"/>
      <c r="AW449" s="230"/>
      <c r="AX449" s="230"/>
      <c r="AY449" s="162"/>
      <c r="AZ449" s="162"/>
      <c r="BA449" s="162"/>
      <c r="BB449" s="162"/>
      <c r="BC449" s="162"/>
      <c r="BD449" s="230"/>
      <c r="BE449" s="230"/>
      <c r="BF449" s="162"/>
      <c r="BG449" s="162"/>
      <c r="BH449" s="162"/>
      <c r="BI449" s="162"/>
      <c r="BJ449" s="162"/>
      <c r="BK449" s="230"/>
      <c r="BL449" s="230"/>
      <c r="BM449" s="162"/>
      <c r="BN449" s="162"/>
      <c r="BO449" s="162"/>
      <c r="BP449" s="162"/>
      <c r="BQ449" s="162"/>
      <c r="BR449" s="230"/>
      <c r="BS449" s="230"/>
      <c r="BT449" s="162"/>
      <c r="BU449" s="162"/>
      <c r="BV449" s="162"/>
      <c r="BW449" s="162"/>
      <c r="BX449" s="162"/>
      <c r="BY449" s="230"/>
      <c r="BZ449" s="230"/>
      <c r="CA449" s="162"/>
      <c r="CB449" s="162"/>
      <c r="CC449" s="162"/>
      <c r="CD449" s="162"/>
      <c r="CE449" s="162"/>
      <c r="CF449" s="230"/>
      <c r="CG449" s="230"/>
      <c r="CH449" s="162"/>
      <c r="CI449" s="162"/>
      <c r="CJ449" s="162"/>
      <c r="CK449" s="162"/>
      <c r="CL449" s="162"/>
      <c r="CM449" s="230"/>
      <c r="CN449" s="230"/>
      <c r="CO449" s="162"/>
      <c r="CP449" s="162"/>
      <c r="CQ449" s="162"/>
      <c r="CR449" s="162"/>
      <c r="CS449" s="162"/>
      <c r="CT449" s="230"/>
      <c r="CU449" s="230"/>
      <c r="CV449" s="162"/>
      <c r="CW449" s="162"/>
      <c r="CX449" s="162"/>
      <c r="CY449" s="162"/>
      <c r="CZ449" s="162"/>
      <c r="DA449" s="230"/>
      <c r="DB449" s="230"/>
      <c r="DC449" s="162"/>
      <c r="DD449" s="162"/>
      <c r="DE449" s="162"/>
      <c r="DF449" s="162"/>
      <c r="DG449" s="162"/>
      <c r="DH449" s="230"/>
      <c r="DI449" s="230"/>
      <c r="DJ449" s="162"/>
      <c r="DK449" s="162"/>
      <c r="DL449" s="146"/>
      <c r="DM449" s="88"/>
      <c r="DN449" s="88"/>
      <c r="DO449" s="88"/>
      <c r="DP449" s="88"/>
      <c r="DQ449" s="88"/>
      <c r="DR449" s="88"/>
      <c r="DS449" s="88"/>
      <c r="DT449" s="88"/>
      <c r="DU449" s="88"/>
      <c r="DV449" s="88"/>
      <c r="DW449" s="146"/>
      <c r="DX449" s="146"/>
      <c r="DY449" s="146"/>
      <c r="DZ449" s="146"/>
      <c r="EA449" s="146"/>
      <c r="EB449" s="146"/>
      <c r="EC449" s="146"/>
      <c r="ED449" s="146"/>
      <c r="EE449" s="146"/>
      <c r="EF449" s="146"/>
      <c r="EG449" s="146"/>
      <c r="EH449" s="146"/>
    </row>
    <row r="450" spans="1:138" x14ac:dyDescent="0.25">
      <c r="A450" s="147"/>
      <c r="B450" s="147"/>
      <c r="C450" s="160"/>
      <c r="D450" s="160"/>
      <c r="E450" s="169"/>
      <c r="F450" s="229"/>
      <c r="G450" s="165"/>
      <c r="H450" s="165"/>
      <c r="I450" s="163"/>
      <c r="J450" s="163"/>
      <c r="K450" s="162"/>
      <c r="L450" s="162"/>
      <c r="M450" s="162"/>
      <c r="N450" s="230"/>
      <c r="O450" s="230"/>
      <c r="P450" s="162"/>
      <c r="Q450" s="162"/>
      <c r="R450" s="162"/>
      <c r="S450" s="162"/>
      <c r="T450" s="162"/>
      <c r="U450" s="230"/>
      <c r="V450" s="230"/>
      <c r="W450" s="162"/>
      <c r="X450" s="162"/>
      <c r="Y450" s="162"/>
      <c r="Z450" s="162"/>
      <c r="AA450" s="162"/>
      <c r="AB450" s="230"/>
      <c r="AC450" s="230"/>
      <c r="AD450" s="162"/>
      <c r="AE450" s="162"/>
      <c r="AF450" s="162"/>
      <c r="AG450" s="162"/>
      <c r="AH450" s="162"/>
      <c r="AI450" s="230"/>
      <c r="AJ450" s="230"/>
      <c r="AK450" s="162"/>
      <c r="AL450" s="162"/>
      <c r="AM450" s="162"/>
      <c r="AN450" s="162"/>
      <c r="AO450" s="162"/>
      <c r="AP450" s="230"/>
      <c r="AQ450" s="230"/>
      <c r="AR450" s="162"/>
      <c r="AS450" s="162"/>
      <c r="AT450" s="162"/>
      <c r="AU450" s="162"/>
      <c r="AV450" s="162"/>
      <c r="AW450" s="230"/>
      <c r="AX450" s="230"/>
      <c r="AY450" s="162"/>
      <c r="AZ450" s="162"/>
      <c r="BA450" s="162"/>
      <c r="BB450" s="162"/>
      <c r="BC450" s="162"/>
      <c r="BD450" s="230"/>
      <c r="BE450" s="230"/>
      <c r="BF450" s="162"/>
      <c r="BG450" s="162"/>
      <c r="BH450" s="162"/>
      <c r="BI450" s="162"/>
      <c r="BJ450" s="162"/>
      <c r="BK450" s="230"/>
      <c r="BL450" s="230"/>
      <c r="BM450" s="162"/>
      <c r="BN450" s="162"/>
      <c r="BO450" s="162"/>
      <c r="BP450" s="162"/>
      <c r="BQ450" s="162"/>
      <c r="BR450" s="230"/>
      <c r="BS450" s="230"/>
      <c r="BT450" s="162"/>
      <c r="BU450" s="162"/>
      <c r="BV450" s="162"/>
      <c r="BW450" s="162"/>
      <c r="BX450" s="162"/>
      <c r="BY450" s="230"/>
      <c r="BZ450" s="230"/>
      <c r="CA450" s="162"/>
      <c r="CB450" s="162"/>
      <c r="CC450" s="162"/>
      <c r="CD450" s="162"/>
      <c r="CE450" s="162"/>
      <c r="CF450" s="230"/>
      <c r="CG450" s="230"/>
      <c r="CH450" s="162"/>
      <c r="CI450" s="162"/>
      <c r="CJ450" s="162"/>
      <c r="CK450" s="162"/>
      <c r="CL450" s="162"/>
      <c r="CM450" s="230"/>
      <c r="CN450" s="230"/>
      <c r="CO450" s="162"/>
      <c r="CP450" s="162"/>
      <c r="CQ450" s="162"/>
      <c r="CR450" s="162"/>
      <c r="CS450" s="162"/>
      <c r="CT450" s="230"/>
      <c r="CU450" s="230"/>
      <c r="CV450" s="162"/>
      <c r="CW450" s="162"/>
      <c r="CX450" s="162"/>
      <c r="CY450" s="162"/>
      <c r="CZ450" s="162"/>
      <c r="DA450" s="230"/>
      <c r="DB450" s="230"/>
      <c r="DC450" s="162"/>
      <c r="DD450" s="162"/>
      <c r="DE450" s="162"/>
      <c r="DF450" s="162"/>
      <c r="DG450" s="162"/>
      <c r="DH450" s="230"/>
      <c r="DI450" s="230"/>
      <c r="DJ450" s="162"/>
      <c r="DK450" s="162"/>
      <c r="DL450" s="146"/>
      <c r="DM450" s="371"/>
      <c r="DN450" s="372"/>
      <c r="DO450" s="372"/>
      <c r="DP450" s="372"/>
      <c r="DQ450" s="372"/>
      <c r="DR450" s="372"/>
      <c r="DS450" s="372"/>
      <c r="DT450" s="372"/>
      <c r="DU450" s="372"/>
      <c r="DV450" s="372"/>
      <c r="DW450" s="146"/>
      <c r="DX450" s="146"/>
      <c r="DY450" s="146"/>
      <c r="DZ450" s="146"/>
      <c r="EA450" s="146"/>
      <c r="EB450" s="146"/>
      <c r="EC450" s="146"/>
      <c r="ED450" s="146"/>
      <c r="EE450" s="146"/>
      <c r="EF450" s="146"/>
      <c r="EG450" s="146"/>
      <c r="EH450" s="146"/>
    </row>
    <row r="451" spans="1:138" x14ac:dyDescent="0.25">
      <c r="A451" s="147"/>
      <c r="B451" s="147"/>
      <c r="C451" s="160"/>
      <c r="D451" s="160"/>
      <c r="E451" s="169"/>
      <c r="F451" s="229"/>
      <c r="G451" s="165"/>
      <c r="H451" s="165"/>
      <c r="I451" s="163"/>
      <c r="J451" s="163"/>
      <c r="K451" s="162"/>
      <c r="L451" s="162"/>
      <c r="M451" s="162"/>
      <c r="N451" s="230"/>
      <c r="O451" s="230"/>
      <c r="P451" s="162"/>
      <c r="Q451" s="162"/>
      <c r="R451" s="162"/>
      <c r="S451" s="162"/>
      <c r="T451" s="162"/>
      <c r="U451" s="230"/>
      <c r="V451" s="230"/>
      <c r="W451" s="162"/>
      <c r="X451" s="162"/>
      <c r="Y451" s="162"/>
      <c r="Z451" s="162"/>
      <c r="AA451" s="162"/>
      <c r="AB451" s="230"/>
      <c r="AC451" s="230"/>
      <c r="AD451" s="162"/>
      <c r="AE451" s="162"/>
      <c r="AF451" s="162"/>
      <c r="AG451" s="162"/>
      <c r="AH451" s="162"/>
      <c r="AI451" s="230"/>
      <c r="AJ451" s="230"/>
      <c r="AK451" s="162"/>
      <c r="AL451" s="162"/>
      <c r="AM451" s="162"/>
      <c r="AN451" s="162"/>
      <c r="AO451" s="162"/>
      <c r="AP451" s="230"/>
      <c r="AQ451" s="230"/>
      <c r="AR451" s="162"/>
      <c r="AS451" s="162"/>
      <c r="AT451" s="162"/>
      <c r="AU451" s="162"/>
      <c r="AV451" s="162"/>
      <c r="AW451" s="230"/>
      <c r="AX451" s="230"/>
      <c r="AY451" s="162"/>
      <c r="AZ451" s="162"/>
      <c r="BA451" s="162"/>
      <c r="BB451" s="162"/>
      <c r="BC451" s="162"/>
      <c r="BD451" s="230"/>
      <c r="BE451" s="230"/>
      <c r="BF451" s="162"/>
      <c r="BG451" s="162"/>
      <c r="BH451" s="162"/>
      <c r="BI451" s="162"/>
      <c r="BJ451" s="162"/>
      <c r="BK451" s="230"/>
      <c r="BL451" s="230"/>
      <c r="BM451" s="162"/>
      <c r="BN451" s="162"/>
      <c r="BO451" s="162"/>
      <c r="BP451" s="162"/>
      <c r="BQ451" s="162"/>
      <c r="BR451" s="230"/>
      <c r="BS451" s="230"/>
      <c r="BT451" s="162"/>
      <c r="BU451" s="162"/>
      <c r="BV451" s="162"/>
      <c r="BW451" s="162"/>
      <c r="BX451" s="162"/>
      <c r="BY451" s="230"/>
      <c r="BZ451" s="230"/>
      <c r="CA451" s="162"/>
      <c r="CB451" s="162"/>
      <c r="CC451" s="162"/>
      <c r="CD451" s="162"/>
      <c r="CE451" s="162"/>
      <c r="CF451" s="230"/>
      <c r="CG451" s="230"/>
      <c r="CH451" s="162"/>
      <c r="CI451" s="162"/>
      <c r="CJ451" s="162"/>
      <c r="CK451" s="162"/>
      <c r="CL451" s="162"/>
      <c r="CM451" s="230"/>
      <c r="CN451" s="230"/>
      <c r="CO451" s="162"/>
      <c r="CP451" s="162"/>
      <c r="CQ451" s="162"/>
      <c r="CR451" s="162"/>
      <c r="CS451" s="162"/>
      <c r="CT451" s="230"/>
      <c r="CU451" s="230"/>
      <c r="CV451" s="162"/>
      <c r="CW451" s="162"/>
      <c r="CX451" s="162"/>
      <c r="CY451" s="162"/>
      <c r="CZ451" s="162"/>
      <c r="DA451" s="230"/>
      <c r="DB451" s="230"/>
      <c r="DC451" s="162"/>
      <c r="DD451" s="162"/>
      <c r="DE451" s="162"/>
      <c r="DF451" s="162"/>
      <c r="DG451" s="162"/>
      <c r="DH451" s="230"/>
      <c r="DI451" s="230"/>
      <c r="DJ451" s="162"/>
      <c r="DK451" s="162"/>
      <c r="DL451" s="146"/>
      <c r="DM451" s="371"/>
      <c r="DN451" s="372"/>
      <c r="DO451" s="372"/>
      <c r="DP451" s="372"/>
      <c r="DQ451" s="372"/>
      <c r="DR451" s="372"/>
      <c r="DS451" s="372"/>
      <c r="DT451" s="372"/>
      <c r="DU451" s="372"/>
      <c r="DV451" s="372"/>
      <c r="DW451" s="146"/>
      <c r="DX451" s="146"/>
      <c r="DY451" s="146"/>
      <c r="DZ451" s="146"/>
      <c r="EA451" s="146"/>
      <c r="EB451" s="146"/>
      <c r="EC451" s="146"/>
      <c r="ED451" s="146"/>
      <c r="EE451" s="146"/>
      <c r="EF451" s="146"/>
      <c r="EG451" s="146"/>
      <c r="EH451" s="146"/>
    </row>
    <row r="452" spans="1:138" x14ac:dyDescent="0.25">
      <c r="A452" s="147"/>
      <c r="B452" s="147"/>
      <c r="C452" s="160"/>
      <c r="D452" s="160"/>
      <c r="E452" s="169"/>
      <c r="F452" s="229"/>
      <c r="G452" s="165"/>
      <c r="H452" s="165"/>
      <c r="I452" s="163"/>
      <c r="J452" s="163"/>
      <c r="K452" s="162"/>
      <c r="L452" s="162"/>
      <c r="M452" s="162"/>
      <c r="N452" s="230"/>
      <c r="O452" s="230"/>
      <c r="P452" s="162"/>
      <c r="Q452" s="162"/>
      <c r="R452" s="162"/>
      <c r="S452" s="162"/>
      <c r="T452" s="162"/>
      <c r="U452" s="230"/>
      <c r="V452" s="230"/>
      <c r="W452" s="162"/>
      <c r="X452" s="162"/>
      <c r="Y452" s="162"/>
      <c r="Z452" s="162"/>
      <c r="AA452" s="162"/>
      <c r="AB452" s="230"/>
      <c r="AC452" s="230"/>
      <c r="AD452" s="162"/>
      <c r="AE452" s="162"/>
      <c r="AF452" s="162"/>
      <c r="AG452" s="162"/>
      <c r="AH452" s="162"/>
      <c r="AI452" s="230"/>
      <c r="AJ452" s="230"/>
      <c r="AK452" s="162"/>
      <c r="AL452" s="162"/>
      <c r="AM452" s="162"/>
      <c r="AN452" s="162"/>
      <c r="AO452" s="162"/>
      <c r="AP452" s="230"/>
      <c r="AQ452" s="230"/>
      <c r="AR452" s="162"/>
      <c r="AS452" s="162"/>
      <c r="AT452" s="162"/>
      <c r="AU452" s="162"/>
      <c r="AV452" s="162"/>
      <c r="AW452" s="230"/>
      <c r="AX452" s="230"/>
      <c r="AY452" s="162"/>
      <c r="AZ452" s="162"/>
      <c r="BA452" s="162"/>
      <c r="BB452" s="162"/>
      <c r="BC452" s="162"/>
      <c r="BD452" s="230"/>
      <c r="BE452" s="230"/>
      <c r="BF452" s="162"/>
      <c r="BG452" s="162"/>
      <c r="BH452" s="162"/>
      <c r="BI452" s="162"/>
      <c r="BJ452" s="162"/>
      <c r="BK452" s="230"/>
      <c r="BL452" s="230"/>
      <c r="BM452" s="162"/>
      <c r="BN452" s="162"/>
      <c r="BO452" s="162"/>
      <c r="BP452" s="162"/>
      <c r="BQ452" s="162"/>
      <c r="BR452" s="230"/>
      <c r="BS452" s="230"/>
      <c r="BT452" s="162"/>
      <c r="BU452" s="162"/>
      <c r="BV452" s="162"/>
      <c r="BW452" s="162"/>
      <c r="BX452" s="162"/>
      <c r="BY452" s="230"/>
      <c r="BZ452" s="230"/>
      <c r="CA452" s="162"/>
      <c r="CB452" s="162"/>
      <c r="CC452" s="162"/>
      <c r="CD452" s="162"/>
      <c r="CE452" s="162"/>
      <c r="CF452" s="230"/>
      <c r="CG452" s="230"/>
      <c r="CH452" s="162"/>
      <c r="CI452" s="162"/>
      <c r="CJ452" s="162"/>
      <c r="CK452" s="162"/>
      <c r="CL452" s="162"/>
      <c r="CM452" s="230"/>
      <c r="CN452" s="230"/>
      <c r="CO452" s="162"/>
      <c r="CP452" s="162"/>
      <c r="CQ452" s="162"/>
      <c r="CR452" s="162"/>
      <c r="CS452" s="162"/>
      <c r="CT452" s="230"/>
      <c r="CU452" s="230"/>
      <c r="CV452" s="162"/>
      <c r="CW452" s="162"/>
      <c r="CX452" s="162"/>
      <c r="CY452" s="162"/>
      <c r="CZ452" s="162"/>
      <c r="DA452" s="230"/>
      <c r="DB452" s="230"/>
      <c r="DC452" s="162"/>
      <c r="DD452" s="162"/>
      <c r="DE452" s="162"/>
      <c r="DF452" s="162"/>
      <c r="DG452" s="162"/>
      <c r="DH452" s="230"/>
      <c r="DI452" s="230"/>
      <c r="DJ452" s="162"/>
      <c r="DK452" s="162"/>
      <c r="DL452" s="226"/>
      <c r="DM452" s="380"/>
      <c r="DN452" s="372"/>
      <c r="DO452" s="372"/>
      <c r="DP452" s="372"/>
      <c r="DQ452" s="372"/>
      <c r="DR452" s="372"/>
      <c r="DS452" s="372"/>
      <c r="DT452" s="88"/>
      <c r="DU452" s="88"/>
      <c r="DV452" s="88"/>
      <c r="DW452" s="226"/>
      <c r="DX452" s="226"/>
      <c r="DY452" s="226"/>
      <c r="DZ452" s="226"/>
      <c r="EA452" s="226"/>
      <c r="EB452" s="226"/>
      <c r="EC452" s="226"/>
      <c r="ED452" s="226"/>
      <c r="EE452" s="226"/>
      <c r="EF452" s="226"/>
      <c r="EG452" s="226"/>
      <c r="EH452" s="226"/>
    </row>
    <row r="453" spans="1:138" x14ac:dyDescent="0.25">
      <c r="A453" s="147"/>
      <c r="B453" s="147"/>
      <c r="C453" s="160"/>
      <c r="D453" s="160"/>
      <c r="E453" s="169"/>
      <c r="F453" s="229"/>
      <c r="G453" s="165"/>
      <c r="H453" s="165"/>
      <c r="I453" s="163"/>
      <c r="J453" s="163"/>
      <c r="K453" s="162"/>
      <c r="L453" s="162"/>
      <c r="M453" s="162"/>
      <c r="N453" s="230"/>
      <c r="O453" s="230"/>
      <c r="P453" s="162"/>
      <c r="Q453" s="162"/>
      <c r="R453" s="162"/>
      <c r="S453" s="162"/>
      <c r="T453" s="162"/>
      <c r="U453" s="230"/>
      <c r="V453" s="230"/>
      <c r="W453" s="162"/>
      <c r="X453" s="162"/>
      <c r="Y453" s="162"/>
      <c r="Z453" s="162"/>
      <c r="AA453" s="162"/>
      <c r="AB453" s="230"/>
      <c r="AC453" s="230"/>
      <c r="AD453" s="162"/>
      <c r="AE453" s="162"/>
      <c r="AF453" s="162"/>
      <c r="AG453" s="162"/>
      <c r="AH453" s="162"/>
      <c r="AI453" s="230"/>
      <c r="AJ453" s="230"/>
      <c r="AK453" s="162"/>
      <c r="AL453" s="162"/>
      <c r="AM453" s="162"/>
      <c r="AN453" s="162"/>
      <c r="AO453" s="162"/>
      <c r="AP453" s="230"/>
      <c r="AQ453" s="230"/>
      <c r="AR453" s="162"/>
      <c r="AS453" s="162"/>
      <c r="AT453" s="162"/>
      <c r="AU453" s="162"/>
      <c r="AV453" s="162"/>
      <c r="AW453" s="230"/>
      <c r="AX453" s="230"/>
      <c r="AY453" s="162"/>
      <c r="AZ453" s="162"/>
      <c r="BA453" s="162"/>
      <c r="BB453" s="162"/>
      <c r="BC453" s="162"/>
      <c r="BD453" s="230"/>
      <c r="BE453" s="230"/>
      <c r="BF453" s="162"/>
      <c r="BG453" s="162"/>
      <c r="BH453" s="162"/>
      <c r="BI453" s="162"/>
      <c r="BJ453" s="162"/>
      <c r="BK453" s="230"/>
      <c r="BL453" s="230"/>
      <c r="BM453" s="162"/>
      <c r="BN453" s="162"/>
      <c r="BO453" s="162"/>
      <c r="BP453" s="162"/>
      <c r="BQ453" s="162"/>
      <c r="BR453" s="230"/>
      <c r="BS453" s="230"/>
      <c r="BT453" s="162"/>
      <c r="BU453" s="162"/>
      <c r="BV453" s="162"/>
      <c r="BW453" s="162"/>
      <c r="BX453" s="162"/>
      <c r="BY453" s="230"/>
      <c r="BZ453" s="230"/>
      <c r="CA453" s="162"/>
      <c r="CB453" s="162"/>
      <c r="CC453" s="162"/>
      <c r="CD453" s="162"/>
      <c r="CE453" s="162"/>
      <c r="CF453" s="230"/>
      <c r="CG453" s="230"/>
      <c r="CH453" s="162"/>
      <c r="CI453" s="162"/>
      <c r="CJ453" s="162"/>
      <c r="CK453" s="162"/>
      <c r="CL453" s="162"/>
      <c r="CM453" s="230"/>
      <c r="CN453" s="230"/>
      <c r="CO453" s="162"/>
      <c r="CP453" s="162"/>
      <c r="CQ453" s="162"/>
      <c r="CR453" s="162"/>
      <c r="CS453" s="162"/>
      <c r="CT453" s="230"/>
      <c r="CU453" s="230"/>
      <c r="CV453" s="162"/>
      <c r="CW453" s="162"/>
      <c r="CX453" s="162"/>
      <c r="CY453" s="162"/>
      <c r="CZ453" s="162"/>
      <c r="DA453" s="230"/>
      <c r="DB453" s="230"/>
      <c r="DC453" s="162"/>
      <c r="DD453" s="162"/>
      <c r="DE453" s="162"/>
      <c r="DF453" s="162"/>
      <c r="DG453" s="162"/>
      <c r="DH453" s="230"/>
      <c r="DI453" s="230"/>
      <c r="DJ453" s="162"/>
      <c r="DK453" s="162"/>
      <c r="DL453" s="50"/>
      <c r="DM453" s="380"/>
      <c r="DN453" s="372"/>
      <c r="DO453" s="372"/>
      <c r="DP453" s="372"/>
      <c r="DQ453" s="372"/>
      <c r="DR453" s="372"/>
      <c r="DS453" s="372"/>
      <c r="DT453" s="88"/>
      <c r="DU453" s="88"/>
      <c r="DV453" s="88"/>
      <c r="DW453" s="50"/>
      <c r="DX453" s="50"/>
      <c r="DY453" s="50"/>
      <c r="DZ453" s="50"/>
      <c r="EA453" s="50"/>
      <c r="EB453" s="50"/>
      <c r="EC453" s="50"/>
      <c r="ED453" s="50"/>
      <c r="EE453" s="50"/>
      <c r="EF453" s="50"/>
      <c r="EG453" s="50"/>
      <c r="EH453" s="50"/>
    </row>
    <row r="454" spans="1:138" x14ac:dyDescent="0.25">
      <c r="A454" s="147"/>
      <c r="B454" s="147"/>
      <c r="C454" s="160"/>
      <c r="D454" s="160"/>
      <c r="E454" s="169"/>
      <c r="F454" s="229"/>
      <c r="G454" s="165"/>
      <c r="H454" s="165"/>
      <c r="I454" s="163"/>
      <c r="J454" s="163"/>
      <c r="K454" s="162"/>
      <c r="L454" s="162"/>
      <c r="M454" s="162"/>
      <c r="N454" s="230"/>
      <c r="O454" s="230"/>
      <c r="P454" s="162"/>
      <c r="Q454" s="162"/>
      <c r="R454" s="162"/>
      <c r="S454" s="162"/>
      <c r="T454" s="162"/>
      <c r="U454" s="230"/>
      <c r="V454" s="230"/>
      <c r="W454" s="162"/>
      <c r="X454" s="162"/>
      <c r="Y454" s="162"/>
      <c r="Z454" s="162"/>
      <c r="AA454" s="162"/>
      <c r="AB454" s="230"/>
      <c r="AC454" s="230"/>
      <c r="AD454" s="162"/>
      <c r="AE454" s="162"/>
      <c r="AF454" s="162"/>
      <c r="AG454" s="162"/>
      <c r="AH454" s="162"/>
      <c r="AI454" s="230"/>
      <c r="AJ454" s="230"/>
      <c r="AK454" s="162"/>
      <c r="AL454" s="162"/>
      <c r="AM454" s="162"/>
      <c r="AN454" s="162"/>
      <c r="AO454" s="162"/>
      <c r="AP454" s="230"/>
      <c r="AQ454" s="230"/>
      <c r="AR454" s="162"/>
      <c r="AS454" s="162"/>
      <c r="AT454" s="162"/>
      <c r="AU454" s="162"/>
      <c r="AV454" s="162"/>
      <c r="AW454" s="230"/>
      <c r="AX454" s="230"/>
      <c r="AY454" s="162"/>
      <c r="AZ454" s="162"/>
      <c r="BA454" s="162"/>
      <c r="BB454" s="162"/>
      <c r="BC454" s="162"/>
      <c r="BD454" s="230"/>
      <c r="BE454" s="230"/>
      <c r="BF454" s="162"/>
      <c r="BG454" s="162"/>
      <c r="BH454" s="162"/>
      <c r="BI454" s="162"/>
      <c r="BJ454" s="162"/>
      <c r="BK454" s="230"/>
      <c r="BL454" s="230"/>
      <c r="BM454" s="162"/>
      <c r="BN454" s="162"/>
      <c r="BO454" s="162"/>
      <c r="BP454" s="162"/>
      <c r="BQ454" s="162"/>
      <c r="BR454" s="230"/>
      <c r="BS454" s="230"/>
      <c r="BT454" s="162"/>
      <c r="BU454" s="162"/>
      <c r="BV454" s="162"/>
      <c r="BW454" s="162"/>
      <c r="BX454" s="162"/>
      <c r="BY454" s="230"/>
      <c r="BZ454" s="230"/>
      <c r="CA454" s="162"/>
      <c r="CB454" s="162"/>
      <c r="CC454" s="162"/>
      <c r="CD454" s="162"/>
      <c r="CE454" s="162"/>
      <c r="CF454" s="230"/>
      <c r="CG454" s="230"/>
      <c r="CH454" s="162"/>
      <c r="CI454" s="162"/>
      <c r="CJ454" s="162"/>
      <c r="CK454" s="162"/>
      <c r="CL454" s="162"/>
      <c r="CM454" s="230"/>
      <c r="CN454" s="230"/>
      <c r="CO454" s="162"/>
      <c r="CP454" s="162"/>
      <c r="CQ454" s="162"/>
      <c r="CR454" s="162"/>
      <c r="CS454" s="162"/>
      <c r="CT454" s="230"/>
      <c r="CU454" s="230"/>
      <c r="CV454" s="162"/>
      <c r="CW454" s="162"/>
      <c r="CX454" s="162"/>
      <c r="CY454" s="162"/>
      <c r="CZ454" s="162"/>
      <c r="DA454" s="230"/>
      <c r="DB454" s="230"/>
      <c r="DC454" s="162"/>
      <c r="DD454" s="162"/>
      <c r="DE454" s="162"/>
      <c r="DF454" s="162"/>
      <c r="DG454" s="162"/>
      <c r="DH454" s="230"/>
      <c r="DI454" s="230"/>
      <c r="DJ454" s="162"/>
      <c r="DK454" s="162"/>
      <c r="DL454" s="75"/>
      <c r="DM454" s="380"/>
      <c r="DN454" s="372"/>
      <c r="DO454" s="372"/>
      <c r="DP454" s="372"/>
      <c r="DQ454" s="372"/>
      <c r="DR454" s="372"/>
      <c r="DS454" s="372"/>
      <c r="DT454" s="146"/>
      <c r="DU454" s="146"/>
      <c r="DV454" s="146"/>
      <c r="DW454" s="75"/>
      <c r="DX454" s="75"/>
      <c r="DY454" s="75"/>
      <c r="DZ454" s="75"/>
      <c r="EA454" s="75"/>
      <c r="EB454" s="75"/>
      <c r="EC454" s="75"/>
      <c r="ED454" s="75"/>
      <c r="EE454" s="75"/>
      <c r="EF454" s="75"/>
      <c r="EG454" s="75"/>
      <c r="EH454" s="75"/>
    </row>
    <row r="455" spans="1:138" x14ac:dyDescent="0.25">
      <c r="A455" s="147"/>
      <c r="B455" s="147"/>
      <c r="C455" s="160"/>
      <c r="D455" s="160"/>
      <c r="E455" s="169"/>
      <c r="F455" s="229"/>
      <c r="G455" s="165"/>
      <c r="H455" s="165"/>
      <c r="I455" s="163"/>
      <c r="J455" s="163"/>
      <c r="K455" s="162"/>
      <c r="L455" s="162"/>
      <c r="M455" s="162"/>
      <c r="N455" s="230"/>
      <c r="O455" s="230"/>
      <c r="P455" s="162"/>
      <c r="Q455" s="162"/>
      <c r="R455" s="162"/>
      <c r="S455" s="162"/>
      <c r="T455" s="162"/>
      <c r="U455" s="230"/>
      <c r="V455" s="230"/>
      <c r="W455" s="162"/>
      <c r="X455" s="162"/>
      <c r="Y455" s="162"/>
      <c r="Z455" s="162"/>
      <c r="AA455" s="162"/>
      <c r="AB455" s="230"/>
      <c r="AC455" s="230"/>
      <c r="AD455" s="162"/>
      <c r="AE455" s="162"/>
      <c r="AF455" s="162"/>
      <c r="AG455" s="162"/>
      <c r="AH455" s="162"/>
      <c r="AI455" s="230"/>
      <c r="AJ455" s="230"/>
      <c r="AK455" s="162"/>
      <c r="AL455" s="162"/>
      <c r="AM455" s="162"/>
      <c r="AN455" s="162"/>
      <c r="AO455" s="162"/>
      <c r="AP455" s="230"/>
      <c r="AQ455" s="230"/>
      <c r="AR455" s="162"/>
      <c r="AS455" s="162"/>
      <c r="AT455" s="162"/>
      <c r="AU455" s="162"/>
      <c r="AV455" s="162"/>
      <c r="AW455" s="230"/>
      <c r="AX455" s="230"/>
      <c r="AY455" s="162"/>
      <c r="AZ455" s="162"/>
      <c r="BA455" s="162"/>
      <c r="BB455" s="162"/>
      <c r="BC455" s="162"/>
      <c r="BD455" s="230"/>
      <c r="BE455" s="230"/>
      <c r="BF455" s="162"/>
      <c r="BG455" s="162"/>
      <c r="BH455" s="162"/>
      <c r="BI455" s="162"/>
      <c r="BJ455" s="162"/>
      <c r="BK455" s="230"/>
      <c r="BL455" s="230"/>
      <c r="BM455" s="162"/>
      <c r="BN455" s="162"/>
      <c r="BO455" s="162"/>
      <c r="BP455" s="162"/>
      <c r="BQ455" s="162"/>
      <c r="BR455" s="230"/>
      <c r="BS455" s="230"/>
      <c r="BT455" s="162"/>
      <c r="BU455" s="162"/>
      <c r="BV455" s="162"/>
      <c r="BW455" s="162"/>
      <c r="BX455" s="162"/>
      <c r="BY455" s="230"/>
      <c r="BZ455" s="230"/>
      <c r="CA455" s="162"/>
      <c r="CB455" s="162"/>
      <c r="CC455" s="162"/>
      <c r="CD455" s="162"/>
      <c r="CE455" s="162"/>
      <c r="CF455" s="230"/>
      <c r="CG455" s="230"/>
      <c r="CH455" s="162"/>
      <c r="CI455" s="162"/>
      <c r="CJ455" s="162"/>
      <c r="CK455" s="162"/>
      <c r="CL455" s="162"/>
      <c r="CM455" s="230"/>
      <c r="CN455" s="230"/>
      <c r="CO455" s="162"/>
      <c r="CP455" s="162"/>
      <c r="CQ455" s="162"/>
      <c r="CR455" s="162"/>
      <c r="CS455" s="162"/>
      <c r="CT455" s="230"/>
      <c r="CU455" s="230"/>
      <c r="CV455" s="162"/>
      <c r="CW455" s="162"/>
      <c r="CX455" s="162"/>
      <c r="CY455" s="162"/>
      <c r="CZ455" s="162"/>
      <c r="DA455" s="230"/>
      <c r="DB455" s="230"/>
      <c r="DC455" s="162"/>
      <c r="DD455" s="162"/>
      <c r="DE455" s="162"/>
      <c r="DF455" s="162"/>
      <c r="DG455" s="162"/>
      <c r="DH455" s="230"/>
      <c r="DI455" s="230"/>
      <c r="DJ455" s="162"/>
      <c r="DK455" s="162"/>
      <c r="DL455" s="75"/>
      <c r="DM455" s="88"/>
      <c r="DN455" s="88"/>
      <c r="DO455" s="88"/>
      <c r="DP455" s="88"/>
      <c r="DQ455" s="88"/>
      <c r="DR455" s="88"/>
      <c r="DS455" s="88"/>
      <c r="DT455" s="88"/>
      <c r="DU455" s="88"/>
      <c r="DV455" s="88"/>
      <c r="DW455" s="75"/>
      <c r="DX455" s="75"/>
      <c r="DY455" s="75"/>
      <c r="DZ455" s="75"/>
      <c r="EA455" s="75"/>
      <c r="EB455" s="75"/>
      <c r="EC455" s="75"/>
      <c r="ED455" s="75"/>
      <c r="EE455" s="75"/>
      <c r="EF455" s="75"/>
      <c r="EG455" s="75"/>
      <c r="EH455" s="75"/>
    </row>
    <row r="456" spans="1:138" x14ac:dyDescent="0.25">
      <c r="A456" s="147"/>
      <c r="B456" s="147"/>
      <c r="C456" s="160"/>
      <c r="D456" s="160"/>
      <c r="E456" s="169"/>
      <c r="F456" s="229"/>
      <c r="G456" s="165"/>
      <c r="H456" s="165"/>
      <c r="I456" s="163"/>
      <c r="J456" s="163"/>
      <c r="K456" s="162"/>
      <c r="L456" s="162"/>
      <c r="M456" s="162"/>
      <c r="N456" s="230"/>
      <c r="O456" s="230"/>
      <c r="P456" s="162"/>
      <c r="Q456" s="162"/>
      <c r="R456" s="162"/>
      <c r="S456" s="162"/>
      <c r="T456" s="162"/>
      <c r="U456" s="230"/>
      <c r="V456" s="230"/>
      <c r="W456" s="162"/>
      <c r="X456" s="162"/>
      <c r="Y456" s="162"/>
      <c r="Z456" s="162"/>
      <c r="AA456" s="162"/>
      <c r="AB456" s="230"/>
      <c r="AC456" s="230"/>
      <c r="AD456" s="162"/>
      <c r="AE456" s="162"/>
      <c r="AF456" s="162"/>
      <c r="AG456" s="162"/>
      <c r="AH456" s="162"/>
      <c r="AI456" s="230"/>
      <c r="AJ456" s="230"/>
      <c r="AK456" s="162"/>
      <c r="AL456" s="162"/>
      <c r="AM456" s="162"/>
      <c r="AN456" s="162"/>
      <c r="AO456" s="162"/>
      <c r="AP456" s="230"/>
      <c r="AQ456" s="230"/>
      <c r="AR456" s="162"/>
      <c r="AS456" s="162"/>
      <c r="AT456" s="162"/>
      <c r="AU456" s="162"/>
      <c r="AV456" s="162"/>
      <c r="AW456" s="230"/>
      <c r="AX456" s="230"/>
      <c r="AY456" s="162"/>
      <c r="AZ456" s="162"/>
      <c r="BA456" s="162"/>
      <c r="BB456" s="162"/>
      <c r="BC456" s="162"/>
      <c r="BD456" s="230"/>
      <c r="BE456" s="230"/>
      <c r="BF456" s="162"/>
      <c r="BG456" s="162"/>
      <c r="BH456" s="162"/>
      <c r="BI456" s="162"/>
      <c r="BJ456" s="162"/>
      <c r="BK456" s="230"/>
      <c r="BL456" s="230"/>
      <c r="BM456" s="162"/>
      <c r="BN456" s="162"/>
      <c r="BO456" s="162"/>
      <c r="BP456" s="162"/>
      <c r="BQ456" s="162"/>
      <c r="BR456" s="230"/>
      <c r="BS456" s="230"/>
      <c r="BT456" s="162"/>
      <c r="BU456" s="162"/>
      <c r="BV456" s="162"/>
      <c r="BW456" s="162"/>
      <c r="BX456" s="162"/>
      <c r="BY456" s="230"/>
      <c r="BZ456" s="230"/>
      <c r="CA456" s="162"/>
      <c r="CB456" s="162"/>
      <c r="CC456" s="162"/>
      <c r="CD456" s="162"/>
      <c r="CE456" s="162"/>
      <c r="CF456" s="230"/>
      <c r="CG456" s="230"/>
      <c r="CH456" s="162"/>
      <c r="CI456" s="162"/>
      <c r="CJ456" s="162"/>
      <c r="CK456" s="162"/>
      <c r="CL456" s="162"/>
      <c r="CM456" s="230"/>
      <c r="CN456" s="230"/>
      <c r="CO456" s="162"/>
      <c r="CP456" s="162"/>
      <c r="CQ456" s="162"/>
      <c r="CR456" s="162"/>
      <c r="CS456" s="162"/>
      <c r="CT456" s="230"/>
      <c r="CU456" s="230"/>
      <c r="CV456" s="162"/>
      <c r="CW456" s="162"/>
      <c r="CX456" s="162"/>
      <c r="CY456" s="162"/>
      <c r="CZ456" s="162"/>
      <c r="DA456" s="230"/>
      <c r="DB456" s="230"/>
      <c r="DC456" s="162"/>
      <c r="DD456" s="162"/>
      <c r="DE456" s="162"/>
      <c r="DF456" s="162"/>
      <c r="DG456" s="162"/>
      <c r="DH456" s="230"/>
      <c r="DI456" s="230"/>
      <c r="DJ456" s="162"/>
      <c r="DK456" s="162"/>
      <c r="DL456" s="146"/>
      <c r="DM456" s="380"/>
      <c r="DN456" s="372"/>
      <c r="DO456" s="372"/>
      <c r="DP456" s="372"/>
      <c r="DQ456" s="372"/>
      <c r="DR456" s="372"/>
      <c r="DS456" s="372"/>
      <c r="DT456" s="88"/>
      <c r="DU456" s="88"/>
      <c r="DV456" s="88"/>
      <c r="DW456" s="146"/>
      <c r="DX456" s="146"/>
      <c r="DY456" s="146"/>
      <c r="DZ456" s="146"/>
      <c r="EA456" s="146"/>
      <c r="EB456" s="146"/>
      <c r="EC456" s="146"/>
      <c r="ED456" s="146"/>
      <c r="EE456" s="146"/>
      <c r="EF456" s="146"/>
      <c r="EG456" s="146"/>
      <c r="EH456" s="146"/>
    </row>
    <row r="457" spans="1:138" x14ac:dyDescent="0.25">
      <c r="A457" s="147"/>
      <c r="B457" s="147"/>
      <c r="C457" s="160"/>
      <c r="D457" s="160"/>
      <c r="E457" s="169"/>
      <c r="F457" s="229"/>
      <c r="G457" s="165"/>
      <c r="H457" s="165"/>
      <c r="I457" s="163"/>
      <c r="J457" s="163"/>
      <c r="K457" s="162"/>
      <c r="L457" s="162"/>
      <c r="M457" s="162"/>
      <c r="N457" s="230"/>
      <c r="O457" s="230"/>
      <c r="P457" s="162"/>
      <c r="Q457" s="162"/>
      <c r="R457" s="162"/>
      <c r="S457" s="162"/>
      <c r="T457" s="162"/>
      <c r="U457" s="230"/>
      <c r="V457" s="230"/>
      <c r="W457" s="162"/>
      <c r="X457" s="162"/>
      <c r="Y457" s="162"/>
      <c r="Z457" s="162"/>
      <c r="AA457" s="162"/>
      <c r="AB457" s="230"/>
      <c r="AC457" s="230"/>
      <c r="AD457" s="162"/>
      <c r="AE457" s="162"/>
      <c r="AF457" s="162"/>
      <c r="AG457" s="162"/>
      <c r="AH457" s="162"/>
      <c r="AI457" s="230"/>
      <c r="AJ457" s="230"/>
      <c r="AK457" s="162"/>
      <c r="AL457" s="162"/>
      <c r="AM457" s="162"/>
      <c r="AN457" s="162"/>
      <c r="AO457" s="162"/>
      <c r="AP457" s="230"/>
      <c r="AQ457" s="230"/>
      <c r="AR457" s="162"/>
      <c r="AS457" s="162"/>
      <c r="AT457" s="162"/>
      <c r="AU457" s="162"/>
      <c r="AV457" s="162"/>
      <c r="AW457" s="230"/>
      <c r="AX457" s="230"/>
      <c r="AY457" s="162"/>
      <c r="AZ457" s="162"/>
      <c r="BA457" s="162"/>
      <c r="BB457" s="162"/>
      <c r="BC457" s="162"/>
      <c r="BD457" s="230"/>
      <c r="BE457" s="230"/>
      <c r="BF457" s="162"/>
      <c r="BG457" s="162"/>
      <c r="BH457" s="162"/>
      <c r="BI457" s="162"/>
      <c r="BJ457" s="162"/>
      <c r="BK457" s="230"/>
      <c r="BL457" s="230"/>
      <c r="BM457" s="162"/>
      <c r="BN457" s="162"/>
      <c r="BO457" s="162"/>
      <c r="BP457" s="162"/>
      <c r="BQ457" s="162"/>
      <c r="BR457" s="230"/>
      <c r="BS457" s="230"/>
      <c r="BT457" s="162"/>
      <c r="BU457" s="162"/>
      <c r="BV457" s="162"/>
      <c r="BW457" s="162"/>
      <c r="BX457" s="162"/>
      <c r="BY457" s="230"/>
      <c r="BZ457" s="230"/>
      <c r="CA457" s="162"/>
      <c r="CB457" s="162"/>
      <c r="CC457" s="162"/>
      <c r="CD457" s="162"/>
      <c r="CE457" s="162"/>
      <c r="CF457" s="230"/>
      <c r="CG457" s="230"/>
      <c r="CH457" s="162"/>
      <c r="CI457" s="162"/>
      <c r="CJ457" s="162"/>
      <c r="CK457" s="162"/>
      <c r="CL457" s="162"/>
      <c r="CM457" s="230"/>
      <c r="CN457" s="230"/>
      <c r="CO457" s="162"/>
      <c r="CP457" s="162"/>
      <c r="CQ457" s="162"/>
      <c r="CR457" s="162"/>
      <c r="CS457" s="162"/>
      <c r="CT457" s="230"/>
      <c r="CU457" s="230"/>
      <c r="CV457" s="162"/>
      <c r="CW457" s="162"/>
      <c r="CX457" s="162"/>
      <c r="CY457" s="162"/>
      <c r="CZ457" s="162"/>
      <c r="DA457" s="230"/>
      <c r="DB457" s="230"/>
      <c r="DC457" s="162"/>
      <c r="DD457" s="162"/>
      <c r="DE457" s="162"/>
      <c r="DF457" s="162"/>
      <c r="DG457" s="162"/>
      <c r="DH457" s="230"/>
      <c r="DI457" s="230"/>
      <c r="DJ457" s="162"/>
      <c r="DK457" s="162"/>
      <c r="DL457" s="146"/>
      <c r="DM457" s="380"/>
      <c r="DN457" s="372"/>
      <c r="DO457" s="372"/>
      <c r="DP457" s="372"/>
      <c r="DQ457" s="372"/>
      <c r="DR457" s="372"/>
      <c r="DS457" s="372"/>
      <c r="DT457" s="89"/>
      <c r="DU457" s="89"/>
      <c r="DV457" s="89"/>
      <c r="DW457" s="146"/>
      <c r="DX457" s="146"/>
      <c r="DY457" s="146"/>
      <c r="DZ457" s="146"/>
      <c r="EA457" s="146"/>
      <c r="EB457" s="146"/>
      <c r="EC457" s="146"/>
      <c r="ED457" s="146"/>
      <c r="EE457" s="146"/>
      <c r="EF457" s="146"/>
      <c r="EG457" s="146"/>
      <c r="EH457" s="146"/>
    </row>
    <row r="458" spans="1:138" x14ac:dyDescent="0.25">
      <c r="A458" s="147"/>
      <c r="B458" s="147"/>
      <c r="C458" s="160"/>
      <c r="D458" s="160"/>
      <c r="E458" s="169"/>
      <c r="F458" s="229"/>
      <c r="G458" s="165"/>
      <c r="H458" s="165"/>
      <c r="I458" s="163"/>
      <c r="J458" s="163"/>
      <c r="K458" s="162"/>
      <c r="L458" s="162"/>
      <c r="M458" s="162"/>
      <c r="N458" s="230"/>
      <c r="O458" s="230"/>
      <c r="P458" s="162"/>
      <c r="Q458" s="162"/>
      <c r="R458" s="162"/>
      <c r="S458" s="162"/>
      <c r="T458" s="162"/>
      <c r="U458" s="230"/>
      <c r="V458" s="230"/>
      <c r="W458" s="162"/>
      <c r="X458" s="162"/>
      <c r="Y458" s="162"/>
      <c r="Z458" s="162"/>
      <c r="AA458" s="162"/>
      <c r="AB458" s="230"/>
      <c r="AC458" s="230"/>
      <c r="AD458" s="162"/>
      <c r="AE458" s="162"/>
      <c r="AF458" s="162"/>
      <c r="AG458" s="162"/>
      <c r="AH458" s="162"/>
      <c r="AI458" s="230"/>
      <c r="AJ458" s="230"/>
      <c r="AK458" s="162"/>
      <c r="AL458" s="162"/>
      <c r="AM458" s="162"/>
      <c r="AN458" s="162"/>
      <c r="AO458" s="162"/>
      <c r="AP458" s="230"/>
      <c r="AQ458" s="230"/>
      <c r="AR458" s="162"/>
      <c r="AS458" s="162"/>
      <c r="AT458" s="162"/>
      <c r="AU458" s="162"/>
      <c r="AV458" s="162"/>
      <c r="AW458" s="230"/>
      <c r="AX458" s="230"/>
      <c r="AY458" s="162"/>
      <c r="AZ458" s="162"/>
      <c r="BA458" s="162"/>
      <c r="BB458" s="162"/>
      <c r="BC458" s="162"/>
      <c r="BD458" s="230"/>
      <c r="BE458" s="230"/>
      <c r="BF458" s="162"/>
      <c r="BG458" s="162"/>
      <c r="BH458" s="162"/>
      <c r="BI458" s="162"/>
      <c r="BJ458" s="162"/>
      <c r="BK458" s="230"/>
      <c r="BL458" s="230"/>
      <c r="BM458" s="162"/>
      <c r="BN458" s="162"/>
      <c r="BO458" s="162"/>
      <c r="BP458" s="162"/>
      <c r="BQ458" s="162"/>
      <c r="BR458" s="230"/>
      <c r="BS458" s="230"/>
      <c r="BT458" s="162"/>
      <c r="BU458" s="162"/>
      <c r="BV458" s="162"/>
      <c r="BW458" s="162"/>
      <c r="BX458" s="162"/>
      <c r="BY458" s="230"/>
      <c r="BZ458" s="230"/>
      <c r="CA458" s="162"/>
      <c r="CB458" s="162"/>
      <c r="CC458" s="162"/>
      <c r="CD458" s="162"/>
      <c r="CE458" s="162"/>
      <c r="CF458" s="230"/>
      <c r="CG458" s="230"/>
      <c r="CH458" s="162"/>
      <c r="CI458" s="162"/>
      <c r="CJ458" s="162"/>
      <c r="CK458" s="162"/>
      <c r="CL458" s="162"/>
      <c r="CM458" s="230"/>
      <c r="CN458" s="230"/>
      <c r="CO458" s="162"/>
      <c r="CP458" s="162"/>
      <c r="CQ458" s="162"/>
      <c r="CR458" s="162"/>
      <c r="CS458" s="162"/>
      <c r="CT458" s="230"/>
      <c r="CU458" s="230"/>
      <c r="CV458" s="162"/>
      <c r="CW458" s="162"/>
      <c r="CX458" s="162"/>
      <c r="CY458" s="162"/>
      <c r="CZ458" s="162"/>
      <c r="DA458" s="230"/>
      <c r="DB458" s="230"/>
      <c r="DC458" s="162"/>
      <c r="DD458" s="162"/>
      <c r="DE458" s="162"/>
      <c r="DF458" s="162"/>
      <c r="DG458" s="162"/>
      <c r="DH458" s="230"/>
      <c r="DI458" s="230"/>
      <c r="DJ458" s="162"/>
      <c r="DK458" s="162"/>
      <c r="DL458" s="146"/>
      <c r="DM458" s="88"/>
      <c r="DN458" s="88"/>
      <c r="DO458" s="88"/>
      <c r="DP458" s="88"/>
      <c r="DQ458" s="88"/>
      <c r="DR458" s="88"/>
      <c r="DS458" s="88"/>
      <c r="DT458" s="88"/>
      <c r="DU458" s="88"/>
      <c r="DV458" s="88"/>
      <c r="DW458" s="146"/>
      <c r="DX458" s="146"/>
      <c r="DY458" s="146"/>
      <c r="DZ458" s="146"/>
      <c r="EA458" s="146"/>
      <c r="EB458" s="146"/>
      <c r="EC458" s="146"/>
      <c r="ED458" s="146"/>
      <c r="EE458" s="146"/>
      <c r="EF458" s="146"/>
      <c r="EG458" s="146"/>
      <c r="EH458" s="146"/>
    </row>
    <row r="459" spans="1:138" x14ac:dyDescent="0.25">
      <c r="A459" s="147"/>
      <c r="B459" s="147"/>
      <c r="C459" s="160"/>
      <c r="D459" s="160"/>
      <c r="E459" s="169"/>
      <c r="F459" s="229"/>
      <c r="G459" s="165"/>
      <c r="H459" s="165"/>
      <c r="I459" s="163"/>
      <c r="J459" s="163"/>
      <c r="K459" s="162"/>
      <c r="L459" s="162"/>
      <c r="M459" s="162"/>
      <c r="N459" s="230"/>
      <c r="O459" s="230"/>
      <c r="P459" s="162"/>
      <c r="Q459" s="162"/>
      <c r="R459" s="162"/>
      <c r="S459" s="162"/>
      <c r="T459" s="162"/>
      <c r="U459" s="230"/>
      <c r="V459" s="230"/>
      <c r="W459" s="162"/>
      <c r="X459" s="162"/>
      <c r="Y459" s="162"/>
      <c r="Z459" s="162"/>
      <c r="AA459" s="162"/>
      <c r="AB459" s="230"/>
      <c r="AC459" s="230"/>
      <c r="AD459" s="162"/>
      <c r="AE459" s="162"/>
      <c r="AF459" s="162"/>
      <c r="AG459" s="162"/>
      <c r="AH459" s="162"/>
      <c r="AI459" s="230"/>
      <c r="AJ459" s="230"/>
      <c r="AK459" s="162"/>
      <c r="AL459" s="162"/>
      <c r="AM459" s="162"/>
      <c r="AN459" s="162"/>
      <c r="AO459" s="162"/>
      <c r="AP459" s="230"/>
      <c r="AQ459" s="230"/>
      <c r="AR459" s="162"/>
      <c r="AS459" s="162"/>
      <c r="AT459" s="162"/>
      <c r="AU459" s="162"/>
      <c r="AV459" s="162"/>
      <c r="AW459" s="230"/>
      <c r="AX459" s="230"/>
      <c r="AY459" s="162"/>
      <c r="AZ459" s="162"/>
      <c r="BA459" s="162"/>
      <c r="BB459" s="162"/>
      <c r="BC459" s="162"/>
      <c r="BD459" s="230"/>
      <c r="BE459" s="230"/>
      <c r="BF459" s="162"/>
      <c r="BG459" s="162"/>
      <c r="BH459" s="162"/>
      <c r="BI459" s="162"/>
      <c r="BJ459" s="162"/>
      <c r="BK459" s="230"/>
      <c r="BL459" s="230"/>
      <c r="BM459" s="162"/>
      <c r="BN459" s="162"/>
      <c r="BO459" s="162"/>
      <c r="BP459" s="162"/>
      <c r="BQ459" s="162"/>
      <c r="BR459" s="230"/>
      <c r="BS459" s="230"/>
      <c r="BT459" s="162"/>
      <c r="BU459" s="162"/>
      <c r="BV459" s="162"/>
      <c r="BW459" s="162"/>
      <c r="BX459" s="162"/>
      <c r="BY459" s="230"/>
      <c r="BZ459" s="230"/>
      <c r="CA459" s="162"/>
      <c r="CB459" s="162"/>
      <c r="CC459" s="162"/>
      <c r="CD459" s="162"/>
      <c r="CE459" s="162"/>
      <c r="CF459" s="230"/>
      <c r="CG459" s="230"/>
      <c r="CH459" s="162"/>
      <c r="CI459" s="162"/>
      <c r="CJ459" s="162"/>
      <c r="CK459" s="162"/>
      <c r="CL459" s="162"/>
      <c r="CM459" s="230"/>
      <c r="CN459" s="230"/>
      <c r="CO459" s="162"/>
      <c r="CP459" s="162"/>
      <c r="CQ459" s="162"/>
      <c r="CR459" s="162"/>
      <c r="CS459" s="162"/>
      <c r="CT459" s="230"/>
      <c r="CU459" s="230"/>
      <c r="CV459" s="162"/>
      <c r="CW459" s="162"/>
      <c r="CX459" s="162"/>
      <c r="CY459" s="162"/>
      <c r="CZ459" s="162"/>
      <c r="DA459" s="230"/>
      <c r="DB459" s="230"/>
      <c r="DC459" s="162"/>
      <c r="DD459" s="162"/>
      <c r="DE459" s="162"/>
      <c r="DF459" s="162"/>
      <c r="DG459" s="162"/>
      <c r="DH459" s="230"/>
      <c r="DI459" s="230"/>
      <c r="DJ459" s="162"/>
      <c r="DK459" s="162"/>
      <c r="DL459" s="146"/>
      <c r="DM459" s="371"/>
      <c r="DN459" s="372"/>
      <c r="DO459" s="372"/>
      <c r="DP459" s="372"/>
      <c r="DQ459" s="372"/>
      <c r="DR459" s="372"/>
      <c r="DS459" s="372"/>
      <c r="DT459" s="372"/>
      <c r="DU459" s="372"/>
      <c r="DV459" s="372"/>
      <c r="DW459" s="146"/>
      <c r="DX459" s="146"/>
      <c r="DY459" s="146"/>
      <c r="DZ459" s="146"/>
      <c r="EA459" s="146"/>
      <c r="EB459" s="146"/>
      <c r="EC459" s="146"/>
      <c r="ED459" s="146"/>
      <c r="EE459" s="146"/>
      <c r="EF459" s="146"/>
      <c r="EG459" s="146"/>
      <c r="EH459" s="146"/>
    </row>
    <row r="460" spans="1:138" x14ac:dyDescent="0.25">
      <c r="A460" s="147"/>
      <c r="B460" s="147"/>
      <c r="C460" s="160"/>
      <c r="D460" s="160"/>
      <c r="E460" s="169"/>
      <c r="F460" s="229"/>
      <c r="G460" s="165"/>
      <c r="H460" s="165"/>
      <c r="I460" s="163"/>
      <c r="J460" s="163"/>
      <c r="K460" s="162"/>
      <c r="L460" s="162"/>
      <c r="M460" s="162"/>
      <c r="N460" s="230"/>
      <c r="O460" s="230"/>
      <c r="P460" s="162"/>
      <c r="Q460" s="162"/>
      <c r="R460" s="162"/>
      <c r="S460" s="162"/>
      <c r="T460" s="162"/>
      <c r="U460" s="230"/>
      <c r="V460" s="230"/>
      <c r="W460" s="162"/>
      <c r="X460" s="162"/>
      <c r="Y460" s="162"/>
      <c r="Z460" s="162"/>
      <c r="AA460" s="162"/>
      <c r="AB460" s="230"/>
      <c r="AC460" s="230"/>
      <c r="AD460" s="162"/>
      <c r="AE460" s="162"/>
      <c r="AF460" s="162"/>
      <c r="AG460" s="162"/>
      <c r="AH460" s="162"/>
      <c r="AI460" s="230"/>
      <c r="AJ460" s="230"/>
      <c r="AK460" s="162"/>
      <c r="AL460" s="162"/>
      <c r="AM460" s="162"/>
      <c r="AN460" s="162"/>
      <c r="AO460" s="162"/>
      <c r="AP460" s="230"/>
      <c r="AQ460" s="230"/>
      <c r="AR460" s="162"/>
      <c r="AS460" s="162"/>
      <c r="AT460" s="162"/>
      <c r="AU460" s="162"/>
      <c r="AV460" s="162"/>
      <c r="AW460" s="230"/>
      <c r="AX460" s="230"/>
      <c r="AY460" s="162"/>
      <c r="AZ460" s="162"/>
      <c r="BA460" s="162"/>
      <c r="BB460" s="162"/>
      <c r="BC460" s="162"/>
      <c r="BD460" s="230"/>
      <c r="BE460" s="230"/>
      <c r="BF460" s="162"/>
      <c r="BG460" s="162"/>
      <c r="BH460" s="162"/>
      <c r="BI460" s="162"/>
      <c r="BJ460" s="162"/>
      <c r="BK460" s="230"/>
      <c r="BL460" s="230"/>
      <c r="BM460" s="162"/>
      <c r="BN460" s="162"/>
      <c r="BO460" s="162"/>
      <c r="BP460" s="162"/>
      <c r="BQ460" s="162"/>
      <c r="BR460" s="230"/>
      <c r="BS460" s="230"/>
      <c r="BT460" s="162"/>
      <c r="BU460" s="162"/>
      <c r="BV460" s="162"/>
      <c r="BW460" s="162"/>
      <c r="BX460" s="162"/>
      <c r="BY460" s="230"/>
      <c r="BZ460" s="230"/>
      <c r="CA460" s="162"/>
      <c r="CB460" s="162"/>
      <c r="CC460" s="162"/>
      <c r="CD460" s="162"/>
      <c r="CE460" s="162"/>
      <c r="CF460" s="230"/>
      <c r="CG460" s="230"/>
      <c r="CH460" s="162"/>
      <c r="CI460" s="162"/>
      <c r="CJ460" s="162"/>
      <c r="CK460" s="162"/>
      <c r="CL460" s="162"/>
      <c r="CM460" s="230"/>
      <c r="CN460" s="230"/>
      <c r="CO460" s="162"/>
      <c r="CP460" s="162"/>
      <c r="CQ460" s="162"/>
      <c r="CR460" s="162"/>
      <c r="CS460" s="162"/>
      <c r="CT460" s="230"/>
      <c r="CU460" s="230"/>
      <c r="CV460" s="162"/>
      <c r="CW460" s="162"/>
      <c r="CX460" s="162"/>
      <c r="CY460" s="162"/>
      <c r="CZ460" s="162"/>
      <c r="DA460" s="230"/>
      <c r="DB460" s="230"/>
      <c r="DC460" s="162"/>
      <c r="DD460" s="162"/>
      <c r="DE460" s="162"/>
      <c r="DF460" s="162"/>
      <c r="DG460" s="162"/>
      <c r="DH460" s="230"/>
      <c r="DI460" s="230"/>
      <c r="DJ460" s="162"/>
      <c r="DK460" s="162"/>
      <c r="DL460" s="146"/>
      <c r="DM460" s="371"/>
      <c r="DN460" s="372"/>
      <c r="DO460" s="372"/>
      <c r="DP460" s="372"/>
      <c r="DQ460" s="372"/>
      <c r="DR460" s="372"/>
      <c r="DS460" s="372"/>
      <c r="DT460" s="372"/>
      <c r="DU460" s="372"/>
      <c r="DV460" s="372"/>
      <c r="DW460" s="146"/>
      <c r="DX460" s="146"/>
      <c r="DY460" s="146"/>
      <c r="DZ460" s="146"/>
      <c r="EA460" s="146"/>
      <c r="EB460" s="146"/>
      <c r="EC460" s="146"/>
      <c r="ED460" s="146"/>
      <c r="EE460" s="146"/>
      <c r="EF460" s="146"/>
      <c r="EG460" s="146"/>
      <c r="EH460" s="146"/>
    </row>
    <row r="461" spans="1:138" x14ac:dyDescent="0.25">
      <c r="A461" s="147"/>
      <c r="B461" s="147"/>
      <c r="C461" s="160"/>
      <c r="D461" s="160"/>
      <c r="E461" s="169"/>
      <c r="F461" s="229"/>
      <c r="G461" s="165"/>
      <c r="H461" s="165"/>
      <c r="I461" s="163"/>
      <c r="J461" s="163"/>
      <c r="K461" s="162"/>
      <c r="L461" s="162"/>
      <c r="M461" s="162"/>
      <c r="N461" s="230"/>
      <c r="O461" s="230"/>
      <c r="P461" s="162"/>
      <c r="Q461" s="162"/>
      <c r="R461" s="162"/>
      <c r="S461" s="162"/>
      <c r="T461" s="162"/>
      <c r="U461" s="230"/>
      <c r="V461" s="230"/>
      <c r="W461" s="162"/>
      <c r="X461" s="162"/>
      <c r="Y461" s="162"/>
      <c r="Z461" s="162"/>
      <c r="AA461" s="162"/>
      <c r="AB461" s="230"/>
      <c r="AC461" s="230"/>
      <c r="AD461" s="162"/>
      <c r="AE461" s="162"/>
      <c r="AF461" s="162"/>
      <c r="AG461" s="162"/>
      <c r="AH461" s="162"/>
      <c r="AI461" s="230"/>
      <c r="AJ461" s="230"/>
      <c r="AK461" s="162"/>
      <c r="AL461" s="162"/>
      <c r="AM461" s="162"/>
      <c r="AN461" s="162"/>
      <c r="AO461" s="162"/>
      <c r="AP461" s="230"/>
      <c r="AQ461" s="230"/>
      <c r="AR461" s="162"/>
      <c r="AS461" s="162"/>
      <c r="AT461" s="162"/>
      <c r="AU461" s="162"/>
      <c r="AV461" s="162"/>
      <c r="AW461" s="230"/>
      <c r="AX461" s="230"/>
      <c r="AY461" s="162"/>
      <c r="AZ461" s="162"/>
      <c r="BA461" s="162"/>
      <c r="BB461" s="162"/>
      <c r="BC461" s="162"/>
      <c r="BD461" s="230"/>
      <c r="BE461" s="230"/>
      <c r="BF461" s="162"/>
      <c r="BG461" s="162"/>
      <c r="BH461" s="162"/>
      <c r="BI461" s="162"/>
      <c r="BJ461" s="162"/>
      <c r="BK461" s="230"/>
      <c r="BL461" s="230"/>
      <c r="BM461" s="162"/>
      <c r="BN461" s="162"/>
      <c r="BO461" s="162"/>
      <c r="BP461" s="162"/>
      <c r="BQ461" s="162"/>
      <c r="BR461" s="230"/>
      <c r="BS461" s="230"/>
      <c r="BT461" s="162"/>
      <c r="BU461" s="162"/>
      <c r="BV461" s="162"/>
      <c r="BW461" s="162"/>
      <c r="BX461" s="162"/>
      <c r="BY461" s="230"/>
      <c r="BZ461" s="230"/>
      <c r="CA461" s="162"/>
      <c r="CB461" s="162"/>
      <c r="CC461" s="162"/>
      <c r="CD461" s="162"/>
      <c r="CE461" s="162"/>
      <c r="CF461" s="230"/>
      <c r="CG461" s="230"/>
      <c r="CH461" s="162"/>
      <c r="CI461" s="162"/>
      <c r="CJ461" s="162"/>
      <c r="CK461" s="162"/>
      <c r="CL461" s="162"/>
      <c r="CM461" s="230"/>
      <c r="CN461" s="230"/>
      <c r="CO461" s="162"/>
      <c r="CP461" s="162"/>
      <c r="CQ461" s="162"/>
      <c r="CR461" s="162"/>
      <c r="CS461" s="162"/>
      <c r="CT461" s="230"/>
      <c r="CU461" s="230"/>
      <c r="CV461" s="162"/>
      <c r="CW461" s="162"/>
      <c r="CX461" s="162"/>
      <c r="CY461" s="162"/>
      <c r="CZ461" s="162"/>
      <c r="DA461" s="230"/>
      <c r="DB461" s="230"/>
      <c r="DC461" s="162"/>
      <c r="DD461" s="162"/>
      <c r="DE461" s="162"/>
      <c r="DF461" s="162"/>
      <c r="DG461" s="162"/>
      <c r="DH461" s="230"/>
      <c r="DI461" s="230"/>
      <c r="DJ461" s="162"/>
      <c r="DK461" s="162"/>
      <c r="DL461" s="226"/>
      <c r="DM461" s="380"/>
      <c r="DN461" s="372"/>
      <c r="DO461" s="372"/>
      <c r="DP461" s="372"/>
      <c r="DQ461" s="372"/>
      <c r="DR461" s="372"/>
      <c r="DS461" s="372"/>
      <c r="DT461" s="88"/>
      <c r="DU461" s="88"/>
      <c r="DV461" s="88"/>
      <c r="DW461" s="226"/>
      <c r="DX461" s="226"/>
      <c r="DY461" s="226"/>
      <c r="DZ461" s="226"/>
      <c r="EA461" s="226"/>
      <c r="EB461" s="226"/>
      <c r="EC461" s="226"/>
      <c r="ED461" s="226"/>
      <c r="EE461" s="226"/>
      <c r="EF461" s="226"/>
      <c r="EG461" s="226"/>
      <c r="EH461" s="226"/>
    </row>
    <row r="462" spans="1:138" x14ac:dyDescent="0.25">
      <c r="A462" s="147"/>
      <c r="B462" s="147"/>
      <c r="C462" s="160"/>
      <c r="D462" s="160"/>
      <c r="E462" s="169"/>
      <c r="F462" s="229"/>
      <c r="G462" s="165"/>
      <c r="H462" s="165"/>
      <c r="I462" s="163"/>
      <c r="J462" s="163"/>
      <c r="K462" s="162"/>
      <c r="L462" s="162"/>
      <c r="M462" s="162"/>
      <c r="N462" s="230"/>
      <c r="O462" s="230"/>
      <c r="P462" s="162"/>
      <c r="Q462" s="162"/>
      <c r="R462" s="162"/>
      <c r="S462" s="162"/>
      <c r="T462" s="162"/>
      <c r="U462" s="230"/>
      <c r="V462" s="230"/>
      <c r="W462" s="162"/>
      <c r="X462" s="162"/>
      <c r="Y462" s="162"/>
      <c r="Z462" s="162"/>
      <c r="AA462" s="162"/>
      <c r="AB462" s="230"/>
      <c r="AC462" s="230"/>
      <c r="AD462" s="162"/>
      <c r="AE462" s="162"/>
      <c r="AF462" s="162"/>
      <c r="AG462" s="162"/>
      <c r="AH462" s="162"/>
      <c r="AI462" s="230"/>
      <c r="AJ462" s="230"/>
      <c r="AK462" s="162"/>
      <c r="AL462" s="162"/>
      <c r="AM462" s="162"/>
      <c r="AN462" s="162"/>
      <c r="AO462" s="162"/>
      <c r="AP462" s="230"/>
      <c r="AQ462" s="230"/>
      <c r="AR462" s="162"/>
      <c r="AS462" s="162"/>
      <c r="AT462" s="162"/>
      <c r="AU462" s="162"/>
      <c r="AV462" s="162"/>
      <c r="AW462" s="230"/>
      <c r="AX462" s="230"/>
      <c r="AY462" s="162"/>
      <c r="AZ462" s="162"/>
      <c r="BA462" s="162"/>
      <c r="BB462" s="162"/>
      <c r="BC462" s="162"/>
      <c r="BD462" s="230"/>
      <c r="BE462" s="230"/>
      <c r="BF462" s="162"/>
      <c r="BG462" s="162"/>
      <c r="BH462" s="162"/>
      <c r="BI462" s="162"/>
      <c r="BJ462" s="162"/>
      <c r="BK462" s="230"/>
      <c r="BL462" s="230"/>
      <c r="BM462" s="162"/>
      <c r="BN462" s="162"/>
      <c r="BO462" s="162"/>
      <c r="BP462" s="162"/>
      <c r="BQ462" s="162"/>
      <c r="BR462" s="230"/>
      <c r="BS462" s="230"/>
      <c r="BT462" s="162"/>
      <c r="BU462" s="162"/>
      <c r="BV462" s="162"/>
      <c r="BW462" s="162"/>
      <c r="BX462" s="162"/>
      <c r="BY462" s="230"/>
      <c r="BZ462" s="230"/>
      <c r="CA462" s="162"/>
      <c r="CB462" s="162"/>
      <c r="CC462" s="162"/>
      <c r="CD462" s="162"/>
      <c r="CE462" s="162"/>
      <c r="CF462" s="230"/>
      <c r="CG462" s="230"/>
      <c r="CH462" s="162"/>
      <c r="CI462" s="162"/>
      <c r="CJ462" s="162"/>
      <c r="CK462" s="162"/>
      <c r="CL462" s="162"/>
      <c r="CM462" s="230"/>
      <c r="CN462" s="230"/>
      <c r="CO462" s="162"/>
      <c r="CP462" s="162"/>
      <c r="CQ462" s="162"/>
      <c r="CR462" s="162"/>
      <c r="CS462" s="162"/>
      <c r="CT462" s="230"/>
      <c r="CU462" s="230"/>
      <c r="CV462" s="162"/>
      <c r="CW462" s="162"/>
      <c r="CX462" s="162"/>
      <c r="CY462" s="162"/>
      <c r="CZ462" s="162"/>
      <c r="DA462" s="230"/>
      <c r="DB462" s="230"/>
      <c r="DC462" s="162"/>
      <c r="DD462" s="162"/>
      <c r="DE462" s="162"/>
      <c r="DF462" s="162"/>
      <c r="DG462" s="162"/>
      <c r="DH462" s="230"/>
      <c r="DI462" s="230"/>
      <c r="DJ462" s="162"/>
      <c r="DK462" s="162"/>
      <c r="DL462" s="146"/>
      <c r="DM462" s="380"/>
      <c r="DN462" s="372"/>
      <c r="DO462" s="372"/>
      <c r="DP462" s="372"/>
      <c r="DQ462" s="372"/>
      <c r="DR462" s="372"/>
      <c r="DS462" s="372"/>
      <c r="DT462" s="88"/>
      <c r="DU462" s="88"/>
      <c r="DV462" s="88"/>
      <c r="DW462" s="146"/>
      <c r="DX462" s="146"/>
      <c r="DY462" s="146"/>
      <c r="DZ462" s="146"/>
      <c r="EA462" s="146"/>
      <c r="EB462" s="146"/>
      <c r="EC462" s="146"/>
      <c r="ED462" s="146"/>
      <c r="EE462" s="146"/>
      <c r="EF462" s="146"/>
      <c r="EG462" s="146"/>
      <c r="EH462" s="146"/>
    </row>
    <row r="463" spans="1:138" x14ac:dyDescent="0.25">
      <c r="A463" s="147"/>
      <c r="B463" s="147"/>
      <c r="C463" s="160"/>
      <c r="D463" s="160"/>
      <c r="E463" s="169"/>
      <c r="F463" s="229"/>
      <c r="G463" s="165"/>
      <c r="H463" s="165"/>
      <c r="I463" s="163"/>
      <c r="J463" s="163"/>
      <c r="K463" s="162"/>
      <c r="L463" s="162"/>
      <c r="M463" s="162"/>
      <c r="N463" s="230"/>
      <c r="O463" s="230"/>
      <c r="P463" s="162"/>
      <c r="Q463" s="162"/>
      <c r="R463" s="162"/>
      <c r="S463" s="162"/>
      <c r="T463" s="162"/>
      <c r="U463" s="230"/>
      <c r="V463" s="230"/>
      <c r="W463" s="162"/>
      <c r="X463" s="162"/>
      <c r="Y463" s="162"/>
      <c r="Z463" s="162"/>
      <c r="AA463" s="162"/>
      <c r="AB463" s="230"/>
      <c r="AC463" s="230"/>
      <c r="AD463" s="162"/>
      <c r="AE463" s="162"/>
      <c r="AF463" s="162"/>
      <c r="AG463" s="162"/>
      <c r="AH463" s="162"/>
      <c r="AI463" s="230"/>
      <c r="AJ463" s="230"/>
      <c r="AK463" s="162"/>
      <c r="AL463" s="162"/>
      <c r="AM463" s="162"/>
      <c r="AN463" s="162"/>
      <c r="AO463" s="162"/>
      <c r="AP463" s="230"/>
      <c r="AQ463" s="230"/>
      <c r="AR463" s="162"/>
      <c r="AS463" s="162"/>
      <c r="AT463" s="162"/>
      <c r="AU463" s="162"/>
      <c r="AV463" s="162"/>
      <c r="AW463" s="230"/>
      <c r="AX463" s="230"/>
      <c r="AY463" s="162"/>
      <c r="AZ463" s="162"/>
      <c r="BA463" s="162"/>
      <c r="BB463" s="162"/>
      <c r="BC463" s="162"/>
      <c r="BD463" s="230"/>
      <c r="BE463" s="230"/>
      <c r="BF463" s="162"/>
      <c r="BG463" s="162"/>
      <c r="BH463" s="162"/>
      <c r="BI463" s="162"/>
      <c r="BJ463" s="162"/>
      <c r="BK463" s="230"/>
      <c r="BL463" s="230"/>
      <c r="BM463" s="162"/>
      <c r="BN463" s="162"/>
      <c r="BO463" s="162"/>
      <c r="BP463" s="162"/>
      <c r="BQ463" s="162"/>
      <c r="BR463" s="230"/>
      <c r="BS463" s="230"/>
      <c r="BT463" s="162"/>
      <c r="BU463" s="162"/>
      <c r="BV463" s="162"/>
      <c r="BW463" s="162"/>
      <c r="BX463" s="162"/>
      <c r="BY463" s="230"/>
      <c r="BZ463" s="230"/>
      <c r="CA463" s="162"/>
      <c r="CB463" s="162"/>
      <c r="CC463" s="162"/>
      <c r="CD463" s="162"/>
      <c r="CE463" s="162"/>
      <c r="CF463" s="230"/>
      <c r="CG463" s="230"/>
      <c r="CH463" s="162"/>
      <c r="CI463" s="162"/>
      <c r="CJ463" s="162"/>
      <c r="CK463" s="162"/>
      <c r="CL463" s="162"/>
      <c r="CM463" s="230"/>
      <c r="CN463" s="230"/>
      <c r="CO463" s="162"/>
      <c r="CP463" s="162"/>
      <c r="CQ463" s="162"/>
      <c r="CR463" s="162"/>
      <c r="CS463" s="162"/>
      <c r="CT463" s="230"/>
      <c r="CU463" s="230"/>
      <c r="CV463" s="162"/>
      <c r="CW463" s="162"/>
      <c r="CX463" s="162"/>
      <c r="CY463" s="162"/>
      <c r="CZ463" s="162"/>
      <c r="DA463" s="230"/>
      <c r="DB463" s="230"/>
      <c r="DC463" s="162"/>
      <c r="DD463" s="162"/>
      <c r="DE463" s="162"/>
      <c r="DF463" s="162"/>
      <c r="DG463" s="162"/>
      <c r="DH463" s="230"/>
      <c r="DI463" s="230"/>
      <c r="DJ463" s="162"/>
      <c r="DK463" s="162"/>
      <c r="DL463" s="146"/>
      <c r="DM463" s="380"/>
      <c r="DN463" s="372"/>
      <c r="DO463" s="372"/>
      <c r="DP463" s="372"/>
      <c r="DQ463" s="372"/>
      <c r="DR463" s="372"/>
      <c r="DS463" s="372"/>
      <c r="DT463" s="89"/>
      <c r="DU463" s="89"/>
      <c r="DV463" s="89"/>
      <c r="DW463" s="146"/>
      <c r="DX463" s="146"/>
      <c r="DY463" s="146"/>
      <c r="DZ463" s="146"/>
      <c r="EA463" s="146"/>
      <c r="EB463" s="146"/>
      <c r="EC463" s="146"/>
      <c r="ED463" s="146"/>
      <c r="EE463" s="146"/>
      <c r="EF463" s="146"/>
      <c r="EG463" s="146"/>
      <c r="EH463" s="146"/>
    </row>
    <row r="464" spans="1:138" x14ac:dyDescent="0.25">
      <c r="A464" s="147"/>
      <c r="B464" s="147"/>
      <c r="C464" s="160"/>
      <c r="D464" s="160"/>
      <c r="E464" s="169"/>
      <c r="F464" s="229"/>
      <c r="G464" s="165"/>
      <c r="H464" s="165"/>
      <c r="I464" s="163"/>
      <c r="J464" s="163"/>
      <c r="K464" s="162"/>
      <c r="L464" s="162"/>
      <c r="M464" s="162"/>
      <c r="N464" s="230"/>
      <c r="O464" s="230"/>
      <c r="P464" s="162"/>
      <c r="Q464" s="162"/>
      <c r="R464" s="162"/>
      <c r="S464" s="162"/>
      <c r="T464" s="162"/>
      <c r="U464" s="230"/>
      <c r="V464" s="230"/>
      <c r="W464" s="162"/>
      <c r="X464" s="162"/>
      <c r="Y464" s="162"/>
      <c r="Z464" s="162"/>
      <c r="AA464" s="162"/>
      <c r="AB464" s="230"/>
      <c r="AC464" s="230"/>
      <c r="AD464" s="162"/>
      <c r="AE464" s="162"/>
      <c r="AF464" s="162"/>
      <c r="AG464" s="162"/>
      <c r="AH464" s="162"/>
      <c r="AI464" s="230"/>
      <c r="AJ464" s="230"/>
      <c r="AK464" s="162"/>
      <c r="AL464" s="162"/>
      <c r="AM464" s="162"/>
      <c r="AN464" s="162"/>
      <c r="AO464" s="162"/>
      <c r="AP464" s="230"/>
      <c r="AQ464" s="230"/>
      <c r="AR464" s="162"/>
      <c r="AS464" s="162"/>
      <c r="AT464" s="162"/>
      <c r="AU464" s="162"/>
      <c r="AV464" s="162"/>
      <c r="AW464" s="230"/>
      <c r="AX464" s="230"/>
      <c r="AY464" s="162"/>
      <c r="AZ464" s="162"/>
      <c r="BA464" s="162"/>
      <c r="BB464" s="162"/>
      <c r="BC464" s="162"/>
      <c r="BD464" s="230"/>
      <c r="BE464" s="230"/>
      <c r="BF464" s="162"/>
      <c r="BG464" s="162"/>
      <c r="BH464" s="162"/>
      <c r="BI464" s="162"/>
      <c r="BJ464" s="162"/>
      <c r="BK464" s="230"/>
      <c r="BL464" s="230"/>
      <c r="BM464" s="162"/>
      <c r="BN464" s="162"/>
      <c r="BO464" s="162"/>
      <c r="BP464" s="162"/>
      <c r="BQ464" s="162"/>
      <c r="BR464" s="230"/>
      <c r="BS464" s="230"/>
      <c r="BT464" s="162"/>
      <c r="BU464" s="162"/>
      <c r="BV464" s="162"/>
      <c r="BW464" s="162"/>
      <c r="BX464" s="162"/>
      <c r="BY464" s="230"/>
      <c r="BZ464" s="230"/>
      <c r="CA464" s="162"/>
      <c r="CB464" s="162"/>
      <c r="CC464" s="162"/>
      <c r="CD464" s="162"/>
      <c r="CE464" s="162"/>
      <c r="CF464" s="230"/>
      <c r="CG464" s="230"/>
      <c r="CH464" s="162"/>
      <c r="CI464" s="162"/>
      <c r="CJ464" s="162"/>
      <c r="CK464" s="162"/>
      <c r="CL464" s="162"/>
      <c r="CM464" s="230"/>
      <c r="CN464" s="230"/>
      <c r="CO464" s="162"/>
      <c r="CP464" s="162"/>
      <c r="CQ464" s="162"/>
      <c r="CR464" s="162"/>
      <c r="CS464" s="162"/>
      <c r="CT464" s="230"/>
      <c r="CU464" s="230"/>
      <c r="CV464" s="162"/>
      <c r="CW464" s="162"/>
      <c r="CX464" s="162"/>
      <c r="CY464" s="162"/>
      <c r="CZ464" s="162"/>
      <c r="DA464" s="230"/>
      <c r="DB464" s="230"/>
      <c r="DC464" s="162"/>
      <c r="DD464" s="162"/>
      <c r="DE464" s="162"/>
      <c r="DF464" s="162"/>
      <c r="DG464" s="162"/>
      <c r="DH464" s="230"/>
      <c r="DI464" s="230"/>
      <c r="DJ464" s="162"/>
      <c r="DK464" s="162"/>
      <c r="DL464" s="146"/>
      <c r="DM464" s="88"/>
      <c r="DN464" s="88"/>
      <c r="DO464" s="88"/>
      <c r="DP464" s="88"/>
      <c r="DQ464" s="88"/>
      <c r="DR464" s="88"/>
      <c r="DS464" s="88"/>
      <c r="DT464" s="88"/>
      <c r="DU464" s="88"/>
      <c r="DV464" s="88"/>
      <c r="DW464" s="146"/>
      <c r="DX464" s="146"/>
      <c r="DY464" s="146"/>
      <c r="DZ464" s="146"/>
      <c r="EA464" s="146"/>
      <c r="EB464" s="146"/>
      <c r="EC464" s="146"/>
      <c r="ED464" s="146"/>
      <c r="EE464" s="146"/>
      <c r="EF464" s="146"/>
      <c r="EG464" s="146"/>
      <c r="EH464" s="146"/>
    </row>
    <row r="465" spans="1:138" x14ac:dyDescent="0.25">
      <c r="A465" s="147"/>
      <c r="B465" s="147"/>
      <c r="C465" s="160"/>
      <c r="D465" s="160"/>
      <c r="E465" s="169"/>
      <c r="F465" s="229"/>
      <c r="G465" s="165"/>
      <c r="H465" s="165"/>
      <c r="I465" s="163"/>
      <c r="J465" s="163"/>
      <c r="K465" s="162"/>
      <c r="L465" s="162"/>
      <c r="M465" s="162"/>
      <c r="N465" s="230"/>
      <c r="O465" s="230"/>
      <c r="P465" s="162"/>
      <c r="Q465" s="162"/>
      <c r="R465" s="162"/>
      <c r="S465" s="162"/>
      <c r="T465" s="162"/>
      <c r="U465" s="230"/>
      <c r="V465" s="230"/>
      <c r="W465" s="162"/>
      <c r="X465" s="162"/>
      <c r="Y465" s="162"/>
      <c r="Z465" s="162"/>
      <c r="AA465" s="162"/>
      <c r="AB465" s="230"/>
      <c r="AC465" s="230"/>
      <c r="AD465" s="162"/>
      <c r="AE465" s="162"/>
      <c r="AF465" s="162"/>
      <c r="AG465" s="162"/>
      <c r="AH465" s="162"/>
      <c r="AI465" s="230"/>
      <c r="AJ465" s="230"/>
      <c r="AK465" s="162"/>
      <c r="AL465" s="162"/>
      <c r="AM465" s="162"/>
      <c r="AN465" s="162"/>
      <c r="AO465" s="162"/>
      <c r="AP465" s="230"/>
      <c r="AQ465" s="230"/>
      <c r="AR465" s="162"/>
      <c r="AS465" s="162"/>
      <c r="AT465" s="162"/>
      <c r="AU465" s="162"/>
      <c r="AV465" s="162"/>
      <c r="AW465" s="230"/>
      <c r="AX465" s="230"/>
      <c r="AY465" s="162"/>
      <c r="AZ465" s="162"/>
      <c r="BA465" s="162"/>
      <c r="BB465" s="162"/>
      <c r="BC465" s="162"/>
      <c r="BD465" s="230"/>
      <c r="BE465" s="230"/>
      <c r="BF465" s="162"/>
      <c r="BG465" s="162"/>
      <c r="BH465" s="162"/>
      <c r="BI465" s="162"/>
      <c r="BJ465" s="162"/>
      <c r="BK465" s="230"/>
      <c r="BL465" s="230"/>
      <c r="BM465" s="162"/>
      <c r="BN465" s="162"/>
      <c r="BO465" s="162"/>
      <c r="BP465" s="162"/>
      <c r="BQ465" s="162"/>
      <c r="BR465" s="230"/>
      <c r="BS465" s="230"/>
      <c r="BT465" s="162"/>
      <c r="BU465" s="162"/>
      <c r="BV465" s="162"/>
      <c r="BW465" s="162"/>
      <c r="BX465" s="162"/>
      <c r="BY465" s="230"/>
      <c r="BZ465" s="230"/>
      <c r="CA465" s="162"/>
      <c r="CB465" s="162"/>
      <c r="CC465" s="162"/>
      <c r="CD465" s="162"/>
      <c r="CE465" s="162"/>
      <c r="CF465" s="230"/>
      <c r="CG465" s="230"/>
      <c r="CH465" s="162"/>
      <c r="CI465" s="162"/>
      <c r="CJ465" s="162"/>
      <c r="CK465" s="162"/>
      <c r="CL465" s="162"/>
      <c r="CM465" s="230"/>
      <c r="CN465" s="230"/>
      <c r="CO465" s="162"/>
      <c r="CP465" s="162"/>
      <c r="CQ465" s="162"/>
      <c r="CR465" s="162"/>
      <c r="CS465" s="162"/>
      <c r="CT465" s="230"/>
      <c r="CU465" s="230"/>
      <c r="CV465" s="162"/>
      <c r="CW465" s="162"/>
      <c r="CX465" s="162"/>
      <c r="CY465" s="162"/>
      <c r="CZ465" s="162"/>
      <c r="DA465" s="230"/>
      <c r="DB465" s="230"/>
      <c r="DC465" s="162"/>
      <c r="DD465" s="162"/>
      <c r="DE465" s="162"/>
      <c r="DF465" s="162"/>
      <c r="DG465" s="162"/>
      <c r="DH465" s="230"/>
      <c r="DI465" s="230"/>
      <c r="DJ465" s="162"/>
      <c r="DK465" s="162"/>
      <c r="DL465" s="146"/>
      <c r="DM465" s="371"/>
      <c r="DN465" s="372"/>
      <c r="DO465" s="372"/>
      <c r="DP465" s="372"/>
      <c r="DQ465" s="372"/>
      <c r="DR465" s="372"/>
      <c r="DS465" s="372"/>
      <c r="DT465" s="372"/>
      <c r="DU465" s="372"/>
      <c r="DV465" s="372"/>
      <c r="DW465" s="146"/>
      <c r="DX465" s="146"/>
      <c r="DY465" s="146"/>
      <c r="DZ465" s="146"/>
      <c r="EA465" s="146"/>
      <c r="EB465" s="146"/>
      <c r="EC465" s="146"/>
      <c r="ED465" s="146"/>
      <c r="EE465" s="146"/>
      <c r="EF465" s="146"/>
      <c r="EG465" s="146"/>
      <c r="EH465" s="146"/>
    </row>
    <row r="466" spans="1:138" x14ac:dyDescent="0.25">
      <c r="A466" s="147"/>
      <c r="B466" s="147"/>
      <c r="C466" s="160"/>
      <c r="D466" s="160"/>
      <c r="E466" s="169"/>
      <c r="F466" s="229"/>
      <c r="G466" s="165"/>
      <c r="H466" s="165"/>
      <c r="I466" s="163"/>
      <c r="J466" s="163"/>
      <c r="K466" s="162"/>
      <c r="L466" s="162"/>
      <c r="M466" s="162"/>
      <c r="N466" s="230"/>
      <c r="O466" s="230"/>
      <c r="P466" s="162"/>
      <c r="Q466" s="162"/>
      <c r="R466" s="162"/>
      <c r="S466" s="162"/>
      <c r="T466" s="162"/>
      <c r="U466" s="230"/>
      <c r="V466" s="230"/>
      <c r="W466" s="162"/>
      <c r="X466" s="162"/>
      <c r="Y466" s="162"/>
      <c r="Z466" s="162"/>
      <c r="AA466" s="162"/>
      <c r="AB466" s="230"/>
      <c r="AC466" s="230"/>
      <c r="AD466" s="162"/>
      <c r="AE466" s="162"/>
      <c r="AF466" s="162"/>
      <c r="AG466" s="162"/>
      <c r="AH466" s="162"/>
      <c r="AI466" s="230"/>
      <c r="AJ466" s="230"/>
      <c r="AK466" s="162"/>
      <c r="AL466" s="162"/>
      <c r="AM466" s="162"/>
      <c r="AN466" s="162"/>
      <c r="AO466" s="162"/>
      <c r="AP466" s="230"/>
      <c r="AQ466" s="230"/>
      <c r="AR466" s="162"/>
      <c r="AS466" s="162"/>
      <c r="AT466" s="162"/>
      <c r="AU466" s="162"/>
      <c r="AV466" s="162"/>
      <c r="AW466" s="230"/>
      <c r="AX466" s="230"/>
      <c r="AY466" s="162"/>
      <c r="AZ466" s="162"/>
      <c r="BA466" s="162"/>
      <c r="BB466" s="162"/>
      <c r="BC466" s="162"/>
      <c r="BD466" s="230"/>
      <c r="BE466" s="230"/>
      <c r="BF466" s="162"/>
      <c r="BG466" s="162"/>
      <c r="BH466" s="162"/>
      <c r="BI466" s="162"/>
      <c r="BJ466" s="162"/>
      <c r="BK466" s="230"/>
      <c r="BL466" s="230"/>
      <c r="BM466" s="162"/>
      <c r="BN466" s="162"/>
      <c r="BO466" s="162"/>
      <c r="BP466" s="162"/>
      <c r="BQ466" s="162"/>
      <c r="BR466" s="230"/>
      <c r="BS466" s="230"/>
      <c r="BT466" s="162"/>
      <c r="BU466" s="162"/>
      <c r="BV466" s="162"/>
      <c r="BW466" s="162"/>
      <c r="BX466" s="162"/>
      <c r="BY466" s="230"/>
      <c r="BZ466" s="230"/>
      <c r="CA466" s="162"/>
      <c r="CB466" s="162"/>
      <c r="CC466" s="162"/>
      <c r="CD466" s="162"/>
      <c r="CE466" s="162"/>
      <c r="CF466" s="230"/>
      <c r="CG466" s="230"/>
      <c r="CH466" s="162"/>
      <c r="CI466" s="162"/>
      <c r="CJ466" s="162"/>
      <c r="CK466" s="162"/>
      <c r="CL466" s="162"/>
      <c r="CM466" s="230"/>
      <c r="CN466" s="230"/>
      <c r="CO466" s="162"/>
      <c r="CP466" s="162"/>
      <c r="CQ466" s="162"/>
      <c r="CR466" s="162"/>
      <c r="CS466" s="162"/>
      <c r="CT466" s="230"/>
      <c r="CU466" s="230"/>
      <c r="CV466" s="162"/>
      <c r="CW466" s="162"/>
      <c r="CX466" s="162"/>
      <c r="CY466" s="162"/>
      <c r="CZ466" s="162"/>
      <c r="DA466" s="230"/>
      <c r="DB466" s="230"/>
      <c r="DC466" s="162"/>
      <c r="DD466" s="162"/>
      <c r="DE466" s="162"/>
      <c r="DF466" s="162"/>
      <c r="DG466" s="162"/>
      <c r="DH466" s="230"/>
      <c r="DI466" s="230"/>
      <c r="DJ466" s="162"/>
      <c r="DK466" s="162"/>
      <c r="DL466" s="146"/>
      <c r="DM466" s="371"/>
      <c r="DN466" s="372"/>
      <c r="DO466" s="372"/>
      <c r="DP466" s="372"/>
      <c r="DQ466" s="372"/>
      <c r="DR466" s="372"/>
      <c r="DS466" s="372"/>
      <c r="DT466" s="372"/>
      <c r="DU466" s="372"/>
      <c r="DV466" s="372"/>
      <c r="DW466" s="146"/>
      <c r="DX466" s="146"/>
      <c r="DY466" s="146"/>
      <c r="DZ466" s="146"/>
      <c r="EA466" s="146"/>
      <c r="EB466" s="146"/>
      <c r="EC466" s="146"/>
      <c r="ED466" s="146"/>
      <c r="EE466" s="146"/>
      <c r="EF466" s="146"/>
      <c r="EG466" s="146"/>
      <c r="EH466" s="146"/>
    </row>
    <row r="467" spans="1:138" x14ac:dyDescent="0.25">
      <c r="A467" s="147"/>
      <c r="B467" s="147"/>
      <c r="C467" s="160"/>
      <c r="D467" s="160"/>
      <c r="E467" s="169"/>
      <c r="F467" s="229"/>
      <c r="G467" s="165"/>
      <c r="H467" s="165"/>
      <c r="I467" s="163"/>
      <c r="J467" s="163"/>
      <c r="K467" s="162"/>
      <c r="L467" s="162"/>
      <c r="M467" s="162"/>
      <c r="N467" s="230"/>
      <c r="O467" s="230"/>
      <c r="P467" s="162"/>
      <c r="Q467" s="162"/>
      <c r="R467" s="162"/>
      <c r="S467" s="162"/>
      <c r="T467" s="162"/>
      <c r="U467" s="230"/>
      <c r="V467" s="230"/>
      <c r="W467" s="162"/>
      <c r="X467" s="162"/>
      <c r="Y467" s="162"/>
      <c r="Z467" s="162"/>
      <c r="AA467" s="162"/>
      <c r="AB467" s="230"/>
      <c r="AC467" s="230"/>
      <c r="AD467" s="162"/>
      <c r="AE467" s="162"/>
      <c r="AF467" s="162"/>
      <c r="AG467" s="162"/>
      <c r="AH467" s="162"/>
      <c r="AI467" s="230"/>
      <c r="AJ467" s="230"/>
      <c r="AK467" s="162"/>
      <c r="AL467" s="162"/>
      <c r="AM467" s="162"/>
      <c r="AN467" s="162"/>
      <c r="AO467" s="162"/>
      <c r="AP467" s="230"/>
      <c r="AQ467" s="230"/>
      <c r="AR467" s="162"/>
      <c r="AS467" s="162"/>
      <c r="AT467" s="162"/>
      <c r="AU467" s="162"/>
      <c r="AV467" s="162"/>
      <c r="AW467" s="230"/>
      <c r="AX467" s="230"/>
      <c r="AY467" s="162"/>
      <c r="AZ467" s="162"/>
      <c r="BA467" s="162"/>
      <c r="BB467" s="162"/>
      <c r="BC467" s="162"/>
      <c r="BD467" s="230"/>
      <c r="BE467" s="230"/>
      <c r="BF467" s="162"/>
      <c r="BG467" s="162"/>
      <c r="BH467" s="162"/>
      <c r="BI467" s="162"/>
      <c r="BJ467" s="162"/>
      <c r="BK467" s="230"/>
      <c r="BL467" s="230"/>
      <c r="BM467" s="162"/>
      <c r="BN467" s="162"/>
      <c r="BO467" s="162"/>
      <c r="BP467" s="162"/>
      <c r="BQ467" s="162"/>
      <c r="BR467" s="230"/>
      <c r="BS467" s="230"/>
      <c r="BT467" s="162"/>
      <c r="BU467" s="162"/>
      <c r="BV467" s="162"/>
      <c r="BW467" s="162"/>
      <c r="BX467" s="162"/>
      <c r="BY467" s="230"/>
      <c r="BZ467" s="230"/>
      <c r="CA467" s="162"/>
      <c r="CB467" s="162"/>
      <c r="CC467" s="162"/>
      <c r="CD467" s="162"/>
      <c r="CE467" s="162"/>
      <c r="CF467" s="230"/>
      <c r="CG467" s="230"/>
      <c r="CH467" s="162"/>
      <c r="CI467" s="162"/>
      <c r="CJ467" s="162"/>
      <c r="CK467" s="162"/>
      <c r="CL467" s="162"/>
      <c r="CM467" s="230"/>
      <c r="CN467" s="230"/>
      <c r="CO467" s="162"/>
      <c r="CP467" s="162"/>
      <c r="CQ467" s="162"/>
      <c r="CR467" s="162"/>
      <c r="CS467" s="162"/>
      <c r="CT467" s="230"/>
      <c r="CU467" s="230"/>
      <c r="CV467" s="162"/>
      <c r="CW467" s="162"/>
      <c r="CX467" s="162"/>
      <c r="CY467" s="162"/>
      <c r="CZ467" s="162"/>
      <c r="DA467" s="230"/>
      <c r="DB467" s="230"/>
      <c r="DC467" s="162"/>
      <c r="DD467" s="162"/>
      <c r="DE467" s="162"/>
      <c r="DF467" s="162"/>
      <c r="DG467" s="162"/>
      <c r="DH467" s="230"/>
      <c r="DI467" s="230"/>
      <c r="DJ467" s="162"/>
      <c r="DK467" s="162"/>
      <c r="DL467" s="226"/>
      <c r="DM467" s="380"/>
      <c r="DN467" s="372"/>
      <c r="DO467" s="372"/>
      <c r="DP467" s="372"/>
      <c r="DQ467" s="372"/>
      <c r="DR467" s="372"/>
      <c r="DS467" s="372"/>
      <c r="DT467" s="88"/>
      <c r="DU467" s="88"/>
      <c r="DV467" s="88"/>
      <c r="DW467" s="226"/>
      <c r="DX467" s="226"/>
      <c r="DY467" s="226"/>
      <c r="DZ467" s="226"/>
      <c r="EA467" s="226"/>
      <c r="EB467" s="226"/>
      <c r="EC467" s="226"/>
      <c r="ED467" s="226"/>
      <c r="EE467" s="226"/>
      <c r="EF467" s="226"/>
      <c r="EG467" s="226"/>
      <c r="EH467" s="226"/>
    </row>
    <row r="468" spans="1:138" x14ac:dyDescent="0.25">
      <c r="A468" s="147"/>
      <c r="B468" s="147"/>
      <c r="C468" s="160"/>
      <c r="D468" s="160"/>
      <c r="E468" s="169"/>
      <c r="F468" s="229"/>
      <c r="G468" s="165"/>
      <c r="H468" s="165"/>
      <c r="I468" s="163"/>
      <c r="J468" s="163"/>
      <c r="K468" s="162"/>
      <c r="L468" s="162"/>
      <c r="M468" s="162"/>
      <c r="N468" s="230"/>
      <c r="O468" s="230"/>
      <c r="P468" s="162"/>
      <c r="Q468" s="162"/>
      <c r="R468" s="162"/>
      <c r="S468" s="162"/>
      <c r="T468" s="162"/>
      <c r="U468" s="230"/>
      <c r="V468" s="230"/>
      <c r="W468" s="162"/>
      <c r="X468" s="162"/>
      <c r="Y468" s="162"/>
      <c r="Z468" s="162"/>
      <c r="AA468" s="162"/>
      <c r="AB468" s="230"/>
      <c r="AC468" s="230"/>
      <c r="AD468" s="162"/>
      <c r="AE468" s="162"/>
      <c r="AF468" s="162"/>
      <c r="AG468" s="162"/>
      <c r="AH468" s="162"/>
      <c r="AI468" s="230"/>
      <c r="AJ468" s="230"/>
      <c r="AK468" s="162"/>
      <c r="AL468" s="162"/>
      <c r="AM468" s="162"/>
      <c r="AN468" s="162"/>
      <c r="AO468" s="162"/>
      <c r="AP468" s="230"/>
      <c r="AQ468" s="230"/>
      <c r="AR468" s="162"/>
      <c r="AS468" s="162"/>
      <c r="AT468" s="162"/>
      <c r="AU468" s="162"/>
      <c r="AV468" s="162"/>
      <c r="AW468" s="230"/>
      <c r="AX468" s="230"/>
      <c r="AY468" s="162"/>
      <c r="AZ468" s="162"/>
      <c r="BA468" s="162"/>
      <c r="BB468" s="162"/>
      <c r="BC468" s="162"/>
      <c r="BD468" s="230"/>
      <c r="BE468" s="230"/>
      <c r="BF468" s="162"/>
      <c r="BG468" s="162"/>
      <c r="BH468" s="162"/>
      <c r="BI468" s="162"/>
      <c r="BJ468" s="162"/>
      <c r="BK468" s="230"/>
      <c r="BL468" s="230"/>
      <c r="BM468" s="162"/>
      <c r="BN468" s="162"/>
      <c r="BO468" s="162"/>
      <c r="BP468" s="162"/>
      <c r="BQ468" s="162"/>
      <c r="BR468" s="230"/>
      <c r="BS468" s="230"/>
      <c r="BT468" s="162"/>
      <c r="BU468" s="162"/>
      <c r="BV468" s="162"/>
      <c r="BW468" s="162"/>
      <c r="BX468" s="162"/>
      <c r="BY468" s="230"/>
      <c r="BZ468" s="230"/>
      <c r="CA468" s="162"/>
      <c r="CB468" s="162"/>
      <c r="CC468" s="162"/>
      <c r="CD468" s="162"/>
      <c r="CE468" s="162"/>
      <c r="CF468" s="230"/>
      <c r="CG468" s="230"/>
      <c r="CH468" s="162"/>
      <c r="CI468" s="162"/>
      <c r="CJ468" s="162"/>
      <c r="CK468" s="162"/>
      <c r="CL468" s="162"/>
      <c r="CM468" s="230"/>
      <c r="CN468" s="230"/>
      <c r="CO468" s="162"/>
      <c r="CP468" s="162"/>
      <c r="CQ468" s="162"/>
      <c r="CR468" s="162"/>
      <c r="CS468" s="162"/>
      <c r="CT468" s="230"/>
      <c r="CU468" s="230"/>
      <c r="CV468" s="162"/>
      <c r="CW468" s="162"/>
      <c r="CX468" s="162"/>
      <c r="CY468" s="162"/>
      <c r="CZ468" s="162"/>
      <c r="DA468" s="230"/>
      <c r="DB468" s="230"/>
      <c r="DC468" s="162"/>
      <c r="DD468" s="162"/>
      <c r="DE468" s="162"/>
      <c r="DF468" s="162"/>
      <c r="DG468" s="162"/>
      <c r="DH468" s="230"/>
      <c r="DI468" s="230"/>
      <c r="DJ468" s="162"/>
      <c r="DK468" s="162"/>
      <c r="DL468" s="50"/>
      <c r="DM468" s="380"/>
      <c r="DN468" s="372"/>
      <c r="DO468" s="372"/>
      <c r="DP468" s="372"/>
      <c r="DQ468" s="372"/>
      <c r="DR468" s="372"/>
      <c r="DS468" s="372"/>
      <c r="DT468" s="88"/>
      <c r="DU468" s="88"/>
      <c r="DV468" s="88"/>
      <c r="DW468" s="50"/>
      <c r="DX468" s="50"/>
      <c r="DY468" s="50"/>
      <c r="DZ468" s="50"/>
      <c r="EA468" s="50"/>
      <c r="EB468" s="50"/>
      <c r="EC468" s="50"/>
      <c r="ED468" s="50"/>
      <c r="EE468" s="50"/>
      <c r="EF468" s="50"/>
      <c r="EG468" s="50"/>
      <c r="EH468" s="50"/>
    </row>
    <row r="469" spans="1:138" x14ac:dyDescent="0.25">
      <c r="A469" s="147"/>
      <c r="B469" s="147"/>
      <c r="C469" s="160"/>
      <c r="D469" s="160"/>
      <c r="E469" s="169"/>
      <c r="F469" s="229"/>
      <c r="G469" s="165"/>
      <c r="H469" s="165"/>
      <c r="I469" s="163"/>
      <c r="J469" s="163"/>
      <c r="K469" s="162"/>
      <c r="L469" s="162"/>
      <c r="M469" s="162"/>
      <c r="N469" s="230"/>
      <c r="O469" s="230"/>
      <c r="P469" s="162"/>
      <c r="Q469" s="162"/>
      <c r="R469" s="162"/>
      <c r="S469" s="162"/>
      <c r="T469" s="162"/>
      <c r="U469" s="230"/>
      <c r="V469" s="230"/>
      <c r="W469" s="162"/>
      <c r="X469" s="162"/>
      <c r="Y469" s="162"/>
      <c r="Z469" s="162"/>
      <c r="AA469" s="162"/>
      <c r="AB469" s="230"/>
      <c r="AC469" s="230"/>
      <c r="AD469" s="162"/>
      <c r="AE469" s="162"/>
      <c r="AF469" s="162"/>
      <c r="AG469" s="162"/>
      <c r="AH469" s="162"/>
      <c r="AI469" s="230"/>
      <c r="AJ469" s="230"/>
      <c r="AK469" s="162"/>
      <c r="AL469" s="162"/>
      <c r="AM469" s="162"/>
      <c r="AN469" s="162"/>
      <c r="AO469" s="162"/>
      <c r="AP469" s="230"/>
      <c r="AQ469" s="230"/>
      <c r="AR469" s="162"/>
      <c r="AS469" s="162"/>
      <c r="AT469" s="162"/>
      <c r="AU469" s="162"/>
      <c r="AV469" s="162"/>
      <c r="AW469" s="230"/>
      <c r="AX469" s="230"/>
      <c r="AY469" s="162"/>
      <c r="AZ469" s="162"/>
      <c r="BA469" s="162"/>
      <c r="BB469" s="162"/>
      <c r="BC469" s="162"/>
      <c r="BD469" s="230"/>
      <c r="BE469" s="230"/>
      <c r="BF469" s="162"/>
      <c r="BG469" s="162"/>
      <c r="BH469" s="162"/>
      <c r="BI469" s="162"/>
      <c r="BJ469" s="162"/>
      <c r="BK469" s="230"/>
      <c r="BL469" s="230"/>
      <c r="BM469" s="162"/>
      <c r="BN469" s="162"/>
      <c r="BO469" s="162"/>
      <c r="BP469" s="162"/>
      <c r="BQ469" s="162"/>
      <c r="BR469" s="230"/>
      <c r="BS469" s="230"/>
      <c r="BT469" s="162"/>
      <c r="BU469" s="162"/>
      <c r="BV469" s="162"/>
      <c r="BW469" s="162"/>
      <c r="BX469" s="162"/>
      <c r="BY469" s="230"/>
      <c r="BZ469" s="230"/>
      <c r="CA469" s="162"/>
      <c r="CB469" s="162"/>
      <c r="CC469" s="162"/>
      <c r="CD469" s="162"/>
      <c r="CE469" s="162"/>
      <c r="CF469" s="230"/>
      <c r="CG469" s="230"/>
      <c r="CH469" s="162"/>
      <c r="CI469" s="162"/>
      <c r="CJ469" s="162"/>
      <c r="CK469" s="162"/>
      <c r="CL469" s="162"/>
      <c r="CM469" s="230"/>
      <c r="CN469" s="230"/>
      <c r="CO469" s="162"/>
      <c r="CP469" s="162"/>
      <c r="CQ469" s="162"/>
      <c r="CR469" s="162"/>
      <c r="CS469" s="162"/>
      <c r="CT469" s="230"/>
      <c r="CU469" s="230"/>
      <c r="CV469" s="162"/>
      <c r="CW469" s="162"/>
      <c r="CX469" s="162"/>
      <c r="CY469" s="162"/>
      <c r="CZ469" s="162"/>
      <c r="DA469" s="230"/>
      <c r="DB469" s="230"/>
      <c r="DC469" s="162"/>
      <c r="DD469" s="162"/>
      <c r="DE469" s="162"/>
      <c r="DF469" s="162"/>
      <c r="DG469" s="162"/>
      <c r="DH469" s="230"/>
      <c r="DI469" s="230"/>
      <c r="DJ469" s="162"/>
      <c r="DK469" s="162"/>
      <c r="DL469" s="75"/>
      <c r="DM469" s="380"/>
      <c r="DN469" s="372"/>
      <c r="DO469" s="372"/>
      <c r="DP469" s="372"/>
      <c r="DQ469" s="372"/>
      <c r="DR469" s="372"/>
      <c r="DS469" s="372"/>
      <c r="DT469" s="146"/>
      <c r="DU469" s="146"/>
      <c r="DV469" s="146"/>
      <c r="DW469" s="75"/>
      <c r="DX469" s="75"/>
      <c r="DY469" s="75"/>
      <c r="DZ469" s="75"/>
      <c r="EA469" s="75"/>
      <c r="EB469" s="75"/>
      <c r="EC469" s="75"/>
      <c r="ED469" s="75"/>
      <c r="EE469" s="75"/>
      <c r="EF469" s="75"/>
      <c r="EG469" s="75"/>
      <c r="EH469" s="75"/>
    </row>
    <row r="470" spans="1:138" x14ac:dyDescent="0.25">
      <c r="A470" s="147"/>
      <c r="B470" s="147"/>
      <c r="C470" s="160"/>
      <c r="D470" s="160"/>
      <c r="E470" s="169"/>
      <c r="F470" s="229"/>
      <c r="G470" s="165"/>
      <c r="H470" s="165"/>
      <c r="I470" s="163"/>
      <c r="J470" s="163"/>
      <c r="K470" s="162"/>
      <c r="L470" s="162"/>
      <c r="M470" s="162"/>
      <c r="N470" s="230"/>
      <c r="O470" s="230"/>
      <c r="P470" s="162"/>
      <c r="Q470" s="162"/>
      <c r="R470" s="162"/>
      <c r="S470" s="162"/>
      <c r="T470" s="162"/>
      <c r="U470" s="230"/>
      <c r="V470" s="230"/>
      <c r="W470" s="162"/>
      <c r="X470" s="162"/>
      <c r="Y470" s="162"/>
      <c r="Z470" s="162"/>
      <c r="AA470" s="162"/>
      <c r="AB470" s="230"/>
      <c r="AC470" s="230"/>
      <c r="AD470" s="162"/>
      <c r="AE470" s="162"/>
      <c r="AF470" s="162"/>
      <c r="AG470" s="162"/>
      <c r="AH470" s="162"/>
      <c r="AI470" s="230"/>
      <c r="AJ470" s="230"/>
      <c r="AK470" s="162"/>
      <c r="AL470" s="162"/>
      <c r="AM470" s="162"/>
      <c r="AN470" s="162"/>
      <c r="AO470" s="162"/>
      <c r="AP470" s="230"/>
      <c r="AQ470" s="230"/>
      <c r="AR470" s="162"/>
      <c r="AS470" s="162"/>
      <c r="AT470" s="162"/>
      <c r="AU470" s="162"/>
      <c r="AV470" s="162"/>
      <c r="AW470" s="230"/>
      <c r="AX470" s="230"/>
      <c r="AY470" s="162"/>
      <c r="AZ470" s="162"/>
      <c r="BA470" s="162"/>
      <c r="BB470" s="162"/>
      <c r="BC470" s="162"/>
      <c r="BD470" s="230"/>
      <c r="BE470" s="230"/>
      <c r="BF470" s="162"/>
      <c r="BG470" s="162"/>
      <c r="BH470" s="162"/>
      <c r="BI470" s="162"/>
      <c r="BJ470" s="162"/>
      <c r="BK470" s="230"/>
      <c r="BL470" s="230"/>
      <c r="BM470" s="162"/>
      <c r="BN470" s="162"/>
      <c r="BO470" s="162"/>
      <c r="BP470" s="162"/>
      <c r="BQ470" s="162"/>
      <c r="BR470" s="230"/>
      <c r="BS470" s="230"/>
      <c r="BT470" s="162"/>
      <c r="BU470" s="162"/>
      <c r="BV470" s="162"/>
      <c r="BW470" s="162"/>
      <c r="BX470" s="162"/>
      <c r="BY470" s="230"/>
      <c r="BZ470" s="230"/>
      <c r="CA470" s="162"/>
      <c r="CB470" s="162"/>
      <c r="CC470" s="162"/>
      <c r="CD470" s="162"/>
      <c r="CE470" s="162"/>
      <c r="CF470" s="230"/>
      <c r="CG470" s="230"/>
      <c r="CH470" s="162"/>
      <c r="CI470" s="162"/>
      <c r="CJ470" s="162"/>
      <c r="CK470" s="162"/>
      <c r="CL470" s="162"/>
      <c r="CM470" s="230"/>
      <c r="CN470" s="230"/>
      <c r="CO470" s="162"/>
      <c r="CP470" s="162"/>
      <c r="CQ470" s="162"/>
      <c r="CR470" s="162"/>
      <c r="CS470" s="162"/>
      <c r="CT470" s="230"/>
      <c r="CU470" s="230"/>
      <c r="CV470" s="162"/>
      <c r="CW470" s="162"/>
      <c r="CX470" s="162"/>
      <c r="CY470" s="162"/>
      <c r="CZ470" s="162"/>
      <c r="DA470" s="230"/>
      <c r="DB470" s="230"/>
      <c r="DC470" s="162"/>
      <c r="DD470" s="162"/>
      <c r="DE470" s="162"/>
      <c r="DF470" s="162"/>
      <c r="DG470" s="162"/>
      <c r="DH470" s="230"/>
      <c r="DI470" s="230"/>
      <c r="DJ470" s="162"/>
      <c r="DK470" s="162"/>
      <c r="DL470" s="75"/>
      <c r="DM470" s="88"/>
      <c r="DN470" s="88"/>
      <c r="DO470" s="88"/>
      <c r="DP470" s="88"/>
      <c r="DQ470" s="88"/>
      <c r="DR470" s="88"/>
      <c r="DS470" s="88"/>
      <c r="DT470" s="88"/>
      <c r="DU470" s="88"/>
      <c r="DV470" s="88"/>
      <c r="DW470" s="75"/>
      <c r="DX470" s="75"/>
      <c r="DY470" s="75"/>
      <c r="DZ470" s="75"/>
      <c r="EA470" s="75"/>
      <c r="EB470" s="75"/>
      <c r="EC470" s="75"/>
      <c r="ED470" s="75"/>
      <c r="EE470" s="75"/>
      <c r="EF470" s="75"/>
      <c r="EG470" s="75"/>
      <c r="EH470" s="75"/>
    </row>
    <row r="471" spans="1:138" x14ac:dyDescent="0.25">
      <c r="A471" s="147"/>
      <c r="B471" s="147"/>
      <c r="C471" s="160"/>
      <c r="D471" s="160"/>
      <c r="E471" s="169"/>
      <c r="F471" s="229"/>
      <c r="G471" s="165"/>
      <c r="H471" s="165"/>
      <c r="I471" s="163"/>
      <c r="J471" s="163"/>
      <c r="K471" s="162"/>
      <c r="L471" s="162"/>
      <c r="M471" s="162"/>
      <c r="N471" s="230"/>
      <c r="O471" s="230"/>
      <c r="P471" s="162"/>
      <c r="Q471" s="162"/>
      <c r="R471" s="162"/>
      <c r="S471" s="162"/>
      <c r="T471" s="162"/>
      <c r="U471" s="230"/>
      <c r="V471" s="230"/>
      <c r="W471" s="162"/>
      <c r="X471" s="162"/>
      <c r="Y471" s="162"/>
      <c r="Z471" s="162"/>
      <c r="AA471" s="162"/>
      <c r="AB471" s="230"/>
      <c r="AC471" s="230"/>
      <c r="AD471" s="162"/>
      <c r="AE471" s="162"/>
      <c r="AF471" s="162"/>
      <c r="AG471" s="162"/>
      <c r="AH471" s="162"/>
      <c r="AI471" s="230"/>
      <c r="AJ471" s="230"/>
      <c r="AK471" s="162"/>
      <c r="AL471" s="162"/>
      <c r="AM471" s="162"/>
      <c r="AN471" s="162"/>
      <c r="AO471" s="162"/>
      <c r="AP471" s="230"/>
      <c r="AQ471" s="230"/>
      <c r="AR471" s="162"/>
      <c r="AS471" s="162"/>
      <c r="AT471" s="162"/>
      <c r="AU471" s="162"/>
      <c r="AV471" s="162"/>
      <c r="AW471" s="230"/>
      <c r="AX471" s="230"/>
      <c r="AY471" s="162"/>
      <c r="AZ471" s="162"/>
      <c r="BA471" s="162"/>
      <c r="BB471" s="162"/>
      <c r="BC471" s="162"/>
      <c r="BD471" s="230"/>
      <c r="BE471" s="230"/>
      <c r="BF471" s="162"/>
      <c r="BG471" s="162"/>
      <c r="BH471" s="162"/>
      <c r="BI471" s="162"/>
      <c r="BJ471" s="162"/>
      <c r="BK471" s="230"/>
      <c r="BL471" s="230"/>
      <c r="BM471" s="162"/>
      <c r="BN471" s="162"/>
      <c r="BO471" s="162"/>
      <c r="BP471" s="162"/>
      <c r="BQ471" s="162"/>
      <c r="BR471" s="230"/>
      <c r="BS471" s="230"/>
      <c r="BT471" s="162"/>
      <c r="BU471" s="162"/>
      <c r="BV471" s="162"/>
      <c r="BW471" s="162"/>
      <c r="BX471" s="162"/>
      <c r="BY471" s="230"/>
      <c r="BZ471" s="230"/>
      <c r="CA471" s="162"/>
      <c r="CB471" s="162"/>
      <c r="CC471" s="162"/>
      <c r="CD471" s="162"/>
      <c r="CE471" s="162"/>
      <c r="CF471" s="230"/>
      <c r="CG471" s="230"/>
      <c r="CH471" s="162"/>
      <c r="CI471" s="162"/>
      <c r="CJ471" s="162"/>
      <c r="CK471" s="162"/>
      <c r="CL471" s="162"/>
      <c r="CM471" s="230"/>
      <c r="CN471" s="230"/>
      <c r="CO471" s="162"/>
      <c r="CP471" s="162"/>
      <c r="CQ471" s="162"/>
      <c r="CR471" s="162"/>
      <c r="CS471" s="162"/>
      <c r="CT471" s="230"/>
      <c r="CU471" s="230"/>
      <c r="CV471" s="162"/>
      <c r="CW471" s="162"/>
      <c r="CX471" s="162"/>
      <c r="CY471" s="162"/>
      <c r="CZ471" s="162"/>
      <c r="DA471" s="230"/>
      <c r="DB471" s="230"/>
      <c r="DC471" s="162"/>
      <c r="DD471" s="162"/>
      <c r="DE471" s="162"/>
      <c r="DF471" s="162"/>
      <c r="DG471" s="162"/>
      <c r="DH471" s="230"/>
      <c r="DI471" s="230"/>
      <c r="DJ471" s="162"/>
      <c r="DK471" s="162"/>
      <c r="DL471" s="146"/>
      <c r="DM471" s="380"/>
      <c r="DN471" s="372"/>
      <c r="DO471" s="372"/>
      <c r="DP471" s="372"/>
      <c r="DQ471" s="372"/>
      <c r="DR471" s="372"/>
      <c r="DS471" s="372"/>
      <c r="DT471" s="88"/>
      <c r="DU471" s="88"/>
      <c r="DV471" s="88"/>
      <c r="DW471" s="146"/>
      <c r="DX471" s="146"/>
      <c r="DY471" s="146"/>
      <c r="DZ471" s="146"/>
      <c r="EA471" s="146"/>
      <c r="EB471" s="146"/>
      <c r="EC471" s="146"/>
      <c r="ED471" s="146"/>
      <c r="EE471" s="146"/>
      <c r="EF471" s="146"/>
      <c r="EG471" s="146"/>
      <c r="EH471" s="146"/>
    </row>
    <row r="472" spans="1:138" x14ac:dyDescent="0.25">
      <c r="A472" s="147"/>
      <c r="B472" s="147"/>
      <c r="C472" s="160"/>
      <c r="D472" s="160"/>
      <c r="E472" s="169"/>
      <c r="F472" s="229"/>
      <c r="G472" s="165"/>
      <c r="H472" s="165"/>
      <c r="I472" s="163"/>
      <c r="J472" s="163"/>
      <c r="K472" s="162"/>
      <c r="L472" s="162"/>
      <c r="M472" s="162"/>
      <c r="N472" s="230"/>
      <c r="O472" s="230"/>
      <c r="P472" s="162"/>
      <c r="Q472" s="162"/>
      <c r="R472" s="162"/>
      <c r="S472" s="162"/>
      <c r="T472" s="162"/>
      <c r="U472" s="230"/>
      <c r="V472" s="230"/>
      <c r="W472" s="162"/>
      <c r="X472" s="162"/>
      <c r="Y472" s="162"/>
      <c r="Z472" s="162"/>
      <c r="AA472" s="162"/>
      <c r="AB472" s="230"/>
      <c r="AC472" s="230"/>
      <c r="AD472" s="162"/>
      <c r="AE472" s="162"/>
      <c r="AF472" s="162"/>
      <c r="AG472" s="162"/>
      <c r="AH472" s="162"/>
      <c r="AI472" s="230"/>
      <c r="AJ472" s="230"/>
      <c r="AK472" s="162"/>
      <c r="AL472" s="162"/>
      <c r="AM472" s="162"/>
      <c r="AN472" s="162"/>
      <c r="AO472" s="162"/>
      <c r="AP472" s="230"/>
      <c r="AQ472" s="230"/>
      <c r="AR472" s="162"/>
      <c r="AS472" s="162"/>
      <c r="AT472" s="162"/>
      <c r="AU472" s="162"/>
      <c r="AV472" s="162"/>
      <c r="AW472" s="230"/>
      <c r="AX472" s="230"/>
      <c r="AY472" s="162"/>
      <c r="AZ472" s="162"/>
      <c r="BA472" s="162"/>
      <c r="BB472" s="162"/>
      <c r="BC472" s="162"/>
      <c r="BD472" s="230"/>
      <c r="BE472" s="230"/>
      <c r="BF472" s="162"/>
      <c r="BG472" s="162"/>
      <c r="BH472" s="162"/>
      <c r="BI472" s="162"/>
      <c r="BJ472" s="162"/>
      <c r="BK472" s="230"/>
      <c r="BL472" s="230"/>
      <c r="BM472" s="162"/>
      <c r="BN472" s="162"/>
      <c r="BO472" s="162"/>
      <c r="BP472" s="162"/>
      <c r="BQ472" s="162"/>
      <c r="BR472" s="230"/>
      <c r="BS472" s="230"/>
      <c r="BT472" s="162"/>
      <c r="BU472" s="162"/>
      <c r="BV472" s="162"/>
      <c r="BW472" s="162"/>
      <c r="BX472" s="162"/>
      <c r="BY472" s="230"/>
      <c r="BZ472" s="230"/>
      <c r="CA472" s="162"/>
      <c r="CB472" s="162"/>
      <c r="CC472" s="162"/>
      <c r="CD472" s="162"/>
      <c r="CE472" s="162"/>
      <c r="CF472" s="230"/>
      <c r="CG472" s="230"/>
      <c r="CH472" s="162"/>
      <c r="CI472" s="162"/>
      <c r="CJ472" s="162"/>
      <c r="CK472" s="162"/>
      <c r="CL472" s="162"/>
      <c r="CM472" s="230"/>
      <c r="CN472" s="230"/>
      <c r="CO472" s="162"/>
      <c r="CP472" s="162"/>
      <c r="CQ472" s="162"/>
      <c r="CR472" s="162"/>
      <c r="CS472" s="162"/>
      <c r="CT472" s="230"/>
      <c r="CU472" s="230"/>
      <c r="CV472" s="162"/>
      <c r="CW472" s="162"/>
      <c r="CX472" s="162"/>
      <c r="CY472" s="162"/>
      <c r="CZ472" s="162"/>
      <c r="DA472" s="230"/>
      <c r="DB472" s="230"/>
      <c r="DC472" s="162"/>
      <c r="DD472" s="162"/>
      <c r="DE472" s="162"/>
      <c r="DF472" s="162"/>
      <c r="DG472" s="162"/>
      <c r="DH472" s="230"/>
      <c r="DI472" s="230"/>
      <c r="DJ472" s="162"/>
      <c r="DK472" s="162"/>
      <c r="DL472" s="146"/>
      <c r="DM472" s="380"/>
      <c r="DN472" s="372"/>
      <c r="DO472" s="372"/>
      <c r="DP472" s="372"/>
      <c r="DQ472" s="372"/>
      <c r="DR472" s="372"/>
      <c r="DS472" s="372"/>
      <c r="DT472" s="89"/>
      <c r="DU472" s="89"/>
      <c r="DV472" s="89"/>
      <c r="DW472" s="146"/>
      <c r="DX472" s="146"/>
      <c r="DY472" s="146"/>
      <c r="DZ472" s="146"/>
      <c r="EA472" s="146"/>
      <c r="EB472" s="146"/>
      <c r="EC472" s="146"/>
      <c r="ED472" s="146"/>
      <c r="EE472" s="146"/>
      <c r="EF472" s="146"/>
      <c r="EG472" s="146"/>
      <c r="EH472" s="146"/>
    </row>
    <row r="473" spans="1:138" x14ac:dyDescent="0.25">
      <c r="A473" s="147"/>
      <c r="B473" s="147"/>
      <c r="C473" s="160"/>
      <c r="D473" s="160"/>
      <c r="E473" s="169"/>
      <c r="F473" s="229"/>
      <c r="G473" s="165"/>
      <c r="H473" s="165"/>
      <c r="I473" s="163"/>
      <c r="J473" s="163"/>
      <c r="K473" s="162"/>
      <c r="L473" s="162"/>
      <c r="M473" s="162"/>
      <c r="N473" s="230"/>
      <c r="O473" s="230"/>
      <c r="P473" s="162"/>
      <c r="Q473" s="162"/>
      <c r="R473" s="162"/>
      <c r="S473" s="162"/>
      <c r="T473" s="162"/>
      <c r="U473" s="230"/>
      <c r="V473" s="230"/>
      <c r="W473" s="162"/>
      <c r="X473" s="162"/>
      <c r="Y473" s="162"/>
      <c r="Z473" s="162"/>
      <c r="AA473" s="162"/>
      <c r="AB473" s="230"/>
      <c r="AC473" s="230"/>
      <c r="AD473" s="162"/>
      <c r="AE473" s="162"/>
      <c r="AF473" s="162"/>
      <c r="AG473" s="162"/>
      <c r="AH473" s="162"/>
      <c r="AI473" s="230"/>
      <c r="AJ473" s="230"/>
      <c r="AK473" s="162"/>
      <c r="AL473" s="162"/>
      <c r="AM473" s="162"/>
      <c r="AN473" s="162"/>
      <c r="AO473" s="162"/>
      <c r="AP473" s="230"/>
      <c r="AQ473" s="230"/>
      <c r="AR473" s="162"/>
      <c r="AS473" s="162"/>
      <c r="AT473" s="162"/>
      <c r="AU473" s="162"/>
      <c r="AV473" s="162"/>
      <c r="AW473" s="230"/>
      <c r="AX473" s="230"/>
      <c r="AY473" s="162"/>
      <c r="AZ473" s="162"/>
      <c r="BA473" s="162"/>
      <c r="BB473" s="162"/>
      <c r="BC473" s="162"/>
      <c r="BD473" s="230"/>
      <c r="BE473" s="230"/>
      <c r="BF473" s="162"/>
      <c r="BG473" s="162"/>
      <c r="BH473" s="162"/>
      <c r="BI473" s="162"/>
      <c r="BJ473" s="162"/>
      <c r="BK473" s="230"/>
      <c r="BL473" s="230"/>
      <c r="BM473" s="162"/>
      <c r="BN473" s="162"/>
      <c r="BO473" s="162"/>
      <c r="BP473" s="162"/>
      <c r="BQ473" s="162"/>
      <c r="BR473" s="230"/>
      <c r="BS473" s="230"/>
      <c r="BT473" s="162"/>
      <c r="BU473" s="162"/>
      <c r="BV473" s="162"/>
      <c r="BW473" s="162"/>
      <c r="BX473" s="162"/>
      <c r="BY473" s="230"/>
      <c r="BZ473" s="230"/>
      <c r="CA473" s="162"/>
      <c r="CB473" s="162"/>
      <c r="CC473" s="162"/>
      <c r="CD473" s="162"/>
      <c r="CE473" s="162"/>
      <c r="CF473" s="230"/>
      <c r="CG473" s="230"/>
      <c r="CH473" s="162"/>
      <c r="CI473" s="162"/>
      <c r="CJ473" s="162"/>
      <c r="CK473" s="162"/>
      <c r="CL473" s="162"/>
      <c r="CM473" s="230"/>
      <c r="CN473" s="230"/>
      <c r="CO473" s="162"/>
      <c r="CP473" s="162"/>
      <c r="CQ473" s="162"/>
      <c r="CR473" s="162"/>
      <c r="CS473" s="162"/>
      <c r="CT473" s="230"/>
      <c r="CU473" s="230"/>
      <c r="CV473" s="162"/>
      <c r="CW473" s="162"/>
      <c r="CX473" s="162"/>
      <c r="CY473" s="162"/>
      <c r="CZ473" s="162"/>
      <c r="DA473" s="230"/>
      <c r="DB473" s="230"/>
      <c r="DC473" s="162"/>
      <c r="DD473" s="162"/>
      <c r="DE473" s="162"/>
      <c r="DF473" s="162"/>
      <c r="DG473" s="162"/>
      <c r="DH473" s="230"/>
      <c r="DI473" s="230"/>
      <c r="DJ473" s="162"/>
      <c r="DK473" s="162"/>
      <c r="DL473" s="146"/>
      <c r="DM473" s="88"/>
      <c r="DN473" s="88"/>
      <c r="DO473" s="88"/>
      <c r="DP473" s="88"/>
      <c r="DQ473" s="88"/>
      <c r="DR473" s="88"/>
      <c r="DS473" s="88"/>
      <c r="DT473" s="88"/>
      <c r="DU473" s="88"/>
      <c r="DV473" s="88"/>
      <c r="DW473" s="146"/>
      <c r="DX473" s="146"/>
      <c r="DY473" s="146"/>
      <c r="DZ473" s="146"/>
      <c r="EA473" s="146"/>
      <c r="EB473" s="146"/>
      <c r="EC473" s="146"/>
      <c r="ED473" s="146"/>
      <c r="EE473" s="146"/>
      <c r="EF473" s="146"/>
      <c r="EG473" s="146"/>
      <c r="EH473" s="146"/>
    </row>
    <row r="474" spans="1:138" x14ac:dyDescent="0.25">
      <c r="A474" s="147"/>
      <c r="B474" s="147"/>
      <c r="C474" s="160"/>
      <c r="D474" s="160"/>
      <c r="E474" s="169"/>
      <c r="F474" s="229"/>
      <c r="G474" s="165"/>
      <c r="H474" s="165"/>
      <c r="I474" s="163"/>
      <c r="J474" s="163"/>
      <c r="K474" s="162"/>
      <c r="L474" s="162"/>
      <c r="M474" s="162"/>
      <c r="N474" s="230"/>
      <c r="O474" s="230"/>
      <c r="P474" s="162"/>
      <c r="Q474" s="162"/>
      <c r="R474" s="162"/>
      <c r="S474" s="162"/>
      <c r="T474" s="162"/>
      <c r="U474" s="230"/>
      <c r="V474" s="230"/>
      <c r="W474" s="162"/>
      <c r="X474" s="162"/>
      <c r="Y474" s="162"/>
      <c r="Z474" s="162"/>
      <c r="AA474" s="162"/>
      <c r="AB474" s="230"/>
      <c r="AC474" s="230"/>
      <c r="AD474" s="162"/>
      <c r="AE474" s="162"/>
      <c r="AF474" s="162"/>
      <c r="AG474" s="162"/>
      <c r="AH474" s="162"/>
      <c r="AI474" s="230"/>
      <c r="AJ474" s="230"/>
      <c r="AK474" s="162"/>
      <c r="AL474" s="162"/>
      <c r="AM474" s="162"/>
      <c r="AN474" s="162"/>
      <c r="AO474" s="162"/>
      <c r="AP474" s="230"/>
      <c r="AQ474" s="230"/>
      <c r="AR474" s="162"/>
      <c r="AS474" s="162"/>
      <c r="AT474" s="162"/>
      <c r="AU474" s="162"/>
      <c r="AV474" s="162"/>
      <c r="AW474" s="230"/>
      <c r="AX474" s="230"/>
      <c r="AY474" s="162"/>
      <c r="AZ474" s="162"/>
      <c r="BA474" s="162"/>
      <c r="BB474" s="162"/>
      <c r="BC474" s="162"/>
      <c r="BD474" s="230"/>
      <c r="BE474" s="230"/>
      <c r="BF474" s="162"/>
      <c r="BG474" s="162"/>
      <c r="BH474" s="162"/>
      <c r="BI474" s="162"/>
      <c r="BJ474" s="162"/>
      <c r="BK474" s="230"/>
      <c r="BL474" s="230"/>
      <c r="BM474" s="162"/>
      <c r="BN474" s="162"/>
      <c r="BO474" s="162"/>
      <c r="BP474" s="162"/>
      <c r="BQ474" s="162"/>
      <c r="BR474" s="230"/>
      <c r="BS474" s="230"/>
      <c r="BT474" s="162"/>
      <c r="BU474" s="162"/>
      <c r="BV474" s="162"/>
      <c r="BW474" s="162"/>
      <c r="BX474" s="162"/>
      <c r="BY474" s="230"/>
      <c r="BZ474" s="230"/>
      <c r="CA474" s="162"/>
      <c r="CB474" s="162"/>
      <c r="CC474" s="162"/>
      <c r="CD474" s="162"/>
      <c r="CE474" s="162"/>
      <c r="CF474" s="230"/>
      <c r="CG474" s="230"/>
      <c r="CH474" s="162"/>
      <c r="CI474" s="162"/>
      <c r="CJ474" s="162"/>
      <c r="CK474" s="162"/>
      <c r="CL474" s="162"/>
      <c r="CM474" s="230"/>
      <c r="CN474" s="230"/>
      <c r="CO474" s="162"/>
      <c r="CP474" s="162"/>
      <c r="CQ474" s="162"/>
      <c r="CR474" s="162"/>
      <c r="CS474" s="162"/>
      <c r="CT474" s="230"/>
      <c r="CU474" s="230"/>
      <c r="CV474" s="162"/>
      <c r="CW474" s="162"/>
      <c r="CX474" s="162"/>
      <c r="CY474" s="162"/>
      <c r="CZ474" s="162"/>
      <c r="DA474" s="230"/>
      <c r="DB474" s="230"/>
      <c r="DC474" s="162"/>
      <c r="DD474" s="162"/>
      <c r="DE474" s="162"/>
      <c r="DF474" s="162"/>
      <c r="DG474" s="162"/>
      <c r="DH474" s="230"/>
      <c r="DI474" s="230"/>
      <c r="DJ474" s="162"/>
      <c r="DK474" s="162"/>
      <c r="DL474" s="146"/>
      <c r="DM474" s="371"/>
      <c r="DN474" s="372"/>
      <c r="DO474" s="372"/>
      <c r="DP474" s="372"/>
      <c r="DQ474" s="372"/>
      <c r="DR474" s="372"/>
      <c r="DS474" s="372"/>
      <c r="DT474" s="372"/>
      <c r="DU474" s="372"/>
      <c r="DV474" s="372"/>
      <c r="DW474" s="146"/>
      <c r="DX474" s="146"/>
      <c r="DY474" s="146"/>
      <c r="DZ474" s="146"/>
      <c r="EA474" s="146"/>
      <c r="EB474" s="146"/>
      <c r="EC474" s="146"/>
      <c r="ED474" s="146"/>
      <c r="EE474" s="146"/>
      <c r="EF474" s="146"/>
      <c r="EG474" s="146"/>
      <c r="EH474" s="146"/>
    </row>
    <row r="475" spans="1:138" x14ac:dyDescent="0.25">
      <c r="A475" s="147"/>
      <c r="B475" s="147"/>
      <c r="C475" s="160"/>
      <c r="D475" s="160"/>
      <c r="E475" s="169"/>
      <c r="F475" s="229"/>
      <c r="G475" s="165"/>
      <c r="H475" s="165"/>
      <c r="I475" s="163"/>
      <c r="J475" s="163"/>
      <c r="K475" s="162"/>
      <c r="L475" s="162"/>
      <c r="M475" s="162"/>
      <c r="N475" s="230"/>
      <c r="O475" s="230"/>
      <c r="P475" s="162"/>
      <c r="Q475" s="162"/>
      <c r="R475" s="162"/>
      <c r="S475" s="162"/>
      <c r="T475" s="162"/>
      <c r="U475" s="230"/>
      <c r="V475" s="230"/>
      <c r="W475" s="162"/>
      <c r="X475" s="162"/>
      <c r="Y475" s="162"/>
      <c r="Z475" s="162"/>
      <c r="AA475" s="162"/>
      <c r="AB475" s="230"/>
      <c r="AC475" s="230"/>
      <c r="AD475" s="162"/>
      <c r="AE475" s="162"/>
      <c r="AF475" s="162"/>
      <c r="AG475" s="162"/>
      <c r="AH475" s="162"/>
      <c r="AI475" s="230"/>
      <c r="AJ475" s="230"/>
      <c r="AK475" s="162"/>
      <c r="AL475" s="162"/>
      <c r="AM475" s="162"/>
      <c r="AN475" s="162"/>
      <c r="AO475" s="162"/>
      <c r="AP475" s="230"/>
      <c r="AQ475" s="230"/>
      <c r="AR475" s="162"/>
      <c r="AS475" s="162"/>
      <c r="AT475" s="162"/>
      <c r="AU475" s="162"/>
      <c r="AV475" s="162"/>
      <c r="AW475" s="230"/>
      <c r="AX475" s="230"/>
      <c r="AY475" s="162"/>
      <c r="AZ475" s="162"/>
      <c r="BA475" s="162"/>
      <c r="BB475" s="162"/>
      <c r="BC475" s="162"/>
      <c r="BD475" s="230"/>
      <c r="BE475" s="230"/>
      <c r="BF475" s="162"/>
      <c r="BG475" s="162"/>
      <c r="BH475" s="162"/>
      <c r="BI475" s="162"/>
      <c r="BJ475" s="162"/>
      <c r="BK475" s="230"/>
      <c r="BL475" s="230"/>
      <c r="BM475" s="162"/>
      <c r="BN475" s="162"/>
      <c r="BO475" s="162"/>
      <c r="BP475" s="162"/>
      <c r="BQ475" s="162"/>
      <c r="BR475" s="230"/>
      <c r="BS475" s="230"/>
      <c r="BT475" s="162"/>
      <c r="BU475" s="162"/>
      <c r="BV475" s="162"/>
      <c r="BW475" s="162"/>
      <c r="BX475" s="162"/>
      <c r="BY475" s="230"/>
      <c r="BZ475" s="230"/>
      <c r="CA475" s="162"/>
      <c r="CB475" s="162"/>
      <c r="CC475" s="162"/>
      <c r="CD475" s="162"/>
      <c r="CE475" s="162"/>
      <c r="CF475" s="230"/>
      <c r="CG475" s="230"/>
      <c r="CH475" s="162"/>
      <c r="CI475" s="162"/>
      <c r="CJ475" s="162"/>
      <c r="CK475" s="162"/>
      <c r="CL475" s="162"/>
      <c r="CM475" s="230"/>
      <c r="CN475" s="230"/>
      <c r="CO475" s="162"/>
      <c r="CP475" s="162"/>
      <c r="CQ475" s="162"/>
      <c r="CR475" s="162"/>
      <c r="CS475" s="162"/>
      <c r="CT475" s="230"/>
      <c r="CU475" s="230"/>
      <c r="CV475" s="162"/>
      <c r="CW475" s="162"/>
      <c r="CX475" s="162"/>
      <c r="CY475" s="162"/>
      <c r="CZ475" s="162"/>
      <c r="DA475" s="230"/>
      <c r="DB475" s="230"/>
      <c r="DC475" s="162"/>
      <c r="DD475" s="162"/>
      <c r="DE475" s="162"/>
      <c r="DF475" s="162"/>
      <c r="DG475" s="162"/>
      <c r="DH475" s="230"/>
      <c r="DI475" s="230"/>
      <c r="DJ475" s="162"/>
      <c r="DK475" s="162"/>
      <c r="DL475" s="146"/>
      <c r="DM475" s="371"/>
      <c r="DN475" s="372"/>
      <c r="DO475" s="372"/>
      <c r="DP475" s="372"/>
      <c r="DQ475" s="372"/>
      <c r="DR475" s="372"/>
      <c r="DS475" s="372"/>
      <c r="DT475" s="372"/>
      <c r="DU475" s="372"/>
      <c r="DV475" s="372"/>
      <c r="DW475" s="146"/>
      <c r="DX475" s="146"/>
      <c r="DY475" s="146"/>
      <c r="DZ475" s="146"/>
      <c r="EA475" s="146"/>
      <c r="EB475" s="146"/>
      <c r="EC475" s="146"/>
      <c r="ED475" s="146"/>
      <c r="EE475" s="146"/>
      <c r="EF475" s="146"/>
      <c r="EG475" s="146"/>
      <c r="EH475" s="146"/>
    </row>
    <row r="476" spans="1:138" x14ac:dyDescent="0.25">
      <c r="A476" s="147"/>
      <c r="B476" s="147"/>
      <c r="C476" s="160"/>
      <c r="D476" s="160"/>
      <c r="E476" s="169"/>
      <c r="F476" s="229"/>
      <c r="G476" s="165"/>
      <c r="H476" s="165"/>
      <c r="I476" s="163"/>
      <c r="J476" s="163"/>
      <c r="K476" s="162"/>
      <c r="L476" s="162"/>
      <c r="M476" s="162"/>
      <c r="N476" s="230"/>
      <c r="O476" s="230"/>
      <c r="P476" s="162"/>
      <c r="Q476" s="162"/>
      <c r="R476" s="162"/>
      <c r="S476" s="162"/>
      <c r="T476" s="162"/>
      <c r="U476" s="230"/>
      <c r="V476" s="230"/>
      <c r="W476" s="162"/>
      <c r="X476" s="162"/>
      <c r="Y476" s="162"/>
      <c r="Z476" s="162"/>
      <c r="AA476" s="162"/>
      <c r="AB476" s="230"/>
      <c r="AC476" s="230"/>
      <c r="AD476" s="162"/>
      <c r="AE476" s="162"/>
      <c r="AF476" s="162"/>
      <c r="AG476" s="162"/>
      <c r="AH476" s="162"/>
      <c r="AI476" s="230"/>
      <c r="AJ476" s="230"/>
      <c r="AK476" s="162"/>
      <c r="AL476" s="162"/>
      <c r="AM476" s="162"/>
      <c r="AN476" s="162"/>
      <c r="AO476" s="162"/>
      <c r="AP476" s="230"/>
      <c r="AQ476" s="230"/>
      <c r="AR476" s="162"/>
      <c r="AS476" s="162"/>
      <c r="AT476" s="162"/>
      <c r="AU476" s="162"/>
      <c r="AV476" s="162"/>
      <c r="AW476" s="230"/>
      <c r="AX476" s="230"/>
      <c r="AY476" s="162"/>
      <c r="AZ476" s="162"/>
      <c r="BA476" s="162"/>
      <c r="BB476" s="162"/>
      <c r="BC476" s="162"/>
      <c r="BD476" s="230"/>
      <c r="BE476" s="230"/>
      <c r="BF476" s="162"/>
      <c r="BG476" s="162"/>
      <c r="BH476" s="162"/>
      <c r="BI476" s="162"/>
      <c r="BJ476" s="162"/>
      <c r="BK476" s="230"/>
      <c r="BL476" s="230"/>
      <c r="BM476" s="162"/>
      <c r="BN476" s="162"/>
      <c r="BO476" s="162"/>
      <c r="BP476" s="162"/>
      <c r="BQ476" s="162"/>
      <c r="BR476" s="230"/>
      <c r="BS476" s="230"/>
      <c r="BT476" s="162"/>
      <c r="BU476" s="162"/>
      <c r="BV476" s="162"/>
      <c r="BW476" s="162"/>
      <c r="BX476" s="162"/>
      <c r="BY476" s="230"/>
      <c r="BZ476" s="230"/>
      <c r="CA476" s="162"/>
      <c r="CB476" s="162"/>
      <c r="CC476" s="162"/>
      <c r="CD476" s="162"/>
      <c r="CE476" s="162"/>
      <c r="CF476" s="230"/>
      <c r="CG476" s="230"/>
      <c r="CH476" s="162"/>
      <c r="CI476" s="162"/>
      <c r="CJ476" s="162"/>
      <c r="CK476" s="162"/>
      <c r="CL476" s="162"/>
      <c r="CM476" s="230"/>
      <c r="CN476" s="230"/>
      <c r="CO476" s="162"/>
      <c r="CP476" s="162"/>
      <c r="CQ476" s="162"/>
      <c r="CR476" s="162"/>
      <c r="CS476" s="162"/>
      <c r="CT476" s="230"/>
      <c r="CU476" s="230"/>
      <c r="CV476" s="162"/>
      <c r="CW476" s="162"/>
      <c r="CX476" s="162"/>
      <c r="CY476" s="162"/>
      <c r="CZ476" s="162"/>
      <c r="DA476" s="230"/>
      <c r="DB476" s="230"/>
      <c r="DC476" s="162"/>
      <c r="DD476" s="162"/>
      <c r="DE476" s="162"/>
      <c r="DF476" s="162"/>
      <c r="DG476" s="162"/>
      <c r="DH476" s="230"/>
      <c r="DI476" s="230"/>
      <c r="DJ476" s="162"/>
      <c r="DK476" s="162"/>
      <c r="DL476" s="226"/>
      <c r="DM476" s="380"/>
      <c r="DN476" s="372"/>
      <c r="DO476" s="372"/>
      <c r="DP476" s="372"/>
      <c r="DQ476" s="372"/>
      <c r="DR476" s="372"/>
      <c r="DS476" s="372"/>
      <c r="DT476" s="88"/>
      <c r="DU476" s="88"/>
      <c r="DV476" s="88"/>
      <c r="DW476" s="226"/>
      <c r="DX476" s="226"/>
      <c r="DY476" s="226"/>
      <c r="DZ476" s="226"/>
      <c r="EA476" s="226"/>
      <c r="EB476" s="226"/>
      <c r="EC476" s="226"/>
      <c r="ED476" s="226"/>
      <c r="EE476" s="226"/>
      <c r="EF476" s="226"/>
      <c r="EG476" s="226"/>
      <c r="EH476" s="226"/>
    </row>
    <row r="477" spans="1:138" x14ac:dyDescent="0.25">
      <c r="A477" s="147"/>
      <c r="B477" s="147"/>
      <c r="C477" s="160"/>
      <c r="D477" s="160"/>
      <c r="E477" s="169"/>
      <c r="F477" s="229"/>
      <c r="G477" s="165"/>
      <c r="H477" s="165"/>
      <c r="I477" s="163"/>
      <c r="J477" s="163"/>
      <c r="K477" s="162"/>
      <c r="L477" s="162"/>
      <c r="M477" s="162"/>
      <c r="N477" s="230"/>
      <c r="O477" s="230"/>
      <c r="P477" s="162"/>
      <c r="Q477" s="162"/>
      <c r="R477" s="162"/>
      <c r="S477" s="162"/>
      <c r="T477" s="162"/>
      <c r="U477" s="230"/>
      <c r="V477" s="230"/>
      <c r="W477" s="162"/>
      <c r="X477" s="162"/>
      <c r="Y477" s="162"/>
      <c r="Z477" s="162"/>
      <c r="AA477" s="162"/>
      <c r="AB477" s="230"/>
      <c r="AC477" s="230"/>
      <c r="AD477" s="162"/>
      <c r="AE477" s="162"/>
      <c r="AF477" s="162"/>
      <c r="AG477" s="162"/>
      <c r="AH477" s="162"/>
      <c r="AI477" s="230"/>
      <c r="AJ477" s="230"/>
      <c r="AK477" s="162"/>
      <c r="AL477" s="162"/>
      <c r="AM477" s="162"/>
      <c r="AN477" s="162"/>
      <c r="AO477" s="162"/>
      <c r="AP477" s="230"/>
      <c r="AQ477" s="230"/>
      <c r="AR477" s="162"/>
      <c r="AS477" s="162"/>
      <c r="AT477" s="162"/>
      <c r="AU477" s="162"/>
      <c r="AV477" s="162"/>
      <c r="AW477" s="230"/>
      <c r="AX477" s="230"/>
      <c r="AY477" s="162"/>
      <c r="AZ477" s="162"/>
      <c r="BA477" s="162"/>
      <c r="BB477" s="162"/>
      <c r="BC477" s="162"/>
      <c r="BD477" s="230"/>
      <c r="BE477" s="230"/>
      <c r="BF477" s="162"/>
      <c r="BG477" s="162"/>
      <c r="BH477" s="162"/>
      <c r="BI477" s="162"/>
      <c r="BJ477" s="162"/>
      <c r="BK477" s="230"/>
      <c r="BL477" s="230"/>
      <c r="BM477" s="162"/>
      <c r="BN477" s="162"/>
      <c r="BO477" s="162"/>
      <c r="BP477" s="162"/>
      <c r="BQ477" s="162"/>
      <c r="BR477" s="230"/>
      <c r="BS477" s="230"/>
      <c r="BT477" s="162"/>
      <c r="BU477" s="162"/>
      <c r="BV477" s="162"/>
      <c r="BW477" s="162"/>
      <c r="BX477" s="162"/>
      <c r="BY477" s="230"/>
      <c r="BZ477" s="230"/>
      <c r="CA477" s="162"/>
      <c r="CB477" s="162"/>
      <c r="CC477" s="162"/>
      <c r="CD477" s="162"/>
      <c r="CE477" s="162"/>
      <c r="CF477" s="230"/>
      <c r="CG477" s="230"/>
      <c r="CH477" s="162"/>
      <c r="CI477" s="162"/>
      <c r="CJ477" s="162"/>
      <c r="CK477" s="162"/>
      <c r="CL477" s="162"/>
      <c r="CM477" s="230"/>
      <c r="CN477" s="230"/>
      <c r="CO477" s="162"/>
      <c r="CP477" s="162"/>
      <c r="CQ477" s="162"/>
      <c r="CR477" s="162"/>
      <c r="CS477" s="162"/>
      <c r="CT477" s="230"/>
      <c r="CU477" s="230"/>
      <c r="CV477" s="162"/>
      <c r="CW477" s="162"/>
      <c r="CX477" s="162"/>
      <c r="CY477" s="162"/>
      <c r="CZ477" s="162"/>
      <c r="DA477" s="230"/>
      <c r="DB477" s="230"/>
      <c r="DC477" s="162"/>
      <c r="DD477" s="162"/>
      <c r="DE477" s="162"/>
      <c r="DF477" s="162"/>
      <c r="DG477" s="162"/>
      <c r="DH477" s="230"/>
      <c r="DI477" s="230"/>
      <c r="DJ477" s="162"/>
      <c r="DK477" s="162"/>
      <c r="DL477" s="147"/>
      <c r="DM477" s="147"/>
      <c r="DN477" s="147"/>
      <c r="DO477" s="147"/>
      <c r="DP477" s="147"/>
      <c r="DQ477" s="147"/>
      <c r="DR477" s="147"/>
      <c r="DS477" s="147"/>
      <c r="DT477" s="147"/>
      <c r="DU477" s="147"/>
      <c r="DV477" s="147"/>
      <c r="DW477" s="147"/>
      <c r="DX477" s="147"/>
      <c r="DY477" s="147"/>
      <c r="DZ477" s="147"/>
      <c r="EA477" s="147"/>
      <c r="EB477" s="147"/>
      <c r="EC477" s="147"/>
      <c r="ED477" s="147"/>
      <c r="EE477" s="147"/>
      <c r="EF477" s="147"/>
      <c r="EG477" s="147"/>
      <c r="EH477" s="147"/>
    </row>
    <row r="478" spans="1:138" x14ac:dyDescent="0.25">
      <c r="A478" s="147"/>
      <c r="B478" s="147"/>
      <c r="C478" s="160"/>
      <c r="D478" s="160"/>
      <c r="E478" s="169"/>
      <c r="F478" s="229"/>
      <c r="G478" s="165"/>
      <c r="H478" s="165"/>
      <c r="I478" s="163"/>
      <c r="J478" s="163"/>
      <c r="K478" s="162"/>
      <c r="L478" s="162"/>
      <c r="M478" s="162"/>
      <c r="N478" s="230"/>
      <c r="O478" s="230"/>
      <c r="P478" s="162"/>
      <c r="Q478" s="162"/>
      <c r="R478" s="162"/>
      <c r="S478" s="162"/>
      <c r="T478" s="162"/>
      <c r="U478" s="230"/>
      <c r="V478" s="230"/>
      <c r="W478" s="162"/>
      <c r="X478" s="162"/>
      <c r="Y478" s="162"/>
      <c r="Z478" s="162"/>
      <c r="AA478" s="162"/>
      <c r="AB478" s="230"/>
      <c r="AC478" s="230"/>
      <c r="AD478" s="162"/>
      <c r="AE478" s="162"/>
      <c r="AF478" s="162"/>
      <c r="AG478" s="162"/>
      <c r="AH478" s="162"/>
      <c r="AI478" s="230"/>
      <c r="AJ478" s="230"/>
      <c r="AK478" s="162"/>
      <c r="AL478" s="162"/>
      <c r="AM478" s="162"/>
      <c r="AN478" s="162"/>
      <c r="AO478" s="162"/>
      <c r="AP478" s="230"/>
      <c r="AQ478" s="230"/>
      <c r="AR478" s="162"/>
      <c r="AS478" s="162"/>
      <c r="AT478" s="162"/>
      <c r="AU478" s="162"/>
      <c r="AV478" s="162"/>
      <c r="AW478" s="230"/>
      <c r="AX478" s="230"/>
      <c r="AY478" s="162"/>
      <c r="AZ478" s="162"/>
      <c r="BA478" s="162"/>
      <c r="BB478" s="162"/>
      <c r="BC478" s="162"/>
      <c r="BD478" s="230"/>
      <c r="BE478" s="230"/>
      <c r="BF478" s="162"/>
      <c r="BG478" s="162"/>
      <c r="BH478" s="162"/>
      <c r="BI478" s="162"/>
      <c r="BJ478" s="162"/>
      <c r="BK478" s="230"/>
      <c r="BL478" s="230"/>
      <c r="BM478" s="162"/>
      <c r="BN478" s="162"/>
      <c r="BO478" s="162"/>
      <c r="BP478" s="162"/>
      <c r="BQ478" s="162"/>
      <c r="BR478" s="230"/>
      <c r="BS478" s="230"/>
      <c r="BT478" s="162"/>
      <c r="BU478" s="162"/>
      <c r="BV478" s="162"/>
      <c r="BW478" s="162"/>
      <c r="BX478" s="162"/>
      <c r="BY478" s="230"/>
      <c r="BZ478" s="230"/>
      <c r="CA478" s="162"/>
      <c r="CB478" s="162"/>
      <c r="CC478" s="162"/>
      <c r="CD478" s="162"/>
      <c r="CE478" s="162"/>
      <c r="CF478" s="230"/>
      <c r="CG478" s="230"/>
      <c r="CH478" s="162"/>
      <c r="CI478" s="162"/>
      <c r="CJ478" s="162"/>
      <c r="CK478" s="162"/>
      <c r="CL478" s="162"/>
      <c r="CM478" s="230"/>
      <c r="CN478" s="230"/>
      <c r="CO478" s="162"/>
      <c r="CP478" s="162"/>
      <c r="CQ478" s="162"/>
      <c r="CR478" s="162"/>
      <c r="CS478" s="162"/>
      <c r="CT478" s="230"/>
      <c r="CU478" s="230"/>
      <c r="CV478" s="162"/>
      <c r="CW478" s="162"/>
      <c r="CX478" s="162"/>
      <c r="CY478" s="162"/>
      <c r="CZ478" s="162"/>
      <c r="DA478" s="230"/>
      <c r="DB478" s="230"/>
      <c r="DC478" s="162"/>
      <c r="DD478" s="162"/>
      <c r="DE478" s="162"/>
      <c r="DF478" s="162"/>
      <c r="DG478" s="162"/>
      <c r="DH478" s="230"/>
      <c r="DI478" s="230"/>
      <c r="DJ478" s="162"/>
      <c r="DK478" s="162"/>
      <c r="DL478" s="147"/>
      <c r="DM478" s="147"/>
      <c r="DN478" s="147"/>
      <c r="DO478" s="147"/>
      <c r="DP478" s="147"/>
      <c r="DQ478" s="147"/>
      <c r="DR478" s="147"/>
      <c r="DS478" s="147"/>
      <c r="DT478" s="147"/>
      <c r="DU478" s="147"/>
      <c r="DV478" s="147"/>
      <c r="DW478" s="147"/>
      <c r="DX478" s="147"/>
      <c r="DY478" s="147"/>
      <c r="DZ478" s="147"/>
      <c r="EA478" s="147"/>
      <c r="EB478" s="147"/>
      <c r="EC478" s="147"/>
      <c r="ED478" s="147"/>
      <c r="EE478" s="147"/>
      <c r="EF478" s="147"/>
      <c r="EG478" s="147"/>
      <c r="EH478" s="147"/>
    </row>
    <row r="479" spans="1:138" x14ac:dyDescent="0.25">
      <c r="A479" s="147"/>
      <c r="B479" s="147"/>
      <c r="C479" s="160"/>
      <c r="D479" s="160"/>
      <c r="E479" s="169"/>
      <c r="F479" s="229"/>
      <c r="G479" s="165"/>
      <c r="H479" s="165"/>
      <c r="I479" s="163"/>
      <c r="J479" s="163"/>
      <c r="K479" s="162"/>
      <c r="L479" s="162"/>
      <c r="M479" s="162"/>
      <c r="N479" s="230"/>
      <c r="O479" s="230"/>
      <c r="P479" s="162"/>
      <c r="Q479" s="162"/>
      <c r="R479" s="162"/>
      <c r="S479" s="162"/>
      <c r="T479" s="162"/>
      <c r="U479" s="230"/>
      <c r="V479" s="230"/>
      <c r="W479" s="162"/>
      <c r="X479" s="162"/>
      <c r="Y479" s="162"/>
      <c r="Z479" s="162"/>
      <c r="AA479" s="162"/>
      <c r="AB479" s="230"/>
      <c r="AC479" s="230"/>
      <c r="AD479" s="162"/>
      <c r="AE479" s="162"/>
      <c r="AF479" s="162"/>
      <c r="AG479" s="162"/>
      <c r="AH479" s="162"/>
      <c r="AI479" s="230"/>
      <c r="AJ479" s="230"/>
      <c r="AK479" s="162"/>
      <c r="AL479" s="162"/>
      <c r="AM479" s="162"/>
      <c r="AN479" s="162"/>
      <c r="AO479" s="162"/>
      <c r="AP479" s="230"/>
      <c r="AQ479" s="230"/>
      <c r="AR479" s="162"/>
      <c r="AS479" s="162"/>
      <c r="AT479" s="162"/>
      <c r="AU479" s="162"/>
      <c r="AV479" s="162"/>
      <c r="AW479" s="230"/>
      <c r="AX479" s="230"/>
      <c r="AY479" s="162"/>
      <c r="AZ479" s="162"/>
      <c r="BA479" s="162"/>
      <c r="BB479" s="162"/>
      <c r="BC479" s="162"/>
      <c r="BD479" s="230"/>
      <c r="BE479" s="230"/>
      <c r="BF479" s="162"/>
      <c r="BG479" s="162"/>
      <c r="BH479" s="162"/>
      <c r="BI479" s="162"/>
      <c r="BJ479" s="162"/>
      <c r="BK479" s="230"/>
      <c r="BL479" s="230"/>
      <c r="BM479" s="162"/>
      <c r="BN479" s="162"/>
      <c r="BO479" s="162"/>
      <c r="BP479" s="162"/>
      <c r="BQ479" s="162"/>
      <c r="BR479" s="230"/>
      <c r="BS479" s="230"/>
      <c r="BT479" s="162"/>
      <c r="BU479" s="162"/>
      <c r="BV479" s="162"/>
      <c r="BW479" s="162"/>
      <c r="BX479" s="162"/>
      <c r="BY479" s="230"/>
      <c r="BZ479" s="230"/>
      <c r="CA479" s="162"/>
      <c r="CB479" s="162"/>
      <c r="CC479" s="162"/>
      <c r="CD479" s="162"/>
      <c r="CE479" s="162"/>
      <c r="CF479" s="230"/>
      <c r="CG479" s="230"/>
      <c r="CH479" s="162"/>
      <c r="CI479" s="162"/>
      <c r="CJ479" s="162"/>
      <c r="CK479" s="162"/>
      <c r="CL479" s="162"/>
      <c r="CM479" s="230"/>
      <c r="CN479" s="230"/>
      <c r="CO479" s="162"/>
      <c r="CP479" s="162"/>
      <c r="CQ479" s="162"/>
      <c r="CR479" s="162"/>
      <c r="CS479" s="162"/>
      <c r="CT479" s="230"/>
      <c r="CU479" s="230"/>
      <c r="CV479" s="162"/>
      <c r="CW479" s="162"/>
      <c r="CX479" s="162"/>
      <c r="CY479" s="162"/>
      <c r="CZ479" s="162"/>
      <c r="DA479" s="230"/>
      <c r="DB479" s="230"/>
      <c r="DC479" s="162"/>
      <c r="DD479" s="162"/>
      <c r="DE479" s="162"/>
      <c r="DF479" s="162"/>
      <c r="DG479" s="162"/>
      <c r="DH479" s="230"/>
      <c r="DI479" s="230"/>
      <c r="DJ479" s="162"/>
      <c r="DK479" s="162"/>
      <c r="DL479" s="147"/>
      <c r="DM479" s="147"/>
      <c r="DN479" s="147"/>
      <c r="DO479" s="147"/>
      <c r="DP479" s="147"/>
      <c r="DQ479" s="147"/>
      <c r="DR479" s="147"/>
      <c r="DS479" s="147"/>
      <c r="DT479" s="147"/>
      <c r="DU479" s="147"/>
      <c r="DV479" s="147"/>
      <c r="DW479" s="147"/>
      <c r="DX479" s="147"/>
      <c r="DY479" s="147"/>
      <c r="DZ479" s="147"/>
      <c r="EA479" s="147"/>
      <c r="EB479" s="147"/>
      <c r="EC479" s="147"/>
      <c r="ED479" s="147"/>
      <c r="EE479" s="147"/>
      <c r="EF479" s="147"/>
      <c r="EG479" s="147"/>
      <c r="EH479" s="147"/>
    </row>
    <row r="480" spans="1:138" x14ac:dyDescent="0.25">
      <c r="A480" s="147"/>
      <c r="B480" s="147"/>
      <c r="C480" s="160"/>
      <c r="D480" s="160"/>
      <c r="E480" s="169"/>
      <c r="F480" s="229"/>
      <c r="G480" s="165"/>
      <c r="H480" s="165"/>
      <c r="I480" s="163"/>
      <c r="J480" s="163"/>
      <c r="K480" s="162"/>
      <c r="L480" s="162"/>
      <c r="M480" s="162"/>
      <c r="N480" s="230"/>
      <c r="O480" s="230"/>
      <c r="P480" s="162"/>
      <c r="Q480" s="162"/>
      <c r="R480" s="162"/>
      <c r="S480" s="162"/>
      <c r="T480" s="162"/>
      <c r="U480" s="230"/>
      <c r="V480" s="230"/>
      <c r="W480" s="162"/>
      <c r="X480" s="162"/>
      <c r="Y480" s="162"/>
      <c r="Z480" s="162"/>
      <c r="AA480" s="162"/>
      <c r="AB480" s="230"/>
      <c r="AC480" s="230"/>
      <c r="AD480" s="162"/>
      <c r="AE480" s="162"/>
      <c r="AF480" s="162"/>
      <c r="AG480" s="162"/>
      <c r="AH480" s="162"/>
      <c r="AI480" s="230"/>
      <c r="AJ480" s="230"/>
      <c r="AK480" s="162"/>
      <c r="AL480" s="162"/>
      <c r="AM480" s="162"/>
      <c r="AN480" s="162"/>
      <c r="AO480" s="162"/>
      <c r="AP480" s="230"/>
      <c r="AQ480" s="230"/>
      <c r="AR480" s="162"/>
      <c r="AS480" s="162"/>
      <c r="AT480" s="162"/>
      <c r="AU480" s="162"/>
      <c r="AV480" s="162"/>
      <c r="AW480" s="230"/>
      <c r="AX480" s="230"/>
      <c r="AY480" s="162"/>
      <c r="AZ480" s="162"/>
      <c r="BA480" s="162"/>
      <c r="BB480" s="162"/>
      <c r="BC480" s="162"/>
      <c r="BD480" s="230"/>
      <c r="BE480" s="230"/>
      <c r="BF480" s="162"/>
      <c r="BG480" s="162"/>
      <c r="BH480" s="162"/>
      <c r="BI480" s="162"/>
      <c r="BJ480" s="162"/>
      <c r="BK480" s="230"/>
      <c r="BL480" s="230"/>
      <c r="BM480" s="162"/>
      <c r="BN480" s="162"/>
      <c r="BO480" s="162"/>
      <c r="BP480" s="162"/>
      <c r="BQ480" s="162"/>
      <c r="BR480" s="230"/>
      <c r="BS480" s="230"/>
      <c r="BT480" s="162"/>
      <c r="BU480" s="162"/>
      <c r="BV480" s="162"/>
      <c r="BW480" s="162"/>
      <c r="BX480" s="162"/>
      <c r="BY480" s="230"/>
      <c r="BZ480" s="230"/>
      <c r="CA480" s="162"/>
      <c r="CB480" s="162"/>
      <c r="CC480" s="162"/>
      <c r="CD480" s="162"/>
      <c r="CE480" s="162"/>
      <c r="CF480" s="230"/>
      <c r="CG480" s="230"/>
      <c r="CH480" s="162"/>
      <c r="CI480" s="162"/>
      <c r="CJ480" s="162"/>
      <c r="CK480" s="162"/>
      <c r="CL480" s="162"/>
      <c r="CM480" s="230"/>
      <c r="CN480" s="230"/>
      <c r="CO480" s="162"/>
      <c r="CP480" s="162"/>
      <c r="CQ480" s="162"/>
      <c r="CR480" s="162"/>
      <c r="CS480" s="162"/>
      <c r="CT480" s="230"/>
      <c r="CU480" s="230"/>
      <c r="CV480" s="162"/>
      <c r="CW480" s="162"/>
      <c r="CX480" s="162"/>
      <c r="CY480" s="162"/>
      <c r="CZ480" s="162"/>
      <c r="DA480" s="230"/>
      <c r="DB480" s="230"/>
      <c r="DC480" s="162"/>
      <c r="DD480" s="162"/>
      <c r="DE480" s="162"/>
      <c r="DF480" s="162"/>
      <c r="DG480" s="162"/>
      <c r="DH480" s="230"/>
      <c r="DI480" s="230"/>
      <c r="DJ480" s="162"/>
      <c r="DK480" s="162"/>
      <c r="DL480" s="147"/>
      <c r="DM480" s="147"/>
      <c r="DN480" s="147"/>
      <c r="DO480" s="147"/>
      <c r="DP480" s="147"/>
      <c r="DQ480" s="147"/>
      <c r="DR480" s="147"/>
      <c r="DS480" s="147"/>
      <c r="DT480" s="147"/>
      <c r="DU480" s="147"/>
      <c r="DV480" s="147"/>
      <c r="DW480" s="147"/>
      <c r="DX480" s="147"/>
      <c r="DY480" s="147"/>
      <c r="DZ480" s="147"/>
      <c r="EA480" s="147"/>
      <c r="EB480" s="147"/>
      <c r="EC480" s="147"/>
      <c r="ED480" s="147"/>
      <c r="EE480" s="147"/>
      <c r="EF480" s="147"/>
      <c r="EG480" s="147"/>
      <c r="EH480" s="147"/>
    </row>
    <row r="481" spans="1:138" x14ac:dyDescent="0.25">
      <c r="A481" s="147"/>
      <c r="B481" s="147"/>
      <c r="C481" s="160"/>
      <c r="D481" s="160"/>
      <c r="E481" s="169"/>
      <c r="F481" s="229"/>
      <c r="G481" s="165"/>
      <c r="H481" s="165"/>
      <c r="I481" s="163"/>
      <c r="J481" s="163"/>
      <c r="K481" s="162"/>
      <c r="L481" s="162"/>
      <c r="M481" s="162"/>
      <c r="N481" s="230"/>
      <c r="O481" s="230"/>
      <c r="P481" s="162"/>
      <c r="Q481" s="162"/>
      <c r="R481" s="162"/>
      <c r="S481" s="162"/>
      <c r="T481" s="162"/>
      <c r="U481" s="230"/>
      <c r="V481" s="230"/>
      <c r="W481" s="162"/>
      <c r="X481" s="162"/>
      <c r="Y481" s="162"/>
      <c r="Z481" s="162"/>
      <c r="AA481" s="162"/>
      <c r="AB481" s="230"/>
      <c r="AC481" s="230"/>
      <c r="AD481" s="162"/>
      <c r="AE481" s="162"/>
      <c r="AF481" s="162"/>
      <c r="AG481" s="162"/>
      <c r="AH481" s="162"/>
      <c r="AI481" s="230"/>
      <c r="AJ481" s="230"/>
      <c r="AK481" s="162"/>
      <c r="AL481" s="162"/>
      <c r="AM481" s="162"/>
      <c r="AN481" s="162"/>
      <c r="AO481" s="162"/>
      <c r="AP481" s="230"/>
      <c r="AQ481" s="230"/>
      <c r="AR481" s="162"/>
      <c r="AS481" s="162"/>
      <c r="AT481" s="162"/>
      <c r="AU481" s="162"/>
      <c r="AV481" s="162"/>
      <c r="AW481" s="230"/>
      <c r="AX481" s="230"/>
      <c r="AY481" s="162"/>
      <c r="AZ481" s="162"/>
      <c r="BA481" s="162"/>
      <c r="BB481" s="162"/>
      <c r="BC481" s="162"/>
      <c r="BD481" s="230"/>
      <c r="BE481" s="230"/>
      <c r="BF481" s="162"/>
      <c r="BG481" s="162"/>
      <c r="BH481" s="162"/>
      <c r="BI481" s="162"/>
      <c r="BJ481" s="162"/>
      <c r="BK481" s="230"/>
      <c r="BL481" s="230"/>
      <c r="BM481" s="162"/>
      <c r="BN481" s="162"/>
      <c r="BO481" s="162"/>
      <c r="BP481" s="162"/>
      <c r="BQ481" s="162"/>
      <c r="BR481" s="230"/>
      <c r="BS481" s="230"/>
      <c r="BT481" s="162"/>
      <c r="BU481" s="162"/>
      <c r="BV481" s="162"/>
      <c r="BW481" s="162"/>
      <c r="BX481" s="162"/>
      <c r="BY481" s="230"/>
      <c r="BZ481" s="230"/>
      <c r="CA481" s="162"/>
      <c r="CB481" s="162"/>
      <c r="CC481" s="162"/>
      <c r="CD481" s="162"/>
      <c r="CE481" s="162"/>
      <c r="CF481" s="230"/>
      <c r="CG481" s="230"/>
      <c r="CH481" s="162"/>
      <c r="CI481" s="162"/>
      <c r="CJ481" s="162"/>
      <c r="CK481" s="162"/>
      <c r="CL481" s="162"/>
      <c r="CM481" s="230"/>
      <c r="CN481" s="230"/>
      <c r="CO481" s="162"/>
      <c r="CP481" s="162"/>
      <c r="CQ481" s="162"/>
      <c r="CR481" s="162"/>
      <c r="CS481" s="162"/>
      <c r="CT481" s="230"/>
      <c r="CU481" s="230"/>
      <c r="CV481" s="162"/>
      <c r="CW481" s="162"/>
      <c r="CX481" s="162"/>
      <c r="CY481" s="162"/>
      <c r="CZ481" s="162"/>
      <c r="DA481" s="230"/>
      <c r="DB481" s="230"/>
      <c r="DC481" s="162"/>
      <c r="DD481" s="162"/>
      <c r="DE481" s="162"/>
      <c r="DF481" s="162"/>
      <c r="DG481" s="162"/>
      <c r="DH481" s="230"/>
      <c r="DI481" s="230"/>
      <c r="DJ481" s="162"/>
      <c r="DK481" s="162"/>
      <c r="DL481" s="147"/>
      <c r="DM481" s="147"/>
      <c r="DN481" s="147"/>
      <c r="DO481" s="147"/>
      <c r="DP481" s="147"/>
      <c r="DQ481" s="147"/>
      <c r="DR481" s="147"/>
      <c r="DS481" s="147"/>
      <c r="DT481" s="147"/>
      <c r="DU481" s="147"/>
      <c r="DV481" s="147"/>
      <c r="DW481" s="147"/>
      <c r="DX481" s="147"/>
      <c r="DY481" s="147"/>
      <c r="DZ481" s="147"/>
      <c r="EA481" s="147"/>
      <c r="EB481" s="147"/>
      <c r="EC481" s="147"/>
      <c r="ED481" s="147"/>
      <c r="EE481" s="147"/>
      <c r="EF481" s="147"/>
      <c r="EG481" s="147"/>
      <c r="EH481" s="147"/>
    </row>
    <row r="482" spans="1:138" x14ac:dyDescent="0.25">
      <c r="A482" s="147"/>
      <c r="B482" s="147"/>
      <c r="C482" s="160"/>
      <c r="D482" s="160"/>
      <c r="E482" s="169"/>
      <c r="F482" s="229"/>
      <c r="G482" s="165"/>
      <c r="H482" s="165"/>
      <c r="I482" s="163"/>
      <c r="J482" s="163"/>
      <c r="K482" s="162"/>
      <c r="L482" s="162"/>
      <c r="M482" s="162"/>
      <c r="N482" s="230"/>
      <c r="O482" s="230"/>
      <c r="P482" s="162"/>
      <c r="Q482" s="162"/>
      <c r="R482" s="162"/>
      <c r="S482" s="162"/>
      <c r="T482" s="162"/>
      <c r="U482" s="230"/>
      <c r="V482" s="230"/>
      <c r="W482" s="162"/>
      <c r="X482" s="162"/>
      <c r="Y482" s="162"/>
      <c r="Z482" s="162"/>
      <c r="AA482" s="162"/>
      <c r="AB482" s="230"/>
      <c r="AC482" s="230"/>
      <c r="AD482" s="162"/>
      <c r="AE482" s="162"/>
      <c r="AF482" s="162"/>
      <c r="AG482" s="162"/>
      <c r="AH482" s="162"/>
      <c r="AI482" s="230"/>
      <c r="AJ482" s="230"/>
      <c r="AK482" s="162"/>
      <c r="AL482" s="162"/>
      <c r="AM482" s="162"/>
      <c r="AN482" s="162"/>
      <c r="AO482" s="162"/>
      <c r="AP482" s="230"/>
      <c r="AQ482" s="230"/>
      <c r="AR482" s="162"/>
      <c r="AS482" s="162"/>
      <c r="AT482" s="162"/>
      <c r="AU482" s="162"/>
      <c r="AV482" s="162"/>
      <c r="AW482" s="230"/>
      <c r="AX482" s="230"/>
      <c r="AY482" s="162"/>
      <c r="AZ482" s="162"/>
      <c r="BA482" s="162"/>
      <c r="BB482" s="162"/>
      <c r="BC482" s="162"/>
      <c r="BD482" s="230"/>
      <c r="BE482" s="230"/>
      <c r="BF482" s="162"/>
      <c r="BG482" s="162"/>
      <c r="BH482" s="162"/>
      <c r="BI482" s="162"/>
      <c r="BJ482" s="162"/>
      <c r="BK482" s="230"/>
      <c r="BL482" s="230"/>
      <c r="BM482" s="162"/>
      <c r="BN482" s="162"/>
      <c r="BO482" s="162"/>
      <c r="BP482" s="162"/>
      <c r="BQ482" s="162"/>
      <c r="BR482" s="230"/>
      <c r="BS482" s="230"/>
      <c r="BT482" s="162"/>
      <c r="BU482" s="162"/>
      <c r="BV482" s="162"/>
      <c r="BW482" s="162"/>
      <c r="BX482" s="162"/>
      <c r="BY482" s="230"/>
      <c r="BZ482" s="230"/>
      <c r="CA482" s="162"/>
      <c r="CB482" s="162"/>
      <c r="CC482" s="162"/>
      <c r="CD482" s="162"/>
      <c r="CE482" s="162"/>
      <c r="CF482" s="230"/>
      <c r="CG482" s="230"/>
      <c r="CH482" s="162"/>
      <c r="CI482" s="162"/>
      <c r="CJ482" s="162"/>
      <c r="CK482" s="162"/>
      <c r="CL482" s="162"/>
      <c r="CM482" s="230"/>
      <c r="CN482" s="230"/>
      <c r="CO482" s="162"/>
      <c r="CP482" s="162"/>
      <c r="CQ482" s="162"/>
      <c r="CR482" s="162"/>
      <c r="CS482" s="162"/>
      <c r="CT482" s="230"/>
      <c r="CU482" s="230"/>
      <c r="CV482" s="162"/>
      <c r="CW482" s="162"/>
      <c r="CX482" s="162"/>
      <c r="CY482" s="162"/>
      <c r="CZ482" s="162"/>
      <c r="DA482" s="230"/>
      <c r="DB482" s="230"/>
      <c r="DC482" s="162"/>
      <c r="DD482" s="162"/>
      <c r="DE482" s="162"/>
      <c r="DF482" s="162"/>
      <c r="DG482" s="162"/>
      <c r="DH482" s="230"/>
      <c r="DI482" s="230"/>
      <c r="DJ482" s="162"/>
      <c r="DK482" s="162"/>
      <c r="DL482" s="147"/>
      <c r="DM482" s="147"/>
      <c r="DN482" s="147"/>
      <c r="DO482" s="147"/>
      <c r="DP482" s="147"/>
      <c r="DQ482" s="147"/>
      <c r="DR482" s="147"/>
      <c r="DS482" s="147"/>
      <c r="DT482" s="147"/>
      <c r="DU482" s="147"/>
      <c r="DV482" s="147"/>
      <c r="DW482" s="147"/>
      <c r="DX482" s="147"/>
      <c r="DY482" s="147"/>
      <c r="DZ482" s="147"/>
      <c r="EA482" s="147"/>
      <c r="EB482" s="147"/>
      <c r="EC482" s="147"/>
      <c r="ED482" s="147"/>
      <c r="EE482" s="147"/>
      <c r="EF482" s="147"/>
      <c r="EG482" s="147"/>
      <c r="EH482" s="147"/>
    </row>
    <row r="483" spans="1:138" x14ac:dyDescent="0.25">
      <c r="A483" s="147"/>
      <c r="B483" s="147"/>
      <c r="C483" s="160"/>
      <c r="D483" s="160"/>
      <c r="E483" s="169"/>
      <c r="F483" s="229"/>
      <c r="G483" s="165"/>
      <c r="H483" s="165"/>
      <c r="I483" s="163"/>
      <c r="J483" s="163"/>
      <c r="K483" s="162"/>
      <c r="L483" s="162"/>
      <c r="M483" s="162"/>
      <c r="N483" s="230"/>
      <c r="O483" s="230"/>
      <c r="P483" s="162"/>
      <c r="Q483" s="162"/>
      <c r="R483" s="162"/>
      <c r="S483" s="162"/>
      <c r="T483" s="162"/>
      <c r="U483" s="230"/>
      <c r="V483" s="230"/>
      <c r="W483" s="162"/>
      <c r="X483" s="162"/>
      <c r="Y483" s="162"/>
      <c r="Z483" s="162"/>
      <c r="AA483" s="162"/>
      <c r="AB483" s="230"/>
      <c r="AC483" s="230"/>
      <c r="AD483" s="162"/>
      <c r="AE483" s="162"/>
      <c r="AF483" s="162"/>
      <c r="AG483" s="162"/>
      <c r="AH483" s="162"/>
      <c r="AI483" s="230"/>
      <c r="AJ483" s="230"/>
      <c r="AK483" s="162"/>
      <c r="AL483" s="162"/>
      <c r="AM483" s="162"/>
      <c r="AN483" s="162"/>
      <c r="AO483" s="162"/>
      <c r="AP483" s="230"/>
      <c r="AQ483" s="230"/>
      <c r="AR483" s="162"/>
      <c r="AS483" s="162"/>
      <c r="AT483" s="162"/>
      <c r="AU483" s="162"/>
      <c r="AV483" s="162"/>
      <c r="AW483" s="230"/>
      <c r="AX483" s="230"/>
      <c r="AY483" s="162"/>
      <c r="AZ483" s="162"/>
      <c r="BA483" s="162"/>
      <c r="BB483" s="162"/>
      <c r="BC483" s="162"/>
      <c r="BD483" s="230"/>
      <c r="BE483" s="230"/>
      <c r="BF483" s="162"/>
      <c r="BG483" s="162"/>
      <c r="BH483" s="162"/>
      <c r="BI483" s="162"/>
      <c r="BJ483" s="162"/>
      <c r="BK483" s="230"/>
      <c r="BL483" s="230"/>
      <c r="BM483" s="162"/>
      <c r="BN483" s="162"/>
      <c r="BO483" s="162"/>
      <c r="BP483" s="162"/>
      <c r="BQ483" s="162"/>
      <c r="BR483" s="230"/>
      <c r="BS483" s="230"/>
      <c r="BT483" s="162"/>
      <c r="BU483" s="162"/>
      <c r="BV483" s="162"/>
      <c r="BW483" s="162"/>
      <c r="BX483" s="162"/>
      <c r="BY483" s="230"/>
      <c r="BZ483" s="230"/>
      <c r="CA483" s="162"/>
      <c r="CB483" s="162"/>
      <c r="CC483" s="162"/>
      <c r="CD483" s="162"/>
      <c r="CE483" s="162"/>
      <c r="CF483" s="230"/>
      <c r="CG483" s="230"/>
      <c r="CH483" s="162"/>
      <c r="CI483" s="162"/>
      <c r="CJ483" s="162"/>
      <c r="CK483" s="162"/>
      <c r="CL483" s="162"/>
      <c r="CM483" s="230"/>
      <c r="CN483" s="230"/>
      <c r="CO483" s="162"/>
      <c r="CP483" s="162"/>
      <c r="CQ483" s="162"/>
      <c r="CR483" s="162"/>
      <c r="CS483" s="162"/>
      <c r="CT483" s="230"/>
      <c r="CU483" s="230"/>
      <c r="CV483" s="162"/>
      <c r="CW483" s="162"/>
      <c r="CX483" s="162"/>
      <c r="CY483" s="162"/>
      <c r="CZ483" s="162"/>
      <c r="DA483" s="230"/>
      <c r="DB483" s="230"/>
      <c r="DC483" s="162"/>
      <c r="DD483" s="162"/>
      <c r="DE483" s="162"/>
      <c r="DF483" s="162"/>
      <c r="DG483" s="162"/>
      <c r="DH483" s="230"/>
      <c r="DI483" s="230"/>
      <c r="DJ483" s="162"/>
      <c r="DK483" s="162"/>
      <c r="DL483" s="147"/>
      <c r="DM483" s="147"/>
      <c r="DN483" s="147"/>
      <c r="DO483" s="147"/>
      <c r="DP483" s="147"/>
      <c r="DQ483" s="147"/>
      <c r="DR483" s="147"/>
      <c r="DS483" s="147"/>
      <c r="DT483" s="147"/>
      <c r="DU483" s="147"/>
      <c r="DV483" s="147"/>
      <c r="DW483" s="147"/>
      <c r="DX483" s="147"/>
      <c r="DY483" s="147"/>
      <c r="DZ483" s="147"/>
      <c r="EA483" s="147"/>
      <c r="EB483" s="147"/>
      <c r="EC483" s="147"/>
      <c r="ED483" s="147"/>
      <c r="EE483" s="147"/>
      <c r="EF483" s="147"/>
      <c r="EG483" s="147"/>
      <c r="EH483" s="147"/>
    </row>
    <row r="484" spans="1:138" x14ac:dyDescent="0.25">
      <c r="A484" s="147"/>
      <c r="B484" s="147"/>
      <c r="C484" s="160"/>
      <c r="D484" s="160"/>
      <c r="E484" s="169"/>
      <c r="F484" s="229"/>
      <c r="G484" s="165"/>
      <c r="H484" s="165"/>
      <c r="I484" s="163"/>
      <c r="J484" s="163"/>
      <c r="K484" s="162"/>
      <c r="L484" s="162"/>
      <c r="M484" s="162"/>
      <c r="N484" s="230"/>
      <c r="O484" s="230"/>
      <c r="P484" s="162"/>
      <c r="Q484" s="162"/>
      <c r="R484" s="162"/>
      <c r="S484" s="162"/>
      <c r="T484" s="162"/>
      <c r="U484" s="230"/>
      <c r="V484" s="230"/>
      <c r="W484" s="162"/>
      <c r="X484" s="162"/>
      <c r="Y484" s="162"/>
      <c r="Z484" s="162"/>
      <c r="AA484" s="162"/>
      <c r="AB484" s="230"/>
      <c r="AC484" s="230"/>
      <c r="AD484" s="162"/>
      <c r="AE484" s="162"/>
      <c r="AF484" s="162"/>
      <c r="AG484" s="162"/>
      <c r="AH484" s="162"/>
      <c r="AI484" s="230"/>
      <c r="AJ484" s="230"/>
      <c r="AK484" s="162"/>
      <c r="AL484" s="162"/>
      <c r="AM484" s="162"/>
      <c r="AN484" s="162"/>
      <c r="AO484" s="162"/>
      <c r="AP484" s="230"/>
      <c r="AQ484" s="230"/>
      <c r="AR484" s="162"/>
      <c r="AS484" s="162"/>
      <c r="AT484" s="162"/>
      <c r="AU484" s="162"/>
      <c r="AV484" s="162"/>
      <c r="AW484" s="230"/>
      <c r="AX484" s="230"/>
      <c r="AY484" s="162"/>
      <c r="AZ484" s="162"/>
      <c r="BA484" s="162"/>
      <c r="BB484" s="162"/>
      <c r="BC484" s="162"/>
      <c r="BD484" s="230"/>
      <c r="BE484" s="230"/>
      <c r="BF484" s="162"/>
      <c r="BG484" s="162"/>
      <c r="BH484" s="162"/>
      <c r="BI484" s="162"/>
      <c r="BJ484" s="162"/>
      <c r="BK484" s="230"/>
      <c r="BL484" s="230"/>
      <c r="BM484" s="162"/>
      <c r="BN484" s="162"/>
      <c r="BO484" s="162"/>
      <c r="BP484" s="162"/>
      <c r="BQ484" s="162"/>
      <c r="BR484" s="230"/>
      <c r="BS484" s="230"/>
      <c r="BT484" s="162"/>
      <c r="BU484" s="162"/>
      <c r="BV484" s="162"/>
      <c r="BW484" s="162"/>
      <c r="BX484" s="162"/>
      <c r="BY484" s="230"/>
      <c r="BZ484" s="230"/>
      <c r="CA484" s="162"/>
      <c r="CB484" s="162"/>
      <c r="CC484" s="162"/>
      <c r="CD484" s="162"/>
      <c r="CE484" s="162"/>
      <c r="CF484" s="230"/>
      <c r="CG484" s="230"/>
      <c r="CH484" s="162"/>
      <c r="CI484" s="162"/>
      <c r="CJ484" s="162"/>
      <c r="CK484" s="162"/>
      <c r="CL484" s="162"/>
      <c r="CM484" s="230"/>
      <c r="CN484" s="230"/>
      <c r="CO484" s="162"/>
      <c r="CP484" s="162"/>
      <c r="CQ484" s="162"/>
      <c r="CR484" s="162"/>
      <c r="CS484" s="162"/>
      <c r="CT484" s="230"/>
      <c r="CU484" s="230"/>
      <c r="CV484" s="162"/>
      <c r="CW484" s="162"/>
      <c r="CX484" s="162"/>
      <c r="CY484" s="162"/>
      <c r="CZ484" s="162"/>
      <c r="DA484" s="230"/>
      <c r="DB484" s="230"/>
      <c r="DC484" s="162"/>
      <c r="DD484" s="162"/>
      <c r="DE484" s="162"/>
      <c r="DF484" s="162"/>
      <c r="DG484" s="162"/>
      <c r="DH484" s="230"/>
      <c r="DI484" s="230"/>
      <c r="DJ484" s="162"/>
      <c r="DK484" s="162"/>
      <c r="DL484" s="147"/>
      <c r="DM484" s="147"/>
      <c r="DN484" s="147"/>
      <c r="DO484" s="147"/>
      <c r="DP484" s="147"/>
      <c r="DQ484" s="147"/>
      <c r="DR484" s="147"/>
      <c r="DS484" s="147"/>
      <c r="DT484" s="147"/>
      <c r="DU484" s="147"/>
      <c r="DV484" s="147"/>
      <c r="DW484" s="147"/>
      <c r="DX484" s="147"/>
      <c r="DY484" s="147"/>
      <c r="DZ484" s="147"/>
      <c r="EA484" s="147"/>
      <c r="EB484" s="147"/>
      <c r="EC484" s="147"/>
      <c r="ED484" s="147"/>
      <c r="EE484" s="147"/>
      <c r="EF484" s="147"/>
      <c r="EG484" s="147"/>
      <c r="EH484" s="147"/>
    </row>
    <row r="485" spans="1:138" x14ac:dyDescent="0.25">
      <c r="A485" s="147"/>
      <c r="B485" s="147"/>
      <c r="C485" s="160"/>
      <c r="D485" s="160"/>
      <c r="E485" s="169"/>
      <c r="F485" s="229"/>
      <c r="G485" s="165"/>
      <c r="H485" s="165"/>
      <c r="I485" s="163"/>
      <c r="J485" s="163"/>
      <c r="K485" s="162"/>
      <c r="L485" s="162"/>
      <c r="M485" s="162"/>
      <c r="N485" s="230"/>
      <c r="O485" s="230"/>
      <c r="P485" s="162"/>
      <c r="Q485" s="162"/>
      <c r="R485" s="162"/>
      <c r="S485" s="162"/>
      <c r="T485" s="162"/>
      <c r="U485" s="230"/>
      <c r="V485" s="230"/>
      <c r="W485" s="162"/>
      <c r="X485" s="162"/>
      <c r="Y485" s="162"/>
      <c r="Z485" s="162"/>
      <c r="AA485" s="162"/>
      <c r="AB485" s="230"/>
      <c r="AC485" s="230"/>
      <c r="AD485" s="162"/>
      <c r="AE485" s="162"/>
      <c r="AF485" s="162"/>
      <c r="AG485" s="162"/>
      <c r="AH485" s="162"/>
      <c r="AI485" s="230"/>
      <c r="AJ485" s="230"/>
      <c r="AK485" s="162"/>
      <c r="AL485" s="162"/>
      <c r="AM485" s="162"/>
      <c r="AN485" s="162"/>
      <c r="AO485" s="162"/>
      <c r="AP485" s="230"/>
      <c r="AQ485" s="230"/>
      <c r="AR485" s="162"/>
      <c r="AS485" s="162"/>
      <c r="AT485" s="162"/>
      <c r="AU485" s="162"/>
      <c r="AV485" s="162"/>
      <c r="AW485" s="230"/>
      <c r="AX485" s="230"/>
      <c r="AY485" s="162"/>
      <c r="AZ485" s="162"/>
      <c r="BA485" s="162"/>
      <c r="BB485" s="162"/>
      <c r="BC485" s="162"/>
      <c r="BD485" s="230"/>
      <c r="BE485" s="230"/>
      <c r="BF485" s="162"/>
      <c r="BG485" s="162"/>
      <c r="BH485" s="162"/>
      <c r="BI485" s="162"/>
      <c r="BJ485" s="162"/>
      <c r="BK485" s="230"/>
      <c r="BL485" s="230"/>
      <c r="BM485" s="162"/>
      <c r="BN485" s="162"/>
      <c r="BO485" s="162"/>
      <c r="BP485" s="162"/>
      <c r="BQ485" s="162"/>
      <c r="BR485" s="230"/>
      <c r="BS485" s="230"/>
      <c r="BT485" s="162"/>
      <c r="BU485" s="162"/>
      <c r="BV485" s="162"/>
      <c r="BW485" s="162"/>
      <c r="BX485" s="162"/>
      <c r="BY485" s="230"/>
      <c r="BZ485" s="230"/>
      <c r="CA485" s="162"/>
      <c r="CB485" s="162"/>
      <c r="CC485" s="162"/>
      <c r="CD485" s="162"/>
      <c r="CE485" s="162"/>
      <c r="CF485" s="230"/>
      <c r="CG485" s="230"/>
      <c r="CH485" s="162"/>
      <c r="CI485" s="162"/>
      <c r="CJ485" s="162"/>
      <c r="CK485" s="162"/>
      <c r="CL485" s="162"/>
      <c r="CM485" s="230"/>
      <c r="CN485" s="230"/>
      <c r="CO485" s="162"/>
      <c r="CP485" s="162"/>
      <c r="CQ485" s="162"/>
      <c r="CR485" s="162"/>
      <c r="CS485" s="162"/>
      <c r="CT485" s="230"/>
      <c r="CU485" s="230"/>
      <c r="CV485" s="162"/>
      <c r="CW485" s="162"/>
      <c r="CX485" s="162"/>
      <c r="CY485" s="162"/>
      <c r="CZ485" s="162"/>
      <c r="DA485" s="230"/>
      <c r="DB485" s="230"/>
      <c r="DC485" s="162"/>
      <c r="DD485" s="162"/>
      <c r="DE485" s="162"/>
      <c r="DF485" s="162"/>
      <c r="DG485" s="162"/>
      <c r="DH485" s="230"/>
      <c r="DI485" s="230"/>
      <c r="DJ485" s="162"/>
      <c r="DK485" s="162"/>
      <c r="DL485" s="147"/>
      <c r="DM485" s="147"/>
      <c r="DN485" s="147"/>
      <c r="DO485" s="147"/>
      <c r="DP485" s="147"/>
      <c r="DQ485" s="147"/>
      <c r="DR485" s="147"/>
      <c r="DS485" s="147"/>
      <c r="DT485" s="147"/>
      <c r="DU485" s="147"/>
      <c r="DV485" s="147"/>
      <c r="DW485" s="147"/>
      <c r="DX485" s="147"/>
      <c r="DY485" s="147"/>
      <c r="DZ485" s="147"/>
      <c r="EA485" s="147"/>
      <c r="EB485" s="147"/>
      <c r="EC485" s="147"/>
      <c r="ED485" s="147"/>
      <c r="EE485" s="147"/>
      <c r="EF485" s="147"/>
      <c r="EG485" s="147"/>
      <c r="EH485" s="147"/>
    </row>
    <row r="486" spans="1:138" x14ac:dyDescent="0.25">
      <c r="A486" s="147"/>
      <c r="B486" s="147"/>
      <c r="C486" s="160"/>
      <c r="D486" s="160"/>
      <c r="E486" s="169"/>
      <c r="F486" s="229"/>
      <c r="G486" s="165"/>
      <c r="H486" s="165"/>
      <c r="I486" s="163"/>
      <c r="J486" s="163"/>
      <c r="K486" s="162"/>
      <c r="L486" s="162"/>
      <c r="M486" s="162"/>
      <c r="N486" s="230"/>
      <c r="O486" s="230"/>
      <c r="P486" s="162"/>
      <c r="Q486" s="162"/>
      <c r="R486" s="162"/>
      <c r="S486" s="162"/>
      <c r="T486" s="162"/>
      <c r="U486" s="230"/>
      <c r="V486" s="230"/>
      <c r="W486" s="162"/>
      <c r="X486" s="162"/>
      <c r="Y486" s="162"/>
      <c r="Z486" s="162"/>
      <c r="AA486" s="162"/>
      <c r="AB486" s="230"/>
      <c r="AC486" s="230"/>
      <c r="AD486" s="162"/>
      <c r="AE486" s="162"/>
      <c r="AF486" s="162"/>
      <c r="AG486" s="162"/>
      <c r="AH486" s="162"/>
      <c r="AI486" s="230"/>
      <c r="AJ486" s="230"/>
      <c r="AK486" s="162"/>
      <c r="AL486" s="162"/>
      <c r="AM486" s="162"/>
      <c r="AN486" s="162"/>
      <c r="AO486" s="162"/>
      <c r="AP486" s="230"/>
      <c r="AQ486" s="230"/>
      <c r="AR486" s="162"/>
      <c r="AS486" s="162"/>
      <c r="AT486" s="162"/>
      <c r="AU486" s="162"/>
      <c r="AV486" s="162"/>
      <c r="AW486" s="230"/>
      <c r="AX486" s="230"/>
      <c r="AY486" s="162"/>
      <c r="AZ486" s="162"/>
      <c r="BA486" s="162"/>
      <c r="BB486" s="162"/>
      <c r="BC486" s="162"/>
      <c r="BD486" s="230"/>
      <c r="BE486" s="230"/>
      <c r="BF486" s="162"/>
      <c r="BG486" s="162"/>
      <c r="BH486" s="162"/>
      <c r="BI486" s="162"/>
      <c r="BJ486" s="162"/>
      <c r="BK486" s="230"/>
      <c r="BL486" s="230"/>
      <c r="BM486" s="162"/>
      <c r="BN486" s="162"/>
      <c r="BO486" s="162"/>
      <c r="BP486" s="162"/>
      <c r="BQ486" s="162"/>
      <c r="BR486" s="230"/>
      <c r="BS486" s="230"/>
      <c r="BT486" s="162"/>
      <c r="BU486" s="162"/>
      <c r="BV486" s="162"/>
      <c r="BW486" s="162"/>
      <c r="BX486" s="162"/>
      <c r="BY486" s="230"/>
      <c r="BZ486" s="230"/>
      <c r="CA486" s="162"/>
      <c r="CB486" s="162"/>
      <c r="CC486" s="162"/>
      <c r="CD486" s="162"/>
      <c r="CE486" s="162"/>
      <c r="CF486" s="230"/>
      <c r="CG486" s="230"/>
      <c r="CH486" s="162"/>
      <c r="CI486" s="162"/>
      <c r="CJ486" s="162"/>
      <c r="CK486" s="162"/>
      <c r="CL486" s="162"/>
      <c r="CM486" s="230"/>
      <c r="CN486" s="230"/>
      <c r="CO486" s="162"/>
      <c r="CP486" s="162"/>
      <c r="CQ486" s="162"/>
      <c r="CR486" s="162"/>
      <c r="CS486" s="162"/>
      <c r="CT486" s="230"/>
      <c r="CU486" s="230"/>
      <c r="CV486" s="162"/>
      <c r="CW486" s="162"/>
      <c r="CX486" s="162"/>
      <c r="CY486" s="162"/>
      <c r="CZ486" s="162"/>
      <c r="DA486" s="230"/>
      <c r="DB486" s="230"/>
      <c r="DC486" s="162"/>
      <c r="DD486" s="162"/>
      <c r="DE486" s="162"/>
      <c r="DF486" s="162"/>
      <c r="DG486" s="162"/>
      <c r="DH486" s="230"/>
      <c r="DI486" s="230"/>
      <c r="DJ486" s="162"/>
      <c r="DK486" s="162"/>
      <c r="DL486" s="147"/>
      <c r="DM486" s="147"/>
      <c r="DN486" s="147"/>
      <c r="DO486" s="147"/>
      <c r="DP486" s="147"/>
      <c r="DQ486" s="147"/>
      <c r="DR486" s="147"/>
      <c r="DS486" s="147"/>
      <c r="DT486" s="147"/>
      <c r="DU486" s="147"/>
      <c r="DV486" s="147"/>
      <c r="DW486" s="147"/>
      <c r="DX486" s="147"/>
      <c r="DY486" s="147"/>
      <c r="DZ486" s="147"/>
      <c r="EA486" s="147"/>
      <c r="EB486" s="147"/>
      <c r="EC486" s="147"/>
      <c r="ED486" s="147"/>
      <c r="EE486" s="147"/>
      <c r="EF486" s="147"/>
      <c r="EG486" s="147"/>
      <c r="EH486" s="147"/>
    </row>
    <row r="487" spans="1:138" x14ac:dyDescent="0.25">
      <c r="A487" s="147"/>
      <c r="B487" s="147"/>
      <c r="C487" s="160"/>
      <c r="D487" s="160"/>
      <c r="E487" s="169"/>
      <c r="F487" s="229"/>
      <c r="G487" s="165"/>
      <c r="H487" s="165"/>
      <c r="I487" s="163"/>
      <c r="J487" s="163"/>
      <c r="K487" s="162"/>
      <c r="L487" s="162"/>
      <c r="M487" s="162"/>
      <c r="N487" s="230"/>
      <c r="O487" s="230"/>
      <c r="P487" s="162"/>
      <c r="Q487" s="162"/>
      <c r="R487" s="162"/>
      <c r="S487" s="162"/>
      <c r="T487" s="162"/>
      <c r="U487" s="230"/>
      <c r="V487" s="230"/>
      <c r="W487" s="162"/>
      <c r="X487" s="162"/>
      <c r="Y487" s="162"/>
      <c r="Z487" s="162"/>
      <c r="AA487" s="162"/>
      <c r="AB487" s="230"/>
      <c r="AC487" s="230"/>
      <c r="AD487" s="162"/>
      <c r="AE487" s="162"/>
      <c r="AF487" s="162"/>
      <c r="AG487" s="162"/>
      <c r="AH487" s="162"/>
      <c r="AI487" s="230"/>
      <c r="AJ487" s="230"/>
      <c r="AK487" s="162"/>
      <c r="AL487" s="162"/>
      <c r="AM487" s="162"/>
      <c r="AN487" s="162"/>
      <c r="AO487" s="162"/>
      <c r="AP487" s="230"/>
      <c r="AQ487" s="230"/>
      <c r="AR487" s="162"/>
      <c r="AS487" s="162"/>
      <c r="AT487" s="162"/>
      <c r="AU487" s="162"/>
      <c r="AV487" s="162"/>
      <c r="AW487" s="230"/>
      <c r="AX487" s="230"/>
      <c r="AY487" s="162"/>
      <c r="AZ487" s="162"/>
      <c r="BA487" s="162"/>
      <c r="BB487" s="162"/>
      <c r="BC487" s="162"/>
      <c r="BD487" s="230"/>
      <c r="BE487" s="230"/>
      <c r="BF487" s="162"/>
      <c r="BG487" s="162"/>
      <c r="BH487" s="162"/>
      <c r="BI487" s="162"/>
      <c r="BJ487" s="162"/>
      <c r="BK487" s="230"/>
      <c r="BL487" s="230"/>
      <c r="BM487" s="162"/>
      <c r="BN487" s="162"/>
      <c r="BO487" s="162"/>
      <c r="BP487" s="162"/>
      <c r="BQ487" s="162"/>
      <c r="BR487" s="230"/>
      <c r="BS487" s="230"/>
      <c r="BT487" s="162"/>
      <c r="BU487" s="162"/>
      <c r="BV487" s="162"/>
      <c r="BW487" s="162"/>
      <c r="BX487" s="162"/>
      <c r="BY487" s="230"/>
      <c r="BZ487" s="230"/>
      <c r="CA487" s="162"/>
      <c r="CB487" s="162"/>
      <c r="CC487" s="162"/>
      <c r="CD487" s="162"/>
      <c r="CE487" s="162"/>
      <c r="CF487" s="230"/>
      <c r="CG487" s="230"/>
      <c r="CH487" s="162"/>
      <c r="CI487" s="162"/>
      <c r="CJ487" s="162"/>
      <c r="CK487" s="162"/>
      <c r="CL487" s="162"/>
      <c r="CM487" s="230"/>
      <c r="CN487" s="230"/>
      <c r="CO487" s="162"/>
      <c r="CP487" s="162"/>
      <c r="CQ487" s="162"/>
      <c r="CR487" s="162"/>
      <c r="CS487" s="162"/>
      <c r="CT487" s="230"/>
      <c r="CU487" s="230"/>
      <c r="CV487" s="162"/>
      <c r="CW487" s="162"/>
      <c r="CX487" s="162"/>
      <c r="CY487" s="162"/>
      <c r="CZ487" s="162"/>
      <c r="DA487" s="230"/>
      <c r="DB487" s="230"/>
      <c r="DC487" s="162"/>
      <c r="DD487" s="162"/>
      <c r="DE487" s="162"/>
      <c r="DF487" s="162"/>
      <c r="DG487" s="162"/>
      <c r="DH487" s="230"/>
      <c r="DI487" s="230"/>
      <c r="DJ487" s="162"/>
      <c r="DK487" s="162"/>
      <c r="DL487" s="147"/>
      <c r="DM487" s="147"/>
      <c r="DN487" s="147"/>
      <c r="DO487" s="147"/>
      <c r="DP487" s="147"/>
      <c r="DQ487" s="147"/>
      <c r="DR487" s="147"/>
      <c r="DS487" s="147"/>
      <c r="DT487" s="147"/>
      <c r="DU487" s="147"/>
      <c r="DV487" s="147"/>
      <c r="DW487" s="147"/>
      <c r="DX487" s="147"/>
      <c r="DY487" s="147"/>
      <c r="DZ487" s="147"/>
      <c r="EA487" s="147"/>
      <c r="EB487" s="147"/>
      <c r="EC487" s="147"/>
      <c r="ED487" s="147"/>
      <c r="EE487" s="147"/>
      <c r="EF487" s="147"/>
      <c r="EG487" s="147"/>
      <c r="EH487" s="147"/>
    </row>
    <row r="488" spans="1:138" x14ac:dyDescent="0.25">
      <c r="A488" s="147"/>
      <c r="B488" s="147"/>
      <c r="C488" s="160"/>
      <c r="D488" s="160"/>
      <c r="E488" s="169"/>
      <c r="F488" s="229"/>
      <c r="G488" s="165"/>
      <c r="H488" s="165"/>
      <c r="I488" s="163"/>
      <c r="J488" s="163"/>
      <c r="K488" s="162"/>
      <c r="L488" s="162"/>
      <c r="M488" s="162"/>
      <c r="N488" s="230"/>
      <c r="O488" s="230"/>
      <c r="P488" s="162"/>
      <c r="Q488" s="162"/>
      <c r="R488" s="162"/>
      <c r="S488" s="162"/>
      <c r="T488" s="162"/>
      <c r="U488" s="230"/>
      <c r="V488" s="230"/>
      <c r="W488" s="162"/>
      <c r="X488" s="162"/>
      <c r="Y488" s="162"/>
      <c r="Z488" s="162"/>
      <c r="AA488" s="162"/>
      <c r="AB488" s="230"/>
      <c r="AC488" s="230"/>
      <c r="AD488" s="162"/>
      <c r="AE488" s="162"/>
      <c r="AF488" s="162"/>
      <c r="AG488" s="162"/>
      <c r="AH488" s="162"/>
      <c r="AI488" s="230"/>
      <c r="AJ488" s="230"/>
      <c r="AK488" s="162"/>
      <c r="AL488" s="162"/>
      <c r="AM488" s="162"/>
      <c r="AN488" s="162"/>
      <c r="AO488" s="162"/>
      <c r="AP488" s="230"/>
      <c r="AQ488" s="230"/>
      <c r="AR488" s="162"/>
      <c r="AS488" s="162"/>
      <c r="AT488" s="162"/>
      <c r="AU488" s="162"/>
      <c r="AV488" s="162"/>
      <c r="AW488" s="230"/>
      <c r="AX488" s="230"/>
      <c r="AY488" s="162"/>
      <c r="AZ488" s="162"/>
      <c r="BA488" s="162"/>
      <c r="BB488" s="162"/>
      <c r="BC488" s="162"/>
      <c r="BD488" s="230"/>
      <c r="BE488" s="230"/>
      <c r="BF488" s="162"/>
      <c r="BG488" s="162"/>
      <c r="BH488" s="162"/>
      <c r="BI488" s="162"/>
      <c r="BJ488" s="162"/>
      <c r="BK488" s="230"/>
      <c r="BL488" s="230"/>
      <c r="BM488" s="162"/>
      <c r="BN488" s="162"/>
      <c r="BO488" s="162"/>
      <c r="BP488" s="162"/>
      <c r="BQ488" s="162"/>
      <c r="BR488" s="230"/>
      <c r="BS488" s="230"/>
      <c r="BT488" s="162"/>
      <c r="BU488" s="162"/>
      <c r="BV488" s="162"/>
      <c r="BW488" s="162"/>
      <c r="BX488" s="162"/>
      <c r="BY488" s="230"/>
      <c r="BZ488" s="230"/>
      <c r="CA488" s="162"/>
      <c r="CB488" s="162"/>
      <c r="CC488" s="162"/>
      <c r="CD488" s="162"/>
      <c r="CE488" s="162"/>
      <c r="CF488" s="230"/>
      <c r="CG488" s="230"/>
      <c r="CH488" s="162"/>
      <c r="CI488" s="162"/>
      <c r="CJ488" s="162"/>
      <c r="CK488" s="162"/>
      <c r="CL488" s="162"/>
      <c r="CM488" s="230"/>
      <c r="CN488" s="230"/>
      <c r="CO488" s="162"/>
      <c r="CP488" s="162"/>
      <c r="CQ488" s="162"/>
      <c r="CR488" s="162"/>
      <c r="CS488" s="162"/>
      <c r="CT488" s="230"/>
      <c r="CU488" s="230"/>
      <c r="CV488" s="162"/>
      <c r="CW488" s="162"/>
      <c r="CX488" s="162"/>
      <c r="CY488" s="162"/>
      <c r="CZ488" s="162"/>
      <c r="DA488" s="230"/>
      <c r="DB488" s="230"/>
      <c r="DC488" s="162"/>
      <c r="DD488" s="162"/>
      <c r="DE488" s="162"/>
      <c r="DF488" s="162"/>
      <c r="DG488" s="162"/>
      <c r="DH488" s="230"/>
      <c r="DI488" s="230"/>
      <c r="DJ488" s="162"/>
      <c r="DK488" s="162"/>
      <c r="DL488" s="147"/>
      <c r="DM488" s="147"/>
      <c r="DN488" s="147"/>
      <c r="DO488" s="147"/>
      <c r="DP488" s="147"/>
      <c r="DQ488" s="147"/>
      <c r="DR488" s="147"/>
      <c r="DS488" s="147"/>
      <c r="DT488" s="147"/>
      <c r="DU488" s="147"/>
      <c r="DV488" s="147"/>
      <c r="DW488" s="147"/>
      <c r="DX488" s="147"/>
      <c r="DY488" s="147"/>
      <c r="DZ488" s="147"/>
      <c r="EA488" s="147"/>
      <c r="EB488" s="147"/>
      <c r="EC488" s="147"/>
      <c r="ED488" s="147"/>
      <c r="EE488" s="147"/>
      <c r="EF488" s="147"/>
      <c r="EG488" s="147"/>
      <c r="EH488" s="147"/>
    </row>
    <row r="489" spans="1:138" x14ac:dyDescent="0.25">
      <c r="A489" s="147"/>
      <c r="B489" s="147"/>
      <c r="C489" s="160"/>
      <c r="D489" s="160"/>
      <c r="E489" s="169"/>
      <c r="F489" s="229"/>
      <c r="G489" s="165"/>
      <c r="H489" s="165"/>
      <c r="I489" s="163"/>
      <c r="J489" s="163"/>
      <c r="K489" s="162"/>
      <c r="L489" s="162"/>
      <c r="M489" s="162"/>
      <c r="N489" s="230"/>
      <c r="O489" s="230"/>
      <c r="P489" s="162"/>
      <c r="Q489" s="162"/>
      <c r="R489" s="162"/>
      <c r="S489" s="162"/>
      <c r="T489" s="162"/>
      <c r="U489" s="230"/>
      <c r="V489" s="230"/>
      <c r="W489" s="162"/>
      <c r="X489" s="162"/>
      <c r="Y489" s="162"/>
      <c r="Z489" s="162"/>
      <c r="AA489" s="162"/>
      <c r="AB489" s="230"/>
      <c r="AC489" s="230"/>
      <c r="AD489" s="162"/>
      <c r="AE489" s="162"/>
      <c r="AF489" s="162"/>
      <c r="AG489" s="162"/>
      <c r="AH489" s="162"/>
      <c r="AI489" s="230"/>
      <c r="AJ489" s="230"/>
      <c r="AK489" s="162"/>
      <c r="AL489" s="162"/>
      <c r="AM489" s="162"/>
      <c r="AN489" s="162"/>
      <c r="AO489" s="162"/>
      <c r="AP489" s="230"/>
      <c r="AQ489" s="230"/>
      <c r="AR489" s="162"/>
      <c r="AS489" s="162"/>
      <c r="AT489" s="162"/>
      <c r="AU489" s="162"/>
      <c r="AV489" s="162"/>
      <c r="AW489" s="230"/>
      <c r="AX489" s="230"/>
      <c r="AY489" s="162"/>
      <c r="AZ489" s="162"/>
      <c r="BA489" s="162"/>
      <c r="BB489" s="162"/>
      <c r="BC489" s="162"/>
      <c r="BD489" s="230"/>
      <c r="BE489" s="230"/>
      <c r="BF489" s="162"/>
      <c r="BG489" s="162"/>
      <c r="BH489" s="162"/>
      <c r="BI489" s="162"/>
      <c r="BJ489" s="162"/>
      <c r="BK489" s="230"/>
      <c r="BL489" s="230"/>
      <c r="BM489" s="162"/>
      <c r="BN489" s="162"/>
      <c r="BO489" s="162"/>
      <c r="BP489" s="162"/>
      <c r="BQ489" s="162"/>
      <c r="BR489" s="230"/>
      <c r="BS489" s="230"/>
      <c r="BT489" s="162"/>
      <c r="BU489" s="162"/>
      <c r="BV489" s="162"/>
      <c r="BW489" s="162"/>
      <c r="BX489" s="162"/>
      <c r="BY489" s="230"/>
      <c r="BZ489" s="230"/>
      <c r="CA489" s="162"/>
      <c r="CB489" s="162"/>
      <c r="CC489" s="162"/>
      <c r="CD489" s="162"/>
      <c r="CE489" s="162"/>
      <c r="CF489" s="230"/>
      <c r="CG489" s="230"/>
      <c r="CH489" s="162"/>
      <c r="CI489" s="162"/>
      <c r="CJ489" s="162"/>
      <c r="CK489" s="162"/>
      <c r="CL489" s="162"/>
      <c r="CM489" s="230"/>
      <c r="CN489" s="230"/>
      <c r="CO489" s="162"/>
      <c r="CP489" s="162"/>
      <c r="CQ489" s="162"/>
      <c r="CR489" s="162"/>
      <c r="CS489" s="162"/>
      <c r="CT489" s="230"/>
      <c r="CU489" s="230"/>
      <c r="CV489" s="162"/>
      <c r="CW489" s="162"/>
      <c r="CX489" s="162"/>
      <c r="CY489" s="162"/>
      <c r="CZ489" s="162"/>
      <c r="DA489" s="230"/>
      <c r="DB489" s="230"/>
      <c r="DC489" s="162"/>
      <c r="DD489" s="162"/>
      <c r="DE489" s="162"/>
      <c r="DF489" s="162"/>
      <c r="DG489" s="162"/>
      <c r="DH489" s="230"/>
      <c r="DI489" s="230"/>
      <c r="DJ489" s="162"/>
      <c r="DK489" s="162"/>
      <c r="DL489" s="147"/>
      <c r="DM489" s="147"/>
      <c r="DN489" s="147"/>
      <c r="DO489" s="147"/>
      <c r="DP489" s="147"/>
      <c r="DQ489" s="147"/>
      <c r="DR489" s="147"/>
      <c r="DS489" s="147"/>
      <c r="DT489" s="147"/>
      <c r="DU489" s="147"/>
      <c r="DV489" s="147"/>
      <c r="DW489" s="147"/>
      <c r="DX489" s="147"/>
      <c r="DY489" s="147"/>
      <c r="DZ489" s="147"/>
      <c r="EA489" s="147"/>
      <c r="EB489" s="147"/>
      <c r="EC489" s="147"/>
      <c r="ED489" s="147"/>
      <c r="EE489" s="147"/>
      <c r="EF489" s="147"/>
      <c r="EG489" s="147"/>
      <c r="EH489" s="147"/>
    </row>
    <row r="490" spans="1:138" x14ac:dyDescent="0.25">
      <c r="A490" s="147"/>
      <c r="B490" s="147"/>
      <c r="C490" s="160"/>
      <c r="D490" s="160"/>
      <c r="E490" s="169"/>
      <c r="F490" s="229"/>
      <c r="G490" s="165"/>
      <c r="H490" s="165"/>
      <c r="I490" s="163"/>
      <c r="J490" s="163"/>
      <c r="K490" s="162"/>
      <c r="L490" s="162"/>
      <c r="M490" s="162"/>
      <c r="N490" s="230"/>
      <c r="O490" s="230"/>
      <c r="P490" s="162"/>
      <c r="Q490" s="162"/>
      <c r="R490" s="162"/>
      <c r="S490" s="162"/>
      <c r="T490" s="162"/>
      <c r="U490" s="230"/>
      <c r="V490" s="230"/>
      <c r="W490" s="162"/>
      <c r="X490" s="162"/>
      <c r="Y490" s="162"/>
      <c r="Z490" s="162"/>
      <c r="AA490" s="162"/>
      <c r="AB490" s="230"/>
      <c r="AC490" s="230"/>
      <c r="AD490" s="162"/>
      <c r="AE490" s="162"/>
      <c r="AF490" s="162"/>
      <c r="AG490" s="162"/>
      <c r="AH490" s="162"/>
      <c r="AI490" s="230"/>
      <c r="AJ490" s="230"/>
      <c r="AK490" s="162"/>
      <c r="AL490" s="162"/>
      <c r="AM490" s="162"/>
      <c r="AN490" s="162"/>
      <c r="AO490" s="162"/>
      <c r="AP490" s="230"/>
      <c r="AQ490" s="230"/>
      <c r="AR490" s="162"/>
      <c r="AS490" s="162"/>
      <c r="AT490" s="162"/>
      <c r="AU490" s="162"/>
      <c r="AV490" s="162"/>
      <c r="AW490" s="230"/>
      <c r="AX490" s="230"/>
      <c r="AY490" s="162"/>
      <c r="AZ490" s="162"/>
      <c r="BA490" s="162"/>
      <c r="BB490" s="162"/>
      <c r="BC490" s="162"/>
      <c r="BD490" s="230"/>
      <c r="BE490" s="230"/>
      <c r="BF490" s="162"/>
      <c r="BG490" s="162"/>
      <c r="BH490" s="162"/>
      <c r="BI490" s="162"/>
      <c r="BJ490" s="162"/>
      <c r="BK490" s="230"/>
      <c r="BL490" s="230"/>
      <c r="BM490" s="162"/>
      <c r="BN490" s="162"/>
      <c r="BO490" s="162"/>
      <c r="BP490" s="162"/>
      <c r="BQ490" s="162"/>
      <c r="BR490" s="230"/>
      <c r="BS490" s="230"/>
      <c r="BT490" s="162"/>
      <c r="BU490" s="162"/>
      <c r="BV490" s="162"/>
      <c r="BW490" s="162"/>
      <c r="BX490" s="162"/>
      <c r="BY490" s="230"/>
      <c r="BZ490" s="230"/>
      <c r="CA490" s="162"/>
      <c r="CB490" s="162"/>
      <c r="CC490" s="162"/>
      <c r="CD490" s="162"/>
      <c r="CE490" s="162"/>
      <c r="CF490" s="230"/>
      <c r="CG490" s="230"/>
      <c r="CH490" s="162"/>
      <c r="CI490" s="162"/>
      <c r="CJ490" s="162"/>
      <c r="CK490" s="162"/>
      <c r="CL490" s="162"/>
      <c r="CM490" s="230"/>
      <c r="CN490" s="230"/>
      <c r="CO490" s="162"/>
      <c r="CP490" s="162"/>
      <c r="CQ490" s="162"/>
      <c r="CR490" s="162"/>
      <c r="CS490" s="162"/>
      <c r="CT490" s="230"/>
      <c r="CU490" s="230"/>
      <c r="CV490" s="162"/>
      <c r="CW490" s="162"/>
      <c r="CX490" s="162"/>
      <c r="CY490" s="162"/>
      <c r="CZ490" s="162"/>
      <c r="DA490" s="230"/>
      <c r="DB490" s="230"/>
      <c r="DC490" s="162"/>
      <c r="DD490" s="162"/>
      <c r="DE490" s="162"/>
      <c r="DF490" s="162"/>
      <c r="DG490" s="162"/>
      <c r="DH490" s="230"/>
      <c r="DI490" s="230"/>
      <c r="DJ490" s="162"/>
      <c r="DK490" s="162"/>
      <c r="DL490" s="147"/>
      <c r="DM490" s="147"/>
      <c r="DN490" s="147"/>
      <c r="DO490" s="147"/>
      <c r="DP490" s="147"/>
      <c r="DQ490" s="147"/>
      <c r="DR490" s="147"/>
      <c r="DS490" s="147"/>
      <c r="DT490" s="147"/>
      <c r="DU490" s="147"/>
      <c r="DV490" s="147"/>
      <c r="DW490" s="147"/>
      <c r="DX490" s="147"/>
      <c r="DY490" s="147"/>
      <c r="DZ490" s="147"/>
      <c r="EA490" s="147"/>
      <c r="EB490" s="147"/>
      <c r="EC490" s="147"/>
      <c r="ED490" s="147"/>
      <c r="EE490" s="147"/>
      <c r="EF490" s="147"/>
      <c r="EG490" s="147"/>
      <c r="EH490" s="147"/>
    </row>
    <row r="491" spans="1:138" x14ac:dyDescent="0.25">
      <c r="A491" s="147"/>
      <c r="B491" s="147"/>
      <c r="C491" s="160"/>
      <c r="D491" s="160"/>
      <c r="E491" s="169"/>
      <c r="F491" s="229"/>
      <c r="G491" s="165"/>
      <c r="H491" s="165"/>
      <c r="I491" s="163"/>
      <c r="J491" s="163"/>
      <c r="K491" s="162"/>
      <c r="L491" s="162"/>
      <c r="M491" s="162"/>
      <c r="N491" s="230"/>
      <c r="O491" s="230"/>
      <c r="P491" s="162"/>
      <c r="Q491" s="162"/>
      <c r="R491" s="162"/>
      <c r="S491" s="162"/>
      <c r="T491" s="162"/>
      <c r="U491" s="230"/>
      <c r="V491" s="230"/>
      <c r="W491" s="162"/>
      <c r="X491" s="162"/>
      <c r="Y491" s="162"/>
      <c r="Z491" s="162"/>
      <c r="AA491" s="162"/>
      <c r="AB491" s="230"/>
      <c r="AC491" s="230"/>
      <c r="AD491" s="162"/>
      <c r="AE491" s="162"/>
      <c r="AF491" s="162"/>
      <c r="AG491" s="162"/>
      <c r="AH491" s="162"/>
      <c r="AI491" s="230"/>
      <c r="AJ491" s="230"/>
      <c r="AK491" s="162"/>
      <c r="AL491" s="162"/>
      <c r="AM491" s="162"/>
      <c r="AN491" s="162"/>
      <c r="AO491" s="162"/>
      <c r="AP491" s="230"/>
      <c r="AQ491" s="230"/>
      <c r="AR491" s="162"/>
      <c r="AS491" s="162"/>
      <c r="AT491" s="162"/>
      <c r="AU491" s="162"/>
      <c r="AV491" s="162"/>
      <c r="AW491" s="230"/>
      <c r="AX491" s="230"/>
      <c r="AY491" s="162"/>
      <c r="AZ491" s="162"/>
      <c r="BA491" s="162"/>
      <c r="BB491" s="162"/>
      <c r="BC491" s="162"/>
      <c r="BD491" s="230"/>
      <c r="BE491" s="230"/>
      <c r="BF491" s="162"/>
      <c r="BG491" s="162"/>
      <c r="BH491" s="162"/>
      <c r="BI491" s="162"/>
      <c r="BJ491" s="162"/>
      <c r="BK491" s="230"/>
      <c r="BL491" s="230"/>
      <c r="BM491" s="162"/>
      <c r="BN491" s="162"/>
      <c r="BO491" s="162"/>
      <c r="BP491" s="162"/>
      <c r="BQ491" s="162"/>
      <c r="BR491" s="230"/>
      <c r="BS491" s="230"/>
      <c r="BT491" s="162"/>
      <c r="BU491" s="162"/>
      <c r="BV491" s="162"/>
      <c r="BW491" s="162"/>
      <c r="BX491" s="162"/>
      <c r="BY491" s="230"/>
      <c r="BZ491" s="230"/>
      <c r="CA491" s="162"/>
      <c r="CB491" s="162"/>
      <c r="CC491" s="162"/>
      <c r="CD491" s="162"/>
      <c r="CE491" s="162"/>
      <c r="CF491" s="230"/>
      <c r="CG491" s="230"/>
      <c r="CH491" s="162"/>
      <c r="CI491" s="162"/>
      <c r="CJ491" s="162"/>
      <c r="CK491" s="162"/>
      <c r="CL491" s="162"/>
      <c r="CM491" s="230"/>
      <c r="CN491" s="230"/>
      <c r="CO491" s="162"/>
      <c r="CP491" s="162"/>
      <c r="CQ491" s="162"/>
      <c r="CR491" s="162"/>
      <c r="CS491" s="162"/>
      <c r="CT491" s="230"/>
      <c r="CU491" s="230"/>
      <c r="CV491" s="162"/>
      <c r="CW491" s="162"/>
      <c r="CX491" s="162"/>
      <c r="CY491" s="162"/>
      <c r="CZ491" s="162"/>
      <c r="DA491" s="230"/>
      <c r="DB491" s="230"/>
      <c r="DC491" s="162"/>
      <c r="DD491" s="162"/>
      <c r="DE491" s="162"/>
      <c r="DF491" s="162"/>
      <c r="DG491" s="162"/>
      <c r="DH491" s="230"/>
      <c r="DI491" s="230"/>
      <c r="DJ491" s="162"/>
      <c r="DK491" s="162"/>
      <c r="DL491" s="147"/>
      <c r="DM491" s="147"/>
      <c r="DN491" s="147"/>
      <c r="DO491" s="147"/>
      <c r="DP491" s="147"/>
      <c r="DQ491" s="147"/>
      <c r="DR491" s="147"/>
      <c r="DS491" s="147"/>
      <c r="DT491" s="147"/>
      <c r="DU491" s="147"/>
      <c r="DV491" s="147"/>
      <c r="DW491" s="147"/>
      <c r="DX491" s="147"/>
      <c r="DY491" s="147"/>
      <c r="DZ491" s="147"/>
      <c r="EA491" s="147"/>
      <c r="EB491" s="147"/>
      <c r="EC491" s="147"/>
      <c r="ED491" s="147"/>
      <c r="EE491" s="147"/>
      <c r="EF491" s="147"/>
      <c r="EG491" s="147"/>
      <c r="EH491" s="147"/>
    </row>
    <row r="492" spans="1:138" x14ac:dyDescent="0.25">
      <c r="A492" s="147"/>
      <c r="B492" s="147"/>
      <c r="C492" s="160"/>
      <c r="D492" s="160"/>
      <c r="E492" s="169"/>
      <c r="F492" s="229"/>
      <c r="G492" s="165"/>
      <c r="H492" s="165"/>
      <c r="I492" s="163"/>
      <c r="J492" s="163"/>
      <c r="K492" s="162"/>
      <c r="L492" s="162"/>
      <c r="M492" s="162"/>
      <c r="N492" s="230"/>
      <c r="O492" s="230"/>
      <c r="P492" s="162"/>
      <c r="Q492" s="162"/>
      <c r="R492" s="162"/>
      <c r="S492" s="162"/>
      <c r="T492" s="162"/>
      <c r="U492" s="230"/>
      <c r="V492" s="230"/>
      <c r="W492" s="162"/>
      <c r="X492" s="162"/>
      <c r="Y492" s="162"/>
      <c r="Z492" s="162"/>
      <c r="AA492" s="162"/>
      <c r="AB492" s="230"/>
      <c r="AC492" s="230"/>
      <c r="AD492" s="162"/>
      <c r="AE492" s="162"/>
      <c r="AF492" s="162"/>
      <c r="AG492" s="162"/>
      <c r="AH492" s="162"/>
      <c r="AI492" s="230"/>
      <c r="AJ492" s="230"/>
      <c r="AK492" s="162"/>
      <c r="AL492" s="162"/>
      <c r="AM492" s="162"/>
      <c r="AN492" s="162"/>
      <c r="AO492" s="162"/>
      <c r="AP492" s="230"/>
      <c r="AQ492" s="230"/>
      <c r="AR492" s="162"/>
      <c r="AS492" s="162"/>
      <c r="AT492" s="162"/>
      <c r="AU492" s="162"/>
      <c r="AV492" s="162"/>
      <c r="AW492" s="230"/>
      <c r="AX492" s="230"/>
      <c r="AY492" s="162"/>
      <c r="AZ492" s="162"/>
      <c r="BA492" s="162"/>
      <c r="BB492" s="162"/>
      <c r="BC492" s="162"/>
      <c r="BD492" s="230"/>
      <c r="BE492" s="230"/>
      <c r="BF492" s="162"/>
      <c r="BG492" s="162"/>
      <c r="BH492" s="162"/>
      <c r="BI492" s="162"/>
      <c r="BJ492" s="162"/>
      <c r="BK492" s="230"/>
      <c r="BL492" s="230"/>
      <c r="BM492" s="162"/>
      <c r="BN492" s="162"/>
      <c r="BO492" s="162"/>
      <c r="BP492" s="162"/>
      <c r="BQ492" s="162"/>
      <c r="BR492" s="230"/>
      <c r="BS492" s="230"/>
      <c r="BT492" s="162"/>
      <c r="BU492" s="162"/>
      <c r="BV492" s="162"/>
      <c r="BW492" s="162"/>
      <c r="BX492" s="162"/>
      <c r="BY492" s="230"/>
      <c r="BZ492" s="230"/>
      <c r="CA492" s="162"/>
      <c r="CB492" s="162"/>
      <c r="CC492" s="162"/>
      <c r="CD492" s="162"/>
      <c r="CE492" s="162"/>
      <c r="CF492" s="230"/>
      <c r="CG492" s="230"/>
      <c r="CH492" s="162"/>
      <c r="CI492" s="162"/>
      <c r="CJ492" s="162"/>
      <c r="CK492" s="162"/>
      <c r="CL492" s="162"/>
      <c r="CM492" s="230"/>
      <c r="CN492" s="230"/>
      <c r="CO492" s="162"/>
      <c r="CP492" s="162"/>
      <c r="CQ492" s="162"/>
      <c r="CR492" s="162"/>
      <c r="CS492" s="162"/>
      <c r="CT492" s="230"/>
      <c r="CU492" s="230"/>
      <c r="CV492" s="162"/>
      <c r="CW492" s="162"/>
      <c r="CX492" s="162"/>
      <c r="CY492" s="162"/>
      <c r="CZ492" s="162"/>
      <c r="DA492" s="230"/>
      <c r="DB492" s="230"/>
      <c r="DC492" s="162"/>
      <c r="DD492" s="162"/>
      <c r="DE492" s="162"/>
      <c r="DF492" s="162"/>
      <c r="DG492" s="162"/>
      <c r="DH492" s="230"/>
      <c r="DI492" s="230"/>
      <c r="DJ492" s="162"/>
      <c r="DK492" s="162"/>
      <c r="DL492" s="147"/>
      <c r="DM492" s="147"/>
      <c r="DN492" s="147"/>
      <c r="DO492" s="147"/>
      <c r="DP492" s="147"/>
      <c r="DQ492" s="147"/>
      <c r="DR492" s="147"/>
      <c r="DS492" s="147"/>
      <c r="DT492" s="147"/>
      <c r="DU492" s="147"/>
      <c r="DV492" s="147"/>
      <c r="DW492" s="147"/>
      <c r="DX492" s="147"/>
      <c r="DY492" s="147"/>
      <c r="DZ492" s="147"/>
      <c r="EA492" s="147"/>
      <c r="EB492" s="147"/>
      <c r="EC492" s="147"/>
      <c r="ED492" s="147"/>
      <c r="EE492" s="147"/>
      <c r="EF492" s="147"/>
      <c r="EG492" s="147"/>
      <c r="EH492" s="147"/>
    </row>
    <row r="493" spans="1:138" x14ac:dyDescent="0.25">
      <c r="A493" s="147"/>
      <c r="B493" s="147"/>
      <c r="C493" s="160"/>
      <c r="D493" s="160"/>
      <c r="E493" s="169"/>
      <c r="F493" s="229"/>
      <c r="G493" s="165"/>
      <c r="H493" s="165"/>
      <c r="I493" s="163"/>
      <c r="J493" s="163"/>
      <c r="K493" s="162"/>
      <c r="L493" s="162"/>
      <c r="M493" s="162"/>
      <c r="N493" s="230"/>
      <c r="O493" s="230"/>
      <c r="P493" s="162"/>
      <c r="Q493" s="162"/>
      <c r="R493" s="162"/>
      <c r="S493" s="162"/>
      <c r="T493" s="162"/>
      <c r="U493" s="230"/>
      <c r="V493" s="230"/>
      <c r="W493" s="162"/>
      <c r="X493" s="162"/>
      <c r="Y493" s="162"/>
      <c r="Z493" s="162"/>
      <c r="AA493" s="162"/>
      <c r="AB493" s="230"/>
      <c r="AC493" s="230"/>
      <c r="AD493" s="162"/>
      <c r="AE493" s="162"/>
      <c r="AF493" s="162"/>
      <c r="AG493" s="162"/>
      <c r="AH493" s="162"/>
      <c r="AI493" s="230"/>
      <c r="AJ493" s="230"/>
      <c r="AK493" s="162"/>
      <c r="AL493" s="162"/>
      <c r="AM493" s="162"/>
      <c r="AN493" s="162"/>
      <c r="AO493" s="162"/>
      <c r="AP493" s="230"/>
      <c r="AQ493" s="230"/>
      <c r="AR493" s="162"/>
      <c r="AS493" s="162"/>
      <c r="AT493" s="162"/>
      <c r="AU493" s="162"/>
      <c r="AV493" s="162"/>
      <c r="AW493" s="230"/>
      <c r="AX493" s="230"/>
      <c r="AY493" s="162"/>
      <c r="AZ493" s="162"/>
      <c r="BA493" s="162"/>
      <c r="BB493" s="162"/>
      <c r="BC493" s="162"/>
      <c r="BD493" s="230"/>
      <c r="BE493" s="230"/>
      <c r="BF493" s="162"/>
      <c r="BG493" s="162"/>
      <c r="BH493" s="162"/>
      <c r="BI493" s="162"/>
      <c r="BJ493" s="162"/>
      <c r="BK493" s="230"/>
      <c r="BL493" s="230"/>
      <c r="BM493" s="162"/>
      <c r="BN493" s="162"/>
      <c r="BO493" s="162"/>
      <c r="BP493" s="162"/>
      <c r="BQ493" s="162"/>
      <c r="BR493" s="230"/>
      <c r="BS493" s="230"/>
      <c r="BT493" s="162"/>
      <c r="BU493" s="162"/>
      <c r="BV493" s="162"/>
      <c r="BW493" s="162"/>
      <c r="BX493" s="162"/>
      <c r="BY493" s="230"/>
      <c r="BZ493" s="230"/>
      <c r="CA493" s="162"/>
      <c r="CB493" s="162"/>
      <c r="CC493" s="162"/>
      <c r="CD493" s="162"/>
      <c r="CE493" s="162"/>
      <c r="CF493" s="230"/>
      <c r="CG493" s="230"/>
      <c r="CH493" s="162"/>
      <c r="CI493" s="162"/>
      <c r="CJ493" s="162"/>
      <c r="CK493" s="162"/>
      <c r="CL493" s="162"/>
      <c r="CM493" s="230"/>
      <c r="CN493" s="230"/>
      <c r="CO493" s="162"/>
      <c r="CP493" s="162"/>
      <c r="CQ493" s="162"/>
      <c r="CR493" s="162"/>
      <c r="CS493" s="162"/>
      <c r="CT493" s="230"/>
      <c r="CU493" s="230"/>
      <c r="CV493" s="162"/>
      <c r="CW493" s="162"/>
      <c r="CX493" s="162"/>
      <c r="CY493" s="162"/>
      <c r="CZ493" s="162"/>
      <c r="DA493" s="230"/>
      <c r="DB493" s="230"/>
      <c r="DC493" s="162"/>
      <c r="DD493" s="162"/>
      <c r="DE493" s="162"/>
      <c r="DF493" s="162"/>
      <c r="DG493" s="162"/>
      <c r="DH493" s="230"/>
      <c r="DI493" s="230"/>
      <c r="DJ493" s="162"/>
      <c r="DK493" s="162"/>
      <c r="DL493" s="147"/>
      <c r="DM493" s="147"/>
      <c r="DN493" s="147"/>
      <c r="DO493" s="147"/>
      <c r="DP493" s="147"/>
      <c r="DQ493" s="147"/>
      <c r="DR493" s="147"/>
      <c r="DS493" s="147"/>
      <c r="DT493" s="147"/>
      <c r="DU493" s="147"/>
      <c r="DV493" s="147"/>
      <c r="DW493" s="147"/>
      <c r="DX493" s="147"/>
      <c r="DY493" s="147"/>
      <c r="DZ493" s="147"/>
      <c r="EA493" s="147"/>
      <c r="EB493" s="147"/>
      <c r="EC493" s="147"/>
      <c r="ED493" s="147"/>
      <c r="EE493" s="147"/>
      <c r="EF493" s="147"/>
      <c r="EG493" s="147"/>
      <c r="EH493" s="147"/>
    </row>
    <row r="494" spans="1:138" x14ac:dyDescent="0.25">
      <c r="A494" s="147"/>
      <c r="B494" s="147"/>
      <c r="C494" s="160"/>
      <c r="D494" s="160"/>
      <c r="E494" s="169"/>
      <c r="F494" s="229"/>
      <c r="G494" s="165"/>
      <c r="H494" s="165"/>
      <c r="I494" s="163"/>
      <c r="J494" s="163"/>
      <c r="K494" s="162"/>
      <c r="L494" s="162"/>
      <c r="M494" s="162"/>
      <c r="N494" s="230"/>
      <c r="O494" s="230"/>
      <c r="P494" s="162"/>
      <c r="Q494" s="162"/>
      <c r="R494" s="162"/>
      <c r="S494" s="162"/>
      <c r="T494" s="162"/>
      <c r="U494" s="230"/>
      <c r="V494" s="230"/>
      <c r="W494" s="162"/>
      <c r="X494" s="162"/>
      <c r="Y494" s="162"/>
      <c r="Z494" s="162"/>
      <c r="AA494" s="162"/>
      <c r="AB494" s="230"/>
      <c r="AC494" s="230"/>
      <c r="AD494" s="162"/>
      <c r="AE494" s="162"/>
      <c r="AF494" s="162"/>
      <c r="AG494" s="162"/>
      <c r="AH494" s="162"/>
      <c r="AI494" s="230"/>
      <c r="AJ494" s="230"/>
      <c r="AK494" s="162"/>
      <c r="AL494" s="162"/>
      <c r="AM494" s="162"/>
      <c r="AN494" s="162"/>
      <c r="AO494" s="162"/>
      <c r="AP494" s="230"/>
      <c r="AQ494" s="230"/>
      <c r="AR494" s="162"/>
      <c r="AS494" s="162"/>
      <c r="AT494" s="162"/>
      <c r="AU494" s="162"/>
      <c r="AV494" s="162"/>
      <c r="AW494" s="230"/>
      <c r="AX494" s="230"/>
      <c r="AY494" s="162"/>
      <c r="AZ494" s="162"/>
      <c r="BA494" s="162"/>
      <c r="BB494" s="162"/>
      <c r="BC494" s="162"/>
      <c r="BD494" s="230"/>
      <c r="BE494" s="230"/>
      <c r="BF494" s="162"/>
      <c r="BG494" s="162"/>
      <c r="BH494" s="162"/>
      <c r="BI494" s="162"/>
      <c r="BJ494" s="162"/>
      <c r="BK494" s="230"/>
      <c r="BL494" s="230"/>
      <c r="BM494" s="162"/>
      <c r="BN494" s="162"/>
      <c r="BO494" s="162"/>
      <c r="BP494" s="162"/>
      <c r="BQ494" s="162"/>
      <c r="BR494" s="230"/>
      <c r="BS494" s="230"/>
      <c r="BT494" s="162"/>
      <c r="BU494" s="162"/>
      <c r="BV494" s="162"/>
      <c r="BW494" s="162"/>
      <c r="BX494" s="162"/>
      <c r="BY494" s="230"/>
      <c r="BZ494" s="230"/>
      <c r="CA494" s="162"/>
      <c r="CB494" s="162"/>
      <c r="CC494" s="162"/>
      <c r="CD494" s="162"/>
      <c r="CE494" s="162"/>
      <c r="CF494" s="230"/>
      <c r="CG494" s="230"/>
      <c r="CH494" s="162"/>
      <c r="CI494" s="162"/>
      <c r="CJ494" s="162"/>
      <c r="CK494" s="162"/>
      <c r="CL494" s="162"/>
      <c r="CM494" s="230"/>
      <c r="CN494" s="230"/>
      <c r="CO494" s="162"/>
      <c r="CP494" s="162"/>
      <c r="CQ494" s="162"/>
      <c r="CR494" s="162"/>
      <c r="CS494" s="162"/>
      <c r="CT494" s="230"/>
      <c r="CU494" s="230"/>
      <c r="CV494" s="162"/>
      <c r="CW494" s="162"/>
      <c r="CX494" s="162"/>
      <c r="CY494" s="162"/>
      <c r="CZ494" s="162"/>
      <c r="DA494" s="230"/>
      <c r="DB494" s="230"/>
      <c r="DC494" s="162"/>
      <c r="DD494" s="162"/>
      <c r="DE494" s="162"/>
      <c r="DF494" s="162"/>
      <c r="DG494" s="162"/>
      <c r="DH494" s="230"/>
      <c r="DI494" s="230"/>
      <c r="DJ494" s="162"/>
      <c r="DK494" s="162"/>
      <c r="DL494" s="147"/>
      <c r="DM494" s="147"/>
      <c r="DN494" s="147"/>
      <c r="DO494" s="147"/>
      <c r="DP494" s="147"/>
      <c r="DQ494" s="147"/>
      <c r="DR494" s="147"/>
      <c r="DS494" s="147"/>
      <c r="DT494" s="147"/>
      <c r="DU494" s="147"/>
      <c r="DV494" s="147"/>
      <c r="DW494" s="147"/>
      <c r="DX494" s="147"/>
      <c r="DY494" s="147"/>
      <c r="DZ494" s="147"/>
      <c r="EA494" s="147"/>
      <c r="EB494" s="147"/>
      <c r="EC494" s="147"/>
      <c r="ED494" s="147"/>
      <c r="EE494" s="147"/>
      <c r="EF494" s="147"/>
      <c r="EG494" s="147"/>
      <c r="EH494" s="147"/>
    </row>
    <row r="495" spans="1:138" x14ac:dyDescent="0.25">
      <c r="A495" s="147"/>
      <c r="B495" s="147"/>
      <c r="C495" s="160"/>
      <c r="D495" s="160"/>
      <c r="E495" s="169"/>
      <c r="F495" s="229"/>
      <c r="G495" s="165"/>
      <c r="H495" s="165"/>
      <c r="I495" s="163"/>
      <c r="J495" s="163"/>
      <c r="K495" s="162"/>
      <c r="L495" s="162"/>
      <c r="M495" s="162"/>
      <c r="N495" s="230"/>
      <c r="O495" s="230"/>
      <c r="P495" s="162"/>
      <c r="Q495" s="162"/>
      <c r="R495" s="162"/>
      <c r="S495" s="162"/>
      <c r="T495" s="162"/>
      <c r="U495" s="230"/>
      <c r="V495" s="230"/>
      <c r="W495" s="162"/>
      <c r="X495" s="162"/>
      <c r="Y495" s="162"/>
      <c r="Z495" s="162"/>
      <c r="AA495" s="162"/>
      <c r="AB495" s="230"/>
      <c r="AC495" s="230"/>
      <c r="AD495" s="162"/>
      <c r="AE495" s="162"/>
      <c r="AF495" s="162"/>
      <c r="AG495" s="162"/>
      <c r="AH495" s="162"/>
      <c r="AI495" s="230"/>
      <c r="AJ495" s="230"/>
      <c r="AK495" s="162"/>
      <c r="AL495" s="162"/>
      <c r="AM495" s="162"/>
      <c r="AN495" s="162"/>
      <c r="AO495" s="162"/>
      <c r="AP495" s="230"/>
      <c r="AQ495" s="230"/>
      <c r="AR495" s="162"/>
      <c r="AS495" s="162"/>
      <c r="AT495" s="162"/>
      <c r="AU495" s="162"/>
      <c r="AV495" s="162"/>
      <c r="AW495" s="230"/>
      <c r="AX495" s="230"/>
      <c r="AY495" s="162"/>
      <c r="AZ495" s="162"/>
      <c r="BA495" s="162"/>
      <c r="BB495" s="162"/>
      <c r="BC495" s="162"/>
      <c r="BD495" s="230"/>
      <c r="BE495" s="230"/>
      <c r="BF495" s="162"/>
      <c r="BG495" s="162"/>
      <c r="BH495" s="162"/>
      <c r="BI495" s="162"/>
      <c r="BJ495" s="162"/>
      <c r="BK495" s="230"/>
      <c r="BL495" s="230"/>
      <c r="BM495" s="162"/>
      <c r="BN495" s="162"/>
      <c r="BO495" s="162"/>
      <c r="BP495" s="162"/>
      <c r="BQ495" s="162"/>
      <c r="BR495" s="230"/>
      <c r="BS495" s="230"/>
      <c r="BT495" s="162"/>
      <c r="BU495" s="162"/>
      <c r="BV495" s="162"/>
      <c r="BW495" s="162"/>
      <c r="BX495" s="162"/>
      <c r="BY495" s="230"/>
      <c r="BZ495" s="230"/>
      <c r="CA495" s="162"/>
      <c r="CB495" s="162"/>
      <c r="CC495" s="162"/>
      <c r="CD495" s="162"/>
      <c r="CE495" s="162"/>
      <c r="CF495" s="230"/>
      <c r="CG495" s="230"/>
      <c r="CH495" s="162"/>
      <c r="CI495" s="162"/>
      <c r="CJ495" s="162"/>
      <c r="CK495" s="162"/>
      <c r="CL495" s="162"/>
      <c r="CM495" s="230"/>
      <c r="CN495" s="230"/>
      <c r="CO495" s="162"/>
      <c r="CP495" s="162"/>
      <c r="CQ495" s="162"/>
      <c r="CR495" s="162"/>
      <c r="CS495" s="162"/>
      <c r="CT495" s="230"/>
      <c r="CU495" s="230"/>
      <c r="CV495" s="162"/>
      <c r="CW495" s="162"/>
      <c r="CX495" s="162"/>
      <c r="CY495" s="162"/>
      <c r="CZ495" s="162"/>
      <c r="DA495" s="230"/>
      <c r="DB495" s="230"/>
      <c r="DC495" s="162"/>
      <c r="DD495" s="162"/>
      <c r="DE495" s="162"/>
      <c r="DF495" s="162"/>
      <c r="DG495" s="162"/>
      <c r="DH495" s="230"/>
      <c r="DI495" s="230"/>
      <c r="DJ495" s="162"/>
      <c r="DK495" s="162"/>
      <c r="DL495" s="147"/>
      <c r="DM495" s="147"/>
      <c r="DN495" s="147"/>
      <c r="DO495" s="147"/>
      <c r="DP495" s="147"/>
      <c r="DQ495" s="147"/>
      <c r="DR495" s="147"/>
      <c r="DS495" s="147"/>
      <c r="DT495" s="147"/>
      <c r="DU495" s="147"/>
      <c r="DV495" s="147"/>
      <c r="DW495" s="147"/>
      <c r="DX495" s="147"/>
      <c r="DY495" s="147"/>
      <c r="DZ495" s="147"/>
      <c r="EA495" s="147"/>
      <c r="EB495" s="147"/>
      <c r="EC495" s="147"/>
      <c r="ED495" s="147"/>
      <c r="EE495" s="147"/>
      <c r="EF495" s="147"/>
      <c r="EG495" s="147"/>
      <c r="EH495" s="147"/>
    </row>
    <row r="496" spans="1:138" x14ac:dyDescent="0.25">
      <c r="A496" s="147"/>
      <c r="B496" s="147"/>
      <c r="C496" s="160"/>
      <c r="D496" s="160"/>
      <c r="E496" s="169"/>
      <c r="F496" s="229"/>
      <c r="G496" s="165"/>
      <c r="H496" s="165"/>
      <c r="I496" s="163"/>
      <c r="J496" s="163"/>
      <c r="K496" s="162"/>
      <c r="L496" s="162"/>
      <c r="M496" s="162"/>
      <c r="N496" s="230"/>
      <c r="O496" s="230"/>
      <c r="P496" s="162"/>
      <c r="Q496" s="162"/>
      <c r="R496" s="162"/>
      <c r="S496" s="162"/>
      <c r="T496" s="162"/>
      <c r="U496" s="230"/>
      <c r="V496" s="230"/>
      <c r="W496" s="162"/>
      <c r="X496" s="162"/>
      <c r="Y496" s="162"/>
      <c r="Z496" s="162"/>
      <c r="AA496" s="162"/>
      <c r="AB496" s="230"/>
      <c r="AC496" s="230"/>
      <c r="AD496" s="162"/>
      <c r="AE496" s="162"/>
      <c r="AF496" s="162"/>
      <c r="AG496" s="162"/>
      <c r="AH496" s="162"/>
      <c r="AI496" s="230"/>
      <c r="AJ496" s="230"/>
      <c r="AK496" s="162"/>
      <c r="AL496" s="162"/>
      <c r="AM496" s="162"/>
      <c r="AN496" s="162"/>
      <c r="AO496" s="162"/>
      <c r="AP496" s="230"/>
      <c r="AQ496" s="230"/>
      <c r="AR496" s="162"/>
      <c r="AS496" s="162"/>
      <c r="AT496" s="162"/>
      <c r="AU496" s="162"/>
      <c r="AV496" s="162"/>
      <c r="AW496" s="230"/>
      <c r="AX496" s="230"/>
      <c r="AY496" s="162"/>
      <c r="AZ496" s="162"/>
      <c r="BA496" s="162"/>
      <c r="BB496" s="162"/>
      <c r="BC496" s="162"/>
      <c r="BD496" s="230"/>
      <c r="BE496" s="230"/>
      <c r="BF496" s="162"/>
      <c r="BG496" s="162"/>
      <c r="BH496" s="162"/>
      <c r="BI496" s="162"/>
      <c r="BJ496" s="162"/>
      <c r="BK496" s="230"/>
      <c r="BL496" s="230"/>
      <c r="BM496" s="162"/>
      <c r="BN496" s="162"/>
      <c r="BO496" s="162"/>
      <c r="BP496" s="162"/>
      <c r="BQ496" s="162"/>
      <c r="BR496" s="230"/>
      <c r="BS496" s="230"/>
      <c r="BT496" s="162"/>
      <c r="BU496" s="162"/>
      <c r="BV496" s="162"/>
      <c r="BW496" s="162"/>
      <c r="BX496" s="162"/>
      <c r="BY496" s="230"/>
      <c r="BZ496" s="230"/>
      <c r="CA496" s="162"/>
      <c r="CB496" s="162"/>
      <c r="CC496" s="162"/>
      <c r="CD496" s="162"/>
      <c r="CE496" s="162"/>
      <c r="CF496" s="230"/>
      <c r="CG496" s="230"/>
      <c r="CH496" s="162"/>
      <c r="CI496" s="162"/>
      <c r="CJ496" s="162"/>
      <c r="CK496" s="162"/>
      <c r="CL496" s="162"/>
      <c r="CM496" s="230"/>
      <c r="CN496" s="230"/>
      <c r="CO496" s="162"/>
      <c r="CP496" s="162"/>
      <c r="CQ496" s="162"/>
      <c r="CR496" s="162"/>
      <c r="CS496" s="162"/>
      <c r="CT496" s="230"/>
      <c r="CU496" s="230"/>
      <c r="CV496" s="162"/>
      <c r="CW496" s="162"/>
      <c r="CX496" s="162"/>
      <c r="CY496" s="162"/>
      <c r="CZ496" s="162"/>
      <c r="DA496" s="230"/>
      <c r="DB496" s="230"/>
      <c r="DC496" s="162"/>
      <c r="DD496" s="162"/>
      <c r="DE496" s="162"/>
      <c r="DF496" s="162"/>
      <c r="DG496" s="162"/>
      <c r="DH496" s="230"/>
      <c r="DI496" s="230"/>
      <c r="DJ496" s="162"/>
      <c r="DK496" s="162"/>
      <c r="DL496" s="147"/>
      <c r="DM496" s="147"/>
      <c r="DN496" s="147"/>
      <c r="DO496" s="147"/>
      <c r="DP496" s="147"/>
      <c r="DQ496" s="147"/>
      <c r="DR496" s="147"/>
      <c r="DS496" s="147"/>
      <c r="DT496" s="147"/>
      <c r="DU496" s="147"/>
      <c r="DV496" s="147"/>
      <c r="DW496" s="147"/>
      <c r="DX496" s="147"/>
      <c r="DY496" s="147"/>
      <c r="DZ496" s="147"/>
      <c r="EA496" s="147"/>
      <c r="EB496" s="147"/>
      <c r="EC496" s="147"/>
      <c r="ED496" s="147"/>
      <c r="EE496" s="147"/>
      <c r="EF496" s="147"/>
      <c r="EG496" s="147"/>
      <c r="EH496" s="147"/>
    </row>
    <row r="497" spans="1:138" x14ac:dyDescent="0.25">
      <c r="A497" s="147"/>
      <c r="B497" s="147"/>
      <c r="C497" s="160"/>
      <c r="D497" s="160"/>
      <c r="E497" s="169"/>
      <c r="F497" s="229"/>
      <c r="G497" s="165"/>
      <c r="H497" s="165"/>
      <c r="I497" s="163"/>
      <c r="J497" s="163"/>
      <c r="K497" s="162"/>
      <c r="L497" s="162"/>
      <c r="M497" s="162"/>
      <c r="N497" s="230"/>
      <c r="O497" s="230"/>
      <c r="P497" s="162"/>
      <c r="Q497" s="162"/>
      <c r="R497" s="162"/>
      <c r="S497" s="162"/>
      <c r="T497" s="162"/>
      <c r="U497" s="230"/>
      <c r="V497" s="230"/>
      <c r="W497" s="162"/>
      <c r="X497" s="162"/>
      <c r="Y497" s="162"/>
      <c r="Z497" s="162"/>
      <c r="AA497" s="162"/>
      <c r="AB497" s="230"/>
      <c r="AC497" s="230"/>
      <c r="AD497" s="162"/>
      <c r="AE497" s="162"/>
      <c r="AF497" s="162"/>
      <c r="AG497" s="162"/>
      <c r="AH497" s="162"/>
      <c r="AI497" s="230"/>
      <c r="AJ497" s="230"/>
      <c r="AK497" s="162"/>
      <c r="AL497" s="162"/>
      <c r="AM497" s="162"/>
      <c r="AN497" s="162"/>
      <c r="AO497" s="162"/>
      <c r="AP497" s="230"/>
      <c r="AQ497" s="230"/>
      <c r="AR497" s="162"/>
      <c r="AS497" s="162"/>
      <c r="AT497" s="162"/>
      <c r="AU497" s="162"/>
      <c r="AV497" s="162"/>
      <c r="AW497" s="230"/>
      <c r="AX497" s="230"/>
      <c r="AY497" s="162"/>
      <c r="AZ497" s="162"/>
      <c r="BA497" s="162"/>
      <c r="BB497" s="162"/>
      <c r="BC497" s="162"/>
      <c r="BD497" s="230"/>
      <c r="BE497" s="230"/>
      <c r="BF497" s="162"/>
      <c r="BG497" s="162"/>
      <c r="BH497" s="162"/>
      <c r="BI497" s="162"/>
      <c r="BJ497" s="162"/>
      <c r="BK497" s="230"/>
      <c r="BL497" s="230"/>
      <c r="BM497" s="162"/>
      <c r="BN497" s="162"/>
      <c r="BO497" s="162"/>
      <c r="BP497" s="162"/>
      <c r="BQ497" s="162"/>
      <c r="BR497" s="230"/>
      <c r="BS497" s="230"/>
      <c r="BT497" s="162"/>
      <c r="BU497" s="162"/>
      <c r="BV497" s="162"/>
      <c r="BW497" s="162"/>
      <c r="BX497" s="162"/>
      <c r="BY497" s="230"/>
      <c r="BZ497" s="230"/>
      <c r="CA497" s="162"/>
      <c r="CB497" s="162"/>
      <c r="CC497" s="162"/>
      <c r="CD497" s="162"/>
      <c r="CE497" s="162"/>
      <c r="CF497" s="230"/>
      <c r="CG497" s="230"/>
      <c r="CH497" s="162"/>
      <c r="CI497" s="162"/>
      <c r="CJ497" s="162"/>
      <c r="CK497" s="162"/>
      <c r="CL497" s="162"/>
      <c r="CM497" s="230"/>
      <c r="CN497" s="230"/>
      <c r="CO497" s="162"/>
      <c r="CP497" s="162"/>
      <c r="CQ497" s="162"/>
      <c r="CR497" s="162"/>
      <c r="CS497" s="162"/>
      <c r="CT497" s="230"/>
      <c r="CU497" s="230"/>
      <c r="CV497" s="162"/>
      <c r="CW497" s="162"/>
      <c r="CX497" s="162"/>
      <c r="CY497" s="162"/>
      <c r="CZ497" s="162"/>
      <c r="DA497" s="230"/>
      <c r="DB497" s="230"/>
      <c r="DC497" s="162"/>
      <c r="DD497" s="162"/>
      <c r="DE497" s="162"/>
      <c r="DF497" s="162"/>
      <c r="DG497" s="162"/>
      <c r="DH497" s="230"/>
      <c r="DI497" s="230"/>
      <c r="DJ497" s="162"/>
      <c r="DK497" s="162"/>
      <c r="DL497" s="147"/>
      <c r="DM497" s="147"/>
      <c r="DN497" s="147"/>
      <c r="DO497" s="147"/>
      <c r="DP497" s="147"/>
      <c r="DQ497" s="147"/>
      <c r="DR497" s="147"/>
      <c r="DS497" s="147"/>
      <c r="DT497" s="147"/>
      <c r="DU497" s="147"/>
      <c r="DV497" s="147"/>
      <c r="DW497" s="147"/>
      <c r="DX497" s="147"/>
      <c r="DY497" s="147"/>
      <c r="DZ497" s="147"/>
      <c r="EA497" s="147"/>
      <c r="EB497" s="147"/>
      <c r="EC497" s="147"/>
      <c r="ED497" s="147"/>
      <c r="EE497" s="147"/>
      <c r="EF497" s="147"/>
      <c r="EG497" s="147"/>
      <c r="EH497" s="147"/>
    </row>
    <row r="498" spans="1:138" x14ac:dyDescent="0.25">
      <c r="A498" s="147"/>
      <c r="B498" s="147"/>
      <c r="C498" s="160"/>
      <c r="D498" s="160"/>
      <c r="E498" s="169"/>
      <c r="F498" s="229"/>
      <c r="G498" s="165"/>
      <c r="H498" s="165"/>
      <c r="I498" s="163"/>
      <c r="J498" s="163"/>
      <c r="K498" s="162"/>
      <c r="L498" s="162"/>
      <c r="M498" s="162"/>
      <c r="N498" s="230"/>
      <c r="O498" s="230"/>
      <c r="P498" s="162"/>
      <c r="Q498" s="162"/>
      <c r="R498" s="162"/>
      <c r="S498" s="162"/>
      <c r="T498" s="162"/>
      <c r="U498" s="230"/>
      <c r="V498" s="230"/>
      <c r="W498" s="162"/>
      <c r="X498" s="162"/>
      <c r="Y498" s="162"/>
      <c r="Z498" s="162"/>
      <c r="AA498" s="162"/>
      <c r="AB498" s="230"/>
      <c r="AC498" s="230"/>
      <c r="AD498" s="162"/>
      <c r="AE498" s="162"/>
      <c r="AF498" s="162"/>
      <c r="AG498" s="162"/>
      <c r="AH498" s="162"/>
      <c r="AI498" s="230"/>
      <c r="AJ498" s="230"/>
      <c r="AK498" s="162"/>
      <c r="AL498" s="162"/>
      <c r="AM498" s="162"/>
      <c r="AN498" s="162"/>
      <c r="AO498" s="162"/>
      <c r="AP498" s="230"/>
      <c r="AQ498" s="230"/>
      <c r="AR498" s="162"/>
      <c r="AS498" s="162"/>
      <c r="AT498" s="162"/>
      <c r="AU498" s="162"/>
      <c r="AV498" s="162"/>
      <c r="AW498" s="230"/>
      <c r="AX498" s="230"/>
      <c r="AY498" s="162"/>
      <c r="AZ498" s="162"/>
      <c r="BA498" s="162"/>
      <c r="BB498" s="162"/>
      <c r="BC498" s="162"/>
      <c r="BD498" s="230"/>
      <c r="BE498" s="230"/>
      <c r="BF498" s="162"/>
      <c r="BG498" s="162"/>
      <c r="BH498" s="162"/>
      <c r="BI498" s="162"/>
      <c r="BJ498" s="162"/>
      <c r="BK498" s="230"/>
      <c r="BL498" s="230"/>
      <c r="BM498" s="162"/>
      <c r="BN498" s="162"/>
      <c r="BO498" s="162"/>
      <c r="BP498" s="162"/>
      <c r="BQ498" s="162"/>
      <c r="BR498" s="230"/>
      <c r="BS498" s="230"/>
      <c r="BT498" s="162"/>
      <c r="BU498" s="162"/>
      <c r="BV498" s="162"/>
      <c r="BW498" s="162"/>
      <c r="BX498" s="162"/>
      <c r="BY498" s="230"/>
      <c r="BZ498" s="230"/>
      <c r="CA498" s="162"/>
      <c r="CB498" s="162"/>
      <c r="CC498" s="162"/>
      <c r="CD498" s="162"/>
      <c r="CE498" s="162"/>
      <c r="CF498" s="230"/>
      <c r="CG498" s="230"/>
      <c r="CH498" s="162"/>
      <c r="CI498" s="162"/>
      <c r="CJ498" s="162"/>
      <c r="CK498" s="162"/>
      <c r="CL498" s="162"/>
      <c r="CM498" s="230"/>
      <c r="CN498" s="230"/>
      <c r="CO498" s="162"/>
      <c r="CP498" s="162"/>
      <c r="CQ498" s="162"/>
      <c r="CR498" s="162"/>
      <c r="CS498" s="162"/>
      <c r="CT498" s="230"/>
      <c r="CU498" s="230"/>
      <c r="CV498" s="162"/>
      <c r="CW498" s="162"/>
      <c r="CX498" s="162"/>
      <c r="CY498" s="162"/>
      <c r="CZ498" s="162"/>
      <c r="DA498" s="230"/>
      <c r="DB498" s="230"/>
      <c r="DC498" s="162"/>
      <c r="DD498" s="162"/>
      <c r="DE498" s="162"/>
      <c r="DF498" s="162"/>
      <c r="DG498" s="162"/>
      <c r="DH498" s="230"/>
      <c r="DI498" s="230"/>
      <c r="DJ498" s="162"/>
      <c r="DK498" s="162"/>
      <c r="DL498" s="147"/>
      <c r="DM498" s="147"/>
      <c r="DN498" s="147"/>
      <c r="DO498" s="147"/>
      <c r="DP498" s="147"/>
      <c r="DQ498" s="147"/>
      <c r="DR498" s="147"/>
      <c r="DS498" s="147"/>
      <c r="DT498" s="147"/>
      <c r="DU498" s="147"/>
      <c r="DV498" s="147"/>
      <c r="DW498" s="147"/>
      <c r="DX498" s="147"/>
      <c r="DY498" s="147"/>
      <c r="DZ498" s="147"/>
      <c r="EA498" s="147"/>
      <c r="EB498" s="147"/>
      <c r="EC498" s="147"/>
      <c r="ED498" s="147"/>
      <c r="EE498" s="147"/>
      <c r="EF498" s="147"/>
      <c r="EG498" s="147"/>
      <c r="EH498" s="147"/>
    </row>
    <row r="499" spans="1:138" x14ac:dyDescent="0.25">
      <c r="A499" s="147"/>
      <c r="B499" s="147"/>
      <c r="C499" s="160"/>
      <c r="D499" s="160"/>
      <c r="E499" s="169"/>
      <c r="F499" s="229"/>
      <c r="G499" s="165"/>
      <c r="H499" s="165"/>
      <c r="I499" s="163"/>
      <c r="J499" s="163"/>
      <c r="K499" s="162"/>
      <c r="L499" s="162"/>
      <c r="M499" s="162"/>
      <c r="N499" s="230"/>
      <c r="O499" s="230"/>
      <c r="P499" s="162"/>
      <c r="Q499" s="162"/>
      <c r="R499" s="162"/>
      <c r="S499" s="162"/>
      <c r="T499" s="162"/>
      <c r="U499" s="230"/>
      <c r="V499" s="230"/>
      <c r="W499" s="162"/>
      <c r="X499" s="162"/>
      <c r="Y499" s="162"/>
      <c r="Z499" s="162"/>
      <c r="AA499" s="162"/>
      <c r="AB499" s="230"/>
      <c r="AC499" s="230"/>
      <c r="AD499" s="162"/>
      <c r="AE499" s="162"/>
      <c r="AF499" s="162"/>
      <c r="AG499" s="162"/>
      <c r="AH499" s="162"/>
      <c r="AI499" s="230"/>
      <c r="AJ499" s="230"/>
      <c r="AK499" s="162"/>
      <c r="AL499" s="162"/>
      <c r="AM499" s="162"/>
      <c r="AN499" s="162"/>
      <c r="AO499" s="162"/>
      <c r="AP499" s="230"/>
      <c r="AQ499" s="230"/>
      <c r="AR499" s="162"/>
      <c r="AS499" s="162"/>
      <c r="AT499" s="162"/>
      <c r="AU499" s="162"/>
      <c r="AV499" s="162"/>
      <c r="AW499" s="230"/>
      <c r="AX499" s="230"/>
      <c r="AY499" s="162"/>
      <c r="AZ499" s="162"/>
      <c r="BA499" s="162"/>
      <c r="BB499" s="162"/>
      <c r="BC499" s="162"/>
      <c r="BD499" s="230"/>
      <c r="BE499" s="230"/>
      <c r="BF499" s="162"/>
      <c r="BG499" s="162"/>
      <c r="BH499" s="162"/>
      <c r="BI499" s="162"/>
      <c r="BJ499" s="162"/>
      <c r="BK499" s="230"/>
      <c r="BL499" s="230"/>
      <c r="BM499" s="162"/>
      <c r="BN499" s="162"/>
      <c r="BO499" s="162"/>
      <c r="BP499" s="162"/>
      <c r="BQ499" s="162"/>
      <c r="BR499" s="230"/>
      <c r="BS499" s="230"/>
      <c r="BT499" s="162"/>
      <c r="BU499" s="162"/>
      <c r="BV499" s="162"/>
      <c r="BW499" s="162"/>
      <c r="BX499" s="162"/>
      <c r="BY499" s="230"/>
      <c r="BZ499" s="230"/>
      <c r="CA499" s="162"/>
      <c r="CB499" s="162"/>
      <c r="CC499" s="162"/>
      <c r="CD499" s="162"/>
      <c r="CE499" s="162"/>
      <c r="CF499" s="230"/>
      <c r="CG499" s="230"/>
      <c r="CH499" s="162"/>
      <c r="CI499" s="162"/>
      <c r="CJ499" s="162"/>
      <c r="CK499" s="162"/>
      <c r="CL499" s="162"/>
      <c r="CM499" s="230"/>
      <c r="CN499" s="230"/>
      <c r="CO499" s="162"/>
      <c r="CP499" s="162"/>
      <c r="CQ499" s="162"/>
      <c r="CR499" s="162"/>
      <c r="CS499" s="162"/>
      <c r="CT499" s="230"/>
      <c r="CU499" s="230"/>
      <c r="CV499" s="162"/>
      <c r="CW499" s="162"/>
      <c r="CX499" s="162"/>
      <c r="CY499" s="162"/>
      <c r="CZ499" s="162"/>
      <c r="DA499" s="230"/>
      <c r="DB499" s="230"/>
      <c r="DC499" s="162"/>
      <c r="DD499" s="162"/>
      <c r="DE499" s="162"/>
      <c r="DF499" s="162"/>
      <c r="DG499" s="162"/>
      <c r="DH499" s="230"/>
      <c r="DI499" s="230"/>
      <c r="DJ499" s="162"/>
      <c r="DK499" s="162"/>
      <c r="DL499" s="147"/>
      <c r="DM499" s="147"/>
      <c r="DN499" s="147"/>
      <c r="DO499" s="147"/>
      <c r="DP499" s="147"/>
      <c r="DQ499" s="147"/>
      <c r="DR499" s="147"/>
      <c r="DS499" s="147"/>
      <c r="DT499" s="147"/>
      <c r="DU499" s="147"/>
      <c r="DV499" s="147"/>
      <c r="DW499" s="147"/>
      <c r="DX499" s="147"/>
      <c r="DY499" s="147"/>
      <c r="DZ499" s="147"/>
      <c r="EA499" s="147"/>
      <c r="EB499" s="147"/>
      <c r="EC499" s="147"/>
      <c r="ED499" s="147"/>
      <c r="EE499" s="147"/>
      <c r="EF499" s="147"/>
      <c r="EG499" s="147"/>
      <c r="EH499" s="147"/>
    </row>
    <row r="500" spans="1:138" x14ac:dyDescent="0.25">
      <c r="A500" s="147"/>
      <c r="B500" s="147"/>
      <c r="C500" s="160"/>
      <c r="D500" s="160"/>
      <c r="E500" s="169"/>
      <c r="F500" s="229"/>
      <c r="G500" s="165"/>
      <c r="H500" s="165"/>
      <c r="I500" s="163"/>
      <c r="J500" s="163"/>
      <c r="K500" s="162"/>
      <c r="L500" s="162"/>
      <c r="M500" s="162"/>
      <c r="N500" s="230"/>
      <c r="O500" s="230"/>
      <c r="P500" s="162"/>
      <c r="Q500" s="162"/>
      <c r="R500" s="162"/>
      <c r="S500" s="162"/>
      <c r="T500" s="162"/>
      <c r="U500" s="230"/>
      <c r="V500" s="230"/>
      <c r="W500" s="162"/>
      <c r="X500" s="162"/>
      <c r="Y500" s="162"/>
      <c r="Z500" s="162"/>
      <c r="AA500" s="162"/>
      <c r="AB500" s="230"/>
      <c r="AC500" s="230"/>
      <c r="AD500" s="162"/>
      <c r="AE500" s="162"/>
      <c r="AF500" s="162"/>
      <c r="AG500" s="162"/>
      <c r="AH500" s="162"/>
      <c r="AI500" s="230"/>
      <c r="AJ500" s="230"/>
      <c r="AK500" s="162"/>
      <c r="AL500" s="162"/>
      <c r="AM500" s="162"/>
      <c r="AN500" s="162"/>
      <c r="AO500" s="162"/>
      <c r="AP500" s="230"/>
      <c r="AQ500" s="230"/>
      <c r="AR500" s="162"/>
      <c r="AS500" s="162"/>
      <c r="AT500" s="162"/>
      <c r="AU500" s="162"/>
      <c r="AV500" s="162"/>
      <c r="AW500" s="230"/>
      <c r="AX500" s="230"/>
      <c r="AY500" s="162"/>
      <c r="AZ500" s="162"/>
      <c r="BA500" s="162"/>
      <c r="BB500" s="162"/>
      <c r="BC500" s="162"/>
      <c r="BD500" s="230"/>
      <c r="BE500" s="230"/>
      <c r="BF500" s="162"/>
      <c r="BG500" s="162"/>
      <c r="BH500" s="162"/>
      <c r="BI500" s="162"/>
      <c r="BJ500" s="162"/>
      <c r="BK500" s="230"/>
      <c r="BL500" s="230"/>
      <c r="BM500" s="162"/>
      <c r="BN500" s="162"/>
      <c r="BO500" s="162"/>
      <c r="BP500" s="162"/>
      <c r="BQ500" s="162"/>
      <c r="BR500" s="230"/>
      <c r="BS500" s="230"/>
      <c r="BT500" s="162"/>
      <c r="BU500" s="162"/>
      <c r="BV500" s="162"/>
      <c r="BW500" s="162"/>
      <c r="BX500" s="162"/>
      <c r="BY500" s="230"/>
      <c r="BZ500" s="230"/>
      <c r="CA500" s="162"/>
      <c r="CB500" s="162"/>
      <c r="CC500" s="162"/>
      <c r="CD500" s="162"/>
      <c r="CE500" s="162"/>
      <c r="CF500" s="230"/>
      <c r="CG500" s="230"/>
      <c r="CH500" s="162"/>
      <c r="CI500" s="162"/>
      <c r="CJ500" s="162"/>
      <c r="CK500" s="162"/>
      <c r="CL500" s="162"/>
      <c r="CM500" s="230"/>
      <c r="CN500" s="230"/>
      <c r="CO500" s="162"/>
      <c r="CP500" s="162"/>
      <c r="CQ500" s="162"/>
      <c r="CR500" s="162"/>
      <c r="CS500" s="162"/>
      <c r="CT500" s="230"/>
      <c r="CU500" s="230"/>
      <c r="CV500" s="162"/>
      <c r="CW500" s="162"/>
      <c r="CX500" s="162"/>
      <c r="CY500" s="162"/>
      <c r="CZ500" s="162"/>
      <c r="DA500" s="230"/>
      <c r="DB500" s="230"/>
      <c r="DC500" s="162"/>
      <c r="DD500" s="162"/>
      <c r="DE500" s="162"/>
      <c r="DF500" s="162"/>
      <c r="DG500" s="162"/>
      <c r="DH500" s="230"/>
      <c r="DI500" s="230"/>
      <c r="DJ500" s="162"/>
      <c r="DK500" s="162"/>
      <c r="DL500" s="147"/>
      <c r="DM500" s="147"/>
      <c r="DN500" s="147"/>
      <c r="DO500" s="147"/>
      <c r="DP500" s="147"/>
      <c r="DQ500" s="147"/>
      <c r="DR500" s="147"/>
      <c r="DS500" s="147"/>
      <c r="DT500" s="147"/>
      <c r="DU500" s="147"/>
      <c r="DV500" s="147"/>
      <c r="DW500" s="147"/>
      <c r="DX500" s="147"/>
      <c r="DY500" s="147"/>
      <c r="DZ500" s="147"/>
      <c r="EA500" s="147"/>
      <c r="EB500" s="147"/>
      <c r="EC500" s="147"/>
      <c r="ED500" s="147"/>
      <c r="EE500" s="147"/>
      <c r="EF500" s="147"/>
      <c r="EG500" s="147"/>
      <c r="EH500" s="147"/>
    </row>
    <row r="501" spans="1:138" x14ac:dyDescent="0.25">
      <c r="A501" s="147"/>
      <c r="B501" s="147"/>
      <c r="C501" s="160"/>
      <c r="D501" s="160"/>
      <c r="E501" s="169"/>
      <c r="F501" s="229"/>
      <c r="G501" s="165"/>
      <c r="H501" s="165"/>
      <c r="I501" s="163"/>
      <c r="J501" s="163"/>
      <c r="K501" s="162"/>
      <c r="L501" s="162"/>
      <c r="M501" s="162"/>
      <c r="N501" s="230"/>
      <c r="O501" s="230"/>
      <c r="P501" s="162"/>
      <c r="Q501" s="162"/>
      <c r="R501" s="162"/>
      <c r="S501" s="162"/>
      <c r="T501" s="162"/>
      <c r="U501" s="230"/>
      <c r="V501" s="230"/>
      <c r="W501" s="162"/>
      <c r="X501" s="162"/>
      <c r="Y501" s="162"/>
      <c r="Z501" s="162"/>
      <c r="AA501" s="162"/>
      <c r="AB501" s="230"/>
      <c r="AC501" s="230"/>
      <c r="AD501" s="162"/>
      <c r="AE501" s="162"/>
      <c r="AF501" s="162"/>
      <c r="AG501" s="162"/>
      <c r="AH501" s="162"/>
      <c r="AI501" s="230"/>
      <c r="AJ501" s="230"/>
      <c r="AK501" s="162"/>
      <c r="AL501" s="162"/>
      <c r="AM501" s="162"/>
      <c r="AN501" s="162"/>
      <c r="AO501" s="162"/>
      <c r="AP501" s="230"/>
      <c r="AQ501" s="230"/>
      <c r="AR501" s="162"/>
      <c r="AS501" s="162"/>
      <c r="AT501" s="162"/>
      <c r="AU501" s="162"/>
      <c r="AV501" s="162"/>
      <c r="AW501" s="230"/>
      <c r="AX501" s="230"/>
      <c r="AY501" s="162"/>
      <c r="AZ501" s="162"/>
      <c r="BA501" s="162"/>
      <c r="BB501" s="162"/>
      <c r="BC501" s="162"/>
      <c r="BD501" s="230"/>
      <c r="BE501" s="230"/>
      <c r="BF501" s="162"/>
      <c r="BG501" s="162"/>
      <c r="BH501" s="162"/>
      <c r="BI501" s="162"/>
      <c r="BJ501" s="162"/>
      <c r="BK501" s="230"/>
      <c r="BL501" s="230"/>
      <c r="BM501" s="162"/>
      <c r="BN501" s="162"/>
      <c r="BO501" s="162"/>
      <c r="BP501" s="162"/>
      <c r="BQ501" s="162"/>
      <c r="BR501" s="230"/>
      <c r="BS501" s="230"/>
      <c r="BT501" s="162"/>
      <c r="BU501" s="162"/>
      <c r="BV501" s="162"/>
      <c r="BW501" s="162"/>
      <c r="BX501" s="162"/>
      <c r="BY501" s="230"/>
      <c r="BZ501" s="230"/>
      <c r="CA501" s="162"/>
      <c r="CB501" s="162"/>
      <c r="CC501" s="162"/>
      <c r="CD501" s="162"/>
      <c r="CE501" s="162"/>
      <c r="CF501" s="230"/>
      <c r="CG501" s="230"/>
      <c r="CH501" s="162"/>
      <c r="CI501" s="162"/>
      <c r="CJ501" s="162"/>
      <c r="CK501" s="162"/>
      <c r="CL501" s="162"/>
      <c r="CM501" s="230"/>
      <c r="CN501" s="230"/>
      <c r="CO501" s="162"/>
      <c r="CP501" s="162"/>
      <c r="CQ501" s="162"/>
      <c r="CR501" s="162"/>
      <c r="CS501" s="162"/>
      <c r="CT501" s="230"/>
      <c r="CU501" s="230"/>
      <c r="CV501" s="162"/>
      <c r="CW501" s="162"/>
      <c r="CX501" s="162"/>
      <c r="CY501" s="162"/>
      <c r="CZ501" s="162"/>
      <c r="DA501" s="230"/>
      <c r="DB501" s="230"/>
      <c r="DC501" s="162"/>
      <c r="DD501" s="162"/>
      <c r="DE501" s="162"/>
      <c r="DF501" s="162"/>
      <c r="DG501" s="162"/>
      <c r="DH501" s="230"/>
      <c r="DI501" s="230"/>
      <c r="DJ501" s="162"/>
      <c r="DK501" s="162"/>
      <c r="DL501" s="147"/>
      <c r="DM501" s="147"/>
      <c r="DN501" s="147"/>
      <c r="DO501" s="147"/>
      <c r="DP501" s="147"/>
      <c r="DQ501" s="147"/>
      <c r="DR501" s="147"/>
      <c r="DS501" s="147"/>
      <c r="DT501" s="147"/>
      <c r="DU501" s="147"/>
      <c r="DV501" s="147"/>
      <c r="DW501" s="147"/>
      <c r="DX501" s="147"/>
      <c r="DY501" s="147"/>
      <c r="DZ501" s="147"/>
      <c r="EA501" s="147"/>
      <c r="EB501" s="147"/>
      <c r="EC501" s="147"/>
      <c r="ED501" s="147"/>
      <c r="EE501" s="147"/>
      <c r="EF501" s="147"/>
      <c r="EG501" s="147"/>
      <c r="EH501" s="147"/>
    </row>
    <row r="502" spans="1:138" x14ac:dyDescent="0.25">
      <c r="A502" s="147"/>
      <c r="B502" s="147"/>
      <c r="C502" s="160"/>
      <c r="D502" s="160"/>
      <c r="E502" s="169"/>
      <c r="F502" s="229"/>
      <c r="G502" s="165"/>
      <c r="H502" s="165"/>
      <c r="I502" s="163"/>
      <c r="J502" s="163"/>
      <c r="K502" s="162"/>
      <c r="L502" s="162"/>
      <c r="M502" s="162"/>
      <c r="N502" s="230"/>
      <c r="O502" s="230"/>
      <c r="P502" s="162"/>
      <c r="Q502" s="162"/>
      <c r="R502" s="162"/>
      <c r="S502" s="162"/>
      <c r="T502" s="162"/>
      <c r="U502" s="230"/>
      <c r="V502" s="230"/>
      <c r="W502" s="162"/>
      <c r="X502" s="162"/>
      <c r="Y502" s="162"/>
      <c r="Z502" s="162"/>
      <c r="AA502" s="162"/>
      <c r="AB502" s="230"/>
      <c r="AC502" s="230"/>
      <c r="AD502" s="162"/>
      <c r="AE502" s="162"/>
      <c r="AF502" s="162"/>
      <c r="AG502" s="162"/>
      <c r="AH502" s="162"/>
      <c r="AI502" s="230"/>
      <c r="AJ502" s="230"/>
      <c r="AK502" s="162"/>
      <c r="AL502" s="162"/>
      <c r="AM502" s="162"/>
      <c r="AN502" s="162"/>
      <c r="AO502" s="162"/>
      <c r="AP502" s="230"/>
      <c r="AQ502" s="230"/>
      <c r="AR502" s="162"/>
      <c r="AS502" s="162"/>
      <c r="AT502" s="162"/>
      <c r="AU502" s="162"/>
      <c r="AV502" s="162"/>
      <c r="AW502" s="230"/>
      <c r="AX502" s="230"/>
      <c r="AY502" s="162"/>
      <c r="AZ502" s="162"/>
      <c r="BA502" s="162"/>
      <c r="BB502" s="162"/>
      <c r="BC502" s="162"/>
      <c r="BD502" s="230"/>
      <c r="BE502" s="230"/>
      <c r="BF502" s="162"/>
      <c r="BG502" s="162"/>
      <c r="BH502" s="162"/>
      <c r="BI502" s="162"/>
      <c r="BJ502" s="162"/>
      <c r="BK502" s="230"/>
      <c r="BL502" s="230"/>
      <c r="BM502" s="162"/>
      <c r="BN502" s="162"/>
      <c r="BO502" s="162"/>
      <c r="BP502" s="162"/>
      <c r="BQ502" s="162"/>
      <c r="BR502" s="230"/>
      <c r="BS502" s="230"/>
      <c r="BT502" s="162"/>
      <c r="BU502" s="162"/>
      <c r="BV502" s="162"/>
      <c r="BW502" s="162"/>
      <c r="BX502" s="162"/>
      <c r="BY502" s="230"/>
      <c r="BZ502" s="230"/>
      <c r="CA502" s="162"/>
      <c r="CB502" s="162"/>
      <c r="CC502" s="162"/>
      <c r="CD502" s="162"/>
      <c r="CE502" s="162"/>
      <c r="CF502" s="230"/>
      <c r="CG502" s="230"/>
      <c r="CH502" s="162"/>
      <c r="CI502" s="162"/>
      <c r="CJ502" s="162"/>
      <c r="CK502" s="162"/>
      <c r="CL502" s="162"/>
      <c r="CM502" s="230"/>
      <c r="CN502" s="230"/>
      <c r="CO502" s="162"/>
      <c r="CP502" s="162"/>
      <c r="CQ502" s="162"/>
      <c r="CR502" s="162"/>
      <c r="CS502" s="162"/>
      <c r="CT502" s="230"/>
      <c r="CU502" s="230"/>
      <c r="CV502" s="162"/>
      <c r="CW502" s="162"/>
      <c r="CX502" s="162"/>
      <c r="CY502" s="162"/>
      <c r="CZ502" s="162"/>
      <c r="DA502" s="230"/>
      <c r="DB502" s="230"/>
      <c r="DC502" s="162"/>
      <c r="DD502" s="162"/>
      <c r="DE502" s="162"/>
      <c r="DF502" s="162"/>
      <c r="DG502" s="162"/>
      <c r="DH502" s="230"/>
      <c r="DI502" s="230"/>
      <c r="DJ502" s="162"/>
      <c r="DK502" s="162"/>
      <c r="DL502" s="147"/>
      <c r="DM502" s="147"/>
      <c r="DN502" s="147"/>
      <c r="DO502" s="147"/>
      <c r="DP502" s="147"/>
      <c r="DQ502" s="147"/>
      <c r="DR502" s="147"/>
      <c r="DS502" s="147"/>
      <c r="DT502" s="147"/>
      <c r="DU502" s="147"/>
      <c r="DV502" s="147"/>
      <c r="DW502" s="147"/>
      <c r="DX502" s="147"/>
      <c r="DY502" s="147"/>
      <c r="DZ502" s="147"/>
      <c r="EA502" s="147"/>
      <c r="EB502" s="147"/>
      <c r="EC502" s="147"/>
      <c r="ED502" s="147"/>
      <c r="EE502" s="147"/>
      <c r="EF502" s="147"/>
      <c r="EG502" s="147"/>
      <c r="EH502" s="147"/>
    </row>
    <row r="503" spans="1:138" x14ac:dyDescent="0.25">
      <c r="A503" s="147"/>
      <c r="B503" s="147"/>
      <c r="C503" s="160"/>
      <c r="D503" s="160"/>
      <c r="E503" s="169"/>
      <c r="F503" s="229"/>
      <c r="G503" s="165"/>
      <c r="H503" s="165"/>
      <c r="I503" s="163"/>
      <c r="J503" s="163"/>
      <c r="K503" s="162"/>
      <c r="L503" s="162"/>
      <c r="M503" s="162"/>
      <c r="N503" s="230"/>
      <c r="O503" s="230"/>
      <c r="P503" s="162"/>
      <c r="Q503" s="162"/>
      <c r="R503" s="162"/>
      <c r="S503" s="162"/>
      <c r="T503" s="162"/>
      <c r="U503" s="230"/>
      <c r="V503" s="230"/>
      <c r="W503" s="162"/>
      <c r="X503" s="162"/>
      <c r="Y503" s="162"/>
      <c r="Z503" s="162"/>
      <c r="AA503" s="162"/>
      <c r="AB503" s="230"/>
      <c r="AC503" s="230"/>
      <c r="AD503" s="162"/>
      <c r="AE503" s="162"/>
      <c r="AF503" s="162"/>
      <c r="AG503" s="162"/>
      <c r="AH503" s="162"/>
      <c r="AI503" s="230"/>
      <c r="AJ503" s="230"/>
      <c r="AK503" s="162"/>
      <c r="AL503" s="162"/>
      <c r="AM503" s="162"/>
      <c r="AN503" s="162"/>
      <c r="AO503" s="162"/>
      <c r="AP503" s="230"/>
      <c r="AQ503" s="230"/>
      <c r="AR503" s="162"/>
      <c r="AS503" s="162"/>
      <c r="AT503" s="162"/>
      <c r="AU503" s="162"/>
      <c r="AV503" s="162"/>
      <c r="AW503" s="230"/>
      <c r="AX503" s="230"/>
      <c r="AY503" s="162"/>
      <c r="AZ503" s="162"/>
      <c r="BA503" s="162"/>
      <c r="BB503" s="162"/>
      <c r="BC503" s="162"/>
      <c r="BD503" s="230"/>
      <c r="BE503" s="230"/>
      <c r="BF503" s="162"/>
      <c r="BG503" s="162"/>
      <c r="BH503" s="162"/>
      <c r="BI503" s="162"/>
      <c r="BJ503" s="162"/>
      <c r="BK503" s="230"/>
      <c r="BL503" s="230"/>
      <c r="BM503" s="162"/>
      <c r="BN503" s="162"/>
      <c r="BO503" s="162"/>
      <c r="BP503" s="162"/>
      <c r="BQ503" s="162"/>
      <c r="BR503" s="230"/>
      <c r="BS503" s="230"/>
      <c r="BT503" s="162"/>
      <c r="BU503" s="162"/>
      <c r="BV503" s="162"/>
      <c r="BW503" s="162"/>
      <c r="BX503" s="162"/>
      <c r="BY503" s="230"/>
      <c r="BZ503" s="230"/>
      <c r="CA503" s="162"/>
      <c r="CB503" s="162"/>
      <c r="CC503" s="162"/>
      <c r="CD503" s="162"/>
      <c r="CE503" s="162"/>
      <c r="CF503" s="230"/>
      <c r="CG503" s="230"/>
      <c r="CH503" s="162"/>
      <c r="CI503" s="162"/>
      <c r="CJ503" s="162"/>
      <c r="CK503" s="162"/>
      <c r="CL503" s="162"/>
      <c r="CM503" s="230"/>
      <c r="CN503" s="230"/>
      <c r="CO503" s="162"/>
      <c r="CP503" s="162"/>
      <c r="CQ503" s="162"/>
      <c r="CR503" s="162"/>
      <c r="CS503" s="162"/>
      <c r="CT503" s="230"/>
      <c r="CU503" s="230"/>
      <c r="CV503" s="162"/>
      <c r="CW503" s="162"/>
      <c r="CX503" s="162"/>
      <c r="CY503" s="162"/>
      <c r="CZ503" s="162"/>
      <c r="DA503" s="230"/>
      <c r="DB503" s="230"/>
      <c r="DC503" s="162"/>
      <c r="DD503" s="162"/>
      <c r="DE503" s="162"/>
      <c r="DF503" s="162"/>
      <c r="DG503" s="162"/>
      <c r="DH503" s="230"/>
      <c r="DI503" s="230"/>
      <c r="DJ503" s="162"/>
      <c r="DK503" s="162"/>
      <c r="DL503" s="147"/>
      <c r="DM503" s="147"/>
      <c r="DN503" s="147"/>
      <c r="DO503" s="147"/>
      <c r="DP503" s="147"/>
      <c r="DQ503" s="147"/>
      <c r="DR503" s="147"/>
      <c r="DS503" s="147"/>
      <c r="DT503" s="147"/>
      <c r="DU503" s="147"/>
      <c r="DV503" s="147"/>
      <c r="DW503" s="147"/>
      <c r="DX503" s="147"/>
      <c r="DY503" s="147"/>
      <c r="DZ503" s="147"/>
      <c r="EA503" s="147"/>
      <c r="EB503" s="147"/>
      <c r="EC503" s="147"/>
      <c r="ED503" s="147"/>
      <c r="EE503" s="147"/>
      <c r="EF503" s="147"/>
      <c r="EG503" s="147"/>
      <c r="EH503" s="147"/>
    </row>
    <row r="504" spans="1:138" x14ac:dyDescent="0.25">
      <c r="A504" s="147"/>
      <c r="B504" s="147"/>
      <c r="C504" s="160"/>
      <c r="D504" s="160"/>
      <c r="E504" s="169"/>
      <c r="F504" s="229"/>
      <c r="G504" s="165"/>
      <c r="H504" s="165"/>
      <c r="I504" s="163"/>
      <c r="J504" s="163"/>
      <c r="K504" s="162"/>
      <c r="L504" s="162"/>
      <c r="M504" s="162"/>
      <c r="N504" s="230"/>
      <c r="O504" s="230"/>
      <c r="P504" s="162"/>
      <c r="Q504" s="162"/>
      <c r="R504" s="162"/>
      <c r="S504" s="162"/>
      <c r="T504" s="162"/>
      <c r="U504" s="230"/>
      <c r="V504" s="230"/>
      <c r="W504" s="162"/>
      <c r="X504" s="162"/>
      <c r="Y504" s="162"/>
      <c r="Z504" s="162"/>
      <c r="AA504" s="162"/>
      <c r="AB504" s="230"/>
      <c r="AC504" s="230"/>
      <c r="AD504" s="162"/>
      <c r="AE504" s="162"/>
      <c r="AF504" s="162"/>
      <c r="AG504" s="162"/>
      <c r="AH504" s="162"/>
      <c r="AI504" s="230"/>
      <c r="AJ504" s="230"/>
      <c r="AK504" s="162"/>
      <c r="AL504" s="162"/>
      <c r="AM504" s="162"/>
      <c r="AN504" s="162"/>
      <c r="AO504" s="162"/>
      <c r="AP504" s="230"/>
      <c r="AQ504" s="230"/>
      <c r="AR504" s="162"/>
      <c r="AS504" s="162"/>
      <c r="AT504" s="162"/>
      <c r="AU504" s="162"/>
      <c r="AV504" s="162"/>
      <c r="AW504" s="230"/>
      <c r="AX504" s="230"/>
      <c r="AY504" s="162"/>
      <c r="AZ504" s="162"/>
      <c r="BA504" s="162"/>
      <c r="BB504" s="162"/>
      <c r="BC504" s="162"/>
      <c r="BD504" s="230"/>
      <c r="BE504" s="230"/>
      <c r="BF504" s="162"/>
      <c r="BG504" s="162"/>
      <c r="BH504" s="162"/>
      <c r="BI504" s="162"/>
      <c r="BJ504" s="162"/>
      <c r="BK504" s="230"/>
      <c r="BL504" s="230"/>
      <c r="BM504" s="162"/>
      <c r="BN504" s="162"/>
      <c r="BO504" s="162"/>
      <c r="BP504" s="162"/>
      <c r="BQ504" s="162"/>
      <c r="BR504" s="230"/>
      <c r="BS504" s="230"/>
      <c r="BT504" s="162"/>
      <c r="BU504" s="162"/>
      <c r="BV504" s="162"/>
      <c r="BW504" s="162"/>
      <c r="BX504" s="162"/>
      <c r="BY504" s="230"/>
      <c r="BZ504" s="230"/>
      <c r="CA504" s="162"/>
      <c r="CB504" s="162"/>
      <c r="CC504" s="162"/>
      <c r="CD504" s="162"/>
      <c r="CE504" s="162"/>
      <c r="CF504" s="230"/>
      <c r="CG504" s="230"/>
      <c r="CH504" s="162"/>
      <c r="CI504" s="162"/>
      <c r="CJ504" s="162"/>
      <c r="CK504" s="162"/>
      <c r="CL504" s="162"/>
      <c r="CM504" s="230"/>
      <c r="CN504" s="230"/>
      <c r="CO504" s="162"/>
      <c r="CP504" s="162"/>
      <c r="CQ504" s="162"/>
      <c r="CR504" s="162"/>
      <c r="CS504" s="162"/>
      <c r="CT504" s="230"/>
      <c r="CU504" s="230"/>
      <c r="CV504" s="162"/>
      <c r="CW504" s="162"/>
      <c r="CX504" s="162"/>
      <c r="CY504" s="162"/>
      <c r="CZ504" s="162"/>
      <c r="DA504" s="230"/>
      <c r="DB504" s="230"/>
      <c r="DC504" s="162"/>
      <c r="DD504" s="162"/>
      <c r="DE504" s="162"/>
      <c r="DF504" s="162"/>
      <c r="DG504" s="162"/>
      <c r="DH504" s="230"/>
      <c r="DI504" s="230"/>
      <c r="DJ504" s="162"/>
      <c r="DK504" s="162"/>
      <c r="DL504" s="147"/>
      <c r="DM504" s="147"/>
      <c r="DN504" s="147"/>
      <c r="DO504" s="147"/>
      <c r="DP504" s="147"/>
      <c r="DQ504" s="147"/>
      <c r="DR504" s="147"/>
      <c r="DS504" s="147"/>
      <c r="DT504" s="147"/>
      <c r="DU504" s="147"/>
      <c r="DV504" s="147"/>
      <c r="DW504" s="147"/>
      <c r="DX504" s="147"/>
      <c r="DY504" s="147"/>
      <c r="DZ504" s="147"/>
      <c r="EA504" s="147"/>
      <c r="EB504" s="147"/>
      <c r="EC504" s="147"/>
      <c r="ED504" s="147"/>
      <c r="EE504" s="147"/>
      <c r="EF504" s="147"/>
      <c r="EG504" s="147"/>
      <c r="EH504" s="147"/>
    </row>
    <row r="505" spans="1:138" x14ac:dyDescent="0.25">
      <c r="A505" s="147"/>
      <c r="B505" s="147"/>
      <c r="C505" s="160"/>
      <c r="D505" s="160"/>
      <c r="E505" s="169"/>
      <c r="F505" s="229"/>
      <c r="G505" s="165"/>
      <c r="H505" s="165"/>
      <c r="I505" s="163"/>
      <c r="J505" s="163"/>
      <c r="K505" s="162"/>
      <c r="L505" s="162"/>
      <c r="M505" s="162"/>
      <c r="N505" s="230"/>
      <c r="O505" s="230"/>
      <c r="P505" s="162"/>
      <c r="Q505" s="162"/>
      <c r="R505" s="162"/>
      <c r="S505" s="162"/>
      <c r="T505" s="162"/>
      <c r="U505" s="230"/>
      <c r="V505" s="230"/>
      <c r="W505" s="162"/>
      <c r="X505" s="162"/>
      <c r="Y505" s="162"/>
      <c r="Z505" s="162"/>
      <c r="AA505" s="162"/>
      <c r="AB505" s="230"/>
      <c r="AC505" s="230"/>
      <c r="AD505" s="162"/>
      <c r="AE505" s="162"/>
      <c r="AF505" s="162"/>
      <c r="AG505" s="162"/>
      <c r="AH505" s="162"/>
      <c r="AI505" s="230"/>
      <c r="AJ505" s="230"/>
      <c r="AK505" s="162"/>
      <c r="AL505" s="162"/>
      <c r="AM505" s="162"/>
      <c r="AN505" s="162"/>
      <c r="AO505" s="162"/>
      <c r="AP505" s="230"/>
      <c r="AQ505" s="230"/>
      <c r="AR505" s="162"/>
      <c r="AS505" s="162"/>
      <c r="AT505" s="162"/>
      <c r="AU505" s="162"/>
      <c r="AV505" s="162"/>
      <c r="AW505" s="230"/>
      <c r="AX505" s="230"/>
      <c r="AY505" s="162"/>
      <c r="AZ505" s="162"/>
      <c r="BA505" s="162"/>
      <c r="BB505" s="162"/>
      <c r="BC505" s="162"/>
      <c r="BD505" s="230"/>
      <c r="BE505" s="230"/>
      <c r="BF505" s="162"/>
      <c r="BG505" s="162"/>
      <c r="BH505" s="162"/>
      <c r="BI505" s="162"/>
      <c r="BJ505" s="162"/>
      <c r="BK505" s="230"/>
      <c r="BL505" s="230"/>
      <c r="BM505" s="162"/>
      <c r="BN505" s="162"/>
      <c r="BO505" s="162"/>
      <c r="BP505" s="162"/>
      <c r="BQ505" s="162"/>
      <c r="BR505" s="230"/>
      <c r="BS505" s="230"/>
      <c r="BT505" s="162"/>
      <c r="BU505" s="162"/>
      <c r="BV505" s="162"/>
      <c r="BW505" s="162"/>
      <c r="BX505" s="162"/>
      <c r="BY505" s="230"/>
      <c r="BZ505" s="230"/>
      <c r="CA505" s="162"/>
      <c r="CB505" s="162"/>
      <c r="CC505" s="162"/>
      <c r="CD505" s="162"/>
      <c r="CE505" s="162"/>
      <c r="CF505" s="230"/>
      <c r="CG505" s="230"/>
      <c r="CH505" s="162"/>
      <c r="CI505" s="162"/>
      <c r="CJ505" s="162"/>
      <c r="CK505" s="162"/>
      <c r="CL505" s="162"/>
      <c r="CM505" s="230"/>
      <c r="CN505" s="230"/>
      <c r="CO505" s="162"/>
      <c r="CP505" s="162"/>
      <c r="CQ505" s="162"/>
      <c r="CR505" s="162"/>
      <c r="CS505" s="162"/>
      <c r="CT505" s="230"/>
      <c r="CU505" s="230"/>
      <c r="CV505" s="162"/>
      <c r="CW505" s="162"/>
      <c r="CX505" s="162"/>
      <c r="CY505" s="162"/>
      <c r="CZ505" s="162"/>
      <c r="DA505" s="230"/>
      <c r="DB505" s="230"/>
      <c r="DC505" s="162"/>
      <c r="DD505" s="162"/>
      <c r="DE505" s="162"/>
      <c r="DF505" s="162"/>
      <c r="DG505" s="162"/>
      <c r="DH505" s="230"/>
      <c r="DI505" s="230"/>
      <c r="DJ505" s="162"/>
      <c r="DK505" s="162"/>
      <c r="DL505" s="147"/>
      <c r="DM505" s="147"/>
      <c r="DN505" s="147"/>
      <c r="DO505" s="147"/>
      <c r="DP505" s="147"/>
      <c r="DQ505" s="147"/>
      <c r="DR505" s="147"/>
      <c r="DS505" s="147"/>
      <c r="DT505" s="147"/>
      <c r="DU505" s="147"/>
      <c r="DV505" s="147"/>
      <c r="DW505" s="147"/>
      <c r="DX505" s="147"/>
      <c r="DY505" s="147"/>
      <c r="DZ505" s="147"/>
      <c r="EA505" s="147"/>
      <c r="EB505" s="147"/>
      <c r="EC505" s="147"/>
      <c r="ED505" s="147"/>
      <c r="EE505" s="147"/>
      <c r="EF505" s="147"/>
      <c r="EG505" s="147"/>
      <c r="EH505" s="147"/>
    </row>
    <row r="506" spans="1:138" x14ac:dyDescent="0.25">
      <c r="A506" s="147"/>
      <c r="B506" s="147"/>
      <c r="C506" s="160"/>
      <c r="D506" s="160"/>
      <c r="E506" s="169"/>
      <c r="F506" s="229"/>
      <c r="G506" s="165"/>
      <c r="H506" s="165"/>
      <c r="I506" s="163"/>
      <c r="J506" s="163"/>
      <c r="K506" s="162"/>
      <c r="L506" s="162"/>
      <c r="M506" s="162"/>
      <c r="N506" s="230"/>
      <c r="O506" s="230"/>
      <c r="P506" s="162"/>
      <c r="Q506" s="162"/>
      <c r="R506" s="162"/>
      <c r="S506" s="162"/>
      <c r="T506" s="162"/>
      <c r="U506" s="230"/>
      <c r="V506" s="230"/>
      <c r="W506" s="162"/>
      <c r="X506" s="162"/>
      <c r="Y506" s="162"/>
      <c r="Z506" s="162"/>
      <c r="AA506" s="162"/>
      <c r="AB506" s="230"/>
      <c r="AC506" s="230"/>
      <c r="AD506" s="162"/>
      <c r="AE506" s="162"/>
      <c r="AF506" s="162"/>
      <c r="AG506" s="162"/>
      <c r="AH506" s="162"/>
      <c r="AI506" s="230"/>
      <c r="AJ506" s="230"/>
      <c r="AK506" s="162"/>
      <c r="AL506" s="162"/>
      <c r="AM506" s="162"/>
      <c r="AN506" s="162"/>
      <c r="AO506" s="162"/>
      <c r="AP506" s="230"/>
      <c r="AQ506" s="230"/>
      <c r="AR506" s="162"/>
      <c r="AS506" s="162"/>
      <c r="AT506" s="162"/>
      <c r="AU506" s="162"/>
      <c r="AV506" s="162"/>
      <c r="AW506" s="230"/>
      <c r="AX506" s="230"/>
      <c r="AY506" s="162"/>
      <c r="AZ506" s="162"/>
      <c r="BA506" s="162"/>
      <c r="BB506" s="162"/>
      <c r="BC506" s="162"/>
      <c r="BD506" s="230"/>
      <c r="BE506" s="230"/>
      <c r="BF506" s="162"/>
      <c r="BG506" s="162"/>
      <c r="BH506" s="162"/>
      <c r="BI506" s="162"/>
      <c r="BJ506" s="162"/>
      <c r="BK506" s="230"/>
      <c r="BL506" s="230"/>
      <c r="BM506" s="162"/>
      <c r="BN506" s="162"/>
      <c r="BO506" s="162"/>
      <c r="BP506" s="162"/>
      <c r="BQ506" s="162"/>
      <c r="BR506" s="230"/>
      <c r="BS506" s="230"/>
      <c r="BT506" s="162"/>
      <c r="BU506" s="162"/>
      <c r="BV506" s="162"/>
      <c r="BW506" s="162"/>
      <c r="BX506" s="162"/>
      <c r="BY506" s="230"/>
      <c r="BZ506" s="230"/>
      <c r="CA506" s="162"/>
      <c r="CB506" s="162"/>
      <c r="CC506" s="162"/>
      <c r="CD506" s="162"/>
      <c r="CE506" s="162"/>
      <c r="CF506" s="230"/>
      <c r="CG506" s="230"/>
      <c r="CH506" s="162"/>
      <c r="CI506" s="162"/>
      <c r="CJ506" s="162"/>
      <c r="CK506" s="162"/>
      <c r="CL506" s="162"/>
      <c r="CM506" s="230"/>
      <c r="CN506" s="230"/>
      <c r="CO506" s="162"/>
      <c r="CP506" s="162"/>
      <c r="CQ506" s="162"/>
      <c r="CR506" s="162"/>
      <c r="CS506" s="162"/>
      <c r="CT506" s="230"/>
      <c r="CU506" s="230"/>
      <c r="CV506" s="162"/>
      <c r="CW506" s="162"/>
      <c r="CX506" s="162"/>
      <c r="CY506" s="162"/>
      <c r="CZ506" s="162"/>
      <c r="DA506" s="230"/>
      <c r="DB506" s="230"/>
      <c r="DC506" s="162"/>
      <c r="DD506" s="162"/>
      <c r="DE506" s="162"/>
      <c r="DF506" s="162"/>
      <c r="DG506" s="162"/>
      <c r="DH506" s="230"/>
      <c r="DI506" s="230"/>
      <c r="DJ506" s="162"/>
      <c r="DK506" s="162"/>
      <c r="DL506" s="147"/>
      <c r="DM506" s="147"/>
      <c r="DN506" s="147"/>
      <c r="DO506" s="147"/>
      <c r="DP506" s="147"/>
      <c r="DQ506" s="147"/>
      <c r="DR506" s="147"/>
      <c r="DS506" s="147"/>
      <c r="DT506" s="147"/>
      <c r="DU506" s="147"/>
      <c r="DV506" s="147"/>
      <c r="DW506" s="147"/>
      <c r="DX506" s="147"/>
      <c r="DY506" s="147"/>
      <c r="DZ506" s="147"/>
      <c r="EA506" s="147"/>
      <c r="EB506" s="147"/>
      <c r="EC506" s="147"/>
      <c r="ED506" s="147"/>
      <c r="EE506" s="147"/>
      <c r="EF506" s="147"/>
      <c r="EG506" s="147"/>
      <c r="EH506" s="147"/>
    </row>
    <row r="507" spans="1:138" x14ac:dyDescent="0.25">
      <c r="A507" s="147"/>
      <c r="B507" s="147"/>
      <c r="C507" s="160"/>
      <c r="D507" s="160"/>
      <c r="E507" s="169"/>
      <c r="F507" s="229"/>
      <c r="G507" s="165"/>
      <c r="H507" s="165"/>
      <c r="I507" s="163"/>
      <c r="J507" s="163"/>
      <c r="K507" s="162"/>
      <c r="L507" s="162"/>
      <c r="M507" s="162"/>
      <c r="N507" s="230"/>
      <c r="O507" s="230"/>
      <c r="P507" s="162"/>
      <c r="Q507" s="162"/>
      <c r="R507" s="162"/>
      <c r="S507" s="162"/>
      <c r="T507" s="162"/>
      <c r="U507" s="230"/>
      <c r="V507" s="230"/>
      <c r="W507" s="162"/>
      <c r="X507" s="162"/>
      <c r="Y507" s="162"/>
      <c r="Z507" s="162"/>
      <c r="AA507" s="162"/>
      <c r="AB507" s="230"/>
      <c r="AC507" s="230"/>
      <c r="AD507" s="162"/>
      <c r="AE507" s="162"/>
      <c r="AF507" s="162"/>
      <c r="AG507" s="162"/>
      <c r="AH507" s="162"/>
      <c r="AI507" s="230"/>
      <c r="AJ507" s="230"/>
      <c r="AK507" s="162"/>
      <c r="AL507" s="162"/>
      <c r="AM507" s="162"/>
      <c r="AN507" s="162"/>
      <c r="AO507" s="162"/>
      <c r="AP507" s="230"/>
      <c r="AQ507" s="230"/>
      <c r="AR507" s="162"/>
      <c r="AS507" s="162"/>
      <c r="AT507" s="162"/>
      <c r="AU507" s="162"/>
      <c r="AV507" s="162"/>
      <c r="AW507" s="230"/>
      <c r="AX507" s="230"/>
      <c r="AY507" s="162"/>
      <c r="AZ507" s="162"/>
      <c r="BA507" s="162"/>
      <c r="BB507" s="162"/>
      <c r="BC507" s="162"/>
      <c r="BD507" s="230"/>
      <c r="BE507" s="230"/>
      <c r="BF507" s="162"/>
      <c r="BG507" s="162"/>
      <c r="BH507" s="162"/>
      <c r="BI507" s="162"/>
      <c r="BJ507" s="162"/>
      <c r="BK507" s="230"/>
      <c r="BL507" s="230"/>
      <c r="BM507" s="162"/>
      <c r="BN507" s="162"/>
      <c r="BO507" s="162"/>
      <c r="BP507" s="162"/>
      <c r="BQ507" s="162"/>
      <c r="BR507" s="230"/>
      <c r="BS507" s="230"/>
      <c r="BT507" s="162"/>
      <c r="BU507" s="162"/>
      <c r="BV507" s="162"/>
      <c r="BW507" s="162"/>
      <c r="BX507" s="162"/>
      <c r="BY507" s="230"/>
      <c r="BZ507" s="230"/>
      <c r="CA507" s="162"/>
      <c r="CB507" s="162"/>
      <c r="CC507" s="162"/>
      <c r="CD507" s="162"/>
      <c r="CE507" s="162"/>
      <c r="CF507" s="230"/>
      <c r="CG507" s="230"/>
      <c r="CH507" s="162"/>
      <c r="CI507" s="162"/>
      <c r="CJ507" s="162"/>
      <c r="CK507" s="162"/>
      <c r="CL507" s="162"/>
      <c r="CM507" s="230"/>
      <c r="CN507" s="230"/>
      <c r="CO507" s="162"/>
      <c r="CP507" s="162"/>
      <c r="CQ507" s="162"/>
      <c r="CR507" s="162"/>
      <c r="CS507" s="162"/>
      <c r="CT507" s="230"/>
      <c r="CU507" s="230"/>
      <c r="CV507" s="162"/>
      <c r="CW507" s="162"/>
      <c r="CX507" s="162"/>
      <c r="CY507" s="162"/>
      <c r="CZ507" s="162"/>
      <c r="DA507" s="230"/>
      <c r="DB507" s="230"/>
      <c r="DC507" s="162"/>
      <c r="DD507" s="162"/>
      <c r="DE507" s="162"/>
      <c r="DF507" s="162"/>
      <c r="DG507" s="162"/>
      <c r="DH507" s="230"/>
      <c r="DI507" s="230"/>
      <c r="DJ507" s="162"/>
      <c r="DK507" s="162"/>
      <c r="DL507" s="147"/>
      <c r="DM507" s="147"/>
      <c r="DN507" s="147"/>
      <c r="DO507" s="147"/>
      <c r="DP507" s="147"/>
      <c r="DQ507" s="147"/>
      <c r="DR507" s="147"/>
      <c r="DS507" s="147"/>
      <c r="DT507" s="147"/>
      <c r="DU507" s="147"/>
      <c r="DV507" s="147"/>
      <c r="DW507" s="147"/>
      <c r="DX507" s="147"/>
      <c r="DY507" s="147"/>
      <c r="DZ507" s="147"/>
      <c r="EA507" s="147"/>
      <c r="EB507" s="147"/>
      <c r="EC507" s="147"/>
      <c r="ED507" s="147"/>
      <c r="EE507" s="147"/>
      <c r="EF507" s="147"/>
      <c r="EG507" s="147"/>
      <c r="EH507" s="147"/>
    </row>
    <row r="508" spans="1:138" x14ac:dyDescent="0.25">
      <c r="A508" s="147"/>
      <c r="B508" s="147"/>
      <c r="C508" s="160"/>
      <c r="D508" s="160"/>
      <c r="E508" s="169"/>
      <c r="F508" s="229"/>
      <c r="G508" s="165"/>
      <c r="H508" s="165"/>
      <c r="I508" s="163"/>
      <c r="J508" s="163"/>
      <c r="K508" s="162"/>
      <c r="L508" s="162"/>
      <c r="M508" s="162"/>
      <c r="N508" s="230"/>
      <c r="O508" s="230"/>
      <c r="P508" s="162"/>
      <c r="Q508" s="162"/>
      <c r="R508" s="162"/>
      <c r="S508" s="162"/>
      <c r="T508" s="162"/>
      <c r="U508" s="230"/>
      <c r="V508" s="230"/>
      <c r="W508" s="162"/>
      <c r="X508" s="162"/>
      <c r="Y508" s="162"/>
      <c r="Z508" s="162"/>
      <c r="AA508" s="162"/>
      <c r="AB508" s="230"/>
      <c r="AC508" s="230"/>
      <c r="AD508" s="162"/>
      <c r="AE508" s="162"/>
      <c r="AF508" s="162"/>
      <c r="AG508" s="162"/>
      <c r="AH508" s="162"/>
      <c r="AI508" s="230"/>
      <c r="AJ508" s="230"/>
      <c r="AK508" s="162"/>
      <c r="AL508" s="162"/>
      <c r="AM508" s="162"/>
      <c r="AN508" s="162"/>
      <c r="AO508" s="162"/>
      <c r="AP508" s="230"/>
      <c r="AQ508" s="230"/>
      <c r="AR508" s="162"/>
      <c r="AS508" s="162"/>
      <c r="AT508" s="162"/>
      <c r="AU508" s="162"/>
      <c r="AV508" s="162"/>
      <c r="AW508" s="230"/>
      <c r="AX508" s="230"/>
      <c r="AY508" s="162"/>
      <c r="AZ508" s="162"/>
      <c r="BA508" s="162"/>
      <c r="BB508" s="162"/>
      <c r="BC508" s="162"/>
      <c r="BD508" s="230"/>
      <c r="BE508" s="230"/>
      <c r="BF508" s="162"/>
      <c r="BG508" s="162"/>
      <c r="BH508" s="162"/>
      <c r="BI508" s="162"/>
      <c r="BJ508" s="162"/>
      <c r="BK508" s="230"/>
      <c r="BL508" s="230"/>
      <c r="BM508" s="162"/>
      <c r="BN508" s="162"/>
      <c r="BO508" s="162"/>
      <c r="BP508" s="162"/>
      <c r="BQ508" s="162"/>
      <c r="BR508" s="230"/>
      <c r="BS508" s="230"/>
      <c r="BT508" s="162"/>
      <c r="BU508" s="162"/>
      <c r="BV508" s="162"/>
      <c r="BW508" s="162"/>
      <c r="BX508" s="162"/>
      <c r="BY508" s="230"/>
      <c r="BZ508" s="230"/>
      <c r="CA508" s="162"/>
      <c r="CB508" s="162"/>
      <c r="CC508" s="162"/>
      <c r="CD508" s="162"/>
      <c r="CE508" s="162"/>
      <c r="CF508" s="230"/>
      <c r="CG508" s="230"/>
      <c r="CH508" s="162"/>
      <c r="CI508" s="162"/>
      <c r="CJ508" s="162"/>
      <c r="CK508" s="162"/>
      <c r="CL508" s="162"/>
      <c r="CM508" s="230"/>
      <c r="CN508" s="230"/>
      <c r="CO508" s="162"/>
      <c r="CP508" s="162"/>
      <c r="CQ508" s="162"/>
      <c r="CR508" s="162"/>
      <c r="CS508" s="162"/>
      <c r="CT508" s="230"/>
      <c r="CU508" s="230"/>
      <c r="CV508" s="162"/>
      <c r="CW508" s="162"/>
      <c r="CX508" s="162"/>
      <c r="CY508" s="162"/>
      <c r="CZ508" s="162"/>
      <c r="DA508" s="230"/>
      <c r="DB508" s="230"/>
      <c r="DC508" s="162"/>
      <c r="DD508" s="162"/>
      <c r="DE508" s="162"/>
      <c r="DF508" s="162"/>
      <c r="DG508" s="162"/>
      <c r="DH508" s="230"/>
      <c r="DI508" s="230"/>
      <c r="DJ508" s="162"/>
      <c r="DK508" s="162"/>
      <c r="DL508" s="147"/>
      <c r="DM508" s="147"/>
      <c r="DN508" s="147"/>
      <c r="DO508" s="147"/>
      <c r="DP508" s="147"/>
      <c r="DQ508" s="147"/>
      <c r="DR508" s="147"/>
      <c r="DS508" s="147"/>
      <c r="DT508" s="147"/>
      <c r="DU508" s="147"/>
      <c r="DV508" s="147"/>
      <c r="DW508" s="147"/>
      <c r="DX508" s="147"/>
      <c r="DY508" s="147"/>
      <c r="DZ508" s="147"/>
      <c r="EA508" s="147"/>
      <c r="EB508" s="147"/>
      <c r="EC508" s="147"/>
      <c r="ED508" s="147"/>
      <c r="EE508" s="147"/>
      <c r="EF508" s="147"/>
      <c r="EG508" s="147"/>
      <c r="EH508" s="147"/>
    </row>
    <row r="509" spans="1:138" x14ac:dyDescent="0.25">
      <c r="A509" s="147"/>
      <c r="B509" s="147"/>
      <c r="C509" s="160"/>
      <c r="D509" s="160"/>
      <c r="E509" s="169"/>
      <c r="F509" s="229"/>
      <c r="G509" s="165"/>
      <c r="H509" s="165"/>
      <c r="I509" s="163"/>
      <c r="J509" s="163"/>
      <c r="K509" s="162"/>
      <c r="L509" s="162"/>
      <c r="M509" s="162"/>
      <c r="N509" s="230"/>
      <c r="O509" s="230"/>
      <c r="P509" s="162"/>
      <c r="Q509" s="162"/>
      <c r="R509" s="162"/>
      <c r="S509" s="162"/>
      <c r="T509" s="162"/>
      <c r="U509" s="230"/>
      <c r="V509" s="230"/>
      <c r="W509" s="162"/>
      <c r="X509" s="162"/>
      <c r="Y509" s="162"/>
      <c r="Z509" s="162"/>
      <c r="AA509" s="162"/>
      <c r="AB509" s="230"/>
      <c r="AC509" s="230"/>
      <c r="AD509" s="162"/>
      <c r="AE509" s="162"/>
      <c r="AF509" s="162"/>
      <c r="AG509" s="162"/>
      <c r="AH509" s="162"/>
      <c r="AI509" s="230"/>
      <c r="AJ509" s="230"/>
      <c r="AK509" s="162"/>
      <c r="AL509" s="162"/>
      <c r="AM509" s="162"/>
      <c r="AN509" s="162"/>
      <c r="AO509" s="162"/>
      <c r="AP509" s="230"/>
      <c r="AQ509" s="230"/>
      <c r="AR509" s="162"/>
      <c r="AS509" s="162"/>
      <c r="AT509" s="162"/>
      <c r="AU509" s="162"/>
      <c r="AV509" s="162"/>
      <c r="AW509" s="230"/>
      <c r="AX509" s="230"/>
      <c r="AY509" s="162"/>
      <c r="AZ509" s="162"/>
      <c r="BA509" s="162"/>
      <c r="BB509" s="162"/>
      <c r="BC509" s="162"/>
      <c r="BD509" s="230"/>
      <c r="BE509" s="230"/>
      <c r="BF509" s="162"/>
      <c r="BG509" s="162"/>
      <c r="BH509" s="162"/>
      <c r="BI509" s="162"/>
      <c r="BJ509" s="162"/>
      <c r="BK509" s="230"/>
      <c r="BL509" s="230"/>
      <c r="BM509" s="162"/>
      <c r="BN509" s="162"/>
      <c r="BO509" s="162"/>
      <c r="BP509" s="162"/>
      <c r="BQ509" s="162"/>
      <c r="BR509" s="230"/>
      <c r="BS509" s="230"/>
      <c r="BT509" s="162"/>
      <c r="BU509" s="162"/>
      <c r="BV509" s="162"/>
      <c r="BW509" s="162"/>
      <c r="BX509" s="162"/>
      <c r="BY509" s="230"/>
      <c r="BZ509" s="230"/>
      <c r="CA509" s="162"/>
      <c r="CB509" s="162"/>
      <c r="CC509" s="162"/>
      <c r="CD509" s="162"/>
      <c r="CE509" s="162"/>
      <c r="CF509" s="230"/>
      <c r="CG509" s="230"/>
      <c r="CH509" s="162"/>
      <c r="CI509" s="162"/>
      <c r="CJ509" s="162"/>
      <c r="CK509" s="162"/>
      <c r="CL509" s="162"/>
      <c r="CM509" s="230"/>
      <c r="CN509" s="230"/>
      <c r="CO509" s="162"/>
      <c r="CP509" s="162"/>
      <c r="CQ509" s="162"/>
      <c r="CR509" s="162"/>
      <c r="CS509" s="162"/>
      <c r="CT509" s="230"/>
      <c r="CU509" s="230"/>
      <c r="CV509" s="162"/>
      <c r="CW509" s="162"/>
      <c r="CX509" s="162"/>
      <c r="CY509" s="162"/>
      <c r="CZ509" s="162"/>
      <c r="DA509" s="230"/>
      <c r="DB509" s="230"/>
      <c r="DC509" s="162"/>
      <c r="DD509" s="162"/>
      <c r="DE509" s="162"/>
      <c r="DF509" s="162"/>
      <c r="DG509" s="162"/>
      <c r="DH509" s="230"/>
      <c r="DI509" s="230"/>
      <c r="DJ509" s="162"/>
      <c r="DK509" s="162"/>
      <c r="DL509" s="147"/>
      <c r="DM509" s="147"/>
      <c r="DN509" s="147"/>
      <c r="DO509" s="147"/>
      <c r="DP509" s="147"/>
      <c r="DQ509" s="147"/>
      <c r="DR509" s="147"/>
      <c r="DS509" s="147"/>
      <c r="DT509" s="147"/>
      <c r="DU509" s="147"/>
      <c r="DV509" s="147"/>
      <c r="DW509" s="147"/>
      <c r="DX509" s="147"/>
      <c r="DY509" s="147"/>
      <c r="DZ509" s="147"/>
      <c r="EA509" s="147"/>
      <c r="EB509" s="147"/>
      <c r="EC509" s="147"/>
      <c r="ED509" s="147"/>
      <c r="EE509" s="147"/>
      <c r="EF509" s="147"/>
      <c r="EG509" s="147"/>
      <c r="EH509" s="147"/>
    </row>
    <row r="510" spans="1:138" x14ac:dyDescent="0.25">
      <c r="A510" s="147"/>
      <c r="B510" s="147"/>
      <c r="C510" s="160"/>
      <c r="D510" s="160"/>
      <c r="E510" s="169"/>
      <c r="F510" s="229"/>
      <c r="G510" s="165"/>
      <c r="H510" s="165"/>
      <c r="I510" s="163"/>
      <c r="J510" s="163"/>
      <c r="K510" s="162"/>
      <c r="L510" s="162"/>
      <c r="M510" s="162"/>
      <c r="N510" s="230"/>
      <c r="O510" s="230"/>
      <c r="P510" s="162"/>
      <c r="Q510" s="162"/>
      <c r="R510" s="162"/>
      <c r="S510" s="162"/>
      <c r="T510" s="162"/>
      <c r="U510" s="230"/>
      <c r="V510" s="230"/>
      <c r="W510" s="162"/>
      <c r="X510" s="162"/>
      <c r="Y510" s="162"/>
      <c r="Z510" s="162"/>
      <c r="AA510" s="162"/>
      <c r="AB510" s="230"/>
      <c r="AC510" s="230"/>
      <c r="AD510" s="162"/>
      <c r="AE510" s="162"/>
      <c r="AF510" s="162"/>
      <c r="AG510" s="162"/>
      <c r="AH510" s="162"/>
      <c r="AI510" s="230"/>
      <c r="AJ510" s="230"/>
      <c r="AK510" s="162"/>
      <c r="AL510" s="162"/>
      <c r="AM510" s="162"/>
      <c r="AN510" s="162"/>
      <c r="AO510" s="162"/>
      <c r="AP510" s="230"/>
      <c r="AQ510" s="230"/>
      <c r="AR510" s="162"/>
      <c r="AS510" s="162"/>
      <c r="AT510" s="162"/>
      <c r="AU510" s="162"/>
      <c r="AV510" s="162"/>
      <c r="AW510" s="230"/>
      <c r="AX510" s="230"/>
      <c r="AY510" s="162"/>
      <c r="AZ510" s="162"/>
      <c r="BA510" s="162"/>
      <c r="BB510" s="162"/>
      <c r="BC510" s="162"/>
      <c r="BD510" s="230"/>
      <c r="BE510" s="230"/>
      <c r="BF510" s="162"/>
      <c r="BG510" s="162"/>
      <c r="BH510" s="162"/>
      <c r="BI510" s="162"/>
      <c r="BJ510" s="162"/>
      <c r="BK510" s="230"/>
      <c r="BL510" s="230"/>
      <c r="BM510" s="162"/>
      <c r="BN510" s="162"/>
      <c r="BO510" s="162"/>
      <c r="BP510" s="162"/>
      <c r="BQ510" s="162"/>
      <c r="BR510" s="230"/>
      <c r="BS510" s="230"/>
      <c r="BT510" s="162"/>
      <c r="BU510" s="162"/>
      <c r="BV510" s="162"/>
      <c r="BW510" s="162"/>
      <c r="BX510" s="162"/>
      <c r="BY510" s="230"/>
      <c r="BZ510" s="230"/>
      <c r="CA510" s="162"/>
      <c r="CB510" s="162"/>
      <c r="CC510" s="162"/>
      <c r="CD510" s="162"/>
      <c r="CE510" s="162"/>
      <c r="CF510" s="230"/>
      <c r="CG510" s="230"/>
      <c r="CH510" s="162"/>
      <c r="CI510" s="162"/>
      <c r="CJ510" s="162"/>
      <c r="CK510" s="162"/>
      <c r="CL510" s="162"/>
      <c r="CM510" s="230"/>
      <c r="CN510" s="230"/>
      <c r="CO510" s="162"/>
      <c r="CP510" s="162"/>
      <c r="CQ510" s="162"/>
      <c r="CR510" s="162"/>
      <c r="CS510" s="162"/>
      <c r="CT510" s="230"/>
      <c r="CU510" s="230"/>
      <c r="CV510" s="162"/>
      <c r="CW510" s="162"/>
      <c r="CX510" s="162"/>
      <c r="CY510" s="162"/>
      <c r="CZ510" s="162"/>
      <c r="DA510" s="230"/>
      <c r="DB510" s="230"/>
      <c r="DC510" s="162"/>
      <c r="DD510" s="162"/>
      <c r="DE510" s="162"/>
      <c r="DF510" s="162"/>
      <c r="DG510" s="162"/>
      <c r="DH510" s="230"/>
      <c r="DI510" s="230"/>
      <c r="DJ510" s="162"/>
      <c r="DK510" s="162"/>
      <c r="DL510" s="147"/>
      <c r="DM510" s="147"/>
      <c r="DN510" s="147"/>
      <c r="DO510" s="147"/>
      <c r="DP510" s="147"/>
      <c r="DQ510" s="147"/>
      <c r="DR510" s="147"/>
      <c r="DS510" s="147"/>
      <c r="DT510" s="147"/>
      <c r="DU510" s="147"/>
      <c r="DV510" s="147"/>
      <c r="DW510" s="147"/>
      <c r="DX510" s="147"/>
      <c r="DY510" s="147"/>
      <c r="DZ510" s="147"/>
      <c r="EA510" s="147"/>
      <c r="EB510" s="147"/>
      <c r="EC510" s="147"/>
      <c r="ED510" s="147"/>
      <c r="EE510" s="147"/>
      <c r="EF510" s="147"/>
      <c r="EG510" s="147"/>
      <c r="EH510" s="147"/>
    </row>
    <row r="511" spans="1:138" x14ac:dyDescent="0.25">
      <c r="A511" s="147"/>
      <c r="B511" s="147"/>
      <c r="C511" s="160"/>
      <c r="D511" s="160"/>
      <c r="E511" s="169"/>
      <c r="F511" s="229"/>
      <c r="G511" s="165"/>
      <c r="H511" s="165"/>
      <c r="I511" s="163"/>
      <c r="J511" s="163"/>
      <c r="K511" s="162"/>
      <c r="L511" s="162"/>
      <c r="M511" s="162"/>
      <c r="N511" s="230"/>
      <c r="O511" s="230"/>
      <c r="P511" s="162"/>
      <c r="Q511" s="162"/>
      <c r="R511" s="162"/>
      <c r="S511" s="162"/>
      <c r="T511" s="162"/>
      <c r="U511" s="230"/>
      <c r="V511" s="230"/>
      <c r="W511" s="162"/>
      <c r="X511" s="162"/>
      <c r="Y511" s="162"/>
      <c r="Z511" s="162"/>
      <c r="AA511" s="162"/>
      <c r="AB511" s="230"/>
      <c r="AC511" s="230"/>
      <c r="AD511" s="162"/>
      <c r="AE511" s="162"/>
      <c r="AF511" s="162"/>
      <c r="AG511" s="162"/>
      <c r="AH511" s="162"/>
      <c r="AI511" s="230"/>
      <c r="AJ511" s="230"/>
      <c r="AK511" s="162"/>
      <c r="AL511" s="162"/>
      <c r="AM511" s="162"/>
      <c r="AN511" s="162"/>
      <c r="AO511" s="162"/>
      <c r="AP511" s="230"/>
      <c r="AQ511" s="230"/>
      <c r="AR511" s="162"/>
      <c r="AS511" s="162"/>
      <c r="AT511" s="162"/>
      <c r="AU511" s="162"/>
      <c r="AV511" s="162"/>
      <c r="AW511" s="230"/>
      <c r="AX511" s="230"/>
      <c r="AY511" s="162"/>
      <c r="AZ511" s="162"/>
      <c r="BA511" s="162"/>
      <c r="BB511" s="162"/>
      <c r="BC511" s="162"/>
      <c r="BD511" s="230"/>
      <c r="BE511" s="230"/>
      <c r="BF511" s="162"/>
      <c r="BG511" s="162"/>
      <c r="BH511" s="162"/>
      <c r="BI511" s="162"/>
      <c r="BJ511" s="162"/>
      <c r="BK511" s="230"/>
      <c r="BL511" s="230"/>
      <c r="BM511" s="162"/>
      <c r="BN511" s="162"/>
      <c r="BO511" s="162"/>
      <c r="BP511" s="162"/>
      <c r="BQ511" s="162"/>
      <c r="BR511" s="230"/>
      <c r="BS511" s="230"/>
      <c r="BT511" s="162"/>
      <c r="BU511" s="162"/>
      <c r="BV511" s="162"/>
      <c r="BW511" s="162"/>
      <c r="BX511" s="162"/>
      <c r="BY511" s="230"/>
      <c r="BZ511" s="230"/>
      <c r="CA511" s="162"/>
      <c r="CB511" s="162"/>
      <c r="CC511" s="162"/>
      <c r="CD511" s="162"/>
      <c r="CE511" s="162"/>
      <c r="CF511" s="230"/>
      <c r="CG511" s="230"/>
      <c r="CH511" s="162"/>
      <c r="CI511" s="162"/>
      <c r="CJ511" s="162"/>
      <c r="CK511" s="162"/>
      <c r="CL511" s="162"/>
      <c r="CM511" s="230"/>
      <c r="CN511" s="230"/>
      <c r="CO511" s="162"/>
      <c r="CP511" s="162"/>
      <c r="CQ511" s="162"/>
      <c r="CR511" s="162"/>
      <c r="CS511" s="162"/>
      <c r="CT511" s="230"/>
      <c r="CU511" s="230"/>
      <c r="CV511" s="162"/>
      <c r="CW511" s="162"/>
      <c r="CX511" s="162"/>
      <c r="CY511" s="162"/>
      <c r="CZ511" s="162"/>
      <c r="DA511" s="230"/>
      <c r="DB511" s="230"/>
      <c r="DC511" s="162"/>
      <c r="DD511" s="162"/>
      <c r="DE511" s="162"/>
      <c r="DF511" s="162"/>
      <c r="DG511" s="162"/>
      <c r="DH511" s="230"/>
      <c r="DI511" s="230"/>
      <c r="DJ511" s="162"/>
      <c r="DK511" s="162"/>
      <c r="DL511" s="147"/>
      <c r="DM511" s="147"/>
      <c r="DN511" s="147"/>
      <c r="DO511" s="147"/>
      <c r="DP511" s="147"/>
      <c r="DQ511" s="147"/>
      <c r="DR511" s="147"/>
      <c r="DS511" s="147"/>
      <c r="DT511" s="147"/>
      <c r="DU511" s="147"/>
      <c r="DV511" s="147"/>
      <c r="DW511" s="147"/>
      <c r="DX511" s="147"/>
      <c r="DY511" s="147"/>
      <c r="DZ511" s="147"/>
      <c r="EA511" s="147"/>
      <c r="EB511" s="147"/>
      <c r="EC511" s="147"/>
      <c r="ED511" s="147"/>
      <c r="EE511" s="147"/>
      <c r="EF511" s="147"/>
      <c r="EG511" s="147"/>
      <c r="EH511" s="147"/>
    </row>
    <row r="512" spans="1:138" x14ac:dyDescent="0.25">
      <c r="A512" s="147"/>
      <c r="B512" s="147"/>
      <c r="C512" s="160"/>
      <c r="D512" s="160"/>
      <c r="E512" s="169"/>
      <c r="F512" s="229"/>
      <c r="G512" s="165"/>
      <c r="H512" s="165"/>
      <c r="I512" s="163"/>
      <c r="J512" s="163"/>
      <c r="K512" s="162"/>
      <c r="L512" s="162"/>
      <c r="M512" s="162"/>
      <c r="N512" s="230"/>
      <c r="O512" s="230"/>
      <c r="P512" s="162"/>
      <c r="Q512" s="162"/>
      <c r="R512" s="162"/>
      <c r="S512" s="162"/>
      <c r="T512" s="162"/>
      <c r="U512" s="230"/>
      <c r="V512" s="230"/>
      <c r="W512" s="162"/>
      <c r="X512" s="162"/>
      <c r="Y512" s="162"/>
      <c r="Z512" s="162"/>
      <c r="AA512" s="162"/>
      <c r="AB512" s="230"/>
      <c r="AC512" s="230"/>
      <c r="AD512" s="162"/>
      <c r="AE512" s="162"/>
      <c r="AF512" s="162"/>
      <c r="AG512" s="162"/>
      <c r="AH512" s="162"/>
      <c r="AI512" s="230"/>
      <c r="AJ512" s="230"/>
      <c r="AK512" s="162"/>
      <c r="AL512" s="162"/>
      <c r="AM512" s="162"/>
      <c r="AN512" s="162"/>
      <c r="AO512" s="162"/>
      <c r="AP512" s="230"/>
      <c r="AQ512" s="230"/>
      <c r="AR512" s="162"/>
      <c r="AS512" s="162"/>
      <c r="AT512" s="162"/>
      <c r="AU512" s="162"/>
      <c r="AV512" s="162"/>
      <c r="AW512" s="230"/>
      <c r="AX512" s="230"/>
      <c r="AY512" s="162"/>
      <c r="AZ512" s="162"/>
      <c r="BA512" s="162"/>
      <c r="BB512" s="162"/>
      <c r="BC512" s="162"/>
      <c r="BD512" s="230"/>
      <c r="BE512" s="230"/>
      <c r="BF512" s="162"/>
      <c r="BG512" s="162"/>
      <c r="BH512" s="162"/>
      <c r="BI512" s="162"/>
      <c r="BJ512" s="162"/>
      <c r="BK512" s="230"/>
      <c r="BL512" s="230"/>
      <c r="BM512" s="162"/>
      <c r="BN512" s="162"/>
      <c r="BO512" s="162"/>
      <c r="BP512" s="162"/>
      <c r="BQ512" s="162"/>
      <c r="BR512" s="230"/>
      <c r="BS512" s="230"/>
      <c r="BT512" s="162"/>
      <c r="BU512" s="162"/>
      <c r="BV512" s="162"/>
      <c r="BW512" s="162"/>
      <c r="BX512" s="162"/>
      <c r="BY512" s="230"/>
      <c r="BZ512" s="230"/>
      <c r="CA512" s="162"/>
      <c r="CB512" s="162"/>
      <c r="CC512" s="162"/>
      <c r="CD512" s="162"/>
      <c r="CE512" s="162"/>
      <c r="CF512" s="230"/>
      <c r="CG512" s="230"/>
      <c r="CH512" s="162"/>
      <c r="CI512" s="162"/>
      <c r="CJ512" s="162"/>
      <c r="CK512" s="162"/>
      <c r="CL512" s="162"/>
      <c r="CM512" s="230"/>
      <c r="CN512" s="230"/>
      <c r="CO512" s="162"/>
      <c r="CP512" s="162"/>
      <c r="CQ512" s="162"/>
      <c r="CR512" s="162"/>
      <c r="CS512" s="162"/>
      <c r="CT512" s="230"/>
      <c r="CU512" s="230"/>
      <c r="CV512" s="162"/>
      <c r="CW512" s="162"/>
      <c r="CX512" s="162"/>
      <c r="CY512" s="162"/>
      <c r="CZ512" s="162"/>
      <c r="DA512" s="230"/>
      <c r="DB512" s="230"/>
      <c r="DC512" s="162"/>
      <c r="DD512" s="162"/>
      <c r="DE512" s="162"/>
      <c r="DF512" s="162"/>
      <c r="DG512" s="162"/>
      <c r="DH512" s="230"/>
      <c r="DI512" s="230"/>
      <c r="DJ512" s="162"/>
      <c r="DK512" s="162"/>
      <c r="DL512" s="147"/>
      <c r="DM512" s="147"/>
      <c r="DN512" s="147"/>
      <c r="DO512" s="147"/>
      <c r="DP512" s="147"/>
      <c r="DQ512" s="147"/>
      <c r="DR512" s="147"/>
      <c r="DS512" s="147"/>
      <c r="DT512" s="147"/>
      <c r="DU512" s="147"/>
      <c r="DV512" s="147"/>
      <c r="DW512" s="147"/>
      <c r="DX512" s="147"/>
      <c r="DY512" s="147"/>
      <c r="DZ512" s="147"/>
      <c r="EA512" s="147"/>
      <c r="EB512" s="147"/>
      <c r="EC512" s="147"/>
      <c r="ED512" s="147"/>
      <c r="EE512" s="147"/>
      <c r="EF512" s="147"/>
      <c r="EG512" s="147"/>
      <c r="EH512" s="147"/>
    </row>
    <row r="513" spans="1:138" x14ac:dyDescent="0.25">
      <c r="A513" s="147"/>
      <c r="B513" s="147"/>
      <c r="C513" s="160"/>
      <c r="D513" s="160"/>
      <c r="E513" s="169"/>
      <c r="F513" s="229"/>
      <c r="G513" s="165"/>
      <c r="H513" s="165"/>
      <c r="I513" s="163"/>
      <c r="J513" s="163"/>
      <c r="K513" s="162"/>
      <c r="L513" s="162"/>
      <c r="M513" s="162"/>
      <c r="N513" s="230"/>
      <c r="O513" s="230"/>
      <c r="P513" s="162"/>
      <c r="Q513" s="162"/>
      <c r="R513" s="162"/>
      <c r="S513" s="162"/>
      <c r="T513" s="162"/>
      <c r="U513" s="230"/>
      <c r="V513" s="230"/>
      <c r="W513" s="162"/>
      <c r="X513" s="162"/>
      <c r="Y513" s="162"/>
      <c r="Z513" s="162"/>
      <c r="AA513" s="162"/>
      <c r="AB513" s="230"/>
      <c r="AC513" s="230"/>
      <c r="AD513" s="162"/>
      <c r="AE513" s="162"/>
      <c r="AF513" s="162"/>
      <c r="AG513" s="162"/>
      <c r="AH513" s="162"/>
      <c r="AI513" s="230"/>
      <c r="AJ513" s="230"/>
      <c r="AK513" s="162"/>
      <c r="AL513" s="162"/>
      <c r="AM513" s="162"/>
      <c r="AN513" s="162"/>
      <c r="AO513" s="162"/>
      <c r="AP513" s="230"/>
      <c r="AQ513" s="230"/>
      <c r="AR513" s="162"/>
      <c r="AS513" s="162"/>
      <c r="AT513" s="162"/>
      <c r="AU513" s="162"/>
      <c r="AV513" s="162"/>
      <c r="AW513" s="230"/>
      <c r="AX513" s="230"/>
      <c r="AY513" s="162"/>
      <c r="AZ513" s="162"/>
      <c r="BA513" s="162"/>
      <c r="BB513" s="162"/>
      <c r="BC513" s="162"/>
      <c r="BD513" s="230"/>
      <c r="BE513" s="230"/>
      <c r="BF513" s="162"/>
      <c r="BG513" s="162"/>
      <c r="BH513" s="162"/>
      <c r="BI513" s="162"/>
      <c r="BJ513" s="162"/>
      <c r="BK513" s="230"/>
      <c r="BL513" s="230"/>
      <c r="BM513" s="162"/>
      <c r="BN513" s="162"/>
      <c r="BO513" s="162"/>
      <c r="BP513" s="162"/>
      <c r="BQ513" s="162"/>
      <c r="BR513" s="230"/>
      <c r="BS513" s="230"/>
      <c r="BT513" s="162"/>
      <c r="BU513" s="162"/>
      <c r="BV513" s="162"/>
      <c r="BW513" s="162"/>
      <c r="BX513" s="162"/>
      <c r="BY513" s="230"/>
      <c r="BZ513" s="230"/>
      <c r="CA513" s="162"/>
      <c r="CB513" s="162"/>
      <c r="CC513" s="162"/>
      <c r="CD513" s="162"/>
      <c r="CE513" s="162"/>
      <c r="CF513" s="230"/>
      <c r="CG513" s="230"/>
      <c r="CH513" s="162"/>
      <c r="CI513" s="162"/>
      <c r="CJ513" s="162"/>
      <c r="CK513" s="162"/>
      <c r="CL513" s="162"/>
      <c r="CM513" s="230"/>
      <c r="CN513" s="230"/>
      <c r="CO513" s="162"/>
      <c r="CP513" s="162"/>
      <c r="CQ513" s="162"/>
      <c r="CR513" s="162"/>
      <c r="CS513" s="162"/>
      <c r="CT513" s="230"/>
      <c r="CU513" s="230"/>
      <c r="CV513" s="162"/>
      <c r="CW513" s="162"/>
      <c r="CX513" s="162"/>
      <c r="CY513" s="162"/>
      <c r="CZ513" s="162"/>
      <c r="DA513" s="230"/>
      <c r="DB513" s="230"/>
      <c r="DC513" s="162"/>
      <c r="DD513" s="162"/>
      <c r="DE513" s="162"/>
      <c r="DF513" s="162"/>
      <c r="DG513" s="162"/>
      <c r="DH513" s="230"/>
      <c r="DI513" s="230"/>
      <c r="DJ513" s="162"/>
      <c r="DK513" s="162"/>
      <c r="DL513" s="147"/>
      <c r="DM513" s="147"/>
      <c r="DN513" s="147"/>
      <c r="DO513" s="147"/>
      <c r="DP513" s="147"/>
      <c r="DQ513" s="147"/>
      <c r="DR513" s="147"/>
      <c r="DS513" s="147"/>
      <c r="DT513" s="147"/>
      <c r="DU513" s="147"/>
      <c r="DV513" s="147"/>
      <c r="DW513" s="147"/>
      <c r="DX513" s="147"/>
      <c r="DY513" s="147"/>
      <c r="DZ513" s="147"/>
      <c r="EA513" s="147"/>
      <c r="EB513" s="147"/>
      <c r="EC513" s="147"/>
      <c r="ED513" s="147"/>
      <c r="EE513" s="147"/>
      <c r="EF513" s="147"/>
      <c r="EG513" s="147"/>
      <c r="EH513" s="147"/>
    </row>
    <row r="514" spans="1:138" x14ac:dyDescent="0.25">
      <c r="A514" s="147"/>
      <c r="B514" s="147"/>
      <c r="C514" s="160"/>
      <c r="D514" s="160"/>
      <c r="E514" s="169"/>
      <c r="F514" s="229"/>
      <c r="G514" s="165"/>
      <c r="H514" s="165"/>
      <c r="I514" s="163"/>
      <c r="J514" s="163"/>
      <c r="K514" s="162"/>
      <c r="L514" s="162"/>
      <c r="M514" s="162"/>
      <c r="N514" s="230"/>
      <c r="O514" s="230"/>
      <c r="P514" s="162"/>
      <c r="Q514" s="162"/>
      <c r="R514" s="162"/>
      <c r="S514" s="162"/>
      <c r="T514" s="162"/>
      <c r="U514" s="230"/>
      <c r="V514" s="230"/>
      <c r="W514" s="162"/>
      <c r="X514" s="162"/>
      <c r="Y514" s="162"/>
      <c r="Z514" s="162"/>
      <c r="AA514" s="162"/>
      <c r="AB514" s="230"/>
      <c r="AC514" s="230"/>
      <c r="AD514" s="162"/>
      <c r="AE514" s="162"/>
      <c r="AF514" s="162"/>
      <c r="AG514" s="162"/>
      <c r="AH514" s="162"/>
      <c r="AI514" s="230"/>
      <c r="AJ514" s="230"/>
      <c r="AK514" s="162"/>
      <c r="AL514" s="162"/>
      <c r="AM514" s="162"/>
      <c r="AN514" s="162"/>
      <c r="AO514" s="162"/>
      <c r="AP514" s="230"/>
      <c r="AQ514" s="230"/>
      <c r="AR514" s="162"/>
      <c r="AS514" s="162"/>
      <c r="AT514" s="162"/>
      <c r="AU514" s="162"/>
      <c r="AV514" s="162"/>
      <c r="AW514" s="230"/>
      <c r="AX514" s="230"/>
      <c r="AY514" s="162"/>
      <c r="AZ514" s="162"/>
      <c r="BA514" s="162"/>
      <c r="BB514" s="162"/>
      <c r="BC514" s="162"/>
      <c r="BD514" s="230"/>
      <c r="BE514" s="230"/>
      <c r="BF514" s="162"/>
      <c r="BG514" s="162"/>
      <c r="BH514" s="162"/>
      <c r="BI514" s="162"/>
      <c r="BJ514" s="162"/>
      <c r="BK514" s="230"/>
      <c r="BL514" s="230"/>
      <c r="BM514" s="162"/>
      <c r="BN514" s="162"/>
      <c r="BO514" s="162"/>
      <c r="BP514" s="162"/>
      <c r="BQ514" s="162"/>
      <c r="BR514" s="230"/>
      <c r="BS514" s="230"/>
      <c r="BT514" s="162"/>
      <c r="BU514" s="162"/>
      <c r="BV514" s="162"/>
      <c r="BW514" s="162"/>
      <c r="BX514" s="162"/>
      <c r="BY514" s="230"/>
      <c r="BZ514" s="230"/>
      <c r="CA514" s="162"/>
      <c r="CB514" s="162"/>
      <c r="CC514" s="162"/>
      <c r="CD514" s="162"/>
      <c r="CE514" s="162"/>
      <c r="CF514" s="230"/>
      <c r="CG514" s="230"/>
      <c r="CH514" s="162"/>
      <c r="CI514" s="162"/>
      <c r="CJ514" s="162"/>
      <c r="CK514" s="162"/>
      <c r="CL514" s="162"/>
      <c r="CM514" s="230"/>
      <c r="CN514" s="230"/>
      <c r="CO514" s="162"/>
      <c r="CP514" s="162"/>
      <c r="CQ514" s="162"/>
      <c r="CR514" s="162"/>
      <c r="CS514" s="162"/>
      <c r="CT514" s="230"/>
      <c r="CU514" s="230"/>
      <c r="CV514" s="162"/>
      <c r="CW514" s="162"/>
      <c r="CX514" s="162"/>
      <c r="CY514" s="162"/>
      <c r="CZ514" s="162"/>
      <c r="DA514" s="230"/>
      <c r="DB514" s="230"/>
      <c r="DC514" s="162"/>
      <c r="DD514" s="162"/>
      <c r="DE514" s="162"/>
      <c r="DF514" s="162"/>
      <c r="DG514" s="162"/>
      <c r="DH514" s="230"/>
      <c r="DI514" s="230"/>
      <c r="DJ514" s="162"/>
      <c r="DK514" s="162"/>
      <c r="DL514" s="147"/>
      <c r="DM514" s="147"/>
      <c r="DN514" s="147"/>
      <c r="DO514" s="147"/>
      <c r="DP514" s="147"/>
      <c r="DQ514" s="147"/>
      <c r="DR514" s="147"/>
      <c r="DS514" s="147"/>
      <c r="DT514" s="147"/>
      <c r="DU514" s="147"/>
      <c r="DV514" s="147"/>
      <c r="DW514" s="147"/>
      <c r="DX514" s="147"/>
      <c r="DY514" s="147"/>
      <c r="DZ514" s="147"/>
      <c r="EA514" s="147"/>
      <c r="EB514" s="147"/>
      <c r="EC514" s="147"/>
      <c r="ED514" s="147"/>
      <c r="EE514" s="147"/>
      <c r="EF514" s="147"/>
      <c r="EG514" s="147"/>
      <c r="EH514" s="147"/>
    </row>
    <row r="515" spans="1:138" x14ac:dyDescent="0.25">
      <c r="A515" s="147"/>
      <c r="B515" s="147"/>
      <c r="C515" s="160"/>
      <c r="D515" s="160"/>
      <c r="E515" s="169"/>
      <c r="F515" s="229"/>
      <c r="G515" s="165"/>
      <c r="H515" s="165"/>
      <c r="I515" s="163"/>
      <c r="J515" s="163"/>
      <c r="K515" s="162"/>
      <c r="L515" s="162"/>
      <c r="M515" s="162"/>
      <c r="N515" s="230"/>
      <c r="O515" s="230"/>
      <c r="P515" s="162"/>
      <c r="Q515" s="162"/>
      <c r="R515" s="162"/>
      <c r="S515" s="162"/>
      <c r="T515" s="162"/>
      <c r="U515" s="230"/>
      <c r="V515" s="230"/>
      <c r="W515" s="162"/>
      <c r="X515" s="162"/>
      <c r="Y515" s="162"/>
      <c r="Z515" s="162"/>
      <c r="AA515" s="162"/>
      <c r="AB515" s="230"/>
      <c r="AC515" s="230"/>
      <c r="AD515" s="162"/>
      <c r="AE515" s="162"/>
      <c r="AF515" s="162"/>
      <c r="AG515" s="162"/>
      <c r="AH515" s="162"/>
      <c r="AI515" s="230"/>
      <c r="AJ515" s="230"/>
      <c r="AK515" s="162"/>
      <c r="AL515" s="162"/>
      <c r="AM515" s="162"/>
      <c r="AN515" s="162"/>
      <c r="AO515" s="162"/>
      <c r="AP515" s="230"/>
      <c r="AQ515" s="230"/>
      <c r="AR515" s="162"/>
      <c r="AS515" s="162"/>
      <c r="AT515" s="162"/>
      <c r="AU515" s="162"/>
      <c r="AV515" s="162"/>
      <c r="AW515" s="230"/>
      <c r="AX515" s="230"/>
      <c r="AY515" s="162"/>
      <c r="AZ515" s="162"/>
      <c r="BA515" s="162"/>
      <c r="BB515" s="162"/>
      <c r="BC515" s="162"/>
      <c r="BD515" s="230"/>
      <c r="BE515" s="230"/>
      <c r="BF515" s="162"/>
      <c r="BG515" s="162"/>
      <c r="BH515" s="162"/>
      <c r="BI515" s="162"/>
      <c r="BJ515" s="162"/>
      <c r="BK515" s="230"/>
      <c r="BL515" s="230"/>
      <c r="BM515" s="162"/>
      <c r="BN515" s="162"/>
      <c r="BO515" s="162"/>
      <c r="BP515" s="162"/>
      <c r="BQ515" s="162"/>
      <c r="BR515" s="230"/>
      <c r="BS515" s="230"/>
      <c r="BT515" s="162"/>
      <c r="BU515" s="162"/>
      <c r="BV515" s="162"/>
      <c r="BW515" s="162"/>
      <c r="BX515" s="162"/>
      <c r="BY515" s="230"/>
      <c r="BZ515" s="230"/>
      <c r="CA515" s="162"/>
      <c r="CB515" s="162"/>
      <c r="CC515" s="162"/>
      <c r="CD515" s="162"/>
      <c r="CE515" s="162"/>
      <c r="CF515" s="230"/>
      <c r="CG515" s="230"/>
      <c r="CH515" s="162"/>
      <c r="CI515" s="162"/>
      <c r="CJ515" s="162"/>
      <c r="CK515" s="162"/>
      <c r="CL515" s="162"/>
      <c r="CM515" s="230"/>
      <c r="CN515" s="230"/>
      <c r="CO515" s="162"/>
      <c r="CP515" s="162"/>
      <c r="CQ515" s="162"/>
      <c r="CR515" s="162"/>
      <c r="CS515" s="162"/>
      <c r="CT515" s="230"/>
      <c r="CU515" s="230"/>
      <c r="CV515" s="162"/>
      <c r="CW515" s="162"/>
      <c r="CX515" s="162"/>
      <c r="CY515" s="162"/>
      <c r="CZ515" s="162"/>
      <c r="DA515" s="230"/>
      <c r="DB515" s="230"/>
      <c r="DC515" s="162"/>
      <c r="DD515" s="162"/>
      <c r="DE515" s="162"/>
      <c r="DF515" s="162"/>
      <c r="DG515" s="162"/>
      <c r="DH515" s="230"/>
      <c r="DI515" s="230"/>
      <c r="DJ515" s="162"/>
      <c r="DK515" s="162"/>
      <c r="DL515" s="147"/>
      <c r="DM515" s="147"/>
      <c r="DN515" s="147"/>
      <c r="DO515" s="147"/>
      <c r="DP515" s="147"/>
      <c r="DQ515" s="147"/>
      <c r="DR515" s="147"/>
      <c r="DS515" s="147"/>
      <c r="DT515" s="147"/>
      <c r="DU515" s="147"/>
      <c r="DV515" s="147"/>
      <c r="DW515" s="147"/>
      <c r="DX515" s="147"/>
      <c r="DY515" s="147"/>
      <c r="DZ515" s="147"/>
      <c r="EA515" s="147"/>
      <c r="EB515" s="147"/>
      <c r="EC515" s="147"/>
      <c r="ED515" s="147"/>
      <c r="EE515" s="147"/>
      <c r="EF515" s="147"/>
      <c r="EG515" s="147"/>
      <c r="EH515" s="147"/>
    </row>
    <row r="516" spans="1:138" x14ac:dyDescent="0.25">
      <c r="A516" s="147"/>
      <c r="B516" s="147"/>
      <c r="C516" s="160"/>
      <c r="D516" s="160"/>
      <c r="E516" s="169"/>
      <c r="F516" s="229"/>
      <c r="G516" s="165"/>
      <c r="H516" s="165"/>
      <c r="I516" s="163"/>
      <c r="J516" s="163"/>
      <c r="K516" s="162"/>
      <c r="L516" s="162"/>
      <c r="M516" s="162"/>
      <c r="N516" s="230"/>
      <c r="O516" s="230"/>
      <c r="P516" s="162"/>
      <c r="Q516" s="162"/>
      <c r="R516" s="162"/>
      <c r="S516" s="162"/>
      <c r="T516" s="162"/>
      <c r="U516" s="230"/>
      <c r="V516" s="230"/>
      <c r="W516" s="162"/>
      <c r="X516" s="162"/>
      <c r="Y516" s="162"/>
      <c r="Z516" s="162"/>
      <c r="AA516" s="162"/>
      <c r="AB516" s="230"/>
      <c r="AC516" s="230"/>
      <c r="AD516" s="162"/>
      <c r="AE516" s="162"/>
      <c r="AF516" s="162"/>
      <c r="AG516" s="162"/>
      <c r="AH516" s="162"/>
      <c r="AI516" s="230"/>
      <c r="AJ516" s="230"/>
      <c r="AK516" s="162"/>
      <c r="AL516" s="162"/>
      <c r="AM516" s="162"/>
      <c r="AN516" s="162"/>
      <c r="AO516" s="162"/>
      <c r="AP516" s="230"/>
      <c r="AQ516" s="230"/>
      <c r="AR516" s="162"/>
      <c r="AS516" s="162"/>
      <c r="AT516" s="162"/>
      <c r="AU516" s="162"/>
      <c r="AV516" s="162"/>
      <c r="AW516" s="230"/>
      <c r="AX516" s="230"/>
      <c r="AY516" s="162"/>
      <c r="AZ516" s="162"/>
      <c r="BA516" s="162"/>
      <c r="BB516" s="162"/>
      <c r="BC516" s="162"/>
      <c r="BD516" s="230"/>
      <c r="BE516" s="230"/>
      <c r="BF516" s="162"/>
      <c r="BG516" s="162"/>
      <c r="BH516" s="162"/>
      <c r="BI516" s="162"/>
      <c r="BJ516" s="162"/>
      <c r="BK516" s="230"/>
      <c r="BL516" s="230"/>
      <c r="BM516" s="162"/>
      <c r="BN516" s="162"/>
      <c r="BO516" s="162"/>
      <c r="BP516" s="162"/>
      <c r="BQ516" s="162"/>
      <c r="BR516" s="230"/>
      <c r="BS516" s="230"/>
      <c r="BT516" s="162"/>
      <c r="BU516" s="162"/>
      <c r="BV516" s="162"/>
      <c r="BW516" s="162"/>
      <c r="BX516" s="162"/>
      <c r="BY516" s="230"/>
      <c r="BZ516" s="230"/>
      <c r="CA516" s="162"/>
      <c r="CB516" s="162"/>
      <c r="CC516" s="162"/>
      <c r="CD516" s="162"/>
      <c r="CE516" s="162"/>
      <c r="CF516" s="230"/>
      <c r="CG516" s="230"/>
      <c r="CH516" s="162"/>
      <c r="CI516" s="162"/>
      <c r="CJ516" s="162"/>
      <c r="CK516" s="162"/>
      <c r="CL516" s="162"/>
      <c r="CM516" s="230"/>
      <c r="CN516" s="230"/>
      <c r="CO516" s="162"/>
      <c r="CP516" s="162"/>
      <c r="CQ516" s="162"/>
      <c r="CR516" s="162"/>
      <c r="CS516" s="162"/>
      <c r="CT516" s="230"/>
      <c r="CU516" s="230"/>
      <c r="CV516" s="162"/>
      <c r="CW516" s="162"/>
      <c r="CX516" s="162"/>
      <c r="CY516" s="162"/>
      <c r="CZ516" s="162"/>
      <c r="DA516" s="230"/>
      <c r="DB516" s="230"/>
      <c r="DC516" s="162"/>
      <c r="DD516" s="162"/>
      <c r="DE516" s="162"/>
      <c r="DF516" s="162"/>
      <c r="DG516" s="162"/>
      <c r="DH516" s="230"/>
      <c r="DI516" s="230"/>
      <c r="DJ516" s="162"/>
      <c r="DK516" s="162"/>
      <c r="DL516" s="147"/>
      <c r="DM516" s="147"/>
      <c r="DN516" s="147"/>
      <c r="DO516" s="147"/>
      <c r="DP516" s="147"/>
      <c r="DQ516" s="147"/>
      <c r="DR516" s="147"/>
      <c r="DS516" s="147"/>
      <c r="DT516" s="147"/>
      <c r="DU516" s="147"/>
      <c r="DV516" s="147"/>
      <c r="DW516" s="147"/>
      <c r="DX516" s="147"/>
      <c r="DY516" s="147"/>
      <c r="DZ516" s="147"/>
      <c r="EA516" s="147"/>
      <c r="EB516" s="147"/>
      <c r="EC516" s="147"/>
      <c r="ED516" s="147"/>
      <c r="EE516" s="147"/>
      <c r="EF516" s="147"/>
      <c r="EG516" s="147"/>
      <c r="EH516" s="147"/>
    </row>
    <row r="517" spans="1:138" x14ac:dyDescent="0.25">
      <c r="A517" s="147"/>
      <c r="B517" s="147"/>
      <c r="C517" s="160"/>
      <c r="D517" s="160"/>
      <c r="E517" s="169"/>
      <c r="F517" s="229"/>
      <c r="G517" s="165"/>
      <c r="H517" s="165"/>
      <c r="I517" s="163"/>
      <c r="J517" s="163"/>
      <c r="K517" s="162"/>
      <c r="L517" s="162"/>
      <c r="M517" s="162"/>
      <c r="N517" s="230"/>
      <c r="O517" s="230"/>
      <c r="P517" s="162"/>
      <c r="Q517" s="162"/>
      <c r="R517" s="162"/>
      <c r="S517" s="162"/>
      <c r="T517" s="162"/>
      <c r="U517" s="230"/>
      <c r="V517" s="230"/>
      <c r="W517" s="162"/>
      <c r="X517" s="162"/>
      <c r="Y517" s="162"/>
      <c r="Z517" s="162"/>
      <c r="AA517" s="162"/>
      <c r="AB517" s="230"/>
      <c r="AC517" s="230"/>
      <c r="AD517" s="162"/>
      <c r="AE517" s="162"/>
      <c r="AF517" s="162"/>
      <c r="AG517" s="162"/>
      <c r="AH517" s="162"/>
      <c r="AI517" s="230"/>
      <c r="AJ517" s="230"/>
      <c r="AK517" s="162"/>
      <c r="AL517" s="162"/>
      <c r="AM517" s="162"/>
      <c r="AN517" s="162"/>
      <c r="AO517" s="162"/>
      <c r="AP517" s="230"/>
      <c r="AQ517" s="230"/>
      <c r="AR517" s="162"/>
      <c r="AS517" s="162"/>
      <c r="AT517" s="162"/>
      <c r="AU517" s="162"/>
      <c r="AV517" s="162"/>
      <c r="AW517" s="230"/>
      <c r="AX517" s="230"/>
      <c r="AY517" s="162"/>
      <c r="AZ517" s="162"/>
      <c r="BA517" s="162"/>
      <c r="BB517" s="162"/>
      <c r="BC517" s="162"/>
      <c r="BD517" s="230"/>
      <c r="BE517" s="230"/>
      <c r="BF517" s="162"/>
      <c r="BG517" s="162"/>
      <c r="BH517" s="162"/>
      <c r="BI517" s="162"/>
      <c r="BJ517" s="162"/>
      <c r="BK517" s="230"/>
      <c r="BL517" s="230"/>
      <c r="BM517" s="162"/>
      <c r="BN517" s="162"/>
      <c r="BO517" s="162"/>
      <c r="BP517" s="162"/>
      <c r="BQ517" s="162"/>
      <c r="BR517" s="230"/>
      <c r="BS517" s="230"/>
      <c r="BT517" s="162"/>
      <c r="BU517" s="162"/>
      <c r="BV517" s="162"/>
      <c r="BW517" s="162"/>
      <c r="BX517" s="162"/>
      <c r="BY517" s="230"/>
      <c r="BZ517" s="230"/>
      <c r="CA517" s="162"/>
      <c r="CB517" s="162"/>
      <c r="CC517" s="162"/>
      <c r="CD517" s="162"/>
      <c r="CE517" s="162"/>
      <c r="CF517" s="230"/>
      <c r="CG517" s="230"/>
      <c r="CH517" s="162"/>
      <c r="CI517" s="162"/>
      <c r="CJ517" s="162"/>
      <c r="CK517" s="162"/>
      <c r="CL517" s="162"/>
      <c r="CM517" s="230"/>
      <c r="CN517" s="230"/>
      <c r="CO517" s="162"/>
      <c r="CP517" s="162"/>
      <c r="CQ517" s="162"/>
      <c r="CR517" s="162"/>
      <c r="CS517" s="162"/>
      <c r="CT517" s="230"/>
      <c r="CU517" s="230"/>
      <c r="CV517" s="162"/>
      <c r="CW517" s="162"/>
      <c r="CX517" s="162"/>
      <c r="CY517" s="162"/>
      <c r="CZ517" s="162"/>
      <c r="DA517" s="230"/>
      <c r="DB517" s="230"/>
      <c r="DC517" s="162"/>
      <c r="DD517" s="162"/>
      <c r="DE517" s="162"/>
      <c r="DF517" s="162"/>
      <c r="DG517" s="162"/>
      <c r="DH517" s="230"/>
      <c r="DI517" s="230"/>
      <c r="DJ517" s="162"/>
      <c r="DK517" s="162"/>
      <c r="DL517" s="147"/>
      <c r="DM517" s="147"/>
      <c r="DN517" s="147"/>
      <c r="DO517" s="147"/>
      <c r="DP517" s="147"/>
      <c r="DQ517" s="147"/>
      <c r="DR517" s="147"/>
      <c r="DS517" s="147"/>
      <c r="DT517" s="147"/>
      <c r="DU517" s="147"/>
      <c r="DV517" s="147"/>
      <c r="DW517" s="147"/>
      <c r="DX517" s="147"/>
      <c r="DY517" s="147"/>
      <c r="DZ517" s="147"/>
      <c r="EA517" s="147"/>
      <c r="EB517" s="147"/>
      <c r="EC517" s="147"/>
      <c r="ED517" s="147"/>
      <c r="EE517" s="147"/>
      <c r="EF517" s="147"/>
      <c r="EG517" s="147"/>
      <c r="EH517" s="147"/>
    </row>
    <row r="518" spans="1:138" x14ac:dyDescent="0.25">
      <c r="A518" s="147"/>
      <c r="B518" s="147"/>
      <c r="C518" s="160"/>
      <c r="D518" s="160"/>
      <c r="E518" s="169"/>
      <c r="F518" s="229"/>
      <c r="G518" s="165"/>
      <c r="H518" s="165"/>
      <c r="I518" s="163"/>
      <c r="J518" s="163"/>
      <c r="K518" s="162"/>
      <c r="L518" s="162"/>
      <c r="M518" s="162"/>
      <c r="N518" s="230"/>
      <c r="O518" s="230"/>
      <c r="P518" s="162"/>
      <c r="Q518" s="162"/>
      <c r="R518" s="162"/>
      <c r="S518" s="162"/>
      <c r="T518" s="162"/>
      <c r="U518" s="230"/>
      <c r="V518" s="230"/>
      <c r="W518" s="162"/>
      <c r="X518" s="162"/>
      <c r="Y518" s="162"/>
      <c r="Z518" s="162"/>
      <c r="AA518" s="162"/>
      <c r="AB518" s="230"/>
      <c r="AC518" s="230"/>
      <c r="AD518" s="162"/>
      <c r="AE518" s="162"/>
      <c r="AF518" s="162"/>
      <c r="AG518" s="162"/>
      <c r="AH518" s="162"/>
      <c r="AI518" s="230"/>
      <c r="AJ518" s="230"/>
      <c r="AK518" s="162"/>
      <c r="AL518" s="162"/>
      <c r="AM518" s="162"/>
      <c r="AN518" s="162"/>
      <c r="AO518" s="162"/>
      <c r="AP518" s="230"/>
      <c r="AQ518" s="230"/>
      <c r="AR518" s="162"/>
      <c r="AS518" s="162"/>
      <c r="AT518" s="162"/>
      <c r="AU518" s="162"/>
      <c r="AV518" s="162"/>
      <c r="AW518" s="230"/>
      <c r="AX518" s="230"/>
      <c r="AY518" s="162"/>
      <c r="AZ518" s="162"/>
      <c r="BA518" s="162"/>
      <c r="BB518" s="162"/>
      <c r="BC518" s="162"/>
      <c r="BD518" s="230"/>
      <c r="BE518" s="230"/>
      <c r="BF518" s="162"/>
      <c r="BG518" s="162"/>
      <c r="BH518" s="162"/>
      <c r="BI518" s="162"/>
      <c r="BJ518" s="162"/>
      <c r="BK518" s="230"/>
      <c r="BL518" s="230"/>
      <c r="BM518" s="162"/>
      <c r="BN518" s="162"/>
      <c r="BO518" s="162"/>
      <c r="BP518" s="162"/>
      <c r="BQ518" s="162"/>
      <c r="BR518" s="230"/>
      <c r="BS518" s="230"/>
      <c r="BT518" s="162"/>
      <c r="BU518" s="162"/>
      <c r="BV518" s="162"/>
      <c r="BW518" s="162"/>
      <c r="BX518" s="162"/>
      <c r="BY518" s="230"/>
      <c r="BZ518" s="230"/>
      <c r="CA518" s="162"/>
      <c r="CB518" s="162"/>
      <c r="CC518" s="162"/>
      <c r="CD518" s="162"/>
      <c r="CE518" s="162"/>
      <c r="CF518" s="230"/>
      <c r="CG518" s="230"/>
      <c r="CH518" s="162"/>
      <c r="CI518" s="162"/>
      <c r="CJ518" s="162"/>
      <c r="CK518" s="162"/>
      <c r="CL518" s="162"/>
      <c r="CM518" s="230"/>
      <c r="CN518" s="230"/>
      <c r="CO518" s="162"/>
      <c r="CP518" s="162"/>
      <c r="CQ518" s="162"/>
      <c r="CR518" s="162"/>
      <c r="CS518" s="162"/>
      <c r="CT518" s="230"/>
      <c r="CU518" s="230"/>
      <c r="CV518" s="162"/>
      <c r="CW518" s="162"/>
      <c r="CX518" s="162"/>
      <c r="CY518" s="162"/>
      <c r="CZ518" s="162"/>
      <c r="DA518" s="230"/>
      <c r="DB518" s="230"/>
      <c r="DC518" s="162"/>
      <c r="DD518" s="162"/>
      <c r="DE518" s="162"/>
      <c r="DF518" s="162"/>
      <c r="DG518" s="162"/>
      <c r="DH518" s="230"/>
      <c r="DI518" s="230"/>
      <c r="DJ518" s="162"/>
      <c r="DK518" s="162"/>
      <c r="DL518" s="147"/>
      <c r="DM518" s="147"/>
      <c r="DN518" s="147"/>
      <c r="DO518" s="147"/>
      <c r="DP518" s="147"/>
      <c r="DQ518" s="147"/>
      <c r="DR518" s="147"/>
      <c r="DS518" s="147"/>
      <c r="DT518" s="147"/>
      <c r="DU518" s="147"/>
      <c r="DV518" s="147"/>
      <c r="DW518" s="147"/>
      <c r="DX518" s="147"/>
      <c r="DY518" s="147"/>
      <c r="DZ518" s="147"/>
      <c r="EA518" s="147"/>
      <c r="EB518" s="147"/>
      <c r="EC518" s="147"/>
      <c r="ED518" s="147"/>
      <c r="EE518" s="147"/>
      <c r="EF518" s="147"/>
      <c r="EG518" s="147"/>
      <c r="EH518" s="147"/>
    </row>
    <row r="519" spans="1:138" x14ac:dyDescent="0.25">
      <c r="A519" s="147"/>
      <c r="B519" s="147"/>
      <c r="C519" s="160"/>
      <c r="D519" s="160"/>
      <c r="E519" s="169"/>
      <c r="F519" s="229"/>
      <c r="G519" s="165"/>
      <c r="H519" s="165"/>
      <c r="I519" s="163"/>
      <c r="J519" s="163"/>
      <c r="K519" s="162"/>
      <c r="L519" s="162"/>
      <c r="M519" s="162"/>
      <c r="N519" s="230"/>
      <c r="O519" s="230"/>
      <c r="P519" s="162"/>
      <c r="Q519" s="162"/>
      <c r="R519" s="162"/>
      <c r="S519" s="162"/>
      <c r="T519" s="162"/>
      <c r="U519" s="230"/>
      <c r="V519" s="230"/>
      <c r="W519" s="162"/>
      <c r="X519" s="162"/>
      <c r="Y519" s="162"/>
      <c r="Z519" s="162"/>
      <c r="AA519" s="162"/>
      <c r="AB519" s="230"/>
      <c r="AC519" s="230"/>
      <c r="AD519" s="162"/>
      <c r="AE519" s="162"/>
      <c r="AF519" s="162"/>
      <c r="AG519" s="162"/>
      <c r="AH519" s="162"/>
      <c r="AI519" s="230"/>
      <c r="AJ519" s="230"/>
      <c r="AK519" s="162"/>
      <c r="AL519" s="162"/>
      <c r="AM519" s="162"/>
      <c r="AN519" s="162"/>
      <c r="AO519" s="162"/>
      <c r="AP519" s="230"/>
      <c r="AQ519" s="230"/>
      <c r="AR519" s="162"/>
      <c r="AS519" s="162"/>
      <c r="AT519" s="162"/>
      <c r="AU519" s="162"/>
      <c r="AV519" s="162"/>
      <c r="AW519" s="230"/>
      <c r="AX519" s="230"/>
      <c r="AY519" s="162"/>
      <c r="AZ519" s="162"/>
      <c r="BA519" s="162"/>
      <c r="BB519" s="162"/>
      <c r="BC519" s="162"/>
      <c r="BD519" s="230"/>
      <c r="BE519" s="230"/>
      <c r="BF519" s="162"/>
      <c r="BG519" s="162"/>
      <c r="BH519" s="162"/>
      <c r="BI519" s="162"/>
      <c r="BJ519" s="162"/>
      <c r="BK519" s="230"/>
      <c r="BL519" s="230"/>
      <c r="BM519" s="162"/>
      <c r="BN519" s="162"/>
      <c r="BO519" s="162"/>
      <c r="BP519" s="162"/>
      <c r="BQ519" s="162"/>
      <c r="BR519" s="230"/>
      <c r="BS519" s="230"/>
      <c r="BT519" s="162"/>
      <c r="BU519" s="162"/>
      <c r="BV519" s="162"/>
      <c r="BW519" s="162"/>
      <c r="BX519" s="162"/>
      <c r="BY519" s="230"/>
      <c r="BZ519" s="230"/>
      <c r="CA519" s="162"/>
      <c r="CB519" s="162"/>
      <c r="CC519" s="162"/>
      <c r="CD519" s="162"/>
      <c r="CE519" s="162"/>
      <c r="CF519" s="230"/>
      <c r="CG519" s="230"/>
      <c r="CH519" s="162"/>
      <c r="CI519" s="162"/>
      <c r="CJ519" s="162"/>
      <c r="CK519" s="162"/>
      <c r="CL519" s="162"/>
      <c r="CM519" s="230"/>
      <c r="CN519" s="230"/>
      <c r="CO519" s="162"/>
      <c r="CP519" s="162"/>
      <c r="CQ519" s="162"/>
      <c r="CR519" s="162"/>
      <c r="CS519" s="162"/>
      <c r="CT519" s="230"/>
      <c r="CU519" s="230"/>
      <c r="CV519" s="162"/>
      <c r="CW519" s="162"/>
      <c r="CX519" s="162"/>
      <c r="CY519" s="162"/>
      <c r="CZ519" s="162"/>
      <c r="DA519" s="230"/>
      <c r="DB519" s="230"/>
      <c r="DC519" s="162"/>
      <c r="DD519" s="162"/>
      <c r="DE519" s="162"/>
      <c r="DF519" s="162"/>
      <c r="DG519" s="162"/>
      <c r="DH519" s="230"/>
      <c r="DI519" s="230"/>
      <c r="DJ519" s="162"/>
      <c r="DK519" s="162"/>
      <c r="DL519" s="147"/>
      <c r="DM519" s="147"/>
      <c r="DN519" s="147"/>
      <c r="DO519" s="147"/>
      <c r="DP519" s="147"/>
      <c r="DQ519" s="147"/>
      <c r="DR519" s="147"/>
      <c r="DS519" s="147"/>
      <c r="DT519" s="147"/>
      <c r="DU519" s="147"/>
      <c r="DV519" s="147"/>
      <c r="DW519" s="147"/>
      <c r="DX519" s="147"/>
      <c r="DY519" s="147"/>
      <c r="DZ519" s="147"/>
      <c r="EA519" s="147"/>
      <c r="EB519" s="147"/>
      <c r="EC519" s="147"/>
      <c r="ED519" s="147"/>
      <c r="EE519" s="147"/>
      <c r="EF519" s="147"/>
      <c r="EG519" s="147"/>
      <c r="EH519" s="147"/>
    </row>
    <row r="520" spans="1:138" x14ac:dyDescent="0.25">
      <c r="A520" s="147"/>
      <c r="B520" s="147"/>
      <c r="C520" s="160"/>
      <c r="D520" s="160"/>
      <c r="E520" s="169"/>
      <c r="F520" s="229"/>
      <c r="G520" s="165"/>
      <c r="H520" s="165"/>
      <c r="I520" s="163"/>
      <c r="J520" s="163"/>
      <c r="K520" s="162"/>
      <c r="L520" s="162"/>
      <c r="M520" s="162"/>
      <c r="N520" s="230"/>
      <c r="O520" s="230"/>
      <c r="P520" s="162"/>
      <c r="Q520" s="162"/>
      <c r="R520" s="162"/>
      <c r="S520" s="162"/>
      <c r="T520" s="162"/>
      <c r="U520" s="230"/>
      <c r="V520" s="230"/>
      <c r="W520" s="162"/>
      <c r="X520" s="162"/>
      <c r="Y520" s="162"/>
      <c r="Z520" s="162"/>
      <c r="AA520" s="162"/>
      <c r="AB520" s="230"/>
      <c r="AC520" s="230"/>
      <c r="AD520" s="162"/>
      <c r="AE520" s="162"/>
      <c r="AF520" s="162"/>
      <c r="AG520" s="162"/>
      <c r="AH520" s="162"/>
      <c r="AI520" s="230"/>
      <c r="AJ520" s="230"/>
      <c r="AK520" s="162"/>
      <c r="AL520" s="162"/>
      <c r="AM520" s="162"/>
      <c r="AN520" s="162"/>
      <c r="AO520" s="162"/>
      <c r="AP520" s="230"/>
      <c r="AQ520" s="230"/>
      <c r="AR520" s="162"/>
      <c r="AS520" s="162"/>
      <c r="AT520" s="162"/>
      <c r="AU520" s="162"/>
      <c r="AV520" s="162"/>
      <c r="AW520" s="230"/>
      <c r="AX520" s="230"/>
      <c r="AY520" s="162"/>
      <c r="AZ520" s="162"/>
      <c r="BA520" s="162"/>
      <c r="BB520" s="162"/>
      <c r="BC520" s="162"/>
      <c r="BD520" s="230"/>
      <c r="BE520" s="230"/>
      <c r="BF520" s="162"/>
      <c r="BG520" s="162"/>
      <c r="BH520" s="162"/>
      <c r="BI520" s="162"/>
      <c r="BJ520" s="162"/>
      <c r="BK520" s="230"/>
      <c r="BL520" s="230"/>
      <c r="BM520" s="162"/>
      <c r="BN520" s="162"/>
      <c r="BO520" s="162"/>
      <c r="BP520" s="162"/>
      <c r="BQ520" s="162"/>
      <c r="BR520" s="230"/>
      <c r="BS520" s="230"/>
      <c r="BT520" s="162"/>
      <c r="BU520" s="162"/>
      <c r="BV520" s="162"/>
      <c r="BW520" s="162"/>
      <c r="BX520" s="162"/>
      <c r="BY520" s="230"/>
      <c r="BZ520" s="230"/>
      <c r="CA520" s="162"/>
      <c r="CB520" s="162"/>
      <c r="CC520" s="162"/>
      <c r="CD520" s="162"/>
      <c r="CE520" s="162"/>
      <c r="CF520" s="230"/>
      <c r="CG520" s="230"/>
      <c r="CH520" s="162"/>
      <c r="CI520" s="162"/>
      <c r="CJ520" s="162"/>
      <c r="CK520" s="162"/>
      <c r="CL520" s="162"/>
      <c r="CM520" s="230"/>
      <c r="CN520" s="230"/>
      <c r="CO520" s="162"/>
      <c r="CP520" s="162"/>
      <c r="CQ520" s="162"/>
      <c r="CR520" s="162"/>
      <c r="CS520" s="162"/>
      <c r="CT520" s="230"/>
      <c r="CU520" s="230"/>
      <c r="CV520" s="162"/>
      <c r="CW520" s="162"/>
      <c r="CX520" s="162"/>
      <c r="CY520" s="162"/>
      <c r="CZ520" s="162"/>
      <c r="DA520" s="230"/>
      <c r="DB520" s="230"/>
      <c r="DC520" s="162"/>
      <c r="DD520" s="162"/>
      <c r="DE520" s="162"/>
      <c r="DF520" s="162"/>
      <c r="DG520" s="162"/>
      <c r="DH520" s="230"/>
      <c r="DI520" s="230"/>
      <c r="DJ520" s="162"/>
      <c r="DK520" s="162"/>
      <c r="DL520" s="147"/>
      <c r="DM520" s="147"/>
      <c r="DN520" s="147"/>
      <c r="DO520" s="147"/>
      <c r="DP520" s="147"/>
      <c r="DQ520" s="147"/>
      <c r="DR520" s="147"/>
      <c r="DS520" s="147"/>
      <c r="DT520" s="147"/>
      <c r="DU520" s="147"/>
      <c r="DV520" s="147"/>
      <c r="DW520" s="147"/>
      <c r="DX520" s="147"/>
      <c r="DY520" s="147"/>
      <c r="DZ520" s="147"/>
      <c r="EA520" s="147"/>
      <c r="EB520" s="147"/>
      <c r="EC520" s="147"/>
      <c r="ED520" s="147"/>
      <c r="EE520" s="147"/>
      <c r="EF520" s="147"/>
      <c r="EG520" s="147"/>
      <c r="EH520" s="147"/>
    </row>
    <row r="521" spans="1:138" x14ac:dyDescent="0.25">
      <c r="A521" s="147"/>
      <c r="B521" s="147"/>
      <c r="C521" s="160"/>
      <c r="D521" s="160"/>
      <c r="E521" s="169"/>
      <c r="F521" s="229"/>
      <c r="G521" s="165"/>
      <c r="H521" s="165"/>
      <c r="I521" s="163"/>
      <c r="J521" s="163"/>
      <c r="K521" s="162"/>
      <c r="L521" s="162"/>
      <c r="M521" s="162"/>
      <c r="N521" s="230"/>
      <c r="O521" s="230"/>
      <c r="P521" s="162"/>
      <c r="Q521" s="162"/>
      <c r="R521" s="162"/>
      <c r="S521" s="162"/>
      <c r="T521" s="162"/>
      <c r="U521" s="230"/>
      <c r="V521" s="230"/>
      <c r="W521" s="162"/>
      <c r="X521" s="162"/>
      <c r="Y521" s="162"/>
      <c r="Z521" s="162"/>
      <c r="AA521" s="162"/>
      <c r="AB521" s="230"/>
      <c r="AC521" s="230"/>
      <c r="AD521" s="162"/>
      <c r="AE521" s="162"/>
      <c r="AF521" s="162"/>
      <c r="AG521" s="162"/>
      <c r="AH521" s="162"/>
      <c r="AI521" s="230"/>
      <c r="AJ521" s="230"/>
      <c r="AK521" s="162"/>
      <c r="AL521" s="162"/>
      <c r="AM521" s="162"/>
      <c r="AN521" s="162"/>
      <c r="AO521" s="162"/>
      <c r="AP521" s="230"/>
      <c r="AQ521" s="230"/>
      <c r="AR521" s="162"/>
      <c r="AS521" s="162"/>
      <c r="AT521" s="162"/>
      <c r="AU521" s="162"/>
      <c r="AV521" s="162"/>
      <c r="AW521" s="230"/>
      <c r="AX521" s="230"/>
      <c r="AY521" s="162"/>
      <c r="AZ521" s="162"/>
      <c r="BA521" s="162"/>
      <c r="BB521" s="162"/>
      <c r="BC521" s="162"/>
      <c r="BD521" s="230"/>
      <c r="BE521" s="230"/>
      <c r="BF521" s="162"/>
      <c r="BG521" s="162"/>
      <c r="BH521" s="162"/>
      <c r="BI521" s="162"/>
      <c r="BJ521" s="162"/>
      <c r="BK521" s="230"/>
      <c r="BL521" s="230"/>
      <c r="BM521" s="162"/>
      <c r="BN521" s="162"/>
      <c r="BO521" s="162"/>
      <c r="BP521" s="162"/>
      <c r="BQ521" s="162"/>
      <c r="BR521" s="230"/>
      <c r="BS521" s="230"/>
      <c r="BT521" s="162"/>
      <c r="BU521" s="162"/>
      <c r="BV521" s="162"/>
      <c r="BW521" s="162"/>
      <c r="BX521" s="162"/>
      <c r="BY521" s="230"/>
      <c r="BZ521" s="230"/>
      <c r="CA521" s="162"/>
      <c r="CB521" s="162"/>
      <c r="CC521" s="162"/>
      <c r="CD521" s="162"/>
      <c r="CE521" s="162"/>
      <c r="CF521" s="230"/>
      <c r="CG521" s="230"/>
      <c r="CH521" s="162"/>
      <c r="CI521" s="162"/>
      <c r="CJ521" s="162"/>
      <c r="CK521" s="162"/>
      <c r="CL521" s="162"/>
      <c r="CM521" s="230"/>
      <c r="CN521" s="230"/>
      <c r="CO521" s="162"/>
      <c r="CP521" s="162"/>
      <c r="CQ521" s="162"/>
      <c r="CR521" s="162"/>
      <c r="CS521" s="162"/>
      <c r="CT521" s="230"/>
      <c r="CU521" s="230"/>
      <c r="CV521" s="162"/>
      <c r="CW521" s="162"/>
      <c r="CX521" s="162"/>
      <c r="CY521" s="162"/>
      <c r="CZ521" s="162"/>
      <c r="DA521" s="230"/>
      <c r="DB521" s="230"/>
      <c r="DC521" s="162"/>
      <c r="DD521" s="162"/>
      <c r="DE521" s="162"/>
      <c r="DF521" s="162"/>
      <c r="DG521" s="162"/>
      <c r="DH521" s="230"/>
      <c r="DI521" s="230"/>
      <c r="DJ521" s="162"/>
      <c r="DK521" s="162"/>
      <c r="DL521" s="147"/>
      <c r="DM521" s="147"/>
      <c r="DN521" s="147"/>
      <c r="DO521" s="147"/>
      <c r="DP521" s="147"/>
      <c r="DQ521" s="147"/>
      <c r="DR521" s="147"/>
      <c r="DS521" s="147"/>
      <c r="DT521" s="147"/>
      <c r="DU521" s="147"/>
      <c r="DV521" s="147"/>
      <c r="DW521" s="147"/>
      <c r="DX521" s="147"/>
      <c r="DY521" s="147"/>
      <c r="DZ521" s="147"/>
      <c r="EA521" s="147"/>
      <c r="EB521" s="147"/>
      <c r="EC521" s="147"/>
      <c r="ED521" s="147"/>
      <c r="EE521" s="147"/>
      <c r="EF521" s="147"/>
      <c r="EG521" s="147"/>
      <c r="EH521" s="147"/>
    </row>
    <row r="522" spans="1:138" x14ac:dyDescent="0.25">
      <c r="A522" s="147"/>
      <c r="B522" s="147"/>
      <c r="C522" s="160"/>
      <c r="D522" s="160"/>
      <c r="E522" s="169"/>
      <c r="F522" s="229"/>
      <c r="G522" s="165"/>
      <c r="H522" s="165"/>
      <c r="I522" s="163"/>
      <c r="J522" s="163"/>
      <c r="K522" s="162"/>
      <c r="L522" s="162"/>
      <c r="M522" s="162"/>
      <c r="N522" s="230"/>
      <c r="O522" s="230"/>
      <c r="P522" s="162"/>
      <c r="Q522" s="162"/>
      <c r="R522" s="162"/>
      <c r="S522" s="162"/>
      <c r="T522" s="162"/>
      <c r="U522" s="230"/>
      <c r="V522" s="230"/>
      <c r="W522" s="162"/>
      <c r="X522" s="162"/>
      <c r="Y522" s="162"/>
      <c r="Z522" s="162"/>
      <c r="AA522" s="162"/>
      <c r="AB522" s="230"/>
      <c r="AC522" s="230"/>
      <c r="AD522" s="162"/>
      <c r="AE522" s="162"/>
      <c r="AF522" s="162"/>
      <c r="AG522" s="162"/>
      <c r="AH522" s="162"/>
      <c r="AI522" s="230"/>
      <c r="AJ522" s="230"/>
      <c r="AK522" s="162"/>
      <c r="AL522" s="162"/>
      <c r="AM522" s="162"/>
      <c r="AN522" s="162"/>
      <c r="AO522" s="162"/>
      <c r="AP522" s="230"/>
      <c r="AQ522" s="230"/>
      <c r="AR522" s="162"/>
      <c r="AS522" s="162"/>
      <c r="AT522" s="162"/>
      <c r="AU522" s="162"/>
      <c r="AV522" s="162"/>
      <c r="AW522" s="230"/>
      <c r="AX522" s="230"/>
      <c r="AY522" s="162"/>
      <c r="AZ522" s="162"/>
      <c r="BA522" s="162"/>
      <c r="BB522" s="162"/>
      <c r="BC522" s="162"/>
      <c r="BD522" s="230"/>
      <c r="BE522" s="230"/>
      <c r="BF522" s="162"/>
      <c r="BG522" s="162"/>
      <c r="BH522" s="162"/>
      <c r="BI522" s="162"/>
      <c r="BJ522" s="162"/>
      <c r="BK522" s="230"/>
      <c r="BL522" s="230"/>
      <c r="BM522" s="162"/>
      <c r="BN522" s="162"/>
      <c r="BO522" s="162"/>
      <c r="BP522" s="162"/>
      <c r="BQ522" s="162"/>
      <c r="BR522" s="230"/>
      <c r="BS522" s="230"/>
      <c r="BT522" s="162"/>
      <c r="BU522" s="162"/>
      <c r="BV522" s="162"/>
      <c r="BW522" s="162"/>
      <c r="BX522" s="162"/>
      <c r="BY522" s="230"/>
      <c r="BZ522" s="230"/>
      <c r="CA522" s="162"/>
      <c r="CB522" s="162"/>
      <c r="CC522" s="162"/>
      <c r="CD522" s="162"/>
      <c r="CE522" s="162"/>
      <c r="CF522" s="230"/>
      <c r="CG522" s="230"/>
      <c r="CH522" s="162"/>
      <c r="CI522" s="162"/>
      <c r="CJ522" s="162"/>
      <c r="CK522" s="162"/>
      <c r="CL522" s="162"/>
      <c r="CM522" s="230"/>
      <c r="CN522" s="230"/>
      <c r="CO522" s="162"/>
      <c r="CP522" s="162"/>
      <c r="CQ522" s="162"/>
      <c r="CR522" s="162"/>
      <c r="CS522" s="162"/>
      <c r="CT522" s="230"/>
      <c r="CU522" s="230"/>
      <c r="CV522" s="162"/>
      <c r="CW522" s="162"/>
      <c r="CX522" s="162"/>
      <c r="CY522" s="162"/>
      <c r="CZ522" s="162"/>
      <c r="DA522" s="230"/>
      <c r="DB522" s="230"/>
      <c r="DC522" s="162"/>
      <c r="DD522" s="162"/>
      <c r="DE522" s="162"/>
      <c r="DF522" s="162"/>
      <c r="DG522" s="162"/>
      <c r="DH522" s="230"/>
      <c r="DI522" s="230"/>
      <c r="DJ522" s="162"/>
      <c r="DK522" s="162"/>
      <c r="DL522" s="147"/>
      <c r="DM522" s="147"/>
      <c r="DN522" s="147"/>
      <c r="DO522" s="147"/>
      <c r="DP522" s="147"/>
      <c r="DQ522" s="147"/>
      <c r="DR522" s="147"/>
      <c r="DS522" s="147"/>
      <c r="DT522" s="147"/>
      <c r="DU522" s="147"/>
      <c r="DV522" s="147"/>
      <c r="DW522" s="147"/>
      <c r="DX522" s="147"/>
      <c r="DY522" s="147"/>
      <c r="DZ522" s="147"/>
      <c r="EA522" s="147"/>
      <c r="EB522" s="147"/>
      <c r="EC522" s="147"/>
      <c r="ED522" s="147"/>
      <c r="EE522" s="147"/>
      <c r="EF522" s="147"/>
      <c r="EG522" s="147"/>
      <c r="EH522" s="147"/>
    </row>
    <row r="523" spans="1:138" x14ac:dyDescent="0.25">
      <c r="A523" s="147"/>
      <c r="B523" s="147"/>
      <c r="C523" s="160"/>
      <c r="D523" s="160"/>
      <c r="E523" s="169"/>
      <c r="F523" s="229"/>
      <c r="G523" s="165"/>
      <c r="H523" s="165"/>
      <c r="I523" s="163"/>
      <c r="J523" s="163"/>
      <c r="K523" s="162"/>
      <c r="L523" s="162"/>
      <c r="M523" s="162"/>
      <c r="N523" s="230"/>
      <c r="O523" s="230"/>
      <c r="P523" s="162"/>
      <c r="Q523" s="162"/>
      <c r="R523" s="162"/>
      <c r="S523" s="162"/>
      <c r="T523" s="162"/>
      <c r="U523" s="230"/>
      <c r="V523" s="230"/>
      <c r="W523" s="162"/>
      <c r="X523" s="162"/>
      <c r="Y523" s="162"/>
      <c r="Z523" s="162"/>
      <c r="AA523" s="162"/>
      <c r="AB523" s="230"/>
      <c r="AC523" s="230"/>
      <c r="AD523" s="162"/>
      <c r="AE523" s="162"/>
      <c r="AF523" s="162"/>
      <c r="AG523" s="162"/>
      <c r="AH523" s="162"/>
      <c r="AI523" s="230"/>
      <c r="AJ523" s="230"/>
      <c r="AK523" s="162"/>
      <c r="AL523" s="162"/>
      <c r="AM523" s="162"/>
      <c r="AN523" s="162"/>
      <c r="AO523" s="162"/>
      <c r="AP523" s="230"/>
      <c r="AQ523" s="230"/>
      <c r="AR523" s="162"/>
      <c r="AS523" s="162"/>
      <c r="AT523" s="162"/>
      <c r="AU523" s="162"/>
      <c r="AV523" s="162"/>
      <c r="AW523" s="230"/>
      <c r="AX523" s="230"/>
      <c r="AY523" s="162"/>
      <c r="AZ523" s="162"/>
      <c r="BA523" s="162"/>
      <c r="BB523" s="162"/>
      <c r="BC523" s="162"/>
      <c r="BD523" s="230"/>
      <c r="BE523" s="230"/>
      <c r="BF523" s="162"/>
      <c r="BG523" s="162"/>
      <c r="BH523" s="162"/>
      <c r="BI523" s="162"/>
      <c r="BJ523" s="162"/>
      <c r="BK523" s="230"/>
      <c r="BL523" s="230"/>
      <c r="BM523" s="162"/>
      <c r="BN523" s="162"/>
      <c r="BO523" s="162"/>
      <c r="BP523" s="162"/>
      <c r="BQ523" s="162"/>
      <c r="BR523" s="230"/>
      <c r="BS523" s="230"/>
      <c r="BT523" s="162"/>
      <c r="BU523" s="162"/>
      <c r="BV523" s="162"/>
      <c r="BW523" s="162"/>
      <c r="BX523" s="162"/>
      <c r="BY523" s="230"/>
      <c r="BZ523" s="230"/>
      <c r="CA523" s="162"/>
      <c r="CB523" s="162"/>
      <c r="CC523" s="162"/>
      <c r="CD523" s="162"/>
      <c r="CE523" s="162"/>
      <c r="CF523" s="230"/>
      <c r="CG523" s="230"/>
      <c r="CH523" s="162"/>
      <c r="CI523" s="162"/>
      <c r="CJ523" s="162"/>
      <c r="CK523" s="162"/>
      <c r="CL523" s="162"/>
      <c r="CM523" s="230"/>
      <c r="CN523" s="230"/>
      <c r="CO523" s="162"/>
      <c r="CP523" s="162"/>
      <c r="CQ523" s="162"/>
      <c r="CR523" s="162"/>
      <c r="CS523" s="162"/>
      <c r="CT523" s="230"/>
      <c r="CU523" s="230"/>
      <c r="CV523" s="162"/>
      <c r="CW523" s="162"/>
      <c r="CX523" s="162"/>
      <c r="CY523" s="162"/>
      <c r="CZ523" s="162"/>
      <c r="DA523" s="230"/>
      <c r="DB523" s="230"/>
      <c r="DC523" s="162"/>
      <c r="DD523" s="162"/>
      <c r="DE523" s="162"/>
      <c r="DF523" s="162"/>
      <c r="DG523" s="162"/>
      <c r="DH523" s="230"/>
      <c r="DI523" s="230"/>
      <c r="DJ523" s="162"/>
      <c r="DK523" s="162"/>
      <c r="DL523" s="147"/>
      <c r="DM523" s="147"/>
      <c r="DN523" s="147"/>
      <c r="DO523" s="147"/>
      <c r="DP523" s="147"/>
      <c r="DQ523" s="147"/>
      <c r="DR523" s="147"/>
      <c r="DS523" s="147"/>
      <c r="DT523" s="147"/>
      <c r="DU523" s="147"/>
      <c r="DV523" s="147"/>
      <c r="DW523" s="147"/>
      <c r="DX523" s="147"/>
      <c r="DY523" s="147"/>
      <c r="DZ523" s="147"/>
      <c r="EA523" s="147"/>
      <c r="EB523" s="147"/>
      <c r="EC523" s="147"/>
      <c r="ED523" s="147"/>
      <c r="EE523" s="147"/>
      <c r="EF523" s="147"/>
      <c r="EG523" s="147"/>
      <c r="EH523" s="147"/>
    </row>
    <row r="524" spans="1:138" x14ac:dyDescent="0.25">
      <c r="A524" s="147"/>
      <c r="B524" s="147"/>
      <c r="C524" s="160"/>
      <c r="D524" s="160"/>
      <c r="E524" s="169"/>
      <c r="F524" s="229"/>
      <c r="G524" s="165"/>
      <c r="H524" s="165"/>
      <c r="I524" s="163"/>
      <c r="J524" s="163"/>
      <c r="K524" s="162"/>
      <c r="L524" s="162"/>
      <c r="M524" s="162"/>
      <c r="N524" s="230"/>
      <c r="O524" s="230"/>
      <c r="P524" s="162"/>
      <c r="Q524" s="162"/>
      <c r="R524" s="162"/>
      <c r="S524" s="162"/>
      <c r="T524" s="162"/>
      <c r="U524" s="230"/>
      <c r="V524" s="230"/>
      <c r="W524" s="162"/>
      <c r="X524" s="162"/>
      <c r="Y524" s="162"/>
      <c r="Z524" s="162"/>
      <c r="AA524" s="162"/>
      <c r="AB524" s="230"/>
      <c r="AC524" s="230"/>
      <c r="AD524" s="162"/>
      <c r="AE524" s="162"/>
      <c r="AF524" s="162"/>
      <c r="AG524" s="162"/>
      <c r="AH524" s="162"/>
      <c r="AI524" s="230"/>
      <c r="AJ524" s="230"/>
      <c r="AK524" s="162"/>
      <c r="AL524" s="162"/>
      <c r="AM524" s="162"/>
      <c r="AN524" s="162"/>
      <c r="AO524" s="162"/>
      <c r="AP524" s="230"/>
      <c r="AQ524" s="230"/>
      <c r="AR524" s="162"/>
      <c r="AS524" s="162"/>
      <c r="AT524" s="162"/>
      <c r="AU524" s="162"/>
      <c r="AV524" s="162"/>
      <c r="AW524" s="230"/>
      <c r="AX524" s="230"/>
      <c r="AY524" s="162"/>
      <c r="AZ524" s="162"/>
      <c r="BA524" s="162"/>
      <c r="BB524" s="162"/>
      <c r="BC524" s="162"/>
      <c r="BD524" s="230"/>
      <c r="BE524" s="230"/>
      <c r="BF524" s="162"/>
      <c r="BG524" s="162"/>
      <c r="BH524" s="162"/>
      <c r="BI524" s="162"/>
      <c r="BJ524" s="162"/>
      <c r="BK524" s="230"/>
      <c r="BL524" s="230"/>
      <c r="BM524" s="162"/>
      <c r="BN524" s="162"/>
      <c r="BO524" s="162"/>
      <c r="BP524" s="162"/>
      <c r="BQ524" s="162"/>
      <c r="BR524" s="230"/>
      <c r="BS524" s="230"/>
      <c r="BT524" s="162"/>
      <c r="BU524" s="162"/>
      <c r="BV524" s="162"/>
      <c r="BW524" s="162"/>
      <c r="BX524" s="162"/>
      <c r="BY524" s="230"/>
      <c r="BZ524" s="230"/>
      <c r="CA524" s="162"/>
      <c r="CB524" s="162"/>
      <c r="CC524" s="162"/>
      <c r="CD524" s="162"/>
      <c r="CE524" s="162"/>
      <c r="CF524" s="230"/>
      <c r="CG524" s="230"/>
      <c r="CH524" s="162"/>
      <c r="CI524" s="162"/>
      <c r="CJ524" s="162"/>
      <c r="CK524" s="162"/>
      <c r="CL524" s="162"/>
      <c r="CM524" s="230"/>
      <c r="CN524" s="230"/>
      <c r="CO524" s="162"/>
      <c r="CP524" s="162"/>
      <c r="CQ524" s="162"/>
      <c r="CR524" s="162"/>
      <c r="CS524" s="162"/>
      <c r="CT524" s="230"/>
      <c r="CU524" s="230"/>
      <c r="CV524" s="162"/>
      <c r="CW524" s="162"/>
      <c r="CX524" s="162"/>
      <c r="CY524" s="162"/>
      <c r="CZ524" s="162"/>
      <c r="DA524" s="230"/>
      <c r="DB524" s="230"/>
      <c r="DC524" s="162"/>
      <c r="DD524" s="162"/>
      <c r="DE524" s="162"/>
      <c r="DF524" s="162"/>
      <c r="DG524" s="162"/>
      <c r="DH524" s="230"/>
      <c r="DI524" s="230"/>
      <c r="DJ524" s="162"/>
      <c r="DK524" s="162"/>
      <c r="DL524" s="147"/>
      <c r="DM524" s="147"/>
      <c r="DN524" s="147"/>
      <c r="DO524" s="147"/>
      <c r="DP524" s="147"/>
      <c r="DQ524" s="147"/>
      <c r="DR524" s="147"/>
      <c r="DS524" s="147"/>
      <c r="DT524" s="147"/>
      <c r="DU524" s="147"/>
      <c r="DV524" s="147"/>
      <c r="DW524" s="147"/>
      <c r="DX524" s="147"/>
      <c r="DY524" s="147"/>
      <c r="DZ524" s="147"/>
      <c r="EA524" s="147"/>
      <c r="EB524" s="147"/>
      <c r="EC524" s="147"/>
      <c r="ED524" s="147"/>
      <c r="EE524" s="147"/>
      <c r="EF524" s="147"/>
      <c r="EG524" s="147"/>
      <c r="EH524" s="147"/>
    </row>
    <row r="525" spans="1:138" x14ac:dyDescent="0.25">
      <c r="A525" s="147"/>
      <c r="B525" s="147"/>
      <c r="C525" s="160"/>
      <c r="D525" s="160"/>
      <c r="E525" s="169"/>
      <c r="F525" s="229"/>
      <c r="G525" s="165"/>
      <c r="H525" s="165"/>
      <c r="I525" s="163"/>
      <c r="J525" s="163"/>
      <c r="K525" s="162"/>
      <c r="L525" s="162"/>
      <c r="M525" s="162"/>
      <c r="N525" s="230"/>
      <c r="O525" s="230"/>
      <c r="P525" s="162"/>
      <c r="Q525" s="162"/>
      <c r="R525" s="162"/>
      <c r="S525" s="162"/>
      <c r="T525" s="162"/>
      <c r="U525" s="230"/>
      <c r="V525" s="230"/>
      <c r="W525" s="162"/>
      <c r="X525" s="162"/>
      <c r="Y525" s="162"/>
      <c r="Z525" s="162"/>
      <c r="AA525" s="162"/>
      <c r="AB525" s="230"/>
      <c r="AC525" s="230"/>
      <c r="AD525" s="162"/>
      <c r="AE525" s="162"/>
      <c r="AF525" s="162"/>
      <c r="AG525" s="162"/>
      <c r="AH525" s="162"/>
      <c r="AI525" s="230"/>
      <c r="AJ525" s="230"/>
      <c r="AK525" s="162"/>
      <c r="AL525" s="162"/>
      <c r="AM525" s="162"/>
      <c r="AN525" s="162"/>
      <c r="AO525" s="162"/>
      <c r="AP525" s="230"/>
      <c r="AQ525" s="230"/>
      <c r="AR525" s="162"/>
      <c r="AS525" s="162"/>
      <c r="AT525" s="162"/>
      <c r="AU525" s="162"/>
      <c r="AV525" s="162"/>
      <c r="AW525" s="230"/>
      <c r="AX525" s="230"/>
      <c r="AY525" s="162"/>
      <c r="AZ525" s="162"/>
      <c r="BA525" s="162"/>
      <c r="BB525" s="162"/>
      <c r="BC525" s="162"/>
      <c r="BD525" s="230"/>
      <c r="BE525" s="230"/>
      <c r="BF525" s="162"/>
      <c r="BG525" s="162"/>
      <c r="BH525" s="162"/>
      <c r="BI525" s="162"/>
      <c r="BJ525" s="162"/>
      <c r="BK525" s="230"/>
      <c r="BL525" s="230"/>
      <c r="BM525" s="162"/>
      <c r="BN525" s="162"/>
      <c r="BO525" s="162"/>
      <c r="BP525" s="162"/>
      <c r="BQ525" s="162"/>
      <c r="BR525" s="230"/>
      <c r="BS525" s="230"/>
      <c r="BT525" s="162"/>
      <c r="BU525" s="162"/>
      <c r="BV525" s="162"/>
      <c r="BW525" s="162"/>
      <c r="BX525" s="162"/>
      <c r="BY525" s="230"/>
      <c r="BZ525" s="230"/>
      <c r="CA525" s="162"/>
      <c r="CB525" s="162"/>
      <c r="CC525" s="162"/>
      <c r="CD525" s="162"/>
      <c r="CE525" s="162"/>
      <c r="CF525" s="230"/>
      <c r="CG525" s="230"/>
      <c r="CH525" s="162"/>
      <c r="CI525" s="162"/>
      <c r="CJ525" s="162"/>
      <c r="CK525" s="162"/>
      <c r="CL525" s="162"/>
      <c r="CM525" s="230"/>
      <c r="CN525" s="230"/>
      <c r="CO525" s="162"/>
      <c r="CP525" s="162"/>
      <c r="CQ525" s="162"/>
      <c r="CR525" s="162"/>
      <c r="CS525" s="162"/>
      <c r="CT525" s="230"/>
      <c r="CU525" s="230"/>
      <c r="CV525" s="162"/>
      <c r="CW525" s="162"/>
      <c r="CX525" s="162"/>
      <c r="CY525" s="162"/>
      <c r="CZ525" s="162"/>
      <c r="DA525" s="230"/>
      <c r="DB525" s="230"/>
      <c r="DC525" s="162"/>
      <c r="DD525" s="162"/>
      <c r="DE525" s="162"/>
      <c r="DF525" s="162"/>
      <c r="DG525" s="162"/>
      <c r="DH525" s="230"/>
      <c r="DI525" s="230"/>
      <c r="DJ525" s="162"/>
      <c r="DK525" s="162"/>
      <c r="DL525" s="147"/>
      <c r="DM525" s="147"/>
      <c r="DN525" s="147"/>
      <c r="DO525" s="147"/>
      <c r="DP525" s="147"/>
      <c r="DQ525" s="147"/>
      <c r="DR525" s="147"/>
      <c r="DS525" s="147"/>
      <c r="DT525" s="147"/>
      <c r="DU525" s="147"/>
      <c r="DV525" s="147"/>
      <c r="DW525" s="147"/>
      <c r="DX525" s="147"/>
      <c r="DY525" s="147"/>
      <c r="DZ525" s="147"/>
      <c r="EA525" s="147"/>
      <c r="EB525" s="147"/>
      <c r="EC525" s="147"/>
      <c r="ED525" s="147"/>
      <c r="EE525" s="147"/>
      <c r="EF525" s="147"/>
      <c r="EG525" s="147"/>
      <c r="EH525" s="147"/>
    </row>
    <row r="526" spans="1:138" x14ac:dyDescent="0.25">
      <c r="A526" s="147"/>
      <c r="B526" s="147"/>
      <c r="C526" s="160"/>
      <c r="D526" s="160"/>
      <c r="E526" s="169"/>
      <c r="F526" s="229"/>
      <c r="G526" s="165"/>
      <c r="H526" s="165"/>
      <c r="I526" s="163"/>
      <c r="J526" s="163"/>
      <c r="K526" s="162"/>
      <c r="L526" s="162"/>
      <c r="M526" s="162"/>
      <c r="N526" s="230"/>
      <c r="O526" s="230"/>
      <c r="P526" s="162"/>
      <c r="Q526" s="162"/>
      <c r="R526" s="162"/>
      <c r="S526" s="162"/>
      <c r="T526" s="162"/>
      <c r="U526" s="230"/>
      <c r="V526" s="230"/>
      <c r="W526" s="162"/>
      <c r="X526" s="162"/>
      <c r="Y526" s="162"/>
      <c r="Z526" s="162"/>
      <c r="AA526" s="162"/>
      <c r="AB526" s="230"/>
      <c r="AC526" s="230"/>
      <c r="AD526" s="162"/>
      <c r="AE526" s="162"/>
      <c r="AF526" s="162"/>
      <c r="AG526" s="162"/>
      <c r="AH526" s="162"/>
      <c r="AI526" s="230"/>
      <c r="AJ526" s="230"/>
      <c r="AK526" s="162"/>
      <c r="AL526" s="162"/>
      <c r="AM526" s="162"/>
      <c r="AN526" s="162"/>
      <c r="AO526" s="162"/>
      <c r="AP526" s="230"/>
      <c r="AQ526" s="230"/>
      <c r="AR526" s="162"/>
      <c r="AS526" s="162"/>
      <c r="AT526" s="162"/>
      <c r="AU526" s="162"/>
      <c r="AV526" s="162"/>
      <c r="AW526" s="230"/>
      <c r="AX526" s="230"/>
      <c r="AY526" s="162"/>
      <c r="AZ526" s="162"/>
      <c r="BA526" s="162"/>
      <c r="BB526" s="162"/>
      <c r="BC526" s="162"/>
      <c r="BD526" s="230"/>
      <c r="BE526" s="230"/>
      <c r="BF526" s="162"/>
      <c r="BG526" s="162"/>
      <c r="BH526" s="162"/>
      <c r="BI526" s="162"/>
      <c r="BJ526" s="162"/>
      <c r="BK526" s="230"/>
      <c r="BL526" s="230"/>
      <c r="BM526" s="162"/>
      <c r="BN526" s="162"/>
      <c r="BO526" s="162"/>
      <c r="BP526" s="162"/>
      <c r="BQ526" s="162"/>
      <c r="BR526" s="230"/>
      <c r="BS526" s="230"/>
      <c r="BT526" s="162"/>
      <c r="BU526" s="162"/>
      <c r="BV526" s="162"/>
      <c r="BW526" s="162"/>
      <c r="BX526" s="162"/>
      <c r="BY526" s="230"/>
      <c r="BZ526" s="230"/>
      <c r="CA526" s="162"/>
      <c r="CB526" s="162"/>
      <c r="CC526" s="162"/>
      <c r="CD526" s="162"/>
      <c r="CE526" s="162"/>
      <c r="CF526" s="230"/>
      <c r="CG526" s="230"/>
      <c r="CH526" s="162"/>
      <c r="CI526" s="162"/>
      <c r="CJ526" s="162"/>
      <c r="CK526" s="162"/>
      <c r="CL526" s="162"/>
      <c r="CM526" s="230"/>
      <c r="CN526" s="230"/>
      <c r="CO526" s="162"/>
      <c r="CP526" s="162"/>
      <c r="CQ526" s="162"/>
      <c r="CR526" s="162"/>
      <c r="CS526" s="162"/>
      <c r="CT526" s="230"/>
      <c r="CU526" s="230"/>
      <c r="CV526" s="162"/>
      <c r="CW526" s="162"/>
      <c r="CX526" s="162"/>
      <c r="CY526" s="162"/>
      <c r="CZ526" s="162"/>
      <c r="DA526" s="230"/>
      <c r="DB526" s="230"/>
      <c r="DC526" s="162"/>
      <c r="DD526" s="162"/>
      <c r="DE526" s="162"/>
      <c r="DF526" s="162"/>
      <c r="DG526" s="162"/>
      <c r="DH526" s="230"/>
      <c r="DI526" s="230"/>
      <c r="DJ526" s="162"/>
      <c r="DK526" s="162"/>
      <c r="DL526" s="147"/>
      <c r="DM526" s="147"/>
      <c r="DN526" s="147"/>
      <c r="DO526" s="147"/>
      <c r="DP526" s="147"/>
      <c r="DQ526" s="147"/>
      <c r="DR526" s="147"/>
      <c r="DS526" s="147"/>
      <c r="DT526" s="147"/>
      <c r="DU526" s="147"/>
      <c r="DV526" s="147"/>
      <c r="DW526" s="147"/>
      <c r="DX526" s="147"/>
      <c r="DY526" s="147"/>
      <c r="DZ526" s="147"/>
      <c r="EA526" s="147"/>
      <c r="EB526" s="147"/>
      <c r="EC526" s="147"/>
      <c r="ED526" s="147"/>
      <c r="EE526" s="147"/>
      <c r="EF526" s="147"/>
      <c r="EG526" s="147"/>
      <c r="EH526" s="147"/>
    </row>
    <row r="527" spans="1:138" x14ac:dyDescent="0.25">
      <c r="A527" s="147"/>
      <c r="B527" s="147"/>
      <c r="C527" s="160"/>
      <c r="D527" s="160"/>
      <c r="E527" s="169"/>
      <c r="F527" s="229"/>
      <c r="G527" s="165"/>
      <c r="H527" s="165"/>
      <c r="I527" s="163"/>
      <c r="J527" s="163"/>
      <c r="K527" s="162"/>
      <c r="L527" s="162"/>
      <c r="M527" s="162"/>
      <c r="N527" s="230"/>
      <c r="O527" s="230"/>
      <c r="P527" s="162"/>
      <c r="Q527" s="162"/>
      <c r="R527" s="162"/>
      <c r="S527" s="162"/>
      <c r="T527" s="162"/>
      <c r="U527" s="230"/>
      <c r="V527" s="230"/>
      <c r="W527" s="162"/>
      <c r="X527" s="162"/>
      <c r="Y527" s="162"/>
      <c r="Z527" s="162"/>
      <c r="AA527" s="162"/>
      <c r="AB527" s="230"/>
      <c r="AC527" s="230"/>
      <c r="AD527" s="162"/>
      <c r="AE527" s="162"/>
      <c r="AF527" s="162"/>
      <c r="AG527" s="162"/>
      <c r="AH527" s="162"/>
      <c r="AI527" s="230"/>
      <c r="AJ527" s="230"/>
      <c r="AK527" s="162"/>
      <c r="AL527" s="162"/>
      <c r="AM527" s="162"/>
      <c r="AN527" s="162"/>
      <c r="AO527" s="162"/>
      <c r="AP527" s="230"/>
      <c r="AQ527" s="230"/>
      <c r="AR527" s="162"/>
      <c r="AS527" s="162"/>
      <c r="AT527" s="162"/>
      <c r="AU527" s="162"/>
      <c r="AV527" s="162"/>
      <c r="AW527" s="230"/>
      <c r="AX527" s="230"/>
      <c r="AY527" s="162"/>
      <c r="AZ527" s="162"/>
      <c r="BA527" s="162"/>
      <c r="BB527" s="162"/>
      <c r="BC527" s="162"/>
      <c r="BD527" s="230"/>
      <c r="BE527" s="230"/>
      <c r="BF527" s="162"/>
      <c r="BG527" s="162"/>
      <c r="BH527" s="162"/>
      <c r="BI527" s="162"/>
      <c r="BJ527" s="162"/>
      <c r="BK527" s="230"/>
      <c r="BL527" s="230"/>
      <c r="BM527" s="162"/>
      <c r="BN527" s="162"/>
      <c r="BO527" s="162"/>
      <c r="BP527" s="162"/>
      <c r="BQ527" s="162"/>
      <c r="BR527" s="230"/>
      <c r="BS527" s="230"/>
      <c r="BT527" s="162"/>
      <c r="BU527" s="162"/>
      <c r="BV527" s="162"/>
      <c r="BW527" s="162"/>
      <c r="BX527" s="162"/>
      <c r="BY527" s="230"/>
      <c r="BZ527" s="230"/>
      <c r="CA527" s="162"/>
      <c r="CB527" s="162"/>
      <c r="CC527" s="162"/>
      <c r="CD527" s="162"/>
      <c r="CE527" s="162"/>
      <c r="CF527" s="230"/>
      <c r="CG527" s="230"/>
      <c r="CH527" s="162"/>
      <c r="CI527" s="162"/>
      <c r="CJ527" s="162"/>
      <c r="CK527" s="162"/>
      <c r="CL527" s="162"/>
      <c r="CM527" s="230"/>
      <c r="CN527" s="230"/>
      <c r="CO527" s="162"/>
      <c r="CP527" s="162"/>
      <c r="CQ527" s="162"/>
      <c r="CR527" s="162"/>
      <c r="CS527" s="162"/>
      <c r="CT527" s="230"/>
      <c r="CU527" s="230"/>
      <c r="CV527" s="162"/>
      <c r="CW527" s="162"/>
      <c r="CX527" s="162"/>
      <c r="CY527" s="162"/>
      <c r="CZ527" s="162"/>
      <c r="DA527" s="230"/>
      <c r="DB527" s="230"/>
      <c r="DC527" s="162"/>
      <c r="DD527" s="162"/>
      <c r="DE527" s="162"/>
      <c r="DF527" s="162"/>
      <c r="DG527" s="162"/>
      <c r="DH527" s="230"/>
      <c r="DI527" s="230"/>
      <c r="DJ527" s="162"/>
      <c r="DK527" s="162"/>
      <c r="DL527" s="147"/>
      <c r="DM527" s="147"/>
      <c r="DN527" s="147"/>
      <c r="DO527" s="147"/>
      <c r="DP527" s="147"/>
      <c r="DQ527" s="147"/>
      <c r="DR527" s="147"/>
      <c r="DS527" s="147"/>
      <c r="DT527" s="147"/>
      <c r="DU527" s="147"/>
      <c r="DV527" s="147"/>
      <c r="DW527" s="147"/>
      <c r="DX527" s="147"/>
      <c r="DY527" s="147"/>
      <c r="DZ527" s="147"/>
      <c r="EA527" s="147"/>
      <c r="EB527" s="147"/>
      <c r="EC527" s="147"/>
      <c r="ED527" s="147"/>
      <c r="EE527" s="147"/>
      <c r="EF527" s="147"/>
      <c r="EG527" s="147"/>
      <c r="EH527" s="147"/>
    </row>
    <row r="528" spans="1:138" x14ac:dyDescent="0.25">
      <c r="A528" s="147"/>
      <c r="B528" s="147"/>
      <c r="C528" s="160"/>
      <c r="D528" s="160"/>
      <c r="E528" s="169"/>
      <c r="F528" s="229"/>
      <c r="G528" s="165"/>
      <c r="H528" s="165"/>
      <c r="I528" s="163"/>
      <c r="J528" s="163"/>
      <c r="K528" s="162"/>
      <c r="L528" s="162"/>
      <c r="M528" s="162"/>
      <c r="N528" s="230"/>
      <c r="O528" s="230"/>
      <c r="P528" s="162"/>
      <c r="Q528" s="162"/>
      <c r="R528" s="162"/>
      <c r="S528" s="162"/>
      <c r="T528" s="162"/>
      <c r="U528" s="230"/>
      <c r="V528" s="230"/>
      <c r="W528" s="162"/>
      <c r="X528" s="162"/>
      <c r="Y528" s="162"/>
      <c r="Z528" s="162"/>
      <c r="AA528" s="162"/>
      <c r="AB528" s="230"/>
      <c r="AC528" s="230"/>
      <c r="AD528" s="162"/>
      <c r="AE528" s="162"/>
      <c r="AF528" s="162"/>
      <c r="AG528" s="162"/>
      <c r="AH528" s="162"/>
      <c r="AI528" s="230"/>
      <c r="AJ528" s="230"/>
      <c r="AK528" s="162"/>
      <c r="AL528" s="162"/>
      <c r="AM528" s="162"/>
      <c r="AN528" s="162"/>
      <c r="AO528" s="162"/>
      <c r="AP528" s="230"/>
      <c r="AQ528" s="230"/>
      <c r="AR528" s="162"/>
      <c r="AS528" s="162"/>
      <c r="AT528" s="162"/>
      <c r="AU528" s="162"/>
      <c r="AV528" s="162"/>
      <c r="AW528" s="230"/>
      <c r="AX528" s="230"/>
      <c r="AY528" s="162"/>
      <c r="AZ528" s="162"/>
      <c r="BA528" s="162"/>
      <c r="BB528" s="162"/>
      <c r="BC528" s="162"/>
      <c r="BD528" s="230"/>
      <c r="BE528" s="230"/>
      <c r="BF528" s="162"/>
      <c r="BG528" s="162"/>
      <c r="BH528" s="162"/>
      <c r="BI528" s="162"/>
      <c r="BJ528" s="162"/>
      <c r="BK528" s="230"/>
      <c r="BL528" s="230"/>
      <c r="BM528" s="162"/>
      <c r="BN528" s="162"/>
      <c r="BO528" s="162"/>
      <c r="BP528" s="162"/>
      <c r="BQ528" s="162"/>
      <c r="BR528" s="230"/>
      <c r="BS528" s="230"/>
      <c r="BT528" s="162"/>
      <c r="BU528" s="162"/>
      <c r="BV528" s="162"/>
      <c r="BW528" s="162"/>
      <c r="BX528" s="162"/>
      <c r="BY528" s="230"/>
      <c r="BZ528" s="230"/>
      <c r="CA528" s="162"/>
      <c r="CB528" s="162"/>
      <c r="CC528" s="162"/>
      <c r="CD528" s="162"/>
      <c r="CE528" s="162"/>
      <c r="CF528" s="230"/>
      <c r="CG528" s="230"/>
      <c r="CH528" s="162"/>
      <c r="CI528" s="162"/>
      <c r="CJ528" s="162"/>
      <c r="CK528" s="162"/>
      <c r="CL528" s="162"/>
      <c r="CM528" s="230"/>
      <c r="CN528" s="230"/>
      <c r="CO528" s="162"/>
      <c r="CP528" s="162"/>
      <c r="CQ528" s="162"/>
      <c r="CR528" s="162"/>
      <c r="CS528" s="162"/>
      <c r="CT528" s="230"/>
      <c r="CU528" s="230"/>
      <c r="CV528" s="162"/>
      <c r="CW528" s="162"/>
      <c r="CX528" s="162"/>
      <c r="CY528" s="162"/>
      <c r="CZ528" s="162"/>
      <c r="DA528" s="230"/>
      <c r="DB528" s="230"/>
      <c r="DC528" s="162"/>
      <c r="DD528" s="162"/>
      <c r="DE528" s="162"/>
      <c r="DF528" s="162"/>
      <c r="DG528" s="162"/>
      <c r="DH528" s="230"/>
      <c r="DI528" s="230"/>
      <c r="DJ528" s="162"/>
      <c r="DK528" s="162"/>
      <c r="DL528" s="147"/>
      <c r="DM528" s="147"/>
      <c r="DN528" s="147"/>
      <c r="DO528" s="147"/>
      <c r="DP528" s="147"/>
      <c r="DQ528" s="147"/>
      <c r="DR528" s="147"/>
      <c r="DS528" s="147"/>
      <c r="DT528" s="147"/>
      <c r="DU528" s="147"/>
      <c r="DV528" s="147"/>
      <c r="DW528" s="147"/>
      <c r="DX528" s="147"/>
      <c r="DY528" s="147"/>
      <c r="DZ528" s="147"/>
      <c r="EA528" s="147"/>
      <c r="EB528" s="147"/>
      <c r="EC528" s="147"/>
      <c r="ED528" s="147"/>
      <c r="EE528" s="147"/>
      <c r="EF528" s="147"/>
      <c r="EG528" s="147"/>
      <c r="EH528" s="147"/>
    </row>
    <row r="529" spans="1:138" x14ac:dyDescent="0.25">
      <c r="A529" s="147"/>
      <c r="B529" s="147"/>
      <c r="C529" s="160"/>
      <c r="D529" s="160"/>
      <c r="E529" s="169"/>
      <c r="F529" s="229"/>
      <c r="G529" s="165"/>
      <c r="H529" s="165"/>
      <c r="I529" s="163"/>
      <c r="J529" s="163"/>
      <c r="K529" s="162"/>
      <c r="L529" s="162"/>
      <c r="M529" s="162"/>
      <c r="N529" s="230"/>
      <c r="O529" s="230"/>
      <c r="P529" s="162"/>
      <c r="Q529" s="162"/>
      <c r="R529" s="162"/>
      <c r="S529" s="162"/>
      <c r="T529" s="162"/>
      <c r="U529" s="230"/>
      <c r="V529" s="230"/>
      <c r="W529" s="162"/>
      <c r="X529" s="162"/>
      <c r="Y529" s="162"/>
      <c r="Z529" s="162"/>
      <c r="AA529" s="162"/>
      <c r="AB529" s="230"/>
      <c r="AC529" s="230"/>
      <c r="AD529" s="162"/>
      <c r="AE529" s="162"/>
      <c r="AF529" s="162"/>
      <c r="AG529" s="162"/>
      <c r="AH529" s="162"/>
      <c r="AI529" s="230"/>
      <c r="AJ529" s="230"/>
      <c r="AK529" s="162"/>
      <c r="AL529" s="162"/>
      <c r="AM529" s="162"/>
      <c r="AN529" s="162"/>
      <c r="AO529" s="162"/>
      <c r="AP529" s="230"/>
      <c r="AQ529" s="230"/>
      <c r="AR529" s="162"/>
      <c r="AS529" s="162"/>
      <c r="AT529" s="162"/>
      <c r="AU529" s="162"/>
      <c r="AV529" s="162"/>
      <c r="AW529" s="230"/>
      <c r="AX529" s="230"/>
      <c r="AY529" s="162"/>
      <c r="AZ529" s="162"/>
      <c r="BA529" s="162"/>
      <c r="BB529" s="162"/>
      <c r="BC529" s="162"/>
      <c r="BD529" s="230"/>
      <c r="BE529" s="230"/>
      <c r="BF529" s="162"/>
      <c r="BG529" s="162"/>
      <c r="BH529" s="162"/>
      <c r="BI529" s="162"/>
      <c r="BJ529" s="162"/>
      <c r="BK529" s="230"/>
      <c r="BL529" s="230"/>
      <c r="BM529" s="162"/>
      <c r="BN529" s="162"/>
      <c r="BO529" s="162"/>
      <c r="BP529" s="162"/>
      <c r="BQ529" s="162"/>
      <c r="BR529" s="230"/>
      <c r="BS529" s="230"/>
      <c r="BT529" s="162"/>
      <c r="BU529" s="162"/>
      <c r="BV529" s="162"/>
      <c r="BW529" s="162"/>
      <c r="BX529" s="162"/>
      <c r="BY529" s="230"/>
      <c r="BZ529" s="230"/>
      <c r="CA529" s="162"/>
      <c r="CB529" s="162"/>
      <c r="CC529" s="162"/>
      <c r="CD529" s="162"/>
      <c r="CE529" s="162"/>
      <c r="CF529" s="230"/>
      <c r="CG529" s="230"/>
      <c r="CH529" s="162"/>
      <c r="CI529" s="162"/>
      <c r="CJ529" s="162"/>
      <c r="CK529" s="162"/>
      <c r="CL529" s="162"/>
      <c r="CM529" s="230"/>
      <c r="CN529" s="230"/>
      <c r="CO529" s="162"/>
      <c r="CP529" s="162"/>
      <c r="CQ529" s="162"/>
      <c r="CR529" s="162"/>
      <c r="CS529" s="162"/>
      <c r="CT529" s="230"/>
      <c r="CU529" s="230"/>
      <c r="CV529" s="162"/>
      <c r="CW529" s="162"/>
      <c r="CX529" s="162"/>
      <c r="CY529" s="162"/>
      <c r="CZ529" s="162"/>
      <c r="DA529" s="230"/>
      <c r="DB529" s="230"/>
      <c r="DC529" s="162"/>
      <c r="DD529" s="162"/>
      <c r="DE529" s="162"/>
      <c r="DF529" s="162"/>
      <c r="DG529" s="162"/>
      <c r="DH529" s="230"/>
      <c r="DI529" s="230"/>
      <c r="DJ529" s="162"/>
      <c r="DK529" s="162"/>
      <c r="DL529" s="147"/>
      <c r="DM529" s="147"/>
      <c r="DN529" s="147"/>
      <c r="DO529" s="147"/>
      <c r="DP529" s="147"/>
      <c r="DQ529" s="147"/>
      <c r="DR529" s="147"/>
      <c r="DS529" s="147"/>
      <c r="DT529" s="147"/>
      <c r="DU529" s="147"/>
      <c r="DV529" s="147"/>
      <c r="DW529" s="147"/>
      <c r="DX529" s="147"/>
      <c r="DY529" s="147"/>
      <c r="DZ529" s="147"/>
      <c r="EA529" s="147"/>
      <c r="EB529" s="147"/>
      <c r="EC529" s="147"/>
      <c r="ED529" s="147"/>
      <c r="EE529" s="147"/>
      <c r="EF529" s="147"/>
      <c r="EG529" s="147"/>
      <c r="EH529" s="147"/>
    </row>
    <row r="530" spans="1:138" x14ac:dyDescent="0.25">
      <c r="A530" s="147"/>
      <c r="B530" s="147"/>
      <c r="C530" s="160"/>
      <c r="D530" s="160"/>
      <c r="E530" s="169"/>
      <c r="F530" s="229"/>
      <c r="G530" s="165"/>
      <c r="H530" s="165"/>
      <c r="I530" s="163"/>
      <c r="J530" s="163"/>
      <c r="K530" s="162"/>
      <c r="L530" s="162"/>
      <c r="M530" s="162"/>
      <c r="N530" s="230"/>
      <c r="O530" s="230"/>
      <c r="P530" s="162"/>
      <c r="Q530" s="162"/>
      <c r="R530" s="162"/>
      <c r="S530" s="162"/>
      <c r="T530" s="162"/>
      <c r="U530" s="230"/>
      <c r="V530" s="230"/>
      <c r="W530" s="162"/>
      <c r="X530" s="162"/>
      <c r="Y530" s="162"/>
      <c r="Z530" s="162"/>
      <c r="AA530" s="162"/>
      <c r="AB530" s="230"/>
      <c r="AC530" s="230"/>
      <c r="AD530" s="162"/>
      <c r="AE530" s="162"/>
      <c r="AF530" s="162"/>
      <c r="AG530" s="162"/>
      <c r="AH530" s="162"/>
      <c r="AI530" s="230"/>
      <c r="AJ530" s="230"/>
      <c r="AK530" s="162"/>
      <c r="AL530" s="162"/>
      <c r="AM530" s="162"/>
      <c r="AN530" s="162"/>
      <c r="AO530" s="162"/>
      <c r="AP530" s="230"/>
      <c r="AQ530" s="230"/>
      <c r="AR530" s="162"/>
      <c r="AS530" s="162"/>
      <c r="AT530" s="162"/>
      <c r="AU530" s="162"/>
      <c r="AV530" s="162"/>
      <c r="AW530" s="230"/>
      <c r="AX530" s="230"/>
      <c r="AY530" s="162"/>
      <c r="AZ530" s="162"/>
      <c r="BA530" s="162"/>
      <c r="BB530" s="162"/>
      <c r="BC530" s="162"/>
      <c r="BD530" s="230"/>
      <c r="BE530" s="230"/>
      <c r="BF530" s="162"/>
      <c r="BG530" s="162"/>
      <c r="BH530" s="162"/>
      <c r="BI530" s="162"/>
      <c r="BJ530" s="162"/>
      <c r="BK530" s="230"/>
      <c r="BL530" s="230"/>
      <c r="BM530" s="162"/>
      <c r="BN530" s="162"/>
      <c r="BO530" s="162"/>
      <c r="BP530" s="162"/>
      <c r="BQ530" s="162"/>
      <c r="BR530" s="230"/>
      <c r="BS530" s="230"/>
      <c r="BT530" s="162"/>
      <c r="BU530" s="162"/>
      <c r="BV530" s="162"/>
      <c r="BW530" s="162"/>
      <c r="BX530" s="162"/>
      <c r="BY530" s="230"/>
      <c r="BZ530" s="230"/>
      <c r="CA530" s="162"/>
      <c r="CB530" s="162"/>
      <c r="CC530" s="162"/>
      <c r="CD530" s="162"/>
      <c r="CE530" s="162"/>
      <c r="CF530" s="230"/>
      <c r="CG530" s="230"/>
      <c r="CH530" s="162"/>
      <c r="CI530" s="162"/>
      <c r="CJ530" s="162"/>
      <c r="CK530" s="162"/>
      <c r="CL530" s="162"/>
      <c r="CM530" s="230"/>
      <c r="CN530" s="230"/>
      <c r="CO530" s="162"/>
      <c r="CP530" s="162"/>
      <c r="CQ530" s="162"/>
      <c r="CR530" s="162"/>
      <c r="CS530" s="162"/>
      <c r="CT530" s="230"/>
      <c r="CU530" s="230"/>
      <c r="CV530" s="162"/>
      <c r="CW530" s="162"/>
      <c r="CX530" s="162"/>
      <c r="CY530" s="162"/>
      <c r="CZ530" s="162"/>
      <c r="DA530" s="230"/>
      <c r="DB530" s="230"/>
      <c r="DC530" s="162"/>
      <c r="DD530" s="162"/>
      <c r="DE530" s="162"/>
      <c r="DF530" s="162"/>
      <c r="DG530" s="162"/>
      <c r="DH530" s="230"/>
      <c r="DI530" s="230"/>
      <c r="DJ530" s="162"/>
      <c r="DK530" s="162"/>
      <c r="DL530" s="147"/>
      <c r="DM530" s="147"/>
      <c r="DN530" s="147"/>
      <c r="DO530" s="147"/>
      <c r="DP530" s="147"/>
      <c r="DQ530" s="147"/>
      <c r="DR530" s="147"/>
      <c r="DS530" s="147"/>
      <c r="DT530" s="147"/>
      <c r="DU530" s="147"/>
      <c r="DV530" s="147"/>
      <c r="DW530" s="147"/>
      <c r="DX530" s="147"/>
      <c r="DY530" s="147"/>
      <c r="DZ530" s="147"/>
      <c r="EA530" s="147"/>
      <c r="EB530" s="147"/>
      <c r="EC530" s="147"/>
      <c r="ED530" s="147"/>
      <c r="EE530" s="147"/>
      <c r="EF530" s="147"/>
      <c r="EG530" s="147"/>
      <c r="EH530" s="147"/>
    </row>
    <row r="531" spans="1:138" x14ac:dyDescent="0.25">
      <c r="A531" s="147"/>
      <c r="B531" s="147"/>
      <c r="C531" s="160"/>
      <c r="D531" s="160"/>
      <c r="E531" s="169"/>
      <c r="F531" s="229"/>
      <c r="G531" s="165"/>
      <c r="H531" s="165"/>
      <c r="I531" s="163"/>
      <c r="J531" s="163"/>
      <c r="K531" s="162"/>
      <c r="L531" s="162"/>
      <c r="M531" s="162"/>
      <c r="N531" s="230"/>
      <c r="O531" s="230"/>
      <c r="P531" s="162"/>
      <c r="Q531" s="162"/>
      <c r="R531" s="162"/>
      <c r="S531" s="162"/>
      <c r="T531" s="162"/>
      <c r="U531" s="230"/>
      <c r="V531" s="230"/>
      <c r="W531" s="162"/>
      <c r="X531" s="162"/>
      <c r="Y531" s="162"/>
      <c r="Z531" s="162"/>
      <c r="AA531" s="162"/>
      <c r="AB531" s="230"/>
      <c r="AC531" s="230"/>
      <c r="AD531" s="162"/>
      <c r="AE531" s="162"/>
      <c r="AF531" s="162"/>
      <c r="AG531" s="162"/>
      <c r="AH531" s="162"/>
      <c r="AI531" s="230"/>
      <c r="AJ531" s="230"/>
      <c r="AK531" s="162"/>
      <c r="AL531" s="162"/>
      <c r="AM531" s="162"/>
      <c r="AN531" s="162"/>
      <c r="AO531" s="162"/>
      <c r="AP531" s="230"/>
      <c r="AQ531" s="230"/>
      <c r="AR531" s="162"/>
      <c r="AS531" s="162"/>
      <c r="AT531" s="162"/>
      <c r="AU531" s="162"/>
      <c r="AV531" s="162"/>
      <c r="AW531" s="230"/>
      <c r="AX531" s="230"/>
      <c r="AY531" s="162"/>
      <c r="AZ531" s="162"/>
      <c r="BA531" s="162"/>
      <c r="BB531" s="162"/>
      <c r="BC531" s="162"/>
      <c r="BD531" s="230"/>
      <c r="BE531" s="230"/>
      <c r="BF531" s="162"/>
      <c r="BG531" s="162"/>
      <c r="BH531" s="162"/>
      <c r="BI531" s="162"/>
      <c r="BJ531" s="162"/>
      <c r="BK531" s="230"/>
      <c r="BL531" s="230"/>
      <c r="BM531" s="162"/>
      <c r="BN531" s="162"/>
      <c r="BO531" s="162"/>
      <c r="BP531" s="162"/>
      <c r="BQ531" s="162"/>
      <c r="BR531" s="230"/>
      <c r="BS531" s="230"/>
      <c r="BT531" s="162"/>
      <c r="BU531" s="162"/>
      <c r="BV531" s="162"/>
      <c r="BW531" s="162"/>
      <c r="BX531" s="162"/>
      <c r="BY531" s="230"/>
      <c r="BZ531" s="230"/>
      <c r="CA531" s="162"/>
      <c r="CB531" s="162"/>
      <c r="CC531" s="162"/>
      <c r="CD531" s="162"/>
      <c r="CE531" s="162"/>
      <c r="CF531" s="230"/>
      <c r="CG531" s="230"/>
      <c r="CH531" s="162"/>
      <c r="CI531" s="162"/>
      <c r="CJ531" s="162"/>
      <c r="CK531" s="162"/>
      <c r="CL531" s="162"/>
      <c r="CM531" s="230"/>
      <c r="CN531" s="230"/>
      <c r="CO531" s="162"/>
      <c r="CP531" s="162"/>
      <c r="CQ531" s="162"/>
      <c r="CR531" s="162"/>
      <c r="CS531" s="162"/>
      <c r="CT531" s="230"/>
      <c r="CU531" s="230"/>
      <c r="CV531" s="162"/>
      <c r="CW531" s="162"/>
      <c r="CX531" s="162"/>
      <c r="CY531" s="162"/>
      <c r="CZ531" s="162"/>
      <c r="DA531" s="230"/>
      <c r="DB531" s="230"/>
      <c r="DC531" s="162"/>
      <c r="DD531" s="162"/>
      <c r="DE531" s="162"/>
      <c r="DF531" s="162"/>
      <c r="DG531" s="162"/>
      <c r="DH531" s="230"/>
      <c r="DI531" s="230"/>
      <c r="DJ531" s="162"/>
      <c r="DK531" s="162"/>
      <c r="DL531" s="147"/>
      <c r="DM531" s="147"/>
      <c r="DN531" s="147"/>
      <c r="DO531" s="147"/>
      <c r="DP531" s="147"/>
      <c r="DQ531" s="147"/>
      <c r="DR531" s="147"/>
      <c r="DS531" s="147"/>
      <c r="DT531" s="147"/>
      <c r="DU531" s="147"/>
      <c r="DV531" s="147"/>
      <c r="DW531" s="147"/>
      <c r="DX531" s="147"/>
      <c r="DY531" s="147"/>
      <c r="DZ531" s="147"/>
      <c r="EA531" s="147"/>
      <c r="EB531" s="147"/>
      <c r="EC531" s="147"/>
      <c r="ED531" s="147"/>
      <c r="EE531" s="147"/>
      <c r="EF531" s="147"/>
      <c r="EG531" s="147"/>
      <c r="EH531" s="147"/>
    </row>
    <row r="532" spans="1:138" x14ac:dyDescent="0.25">
      <c r="A532" s="147"/>
      <c r="B532" s="147"/>
      <c r="C532" s="160"/>
      <c r="D532" s="160"/>
      <c r="E532" s="169"/>
      <c r="F532" s="229"/>
      <c r="G532" s="165"/>
      <c r="H532" s="165"/>
      <c r="I532" s="163"/>
      <c r="J532" s="163"/>
      <c r="K532" s="162"/>
      <c r="L532" s="162"/>
      <c r="M532" s="162"/>
      <c r="N532" s="230"/>
      <c r="O532" s="230"/>
      <c r="P532" s="162"/>
      <c r="Q532" s="162"/>
      <c r="R532" s="162"/>
      <c r="S532" s="162"/>
      <c r="T532" s="162"/>
      <c r="U532" s="230"/>
      <c r="V532" s="230"/>
      <c r="W532" s="162"/>
      <c r="X532" s="162"/>
      <c r="Y532" s="162"/>
      <c r="Z532" s="162"/>
      <c r="AA532" s="162"/>
      <c r="AB532" s="230"/>
      <c r="AC532" s="230"/>
      <c r="AD532" s="162"/>
      <c r="AE532" s="162"/>
      <c r="AF532" s="162"/>
      <c r="AG532" s="162"/>
      <c r="AH532" s="162"/>
      <c r="AI532" s="230"/>
      <c r="AJ532" s="230"/>
      <c r="AK532" s="162"/>
      <c r="AL532" s="162"/>
      <c r="AM532" s="162"/>
      <c r="AN532" s="162"/>
      <c r="AO532" s="162"/>
      <c r="AP532" s="230"/>
      <c r="AQ532" s="230"/>
      <c r="AR532" s="162"/>
      <c r="AS532" s="162"/>
      <c r="AT532" s="162"/>
      <c r="AU532" s="162"/>
      <c r="AV532" s="162"/>
      <c r="AW532" s="230"/>
      <c r="AX532" s="230"/>
      <c r="AY532" s="162"/>
      <c r="AZ532" s="162"/>
      <c r="BA532" s="162"/>
      <c r="BB532" s="162"/>
      <c r="BC532" s="162"/>
      <c r="BD532" s="230"/>
      <c r="BE532" s="230"/>
      <c r="BF532" s="162"/>
      <c r="BG532" s="162"/>
      <c r="BH532" s="162"/>
      <c r="BI532" s="162"/>
      <c r="BJ532" s="162"/>
      <c r="BK532" s="230"/>
      <c r="BL532" s="230"/>
      <c r="BM532" s="162"/>
      <c r="BN532" s="162"/>
      <c r="BO532" s="162"/>
      <c r="BP532" s="162"/>
      <c r="BQ532" s="162"/>
      <c r="BR532" s="230"/>
      <c r="BS532" s="230"/>
      <c r="BT532" s="162"/>
      <c r="BU532" s="162"/>
      <c r="BV532" s="162"/>
      <c r="BW532" s="162"/>
      <c r="BX532" s="162"/>
      <c r="BY532" s="230"/>
      <c r="BZ532" s="230"/>
      <c r="CA532" s="162"/>
      <c r="CB532" s="162"/>
      <c r="CC532" s="162"/>
      <c r="CD532" s="162"/>
      <c r="CE532" s="162"/>
      <c r="CF532" s="230"/>
      <c r="CG532" s="230"/>
      <c r="CH532" s="162"/>
      <c r="CI532" s="162"/>
      <c r="CJ532" s="162"/>
      <c r="CK532" s="162"/>
      <c r="CL532" s="162"/>
      <c r="CM532" s="230"/>
      <c r="CN532" s="230"/>
      <c r="CO532" s="162"/>
      <c r="CP532" s="162"/>
      <c r="CQ532" s="162"/>
      <c r="CR532" s="162"/>
      <c r="CS532" s="162"/>
      <c r="CT532" s="230"/>
      <c r="CU532" s="230"/>
      <c r="CV532" s="162"/>
      <c r="CW532" s="162"/>
      <c r="CX532" s="162"/>
      <c r="CY532" s="162"/>
      <c r="CZ532" s="162"/>
      <c r="DA532" s="230"/>
      <c r="DB532" s="230"/>
      <c r="DC532" s="162"/>
      <c r="DD532" s="162"/>
      <c r="DE532" s="162"/>
      <c r="DF532" s="162"/>
      <c r="DG532" s="162"/>
      <c r="DH532" s="230"/>
      <c r="DI532" s="230"/>
      <c r="DJ532" s="162"/>
      <c r="DK532" s="162"/>
      <c r="DL532" s="147"/>
      <c r="DM532" s="147"/>
      <c r="DN532" s="147"/>
      <c r="DO532" s="147"/>
      <c r="DP532" s="147"/>
      <c r="DQ532" s="147"/>
      <c r="DR532" s="147"/>
      <c r="DS532" s="147"/>
      <c r="DT532" s="147"/>
      <c r="DU532" s="147"/>
      <c r="DV532" s="147"/>
      <c r="DW532" s="147"/>
      <c r="DX532" s="147"/>
      <c r="DY532" s="147"/>
      <c r="DZ532" s="147"/>
      <c r="EA532" s="147"/>
      <c r="EB532" s="147"/>
      <c r="EC532" s="147"/>
      <c r="ED532" s="147"/>
      <c r="EE532" s="147"/>
      <c r="EF532" s="147"/>
      <c r="EG532" s="147"/>
      <c r="EH532" s="147"/>
    </row>
    <row r="533" spans="1:138" x14ac:dyDescent="0.25">
      <c r="A533" s="147"/>
      <c r="B533" s="147"/>
      <c r="C533" s="160"/>
      <c r="D533" s="160"/>
      <c r="E533" s="169"/>
      <c r="F533" s="229"/>
      <c r="G533" s="165"/>
      <c r="H533" s="165"/>
      <c r="I533" s="163"/>
      <c r="J533" s="163"/>
      <c r="K533" s="162"/>
      <c r="L533" s="162"/>
      <c r="M533" s="162"/>
      <c r="N533" s="230"/>
      <c r="O533" s="230"/>
      <c r="P533" s="162"/>
      <c r="Q533" s="162"/>
      <c r="R533" s="162"/>
      <c r="S533" s="162"/>
      <c r="T533" s="162"/>
      <c r="U533" s="230"/>
      <c r="V533" s="230"/>
      <c r="W533" s="162"/>
      <c r="X533" s="162"/>
      <c r="Y533" s="162"/>
      <c r="Z533" s="162"/>
      <c r="AA533" s="162"/>
      <c r="AB533" s="230"/>
      <c r="AC533" s="230"/>
      <c r="AD533" s="162"/>
      <c r="AE533" s="162"/>
      <c r="AF533" s="162"/>
      <c r="AG533" s="162"/>
      <c r="AH533" s="162"/>
      <c r="AI533" s="230"/>
      <c r="AJ533" s="230"/>
      <c r="AK533" s="162"/>
      <c r="AL533" s="162"/>
      <c r="AM533" s="162"/>
      <c r="AN533" s="162"/>
      <c r="AO533" s="162"/>
      <c r="AP533" s="230"/>
      <c r="AQ533" s="230"/>
      <c r="AR533" s="162"/>
      <c r="AS533" s="162"/>
      <c r="AT533" s="162"/>
      <c r="AU533" s="162"/>
      <c r="AV533" s="162"/>
      <c r="AW533" s="230"/>
      <c r="AX533" s="230"/>
      <c r="AY533" s="162"/>
      <c r="AZ533" s="162"/>
      <c r="BA533" s="162"/>
      <c r="BB533" s="162"/>
      <c r="BC533" s="162"/>
      <c r="BD533" s="230"/>
      <c r="BE533" s="230"/>
      <c r="BF533" s="162"/>
      <c r="BG533" s="162"/>
      <c r="BH533" s="162"/>
      <c r="BI533" s="162"/>
      <c r="BJ533" s="162"/>
      <c r="BK533" s="230"/>
      <c r="BL533" s="230"/>
      <c r="BM533" s="162"/>
      <c r="BN533" s="162"/>
      <c r="BO533" s="162"/>
      <c r="BP533" s="162"/>
      <c r="BQ533" s="162"/>
      <c r="BR533" s="230"/>
      <c r="BS533" s="230"/>
      <c r="BT533" s="162"/>
      <c r="BU533" s="162"/>
      <c r="BV533" s="162"/>
      <c r="BW533" s="162"/>
      <c r="BX533" s="162"/>
      <c r="BY533" s="230"/>
      <c r="BZ533" s="230"/>
      <c r="CA533" s="162"/>
      <c r="CB533" s="162"/>
      <c r="CC533" s="162"/>
      <c r="CD533" s="162"/>
      <c r="CE533" s="162"/>
      <c r="CF533" s="230"/>
      <c r="CG533" s="230"/>
      <c r="CH533" s="162"/>
      <c r="CI533" s="162"/>
      <c r="CJ533" s="162"/>
      <c r="CK533" s="162"/>
      <c r="CL533" s="162"/>
      <c r="CM533" s="230"/>
      <c r="CN533" s="230"/>
      <c r="CO533" s="162"/>
      <c r="CP533" s="162"/>
      <c r="CQ533" s="162"/>
      <c r="CR533" s="162"/>
      <c r="CS533" s="162"/>
      <c r="CT533" s="230"/>
      <c r="CU533" s="230"/>
      <c r="CV533" s="162"/>
      <c r="CW533" s="162"/>
      <c r="CX533" s="162"/>
      <c r="CY533" s="162"/>
      <c r="CZ533" s="162"/>
      <c r="DA533" s="230"/>
      <c r="DB533" s="230"/>
      <c r="DC533" s="162"/>
      <c r="DD533" s="162"/>
      <c r="DE533" s="162"/>
      <c r="DF533" s="162"/>
      <c r="DG533" s="162"/>
      <c r="DH533" s="230"/>
      <c r="DI533" s="230"/>
      <c r="DJ533" s="162"/>
      <c r="DK533" s="162"/>
      <c r="DL533" s="147"/>
      <c r="DM533" s="147"/>
      <c r="DN533" s="147"/>
      <c r="DO533" s="147"/>
      <c r="DP533" s="147"/>
      <c r="DQ533" s="147"/>
      <c r="DR533" s="147"/>
      <c r="DS533" s="147"/>
      <c r="DT533" s="147"/>
      <c r="DU533" s="147"/>
      <c r="DV533" s="147"/>
      <c r="DW533" s="147"/>
      <c r="DX533" s="147"/>
      <c r="DY533" s="147"/>
      <c r="DZ533" s="147"/>
      <c r="EA533" s="147"/>
      <c r="EB533" s="147"/>
      <c r="EC533" s="147"/>
      <c r="ED533" s="147"/>
      <c r="EE533" s="147"/>
      <c r="EF533" s="147"/>
      <c r="EG533" s="147"/>
      <c r="EH533" s="147"/>
    </row>
    <row r="534" spans="1:138" x14ac:dyDescent="0.25">
      <c r="A534" s="147"/>
      <c r="B534" s="147"/>
      <c r="C534" s="160"/>
      <c r="D534" s="160"/>
      <c r="E534" s="169"/>
      <c r="F534" s="229"/>
      <c r="G534" s="165"/>
      <c r="H534" s="165"/>
      <c r="I534" s="163"/>
      <c r="J534" s="163"/>
      <c r="K534" s="162"/>
      <c r="L534" s="162"/>
      <c r="M534" s="162"/>
      <c r="N534" s="230"/>
      <c r="O534" s="230"/>
      <c r="P534" s="162"/>
      <c r="Q534" s="162"/>
      <c r="R534" s="162"/>
      <c r="S534" s="162"/>
      <c r="T534" s="162"/>
      <c r="U534" s="230"/>
      <c r="V534" s="230"/>
      <c r="W534" s="162"/>
      <c r="X534" s="162"/>
      <c r="Y534" s="162"/>
      <c r="Z534" s="162"/>
      <c r="AA534" s="162"/>
      <c r="AB534" s="230"/>
      <c r="AC534" s="230"/>
      <c r="AD534" s="162"/>
      <c r="AE534" s="162"/>
      <c r="AF534" s="162"/>
      <c r="AG534" s="162"/>
      <c r="AH534" s="162"/>
      <c r="AI534" s="230"/>
      <c r="AJ534" s="230"/>
      <c r="AK534" s="162"/>
      <c r="AL534" s="162"/>
      <c r="AM534" s="162"/>
      <c r="AN534" s="162"/>
      <c r="AO534" s="162"/>
      <c r="AP534" s="230"/>
      <c r="AQ534" s="230"/>
      <c r="AR534" s="162"/>
      <c r="AS534" s="162"/>
      <c r="AT534" s="162"/>
      <c r="AU534" s="162"/>
      <c r="AV534" s="162"/>
      <c r="AW534" s="230"/>
      <c r="AX534" s="230"/>
      <c r="AY534" s="162"/>
      <c r="AZ534" s="162"/>
      <c r="BA534" s="162"/>
      <c r="BB534" s="162"/>
      <c r="BC534" s="162"/>
      <c r="BD534" s="230"/>
      <c r="BE534" s="230"/>
      <c r="BF534" s="162"/>
      <c r="BG534" s="162"/>
      <c r="BH534" s="162"/>
      <c r="BI534" s="162"/>
      <c r="BJ534" s="162"/>
      <c r="BK534" s="230"/>
      <c r="BL534" s="230"/>
      <c r="BM534" s="162"/>
      <c r="BN534" s="162"/>
      <c r="BO534" s="162"/>
      <c r="BP534" s="162"/>
      <c r="BQ534" s="162"/>
      <c r="BR534" s="230"/>
      <c r="BS534" s="230"/>
      <c r="BT534" s="162"/>
      <c r="BU534" s="162"/>
      <c r="BV534" s="162"/>
      <c r="BW534" s="162"/>
      <c r="BX534" s="162"/>
      <c r="BY534" s="230"/>
      <c r="BZ534" s="230"/>
      <c r="CA534" s="162"/>
      <c r="CB534" s="162"/>
      <c r="CC534" s="162"/>
      <c r="CD534" s="162"/>
      <c r="CE534" s="162"/>
      <c r="CF534" s="230"/>
      <c r="CG534" s="230"/>
      <c r="CH534" s="162"/>
      <c r="CI534" s="162"/>
      <c r="CJ534" s="162"/>
      <c r="CK534" s="162"/>
      <c r="CL534" s="162"/>
      <c r="CM534" s="230"/>
      <c r="CN534" s="230"/>
      <c r="CO534" s="162"/>
      <c r="CP534" s="162"/>
      <c r="CQ534" s="162"/>
      <c r="CR534" s="162"/>
      <c r="CS534" s="162"/>
      <c r="CT534" s="230"/>
      <c r="CU534" s="230"/>
      <c r="CV534" s="162"/>
      <c r="CW534" s="162"/>
      <c r="CX534" s="162"/>
      <c r="CY534" s="162"/>
      <c r="CZ534" s="162"/>
      <c r="DA534" s="230"/>
      <c r="DB534" s="230"/>
      <c r="DC534" s="162"/>
      <c r="DD534" s="162"/>
      <c r="DE534" s="162"/>
      <c r="DF534" s="162"/>
      <c r="DG534" s="162"/>
      <c r="DH534" s="230"/>
      <c r="DI534" s="230"/>
      <c r="DJ534" s="162"/>
      <c r="DK534" s="162"/>
      <c r="DL534" s="147"/>
      <c r="DM534" s="147"/>
      <c r="DN534" s="147"/>
      <c r="DO534" s="147"/>
      <c r="DP534" s="147"/>
      <c r="DQ534" s="147"/>
      <c r="DR534" s="147"/>
      <c r="DS534" s="147"/>
      <c r="DT534" s="147"/>
      <c r="DU534" s="147"/>
      <c r="DV534" s="147"/>
      <c r="DW534" s="147"/>
      <c r="DX534" s="147"/>
      <c r="DY534" s="147"/>
      <c r="DZ534" s="147"/>
      <c r="EA534" s="147"/>
      <c r="EB534" s="147"/>
      <c r="EC534" s="147"/>
      <c r="ED534" s="147"/>
      <c r="EE534" s="147"/>
      <c r="EF534" s="147"/>
      <c r="EG534" s="147"/>
      <c r="EH534" s="147"/>
    </row>
    <row r="535" spans="1:138" x14ac:dyDescent="0.25">
      <c r="A535" s="147"/>
      <c r="B535" s="147"/>
      <c r="C535" s="160"/>
      <c r="D535" s="160"/>
      <c r="E535" s="169"/>
      <c r="F535" s="229"/>
      <c r="G535" s="165"/>
      <c r="H535" s="165"/>
      <c r="I535" s="163"/>
      <c r="J535" s="163"/>
      <c r="K535" s="162"/>
      <c r="L535" s="162"/>
      <c r="M535" s="162"/>
      <c r="N535" s="230"/>
      <c r="O535" s="230"/>
      <c r="P535" s="162"/>
      <c r="Q535" s="162"/>
      <c r="R535" s="162"/>
      <c r="S535" s="162"/>
      <c r="T535" s="162"/>
      <c r="U535" s="230"/>
      <c r="V535" s="230"/>
      <c r="W535" s="162"/>
      <c r="X535" s="162"/>
      <c r="Y535" s="162"/>
      <c r="Z535" s="162"/>
      <c r="AA535" s="162"/>
      <c r="AB535" s="230"/>
      <c r="AC535" s="230"/>
      <c r="AD535" s="162"/>
      <c r="AE535" s="162"/>
      <c r="AF535" s="162"/>
      <c r="AG535" s="162"/>
      <c r="AH535" s="162"/>
      <c r="AI535" s="230"/>
      <c r="AJ535" s="230"/>
      <c r="AK535" s="162"/>
      <c r="AL535" s="162"/>
      <c r="AM535" s="162"/>
      <c r="AN535" s="162"/>
      <c r="AO535" s="162"/>
      <c r="AP535" s="230"/>
      <c r="AQ535" s="230"/>
      <c r="AR535" s="162"/>
      <c r="AS535" s="162"/>
      <c r="AT535" s="162"/>
      <c r="AU535" s="162"/>
      <c r="AV535" s="162"/>
      <c r="AW535" s="230"/>
      <c r="AX535" s="230"/>
      <c r="AY535" s="162"/>
      <c r="AZ535" s="162"/>
      <c r="BA535" s="162"/>
      <c r="BB535" s="162"/>
      <c r="BC535" s="162"/>
      <c r="BD535" s="230"/>
      <c r="BE535" s="230"/>
      <c r="BF535" s="162"/>
      <c r="BG535" s="162"/>
      <c r="BH535" s="162"/>
      <c r="BI535" s="162"/>
      <c r="BJ535" s="162"/>
      <c r="BK535" s="230"/>
      <c r="BL535" s="230"/>
      <c r="BM535" s="162"/>
      <c r="BN535" s="162"/>
      <c r="BO535" s="162"/>
      <c r="BP535" s="162"/>
      <c r="BQ535" s="162"/>
      <c r="BR535" s="230"/>
      <c r="BS535" s="230"/>
      <c r="BT535" s="162"/>
      <c r="BU535" s="162"/>
      <c r="BV535" s="162"/>
      <c r="BW535" s="162"/>
      <c r="BX535" s="162"/>
      <c r="BY535" s="230"/>
      <c r="BZ535" s="230"/>
      <c r="CA535" s="162"/>
      <c r="CB535" s="162"/>
      <c r="CC535" s="162"/>
      <c r="CD535" s="162"/>
      <c r="CE535" s="162"/>
      <c r="CF535" s="230"/>
      <c r="CG535" s="230"/>
      <c r="CH535" s="162"/>
      <c r="CI535" s="162"/>
      <c r="CJ535" s="162"/>
      <c r="CK535" s="162"/>
      <c r="CL535" s="162"/>
      <c r="CM535" s="230"/>
      <c r="CN535" s="230"/>
      <c r="CO535" s="162"/>
      <c r="CP535" s="162"/>
      <c r="CQ535" s="162"/>
      <c r="CR535" s="162"/>
      <c r="CS535" s="162"/>
      <c r="CT535" s="230"/>
      <c r="CU535" s="230"/>
      <c r="CV535" s="162"/>
      <c r="CW535" s="162"/>
      <c r="CX535" s="162"/>
      <c r="CY535" s="162"/>
      <c r="CZ535" s="162"/>
      <c r="DA535" s="230"/>
      <c r="DB535" s="230"/>
      <c r="DC535" s="162"/>
      <c r="DD535" s="162"/>
      <c r="DE535" s="162"/>
      <c r="DF535" s="162"/>
      <c r="DG535" s="162"/>
      <c r="DH535" s="230"/>
      <c r="DI535" s="230"/>
      <c r="DJ535" s="162"/>
      <c r="DK535" s="162"/>
      <c r="DL535" s="147"/>
      <c r="DM535" s="147"/>
      <c r="DN535" s="147"/>
      <c r="DO535" s="147"/>
      <c r="DP535" s="147"/>
      <c r="DQ535" s="147"/>
      <c r="DR535" s="147"/>
      <c r="DS535" s="147"/>
      <c r="DT535" s="147"/>
      <c r="DU535" s="147"/>
      <c r="DV535" s="147"/>
      <c r="DW535" s="147"/>
      <c r="DX535" s="147"/>
      <c r="DY535" s="147"/>
      <c r="DZ535" s="147"/>
      <c r="EA535" s="147"/>
      <c r="EB535" s="147"/>
      <c r="EC535" s="147"/>
      <c r="ED535" s="147"/>
      <c r="EE535" s="147"/>
      <c r="EF535" s="147"/>
      <c r="EG535" s="147"/>
      <c r="EH535" s="147"/>
    </row>
    <row r="536" spans="1:138" x14ac:dyDescent="0.25">
      <c r="A536" s="147"/>
      <c r="B536" s="147"/>
      <c r="C536" s="160"/>
      <c r="D536" s="160"/>
      <c r="E536" s="169"/>
      <c r="F536" s="229"/>
      <c r="G536" s="165"/>
      <c r="H536" s="165"/>
      <c r="I536" s="163"/>
      <c r="J536" s="163"/>
      <c r="K536" s="162"/>
      <c r="L536" s="162"/>
      <c r="M536" s="162"/>
      <c r="N536" s="230"/>
      <c r="O536" s="230"/>
      <c r="P536" s="162"/>
      <c r="Q536" s="162"/>
      <c r="R536" s="162"/>
      <c r="S536" s="162"/>
      <c r="T536" s="162"/>
      <c r="U536" s="230"/>
      <c r="V536" s="230"/>
      <c r="W536" s="162"/>
      <c r="X536" s="162"/>
      <c r="Y536" s="162"/>
      <c r="Z536" s="162"/>
      <c r="AA536" s="162"/>
      <c r="AB536" s="230"/>
      <c r="AC536" s="230"/>
      <c r="AD536" s="162"/>
      <c r="AE536" s="162"/>
      <c r="AF536" s="162"/>
      <c r="AG536" s="162"/>
      <c r="AH536" s="162"/>
      <c r="AI536" s="230"/>
      <c r="AJ536" s="230"/>
      <c r="AK536" s="162"/>
      <c r="AL536" s="162"/>
      <c r="AM536" s="162"/>
      <c r="AN536" s="162"/>
      <c r="AO536" s="162"/>
      <c r="AP536" s="230"/>
      <c r="AQ536" s="230"/>
      <c r="AR536" s="162"/>
      <c r="AS536" s="162"/>
      <c r="AT536" s="162"/>
      <c r="AU536" s="162"/>
      <c r="AV536" s="162"/>
      <c r="AW536" s="230"/>
      <c r="AX536" s="230"/>
      <c r="AY536" s="162"/>
      <c r="AZ536" s="162"/>
      <c r="BA536" s="162"/>
      <c r="BB536" s="162"/>
      <c r="BC536" s="162"/>
      <c r="BD536" s="230"/>
      <c r="BE536" s="230"/>
      <c r="BF536" s="162"/>
      <c r="BG536" s="162"/>
      <c r="BH536" s="162"/>
      <c r="BI536" s="162"/>
      <c r="BJ536" s="162"/>
      <c r="BK536" s="230"/>
      <c r="BL536" s="230"/>
      <c r="BM536" s="162"/>
      <c r="BN536" s="162"/>
      <c r="BO536" s="162"/>
      <c r="BP536" s="162"/>
      <c r="BQ536" s="162"/>
      <c r="BR536" s="230"/>
      <c r="BS536" s="230"/>
      <c r="BT536" s="162"/>
      <c r="BU536" s="162"/>
      <c r="BV536" s="162"/>
      <c r="BW536" s="162"/>
      <c r="BX536" s="162"/>
      <c r="BY536" s="230"/>
      <c r="BZ536" s="230"/>
      <c r="CA536" s="162"/>
      <c r="CB536" s="162"/>
      <c r="CC536" s="162"/>
      <c r="CD536" s="162"/>
      <c r="CE536" s="162"/>
      <c r="CF536" s="230"/>
      <c r="CG536" s="230"/>
      <c r="CH536" s="162"/>
      <c r="CI536" s="162"/>
      <c r="CJ536" s="162"/>
      <c r="CK536" s="162"/>
      <c r="CL536" s="162"/>
      <c r="CM536" s="230"/>
      <c r="CN536" s="230"/>
      <c r="CO536" s="162"/>
      <c r="CP536" s="162"/>
      <c r="CQ536" s="162"/>
      <c r="CR536" s="162"/>
      <c r="CS536" s="162"/>
      <c r="CT536" s="230"/>
      <c r="CU536" s="230"/>
      <c r="CV536" s="162"/>
      <c r="CW536" s="162"/>
      <c r="CX536" s="162"/>
      <c r="CY536" s="162"/>
      <c r="CZ536" s="162"/>
      <c r="DA536" s="230"/>
      <c r="DB536" s="230"/>
      <c r="DC536" s="162"/>
      <c r="DD536" s="162"/>
      <c r="DE536" s="162"/>
      <c r="DF536" s="162"/>
      <c r="DG536" s="162"/>
      <c r="DH536" s="230"/>
      <c r="DI536" s="230"/>
      <c r="DJ536" s="162"/>
      <c r="DK536" s="162"/>
      <c r="DL536" s="147"/>
      <c r="DM536" s="147"/>
      <c r="DN536" s="147"/>
      <c r="DO536" s="147"/>
      <c r="DP536" s="147"/>
      <c r="DQ536" s="147"/>
      <c r="DR536" s="147"/>
      <c r="DS536" s="147"/>
      <c r="DT536" s="147"/>
      <c r="DU536" s="147"/>
      <c r="DV536" s="147"/>
      <c r="DW536" s="147"/>
      <c r="DX536" s="147"/>
      <c r="DY536" s="147"/>
      <c r="DZ536" s="147"/>
      <c r="EA536" s="147"/>
      <c r="EB536" s="147"/>
      <c r="EC536" s="147"/>
      <c r="ED536" s="147"/>
      <c r="EE536" s="147"/>
      <c r="EF536" s="147"/>
      <c r="EG536" s="147"/>
      <c r="EH536" s="147"/>
    </row>
    <row r="537" spans="1:138" x14ac:dyDescent="0.25">
      <c r="A537" s="147"/>
      <c r="B537" s="147"/>
      <c r="C537" s="160"/>
      <c r="D537" s="160"/>
      <c r="E537" s="169"/>
      <c r="F537" s="229"/>
      <c r="G537" s="165"/>
      <c r="H537" s="165"/>
      <c r="I537" s="163"/>
      <c r="J537" s="163"/>
      <c r="K537" s="162"/>
      <c r="L537" s="162"/>
      <c r="M537" s="162"/>
      <c r="N537" s="230"/>
      <c r="O537" s="230"/>
      <c r="P537" s="162"/>
      <c r="Q537" s="162"/>
      <c r="R537" s="162"/>
      <c r="S537" s="162"/>
      <c r="T537" s="162"/>
      <c r="U537" s="230"/>
      <c r="V537" s="230"/>
      <c r="W537" s="162"/>
      <c r="X537" s="162"/>
      <c r="Y537" s="162"/>
      <c r="Z537" s="162"/>
      <c r="AA537" s="162"/>
      <c r="AB537" s="230"/>
      <c r="AC537" s="230"/>
      <c r="AD537" s="162"/>
      <c r="AE537" s="162"/>
      <c r="AF537" s="162"/>
      <c r="AG537" s="162"/>
      <c r="AH537" s="162"/>
      <c r="AI537" s="230"/>
      <c r="AJ537" s="230"/>
      <c r="AK537" s="162"/>
      <c r="AL537" s="162"/>
      <c r="AM537" s="162"/>
      <c r="AN537" s="162"/>
      <c r="AO537" s="162"/>
      <c r="AP537" s="230"/>
      <c r="AQ537" s="230"/>
      <c r="AR537" s="162"/>
      <c r="AS537" s="162"/>
      <c r="AT537" s="162"/>
      <c r="AU537" s="162"/>
      <c r="AV537" s="162"/>
      <c r="AW537" s="230"/>
      <c r="AX537" s="230"/>
      <c r="AY537" s="162"/>
      <c r="AZ537" s="162"/>
      <c r="BA537" s="162"/>
      <c r="BB537" s="162"/>
      <c r="BC537" s="162"/>
      <c r="BD537" s="230"/>
      <c r="BE537" s="230"/>
      <c r="BF537" s="162"/>
      <c r="BG537" s="162"/>
      <c r="BH537" s="162"/>
      <c r="BI537" s="162"/>
      <c r="BJ537" s="162"/>
      <c r="BK537" s="230"/>
      <c r="BL537" s="230"/>
      <c r="BM537" s="162"/>
      <c r="BN537" s="162"/>
      <c r="BO537" s="162"/>
      <c r="BP537" s="162"/>
      <c r="BQ537" s="162"/>
      <c r="BR537" s="230"/>
      <c r="BS537" s="230"/>
      <c r="BT537" s="162"/>
      <c r="BU537" s="162"/>
      <c r="BV537" s="162"/>
      <c r="BW537" s="162"/>
      <c r="BX537" s="162"/>
      <c r="BY537" s="230"/>
      <c r="BZ537" s="230"/>
      <c r="CA537" s="162"/>
      <c r="CB537" s="162"/>
      <c r="CC537" s="162"/>
      <c r="CD537" s="162"/>
      <c r="CE537" s="162"/>
      <c r="CF537" s="230"/>
      <c r="CG537" s="230"/>
      <c r="CH537" s="162"/>
      <c r="CI537" s="162"/>
      <c r="CJ537" s="162"/>
      <c r="CK537" s="162"/>
      <c r="CL537" s="162"/>
      <c r="CM537" s="230"/>
      <c r="CN537" s="230"/>
      <c r="CO537" s="162"/>
      <c r="CP537" s="162"/>
      <c r="CQ537" s="162"/>
      <c r="CR537" s="162"/>
      <c r="CS537" s="162"/>
      <c r="CT537" s="230"/>
      <c r="CU537" s="230"/>
      <c r="CV537" s="162"/>
      <c r="CW537" s="162"/>
      <c r="CX537" s="162"/>
      <c r="CY537" s="162"/>
      <c r="CZ537" s="162"/>
      <c r="DA537" s="230"/>
      <c r="DB537" s="230"/>
      <c r="DC537" s="162"/>
      <c r="DD537" s="162"/>
      <c r="DE537" s="162"/>
      <c r="DF537" s="162"/>
      <c r="DG537" s="162"/>
      <c r="DH537" s="230"/>
      <c r="DI537" s="230"/>
      <c r="DJ537" s="162"/>
      <c r="DK537" s="162"/>
      <c r="DL537" s="147"/>
      <c r="DM537" s="147"/>
      <c r="DN537" s="147"/>
      <c r="DO537" s="147"/>
      <c r="DP537" s="147"/>
      <c r="DQ537" s="147"/>
      <c r="DR537" s="147"/>
      <c r="DS537" s="147"/>
      <c r="DT537" s="147"/>
      <c r="DU537" s="147"/>
      <c r="DV537" s="147"/>
      <c r="DW537" s="147"/>
      <c r="DX537" s="147"/>
      <c r="DY537" s="147"/>
      <c r="DZ537" s="147"/>
      <c r="EA537" s="147"/>
      <c r="EB537" s="147"/>
      <c r="EC537" s="147"/>
      <c r="ED537" s="147"/>
      <c r="EE537" s="147"/>
      <c r="EF537" s="147"/>
      <c r="EG537" s="147"/>
      <c r="EH537" s="147"/>
    </row>
    <row r="538" spans="1:138" x14ac:dyDescent="0.25">
      <c r="A538" s="147"/>
      <c r="B538" s="147"/>
      <c r="C538" s="160"/>
      <c r="D538" s="160"/>
      <c r="E538" s="169"/>
      <c r="F538" s="229"/>
      <c r="G538" s="165"/>
      <c r="H538" s="165"/>
      <c r="I538" s="163"/>
      <c r="J538" s="163"/>
      <c r="K538" s="162"/>
      <c r="L538" s="162"/>
      <c r="M538" s="162"/>
      <c r="N538" s="230"/>
      <c r="O538" s="230"/>
      <c r="P538" s="162"/>
      <c r="Q538" s="162"/>
      <c r="R538" s="162"/>
      <c r="S538" s="162"/>
      <c r="T538" s="162"/>
      <c r="U538" s="230"/>
      <c r="V538" s="230"/>
      <c r="W538" s="162"/>
      <c r="X538" s="162"/>
      <c r="Y538" s="162"/>
      <c r="Z538" s="162"/>
      <c r="AA538" s="162"/>
      <c r="AB538" s="230"/>
      <c r="AC538" s="230"/>
      <c r="AD538" s="162"/>
      <c r="AE538" s="162"/>
      <c r="AF538" s="162"/>
      <c r="AG538" s="162"/>
      <c r="AH538" s="162"/>
      <c r="AI538" s="230"/>
      <c r="AJ538" s="230"/>
      <c r="AK538" s="162"/>
      <c r="AL538" s="162"/>
      <c r="AM538" s="162"/>
      <c r="AN538" s="162"/>
      <c r="AO538" s="162"/>
      <c r="AP538" s="230"/>
      <c r="AQ538" s="230"/>
      <c r="AR538" s="162"/>
      <c r="AS538" s="162"/>
      <c r="AT538" s="162"/>
      <c r="AU538" s="162"/>
      <c r="AV538" s="162"/>
      <c r="AW538" s="230"/>
      <c r="AX538" s="230"/>
      <c r="AY538" s="162"/>
      <c r="AZ538" s="162"/>
      <c r="BA538" s="162"/>
      <c r="BB538" s="162"/>
      <c r="BC538" s="162"/>
      <c r="BD538" s="230"/>
      <c r="BE538" s="230"/>
      <c r="BF538" s="162"/>
      <c r="BG538" s="162"/>
      <c r="BH538" s="162"/>
      <c r="BI538" s="162"/>
      <c r="BJ538" s="162"/>
      <c r="BK538" s="230"/>
      <c r="BL538" s="230"/>
      <c r="BM538" s="162"/>
      <c r="BN538" s="162"/>
      <c r="BO538" s="162"/>
      <c r="BP538" s="162"/>
      <c r="BQ538" s="162"/>
      <c r="BR538" s="230"/>
      <c r="BS538" s="230"/>
      <c r="BT538" s="162"/>
      <c r="BU538" s="162"/>
      <c r="BV538" s="162"/>
      <c r="BW538" s="162"/>
      <c r="BX538" s="162"/>
      <c r="BY538" s="230"/>
      <c r="BZ538" s="230"/>
      <c r="CA538" s="162"/>
      <c r="CB538" s="162"/>
      <c r="CC538" s="162"/>
      <c r="CD538" s="162"/>
      <c r="CE538" s="162"/>
      <c r="CF538" s="230"/>
      <c r="CG538" s="230"/>
      <c r="CH538" s="162"/>
      <c r="CI538" s="162"/>
      <c r="CJ538" s="162"/>
      <c r="CK538" s="162"/>
      <c r="CL538" s="162"/>
      <c r="CM538" s="230"/>
      <c r="CN538" s="230"/>
      <c r="CO538" s="162"/>
      <c r="CP538" s="162"/>
      <c r="CQ538" s="162"/>
      <c r="CR538" s="162"/>
      <c r="CS538" s="162"/>
      <c r="CT538" s="230"/>
      <c r="CU538" s="230"/>
      <c r="CV538" s="162"/>
      <c r="CW538" s="162"/>
      <c r="CX538" s="162"/>
      <c r="CY538" s="162"/>
      <c r="CZ538" s="162"/>
      <c r="DA538" s="230"/>
      <c r="DB538" s="230"/>
      <c r="DC538" s="162"/>
      <c r="DD538" s="162"/>
      <c r="DE538" s="162"/>
      <c r="DF538" s="162"/>
      <c r="DG538" s="162"/>
      <c r="DH538" s="230"/>
      <c r="DI538" s="230"/>
      <c r="DJ538" s="162"/>
      <c r="DK538" s="162"/>
      <c r="DL538" s="147"/>
      <c r="DM538" s="147"/>
      <c r="DN538" s="147"/>
      <c r="DO538" s="147"/>
      <c r="DP538" s="147"/>
      <c r="DQ538" s="147"/>
      <c r="DR538" s="147"/>
      <c r="DS538" s="147"/>
      <c r="DT538" s="147"/>
      <c r="DU538" s="147"/>
      <c r="DV538" s="147"/>
      <c r="DW538" s="147"/>
      <c r="DX538" s="147"/>
      <c r="DY538" s="147"/>
      <c r="DZ538" s="147"/>
      <c r="EA538" s="147"/>
      <c r="EB538" s="147"/>
      <c r="EC538" s="147"/>
      <c r="ED538" s="147"/>
      <c r="EE538" s="147"/>
      <c r="EF538" s="147"/>
      <c r="EG538" s="147"/>
      <c r="EH538" s="147"/>
    </row>
    <row r="539" spans="1:138" x14ac:dyDescent="0.25">
      <c r="A539" s="147"/>
      <c r="B539" s="147"/>
      <c r="C539" s="160"/>
      <c r="D539" s="160"/>
      <c r="E539" s="169"/>
      <c r="F539" s="229"/>
      <c r="G539" s="165"/>
      <c r="H539" s="165"/>
      <c r="I539" s="163"/>
      <c r="J539" s="163"/>
      <c r="K539" s="162"/>
      <c r="L539" s="162"/>
      <c r="M539" s="162"/>
      <c r="N539" s="230"/>
      <c r="O539" s="230"/>
      <c r="P539" s="162"/>
      <c r="Q539" s="162"/>
      <c r="R539" s="162"/>
      <c r="S539" s="162"/>
      <c r="T539" s="162"/>
      <c r="U539" s="230"/>
      <c r="V539" s="230"/>
      <c r="W539" s="162"/>
      <c r="X539" s="162"/>
      <c r="Y539" s="162"/>
      <c r="Z539" s="162"/>
      <c r="AA539" s="162"/>
      <c r="AB539" s="230"/>
      <c r="AC539" s="230"/>
      <c r="AD539" s="162"/>
      <c r="AE539" s="162"/>
      <c r="AF539" s="162"/>
      <c r="AG539" s="162"/>
      <c r="AH539" s="162"/>
      <c r="AI539" s="230"/>
      <c r="AJ539" s="230"/>
      <c r="AK539" s="162"/>
      <c r="AL539" s="162"/>
      <c r="AM539" s="162"/>
      <c r="AN539" s="162"/>
      <c r="AO539" s="162"/>
      <c r="AP539" s="230"/>
      <c r="AQ539" s="230"/>
      <c r="AR539" s="162"/>
      <c r="AS539" s="162"/>
      <c r="AT539" s="162"/>
      <c r="AU539" s="162"/>
      <c r="AV539" s="162"/>
      <c r="AW539" s="230"/>
      <c r="AX539" s="230"/>
      <c r="AY539" s="162"/>
      <c r="AZ539" s="162"/>
      <c r="BA539" s="162"/>
      <c r="BB539" s="162"/>
      <c r="BC539" s="162"/>
      <c r="BD539" s="230"/>
      <c r="BE539" s="230"/>
      <c r="BF539" s="162"/>
      <c r="BG539" s="162"/>
      <c r="BH539" s="162"/>
      <c r="BI539" s="162"/>
      <c r="BJ539" s="162"/>
      <c r="BK539" s="230"/>
      <c r="BL539" s="230"/>
      <c r="BM539" s="162"/>
      <c r="BN539" s="162"/>
      <c r="BO539" s="162"/>
      <c r="BP539" s="162"/>
      <c r="BQ539" s="162"/>
      <c r="BR539" s="230"/>
      <c r="BS539" s="230"/>
      <c r="BT539" s="162"/>
      <c r="BU539" s="162"/>
      <c r="BV539" s="162"/>
      <c r="BW539" s="162"/>
      <c r="BX539" s="162"/>
      <c r="BY539" s="230"/>
      <c r="BZ539" s="230"/>
      <c r="CA539" s="162"/>
      <c r="CB539" s="162"/>
      <c r="CC539" s="162"/>
      <c r="CD539" s="162"/>
      <c r="CE539" s="162"/>
      <c r="CF539" s="230"/>
      <c r="CG539" s="230"/>
      <c r="CH539" s="162"/>
      <c r="CI539" s="162"/>
      <c r="CJ539" s="162"/>
      <c r="CK539" s="162"/>
      <c r="CL539" s="162"/>
      <c r="CM539" s="230"/>
      <c r="CN539" s="230"/>
      <c r="CO539" s="162"/>
      <c r="CP539" s="162"/>
      <c r="CQ539" s="162"/>
      <c r="CR539" s="162"/>
      <c r="CS539" s="162"/>
      <c r="CT539" s="230"/>
      <c r="CU539" s="230"/>
      <c r="CV539" s="162"/>
      <c r="CW539" s="162"/>
      <c r="CX539" s="162"/>
      <c r="CY539" s="162"/>
      <c r="CZ539" s="162"/>
      <c r="DA539" s="230"/>
      <c r="DB539" s="230"/>
      <c r="DC539" s="162"/>
      <c r="DD539" s="162"/>
      <c r="DE539" s="162"/>
      <c r="DF539" s="162"/>
      <c r="DG539" s="162"/>
      <c r="DH539" s="230"/>
      <c r="DI539" s="230"/>
      <c r="DJ539" s="162"/>
      <c r="DK539" s="162"/>
      <c r="DL539" s="147"/>
      <c r="DM539" s="147"/>
      <c r="DN539" s="147"/>
      <c r="DO539" s="147"/>
      <c r="DP539" s="147"/>
      <c r="DQ539" s="147"/>
      <c r="DR539" s="147"/>
      <c r="DS539" s="147"/>
      <c r="DT539" s="147"/>
      <c r="DU539" s="147"/>
      <c r="DV539" s="147"/>
      <c r="DW539" s="147"/>
      <c r="DX539" s="147"/>
      <c r="DY539" s="147"/>
      <c r="DZ539" s="147"/>
      <c r="EA539" s="147"/>
      <c r="EB539" s="147"/>
      <c r="EC539" s="147"/>
      <c r="ED539" s="147"/>
      <c r="EE539" s="147"/>
      <c r="EF539" s="147"/>
      <c r="EG539" s="147"/>
      <c r="EH539" s="147"/>
    </row>
    <row r="540" spans="1:138" x14ac:dyDescent="0.25">
      <c r="A540" s="147"/>
      <c r="B540" s="147"/>
      <c r="C540" s="160"/>
      <c r="D540" s="160"/>
      <c r="E540" s="169"/>
      <c r="F540" s="229"/>
      <c r="G540" s="165"/>
      <c r="H540" s="165"/>
      <c r="I540" s="163"/>
      <c r="J540" s="163"/>
      <c r="K540" s="162"/>
      <c r="L540" s="162"/>
      <c r="M540" s="162"/>
      <c r="N540" s="230"/>
      <c r="O540" s="230"/>
      <c r="P540" s="162"/>
      <c r="Q540" s="162"/>
      <c r="R540" s="162"/>
      <c r="S540" s="162"/>
      <c r="T540" s="162"/>
      <c r="U540" s="230"/>
      <c r="V540" s="230"/>
      <c r="W540" s="162"/>
      <c r="X540" s="162"/>
      <c r="Y540" s="162"/>
      <c r="Z540" s="162"/>
      <c r="AA540" s="162"/>
      <c r="AB540" s="230"/>
      <c r="AC540" s="230"/>
      <c r="AD540" s="162"/>
      <c r="AE540" s="162"/>
      <c r="AF540" s="162"/>
      <c r="AG540" s="162"/>
      <c r="AH540" s="162"/>
      <c r="AI540" s="230"/>
      <c r="AJ540" s="230"/>
      <c r="AK540" s="162"/>
      <c r="AL540" s="162"/>
      <c r="AM540" s="162"/>
      <c r="AN540" s="162"/>
      <c r="AO540" s="162"/>
      <c r="AP540" s="230"/>
      <c r="AQ540" s="230"/>
      <c r="AR540" s="162"/>
      <c r="AS540" s="162"/>
      <c r="AT540" s="162"/>
      <c r="AU540" s="162"/>
      <c r="AV540" s="162"/>
      <c r="AW540" s="230"/>
      <c r="AX540" s="230"/>
      <c r="AY540" s="162"/>
      <c r="AZ540" s="162"/>
      <c r="BA540" s="162"/>
      <c r="BB540" s="162"/>
      <c r="BC540" s="162"/>
      <c r="BD540" s="230"/>
      <c r="BE540" s="230"/>
      <c r="BF540" s="162"/>
      <c r="BG540" s="162"/>
      <c r="BH540" s="162"/>
      <c r="BI540" s="162"/>
      <c r="BJ540" s="162"/>
      <c r="BK540" s="230"/>
      <c r="BL540" s="230"/>
      <c r="BM540" s="162"/>
      <c r="BN540" s="162"/>
      <c r="BO540" s="162"/>
      <c r="BP540" s="162"/>
      <c r="BQ540" s="162"/>
      <c r="BR540" s="230"/>
      <c r="BS540" s="230"/>
      <c r="BT540" s="162"/>
      <c r="BU540" s="162"/>
      <c r="BV540" s="162"/>
      <c r="BW540" s="162"/>
      <c r="BX540" s="162"/>
      <c r="BY540" s="230"/>
      <c r="BZ540" s="230"/>
      <c r="CA540" s="162"/>
      <c r="CB540" s="162"/>
      <c r="CC540" s="162"/>
      <c r="CD540" s="162"/>
      <c r="CE540" s="162"/>
      <c r="CF540" s="230"/>
      <c r="CG540" s="230"/>
      <c r="CH540" s="162"/>
      <c r="CI540" s="162"/>
      <c r="CJ540" s="162"/>
      <c r="CK540" s="162"/>
      <c r="CL540" s="162"/>
      <c r="CM540" s="230"/>
      <c r="CN540" s="230"/>
      <c r="CO540" s="162"/>
      <c r="CP540" s="162"/>
      <c r="CQ540" s="162"/>
      <c r="CR540" s="162"/>
      <c r="CS540" s="162"/>
      <c r="CT540" s="230"/>
      <c r="CU540" s="230"/>
      <c r="CV540" s="162"/>
      <c r="CW540" s="162"/>
      <c r="CX540" s="162"/>
      <c r="CY540" s="162"/>
      <c r="CZ540" s="162"/>
      <c r="DA540" s="230"/>
      <c r="DB540" s="230"/>
      <c r="DC540" s="162"/>
      <c r="DD540" s="162"/>
      <c r="DE540" s="162"/>
      <c r="DF540" s="162"/>
      <c r="DG540" s="162"/>
      <c r="DH540" s="230"/>
      <c r="DI540" s="230"/>
      <c r="DJ540" s="162"/>
      <c r="DK540" s="162"/>
      <c r="DL540" s="147"/>
      <c r="DM540" s="147"/>
      <c r="DN540" s="147"/>
      <c r="DO540" s="147"/>
      <c r="DP540" s="147"/>
      <c r="DQ540" s="147"/>
      <c r="DR540" s="147"/>
      <c r="DS540" s="147"/>
      <c r="DT540" s="147"/>
      <c r="DU540" s="147"/>
      <c r="DV540" s="147"/>
      <c r="DW540" s="147"/>
      <c r="DX540" s="147"/>
      <c r="DY540" s="147"/>
      <c r="DZ540" s="147"/>
      <c r="EA540" s="147"/>
      <c r="EB540" s="147"/>
      <c r="EC540" s="147"/>
      <c r="ED540" s="147"/>
      <c r="EE540" s="147"/>
      <c r="EF540" s="147"/>
      <c r="EG540" s="147"/>
      <c r="EH540" s="147"/>
    </row>
    <row r="541" spans="1:138" x14ac:dyDescent="0.25">
      <c r="A541" s="147"/>
      <c r="B541" s="147"/>
      <c r="C541" s="160"/>
      <c r="D541" s="160"/>
      <c r="E541" s="169"/>
      <c r="F541" s="229"/>
      <c r="G541" s="165"/>
      <c r="H541" s="165"/>
      <c r="I541" s="163"/>
      <c r="J541" s="163"/>
      <c r="K541" s="162"/>
      <c r="L541" s="162"/>
      <c r="M541" s="162"/>
      <c r="N541" s="230"/>
      <c r="O541" s="230"/>
      <c r="P541" s="162"/>
      <c r="Q541" s="162"/>
      <c r="R541" s="162"/>
      <c r="S541" s="162"/>
      <c r="T541" s="162"/>
      <c r="U541" s="230"/>
      <c r="V541" s="230"/>
      <c r="W541" s="162"/>
      <c r="X541" s="162"/>
      <c r="Y541" s="162"/>
      <c r="Z541" s="162"/>
      <c r="AA541" s="162"/>
      <c r="AB541" s="230"/>
      <c r="AC541" s="230"/>
      <c r="AD541" s="162"/>
      <c r="AE541" s="162"/>
      <c r="AF541" s="162"/>
      <c r="AG541" s="162"/>
      <c r="AH541" s="162"/>
      <c r="AI541" s="230"/>
      <c r="AJ541" s="230"/>
      <c r="AK541" s="162"/>
      <c r="AL541" s="162"/>
      <c r="AM541" s="162"/>
      <c r="AN541" s="162"/>
      <c r="AO541" s="162"/>
      <c r="AP541" s="230"/>
      <c r="AQ541" s="230"/>
      <c r="AR541" s="162"/>
      <c r="AS541" s="162"/>
      <c r="AT541" s="162"/>
      <c r="AU541" s="162"/>
      <c r="AV541" s="162"/>
      <c r="AW541" s="230"/>
      <c r="AX541" s="230"/>
      <c r="AY541" s="162"/>
      <c r="AZ541" s="162"/>
      <c r="BA541" s="162"/>
      <c r="BB541" s="162"/>
      <c r="BC541" s="162"/>
      <c r="BD541" s="230"/>
      <c r="BE541" s="230"/>
      <c r="BF541" s="162"/>
      <c r="BG541" s="162"/>
      <c r="BH541" s="162"/>
      <c r="BI541" s="162"/>
      <c r="BJ541" s="162"/>
      <c r="BK541" s="230"/>
      <c r="BL541" s="230"/>
      <c r="BM541" s="162"/>
      <c r="BN541" s="162"/>
      <c r="BO541" s="162"/>
      <c r="BP541" s="162"/>
      <c r="BQ541" s="162"/>
      <c r="BR541" s="230"/>
      <c r="BS541" s="230"/>
      <c r="BT541" s="162"/>
      <c r="BU541" s="162"/>
      <c r="BV541" s="162"/>
      <c r="BW541" s="162"/>
      <c r="BX541" s="162"/>
      <c r="BY541" s="230"/>
      <c r="BZ541" s="230"/>
      <c r="CA541" s="162"/>
      <c r="CB541" s="162"/>
      <c r="CC541" s="162"/>
      <c r="CD541" s="162"/>
      <c r="CE541" s="162"/>
      <c r="CF541" s="230"/>
      <c r="CG541" s="230"/>
      <c r="CH541" s="162"/>
      <c r="CI541" s="162"/>
      <c r="CJ541" s="162"/>
      <c r="CK541" s="162"/>
      <c r="CL541" s="162"/>
      <c r="CM541" s="230"/>
      <c r="CN541" s="230"/>
      <c r="CO541" s="162"/>
      <c r="CP541" s="162"/>
      <c r="CQ541" s="162"/>
      <c r="CR541" s="162"/>
      <c r="CS541" s="162"/>
      <c r="CT541" s="230"/>
      <c r="CU541" s="230"/>
      <c r="CV541" s="162"/>
      <c r="CW541" s="162"/>
      <c r="CX541" s="162"/>
      <c r="CY541" s="162"/>
      <c r="CZ541" s="162"/>
      <c r="DA541" s="230"/>
      <c r="DB541" s="230"/>
      <c r="DC541" s="162"/>
      <c r="DD541" s="162"/>
      <c r="DE541" s="162"/>
      <c r="DF541" s="162"/>
      <c r="DG541" s="162"/>
      <c r="DH541" s="230"/>
      <c r="DI541" s="230"/>
      <c r="DJ541" s="162"/>
      <c r="DK541" s="162"/>
      <c r="DL541" s="147"/>
      <c r="DM541" s="147"/>
      <c r="DN541" s="147"/>
      <c r="DO541" s="147"/>
      <c r="DP541" s="147"/>
      <c r="DQ541" s="147"/>
      <c r="DR541" s="147"/>
      <c r="DS541" s="147"/>
      <c r="DT541" s="147"/>
      <c r="DU541" s="147"/>
      <c r="DV541" s="147"/>
      <c r="DW541" s="147"/>
      <c r="DX541" s="147"/>
      <c r="DY541" s="147"/>
      <c r="DZ541" s="147"/>
      <c r="EA541" s="147"/>
      <c r="EB541" s="147"/>
      <c r="EC541" s="147"/>
      <c r="ED541" s="147"/>
      <c r="EE541" s="147"/>
      <c r="EF541" s="147"/>
      <c r="EG541" s="147"/>
      <c r="EH541" s="147"/>
    </row>
    <row r="542" spans="1:138" x14ac:dyDescent="0.25">
      <c r="A542" s="147"/>
      <c r="B542" s="147"/>
      <c r="C542" s="160"/>
      <c r="D542" s="160"/>
      <c r="E542" s="169"/>
      <c r="F542" s="229"/>
      <c r="G542" s="165"/>
      <c r="H542" s="165"/>
      <c r="I542" s="163"/>
      <c r="J542" s="163"/>
      <c r="K542" s="162"/>
      <c r="L542" s="162"/>
      <c r="M542" s="162"/>
      <c r="N542" s="230"/>
      <c r="O542" s="230"/>
      <c r="P542" s="162"/>
      <c r="Q542" s="162"/>
      <c r="R542" s="162"/>
      <c r="S542" s="162"/>
      <c r="T542" s="162"/>
      <c r="U542" s="230"/>
      <c r="V542" s="230"/>
      <c r="W542" s="162"/>
      <c r="X542" s="162"/>
      <c r="Y542" s="162"/>
      <c r="Z542" s="162"/>
      <c r="AA542" s="162"/>
      <c r="AB542" s="230"/>
      <c r="AC542" s="230"/>
      <c r="AD542" s="162"/>
      <c r="AE542" s="162"/>
      <c r="AF542" s="162"/>
      <c r="AG542" s="162"/>
      <c r="AH542" s="162"/>
      <c r="AI542" s="230"/>
      <c r="AJ542" s="230"/>
      <c r="AK542" s="162"/>
      <c r="AL542" s="162"/>
      <c r="AM542" s="162"/>
      <c r="AN542" s="162"/>
      <c r="AO542" s="162"/>
      <c r="AP542" s="230"/>
      <c r="AQ542" s="230"/>
      <c r="AR542" s="162"/>
      <c r="AS542" s="162"/>
      <c r="AT542" s="162"/>
      <c r="AU542" s="162"/>
      <c r="AV542" s="162"/>
      <c r="AW542" s="230"/>
      <c r="AX542" s="230"/>
      <c r="AY542" s="162"/>
      <c r="AZ542" s="162"/>
      <c r="BA542" s="162"/>
      <c r="BB542" s="162"/>
      <c r="BC542" s="162"/>
      <c r="BD542" s="230"/>
      <c r="BE542" s="230"/>
      <c r="BF542" s="162"/>
      <c r="BG542" s="162"/>
      <c r="BH542" s="162"/>
      <c r="BI542" s="162"/>
      <c r="BJ542" s="162"/>
      <c r="BK542" s="230"/>
      <c r="BL542" s="230"/>
      <c r="BM542" s="162"/>
      <c r="BN542" s="162"/>
      <c r="BO542" s="162"/>
      <c r="BP542" s="162"/>
      <c r="BQ542" s="162"/>
      <c r="BR542" s="230"/>
      <c r="BS542" s="230"/>
      <c r="BT542" s="162"/>
      <c r="BU542" s="162"/>
      <c r="BV542" s="162"/>
      <c r="BW542" s="162"/>
      <c r="BX542" s="162"/>
      <c r="BY542" s="230"/>
      <c r="BZ542" s="230"/>
      <c r="CA542" s="162"/>
      <c r="CB542" s="162"/>
      <c r="CC542" s="162"/>
      <c r="CD542" s="162"/>
      <c r="CE542" s="162"/>
      <c r="CF542" s="230"/>
      <c r="CG542" s="230"/>
      <c r="CH542" s="162"/>
      <c r="CI542" s="162"/>
      <c r="CJ542" s="162"/>
      <c r="CK542" s="162"/>
      <c r="CL542" s="162"/>
      <c r="CM542" s="230"/>
      <c r="CN542" s="230"/>
      <c r="CO542" s="162"/>
      <c r="CP542" s="162"/>
      <c r="CQ542" s="162"/>
      <c r="CR542" s="162"/>
      <c r="CS542" s="162"/>
      <c r="CT542" s="230"/>
      <c r="CU542" s="230"/>
      <c r="CV542" s="162"/>
      <c r="CW542" s="162"/>
      <c r="CX542" s="162"/>
      <c r="CY542" s="162"/>
      <c r="CZ542" s="162"/>
      <c r="DA542" s="230"/>
      <c r="DB542" s="230"/>
      <c r="DC542" s="162"/>
      <c r="DD542" s="162"/>
      <c r="DE542" s="162"/>
      <c r="DF542" s="162"/>
      <c r="DG542" s="162"/>
      <c r="DH542" s="230"/>
      <c r="DI542" s="230"/>
      <c r="DJ542" s="162"/>
      <c r="DK542" s="162"/>
      <c r="DL542" s="147"/>
      <c r="DM542" s="147"/>
      <c r="DN542" s="147"/>
      <c r="DO542" s="147"/>
      <c r="DP542" s="147"/>
      <c r="DQ542" s="147"/>
      <c r="DR542" s="147"/>
      <c r="DS542" s="147"/>
      <c r="DT542" s="147"/>
      <c r="DU542" s="147"/>
      <c r="DV542" s="147"/>
      <c r="DW542" s="147"/>
      <c r="DX542" s="147"/>
      <c r="DY542" s="147"/>
      <c r="DZ542" s="147"/>
      <c r="EA542" s="147"/>
      <c r="EB542" s="147"/>
      <c r="EC542" s="147"/>
      <c r="ED542" s="147"/>
      <c r="EE542" s="147"/>
      <c r="EF542" s="147"/>
      <c r="EG542" s="147"/>
      <c r="EH542" s="147"/>
    </row>
    <row r="543" spans="1:138" x14ac:dyDescent="0.25">
      <c r="A543" s="147"/>
      <c r="B543" s="147"/>
      <c r="C543" s="160"/>
      <c r="D543" s="160"/>
      <c r="E543" s="169"/>
      <c r="F543" s="229"/>
      <c r="G543" s="165"/>
      <c r="H543" s="165"/>
      <c r="I543" s="163"/>
      <c r="J543" s="163"/>
      <c r="K543" s="162"/>
      <c r="L543" s="162"/>
      <c r="M543" s="162"/>
      <c r="N543" s="230"/>
      <c r="O543" s="230"/>
      <c r="P543" s="162"/>
      <c r="Q543" s="162"/>
      <c r="R543" s="162"/>
      <c r="S543" s="162"/>
      <c r="T543" s="162"/>
      <c r="U543" s="230"/>
      <c r="V543" s="230"/>
      <c r="W543" s="162"/>
      <c r="X543" s="162"/>
      <c r="Y543" s="162"/>
      <c r="Z543" s="162"/>
      <c r="AA543" s="162"/>
      <c r="AB543" s="230"/>
      <c r="AC543" s="230"/>
      <c r="AD543" s="162"/>
      <c r="AE543" s="162"/>
      <c r="AF543" s="162"/>
      <c r="AG543" s="162"/>
      <c r="AH543" s="162"/>
      <c r="AI543" s="230"/>
      <c r="AJ543" s="230"/>
      <c r="AK543" s="162"/>
      <c r="AL543" s="162"/>
      <c r="AM543" s="162"/>
      <c r="AN543" s="162"/>
      <c r="AO543" s="162"/>
      <c r="AP543" s="230"/>
      <c r="AQ543" s="230"/>
      <c r="AR543" s="162"/>
      <c r="AS543" s="162"/>
      <c r="AT543" s="162"/>
      <c r="AU543" s="162"/>
      <c r="AV543" s="162"/>
      <c r="AW543" s="230"/>
      <c r="AX543" s="230"/>
      <c r="AY543" s="162"/>
      <c r="AZ543" s="162"/>
      <c r="BA543" s="162"/>
      <c r="BB543" s="162"/>
      <c r="BC543" s="162"/>
      <c r="BD543" s="230"/>
      <c r="BE543" s="230"/>
      <c r="BF543" s="162"/>
      <c r="BG543" s="162"/>
      <c r="BH543" s="162"/>
      <c r="BI543" s="162"/>
      <c r="BJ543" s="162"/>
      <c r="BK543" s="230"/>
      <c r="BL543" s="230"/>
      <c r="BM543" s="162"/>
      <c r="BN543" s="162"/>
      <c r="BO543" s="162"/>
      <c r="BP543" s="162"/>
      <c r="BQ543" s="162"/>
      <c r="BR543" s="230"/>
      <c r="BS543" s="230"/>
      <c r="BT543" s="162"/>
      <c r="BU543" s="162"/>
      <c r="BV543" s="162"/>
      <c r="BW543" s="162"/>
      <c r="BX543" s="162"/>
      <c r="BY543" s="230"/>
      <c r="BZ543" s="230"/>
      <c r="CA543" s="162"/>
      <c r="CB543" s="162"/>
      <c r="CC543" s="162"/>
      <c r="CD543" s="162"/>
      <c r="CE543" s="162"/>
      <c r="CF543" s="230"/>
      <c r="CG543" s="230"/>
      <c r="CH543" s="162"/>
      <c r="CI543" s="162"/>
      <c r="CJ543" s="162"/>
      <c r="CK543" s="162"/>
      <c r="CL543" s="162"/>
      <c r="CM543" s="230"/>
      <c r="CN543" s="230"/>
      <c r="CO543" s="162"/>
      <c r="CP543" s="162"/>
      <c r="CQ543" s="162"/>
      <c r="CR543" s="162"/>
      <c r="CS543" s="162"/>
      <c r="CT543" s="230"/>
      <c r="CU543" s="230"/>
      <c r="CV543" s="162"/>
      <c r="CW543" s="162"/>
      <c r="CX543" s="162"/>
      <c r="CY543" s="162"/>
      <c r="CZ543" s="162"/>
      <c r="DA543" s="230"/>
      <c r="DB543" s="230"/>
      <c r="DC543" s="162"/>
      <c r="DD543" s="162"/>
      <c r="DE543" s="162"/>
      <c r="DF543" s="162"/>
      <c r="DG543" s="162"/>
      <c r="DH543" s="230"/>
      <c r="DI543" s="230"/>
      <c r="DJ543" s="162"/>
      <c r="DK543" s="162"/>
      <c r="DL543" s="147"/>
      <c r="DM543" s="147"/>
      <c r="DN543" s="147"/>
      <c r="DO543" s="147"/>
      <c r="DP543" s="147"/>
      <c r="DQ543" s="147"/>
      <c r="DR543" s="147"/>
      <c r="DS543" s="147"/>
      <c r="DT543" s="147"/>
      <c r="DU543" s="147"/>
      <c r="DV543" s="147"/>
      <c r="DW543" s="147"/>
      <c r="DX543" s="147"/>
      <c r="DY543" s="147"/>
      <c r="DZ543" s="147"/>
      <c r="EA543" s="147"/>
      <c r="EB543" s="147"/>
      <c r="EC543" s="147"/>
      <c r="ED543" s="147"/>
      <c r="EE543" s="147"/>
      <c r="EF543" s="147"/>
      <c r="EG543" s="147"/>
      <c r="EH543" s="147"/>
    </row>
    <row r="544" spans="1:138" x14ac:dyDescent="0.25">
      <c r="A544" s="147"/>
      <c r="B544" s="147"/>
      <c r="C544" s="160"/>
      <c r="D544" s="160"/>
      <c r="E544" s="169"/>
      <c r="F544" s="229"/>
      <c r="G544" s="165"/>
      <c r="H544" s="165"/>
      <c r="I544" s="163"/>
      <c r="J544" s="163"/>
      <c r="K544" s="162"/>
      <c r="L544" s="162"/>
      <c r="M544" s="162"/>
      <c r="N544" s="230"/>
      <c r="O544" s="230"/>
      <c r="P544" s="162"/>
      <c r="Q544" s="162"/>
      <c r="R544" s="162"/>
      <c r="S544" s="162"/>
      <c r="T544" s="162"/>
      <c r="U544" s="230"/>
      <c r="V544" s="230"/>
      <c r="W544" s="162"/>
      <c r="X544" s="162"/>
      <c r="Y544" s="162"/>
      <c r="Z544" s="162"/>
      <c r="AA544" s="162"/>
      <c r="AB544" s="230"/>
      <c r="AC544" s="230"/>
      <c r="AD544" s="162"/>
      <c r="AE544" s="162"/>
      <c r="AF544" s="162"/>
      <c r="AG544" s="162"/>
      <c r="AH544" s="162"/>
      <c r="AI544" s="230"/>
      <c r="AJ544" s="230"/>
      <c r="AK544" s="162"/>
      <c r="AL544" s="162"/>
      <c r="AM544" s="162"/>
      <c r="AN544" s="162"/>
      <c r="AO544" s="162"/>
      <c r="AP544" s="230"/>
      <c r="AQ544" s="230"/>
      <c r="AR544" s="162"/>
      <c r="AS544" s="162"/>
      <c r="AT544" s="162"/>
      <c r="AU544" s="162"/>
      <c r="AV544" s="162"/>
      <c r="AW544" s="230"/>
      <c r="AX544" s="230"/>
      <c r="AY544" s="162"/>
      <c r="AZ544" s="162"/>
      <c r="BA544" s="162"/>
      <c r="BB544" s="162"/>
      <c r="BC544" s="162"/>
      <c r="BD544" s="230"/>
      <c r="BE544" s="230"/>
      <c r="BF544" s="162"/>
      <c r="BG544" s="162"/>
      <c r="BH544" s="162"/>
      <c r="BI544" s="162"/>
      <c r="BJ544" s="162"/>
      <c r="BK544" s="230"/>
      <c r="BL544" s="230"/>
      <c r="BM544" s="162"/>
      <c r="BN544" s="162"/>
      <c r="BO544" s="162"/>
      <c r="BP544" s="162"/>
      <c r="BQ544" s="162"/>
      <c r="BR544" s="230"/>
      <c r="BS544" s="230"/>
      <c r="BT544" s="162"/>
      <c r="BU544" s="162"/>
      <c r="BV544" s="162"/>
      <c r="BW544" s="162"/>
      <c r="BX544" s="162"/>
      <c r="BY544" s="230"/>
      <c r="BZ544" s="230"/>
      <c r="CA544" s="162"/>
      <c r="CB544" s="162"/>
      <c r="CC544" s="162"/>
      <c r="CD544" s="162"/>
      <c r="CE544" s="162"/>
      <c r="CF544" s="230"/>
      <c r="CG544" s="230"/>
      <c r="CH544" s="162"/>
      <c r="CI544" s="162"/>
      <c r="CJ544" s="162"/>
      <c r="CK544" s="162"/>
      <c r="CL544" s="162"/>
      <c r="CM544" s="230"/>
      <c r="CN544" s="230"/>
      <c r="CO544" s="162"/>
      <c r="CP544" s="162"/>
      <c r="CQ544" s="162"/>
      <c r="CR544" s="162"/>
      <c r="CS544" s="162"/>
      <c r="CT544" s="230"/>
      <c r="CU544" s="230"/>
      <c r="CV544" s="162"/>
      <c r="CW544" s="162"/>
      <c r="CX544" s="162"/>
      <c r="CY544" s="162"/>
      <c r="CZ544" s="162"/>
      <c r="DA544" s="230"/>
      <c r="DB544" s="230"/>
      <c r="DC544" s="162"/>
      <c r="DD544" s="162"/>
      <c r="DE544" s="162"/>
      <c r="DF544" s="162"/>
      <c r="DG544" s="162"/>
      <c r="DH544" s="230"/>
      <c r="DI544" s="230"/>
      <c r="DJ544" s="162"/>
      <c r="DK544" s="162"/>
      <c r="DL544" s="147"/>
      <c r="DM544" s="147"/>
      <c r="DN544" s="147"/>
      <c r="DO544" s="147"/>
      <c r="DP544" s="147"/>
      <c r="DQ544" s="147"/>
      <c r="DR544" s="147"/>
      <c r="DS544" s="147"/>
      <c r="DT544" s="147"/>
      <c r="DU544" s="147"/>
      <c r="DV544" s="147"/>
      <c r="DW544" s="147"/>
      <c r="DX544" s="147"/>
      <c r="DY544" s="147"/>
      <c r="DZ544" s="147"/>
      <c r="EA544" s="147"/>
      <c r="EB544" s="147"/>
      <c r="EC544" s="147"/>
      <c r="ED544" s="147"/>
      <c r="EE544" s="147"/>
      <c r="EF544" s="147"/>
      <c r="EG544" s="147"/>
      <c r="EH544" s="147"/>
    </row>
    <row r="545" spans="1:138" x14ac:dyDescent="0.25">
      <c r="A545" s="147"/>
      <c r="B545" s="147"/>
      <c r="C545" s="160"/>
      <c r="D545" s="160"/>
      <c r="E545" s="169"/>
      <c r="F545" s="229"/>
      <c r="G545" s="165"/>
      <c r="H545" s="165"/>
      <c r="I545" s="163"/>
      <c r="J545" s="163"/>
      <c r="K545" s="162"/>
      <c r="L545" s="162"/>
      <c r="M545" s="162"/>
      <c r="N545" s="230"/>
      <c r="O545" s="230"/>
      <c r="P545" s="162"/>
      <c r="Q545" s="162"/>
      <c r="R545" s="162"/>
      <c r="S545" s="162"/>
      <c r="T545" s="162"/>
      <c r="U545" s="230"/>
      <c r="V545" s="230"/>
      <c r="W545" s="162"/>
      <c r="X545" s="162"/>
      <c r="Y545" s="162"/>
      <c r="Z545" s="162"/>
      <c r="AA545" s="162"/>
      <c r="AB545" s="230"/>
      <c r="AC545" s="230"/>
      <c r="AD545" s="162"/>
      <c r="AE545" s="162"/>
      <c r="AF545" s="162"/>
      <c r="AG545" s="162"/>
      <c r="AH545" s="162"/>
      <c r="AI545" s="230"/>
      <c r="AJ545" s="230"/>
      <c r="AK545" s="162"/>
      <c r="AL545" s="162"/>
      <c r="AM545" s="162"/>
      <c r="AN545" s="162"/>
      <c r="AO545" s="162"/>
      <c r="AP545" s="230"/>
      <c r="AQ545" s="230"/>
      <c r="AR545" s="162"/>
      <c r="AS545" s="162"/>
      <c r="AT545" s="162"/>
      <c r="AU545" s="162"/>
      <c r="AV545" s="162"/>
      <c r="AW545" s="230"/>
      <c r="AX545" s="230"/>
      <c r="AY545" s="162"/>
      <c r="AZ545" s="162"/>
      <c r="BA545" s="162"/>
      <c r="BB545" s="162"/>
      <c r="BC545" s="162"/>
      <c r="BD545" s="230"/>
      <c r="BE545" s="230"/>
      <c r="BF545" s="162"/>
      <c r="BG545" s="162"/>
      <c r="BH545" s="162"/>
      <c r="BI545" s="162"/>
      <c r="BJ545" s="162"/>
      <c r="BK545" s="230"/>
      <c r="BL545" s="230"/>
      <c r="BM545" s="162"/>
      <c r="BN545" s="162"/>
      <c r="BO545" s="162"/>
      <c r="BP545" s="162"/>
      <c r="BQ545" s="162"/>
      <c r="BR545" s="230"/>
      <c r="BS545" s="230"/>
      <c r="BT545" s="162"/>
      <c r="BU545" s="162"/>
      <c r="BV545" s="162"/>
      <c r="BW545" s="162"/>
      <c r="BX545" s="162"/>
      <c r="BY545" s="230"/>
      <c r="BZ545" s="230"/>
      <c r="CA545" s="162"/>
      <c r="CB545" s="162"/>
      <c r="CC545" s="162"/>
      <c r="CD545" s="162"/>
      <c r="CE545" s="162"/>
      <c r="CF545" s="230"/>
      <c r="CG545" s="230"/>
      <c r="CH545" s="162"/>
      <c r="CI545" s="162"/>
      <c r="CJ545" s="162"/>
      <c r="CK545" s="162"/>
      <c r="CL545" s="162"/>
      <c r="CM545" s="230"/>
      <c r="CN545" s="230"/>
      <c r="CO545" s="162"/>
      <c r="CP545" s="162"/>
      <c r="CQ545" s="162"/>
      <c r="CR545" s="162"/>
      <c r="CS545" s="162"/>
      <c r="CT545" s="230"/>
      <c r="CU545" s="230"/>
      <c r="CV545" s="162"/>
      <c r="CW545" s="162"/>
      <c r="CX545" s="162"/>
      <c r="CY545" s="162"/>
      <c r="CZ545" s="162"/>
      <c r="DA545" s="230"/>
      <c r="DB545" s="230"/>
      <c r="DC545" s="162"/>
      <c r="DD545" s="162"/>
      <c r="DE545" s="162"/>
      <c r="DF545" s="162"/>
      <c r="DG545" s="162"/>
      <c r="DH545" s="230"/>
      <c r="DI545" s="230"/>
      <c r="DJ545" s="162"/>
      <c r="DK545" s="162"/>
      <c r="DL545" s="147"/>
      <c r="DM545" s="147"/>
      <c r="DN545" s="147"/>
      <c r="DO545" s="147"/>
      <c r="DP545" s="147"/>
      <c r="DQ545" s="147"/>
      <c r="DR545" s="147"/>
      <c r="DS545" s="147"/>
      <c r="DT545" s="147"/>
      <c r="DU545" s="147"/>
      <c r="DV545" s="147"/>
      <c r="DW545" s="147"/>
      <c r="DX545" s="147"/>
      <c r="DY545" s="147"/>
      <c r="DZ545" s="147"/>
      <c r="EA545" s="147"/>
      <c r="EB545" s="147"/>
      <c r="EC545" s="147"/>
      <c r="ED545" s="147"/>
      <c r="EE545" s="147"/>
      <c r="EF545" s="147"/>
      <c r="EG545" s="147"/>
      <c r="EH545" s="147"/>
    </row>
    <row r="546" spans="1:138" x14ac:dyDescent="0.25">
      <c r="A546" s="147"/>
      <c r="B546" s="147"/>
      <c r="C546" s="160"/>
      <c r="D546" s="160"/>
      <c r="E546" s="169"/>
      <c r="F546" s="229"/>
      <c r="G546" s="165"/>
      <c r="H546" s="165"/>
      <c r="I546" s="163"/>
      <c r="J546" s="163"/>
      <c r="K546" s="162"/>
      <c r="L546" s="162"/>
      <c r="M546" s="162"/>
      <c r="N546" s="230"/>
      <c r="O546" s="230"/>
      <c r="P546" s="162"/>
      <c r="Q546" s="162"/>
      <c r="R546" s="162"/>
      <c r="S546" s="162"/>
      <c r="T546" s="162"/>
      <c r="U546" s="230"/>
      <c r="V546" s="230"/>
      <c r="W546" s="162"/>
      <c r="X546" s="162"/>
      <c r="Y546" s="162"/>
      <c r="Z546" s="162"/>
      <c r="AA546" s="162"/>
      <c r="AB546" s="230"/>
      <c r="AC546" s="230"/>
      <c r="AD546" s="162"/>
      <c r="AE546" s="162"/>
      <c r="AF546" s="162"/>
      <c r="AG546" s="162"/>
      <c r="AH546" s="162"/>
      <c r="AI546" s="230"/>
      <c r="AJ546" s="230"/>
      <c r="AK546" s="162"/>
      <c r="AL546" s="162"/>
      <c r="AM546" s="162"/>
      <c r="AN546" s="162"/>
      <c r="AO546" s="162"/>
      <c r="AP546" s="230"/>
      <c r="AQ546" s="230"/>
      <c r="AR546" s="162"/>
      <c r="AS546" s="162"/>
      <c r="AT546" s="162"/>
      <c r="AU546" s="162"/>
      <c r="AV546" s="162"/>
      <c r="AW546" s="230"/>
      <c r="AX546" s="230"/>
      <c r="AY546" s="162"/>
      <c r="AZ546" s="162"/>
      <c r="BA546" s="162"/>
      <c r="BB546" s="162"/>
      <c r="BC546" s="162"/>
      <c r="BD546" s="230"/>
      <c r="BE546" s="230"/>
      <c r="BF546" s="162"/>
      <c r="BG546" s="162"/>
      <c r="BH546" s="162"/>
      <c r="BI546" s="162"/>
      <c r="BJ546" s="162"/>
      <c r="BK546" s="230"/>
      <c r="BL546" s="230"/>
      <c r="BM546" s="162"/>
      <c r="BN546" s="162"/>
      <c r="BO546" s="162"/>
      <c r="BP546" s="162"/>
      <c r="BQ546" s="162"/>
      <c r="BR546" s="230"/>
      <c r="BS546" s="230"/>
      <c r="BT546" s="162"/>
      <c r="BU546" s="162"/>
      <c r="BV546" s="162"/>
      <c r="BW546" s="162"/>
      <c r="BX546" s="162"/>
      <c r="BY546" s="230"/>
      <c r="BZ546" s="230"/>
      <c r="CA546" s="162"/>
      <c r="CB546" s="162"/>
      <c r="CC546" s="162"/>
      <c r="CD546" s="162"/>
      <c r="CE546" s="162"/>
      <c r="CF546" s="230"/>
      <c r="CG546" s="230"/>
      <c r="CH546" s="162"/>
      <c r="CI546" s="162"/>
      <c r="CJ546" s="162"/>
      <c r="CK546" s="162"/>
      <c r="CL546" s="162"/>
      <c r="CM546" s="230"/>
      <c r="CN546" s="230"/>
      <c r="CO546" s="162"/>
      <c r="CP546" s="162"/>
      <c r="CQ546" s="162"/>
      <c r="CR546" s="162"/>
      <c r="CS546" s="162"/>
      <c r="CT546" s="230"/>
      <c r="CU546" s="230"/>
      <c r="CV546" s="162"/>
      <c r="CW546" s="162"/>
      <c r="CX546" s="162"/>
      <c r="CY546" s="162"/>
      <c r="CZ546" s="162"/>
      <c r="DA546" s="230"/>
      <c r="DB546" s="230"/>
      <c r="DC546" s="162"/>
      <c r="DD546" s="162"/>
      <c r="DE546" s="162"/>
      <c r="DF546" s="162"/>
      <c r="DG546" s="162"/>
      <c r="DH546" s="230"/>
      <c r="DI546" s="230"/>
      <c r="DJ546" s="162"/>
      <c r="DK546" s="162"/>
      <c r="DL546" s="147"/>
      <c r="DM546" s="147"/>
      <c r="DN546" s="147"/>
      <c r="DO546" s="147"/>
      <c r="DP546" s="147"/>
      <c r="DQ546" s="147"/>
      <c r="DR546" s="147"/>
      <c r="DS546" s="147"/>
      <c r="DT546" s="147"/>
      <c r="DU546" s="147"/>
      <c r="DV546" s="147"/>
      <c r="DW546" s="147"/>
      <c r="DX546" s="147"/>
      <c r="DY546" s="147"/>
      <c r="DZ546" s="147"/>
      <c r="EA546" s="147"/>
      <c r="EB546" s="147"/>
      <c r="EC546" s="147"/>
      <c r="ED546" s="147"/>
      <c r="EE546" s="147"/>
      <c r="EF546" s="147"/>
      <c r="EG546" s="147"/>
      <c r="EH546" s="147"/>
    </row>
    <row r="547" spans="1:138" x14ac:dyDescent="0.25">
      <c r="A547" s="147"/>
      <c r="B547" s="147"/>
      <c r="C547" s="160"/>
      <c r="D547" s="160"/>
      <c r="E547" s="169"/>
      <c r="F547" s="229"/>
      <c r="G547" s="165"/>
      <c r="H547" s="165"/>
      <c r="I547" s="163"/>
      <c r="J547" s="163"/>
      <c r="K547" s="162"/>
      <c r="L547" s="162"/>
      <c r="M547" s="162"/>
      <c r="N547" s="230"/>
      <c r="O547" s="230"/>
      <c r="P547" s="162"/>
      <c r="Q547" s="162"/>
      <c r="R547" s="162"/>
      <c r="S547" s="162"/>
      <c r="T547" s="162"/>
      <c r="U547" s="230"/>
      <c r="V547" s="230"/>
      <c r="W547" s="162"/>
      <c r="X547" s="162"/>
      <c r="Y547" s="162"/>
      <c r="Z547" s="162"/>
      <c r="AA547" s="162"/>
      <c r="AB547" s="230"/>
      <c r="AC547" s="230"/>
      <c r="AD547" s="162"/>
      <c r="AE547" s="162"/>
      <c r="AF547" s="162"/>
      <c r="AG547" s="162"/>
      <c r="AH547" s="162"/>
      <c r="AI547" s="230"/>
      <c r="AJ547" s="230"/>
      <c r="AK547" s="162"/>
      <c r="AL547" s="162"/>
      <c r="AM547" s="162"/>
      <c r="AN547" s="162"/>
      <c r="AO547" s="162"/>
      <c r="AP547" s="230"/>
      <c r="AQ547" s="230"/>
      <c r="AR547" s="162"/>
      <c r="AS547" s="162"/>
      <c r="AT547" s="162"/>
      <c r="AU547" s="162"/>
      <c r="AV547" s="162"/>
      <c r="AW547" s="230"/>
      <c r="AX547" s="230"/>
      <c r="AY547" s="162"/>
      <c r="AZ547" s="162"/>
      <c r="BA547" s="162"/>
      <c r="BB547" s="162"/>
      <c r="BC547" s="162"/>
      <c r="BD547" s="230"/>
      <c r="BE547" s="230"/>
      <c r="BF547" s="162"/>
      <c r="BG547" s="162"/>
      <c r="BH547" s="162"/>
      <c r="BI547" s="162"/>
      <c r="BJ547" s="162"/>
      <c r="BK547" s="230"/>
      <c r="BL547" s="230"/>
      <c r="BM547" s="162"/>
      <c r="BN547" s="162"/>
      <c r="BO547" s="162"/>
      <c r="BP547" s="162"/>
      <c r="BQ547" s="162"/>
      <c r="BR547" s="230"/>
      <c r="BS547" s="230"/>
      <c r="BT547" s="162"/>
      <c r="BU547" s="162"/>
      <c r="BV547" s="162"/>
      <c r="BW547" s="162"/>
      <c r="BX547" s="162"/>
      <c r="BY547" s="230"/>
      <c r="BZ547" s="230"/>
      <c r="CA547" s="162"/>
      <c r="CB547" s="162"/>
      <c r="CC547" s="162"/>
      <c r="CD547" s="162"/>
      <c r="CE547" s="162"/>
      <c r="CF547" s="230"/>
      <c r="CG547" s="230"/>
      <c r="CH547" s="162"/>
      <c r="CI547" s="162"/>
      <c r="CJ547" s="162"/>
      <c r="CK547" s="162"/>
      <c r="CL547" s="162"/>
      <c r="CM547" s="230"/>
      <c r="CN547" s="230"/>
      <c r="CO547" s="162"/>
      <c r="CP547" s="162"/>
      <c r="CQ547" s="162"/>
      <c r="CR547" s="162"/>
      <c r="CS547" s="162"/>
      <c r="CT547" s="230"/>
      <c r="CU547" s="230"/>
      <c r="CV547" s="162"/>
      <c r="CW547" s="162"/>
      <c r="CX547" s="162"/>
      <c r="CY547" s="162"/>
      <c r="CZ547" s="162"/>
      <c r="DA547" s="230"/>
      <c r="DB547" s="230"/>
      <c r="DC547" s="162"/>
      <c r="DD547" s="162"/>
      <c r="DE547" s="162"/>
      <c r="DF547" s="162"/>
      <c r="DG547" s="162"/>
      <c r="DH547" s="230"/>
      <c r="DI547" s="230"/>
      <c r="DJ547" s="162"/>
      <c r="DK547" s="162"/>
      <c r="DL547" s="147"/>
      <c r="DM547" s="147"/>
      <c r="DN547" s="147"/>
      <c r="DO547" s="147"/>
      <c r="DP547" s="147"/>
      <c r="DQ547" s="147"/>
      <c r="DR547" s="147"/>
      <c r="DS547" s="147"/>
      <c r="DT547" s="147"/>
      <c r="DU547" s="147"/>
      <c r="DV547" s="147"/>
      <c r="DW547" s="147"/>
      <c r="DX547" s="147"/>
      <c r="DY547" s="147"/>
      <c r="DZ547" s="147"/>
      <c r="EA547" s="147"/>
      <c r="EB547" s="147"/>
      <c r="EC547" s="147"/>
      <c r="ED547" s="147"/>
      <c r="EE547" s="147"/>
      <c r="EF547" s="147"/>
      <c r="EG547" s="147"/>
      <c r="EH547" s="147"/>
    </row>
    <row r="548" spans="1:138" x14ac:dyDescent="0.25">
      <c r="A548" s="147"/>
      <c r="B548" s="147"/>
      <c r="C548" s="160"/>
      <c r="D548" s="160"/>
      <c r="E548" s="169"/>
      <c r="F548" s="229"/>
      <c r="G548" s="165"/>
      <c r="H548" s="165"/>
      <c r="I548" s="163"/>
      <c r="J548" s="163"/>
      <c r="K548" s="162"/>
      <c r="L548" s="162"/>
      <c r="M548" s="162"/>
      <c r="N548" s="230"/>
      <c r="O548" s="230"/>
      <c r="P548" s="162"/>
      <c r="Q548" s="162"/>
      <c r="R548" s="162"/>
      <c r="S548" s="162"/>
      <c r="T548" s="162"/>
      <c r="U548" s="230"/>
      <c r="V548" s="230"/>
      <c r="W548" s="162"/>
      <c r="X548" s="162"/>
      <c r="Y548" s="162"/>
      <c r="Z548" s="162"/>
      <c r="AA548" s="162"/>
      <c r="AB548" s="230"/>
      <c r="AC548" s="230"/>
      <c r="AD548" s="162"/>
      <c r="AE548" s="162"/>
      <c r="AF548" s="162"/>
      <c r="AG548" s="162"/>
      <c r="AH548" s="162"/>
      <c r="AI548" s="230"/>
      <c r="AJ548" s="230"/>
      <c r="AK548" s="162"/>
      <c r="AL548" s="162"/>
      <c r="AM548" s="162"/>
      <c r="AN548" s="162"/>
      <c r="AO548" s="162"/>
      <c r="AP548" s="230"/>
      <c r="AQ548" s="230"/>
      <c r="AR548" s="162"/>
      <c r="AS548" s="162"/>
      <c r="AT548" s="162"/>
      <c r="AU548" s="162"/>
      <c r="AV548" s="162"/>
      <c r="AW548" s="230"/>
      <c r="AX548" s="230"/>
      <c r="AY548" s="162"/>
      <c r="AZ548" s="162"/>
      <c r="BA548" s="162"/>
      <c r="BB548" s="162"/>
      <c r="BC548" s="162"/>
      <c r="BD548" s="230"/>
      <c r="BE548" s="230"/>
      <c r="BF548" s="162"/>
      <c r="BG548" s="162"/>
      <c r="BH548" s="162"/>
      <c r="BI548" s="162"/>
      <c r="BJ548" s="162"/>
      <c r="BK548" s="230"/>
      <c r="BL548" s="230"/>
      <c r="BM548" s="162"/>
      <c r="BN548" s="162"/>
      <c r="BO548" s="162"/>
      <c r="BP548" s="162"/>
      <c r="BQ548" s="162"/>
      <c r="BR548" s="230"/>
      <c r="BS548" s="230"/>
      <c r="BT548" s="162"/>
      <c r="BU548" s="162"/>
      <c r="BV548" s="162"/>
      <c r="BW548" s="162"/>
      <c r="BX548" s="162"/>
      <c r="BY548" s="230"/>
      <c r="BZ548" s="230"/>
      <c r="CA548" s="162"/>
      <c r="CB548" s="162"/>
      <c r="CC548" s="162"/>
      <c r="CD548" s="162"/>
      <c r="CE548" s="162"/>
      <c r="CF548" s="230"/>
      <c r="CG548" s="230"/>
      <c r="CH548" s="162"/>
      <c r="CI548" s="162"/>
      <c r="CJ548" s="162"/>
      <c r="CK548" s="162"/>
      <c r="CL548" s="162"/>
      <c r="CM548" s="230"/>
      <c r="CN548" s="230"/>
      <c r="CO548" s="162"/>
      <c r="CP548" s="162"/>
      <c r="CQ548" s="162"/>
      <c r="CR548" s="162"/>
      <c r="CS548" s="162"/>
      <c r="CT548" s="230"/>
      <c r="CU548" s="230"/>
      <c r="CV548" s="162"/>
      <c r="CW548" s="162"/>
      <c r="CX548" s="162"/>
      <c r="CY548" s="162"/>
      <c r="CZ548" s="162"/>
      <c r="DA548" s="230"/>
      <c r="DB548" s="230"/>
      <c r="DC548" s="162"/>
      <c r="DD548" s="162"/>
      <c r="DE548" s="162"/>
      <c r="DF548" s="162"/>
      <c r="DG548" s="162"/>
      <c r="DH548" s="230"/>
      <c r="DI548" s="230"/>
      <c r="DJ548" s="162"/>
      <c r="DK548" s="162"/>
      <c r="DL548" s="147"/>
      <c r="DM548" s="147"/>
      <c r="DN548" s="147"/>
      <c r="DO548" s="147"/>
      <c r="DP548" s="147"/>
      <c r="DQ548" s="147"/>
      <c r="DR548" s="147"/>
      <c r="DS548" s="147"/>
      <c r="DT548" s="147"/>
      <c r="DU548" s="147"/>
      <c r="DV548" s="147"/>
      <c r="DW548" s="147"/>
      <c r="DX548" s="147"/>
      <c r="DY548" s="147"/>
      <c r="DZ548" s="147"/>
      <c r="EA548" s="147"/>
      <c r="EB548" s="147"/>
      <c r="EC548" s="147"/>
      <c r="ED548" s="147"/>
      <c r="EE548" s="147"/>
      <c r="EF548" s="147"/>
      <c r="EG548" s="147"/>
      <c r="EH548" s="147"/>
    </row>
    <row r="549" spans="1:138" x14ac:dyDescent="0.25">
      <c r="A549" s="147"/>
      <c r="B549" s="147"/>
      <c r="C549" s="160"/>
      <c r="D549" s="160"/>
      <c r="E549" s="169"/>
      <c r="F549" s="229"/>
      <c r="G549" s="165"/>
      <c r="H549" s="165"/>
      <c r="I549" s="163"/>
      <c r="J549" s="163"/>
      <c r="K549" s="162"/>
      <c r="L549" s="162"/>
      <c r="M549" s="162"/>
      <c r="N549" s="230"/>
      <c r="O549" s="230"/>
      <c r="P549" s="162"/>
      <c r="Q549" s="162"/>
      <c r="R549" s="162"/>
      <c r="S549" s="162"/>
      <c r="T549" s="162"/>
      <c r="U549" s="230"/>
      <c r="V549" s="230"/>
      <c r="W549" s="162"/>
      <c r="X549" s="162"/>
      <c r="Y549" s="162"/>
      <c r="Z549" s="162"/>
      <c r="AA549" s="162"/>
      <c r="AB549" s="230"/>
      <c r="AC549" s="230"/>
      <c r="AD549" s="162"/>
      <c r="AE549" s="162"/>
      <c r="AF549" s="162"/>
      <c r="AG549" s="162"/>
      <c r="AH549" s="162"/>
      <c r="AI549" s="230"/>
      <c r="AJ549" s="230"/>
      <c r="AK549" s="162"/>
      <c r="AL549" s="162"/>
      <c r="AM549" s="162"/>
      <c r="AN549" s="162"/>
      <c r="AO549" s="162"/>
      <c r="AP549" s="230"/>
      <c r="AQ549" s="230"/>
      <c r="AR549" s="162"/>
      <c r="AS549" s="162"/>
      <c r="AT549" s="162"/>
      <c r="AU549" s="162"/>
      <c r="AV549" s="162"/>
      <c r="AW549" s="230"/>
      <c r="AX549" s="230"/>
      <c r="AY549" s="162"/>
      <c r="AZ549" s="162"/>
      <c r="BA549" s="162"/>
      <c r="BB549" s="162"/>
      <c r="BC549" s="162"/>
      <c r="BD549" s="230"/>
      <c r="BE549" s="230"/>
      <c r="BF549" s="162"/>
      <c r="BG549" s="162"/>
      <c r="BH549" s="162"/>
      <c r="BI549" s="162"/>
      <c r="BJ549" s="162"/>
      <c r="BK549" s="230"/>
      <c r="BL549" s="230"/>
      <c r="BM549" s="162"/>
      <c r="BN549" s="162"/>
      <c r="BO549" s="162"/>
      <c r="BP549" s="162"/>
      <c r="BQ549" s="162"/>
      <c r="BR549" s="230"/>
      <c r="BS549" s="230"/>
      <c r="BT549" s="162"/>
      <c r="BU549" s="162"/>
      <c r="BV549" s="162"/>
      <c r="BW549" s="162"/>
      <c r="BX549" s="162"/>
      <c r="BY549" s="230"/>
      <c r="BZ549" s="230"/>
      <c r="CA549" s="162"/>
      <c r="CB549" s="162"/>
      <c r="CC549" s="162"/>
      <c r="CD549" s="162"/>
      <c r="CE549" s="162"/>
      <c r="CF549" s="230"/>
      <c r="CG549" s="230"/>
      <c r="CH549" s="162"/>
      <c r="CI549" s="162"/>
      <c r="CJ549" s="162"/>
      <c r="CK549" s="162"/>
      <c r="CL549" s="162"/>
      <c r="CM549" s="230"/>
      <c r="CN549" s="230"/>
      <c r="CO549" s="162"/>
      <c r="CP549" s="162"/>
      <c r="CQ549" s="162"/>
      <c r="CR549" s="162"/>
      <c r="CS549" s="162"/>
      <c r="CT549" s="230"/>
      <c r="CU549" s="230"/>
      <c r="CV549" s="162"/>
      <c r="CW549" s="162"/>
      <c r="CX549" s="162"/>
      <c r="CY549" s="162"/>
      <c r="CZ549" s="162"/>
      <c r="DA549" s="230"/>
      <c r="DB549" s="230"/>
      <c r="DC549" s="162"/>
      <c r="DD549" s="162"/>
      <c r="DE549" s="162"/>
      <c r="DF549" s="162"/>
      <c r="DG549" s="162"/>
      <c r="DH549" s="230"/>
      <c r="DI549" s="230"/>
      <c r="DJ549" s="162"/>
      <c r="DK549" s="162"/>
      <c r="DL549" s="147"/>
      <c r="DM549" s="147"/>
      <c r="DN549" s="147"/>
      <c r="DO549" s="147"/>
      <c r="DP549" s="147"/>
      <c r="DQ549" s="147"/>
      <c r="DR549" s="147"/>
      <c r="DS549" s="147"/>
      <c r="DT549" s="147"/>
      <c r="DU549" s="147"/>
      <c r="DV549" s="147"/>
      <c r="DW549" s="147"/>
      <c r="DX549" s="147"/>
      <c r="DY549" s="147"/>
      <c r="DZ549" s="147"/>
      <c r="EA549" s="147"/>
      <c r="EB549" s="147"/>
      <c r="EC549" s="147"/>
      <c r="ED549" s="147"/>
      <c r="EE549" s="147"/>
      <c r="EF549" s="147"/>
      <c r="EG549" s="147"/>
      <c r="EH549" s="147"/>
    </row>
    <row r="550" spans="1:138" x14ac:dyDescent="0.25">
      <c r="A550" s="147"/>
      <c r="B550" s="147"/>
      <c r="C550" s="160"/>
      <c r="D550" s="160"/>
      <c r="E550" s="169"/>
      <c r="F550" s="229"/>
      <c r="G550" s="165"/>
      <c r="H550" s="165"/>
      <c r="I550" s="163"/>
      <c r="J550" s="163"/>
      <c r="K550" s="162"/>
      <c r="L550" s="162"/>
      <c r="M550" s="162"/>
      <c r="N550" s="230"/>
      <c r="O550" s="230"/>
      <c r="P550" s="162"/>
      <c r="Q550" s="162"/>
      <c r="R550" s="162"/>
      <c r="S550" s="162"/>
      <c r="T550" s="162"/>
      <c r="U550" s="230"/>
      <c r="V550" s="230"/>
      <c r="W550" s="162"/>
      <c r="X550" s="162"/>
      <c r="Y550" s="162"/>
      <c r="Z550" s="162"/>
      <c r="AA550" s="162"/>
      <c r="AB550" s="230"/>
      <c r="AC550" s="230"/>
      <c r="AD550" s="162"/>
      <c r="AE550" s="162"/>
      <c r="AF550" s="162"/>
      <c r="AG550" s="162"/>
      <c r="AH550" s="162"/>
      <c r="AI550" s="230"/>
      <c r="AJ550" s="230"/>
      <c r="AK550" s="162"/>
      <c r="AL550" s="162"/>
      <c r="AM550" s="162"/>
      <c r="AN550" s="162"/>
      <c r="AO550" s="162"/>
      <c r="AP550" s="230"/>
      <c r="AQ550" s="230"/>
      <c r="AR550" s="162"/>
      <c r="AS550" s="162"/>
      <c r="AT550" s="162"/>
      <c r="AU550" s="162"/>
      <c r="AV550" s="162"/>
      <c r="AW550" s="230"/>
      <c r="AX550" s="230"/>
      <c r="AY550" s="162"/>
      <c r="AZ550" s="162"/>
      <c r="BA550" s="162"/>
      <c r="BB550" s="162"/>
      <c r="BC550" s="162"/>
      <c r="BD550" s="230"/>
      <c r="BE550" s="230"/>
      <c r="BF550" s="162"/>
      <c r="BG550" s="162"/>
      <c r="BH550" s="162"/>
      <c r="BI550" s="162"/>
      <c r="BJ550" s="162"/>
      <c r="BK550" s="230"/>
      <c r="BL550" s="230"/>
      <c r="BM550" s="162"/>
      <c r="BN550" s="162"/>
      <c r="BO550" s="162"/>
      <c r="BP550" s="162"/>
      <c r="BQ550" s="162"/>
      <c r="BR550" s="230"/>
      <c r="BS550" s="230"/>
      <c r="BT550" s="162"/>
      <c r="BU550" s="162"/>
      <c r="BV550" s="162"/>
      <c r="BW550" s="162"/>
      <c r="BX550" s="162"/>
      <c r="BY550" s="230"/>
      <c r="BZ550" s="230"/>
      <c r="CA550" s="162"/>
      <c r="CB550" s="162"/>
      <c r="CC550" s="162"/>
      <c r="CD550" s="162"/>
      <c r="CE550" s="162"/>
      <c r="CF550" s="230"/>
      <c r="CG550" s="230"/>
      <c r="CH550" s="162"/>
      <c r="CI550" s="162"/>
      <c r="CJ550" s="162"/>
      <c r="CK550" s="162"/>
      <c r="CL550" s="162"/>
      <c r="CM550" s="230"/>
      <c r="CN550" s="230"/>
      <c r="CO550" s="162"/>
      <c r="CP550" s="162"/>
      <c r="CQ550" s="162"/>
      <c r="CR550" s="162"/>
      <c r="CS550" s="162"/>
      <c r="CT550" s="230"/>
      <c r="CU550" s="230"/>
      <c r="CV550" s="162"/>
      <c r="CW550" s="162"/>
      <c r="CX550" s="162"/>
      <c r="CY550" s="162"/>
      <c r="CZ550" s="162"/>
      <c r="DA550" s="230"/>
      <c r="DB550" s="230"/>
      <c r="DC550" s="162"/>
      <c r="DD550" s="162"/>
      <c r="DE550" s="162"/>
      <c r="DF550" s="162"/>
      <c r="DG550" s="162"/>
      <c r="DH550" s="230"/>
      <c r="DI550" s="230"/>
      <c r="DJ550" s="162"/>
      <c r="DK550" s="162"/>
      <c r="DL550" s="147"/>
      <c r="DM550" s="147"/>
      <c r="DN550" s="147"/>
      <c r="DO550" s="147"/>
      <c r="DP550" s="147"/>
      <c r="DQ550" s="147"/>
      <c r="DR550" s="147"/>
      <c r="DS550" s="147"/>
      <c r="DT550" s="147"/>
      <c r="DU550" s="147"/>
      <c r="DV550" s="147"/>
      <c r="DW550" s="147"/>
      <c r="DX550" s="147"/>
      <c r="DY550" s="147"/>
      <c r="DZ550" s="147"/>
      <c r="EA550" s="147"/>
      <c r="EB550" s="147"/>
      <c r="EC550" s="147"/>
      <c r="ED550" s="147"/>
      <c r="EE550" s="147"/>
      <c r="EF550" s="147"/>
      <c r="EG550" s="147"/>
      <c r="EH550" s="147"/>
    </row>
    <row r="551" spans="1:138" x14ac:dyDescent="0.25">
      <c r="A551" s="147"/>
      <c r="B551" s="147"/>
      <c r="C551" s="160"/>
      <c r="D551" s="160"/>
      <c r="E551" s="169"/>
      <c r="F551" s="229"/>
      <c r="G551" s="165"/>
      <c r="H551" s="165"/>
      <c r="I551" s="163"/>
      <c r="J551" s="163"/>
      <c r="K551" s="162"/>
      <c r="L551" s="162"/>
      <c r="M551" s="162"/>
      <c r="N551" s="230"/>
      <c r="O551" s="230"/>
      <c r="P551" s="162"/>
      <c r="Q551" s="162"/>
      <c r="R551" s="162"/>
      <c r="S551" s="162"/>
      <c r="T551" s="162"/>
      <c r="U551" s="230"/>
      <c r="V551" s="230"/>
      <c r="W551" s="162"/>
      <c r="X551" s="162"/>
      <c r="Y551" s="162"/>
      <c r="Z551" s="162"/>
      <c r="AA551" s="162"/>
      <c r="AB551" s="230"/>
      <c r="AC551" s="230"/>
      <c r="AD551" s="162"/>
      <c r="AE551" s="162"/>
      <c r="AF551" s="162"/>
      <c r="AG551" s="162"/>
      <c r="AH551" s="162"/>
      <c r="AI551" s="230"/>
      <c r="AJ551" s="230"/>
      <c r="AK551" s="162"/>
      <c r="AL551" s="162"/>
      <c r="AM551" s="162"/>
      <c r="AN551" s="162"/>
      <c r="AO551" s="162"/>
      <c r="AP551" s="230"/>
      <c r="AQ551" s="230"/>
      <c r="AR551" s="162"/>
      <c r="AS551" s="162"/>
      <c r="AT551" s="162"/>
      <c r="AU551" s="162"/>
      <c r="AV551" s="162"/>
      <c r="AW551" s="230"/>
      <c r="AX551" s="230"/>
      <c r="AY551" s="162"/>
      <c r="AZ551" s="162"/>
      <c r="BA551" s="162"/>
      <c r="BB551" s="162"/>
      <c r="BC551" s="162"/>
      <c r="BD551" s="230"/>
      <c r="BE551" s="230"/>
      <c r="BF551" s="162"/>
      <c r="BG551" s="162"/>
      <c r="BH551" s="162"/>
      <c r="BI551" s="162"/>
      <c r="BJ551" s="162"/>
      <c r="BK551" s="230"/>
      <c r="BL551" s="230"/>
      <c r="BM551" s="162"/>
      <c r="BN551" s="162"/>
      <c r="BO551" s="162"/>
      <c r="BP551" s="162"/>
      <c r="BQ551" s="162"/>
      <c r="BR551" s="230"/>
      <c r="BS551" s="230"/>
      <c r="BT551" s="162"/>
      <c r="BU551" s="162"/>
      <c r="BV551" s="162"/>
      <c r="BW551" s="162"/>
      <c r="BX551" s="162"/>
      <c r="BY551" s="230"/>
      <c r="BZ551" s="230"/>
      <c r="CA551" s="162"/>
      <c r="CB551" s="162"/>
      <c r="CC551" s="162"/>
      <c r="CD551" s="162"/>
      <c r="CE551" s="162"/>
      <c r="CF551" s="230"/>
      <c r="CG551" s="230"/>
      <c r="CH551" s="162"/>
      <c r="CI551" s="162"/>
      <c r="CJ551" s="162"/>
      <c r="CK551" s="162"/>
      <c r="CL551" s="162"/>
      <c r="CM551" s="230"/>
      <c r="CN551" s="230"/>
      <c r="CO551" s="162"/>
      <c r="CP551" s="162"/>
      <c r="CQ551" s="162"/>
      <c r="CR551" s="162"/>
      <c r="CS551" s="162"/>
      <c r="CT551" s="230"/>
      <c r="CU551" s="230"/>
      <c r="CV551" s="162"/>
      <c r="CW551" s="162"/>
      <c r="CX551" s="162"/>
      <c r="CY551" s="162"/>
      <c r="CZ551" s="162"/>
      <c r="DA551" s="230"/>
      <c r="DB551" s="230"/>
      <c r="DC551" s="162"/>
      <c r="DD551" s="162"/>
      <c r="DE551" s="162"/>
      <c r="DF551" s="162"/>
      <c r="DG551" s="162"/>
      <c r="DH551" s="230"/>
      <c r="DI551" s="230"/>
      <c r="DJ551" s="162"/>
      <c r="DK551" s="162"/>
      <c r="DL551" s="147"/>
      <c r="DM551" s="147"/>
      <c r="DN551" s="147"/>
      <c r="DO551" s="147"/>
      <c r="DP551" s="147"/>
      <c r="DQ551" s="147"/>
      <c r="DR551" s="147"/>
      <c r="DS551" s="147"/>
      <c r="DT551" s="147"/>
      <c r="DU551" s="147"/>
      <c r="DV551" s="147"/>
      <c r="DW551" s="147"/>
      <c r="DX551" s="147"/>
      <c r="DY551" s="147"/>
      <c r="DZ551" s="147"/>
      <c r="EA551" s="147"/>
      <c r="EB551" s="147"/>
      <c r="EC551" s="147"/>
      <c r="ED551" s="147"/>
      <c r="EE551" s="147"/>
      <c r="EF551" s="147"/>
      <c r="EG551" s="147"/>
      <c r="EH551" s="147"/>
    </row>
    <row r="552" spans="1:138" x14ac:dyDescent="0.25">
      <c r="A552" s="147"/>
      <c r="B552" s="147"/>
      <c r="C552" s="160"/>
      <c r="D552" s="160"/>
      <c r="E552" s="169"/>
      <c r="F552" s="229"/>
      <c r="G552" s="165"/>
      <c r="H552" s="165"/>
      <c r="I552" s="163"/>
      <c r="J552" s="163"/>
      <c r="K552" s="162"/>
      <c r="L552" s="162"/>
      <c r="M552" s="162"/>
      <c r="N552" s="230"/>
      <c r="O552" s="230"/>
      <c r="P552" s="162"/>
      <c r="Q552" s="162"/>
      <c r="R552" s="162"/>
      <c r="S552" s="162"/>
      <c r="T552" s="162"/>
      <c r="U552" s="230"/>
      <c r="V552" s="230"/>
      <c r="W552" s="162"/>
      <c r="X552" s="162"/>
      <c r="Y552" s="162"/>
      <c r="Z552" s="162"/>
      <c r="AA552" s="162"/>
      <c r="AB552" s="230"/>
      <c r="AC552" s="230"/>
      <c r="AD552" s="162"/>
      <c r="AE552" s="162"/>
      <c r="AF552" s="162"/>
      <c r="AG552" s="162"/>
      <c r="AH552" s="162"/>
      <c r="AI552" s="230"/>
      <c r="AJ552" s="230"/>
      <c r="AK552" s="162"/>
      <c r="AL552" s="162"/>
      <c r="AM552" s="162"/>
      <c r="AN552" s="162"/>
      <c r="AO552" s="162"/>
      <c r="AP552" s="230"/>
      <c r="AQ552" s="230"/>
      <c r="AR552" s="162"/>
      <c r="AS552" s="162"/>
      <c r="AT552" s="162"/>
      <c r="AU552" s="162"/>
      <c r="AV552" s="162"/>
      <c r="AW552" s="230"/>
      <c r="AX552" s="230"/>
      <c r="AY552" s="162"/>
      <c r="AZ552" s="162"/>
      <c r="BA552" s="162"/>
      <c r="BB552" s="162"/>
      <c r="BC552" s="162"/>
      <c r="BD552" s="230"/>
      <c r="BE552" s="230"/>
      <c r="BF552" s="162"/>
      <c r="BG552" s="162"/>
      <c r="BH552" s="162"/>
      <c r="BI552" s="162"/>
      <c r="BJ552" s="162"/>
      <c r="BK552" s="230"/>
      <c r="BL552" s="230"/>
      <c r="BM552" s="162"/>
      <c r="BN552" s="162"/>
      <c r="BO552" s="162"/>
      <c r="BP552" s="162"/>
      <c r="BQ552" s="162"/>
      <c r="BR552" s="230"/>
      <c r="BS552" s="230"/>
      <c r="BT552" s="162"/>
      <c r="BU552" s="162"/>
      <c r="BV552" s="162"/>
      <c r="BW552" s="162"/>
      <c r="BX552" s="162"/>
      <c r="BY552" s="230"/>
      <c r="BZ552" s="230"/>
      <c r="CA552" s="162"/>
      <c r="CB552" s="162"/>
      <c r="CC552" s="162"/>
      <c r="CD552" s="162"/>
      <c r="CE552" s="162"/>
      <c r="CF552" s="230"/>
      <c r="CG552" s="230"/>
      <c r="CH552" s="162"/>
      <c r="CI552" s="162"/>
      <c r="CJ552" s="162"/>
      <c r="CK552" s="162"/>
      <c r="CL552" s="162"/>
      <c r="CM552" s="230"/>
      <c r="CN552" s="230"/>
      <c r="CO552" s="162"/>
      <c r="CP552" s="162"/>
      <c r="CQ552" s="162"/>
      <c r="CR552" s="162"/>
      <c r="CS552" s="162"/>
      <c r="CT552" s="230"/>
      <c r="CU552" s="230"/>
      <c r="CV552" s="162"/>
      <c r="CW552" s="162"/>
      <c r="CX552" s="162"/>
      <c r="CY552" s="162"/>
      <c r="CZ552" s="162"/>
      <c r="DA552" s="230"/>
      <c r="DB552" s="230"/>
      <c r="DC552" s="162"/>
      <c r="DD552" s="162"/>
      <c r="DE552" s="162"/>
      <c r="DF552" s="162"/>
      <c r="DG552" s="162"/>
      <c r="DH552" s="230"/>
      <c r="DI552" s="230"/>
      <c r="DJ552" s="162"/>
      <c r="DK552" s="162"/>
      <c r="DL552" s="147"/>
      <c r="DM552" s="147"/>
      <c r="DN552" s="147"/>
      <c r="DO552" s="147"/>
      <c r="DP552" s="147"/>
      <c r="DQ552" s="147"/>
      <c r="DR552" s="147"/>
      <c r="DS552" s="147"/>
      <c r="DT552" s="147"/>
      <c r="DU552" s="147"/>
      <c r="DV552" s="147"/>
      <c r="DW552" s="147"/>
      <c r="DX552" s="147"/>
      <c r="DY552" s="147"/>
      <c r="DZ552" s="147"/>
      <c r="EA552" s="147"/>
      <c r="EB552" s="147"/>
      <c r="EC552" s="147"/>
      <c r="ED552" s="147"/>
      <c r="EE552" s="147"/>
      <c r="EF552" s="147"/>
      <c r="EG552" s="147"/>
      <c r="EH552" s="147"/>
    </row>
    <row r="553" spans="1:138" x14ac:dyDescent="0.25">
      <c r="A553" s="147"/>
      <c r="B553" s="147"/>
      <c r="C553" s="160"/>
      <c r="D553" s="160"/>
      <c r="E553" s="169"/>
      <c r="F553" s="229"/>
      <c r="G553" s="165"/>
      <c r="H553" s="165"/>
      <c r="I553" s="163"/>
      <c r="J553" s="163"/>
      <c r="K553" s="162"/>
      <c r="L553" s="162"/>
      <c r="M553" s="162"/>
      <c r="N553" s="230"/>
      <c r="O553" s="230"/>
      <c r="P553" s="162"/>
      <c r="Q553" s="162"/>
      <c r="R553" s="162"/>
      <c r="S553" s="162"/>
      <c r="T553" s="162"/>
      <c r="U553" s="230"/>
      <c r="V553" s="230"/>
      <c r="W553" s="162"/>
      <c r="X553" s="162"/>
      <c r="Y553" s="162"/>
      <c r="Z553" s="162"/>
      <c r="AA553" s="162"/>
      <c r="AB553" s="230"/>
      <c r="AC553" s="230"/>
      <c r="AD553" s="162"/>
      <c r="AE553" s="162"/>
      <c r="AF553" s="162"/>
      <c r="AG553" s="162"/>
      <c r="AH553" s="162"/>
      <c r="AI553" s="230"/>
      <c r="AJ553" s="230"/>
      <c r="AK553" s="162"/>
      <c r="AL553" s="162"/>
      <c r="AM553" s="162"/>
      <c r="AN553" s="162"/>
      <c r="AO553" s="162"/>
      <c r="AP553" s="230"/>
      <c r="AQ553" s="230"/>
      <c r="AR553" s="162"/>
      <c r="AS553" s="162"/>
      <c r="AT553" s="162"/>
      <c r="AU553" s="162"/>
      <c r="AV553" s="162"/>
      <c r="AW553" s="230"/>
      <c r="AX553" s="230"/>
      <c r="AY553" s="162"/>
      <c r="AZ553" s="162"/>
      <c r="BA553" s="162"/>
      <c r="BB553" s="162"/>
      <c r="BC553" s="162"/>
      <c r="BD553" s="230"/>
      <c r="BE553" s="230"/>
      <c r="BF553" s="162"/>
      <c r="BG553" s="162"/>
      <c r="BH553" s="162"/>
      <c r="BI553" s="162"/>
      <c r="BJ553" s="162"/>
      <c r="BK553" s="230"/>
      <c r="BL553" s="230"/>
      <c r="BM553" s="162"/>
      <c r="BN553" s="162"/>
      <c r="BO553" s="162"/>
      <c r="BP553" s="162"/>
      <c r="BQ553" s="162"/>
      <c r="BR553" s="230"/>
      <c r="BS553" s="230"/>
      <c r="BT553" s="162"/>
      <c r="BU553" s="162"/>
      <c r="BV553" s="162"/>
      <c r="BW553" s="162"/>
      <c r="BX553" s="162"/>
      <c r="BY553" s="230"/>
      <c r="BZ553" s="230"/>
      <c r="CA553" s="162"/>
      <c r="CB553" s="162"/>
      <c r="CC553" s="162"/>
      <c r="CD553" s="162"/>
      <c r="CE553" s="162"/>
      <c r="CF553" s="230"/>
      <c r="CG553" s="230"/>
      <c r="CH553" s="162"/>
      <c r="CI553" s="162"/>
      <c r="CJ553" s="162"/>
      <c r="CK553" s="162"/>
      <c r="CL553" s="162"/>
      <c r="CM553" s="230"/>
      <c r="CN553" s="230"/>
      <c r="CO553" s="162"/>
      <c r="CP553" s="162"/>
      <c r="CQ553" s="162"/>
      <c r="CR553" s="162"/>
      <c r="CS553" s="162"/>
      <c r="CT553" s="230"/>
      <c r="CU553" s="230"/>
      <c r="CV553" s="162"/>
      <c r="CW553" s="162"/>
      <c r="CX553" s="162"/>
      <c r="CY553" s="162"/>
      <c r="CZ553" s="162"/>
      <c r="DA553" s="230"/>
      <c r="DB553" s="230"/>
      <c r="DC553" s="162"/>
      <c r="DD553" s="162"/>
      <c r="DE553" s="162"/>
      <c r="DF553" s="162"/>
      <c r="DG553" s="162"/>
      <c r="DH553" s="230"/>
      <c r="DI553" s="230"/>
      <c r="DJ553" s="162"/>
      <c r="DK553" s="162"/>
      <c r="DL553" s="147"/>
      <c r="DM553" s="147"/>
      <c r="DN553" s="147"/>
      <c r="DO553" s="147"/>
      <c r="DP553" s="147"/>
      <c r="DQ553" s="147"/>
      <c r="DR553" s="147"/>
      <c r="DS553" s="147"/>
      <c r="DT553" s="147"/>
      <c r="DU553" s="147"/>
      <c r="DV553" s="147"/>
      <c r="DW553" s="147"/>
      <c r="DX553" s="147"/>
      <c r="DY553" s="147"/>
      <c r="DZ553" s="147"/>
      <c r="EA553" s="147"/>
      <c r="EB553" s="147"/>
      <c r="EC553" s="147"/>
      <c r="ED553" s="147"/>
      <c r="EE553" s="147"/>
      <c r="EF553" s="147"/>
      <c r="EG553" s="147"/>
      <c r="EH553" s="147"/>
    </row>
    <row r="554" spans="1:138" x14ac:dyDescent="0.25">
      <c r="A554" s="147"/>
      <c r="B554" s="147"/>
      <c r="C554" s="160"/>
      <c r="D554" s="160"/>
      <c r="E554" s="169"/>
      <c r="F554" s="229"/>
      <c r="G554" s="165"/>
      <c r="H554" s="165"/>
      <c r="I554" s="163"/>
      <c r="J554" s="163"/>
      <c r="K554" s="162"/>
      <c r="L554" s="162"/>
      <c r="M554" s="162"/>
      <c r="N554" s="230"/>
      <c r="O554" s="230"/>
      <c r="P554" s="162"/>
      <c r="Q554" s="162"/>
      <c r="R554" s="162"/>
      <c r="S554" s="162"/>
      <c r="T554" s="162"/>
      <c r="U554" s="230"/>
      <c r="V554" s="230"/>
      <c r="W554" s="162"/>
      <c r="X554" s="162"/>
      <c r="Y554" s="162"/>
      <c r="Z554" s="162"/>
      <c r="AA554" s="162"/>
      <c r="AB554" s="230"/>
      <c r="AC554" s="230"/>
      <c r="AD554" s="162"/>
      <c r="AE554" s="162"/>
      <c r="AF554" s="162"/>
      <c r="AG554" s="162"/>
      <c r="AH554" s="162"/>
      <c r="AI554" s="230"/>
      <c r="AJ554" s="230"/>
      <c r="AK554" s="162"/>
      <c r="AL554" s="162"/>
      <c r="AM554" s="162"/>
      <c r="AN554" s="162"/>
      <c r="AO554" s="162"/>
      <c r="AP554" s="230"/>
      <c r="AQ554" s="230"/>
      <c r="AR554" s="162"/>
      <c r="AS554" s="162"/>
      <c r="AT554" s="162"/>
      <c r="AU554" s="162"/>
      <c r="AV554" s="162"/>
      <c r="AW554" s="230"/>
      <c r="AX554" s="230"/>
      <c r="AY554" s="162"/>
      <c r="AZ554" s="162"/>
      <c r="BA554" s="162"/>
      <c r="BB554" s="162"/>
      <c r="BC554" s="162"/>
      <c r="BD554" s="230"/>
      <c r="BE554" s="230"/>
      <c r="BF554" s="162"/>
      <c r="BG554" s="162"/>
      <c r="BH554" s="162"/>
      <c r="BI554" s="162"/>
      <c r="BJ554" s="162"/>
      <c r="BK554" s="230"/>
      <c r="BL554" s="230"/>
      <c r="BM554" s="162"/>
      <c r="BN554" s="162"/>
      <c r="BO554" s="162"/>
      <c r="BP554" s="162"/>
      <c r="BQ554" s="162"/>
      <c r="BR554" s="230"/>
      <c r="BS554" s="230"/>
      <c r="BT554" s="162"/>
      <c r="BU554" s="162"/>
      <c r="BV554" s="162"/>
      <c r="BW554" s="162"/>
      <c r="BX554" s="162"/>
      <c r="BY554" s="230"/>
      <c r="BZ554" s="230"/>
      <c r="CA554" s="162"/>
      <c r="CB554" s="162"/>
      <c r="CC554" s="162"/>
      <c r="CD554" s="162"/>
      <c r="CE554" s="162"/>
      <c r="CF554" s="230"/>
      <c r="CG554" s="230"/>
      <c r="CH554" s="162"/>
      <c r="CI554" s="162"/>
      <c r="CJ554" s="162"/>
      <c r="CK554" s="162"/>
      <c r="CL554" s="162"/>
      <c r="CM554" s="230"/>
      <c r="CN554" s="230"/>
      <c r="CO554" s="162"/>
      <c r="CP554" s="162"/>
      <c r="CQ554" s="162"/>
      <c r="CR554" s="162"/>
      <c r="CS554" s="162"/>
      <c r="CT554" s="230"/>
      <c r="CU554" s="230"/>
      <c r="CV554" s="162"/>
      <c r="CW554" s="162"/>
      <c r="CX554" s="162"/>
      <c r="CY554" s="162"/>
      <c r="CZ554" s="162"/>
      <c r="DA554" s="230"/>
      <c r="DB554" s="230"/>
      <c r="DC554" s="162"/>
      <c r="DD554" s="162"/>
      <c r="DE554" s="162"/>
      <c r="DF554" s="162"/>
      <c r="DG554" s="162"/>
      <c r="DH554" s="230"/>
      <c r="DI554" s="230"/>
      <c r="DJ554" s="162"/>
      <c r="DK554" s="162"/>
      <c r="DL554" s="147"/>
      <c r="DM554" s="147"/>
      <c r="DN554" s="147"/>
      <c r="DO554" s="147"/>
      <c r="DP554" s="147"/>
      <c r="DQ554" s="147"/>
      <c r="DR554" s="147"/>
      <c r="DS554" s="147"/>
      <c r="DT554" s="147"/>
      <c r="DU554" s="147"/>
      <c r="DV554" s="147"/>
      <c r="DW554" s="147"/>
      <c r="DX554" s="147"/>
      <c r="DY554" s="147"/>
      <c r="DZ554" s="147"/>
      <c r="EA554" s="147"/>
      <c r="EB554" s="147"/>
      <c r="EC554" s="147"/>
      <c r="ED554" s="147"/>
      <c r="EE554" s="147"/>
      <c r="EF554" s="147"/>
      <c r="EG554" s="147"/>
      <c r="EH554" s="147"/>
    </row>
    <row r="555" spans="1:138" x14ac:dyDescent="0.25">
      <c r="A555" s="147"/>
      <c r="B555" s="147"/>
      <c r="C555" s="160"/>
      <c r="D555" s="160"/>
      <c r="E555" s="169"/>
      <c r="F555" s="229"/>
      <c r="G555" s="165"/>
      <c r="H555" s="165"/>
      <c r="I555" s="163"/>
      <c r="J555" s="163"/>
      <c r="K555" s="162"/>
      <c r="L555" s="162"/>
      <c r="M555" s="162"/>
      <c r="N555" s="230"/>
      <c r="O555" s="230"/>
      <c r="P555" s="162"/>
      <c r="Q555" s="162"/>
      <c r="R555" s="162"/>
      <c r="S555" s="162"/>
      <c r="T555" s="162"/>
      <c r="U555" s="230"/>
      <c r="V555" s="230"/>
      <c r="W555" s="162"/>
      <c r="X555" s="162"/>
      <c r="Y555" s="162"/>
      <c r="Z555" s="162"/>
      <c r="AA555" s="162"/>
      <c r="AB555" s="230"/>
      <c r="AC555" s="230"/>
      <c r="AD555" s="162"/>
      <c r="AE555" s="162"/>
      <c r="AF555" s="162"/>
      <c r="AG555" s="162"/>
      <c r="AH555" s="162"/>
      <c r="AI555" s="230"/>
      <c r="AJ555" s="230"/>
      <c r="AK555" s="162"/>
      <c r="AL555" s="162"/>
      <c r="AM555" s="162"/>
      <c r="AN555" s="162"/>
      <c r="AO555" s="162"/>
      <c r="AP555" s="230"/>
      <c r="AQ555" s="230"/>
      <c r="AR555" s="162"/>
      <c r="AS555" s="162"/>
      <c r="AT555" s="162"/>
      <c r="AU555" s="162"/>
      <c r="AV555" s="162"/>
      <c r="AW555" s="230"/>
      <c r="AX555" s="230"/>
      <c r="AY555" s="162"/>
      <c r="AZ555" s="162"/>
      <c r="BA555" s="162"/>
      <c r="BB555" s="162"/>
      <c r="BC555" s="162"/>
      <c r="BD555" s="230"/>
      <c r="BE555" s="230"/>
      <c r="BF555" s="162"/>
      <c r="BG555" s="162"/>
      <c r="BH555" s="162"/>
      <c r="BI555" s="162"/>
      <c r="BJ555" s="162"/>
      <c r="BK555" s="230"/>
      <c r="BL555" s="230"/>
      <c r="BM555" s="162"/>
      <c r="BN555" s="162"/>
      <c r="BO555" s="162"/>
      <c r="BP555" s="162"/>
      <c r="BQ555" s="162"/>
      <c r="BR555" s="230"/>
      <c r="BS555" s="230"/>
      <c r="BT555" s="162"/>
      <c r="BU555" s="162"/>
      <c r="BV555" s="162"/>
      <c r="BW555" s="162"/>
      <c r="BX555" s="162"/>
      <c r="BY555" s="230"/>
      <c r="BZ555" s="230"/>
      <c r="CA555" s="162"/>
      <c r="CB555" s="162"/>
      <c r="CC555" s="162"/>
      <c r="CD555" s="162"/>
      <c r="CE555" s="162"/>
      <c r="CF555" s="230"/>
      <c r="CG555" s="230"/>
      <c r="CH555" s="162"/>
      <c r="CI555" s="162"/>
      <c r="CJ555" s="162"/>
      <c r="CK555" s="162"/>
      <c r="CL555" s="162"/>
      <c r="CM555" s="230"/>
      <c r="CN555" s="230"/>
      <c r="CO555" s="162"/>
      <c r="CP555" s="162"/>
      <c r="CQ555" s="162"/>
      <c r="CR555" s="162"/>
      <c r="CS555" s="162"/>
      <c r="CT555" s="230"/>
      <c r="CU555" s="230"/>
      <c r="CV555" s="162"/>
      <c r="CW555" s="162"/>
      <c r="CX555" s="162"/>
      <c r="CY555" s="162"/>
      <c r="CZ555" s="162"/>
      <c r="DA555" s="230"/>
      <c r="DB555" s="230"/>
      <c r="DC555" s="162"/>
      <c r="DD555" s="162"/>
      <c r="DE555" s="162"/>
      <c r="DF555" s="162"/>
      <c r="DG555" s="162"/>
      <c r="DH555" s="230"/>
      <c r="DI555" s="230"/>
      <c r="DJ555" s="162"/>
      <c r="DK555" s="162"/>
      <c r="DL555" s="147"/>
      <c r="DM555" s="147"/>
      <c r="DN555" s="147"/>
      <c r="DO555" s="147"/>
      <c r="DP555" s="147"/>
      <c r="DQ555" s="147"/>
      <c r="DR555" s="147"/>
      <c r="DS555" s="147"/>
      <c r="DT555" s="147"/>
      <c r="DU555" s="147"/>
      <c r="DV555" s="147"/>
      <c r="DW555" s="147"/>
      <c r="DX555" s="147"/>
      <c r="DY555" s="147"/>
      <c r="DZ555" s="147"/>
      <c r="EA555" s="147"/>
      <c r="EB555" s="147"/>
      <c r="EC555" s="147"/>
      <c r="ED555" s="147"/>
      <c r="EE555" s="147"/>
      <c r="EF555" s="147"/>
      <c r="EG555" s="147"/>
      <c r="EH555" s="147"/>
    </row>
    <row r="556" spans="1:138" x14ac:dyDescent="0.25">
      <c r="A556" s="147"/>
      <c r="B556" s="147"/>
      <c r="C556" s="160"/>
      <c r="D556" s="160"/>
      <c r="E556" s="169"/>
      <c r="F556" s="229"/>
      <c r="G556" s="165"/>
      <c r="H556" s="165"/>
      <c r="I556" s="163"/>
      <c r="J556" s="163"/>
      <c r="K556" s="162"/>
      <c r="L556" s="162"/>
      <c r="M556" s="162"/>
      <c r="N556" s="230"/>
      <c r="O556" s="230"/>
      <c r="P556" s="162"/>
      <c r="Q556" s="162"/>
      <c r="R556" s="162"/>
      <c r="S556" s="162"/>
      <c r="T556" s="162"/>
      <c r="U556" s="230"/>
      <c r="V556" s="230"/>
      <c r="W556" s="162"/>
      <c r="X556" s="162"/>
      <c r="Y556" s="162"/>
      <c r="Z556" s="162"/>
      <c r="AA556" s="162"/>
      <c r="AB556" s="230"/>
      <c r="AC556" s="230"/>
      <c r="AD556" s="162"/>
      <c r="AE556" s="162"/>
      <c r="AF556" s="162"/>
      <c r="AG556" s="162"/>
      <c r="AH556" s="162"/>
      <c r="AI556" s="230"/>
      <c r="AJ556" s="230"/>
      <c r="AK556" s="162"/>
      <c r="AL556" s="162"/>
      <c r="AM556" s="162"/>
      <c r="AN556" s="162"/>
      <c r="AO556" s="162"/>
      <c r="AP556" s="230"/>
      <c r="AQ556" s="230"/>
      <c r="AR556" s="162"/>
      <c r="AS556" s="162"/>
      <c r="AT556" s="162"/>
      <c r="AU556" s="162"/>
      <c r="AV556" s="162"/>
      <c r="AW556" s="230"/>
      <c r="AX556" s="230"/>
      <c r="AY556" s="162"/>
      <c r="AZ556" s="162"/>
      <c r="BA556" s="162"/>
      <c r="BB556" s="162"/>
      <c r="BC556" s="162"/>
      <c r="BD556" s="230"/>
      <c r="BE556" s="230"/>
      <c r="BF556" s="162"/>
      <c r="BG556" s="162"/>
      <c r="BH556" s="162"/>
      <c r="BI556" s="162"/>
      <c r="BJ556" s="162"/>
      <c r="BK556" s="230"/>
      <c r="BL556" s="230"/>
      <c r="BM556" s="162"/>
      <c r="BN556" s="162"/>
      <c r="BO556" s="162"/>
      <c r="BP556" s="162"/>
      <c r="BQ556" s="162"/>
      <c r="BR556" s="230"/>
      <c r="BS556" s="230"/>
      <c r="BT556" s="162"/>
      <c r="BU556" s="162"/>
      <c r="BV556" s="162"/>
      <c r="BW556" s="162"/>
      <c r="BX556" s="162"/>
      <c r="BY556" s="230"/>
      <c r="BZ556" s="230"/>
      <c r="CA556" s="162"/>
      <c r="CB556" s="162"/>
      <c r="CC556" s="162"/>
      <c r="CD556" s="162"/>
      <c r="CE556" s="162"/>
      <c r="CF556" s="230"/>
      <c r="CG556" s="230"/>
      <c r="CH556" s="162"/>
      <c r="CI556" s="162"/>
      <c r="CJ556" s="162"/>
      <c r="CK556" s="162"/>
      <c r="CL556" s="162"/>
      <c r="CM556" s="230"/>
      <c r="CN556" s="230"/>
      <c r="CO556" s="162"/>
      <c r="CP556" s="162"/>
      <c r="CQ556" s="162"/>
      <c r="CR556" s="162"/>
      <c r="CS556" s="162"/>
      <c r="CT556" s="230"/>
      <c r="CU556" s="230"/>
      <c r="CV556" s="162"/>
      <c r="CW556" s="162"/>
      <c r="CX556" s="162"/>
      <c r="CY556" s="162"/>
      <c r="CZ556" s="162"/>
      <c r="DA556" s="230"/>
      <c r="DB556" s="230"/>
      <c r="DC556" s="162"/>
      <c r="DD556" s="162"/>
      <c r="DE556" s="162"/>
      <c r="DF556" s="162"/>
      <c r="DG556" s="162"/>
      <c r="DH556" s="230"/>
      <c r="DI556" s="230"/>
      <c r="DJ556" s="162"/>
      <c r="DK556" s="162"/>
      <c r="DL556" s="147"/>
      <c r="DM556" s="147"/>
      <c r="DN556" s="147"/>
      <c r="DO556" s="147"/>
      <c r="DP556" s="147"/>
      <c r="DQ556" s="147"/>
      <c r="DR556" s="147"/>
      <c r="DS556" s="147"/>
      <c r="DT556" s="147"/>
      <c r="DU556" s="147"/>
      <c r="DV556" s="147"/>
      <c r="DW556" s="147"/>
      <c r="DX556" s="147"/>
      <c r="DY556" s="147"/>
      <c r="DZ556" s="147"/>
      <c r="EA556" s="147"/>
      <c r="EB556" s="147"/>
      <c r="EC556" s="147"/>
      <c r="ED556" s="147"/>
      <c r="EE556" s="147"/>
      <c r="EF556" s="147"/>
      <c r="EG556" s="147"/>
      <c r="EH556" s="147"/>
    </row>
    <row r="557" spans="1:138" x14ac:dyDescent="0.25">
      <c r="A557" s="147"/>
      <c r="B557" s="147"/>
      <c r="C557" s="160"/>
      <c r="D557" s="160"/>
      <c r="E557" s="169"/>
      <c r="F557" s="229"/>
      <c r="G557" s="165"/>
      <c r="H557" s="165"/>
      <c r="I557" s="163"/>
      <c r="J557" s="163"/>
      <c r="K557" s="162"/>
      <c r="L557" s="162"/>
      <c r="M557" s="162"/>
      <c r="N557" s="230"/>
      <c r="O557" s="230"/>
      <c r="P557" s="162"/>
      <c r="Q557" s="162"/>
      <c r="R557" s="162"/>
      <c r="S557" s="162"/>
      <c r="T557" s="162"/>
      <c r="U557" s="230"/>
      <c r="V557" s="230"/>
      <c r="W557" s="162"/>
      <c r="X557" s="162"/>
      <c r="Y557" s="162"/>
      <c r="Z557" s="162"/>
      <c r="AA557" s="162"/>
      <c r="AB557" s="230"/>
      <c r="AC557" s="230"/>
      <c r="AD557" s="162"/>
      <c r="AE557" s="162"/>
      <c r="AF557" s="162"/>
      <c r="AG557" s="162"/>
      <c r="AH557" s="162"/>
      <c r="AI557" s="230"/>
      <c r="AJ557" s="230"/>
      <c r="AK557" s="162"/>
      <c r="AL557" s="162"/>
      <c r="AM557" s="162"/>
      <c r="AN557" s="162"/>
      <c r="AO557" s="162"/>
      <c r="AP557" s="230"/>
      <c r="AQ557" s="230"/>
      <c r="AR557" s="162"/>
      <c r="AS557" s="162"/>
      <c r="AT557" s="162"/>
      <c r="AU557" s="162"/>
      <c r="AV557" s="162"/>
      <c r="AW557" s="230"/>
      <c r="AX557" s="230"/>
      <c r="AY557" s="162"/>
      <c r="AZ557" s="162"/>
      <c r="BA557" s="162"/>
      <c r="BB557" s="162"/>
      <c r="BC557" s="162"/>
      <c r="BD557" s="230"/>
      <c r="BE557" s="230"/>
      <c r="BF557" s="162"/>
      <c r="BG557" s="162"/>
      <c r="BH557" s="162"/>
      <c r="BI557" s="162"/>
      <c r="BJ557" s="162"/>
      <c r="BK557" s="230"/>
      <c r="BL557" s="230"/>
      <c r="BM557" s="162"/>
      <c r="BN557" s="162"/>
      <c r="BO557" s="162"/>
      <c r="BP557" s="162"/>
      <c r="BQ557" s="162"/>
      <c r="BR557" s="230"/>
      <c r="BS557" s="230"/>
      <c r="BT557" s="162"/>
      <c r="BU557" s="162"/>
      <c r="BV557" s="162"/>
      <c r="BW557" s="162"/>
      <c r="BX557" s="162"/>
      <c r="BY557" s="230"/>
      <c r="BZ557" s="230"/>
      <c r="CA557" s="162"/>
      <c r="CB557" s="162"/>
      <c r="CC557" s="162"/>
      <c r="CD557" s="162"/>
      <c r="CE557" s="162"/>
      <c r="CF557" s="230"/>
      <c r="CG557" s="230"/>
      <c r="CH557" s="162"/>
      <c r="CI557" s="162"/>
      <c r="CJ557" s="162"/>
      <c r="CK557" s="162"/>
      <c r="CL557" s="162"/>
      <c r="CM557" s="230"/>
      <c r="CN557" s="230"/>
      <c r="CO557" s="162"/>
      <c r="CP557" s="162"/>
      <c r="CQ557" s="162"/>
      <c r="CR557" s="162"/>
      <c r="CS557" s="162"/>
      <c r="CT557" s="230"/>
      <c r="CU557" s="230"/>
      <c r="CV557" s="162"/>
      <c r="CW557" s="162"/>
      <c r="CX557" s="162"/>
      <c r="CY557" s="162"/>
      <c r="CZ557" s="162"/>
      <c r="DA557" s="230"/>
      <c r="DB557" s="230"/>
      <c r="DC557" s="162"/>
      <c r="DD557" s="162"/>
      <c r="DE557" s="162"/>
      <c r="DF557" s="162"/>
      <c r="DG557" s="162"/>
      <c r="DH557" s="230"/>
      <c r="DI557" s="230"/>
      <c r="DJ557" s="162"/>
      <c r="DK557" s="162"/>
      <c r="DL557" s="147"/>
      <c r="DM557" s="147"/>
      <c r="DN557" s="147"/>
      <c r="DO557" s="147"/>
      <c r="DP557" s="147"/>
      <c r="DQ557" s="147"/>
      <c r="DR557" s="147"/>
      <c r="DS557" s="147"/>
      <c r="DT557" s="147"/>
      <c r="DU557" s="147"/>
      <c r="DV557" s="147"/>
      <c r="DW557" s="147"/>
      <c r="DX557" s="147"/>
      <c r="DY557" s="147"/>
      <c r="DZ557" s="147"/>
      <c r="EA557" s="147"/>
      <c r="EB557" s="147"/>
      <c r="EC557" s="147"/>
      <c r="ED557" s="147"/>
      <c r="EE557" s="147"/>
      <c r="EF557" s="147"/>
      <c r="EG557" s="147"/>
      <c r="EH557" s="147"/>
    </row>
    <row r="558" spans="1:138" x14ac:dyDescent="0.25">
      <c r="A558" s="147"/>
      <c r="B558" s="147"/>
      <c r="C558" s="160"/>
      <c r="D558" s="160"/>
      <c r="E558" s="169"/>
      <c r="F558" s="229"/>
      <c r="G558" s="165"/>
      <c r="H558" s="165"/>
      <c r="I558" s="163"/>
      <c r="J558" s="163"/>
      <c r="K558" s="162"/>
      <c r="L558" s="162"/>
      <c r="M558" s="162"/>
      <c r="N558" s="230"/>
      <c r="O558" s="230"/>
      <c r="P558" s="162"/>
      <c r="Q558" s="162"/>
      <c r="R558" s="162"/>
      <c r="S558" s="162"/>
      <c r="T558" s="162"/>
      <c r="U558" s="230"/>
      <c r="V558" s="230"/>
      <c r="W558" s="162"/>
      <c r="X558" s="162"/>
      <c r="Y558" s="162"/>
      <c r="Z558" s="162"/>
      <c r="AA558" s="162"/>
      <c r="AB558" s="230"/>
      <c r="AC558" s="230"/>
      <c r="AD558" s="162"/>
      <c r="AE558" s="162"/>
      <c r="AF558" s="162"/>
      <c r="AG558" s="162"/>
      <c r="AH558" s="162"/>
      <c r="AI558" s="230"/>
      <c r="AJ558" s="230"/>
      <c r="AK558" s="162"/>
      <c r="AL558" s="162"/>
      <c r="AM558" s="162"/>
      <c r="AN558" s="162"/>
      <c r="AO558" s="162"/>
      <c r="AP558" s="230"/>
      <c r="AQ558" s="230"/>
      <c r="AR558" s="162"/>
      <c r="AS558" s="162"/>
      <c r="AT558" s="162"/>
      <c r="AU558" s="162"/>
      <c r="AV558" s="162"/>
      <c r="AW558" s="230"/>
      <c r="AX558" s="230"/>
      <c r="AY558" s="162"/>
      <c r="AZ558" s="162"/>
      <c r="BA558" s="162"/>
      <c r="BB558" s="162"/>
      <c r="BC558" s="162"/>
      <c r="BD558" s="230"/>
      <c r="BE558" s="230"/>
      <c r="BF558" s="162"/>
      <c r="BG558" s="162"/>
      <c r="BH558" s="162"/>
      <c r="BI558" s="162"/>
      <c r="BJ558" s="162"/>
      <c r="BK558" s="230"/>
      <c r="BL558" s="230"/>
      <c r="BM558" s="162"/>
      <c r="BN558" s="162"/>
      <c r="BO558" s="162"/>
      <c r="BP558" s="162"/>
      <c r="BQ558" s="162"/>
      <c r="BR558" s="230"/>
      <c r="BS558" s="230"/>
      <c r="BT558" s="162"/>
      <c r="BU558" s="162"/>
      <c r="BV558" s="162"/>
      <c r="BW558" s="162"/>
      <c r="BX558" s="162"/>
      <c r="BY558" s="230"/>
      <c r="BZ558" s="230"/>
      <c r="CA558" s="162"/>
      <c r="CB558" s="162"/>
      <c r="CC558" s="162"/>
      <c r="CD558" s="162"/>
      <c r="CE558" s="162"/>
      <c r="CF558" s="230"/>
      <c r="CG558" s="230"/>
      <c r="CH558" s="162"/>
      <c r="CI558" s="162"/>
      <c r="CJ558" s="162"/>
      <c r="CK558" s="162"/>
      <c r="CL558" s="162"/>
      <c r="CM558" s="230"/>
      <c r="CN558" s="230"/>
      <c r="CO558" s="162"/>
      <c r="CP558" s="162"/>
      <c r="CQ558" s="162"/>
      <c r="CR558" s="162"/>
      <c r="CS558" s="162"/>
      <c r="CT558" s="230"/>
      <c r="CU558" s="230"/>
      <c r="CV558" s="162"/>
      <c r="CW558" s="162"/>
      <c r="CX558" s="162"/>
      <c r="CY558" s="162"/>
      <c r="CZ558" s="162"/>
      <c r="DA558" s="230"/>
      <c r="DB558" s="230"/>
      <c r="DC558" s="162"/>
      <c r="DD558" s="162"/>
      <c r="DE558" s="162"/>
      <c r="DF558" s="162"/>
      <c r="DG558" s="162"/>
      <c r="DH558" s="230"/>
      <c r="DI558" s="230"/>
      <c r="DJ558" s="162"/>
      <c r="DK558" s="162"/>
      <c r="DL558" s="147"/>
      <c r="DM558" s="147"/>
      <c r="DN558" s="147"/>
      <c r="DO558" s="147"/>
      <c r="DP558" s="147"/>
      <c r="DQ558" s="147"/>
      <c r="DR558" s="147"/>
      <c r="DS558" s="147"/>
      <c r="DT558" s="147"/>
      <c r="DU558" s="147"/>
      <c r="DV558" s="147"/>
      <c r="DW558" s="147"/>
      <c r="DX558" s="147"/>
      <c r="DY558" s="147"/>
      <c r="DZ558" s="147"/>
      <c r="EA558" s="147"/>
      <c r="EB558" s="147"/>
      <c r="EC558" s="147"/>
      <c r="ED558" s="147"/>
      <c r="EE558" s="147"/>
      <c r="EF558" s="147"/>
      <c r="EG558" s="147"/>
      <c r="EH558" s="147"/>
    </row>
    <row r="559" spans="1:138" x14ac:dyDescent="0.25">
      <c r="A559" s="147"/>
      <c r="B559" s="147"/>
      <c r="C559" s="160"/>
      <c r="D559" s="160"/>
      <c r="E559" s="169"/>
      <c r="F559" s="229"/>
      <c r="G559" s="165"/>
      <c r="H559" s="165"/>
      <c r="I559" s="163"/>
      <c r="J559" s="163"/>
      <c r="K559" s="162"/>
      <c r="L559" s="162"/>
      <c r="M559" s="162"/>
      <c r="N559" s="230"/>
      <c r="O559" s="230"/>
      <c r="P559" s="162"/>
      <c r="Q559" s="162"/>
      <c r="R559" s="162"/>
      <c r="S559" s="162"/>
      <c r="T559" s="162"/>
      <c r="U559" s="230"/>
      <c r="V559" s="230"/>
      <c r="W559" s="162"/>
      <c r="X559" s="162"/>
      <c r="Y559" s="162"/>
      <c r="Z559" s="162"/>
      <c r="AA559" s="162"/>
      <c r="AB559" s="230"/>
      <c r="AC559" s="230"/>
      <c r="AD559" s="162"/>
      <c r="AE559" s="162"/>
      <c r="AF559" s="162"/>
      <c r="AG559" s="162"/>
      <c r="AH559" s="162"/>
      <c r="AI559" s="230"/>
      <c r="AJ559" s="230"/>
      <c r="AK559" s="162"/>
      <c r="AL559" s="162"/>
      <c r="AM559" s="162"/>
      <c r="AN559" s="162"/>
      <c r="AO559" s="162"/>
      <c r="AP559" s="230"/>
      <c r="AQ559" s="230"/>
      <c r="AR559" s="162"/>
      <c r="AS559" s="162"/>
      <c r="AT559" s="162"/>
      <c r="AU559" s="162"/>
      <c r="AV559" s="162"/>
      <c r="AW559" s="230"/>
      <c r="AX559" s="230"/>
      <c r="AY559" s="162"/>
      <c r="AZ559" s="162"/>
      <c r="BA559" s="162"/>
      <c r="BB559" s="162"/>
      <c r="BC559" s="162"/>
      <c r="BD559" s="230"/>
      <c r="BE559" s="230"/>
      <c r="BF559" s="162"/>
      <c r="BG559" s="162"/>
      <c r="BH559" s="162"/>
      <c r="BI559" s="162"/>
      <c r="BJ559" s="162"/>
      <c r="BK559" s="230"/>
      <c r="BL559" s="230"/>
      <c r="BM559" s="162"/>
      <c r="BN559" s="162"/>
      <c r="BO559" s="162"/>
      <c r="BP559" s="162"/>
      <c r="BQ559" s="162"/>
      <c r="BR559" s="230"/>
      <c r="BS559" s="230"/>
      <c r="BT559" s="162"/>
      <c r="BU559" s="162"/>
      <c r="BV559" s="162"/>
      <c r="BW559" s="162"/>
      <c r="BX559" s="162"/>
      <c r="BY559" s="230"/>
      <c r="BZ559" s="230"/>
      <c r="CA559" s="162"/>
      <c r="CB559" s="162"/>
      <c r="CC559" s="162"/>
      <c r="CD559" s="162"/>
      <c r="CE559" s="162"/>
      <c r="CF559" s="230"/>
      <c r="CG559" s="230"/>
      <c r="CH559" s="162"/>
      <c r="CI559" s="162"/>
      <c r="CJ559" s="162"/>
      <c r="CK559" s="162"/>
      <c r="CL559" s="162"/>
      <c r="CM559" s="230"/>
      <c r="CN559" s="230"/>
      <c r="CO559" s="162"/>
      <c r="CP559" s="162"/>
      <c r="CQ559" s="162"/>
      <c r="CR559" s="162"/>
      <c r="CS559" s="162"/>
      <c r="CT559" s="230"/>
      <c r="CU559" s="230"/>
      <c r="CV559" s="162"/>
      <c r="CW559" s="162"/>
      <c r="CX559" s="162"/>
      <c r="CY559" s="162"/>
      <c r="CZ559" s="162"/>
      <c r="DA559" s="230"/>
      <c r="DB559" s="230"/>
      <c r="DC559" s="162"/>
      <c r="DD559" s="162"/>
      <c r="DE559" s="162"/>
      <c r="DF559" s="162"/>
      <c r="DG559" s="162"/>
      <c r="DH559" s="230"/>
      <c r="DI559" s="230"/>
      <c r="DJ559" s="162"/>
      <c r="DK559" s="162"/>
      <c r="DL559" s="147"/>
      <c r="DM559" s="147"/>
      <c r="DN559" s="147"/>
      <c r="DO559" s="147"/>
      <c r="DP559" s="147"/>
      <c r="DQ559" s="147"/>
      <c r="DR559" s="147"/>
      <c r="DS559" s="147"/>
      <c r="DT559" s="147"/>
      <c r="DU559" s="147"/>
      <c r="DV559" s="147"/>
      <c r="DW559" s="147"/>
      <c r="DX559" s="147"/>
      <c r="DY559" s="147"/>
      <c r="DZ559" s="147"/>
      <c r="EA559" s="147"/>
      <c r="EB559" s="147"/>
      <c r="EC559" s="147"/>
      <c r="ED559" s="147"/>
      <c r="EE559" s="147"/>
      <c r="EF559" s="147"/>
      <c r="EG559" s="147"/>
      <c r="EH559" s="147"/>
    </row>
    <row r="560" spans="1:138" x14ac:dyDescent="0.25">
      <c r="A560" s="147"/>
      <c r="B560" s="147"/>
      <c r="C560" s="160"/>
      <c r="D560" s="160"/>
      <c r="E560" s="169"/>
      <c r="F560" s="229"/>
      <c r="G560" s="165"/>
      <c r="H560" s="165"/>
      <c r="I560" s="163"/>
      <c r="J560" s="163"/>
      <c r="K560" s="162"/>
      <c r="L560" s="162"/>
      <c r="M560" s="162"/>
      <c r="N560" s="230"/>
      <c r="O560" s="230"/>
      <c r="P560" s="162"/>
      <c r="Q560" s="162"/>
      <c r="R560" s="162"/>
      <c r="S560" s="162"/>
      <c r="T560" s="162"/>
      <c r="U560" s="230"/>
      <c r="V560" s="230"/>
      <c r="W560" s="162"/>
      <c r="X560" s="162"/>
      <c r="Y560" s="162"/>
      <c r="Z560" s="162"/>
      <c r="AA560" s="162"/>
      <c r="AB560" s="230"/>
      <c r="AC560" s="230"/>
      <c r="AD560" s="162"/>
      <c r="AE560" s="162"/>
      <c r="AF560" s="162"/>
      <c r="AG560" s="162"/>
      <c r="AH560" s="162"/>
      <c r="AI560" s="230"/>
      <c r="AJ560" s="230"/>
      <c r="AK560" s="162"/>
      <c r="AL560" s="162"/>
      <c r="AM560" s="162"/>
      <c r="AN560" s="162"/>
      <c r="AO560" s="162"/>
      <c r="AP560" s="230"/>
      <c r="AQ560" s="230"/>
      <c r="AR560" s="162"/>
      <c r="AS560" s="162"/>
      <c r="AT560" s="162"/>
      <c r="AU560" s="162"/>
      <c r="AV560" s="162"/>
      <c r="AW560" s="230"/>
      <c r="AX560" s="230"/>
      <c r="AY560" s="162"/>
      <c r="AZ560" s="162"/>
      <c r="BA560" s="162"/>
      <c r="BB560" s="162"/>
      <c r="BC560" s="162"/>
      <c r="BD560" s="230"/>
      <c r="BE560" s="230"/>
      <c r="BF560" s="162"/>
      <c r="BG560" s="162"/>
      <c r="BH560" s="162"/>
      <c r="BI560" s="162"/>
      <c r="BJ560" s="162"/>
      <c r="BK560" s="230"/>
      <c r="BL560" s="230"/>
      <c r="BM560" s="162"/>
      <c r="BN560" s="162"/>
      <c r="BO560" s="162"/>
      <c r="BP560" s="162"/>
      <c r="BQ560" s="162"/>
      <c r="BR560" s="230"/>
      <c r="BS560" s="230"/>
      <c r="BT560" s="162"/>
      <c r="BU560" s="162"/>
      <c r="BV560" s="162"/>
      <c r="BW560" s="162"/>
      <c r="BX560" s="162"/>
      <c r="BY560" s="230"/>
      <c r="BZ560" s="230"/>
      <c r="CA560" s="162"/>
      <c r="CB560" s="162"/>
      <c r="CC560" s="162"/>
      <c r="CD560" s="162"/>
      <c r="CE560" s="162"/>
      <c r="CF560" s="230"/>
      <c r="CG560" s="230"/>
      <c r="CH560" s="162"/>
      <c r="CI560" s="162"/>
      <c r="CJ560" s="162"/>
      <c r="CK560" s="162"/>
      <c r="CL560" s="162"/>
      <c r="CM560" s="230"/>
      <c r="CN560" s="230"/>
      <c r="CO560" s="162"/>
      <c r="CP560" s="162"/>
      <c r="CQ560" s="162"/>
      <c r="CR560" s="162"/>
      <c r="CS560" s="162"/>
      <c r="CT560" s="230"/>
      <c r="CU560" s="230"/>
      <c r="CV560" s="162"/>
      <c r="CW560" s="162"/>
      <c r="CX560" s="162"/>
      <c r="CY560" s="162"/>
      <c r="CZ560" s="162"/>
      <c r="DA560" s="230"/>
      <c r="DB560" s="230"/>
      <c r="DC560" s="162"/>
      <c r="DD560" s="162"/>
      <c r="DE560" s="162"/>
      <c r="DF560" s="162"/>
      <c r="DG560" s="162"/>
      <c r="DH560" s="230"/>
      <c r="DI560" s="230"/>
      <c r="DJ560" s="162"/>
      <c r="DK560" s="162"/>
      <c r="DL560" s="147"/>
      <c r="DM560" s="147"/>
      <c r="DN560" s="147"/>
      <c r="DO560" s="147"/>
      <c r="DP560" s="147"/>
      <c r="DQ560" s="147"/>
      <c r="DR560" s="147"/>
      <c r="DS560" s="147"/>
      <c r="DT560" s="147"/>
      <c r="DU560" s="147"/>
      <c r="DV560" s="147"/>
      <c r="DW560" s="147"/>
      <c r="DX560" s="147"/>
      <c r="DY560" s="147"/>
      <c r="DZ560" s="147"/>
      <c r="EA560" s="147"/>
      <c r="EB560" s="147"/>
      <c r="EC560" s="147"/>
      <c r="ED560" s="147"/>
      <c r="EE560" s="147"/>
      <c r="EF560" s="147"/>
      <c r="EG560" s="147"/>
      <c r="EH560" s="147"/>
    </row>
    <row r="561" spans="1:138" x14ac:dyDescent="0.25">
      <c r="A561" s="147"/>
      <c r="B561" s="147"/>
      <c r="C561" s="160"/>
      <c r="D561" s="160"/>
      <c r="E561" s="169"/>
      <c r="F561" s="229"/>
      <c r="G561" s="165"/>
      <c r="H561" s="165"/>
      <c r="I561" s="163"/>
      <c r="J561" s="163"/>
      <c r="K561" s="162"/>
      <c r="L561" s="162"/>
      <c r="M561" s="162"/>
      <c r="N561" s="230"/>
      <c r="O561" s="230"/>
      <c r="P561" s="162"/>
      <c r="Q561" s="162"/>
      <c r="R561" s="162"/>
      <c r="S561" s="162"/>
      <c r="T561" s="162"/>
      <c r="U561" s="230"/>
      <c r="V561" s="230"/>
      <c r="W561" s="162"/>
      <c r="X561" s="162"/>
      <c r="Y561" s="162"/>
      <c r="Z561" s="162"/>
      <c r="AA561" s="162"/>
      <c r="AB561" s="230"/>
      <c r="AC561" s="230"/>
      <c r="AD561" s="162"/>
      <c r="AE561" s="162"/>
      <c r="AF561" s="162"/>
      <c r="AG561" s="162"/>
      <c r="AH561" s="162"/>
      <c r="AI561" s="230"/>
      <c r="AJ561" s="230"/>
      <c r="AK561" s="162"/>
      <c r="AL561" s="162"/>
      <c r="AM561" s="162"/>
      <c r="AN561" s="162"/>
      <c r="AO561" s="162"/>
      <c r="AP561" s="230"/>
      <c r="AQ561" s="230"/>
      <c r="AR561" s="162"/>
      <c r="AS561" s="162"/>
      <c r="AT561" s="162"/>
      <c r="AU561" s="162"/>
      <c r="AV561" s="162"/>
      <c r="AW561" s="230"/>
      <c r="AX561" s="230"/>
      <c r="AY561" s="162"/>
      <c r="AZ561" s="162"/>
      <c r="BA561" s="162"/>
      <c r="BB561" s="162"/>
      <c r="BC561" s="162"/>
      <c r="BD561" s="230"/>
      <c r="BE561" s="230"/>
      <c r="BF561" s="162"/>
      <c r="BG561" s="162"/>
      <c r="BH561" s="162"/>
      <c r="BI561" s="162"/>
      <c r="BJ561" s="162"/>
      <c r="BK561" s="230"/>
      <c r="BL561" s="230"/>
      <c r="BM561" s="162"/>
      <c r="BN561" s="162"/>
      <c r="BO561" s="162"/>
      <c r="BP561" s="162"/>
      <c r="BQ561" s="162"/>
      <c r="BR561" s="230"/>
      <c r="BS561" s="230"/>
      <c r="BT561" s="162"/>
      <c r="BU561" s="162"/>
      <c r="BV561" s="162"/>
      <c r="BW561" s="162"/>
      <c r="BX561" s="162"/>
      <c r="BY561" s="230"/>
      <c r="BZ561" s="230"/>
      <c r="CA561" s="162"/>
      <c r="CB561" s="162"/>
      <c r="CC561" s="162"/>
      <c r="CD561" s="162"/>
      <c r="CE561" s="162"/>
      <c r="CF561" s="230"/>
      <c r="CG561" s="230"/>
      <c r="CH561" s="162"/>
      <c r="CI561" s="162"/>
      <c r="CJ561" s="162"/>
      <c r="CK561" s="162"/>
      <c r="CL561" s="162"/>
      <c r="CM561" s="230"/>
      <c r="CN561" s="230"/>
      <c r="CO561" s="162"/>
      <c r="CP561" s="162"/>
      <c r="CQ561" s="162"/>
      <c r="CR561" s="162"/>
      <c r="CS561" s="162"/>
      <c r="CT561" s="230"/>
      <c r="CU561" s="230"/>
      <c r="CV561" s="162"/>
      <c r="CW561" s="162"/>
      <c r="CX561" s="162"/>
      <c r="CY561" s="162"/>
      <c r="CZ561" s="162"/>
      <c r="DA561" s="230"/>
      <c r="DB561" s="230"/>
      <c r="DC561" s="162"/>
      <c r="DD561" s="162"/>
      <c r="DE561" s="162"/>
      <c r="DF561" s="162"/>
      <c r="DG561" s="162"/>
      <c r="DH561" s="230"/>
      <c r="DI561" s="230"/>
      <c r="DJ561" s="162"/>
      <c r="DK561" s="162"/>
      <c r="DL561" s="147"/>
      <c r="DM561" s="147"/>
      <c r="DN561" s="147"/>
      <c r="DO561" s="147"/>
      <c r="DP561" s="147"/>
      <c r="DQ561" s="147"/>
      <c r="DR561" s="147"/>
      <c r="DS561" s="147"/>
      <c r="DT561" s="147"/>
      <c r="DU561" s="147"/>
      <c r="DV561" s="147"/>
      <c r="DW561" s="147"/>
      <c r="DX561" s="147"/>
      <c r="DY561" s="147"/>
      <c r="DZ561" s="147"/>
      <c r="EA561" s="147"/>
      <c r="EB561" s="147"/>
      <c r="EC561" s="147"/>
      <c r="ED561" s="147"/>
      <c r="EE561" s="147"/>
      <c r="EF561" s="147"/>
      <c r="EG561" s="147"/>
      <c r="EH561" s="147"/>
    </row>
    <row r="562" spans="1:138" x14ac:dyDescent="0.25">
      <c r="A562" s="147"/>
      <c r="B562" s="147"/>
      <c r="C562" s="160"/>
      <c r="D562" s="160"/>
      <c r="E562" s="169"/>
      <c r="F562" s="229"/>
      <c r="G562" s="165"/>
      <c r="H562" s="165"/>
      <c r="I562" s="163"/>
      <c r="J562" s="163"/>
      <c r="K562" s="162"/>
      <c r="L562" s="162"/>
      <c r="M562" s="162"/>
      <c r="N562" s="230"/>
      <c r="O562" s="230"/>
      <c r="P562" s="162"/>
      <c r="Q562" s="162"/>
      <c r="R562" s="162"/>
      <c r="S562" s="162"/>
      <c r="T562" s="162"/>
      <c r="U562" s="230"/>
      <c r="V562" s="230"/>
      <c r="W562" s="162"/>
      <c r="X562" s="162"/>
      <c r="Y562" s="162"/>
      <c r="Z562" s="162"/>
      <c r="AA562" s="162"/>
      <c r="AB562" s="230"/>
      <c r="AC562" s="230"/>
      <c r="AD562" s="162"/>
      <c r="AE562" s="162"/>
      <c r="AF562" s="162"/>
      <c r="AG562" s="162"/>
      <c r="AH562" s="162"/>
      <c r="AI562" s="230"/>
      <c r="AJ562" s="230"/>
      <c r="AK562" s="162"/>
      <c r="AL562" s="162"/>
      <c r="AM562" s="162"/>
      <c r="AN562" s="162"/>
      <c r="AO562" s="162"/>
      <c r="AP562" s="230"/>
      <c r="AQ562" s="230"/>
      <c r="AR562" s="162"/>
      <c r="AS562" s="162"/>
      <c r="AT562" s="162"/>
      <c r="AU562" s="162"/>
      <c r="AV562" s="162"/>
      <c r="AW562" s="230"/>
      <c r="AX562" s="230"/>
      <c r="AY562" s="162"/>
      <c r="AZ562" s="162"/>
      <c r="BA562" s="162"/>
      <c r="BB562" s="162"/>
      <c r="BC562" s="162"/>
      <c r="BD562" s="230"/>
      <c r="BE562" s="230"/>
      <c r="BF562" s="162"/>
      <c r="BG562" s="162"/>
      <c r="BH562" s="162"/>
      <c r="BI562" s="162"/>
      <c r="BJ562" s="162"/>
      <c r="BK562" s="230"/>
      <c r="BL562" s="230"/>
      <c r="BM562" s="162"/>
      <c r="BN562" s="162"/>
      <c r="BO562" s="162"/>
      <c r="BP562" s="162"/>
      <c r="BQ562" s="162"/>
      <c r="BR562" s="230"/>
      <c r="BS562" s="230"/>
      <c r="BT562" s="162"/>
      <c r="BU562" s="162"/>
      <c r="BV562" s="162"/>
      <c r="BW562" s="162"/>
      <c r="BX562" s="162"/>
      <c r="BY562" s="230"/>
      <c r="BZ562" s="230"/>
      <c r="CA562" s="162"/>
      <c r="CB562" s="162"/>
      <c r="CC562" s="162"/>
      <c r="CD562" s="162"/>
      <c r="CE562" s="162"/>
      <c r="CF562" s="230"/>
      <c r="CG562" s="230"/>
      <c r="CH562" s="162"/>
      <c r="CI562" s="162"/>
      <c r="CJ562" s="162"/>
      <c r="CK562" s="162"/>
      <c r="CL562" s="162"/>
      <c r="CM562" s="230"/>
      <c r="CN562" s="230"/>
      <c r="CO562" s="162"/>
      <c r="CP562" s="162"/>
      <c r="CQ562" s="162"/>
      <c r="CR562" s="162"/>
      <c r="CS562" s="162"/>
      <c r="CT562" s="230"/>
      <c r="CU562" s="230"/>
      <c r="CV562" s="162"/>
      <c r="CW562" s="162"/>
      <c r="CX562" s="162"/>
      <c r="CY562" s="162"/>
      <c r="CZ562" s="162"/>
      <c r="DA562" s="230"/>
      <c r="DB562" s="230"/>
      <c r="DC562" s="162"/>
      <c r="DD562" s="162"/>
      <c r="DE562" s="162"/>
      <c r="DF562" s="162"/>
      <c r="DG562" s="162"/>
      <c r="DH562" s="230"/>
      <c r="DI562" s="230"/>
      <c r="DJ562" s="162"/>
      <c r="DK562" s="162"/>
      <c r="DL562" s="147"/>
      <c r="DM562" s="147"/>
      <c r="DN562" s="147"/>
      <c r="DO562" s="147"/>
      <c r="DP562" s="147"/>
      <c r="DQ562" s="147"/>
      <c r="DR562" s="147"/>
      <c r="DS562" s="147"/>
      <c r="DT562" s="147"/>
      <c r="DU562" s="147"/>
      <c r="DV562" s="147"/>
      <c r="DW562" s="147"/>
      <c r="DX562" s="147"/>
      <c r="DY562" s="147"/>
      <c r="DZ562" s="147"/>
      <c r="EA562" s="147"/>
      <c r="EB562" s="147"/>
      <c r="EC562" s="147"/>
      <c r="ED562" s="147"/>
      <c r="EE562" s="147"/>
      <c r="EF562" s="147"/>
      <c r="EG562" s="147"/>
      <c r="EH562" s="147"/>
    </row>
    <row r="563" spans="1:138" x14ac:dyDescent="0.25">
      <c r="A563" s="147"/>
      <c r="B563" s="147"/>
      <c r="C563" s="160"/>
      <c r="D563" s="160"/>
      <c r="E563" s="169"/>
      <c r="F563" s="229"/>
      <c r="G563" s="165"/>
      <c r="H563" s="165"/>
      <c r="I563" s="163"/>
      <c r="J563" s="163"/>
      <c r="K563" s="162"/>
      <c r="L563" s="162"/>
      <c r="M563" s="162"/>
      <c r="N563" s="230"/>
      <c r="O563" s="230"/>
      <c r="P563" s="162"/>
      <c r="Q563" s="162"/>
      <c r="R563" s="162"/>
      <c r="S563" s="162"/>
      <c r="T563" s="162"/>
      <c r="U563" s="230"/>
      <c r="V563" s="230"/>
      <c r="W563" s="162"/>
      <c r="X563" s="162"/>
      <c r="Y563" s="162"/>
      <c r="Z563" s="162"/>
      <c r="AA563" s="162"/>
      <c r="AB563" s="230"/>
      <c r="AC563" s="230"/>
      <c r="AD563" s="162"/>
      <c r="AE563" s="162"/>
      <c r="AF563" s="162"/>
      <c r="AG563" s="162"/>
      <c r="AH563" s="162"/>
      <c r="AI563" s="230"/>
      <c r="AJ563" s="230"/>
      <c r="AK563" s="162"/>
      <c r="AL563" s="162"/>
      <c r="AM563" s="162"/>
      <c r="AN563" s="162"/>
      <c r="AO563" s="162"/>
      <c r="AP563" s="230"/>
      <c r="AQ563" s="230"/>
      <c r="AR563" s="162"/>
      <c r="AS563" s="162"/>
      <c r="AT563" s="162"/>
      <c r="AU563" s="162"/>
      <c r="AV563" s="162"/>
      <c r="AW563" s="230"/>
      <c r="AX563" s="230"/>
      <c r="AY563" s="162"/>
      <c r="AZ563" s="162"/>
      <c r="BA563" s="162"/>
      <c r="BB563" s="162"/>
      <c r="BC563" s="162"/>
      <c r="BD563" s="230"/>
      <c r="BE563" s="230"/>
      <c r="BF563" s="162"/>
      <c r="BG563" s="162"/>
      <c r="BH563" s="162"/>
      <c r="BI563" s="162"/>
      <c r="BJ563" s="162"/>
      <c r="BK563" s="230"/>
      <c r="BL563" s="230"/>
      <c r="BM563" s="162"/>
      <c r="BN563" s="162"/>
      <c r="BO563" s="162"/>
      <c r="BP563" s="162"/>
      <c r="BQ563" s="162"/>
      <c r="BR563" s="230"/>
      <c r="BS563" s="230"/>
      <c r="BT563" s="162"/>
      <c r="BU563" s="162"/>
      <c r="BV563" s="162"/>
      <c r="BW563" s="162"/>
      <c r="BX563" s="162"/>
      <c r="BY563" s="230"/>
      <c r="BZ563" s="230"/>
      <c r="CA563" s="162"/>
      <c r="CB563" s="162"/>
      <c r="CC563" s="162"/>
      <c r="CD563" s="162"/>
      <c r="CE563" s="162"/>
      <c r="CF563" s="230"/>
      <c r="CG563" s="230"/>
      <c r="CH563" s="162"/>
      <c r="CI563" s="162"/>
      <c r="CJ563" s="162"/>
      <c r="CK563" s="162"/>
      <c r="CL563" s="162"/>
      <c r="CM563" s="230"/>
      <c r="CN563" s="230"/>
      <c r="CO563" s="162"/>
      <c r="CP563" s="162"/>
      <c r="CQ563" s="162"/>
      <c r="CR563" s="162"/>
      <c r="CS563" s="162"/>
      <c r="CT563" s="230"/>
      <c r="CU563" s="230"/>
      <c r="CV563" s="162"/>
      <c r="CW563" s="162"/>
      <c r="CX563" s="162"/>
      <c r="CY563" s="162"/>
      <c r="CZ563" s="162"/>
      <c r="DA563" s="230"/>
      <c r="DB563" s="230"/>
      <c r="DC563" s="162"/>
      <c r="DD563" s="162"/>
      <c r="DE563" s="162"/>
      <c r="DF563" s="162"/>
      <c r="DG563" s="162"/>
      <c r="DH563" s="230"/>
      <c r="DI563" s="230"/>
      <c r="DJ563" s="162"/>
      <c r="DK563" s="162"/>
      <c r="DL563" s="147"/>
      <c r="DM563" s="147"/>
      <c r="DN563" s="147"/>
      <c r="DO563" s="147"/>
      <c r="DP563" s="147"/>
      <c r="DQ563" s="147"/>
      <c r="DR563" s="147"/>
      <c r="DS563" s="147"/>
      <c r="DT563" s="147"/>
      <c r="DU563" s="147"/>
      <c r="DV563" s="147"/>
      <c r="DW563" s="147"/>
      <c r="DX563" s="147"/>
      <c r="DY563" s="147"/>
      <c r="DZ563" s="147"/>
      <c r="EA563" s="147"/>
      <c r="EB563" s="147"/>
      <c r="EC563" s="147"/>
      <c r="ED563" s="147"/>
      <c r="EE563" s="147"/>
      <c r="EF563" s="147"/>
      <c r="EG563" s="147"/>
      <c r="EH563" s="147"/>
    </row>
    <row r="564" spans="1:138" x14ac:dyDescent="0.25">
      <c r="A564" s="147"/>
      <c r="B564" s="147"/>
      <c r="C564" s="160"/>
      <c r="D564" s="160"/>
      <c r="E564" s="169"/>
      <c r="F564" s="229"/>
      <c r="G564" s="165"/>
      <c r="H564" s="165"/>
      <c r="I564" s="163"/>
      <c r="J564" s="163"/>
      <c r="K564" s="162"/>
      <c r="L564" s="162"/>
      <c r="M564" s="162"/>
      <c r="N564" s="230"/>
      <c r="O564" s="230"/>
      <c r="P564" s="162"/>
      <c r="Q564" s="162"/>
      <c r="R564" s="162"/>
      <c r="S564" s="162"/>
      <c r="T564" s="162"/>
      <c r="U564" s="230"/>
      <c r="V564" s="230"/>
      <c r="W564" s="162"/>
      <c r="X564" s="162"/>
      <c r="Y564" s="162"/>
      <c r="Z564" s="162"/>
      <c r="AA564" s="162"/>
      <c r="AB564" s="230"/>
      <c r="AC564" s="230"/>
      <c r="AD564" s="162"/>
      <c r="AE564" s="162"/>
      <c r="AF564" s="162"/>
      <c r="AG564" s="162"/>
      <c r="AH564" s="162"/>
      <c r="AI564" s="230"/>
      <c r="AJ564" s="230"/>
      <c r="AK564" s="162"/>
      <c r="AL564" s="162"/>
      <c r="AM564" s="162"/>
      <c r="AN564" s="162"/>
      <c r="AO564" s="162"/>
      <c r="AP564" s="230"/>
      <c r="AQ564" s="230"/>
      <c r="AR564" s="162"/>
      <c r="AS564" s="162"/>
      <c r="AT564" s="162"/>
      <c r="AU564" s="162"/>
      <c r="AV564" s="162"/>
      <c r="AW564" s="230"/>
      <c r="AX564" s="230"/>
      <c r="AY564" s="162"/>
      <c r="AZ564" s="162"/>
      <c r="BA564" s="162"/>
      <c r="BB564" s="162"/>
      <c r="BC564" s="162"/>
      <c r="BD564" s="230"/>
      <c r="BE564" s="230"/>
      <c r="BF564" s="162"/>
      <c r="BG564" s="162"/>
      <c r="BH564" s="162"/>
      <c r="BI564" s="162"/>
      <c r="BJ564" s="162"/>
      <c r="BK564" s="230"/>
      <c r="BL564" s="230"/>
      <c r="BM564" s="162"/>
      <c r="BN564" s="162"/>
      <c r="BO564" s="162"/>
      <c r="BP564" s="162"/>
      <c r="BQ564" s="162"/>
      <c r="BR564" s="230"/>
      <c r="BS564" s="230"/>
      <c r="BT564" s="162"/>
      <c r="BU564" s="162"/>
      <c r="BV564" s="162"/>
      <c r="BW564" s="162"/>
      <c r="BX564" s="162"/>
      <c r="BY564" s="230"/>
      <c r="BZ564" s="230"/>
      <c r="CA564" s="162"/>
      <c r="CB564" s="162"/>
      <c r="CC564" s="162"/>
      <c r="CD564" s="162"/>
      <c r="CE564" s="162"/>
      <c r="CF564" s="230"/>
      <c r="CG564" s="230"/>
      <c r="CH564" s="162"/>
      <c r="CI564" s="162"/>
      <c r="CJ564" s="162"/>
      <c r="CK564" s="162"/>
      <c r="CL564" s="162"/>
      <c r="CM564" s="230"/>
      <c r="CN564" s="230"/>
      <c r="CO564" s="162"/>
      <c r="CP564" s="162"/>
      <c r="CQ564" s="162"/>
      <c r="CR564" s="162"/>
      <c r="CS564" s="162"/>
      <c r="CT564" s="230"/>
      <c r="CU564" s="230"/>
      <c r="CV564" s="162"/>
      <c r="CW564" s="162"/>
      <c r="CX564" s="162"/>
      <c r="CY564" s="162"/>
      <c r="CZ564" s="162"/>
      <c r="DA564" s="230"/>
      <c r="DB564" s="230"/>
      <c r="DC564" s="162"/>
      <c r="DD564" s="162"/>
      <c r="DE564" s="162"/>
      <c r="DF564" s="162"/>
      <c r="DG564" s="162"/>
      <c r="DH564" s="230"/>
      <c r="DI564" s="230"/>
      <c r="DJ564" s="162"/>
      <c r="DK564" s="162"/>
      <c r="DL564" s="147"/>
      <c r="DM564" s="147"/>
      <c r="DN564" s="147"/>
      <c r="DO564" s="147"/>
      <c r="DP564" s="147"/>
      <c r="DQ564" s="147"/>
      <c r="DR564" s="147"/>
      <c r="DS564" s="147"/>
      <c r="DT564" s="147"/>
      <c r="DU564" s="147"/>
      <c r="DV564" s="147"/>
      <c r="DW564" s="147"/>
      <c r="DX564" s="147"/>
      <c r="DY564" s="147"/>
      <c r="DZ564" s="147"/>
      <c r="EA564" s="147"/>
      <c r="EB564" s="147"/>
      <c r="EC564" s="147"/>
      <c r="ED564" s="147"/>
      <c r="EE564" s="147"/>
      <c r="EF564" s="147"/>
      <c r="EG564" s="147"/>
      <c r="EH564" s="147"/>
    </row>
    <row r="565" spans="1:138" x14ac:dyDescent="0.25">
      <c r="A565" s="147"/>
      <c r="B565" s="147"/>
      <c r="C565" s="160"/>
      <c r="D565" s="160"/>
      <c r="E565" s="169"/>
      <c r="F565" s="229"/>
      <c r="G565" s="165"/>
      <c r="H565" s="165"/>
      <c r="I565" s="163"/>
      <c r="J565" s="163"/>
      <c r="K565" s="162"/>
      <c r="L565" s="162"/>
      <c r="M565" s="162"/>
      <c r="N565" s="230"/>
      <c r="O565" s="230"/>
      <c r="P565" s="162"/>
      <c r="Q565" s="162"/>
      <c r="R565" s="162"/>
      <c r="S565" s="162"/>
      <c r="T565" s="162"/>
      <c r="U565" s="230"/>
      <c r="V565" s="230"/>
      <c r="W565" s="162"/>
      <c r="X565" s="162"/>
      <c r="Y565" s="162"/>
      <c r="Z565" s="162"/>
      <c r="AA565" s="162"/>
      <c r="AB565" s="230"/>
      <c r="AC565" s="230"/>
      <c r="AD565" s="162"/>
      <c r="AE565" s="162"/>
      <c r="AF565" s="162"/>
      <c r="AG565" s="162"/>
      <c r="AH565" s="162"/>
      <c r="AI565" s="230"/>
      <c r="AJ565" s="230"/>
      <c r="AK565" s="162"/>
      <c r="AL565" s="162"/>
      <c r="AM565" s="162"/>
      <c r="AN565" s="162"/>
      <c r="AO565" s="162"/>
      <c r="AP565" s="230"/>
      <c r="AQ565" s="230"/>
      <c r="AR565" s="162"/>
      <c r="AS565" s="162"/>
      <c r="AT565" s="162"/>
      <c r="AU565" s="162"/>
      <c r="AV565" s="162"/>
      <c r="AW565" s="230"/>
      <c r="AX565" s="230"/>
      <c r="AY565" s="162"/>
      <c r="AZ565" s="162"/>
      <c r="BA565" s="162"/>
      <c r="BB565" s="162"/>
      <c r="BC565" s="162"/>
      <c r="BD565" s="230"/>
      <c r="BE565" s="230"/>
      <c r="BF565" s="162"/>
      <c r="BG565" s="162"/>
      <c r="BH565" s="162"/>
      <c r="BI565" s="162"/>
      <c r="BJ565" s="162"/>
      <c r="BK565" s="230"/>
      <c r="BL565" s="230"/>
      <c r="BM565" s="162"/>
      <c r="BN565" s="162"/>
      <c r="BO565" s="162"/>
      <c r="BP565" s="162"/>
      <c r="BQ565" s="162"/>
      <c r="BR565" s="230"/>
      <c r="BS565" s="230"/>
      <c r="BT565" s="162"/>
      <c r="BU565" s="162"/>
      <c r="BV565" s="162"/>
      <c r="BW565" s="162"/>
      <c r="BX565" s="162"/>
      <c r="BY565" s="230"/>
      <c r="BZ565" s="230"/>
      <c r="CA565" s="162"/>
      <c r="CB565" s="162"/>
      <c r="CC565" s="162"/>
      <c r="CD565" s="162"/>
      <c r="CE565" s="162"/>
      <c r="CF565" s="230"/>
      <c r="CG565" s="230"/>
      <c r="CH565" s="162"/>
      <c r="CI565" s="162"/>
      <c r="CJ565" s="162"/>
      <c r="CK565" s="162"/>
      <c r="CL565" s="162"/>
      <c r="CM565" s="230"/>
      <c r="CN565" s="230"/>
      <c r="CO565" s="162"/>
      <c r="CP565" s="162"/>
      <c r="CQ565" s="162"/>
      <c r="CR565" s="162"/>
      <c r="CS565" s="162"/>
      <c r="CT565" s="230"/>
      <c r="CU565" s="230"/>
      <c r="CV565" s="162"/>
      <c r="CW565" s="162"/>
      <c r="CX565" s="162"/>
      <c r="CY565" s="162"/>
      <c r="CZ565" s="162"/>
      <c r="DA565" s="230"/>
      <c r="DB565" s="230"/>
      <c r="DC565" s="162"/>
      <c r="DD565" s="162"/>
      <c r="DE565" s="162"/>
      <c r="DF565" s="162"/>
      <c r="DG565" s="162"/>
      <c r="DH565" s="230"/>
      <c r="DI565" s="230"/>
      <c r="DJ565" s="162"/>
      <c r="DK565" s="162"/>
      <c r="DL565" s="147"/>
      <c r="DM565" s="147"/>
      <c r="DN565" s="147"/>
      <c r="DO565" s="147"/>
      <c r="DP565" s="147"/>
      <c r="DQ565" s="147"/>
      <c r="DR565" s="147"/>
      <c r="DS565" s="147"/>
      <c r="DT565" s="147"/>
      <c r="DU565" s="147"/>
      <c r="DV565" s="147"/>
      <c r="DW565" s="147"/>
      <c r="DX565" s="147"/>
      <c r="DY565" s="147"/>
      <c r="DZ565" s="147"/>
      <c r="EA565" s="147"/>
      <c r="EB565" s="147"/>
      <c r="EC565" s="147"/>
      <c r="ED565" s="147"/>
      <c r="EE565" s="147"/>
      <c r="EF565" s="147"/>
      <c r="EG565" s="147"/>
      <c r="EH565" s="147"/>
    </row>
    <row r="566" spans="1:138" x14ac:dyDescent="0.25">
      <c r="A566" s="147"/>
      <c r="B566" s="147"/>
      <c r="C566" s="160"/>
      <c r="D566" s="160"/>
      <c r="E566" s="169"/>
      <c r="F566" s="229"/>
      <c r="G566" s="165"/>
      <c r="H566" s="165"/>
      <c r="I566" s="163"/>
      <c r="J566" s="163"/>
      <c r="K566" s="162"/>
      <c r="L566" s="162"/>
      <c r="M566" s="162"/>
      <c r="N566" s="230"/>
      <c r="O566" s="230"/>
      <c r="P566" s="162"/>
      <c r="Q566" s="162"/>
      <c r="R566" s="162"/>
      <c r="S566" s="162"/>
      <c r="T566" s="162"/>
      <c r="U566" s="230"/>
      <c r="V566" s="230"/>
      <c r="W566" s="162"/>
      <c r="X566" s="162"/>
      <c r="Y566" s="162"/>
      <c r="Z566" s="162"/>
      <c r="AA566" s="162"/>
      <c r="AB566" s="230"/>
      <c r="AC566" s="230"/>
      <c r="AD566" s="162"/>
      <c r="AE566" s="162"/>
      <c r="AF566" s="162"/>
      <c r="AG566" s="162"/>
      <c r="AH566" s="162"/>
      <c r="AI566" s="230"/>
      <c r="AJ566" s="230"/>
      <c r="AK566" s="162"/>
      <c r="AL566" s="162"/>
      <c r="AM566" s="162"/>
      <c r="AN566" s="162"/>
      <c r="AO566" s="162"/>
      <c r="AP566" s="230"/>
      <c r="AQ566" s="230"/>
      <c r="AR566" s="162"/>
      <c r="AS566" s="162"/>
      <c r="AT566" s="162"/>
      <c r="AU566" s="162"/>
      <c r="AV566" s="162"/>
      <c r="AW566" s="230"/>
      <c r="AX566" s="230"/>
      <c r="AY566" s="162"/>
      <c r="AZ566" s="162"/>
      <c r="BA566" s="162"/>
      <c r="BB566" s="162"/>
      <c r="BC566" s="162"/>
      <c r="BD566" s="230"/>
      <c r="BE566" s="230"/>
      <c r="BF566" s="162"/>
      <c r="BG566" s="162"/>
      <c r="BH566" s="162"/>
      <c r="BI566" s="162"/>
      <c r="BJ566" s="162"/>
      <c r="BK566" s="230"/>
      <c r="BL566" s="230"/>
      <c r="BM566" s="162"/>
      <c r="BN566" s="162"/>
      <c r="BO566" s="162"/>
      <c r="BP566" s="162"/>
      <c r="BQ566" s="162"/>
      <c r="BR566" s="230"/>
      <c r="BS566" s="230"/>
      <c r="BT566" s="162"/>
      <c r="BU566" s="162"/>
      <c r="BV566" s="162"/>
      <c r="BW566" s="162"/>
      <c r="BX566" s="162"/>
      <c r="BY566" s="230"/>
      <c r="BZ566" s="230"/>
      <c r="CA566" s="162"/>
      <c r="CB566" s="162"/>
      <c r="CC566" s="162"/>
      <c r="CD566" s="162"/>
      <c r="CE566" s="162"/>
      <c r="CF566" s="230"/>
      <c r="CG566" s="230"/>
      <c r="CH566" s="162"/>
      <c r="CI566" s="162"/>
      <c r="CJ566" s="162"/>
      <c r="CK566" s="162"/>
      <c r="CL566" s="162"/>
      <c r="CM566" s="230"/>
      <c r="CN566" s="230"/>
      <c r="CO566" s="162"/>
      <c r="CP566" s="162"/>
      <c r="CQ566" s="162"/>
      <c r="CR566" s="162"/>
      <c r="CS566" s="162"/>
      <c r="CT566" s="230"/>
      <c r="CU566" s="230"/>
      <c r="CV566" s="162"/>
      <c r="CW566" s="162"/>
      <c r="CX566" s="162"/>
      <c r="CY566" s="162"/>
      <c r="CZ566" s="162"/>
      <c r="DA566" s="230"/>
      <c r="DB566" s="230"/>
      <c r="DC566" s="162"/>
      <c r="DD566" s="162"/>
      <c r="DE566" s="162"/>
      <c r="DF566" s="162"/>
      <c r="DG566" s="162"/>
      <c r="DH566" s="230"/>
      <c r="DI566" s="230"/>
      <c r="DJ566" s="162"/>
      <c r="DK566" s="162"/>
      <c r="DL566" s="147"/>
      <c r="DM566" s="147"/>
      <c r="DN566" s="147"/>
      <c r="DO566" s="147"/>
      <c r="DP566" s="147"/>
      <c r="DQ566" s="147"/>
      <c r="DR566" s="147"/>
      <c r="DS566" s="147"/>
      <c r="DT566" s="147"/>
      <c r="DU566" s="147"/>
      <c r="DV566" s="147"/>
      <c r="DW566" s="147"/>
      <c r="DX566" s="147"/>
      <c r="DY566" s="147"/>
      <c r="DZ566" s="147"/>
      <c r="EA566" s="147"/>
      <c r="EB566" s="147"/>
      <c r="EC566" s="147"/>
      <c r="ED566" s="147"/>
      <c r="EE566" s="147"/>
      <c r="EF566" s="147"/>
      <c r="EG566" s="147"/>
      <c r="EH566" s="147"/>
    </row>
    <row r="567" spans="1:138" x14ac:dyDescent="0.25">
      <c r="A567" s="147"/>
      <c r="B567" s="147"/>
      <c r="C567" s="160"/>
      <c r="D567" s="160"/>
      <c r="E567" s="169"/>
      <c r="F567" s="229"/>
      <c r="G567" s="165"/>
      <c r="H567" s="165"/>
      <c r="I567" s="163"/>
      <c r="J567" s="163"/>
      <c r="K567" s="162"/>
      <c r="L567" s="162"/>
      <c r="M567" s="162"/>
      <c r="N567" s="230"/>
      <c r="O567" s="230"/>
      <c r="P567" s="162"/>
      <c r="Q567" s="162"/>
      <c r="R567" s="162"/>
      <c r="S567" s="162"/>
      <c r="T567" s="162"/>
      <c r="U567" s="230"/>
      <c r="V567" s="230"/>
      <c r="W567" s="162"/>
      <c r="X567" s="162"/>
      <c r="Y567" s="162"/>
      <c r="Z567" s="162"/>
      <c r="AA567" s="162"/>
      <c r="AB567" s="230"/>
      <c r="AC567" s="230"/>
      <c r="AD567" s="162"/>
      <c r="AE567" s="162"/>
      <c r="AF567" s="162"/>
      <c r="AG567" s="162"/>
      <c r="AH567" s="162"/>
      <c r="AI567" s="230"/>
      <c r="AJ567" s="230"/>
      <c r="AK567" s="162"/>
      <c r="AL567" s="162"/>
      <c r="AM567" s="162"/>
      <c r="AN567" s="162"/>
      <c r="AO567" s="162"/>
      <c r="AP567" s="230"/>
      <c r="AQ567" s="230"/>
      <c r="AR567" s="162"/>
      <c r="AS567" s="162"/>
      <c r="AT567" s="162"/>
      <c r="AU567" s="162"/>
      <c r="AV567" s="162"/>
      <c r="AW567" s="230"/>
      <c r="AX567" s="230"/>
      <c r="AY567" s="162"/>
      <c r="AZ567" s="162"/>
      <c r="BA567" s="162"/>
      <c r="BB567" s="162"/>
      <c r="BC567" s="162"/>
      <c r="BD567" s="230"/>
      <c r="BE567" s="230"/>
      <c r="BF567" s="162"/>
      <c r="BG567" s="162"/>
      <c r="BH567" s="162"/>
      <c r="BI567" s="162"/>
      <c r="BJ567" s="162"/>
      <c r="BK567" s="230"/>
      <c r="BL567" s="230"/>
      <c r="BM567" s="162"/>
      <c r="BN567" s="162"/>
      <c r="BO567" s="162"/>
      <c r="BP567" s="162"/>
      <c r="BQ567" s="162"/>
      <c r="BR567" s="230"/>
      <c r="BS567" s="230"/>
      <c r="BT567" s="162"/>
      <c r="BU567" s="162"/>
      <c r="BV567" s="162"/>
      <c r="BW567" s="162"/>
      <c r="BX567" s="162"/>
      <c r="BY567" s="230"/>
      <c r="BZ567" s="230"/>
      <c r="CA567" s="162"/>
      <c r="CB567" s="162"/>
      <c r="CC567" s="162"/>
      <c r="CD567" s="162"/>
      <c r="CE567" s="162"/>
      <c r="CF567" s="230"/>
      <c r="CG567" s="230"/>
      <c r="CH567" s="162"/>
      <c r="CI567" s="162"/>
      <c r="CJ567" s="162"/>
      <c r="CK567" s="162"/>
      <c r="CL567" s="162"/>
      <c r="CM567" s="230"/>
      <c r="CN567" s="230"/>
      <c r="CO567" s="162"/>
      <c r="CP567" s="162"/>
      <c r="CQ567" s="162"/>
      <c r="CR567" s="162"/>
      <c r="CS567" s="162"/>
      <c r="CT567" s="230"/>
      <c r="CU567" s="230"/>
      <c r="CV567" s="162"/>
      <c r="CW567" s="162"/>
      <c r="CX567" s="162"/>
      <c r="CY567" s="162"/>
      <c r="CZ567" s="162"/>
      <c r="DA567" s="230"/>
      <c r="DB567" s="230"/>
      <c r="DC567" s="162"/>
      <c r="DD567" s="162"/>
      <c r="DE567" s="162"/>
      <c r="DF567" s="162"/>
      <c r="DG567" s="162"/>
      <c r="DH567" s="230"/>
      <c r="DI567" s="230"/>
      <c r="DJ567" s="162"/>
      <c r="DK567" s="162"/>
      <c r="DL567" s="147"/>
      <c r="DM567" s="147"/>
      <c r="DN567" s="147"/>
      <c r="DO567" s="147"/>
      <c r="DP567" s="147"/>
      <c r="DQ567" s="147"/>
      <c r="DR567" s="147"/>
      <c r="DS567" s="147"/>
      <c r="DT567" s="147"/>
      <c r="DU567" s="147"/>
      <c r="DV567" s="147"/>
      <c r="DW567" s="147"/>
      <c r="DX567" s="147"/>
      <c r="DY567" s="147"/>
      <c r="DZ567" s="147"/>
      <c r="EA567" s="147"/>
      <c r="EB567" s="147"/>
      <c r="EC567" s="147"/>
      <c r="ED567" s="147"/>
      <c r="EE567" s="147"/>
      <c r="EF567" s="147"/>
      <c r="EG567" s="147"/>
      <c r="EH567" s="147"/>
    </row>
    <row r="568" spans="1:138" x14ac:dyDescent="0.25">
      <c r="A568" s="147"/>
      <c r="B568" s="147"/>
      <c r="C568" s="160"/>
      <c r="D568" s="160"/>
      <c r="E568" s="169"/>
      <c r="F568" s="229"/>
      <c r="G568" s="165"/>
      <c r="H568" s="165"/>
      <c r="I568" s="163"/>
      <c r="J568" s="163"/>
      <c r="K568" s="162"/>
      <c r="L568" s="162"/>
      <c r="M568" s="162"/>
      <c r="N568" s="230"/>
      <c r="O568" s="230"/>
      <c r="P568" s="162"/>
      <c r="Q568" s="162"/>
      <c r="R568" s="162"/>
      <c r="S568" s="162"/>
      <c r="T568" s="162"/>
      <c r="U568" s="230"/>
      <c r="V568" s="230"/>
      <c r="W568" s="162"/>
      <c r="X568" s="162"/>
      <c r="Y568" s="162"/>
      <c r="Z568" s="162"/>
      <c r="AA568" s="162"/>
      <c r="AB568" s="230"/>
      <c r="AC568" s="230"/>
      <c r="AD568" s="162"/>
      <c r="AE568" s="162"/>
      <c r="AF568" s="162"/>
      <c r="AG568" s="162"/>
      <c r="AH568" s="162"/>
      <c r="AI568" s="230"/>
      <c r="AJ568" s="230"/>
      <c r="AK568" s="162"/>
      <c r="AL568" s="162"/>
      <c r="AM568" s="162"/>
      <c r="AN568" s="162"/>
      <c r="AO568" s="162"/>
      <c r="AP568" s="230"/>
      <c r="AQ568" s="230"/>
      <c r="AR568" s="162"/>
      <c r="AS568" s="162"/>
      <c r="AT568" s="162"/>
      <c r="AU568" s="162"/>
      <c r="AV568" s="162"/>
      <c r="AW568" s="230"/>
      <c r="AX568" s="230"/>
      <c r="AY568" s="162"/>
      <c r="AZ568" s="162"/>
      <c r="BA568" s="162"/>
      <c r="BB568" s="162"/>
      <c r="BC568" s="162"/>
      <c r="BD568" s="230"/>
      <c r="BE568" s="230"/>
      <c r="BF568" s="162"/>
      <c r="BG568" s="162"/>
      <c r="BH568" s="162"/>
      <c r="BI568" s="162"/>
      <c r="BJ568" s="162"/>
      <c r="BK568" s="230"/>
      <c r="BL568" s="230"/>
      <c r="BM568" s="162"/>
      <c r="BN568" s="162"/>
      <c r="BO568" s="162"/>
      <c r="BP568" s="162"/>
      <c r="BQ568" s="162"/>
      <c r="BR568" s="230"/>
      <c r="BS568" s="230"/>
      <c r="BT568" s="162"/>
      <c r="BU568" s="162"/>
      <c r="BV568" s="162"/>
      <c r="BW568" s="162"/>
      <c r="BX568" s="162"/>
      <c r="BY568" s="230"/>
      <c r="BZ568" s="230"/>
      <c r="CA568" s="162"/>
      <c r="CB568" s="162"/>
      <c r="CC568" s="162"/>
      <c r="CD568" s="162"/>
      <c r="CE568" s="162"/>
      <c r="CF568" s="230"/>
      <c r="CG568" s="230"/>
      <c r="CH568" s="162"/>
      <c r="CI568" s="162"/>
      <c r="CJ568" s="162"/>
      <c r="CK568" s="162"/>
      <c r="CL568" s="162"/>
      <c r="CM568" s="230"/>
      <c r="CN568" s="230"/>
      <c r="CO568" s="162"/>
      <c r="CP568" s="162"/>
      <c r="CQ568" s="162"/>
      <c r="CR568" s="162"/>
      <c r="CS568" s="162"/>
      <c r="CT568" s="230"/>
      <c r="CU568" s="230"/>
      <c r="CV568" s="162"/>
      <c r="CW568" s="162"/>
      <c r="CX568" s="162"/>
      <c r="CY568" s="162"/>
      <c r="CZ568" s="162"/>
      <c r="DA568" s="230"/>
      <c r="DB568" s="230"/>
      <c r="DC568" s="162"/>
      <c r="DD568" s="162"/>
      <c r="DE568" s="162"/>
      <c r="DF568" s="162"/>
      <c r="DG568" s="162"/>
      <c r="DH568" s="230"/>
      <c r="DI568" s="230"/>
      <c r="DJ568" s="162"/>
      <c r="DK568" s="162"/>
      <c r="DL568" s="147"/>
      <c r="DM568" s="147"/>
      <c r="DN568" s="147"/>
      <c r="DO568" s="147"/>
      <c r="DP568" s="147"/>
      <c r="DQ568" s="147"/>
      <c r="DR568" s="147"/>
      <c r="DS568" s="147"/>
      <c r="DT568" s="147"/>
      <c r="DU568" s="147"/>
      <c r="DV568" s="147"/>
      <c r="DW568" s="147"/>
      <c r="DX568" s="147"/>
      <c r="DY568" s="147"/>
      <c r="DZ568" s="147"/>
      <c r="EA568" s="147"/>
      <c r="EB568" s="147"/>
      <c r="EC568" s="147"/>
      <c r="ED568" s="147"/>
      <c r="EE568" s="147"/>
      <c r="EF568" s="147"/>
      <c r="EG568" s="147"/>
      <c r="EH568" s="147"/>
    </row>
    <row r="569" spans="1:138" x14ac:dyDescent="0.25">
      <c r="A569" s="147"/>
      <c r="B569" s="147"/>
      <c r="C569" s="160"/>
      <c r="D569" s="160"/>
      <c r="E569" s="169"/>
      <c r="F569" s="229"/>
      <c r="G569" s="165"/>
      <c r="H569" s="165"/>
      <c r="I569" s="163"/>
      <c r="J569" s="163"/>
      <c r="K569" s="162"/>
      <c r="L569" s="162"/>
      <c r="M569" s="162"/>
      <c r="N569" s="230"/>
      <c r="O569" s="230"/>
      <c r="P569" s="162"/>
      <c r="Q569" s="162"/>
      <c r="R569" s="162"/>
      <c r="S569" s="162"/>
      <c r="T569" s="162"/>
      <c r="U569" s="230"/>
      <c r="V569" s="230"/>
      <c r="W569" s="162"/>
      <c r="X569" s="162"/>
      <c r="Y569" s="162"/>
      <c r="Z569" s="162"/>
      <c r="AA569" s="162"/>
      <c r="AB569" s="230"/>
      <c r="AC569" s="230"/>
      <c r="AD569" s="162"/>
      <c r="AE569" s="162"/>
      <c r="AF569" s="162"/>
      <c r="AG569" s="162"/>
      <c r="AH569" s="162"/>
      <c r="AI569" s="230"/>
      <c r="AJ569" s="230"/>
      <c r="AK569" s="162"/>
      <c r="AL569" s="162"/>
      <c r="AM569" s="162"/>
      <c r="AN569" s="162"/>
      <c r="AO569" s="162"/>
      <c r="AP569" s="230"/>
      <c r="AQ569" s="230"/>
      <c r="AR569" s="162"/>
      <c r="AS569" s="162"/>
      <c r="AT569" s="162"/>
      <c r="AU569" s="162"/>
      <c r="AV569" s="162"/>
      <c r="AW569" s="230"/>
      <c r="AX569" s="230"/>
      <c r="AY569" s="162"/>
      <c r="AZ569" s="162"/>
      <c r="BA569" s="162"/>
      <c r="BB569" s="162"/>
      <c r="BC569" s="162"/>
      <c r="BD569" s="230"/>
      <c r="BE569" s="230"/>
      <c r="BF569" s="162"/>
      <c r="BG569" s="162"/>
      <c r="BH569" s="162"/>
      <c r="BI569" s="162"/>
      <c r="BJ569" s="162"/>
      <c r="BK569" s="230"/>
      <c r="BL569" s="230"/>
      <c r="BM569" s="162"/>
      <c r="BN569" s="162"/>
      <c r="BO569" s="162"/>
      <c r="BP569" s="162"/>
      <c r="BQ569" s="162"/>
      <c r="BR569" s="230"/>
      <c r="BS569" s="230"/>
      <c r="BT569" s="162"/>
      <c r="BU569" s="162"/>
      <c r="BV569" s="162"/>
      <c r="BW569" s="162"/>
      <c r="BX569" s="162"/>
      <c r="BY569" s="230"/>
      <c r="BZ569" s="230"/>
      <c r="CA569" s="162"/>
      <c r="CB569" s="162"/>
      <c r="CC569" s="162"/>
      <c r="CD569" s="162"/>
      <c r="CE569" s="162"/>
      <c r="CF569" s="230"/>
      <c r="CG569" s="230"/>
      <c r="CH569" s="162"/>
      <c r="CI569" s="162"/>
      <c r="CJ569" s="162"/>
      <c r="CK569" s="162"/>
      <c r="CL569" s="162"/>
      <c r="CM569" s="230"/>
      <c r="CN569" s="230"/>
      <c r="CO569" s="162"/>
      <c r="CP569" s="162"/>
      <c r="CQ569" s="162"/>
      <c r="CR569" s="162"/>
      <c r="CS569" s="162"/>
      <c r="CT569" s="230"/>
      <c r="CU569" s="230"/>
      <c r="CV569" s="162"/>
      <c r="CW569" s="162"/>
      <c r="CX569" s="162"/>
      <c r="CY569" s="162"/>
      <c r="CZ569" s="162"/>
      <c r="DA569" s="230"/>
      <c r="DB569" s="230"/>
      <c r="DC569" s="162"/>
      <c r="DD569" s="162"/>
      <c r="DE569" s="162"/>
      <c r="DF569" s="162"/>
      <c r="DG569" s="162"/>
      <c r="DH569" s="230"/>
      <c r="DI569" s="230"/>
      <c r="DJ569" s="162"/>
      <c r="DK569" s="162"/>
      <c r="DL569" s="147"/>
      <c r="DM569" s="147"/>
      <c r="DN569" s="147"/>
      <c r="DO569" s="147"/>
      <c r="DP569" s="147"/>
      <c r="DQ569" s="147"/>
      <c r="DR569" s="147"/>
      <c r="DS569" s="147"/>
      <c r="DT569" s="147"/>
      <c r="DU569" s="147"/>
      <c r="DV569" s="147"/>
      <c r="DW569" s="147"/>
      <c r="DX569" s="147"/>
      <c r="DY569" s="147"/>
      <c r="DZ569" s="147"/>
      <c r="EA569" s="147"/>
      <c r="EB569" s="147"/>
      <c r="EC569" s="147"/>
      <c r="ED569" s="147"/>
      <c r="EE569" s="147"/>
      <c r="EF569" s="147"/>
      <c r="EG569" s="147"/>
      <c r="EH569" s="147"/>
    </row>
    <row r="570" spans="1:138" x14ac:dyDescent="0.25">
      <c r="A570" s="147"/>
      <c r="B570" s="147"/>
      <c r="C570" s="160"/>
      <c r="D570" s="160"/>
      <c r="E570" s="169"/>
      <c r="F570" s="229"/>
      <c r="G570" s="165"/>
      <c r="H570" s="165"/>
      <c r="I570" s="163"/>
      <c r="J570" s="163"/>
      <c r="K570" s="162"/>
      <c r="L570" s="162"/>
      <c r="M570" s="162"/>
      <c r="N570" s="230"/>
      <c r="O570" s="230"/>
      <c r="P570" s="162"/>
      <c r="Q570" s="162"/>
      <c r="R570" s="162"/>
      <c r="S570" s="162"/>
      <c r="T570" s="162"/>
      <c r="U570" s="230"/>
      <c r="V570" s="230"/>
      <c r="W570" s="162"/>
      <c r="X570" s="162"/>
      <c r="Y570" s="162"/>
      <c r="Z570" s="162"/>
      <c r="AA570" s="162"/>
      <c r="AB570" s="230"/>
      <c r="AC570" s="230"/>
      <c r="AD570" s="162"/>
      <c r="AE570" s="162"/>
      <c r="AF570" s="162"/>
      <c r="AG570" s="162"/>
      <c r="AH570" s="162"/>
      <c r="AI570" s="230"/>
      <c r="AJ570" s="230"/>
      <c r="AK570" s="162"/>
      <c r="AL570" s="162"/>
      <c r="AM570" s="162"/>
      <c r="AN570" s="162"/>
      <c r="AO570" s="162"/>
      <c r="AP570" s="230"/>
      <c r="AQ570" s="230"/>
      <c r="AR570" s="162"/>
      <c r="AS570" s="162"/>
      <c r="AT570" s="162"/>
      <c r="AU570" s="162"/>
      <c r="AV570" s="162"/>
      <c r="AW570" s="230"/>
      <c r="AX570" s="230"/>
      <c r="AY570" s="162"/>
      <c r="AZ570" s="162"/>
      <c r="BA570" s="162"/>
      <c r="BB570" s="162"/>
      <c r="BC570" s="162"/>
      <c r="BD570" s="230"/>
      <c r="BE570" s="230"/>
      <c r="BF570" s="162"/>
      <c r="BG570" s="162"/>
      <c r="BH570" s="162"/>
      <c r="BI570" s="162"/>
      <c r="BJ570" s="162"/>
      <c r="BK570" s="230"/>
      <c r="BL570" s="230"/>
      <c r="BM570" s="162"/>
      <c r="BN570" s="162"/>
      <c r="BO570" s="162"/>
      <c r="BP570" s="162"/>
      <c r="BQ570" s="162"/>
      <c r="BR570" s="230"/>
      <c r="BS570" s="230"/>
      <c r="BT570" s="162"/>
      <c r="BU570" s="162"/>
      <c r="BV570" s="162"/>
      <c r="BW570" s="162"/>
      <c r="BX570" s="162"/>
      <c r="BY570" s="230"/>
      <c r="BZ570" s="230"/>
      <c r="CA570" s="162"/>
      <c r="CB570" s="162"/>
      <c r="CC570" s="162"/>
      <c r="CD570" s="162"/>
      <c r="CE570" s="162"/>
      <c r="CF570" s="230"/>
      <c r="CG570" s="230"/>
      <c r="CH570" s="162"/>
      <c r="CI570" s="162"/>
      <c r="CJ570" s="162"/>
      <c r="CK570" s="162"/>
      <c r="CL570" s="162"/>
      <c r="CM570" s="230"/>
      <c r="CN570" s="230"/>
      <c r="CO570" s="162"/>
      <c r="CP570" s="162"/>
      <c r="CQ570" s="162"/>
      <c r="CR570" s="162"/>
      <c r="CS570" s="162"/>
      <c r="CT570" s="230"/>
      <c r="CU570" s="230"/>
      <c r="CV570" s="162"/>
      <c r="CW570" s="162"/>
      <c r="CX570" s="162"/>
      <c r="CY570" s="162"/>
      <c r="CZ570" s="162"/>
      <c r="DA570" s="230"/>
      <c r="DB570" s="230"/>
      <c r="DC570" s="162"/>
      <c r="DD570" s="162"/>
      <c r="DE570" s="162"/>
      <c r="DF570" s="162"/>
      <c r="DG570" s="162"/>
      <c r="DH570" s="230"/>
      <c r="DI570" s="230"/>
      <c r="DJ570" s="162"/>
      <c r="DK570" s="162"/>
      <c r="DL570" s="147"/>
      <c r="DM570" s="147"/>
      <c r="DN570" s="147"/>
      <c r="DO570" s="147"/>
      <c r="DP570" s="147"/>
      <c r="DQ570" s="147"/>
      <c r="DR570" s="147"/>
      <c r="DS570" s="147"/>
      <c r="DT570" s="147"/>
      <c r="DU570" s="147"/>
      <c r="DV570" s="147"/>
      <c r="DW570" s="147"/>
      <c r="DX570" s="147"/>
      <c r="DY570" s="147"/>
      <c r="DZ570" s="147"/>
      <c r="EA570" s="147"/>
      <c r="EB570" s="147"/>
      <c r="EC570" s="147"/>
      <c r="ED570" s="147"/>
      <c r="EE570" s="147"/>
      <c r="EF570" s="147"/>
      <c r="EG570" s="147"/>
      <c r="EH570" s="147"/>
    </row>
    <row r="571" spans="1:138" x14ac:dyDescent="0.25">
      <c r="A571" s="147"/>
      <c r="B571" s="147"/>
      <c r="C571" s="160"/>
      <c r="D571" s="160"/>
      <c r="E571" s="169"/>
      <c r="F571" s="229"/>
      <c r="G571" s="165"/>
      <c r="H571" s="165"/>
      <c r="I571" s="163"/>
      <c r="J571" s="163"/>
      <c r="K571" s="162"/>
      <c r="L571" s="162"/>
      <c r="M571" s="162"/>
      <c r="N571" s="230"/>
      <c r="O571" s="230"/>
      <c r="P571" s="162"/>
      <c r="Q571" s="162"/>
      <c r="R571" s="162"/>
      <c r="S571" s="162"/>
      <c r="T571" s="162"/>
      <c r="U571" s="230"/>
      <c r="V571" s="230"/>
      <c r="W571" s="162"/>
      <c r="X571" s="162"/>
      <c r="Y571" s="162"/>
      <c r="Z571" s="162"/>
      <c r="AA571" s="162"/>
      <c r="AB571" s="230"/>
      <c r="AC571" s="230"/>
      <c r="AD571" s="162"/>
      <c r="AE571" s="162"/>
      <c r="AF571" s="162"/>
      <c r="AG571" s="162"/>
      <c r="AH571" s="162"/>
      <c r="AI571" s="230"/>
      <c r="AJ571" s="230"/>
      <c r="AK571" s="162"/>
      <c r="AL571" s="162"/>
      <c r="AM571" s="162"/>
      <c r="AN571" s="162"/>
      <c r="AO571" s="162"/>
      <c r="AP571" s="230"/>
      <c r="AQ571" s="230"/>
      <c r="AR571" s="162"/>
      <c r="AS571" s="162"/>
      <c r="AT571" s="162"/>
      <c r="AU571" s="162"/>
      <c r="AV571" s="162"/>
      <c r="AW571" s="230"/>
      <c r="AX571" s="230"/>
      <c r="AY571" s="162"/>
      <c r="AZ571" s="162"/>
      <c r="BA571" s="162"/>
      <c r="BB571" s="162"/>
      <c r="BC571" s="162"/>
      <c r="BD571" s="230"/>
      <c r="BE571" s="230"/>
      <c r="BF571" s="162"/>
      <c r="BG571" s="162"/>
      <c r="BH571" s="162"/>
      <c r="BI571" s="162"/>
      <c r="BJ571" s="162"/>
      <c r="BK571" s="230"/>
      <c r="BL571" s="230"/>
      <c r="BM571" s="162"/>
      <c r="BN571" s="162"/>
      <c r="BO571" s="162"/>
      <c r="BP571" s="162"/>
      <c r="BQ571" s="162"/>
      <c r="BR571" s="230"/>
      <c r="BS571" s="230"/>
      <c r="BT571" s="162"/>
      <c r="BU571" s="162"/>
      <c r="BV571" s="162"/>
      <c r="BW571" s="162"/>
      <c r="BX571" s="162"/>
      <c r="BY571" s="230"/>
      <c r="BZ571" s="230"/>
      <c r="CA571" s="162"/>
      <c r="CB571" s="162"/>
      <c r="CC571" s="162"/>
      <c r="CD571" s="162"/>
      <c r="CE571" s="162"/>
      <c r="CF571" s="230"/>
      <c r="CG571" s="230"/>
      <c r="CH571" s="162"/>
      <c r="CI571" s="162"/>
      <c r="CJ571" s="162"/>
      <c r="CK571" s="162"/>
      <c r="CL571" s="162"/>
      <c r="CM571" s="230"/>
      <c r="CN571" s="230"/>
      <c r="CO571" s="162"/>
      <c r="CP571" s="162"/>
      <c r="CQ571" s="162"/>
      <c r="CR571" s="162"/>
      <c r="CS571" s="162"/>
      <c r="CT571" s="230"/>
      <c r="CU571" s="230"/>
      <c r="CV571" s="162"/>
      <c r="CW571" s="162"/>
      <c r="CX571" s="162"/>
      <c r="CY571" s="162"/>
      <c r="CZ571" s="162"/>
      <c r="DA571" s="230"/>
      <c r="DB571" s="230"/>
      <c r="DC571" s="162"/>
      <c r="DD571" s="162"/>
      <c r="DE571" s="162"/>
      <c r="DF571" s="162"/>
      <c r="DG571" s="162"/>
      <c r="DH571" s="230"/>
      <c r="DI571" s="230"/>
      <c r="DJ571" s="162"/>
      <c r="DK571" s="162"/>
      <c r="DL571" s="147"/>
      <c r="DM571" s="147"/>
      <c r="DN571" s="147"/>
      <c r="DO571" s="147"/>
      <c r="DP571" s="147"/>
      <c r="DQ571" s="147"/>
      <c r="DR571" s="147"/>
      <c r="DS571" s="147"/>
      <c r="DT571" s="147"/>
      <c r="DU571" s="147"/>
      <c r="DV571" s="147"/>
      <c r="DW571" s="147"/>
      <c r="DX571" s="147"/>
      <c r="DY571" s="147"/>
      <c r="DZ571" s="147"/>
      <c r="EA571" s="147"/>
      <c r="EB571" s="147"/>
      <c r="EC571" s="147"/>
      <c r="ED571" s="147"/>
      <c r="EE571" s="147"/>
      <c r="EF571" s="147"/>
      <c r="EG571" s="147"/>
      <c r="EH571" s="147"/>
    </row>
    <row r="572" spans="1:138" x14ac:dyDescent="0.25">
      <c r="A572" s="147"/>
      <c r="B572" s="147"/>
      <c r="C572" s="160"/>
      <c r="D572" s="160"/>
      <c r="E572" s="169"/>
      <c r="F572" s="229"/>
      <c r="G572" s="165"/>
      <c r="H572" s="165"/>
      <c r="I572" s="163"/>
      <c r="J572" s="163"/>
      <c r="K572" s="162"/>
      <c r="L572" s="162"/>
      <c r="M572" s="162"/>
      <c r="N572" s="230"/>
      <c r="O572" s="230"/>
      <c r="P572" s="162"/>
      <c r="Q572" s="162"/>
      <c r="R572" s="162"/>
      <c r="S572" s="162"/>
      <c r="T572" s="162"/>
      <c r="U572" s="230"/>
      <c r="V572" s="230"/>
      <c r="W572" s="162"/>
      <c r="X572" s="162"/>
      <c r="Y572" s="162"/>
      <c r="Z572" s="162"/>
      <c r="AA572" s="162"/>
      <c r="AB572" s="230"/>
      <c r="AC572" s="230"/>
      <c r="AD572" s="162"/>
      <c r="AE572" s="162"/>
      <c r="AF572" s="162"/>
      <c r="AG572" s="162"/>
      <c r="AH572" s="162"/>
      <c r="AI572" s="230"/>
      <c r="AJ572" s="230"/>
      <c r="AK572" s="162"/>
      <c r="AL572" s="162"/>
      <c r="AM572" s="162"/>
      <c r="AN572" s="162"/>
      <c r="AO572" s="162"/>
      <c r="AP572" s="230"/>
      <c r="AQ572" s="230"/>
      <c r="AR572" s="162"/>
      <c r="AS572" s="162"/>
      <c r="AT572" s="162"/>
      <c r="AU572" s="162"/>
      <c r="AV572" s="162"/>
      <c r="AW572" s="230"/>
      <c r="AX572" s="230"/>
      <c r="AY572" s="162"/>
      <c r="AZ572" s="162"/>
      <c r="BA572" s="162"/>
      <c r="BB572" s="162"/>
      <c r="BC572" s="162"/>
      <c r="BD572" s="230"/>
      <c r="BE572" s="230"/>
      <c r="BF572" s="162"/>
      <c r="BG572" s="162"/>
      <c r="BH572" s="162"/>
      <c r="BI572" s="162"/>
      <c r="BJ572" s="162"/>
      <c r="BK572" s="230"/>
      <c r="BL572" s="230"/>
      <c r="BM572" s="162"/>
      <c r="BN572" s="162"/>
      <c r="BO572" s="162"/>
      <c r="BP572" s="162"/>
      <c r="BQ572" s="162"/>
      <c r="BR572" s="230"/>
      <c r="BS572" s="230"/>
      <c r="BT572" s="162"/>
      <c r="BU572" s="162"/>
      <c r="BV572" s="162"/>
      <c r="BW572" s="162"/>
      <c r="BX572" s="162"/>
      <c r="BY572" s="230"/>
      <c r="BZ572" s="230"/>
      <c r="CA572" s="162"/>
      <c r="CB572" s="162"/>
      <c r="CC572" s="162"/>
      <c r="CD572" s="162"/>
      <c r="CE572" s="162"/>
      <c r="CF572" s="230"/>
      <c r="CG572" s="230"/>
      <c r="CH572" s="162"/>
      <c r="CI572" s="162"/>
      <c r="CJ572" s="162"/>
      <c r="CK572" s="162"/>
      <c r="CL572" s="162"/>
      <c r="CM572" s="230"/>
      <c r="CN572" s="230"/>
      <c r="CO572" s="162"/>
      <c r="CP572" s="162"/>
      <c r="CQ572" s="162"/>
      <c r="CR572" s="162"/>
      <c r="CS572" s="162"/>
      <c r="CT572" s="230"/>
      <c r="CU572" s="230"/>
      <c r="CV572" s="162"/>
      <c r="CW572" s="162"/>
      <c r="CX572" s="162"/>
      <c r="CY572" s="162"/>
      <c r="CZ572" s="162"/>
      <c r="DA572" s="230"/>
      <c r="DB572" s="230"/>
      <c r="DC572" s="162"/>
      <c r="DD572" s="162"/>
      <c r="DE572" s="162"/>
      <c r="DF572" s="162"/>
      <c r="DG572" s="162"/>
      <c r="DH572" s="230"/>
      <c r="DI572" s="230"/>
      <c r="DJ572" s="162"/>
      <c r="DK572" s="162"/>
      <c r="DL572" s="147"/>
      <c r="DM572" s="147"/>
      <c r="DN572" s="147"/>
      <c r="DO572" s="147"/>
      <c r="DP572" s="147"/>
      <c r="DQ572" s="147"/>
      <c r="DR572" s="147"/>
      <c r="DS572" s="147"/>
      <c r="DT572" s="147"/>
      <c r="DU572" s="147"/>
      <c r="DV572" s="147"/>
      <c r="DW572" s="147"/>
      <c r="DX572" s="147"/>
      <c r="DY572" s="147"/>
      <c r="DZ572" s="147"/>
      <c r="EA572" s="147"/>
      <c r="EB572" s="147"/>
      <c r="EC572" s="147"/>
      <c r="ED572" s="147"/>
      <c r="EE572" s="147"/>
      <c r="EF572" s="147"/>
      <c r="EG572" s="147"/>
      <c r="EH572" s="147"/>
    </row>
    <row r="573" spans="1:138" x14ac:dyDescent="0.25">
      <c r="A573" s="147"/>
      <c r="B573" s="147"/>
      <c r="C573" s="160"/>
      <c r="D573" s="160"/>
      <c r="E573" s="169"/>
      <c r="F573" s="229"/>
      <c r="G573" s="165"/>
      <c r="H573" s="165"/>
      <c r="I573" s="163"/>
      <c r="J573" s="163"/>
      <c r="K573" s="162"/>
      <c r="L573" s="162"/>
      <c r="M573" s="162"/>
      <c r="N573" s="230"/>
      <c r="O573" s="230"/>
      <c r="P573" s="162"/>
      <c r="Q573" s="162"/>
      <c r="R573" s="162"/>
      <c r="S573" s="162"/>
      <c r="T573" s="162"/>
      <c r="U573" s="230"/>
      <c r="V573" s="230"/>
      <c r="W573" s="162"/>
      <c r="X573" s="162"/>
      <c r="Y573" s="162"/>
      <c r="Z573" s="162"/>
      <c r="AA573" s="162"/>
      <c r="AB573" s="230"/>
      <c r="AC573" s="230"/>
      <c r="AD573" s="162"/>
      <c r="AE573" s="162"/>
      <c r="AF573" s="162"/>
      <c r="AG573" s="162"/>
      <c r="AH573" s="162"/>
      <c r="AI573" s="230"/>
      <c r="AJ573" s="230"/>
      <c r="AK573" s="162"/>
      <c r="AL573" s="162"/>
      <c r="AM573" s="162"/>
      <c r="AN573" s="162"/>
      <c r="AO573" s="162"/>
      <c r="AP573" s="230"/>
      <c r="AQ573" s="230"/>
      <c r="AR573" s="162"/>
      <c r="AS573" s="162"/>
      <c r="AT573" s="162"/>
      <c r="AU573" s="162"/>
      <c r="AV573" s="162"/>
      <c r="AW573" s="230"/>
      <c r="AX573" s="230"/>
      <c r="AY573" s="162"/>
      <c r="AZ573" s="162"/>
      <c r="BA573" s="162"/>
      <c r="BB573" s="162"/>
      <c r="BC573" s="162"/>
      <c r="BD573" s="230"/>
      <c r="BE573" s="230"/>
      <c r="BF573" s="162"/>
      <c r="BG573" s="162"/>
      <c r="BH573" s="162"/>
      <c r="BI573" s="162"/>
      <c r="BJ573" s="162"/>
      <c r="BK573" s="230"/>
      <c r="BL573" s="230"/>
      <c r="BM573" s="162"/>
      <c r="BN573" s="162"/>
      <c r="BO573" s="162"/>
      <c r="BP573" s="162"/>
      <c r="BQ573" s="162"/>
      <c r="BR573" s="230"/>
      <c r="BS573" s="230"/>
      <c r="BT573" s="162"/>
      <c r="BU573" s="162"/>
      <c r="BV573" s="162"/>
      <c r="BW573" s="162"/>
      <c r="BX573" s="162"/>
      <c r="BY573" s="230"/>
      <c r="BZ573" s="230"/>
      <c r="CA573" s="162"/>
      <c r="CB573" s="162"/>
      <c r="CC573" s="162"/>
      <c r="CD573" s="162"/>
      <c r="CE573" s="162"/>
      <c r="CF573" s="230"/>
      <c r="CG573" s="230"/>
      <c r="CH573" s="162"/>
      <c r="CI573" s="162"/>
      <c r="CJ573" s="162"/>
      <c r="CK573" s="162"/>
      <c r="CL573" s="162"/>
      <c r="CM573" s="230"/>
      <c r="CN573" s="230"/>
      <c r="CO573" s="162"/>
      <c r="CP573" s="162"/>
      <c r="CQ573" s="162"/>
      <c r="CR573" s="162"/>
      <c r="CS573" s="162"/>
      <c r="CT573" s="230"/>
      <c r="CU573" s="230"/>
      <c r="CV573" s="162"/>
      <c r="CW573" s="162"/>
      <c r="CX573" s="162"/>
      <c r="CY573" s="162"/>
      <c r="CZ573" s="162"/>
      <c r="DA573" s="230"/>
      <c r="DB573" s="230"/>
      <c r="DC573" s="162"/>
      <c r="DD573" s="162"/>
      <c r="DE573" s="162"/>
      <c r="DF573" s="162"/>
      <c r="DG573" s="162"/>
      <c r="DH573" s="230"/>
      <c r="DI573" s="230"/>
      <c r="DJ573" s="162"/>
      <c r="DK573" s="162"/>
      <c r="DL573" s="147"/>
      <c r="DM573" s="147"/>
      <c r="DN573" s="147"/>
      <c r="DO573" s="147"/>
      <c r="DP573" s="147"/>
      <c r="DQ573" s="147"/>
      <c r="DR573" s="147"/>
      <c r="DS573" s="147"/>
      <c r="DT573" s="147"/>
      <c r="DU573" s="147"/>
      <c r="DV573" s="147"/>
      <c r="DW573" s="147"/>
      <c r="DX573" s="147"/>
      <c r="DY573" s="147"/>
      <c r="DZ573" s="147"/>
      <c r="EA573" s="147"/>
      <c r="EB573" s="147"/>
      <c r="EC573" s="147"/>
      <c r="ED573" s="147"/>
      <c r="EE573" s="147"/>
      <c r="EF573" s="147"/>
      <c r="EG573" s="147"/>
      <c r="EH573" s="147"/>
    </row>
    <row r="574" spans="1:138" x14ac:dyDescent="0.25">
      <c r="A574" s="147"/>
      <c r="B574" s="147"/>
      <c r="C574" s="160"/>
      <c r="D574" s="160"/>
      <c r="E574" s="169"/>
      <c r="F574" s="229"/>
      <c r="G574" s="165"/>
      <c r="H574" s="165"/>
      <c r="I574" s="163"/>
      <c r="J574" s="163"/>
      <c r="K574" s="162"/>
      <c r="L574" s="162"/>
      <c r="M574" s="162"/>
      <c r="N574" s="230"/>
      <c r="O574" s="230"/>
      <c r="P574" s="162"/>
      <c r="Q574" s="162"/>
      <c r="R574" s="162"/>
      <c r="S574" s="162"/>
      <c r="T574" s="162"/>
      <c r="U574" s="230"/>
      <c r="V574" s="230"/>
      <c r="W574" s="162"/>
      <c r="X574" s="162"/>
      <c r="Y574" s="162"/>
      <c r="Z574" s="162"/>
      <c r="AA574" s="162"/>
      <c r="AB574" s="230"/>
      <c r="AC574" s="230"/>
      <c r="AD574" s="162"/>
      <c r="AE574" s="162"/>
      <c r="AF574" s="162"/>
      <c r="AG574" s="162"/>
      <c r="AH574" s="162"/>
      <c r="AI574" s="230"/>
      <c r="AJ574" s="230"/>
      <c r="AK574" s="162"/>
      <c r="AL574" s="162"/>
      <c r="AM574" s="162"/>
      <c r="AN574" s="162"/>
      <c r="AO574" s="162"/>
      <c r="AP574" s="230"/>
      <c r="AQ574" s="230"/>
      <c r="AR574" s="162"/>
      <c r="AS574" s="162"/>
      <c r="AT574" s="162"/>
      <c r="AU574" s="162"/>
      <c r="AV574" s="162"/>
      <c r="AW574" s="230"/>
      <c r="AX574" s="230"/>
      <c r="AY574" s="162"/>
      <c r="AZ574" s="162"/>
      <c r="BA574" s="162"/>
      <c r="BB574" s="162"/>
      <c r="BC574" s="162"/>
      <c r="BD574" s="230"/>
      <c r="BE574" s="230"/>
      <c r="BF574" s="162"/>
      <c r="BG574" s="162"/>
      <c r="BH574" s="162"/>
      <c r="BI574" s="162"/>
      <c r="BJ574" s="162"/>
      <c r="BK574" s="230"/>
      <c r="BL574" s="230"/>
      <c r="BM574" s="162"/>
      <c r="BN574" s="162"/>
      <c r="BO574" s="162"/>
      <c r="BP574" s="162"/>
      <c r="BQ574" s="162"/>
      <c r="BR574" s="230"/>
      <c r="BS574" s="230"/>
      <c r="BT574" s="162"/>
      <c r="BU574" s="162"/>
      <c r="BV574" s="162"/>
      <c r="BW574" s="162"/>
      <c r="BX574" s="162"/>
      <c r="BY574" s="230"/>
      <c r="BZ574" s="230"/>
      <c r="CA574" s="162"/>
      <c r="CB574" s="162"/>
      <c r="CC574" s="162"/>
      <c r="CD574" s="162"/>
      <c r="CE574" s="162"/>
      <c r="CF574" s="230"/>
      <c r="CG574" s="230"/>
      <c r="CH574" s="162"/>
      <c r="CI574" s="162"/>
      <c r="CJ574" s="162"/>
      <c r="CK574" s="162"/>
      <c r="CL574" s="162"/>
      <c r="CM574" s="230"/>
      <c r="CN574" s="230"/>
      <c r="CO574" s="162"/>
      <c r="CP574" s="162"/>
      <c r="CQ574" s="162"/>
      <c r="CR574" s="162"/>
      <c r="CS574" s="162"/>
      <c r="CT574" s="230"/>
      <c r="CU574" s="230"/>
      <c r="CV574" s="162"/>
      <c r="CW574" s="162"/>
      <c r="CX574" s="162"/>
      <c r="CY574" s="162"/>
      <c r="CZ574" s="162"/>
      <c r="DA574" s="230"/>
      <c r="DB574" s="230"/>
      <c r="DC574" s="162"/>
      <c r="DD574" s="162"/>
      <c r="DE574" s="162"/>
      <c r="DF574" s="162"/>
      <c r="DG574" s="162"/>
      <c r="DH574" s="230"/>
      <c r="DI574" s="230"/>
      <c r="DJ574" s="162"/>
      <c r="DK574" s="162"/>
      <c r="DL574" s="147"/>
      <c r="DM574" s="147"/>
      <c r="DN574" s="147"/>
      <c r="DO574" s="147"/>
      <c r="DP574" s="147"/>
      <c r="DQ574" s="147"/>
      <c r="DR574" s="147"/>
      <c r="DS574" s="147"/>
      <c r="DT574" s="147"/>
      <c r="DU574" s="147"/>
      <c r="DV574" s="147"/>
      <c r="DW574" s="147"/>
      <c r="DX574" s="147"/>
      <c r="DY574" s="147"/>
      <c r="DZ574" s="147"/>
      <c r="EA574" s="147"/>
      <c r="EB574" s="147"/>
      <c r="EC574" s="147"/>
      <c r="ED574" s="147"/>
      <c r="EE574" s="147"/>
      <c r="EF574" s="147"/>
      <c r="EG574" s="147"/>
      <c r="EH574" s="147"/>
    </row>
    <row r="575" spans="1:138" x14ac:dyDescent="0.25">
      <c r="A575" s="147"/>
      <c r="B575" s="147"/>
      <c r="C575" s="160"/>
      <c r="D575" s="160"/>
      <c r="E575" s="169"/>
      <c r="F575" s="229"/>
      <c r="G575" s="165"/>
      <c r="H575" s="165"/>
      <c r="I575" s="163"/>
      <c r="J575" s="163"/>
      <c r="K575" s="162"/>
      <c r="L575" s="162"/>
      <c r="M575" s="162"/>
      <c r="N575" s="230"/>
      <c r="O575" s="230"/>
      <c r="P575" s="162"/>
      <c r="Q575" s="162"/>
      <c r="R575" s="162"/>
      <c r="S575" s="162"/>
      <c r="T575" s="162"/>
      <c r="U575" s="230"/>
      <c r="V575" s="230"/>
      <c r="W575" s="162"/>
      <c r="X575" s="162"/>
      <c r="Y575" s="162"/>
      <c r="Z575" s="162"/>
      <c r="AA575" s="162"/>
      <c r="AB575" s="230"/>
      <c r="AC575" s="230"/>
      <c r="AD575" s="162"/>
      <c r="AE575" s="162"/>
      <c r="AF575" s="162"/>
      <c r="AG575" s="162"/>
      <c r="AH575" s="162"/>
      <c r="AI575" s="230"/>
      <c r="AJ575" s="230"/>
      <c r="AK575" s="162"/>
      <c r="AL575" s="162"/>
      <c r="AM575" s="162"/>
      <c r="AN575" s="162"/>
      <c r="AO575" s="162"/>
      <c r="AP575" s="230"/>
      <c r="AQ575" s="230"/>
      <c r="AR575" s="162"/>
      <c r="AS575" s="162"/>
      <c r="AT575" s="162"/>
      <c r="AU575" s="162"/>
      <c r="AV575" s="162"/>
      <c r="AW575" s="230"/>
      <c r="AX575" s="230"/>
      <c r="AY575" s="162"/>
      <c r="AZ575" s="162"/>
      <c r="BA575" s="162"/>
      <c r="BB575" s="162"/>
      <c r="BC575" s="162"/>
      <c r="BD575" s="230"/>
      <c r="BE575" s="230"/>
      <c r="BF575" s="162"/>
      <c r="BG575" s="162"/>
      <c r="BH575" s="162"/>
      <c r="BI575" s="162"/>
      <c r="BJ575" s="162"/>
      <c r="BK575" s="230"/>
      <c r="BL575" s="230"/>
      <c r="BM575" s="162"/>
      <c r="BN575" s="162"/>
      <c r="BO575" s="162"/>
      <c r="BP575" s="162"/>
      <c r="BQ575" s="162"/>
      <c r="BR575" s="230"/>
      <c r="BS575" s="230"/>
      <c r="BT575" s="162"/>
      <c r="BU575" s="162"/>
      <c r="BV575" s="162"/>
      <c r="BW575" s="162"/>
      <c r="BX575" s="162"/>
      <c r="BY575" s="230"/>
      <c r="BZ575" s="230"/>
      <c r="CA575" s="162"/>
      <c r="CB575" s="162"/>
      <c r="CC575" s="162"/>
      <c r="CD575" s="162"/>
      <c r="CE575" s="162"/>
      <c r="CF575" s="230"/>
      <c r="CG575" s="230"/>
      <c r="CH575" s="162"/>
      <c r="CI575" s="162"/>
      <c r="CJ575" s="162"/>
      <c r="CK575" s="162"/>
      <c r="CL575" s="162"/>
      <c r="CM575" s="230"/>
      <c r="CN575" s="230"/>
      <c r="CO575" s="162"/>
      <c r="CP575" s="162"/>
      <c r="CQ575" s="162"/>
      <c r="CR575" s="162"/>
      <c r="CS575" s="162"/>
      <c r="CT575" s="230"/>
      <c r="CU575" s="230"/>
      <c r="CV575" s="162"/>
      <c r="CW575" s="162"/>
      <c r="CX575" s="162"/>
      <c r="CY575" s="162"/>
      <c r="CZ575" s="162"/>
      <c r="DA575" s="230"/>
      <c r="DB575" s="230"/>
      <c r="DC575" s="162"/>
      <c r="DD575" s="162"/>
      <c r="DE575" s="162"/>
      <c r="DF575" s="162"/>
      <c r="DG575" s="162"/>
      <c r="DH575" s="230"/>
      <c r="DI575" s="230"/>
      <c r="DJ575" s="162"/>
      <c r="DK575" s="162"/>
      <c r="DL575" s="147"/>
      <c r="DM575" s="147"/>
      <c r="DN575" s="147"/>
      <c r="DO575" s="147"/>
      <c r="DP575" s="147"/>
      <c r="DQ575" s="147"/>
      <c r="DR575" s="147"/>
      <c r="DS575" s="147"/>
      <c r="DT575" s="147"/>
      <c r="DU575" s="147"/>
      <c r="DV575" s="147"/>
      <c r="DW575" s="147"/>
      <c r="DX575" s="147"/>
      <c r="DY575" s="147"/>
      <c r="DZ575" s="147"/>
      <c r="EA575" s="147"/>
      <c r="EB575" s="147"/>
      <c r="EC575" s="147"/>
      <c r="ED575" s="147"/>
      <c r="EE575" s="147"/>
      <c r="EF575" s="147"/>
      <c r="EG575" s="147"/>
      <c r="EH575" s="147"/>
    </row>
    <row r="576" spans="1:138" x14ac:dyDescent="0.25">
      <c r="A576" s="147"/>
      <c r="B576" s="147"/>
      <c r="C576" s="160"/>
      <c r="D576" s="160"/>
      <c r="E576" s="169"/>
      <c r="F576" s="229"/>
      <c r="G576" s="165"/>
      <c r="H576" s="165"/>
      <c r="I576" s="163"/>
      <c r="J576" s="163"/>
      <c r="K576" s="162"/>
      <c r="L576" s="162"/>
      <c r="M576" s="162"/>
      <c r="N576" s="230"/>
      <c r="O576" s="230"/>
      <c r="P576" s="162"/>
      <c r="Q576" s="162"/>
      <c r="R576" s="162"/>
      <c r="S576" s="162"/>
      <c r="T576" s="162"/>
      <c r="U576" s="230"/>
      <c r="V576" s="230"/>
      <c r="W576" s="162"/>
      <c r="X576" s="162"/>
      <c r="Y576" s="162"/>
      <c r="Z576" s="162"/>
      <c r="AA576" s="162"/>
      <c r="AB576" s="230"/>
      <c r="AC576" s="230"/>
      <c r="AD576" s="162"/>
      <c r="AE576" s="162"/>
      <c r="AF576" s="162"/>
      <c r="AG576" s="162"/>
      <c r="AH576" s="162"/>
      <c r="AI576" s="230"/>
      <c r="AJ576" s="230"/>
      <c r="AK576" s="162"/>
      <c r="AL576" s="162"/>
      <c r="AM576" s="162"/>
      <c r="AN576" s="162"/>
      <c r="AO576" s="162"/>
      <c r="AP576" s="230"/>
      <c r="AQ576" s="230"/>
      <c r="AR576" s="162"/>
      <c r="AS576" s="162"/>
      <c r="AT576" s="162"/>
      <c r="AU576" s="162"/>
      <c r="AV576" s="162"/>
      <c r="AW576" s="230"/>
      <c r="AX576" s="230"/>
      <c r="AY576" s="162"/>
      <c r="AZ576" s="162"/>
      <c r="BA576" s="162"/>
      <c r="BB576" s="162"/>
      <c r="BC576" s="162"/>
      <c r="BD576" s="230"/>
      <c r="BE576" s="230"/>
      <c r="BF576" s="162"/>
      <c r="BG576" s="162"/>
      <c r="BH576" s="162"/>
      <c r="BI576" s="162"/>
      <c r="BJ576" s="162"/>
      <c r="BK576" s="230"/>
      <c r="BL576" s="230"/>
      <c r="BM576" s="162"/>
      <c r="BN576" s="162"/>
      <c r="BO576" s="162"/>
      <c r="BP576" s="162"/>
      <c r="BQ576" s="162"/>
      <c r="BR576" s="230"/>
      <c r="BS576" s="230"/>
      <c r="BT576" s="162"/>
      <c r="BU576" s="162"/>
      <c r="BV576" s="162"/>
      <c r="BW576" s="162"/>
      <c r="BX576" s="162"/>
      <c r="BY576" s="230"/>
      <c r="BZ576" s="230"/>
      <c r="CA576" s="162"/>
      <c r="CB576" s="162"/>
      <c r="CC576" s="162"/>
      <c r="CD576" s="162"/>
      <c r="CE576" s="162"/>
      <c r="CF576" s="230"/>
      <c r="CG576" s="230"/>
      <c r="CH576" s="162"/>
      <c r="CI576" s="162"/>
      <c r="CJ576" s="162"/>
      <c r="CK576" s="162"/>
      <c r="CL576" s="162"/>
      <c r="CM576" s="230"/>
      <c r="CN576" s="230"/>
      <c r="CO576" s="162"/>
      <c r="CP576" s="162"/>
      <c r="CQ576" s="162"/>
      <c r="CR576" s="162"/>
      <c r="CS576" s="162"/>
      <c r="CT576" s="230"/>
      <c r="CU576" s="230"/>
      <c r="CV576" s="162"/>
      <c r="CW576" s="162"/>
      <c r="CX576" s="162"/>
      <c r="CY576" s="162"/>
      <c r="CZ576" s="162"/>
      <c r="DA576" s="230"/>
      <c r="DB576" s="230"/>
      <c r="DC576" s="162"/>
      <c r="DD576" s="162"/>
      <c r="DE576" s="162"/>
      <c r="DF576" s="162"/>
      <c r="DG576" s="162"/>
      <c r="DH576" s="230"/>
      <c r="DI576" s="230"/>
      <c r="DJ576" s="162"/>
      <c r="DK576" s="162"/>
      <c r="DL576" s="147"/>
      <c r="DM576" s="147"/>
      <c r="DN576" s="147"/>
      <c r="DO576" s="147"/>
      <c r="DP576" s="147"/>
      <c r="DQ576" s="147"/>
      <c r="DR576" s="147"/>
      <c r="DS576" s="147"/>
      <c r="DT576" s="147"/>
      <c r="DU576" s="147"/>
      <c r="DV576" s="147"/>
      <c r="DW576" s="147"/>
      <c r="DX576" s="147"/>
      <c r="DY576" s="147"/>
      <c r="DZ576" s="147"/>
      <c r="EA576" s="147"/>
      <c r="EB576" s="147"/>
      <c r="EC576" s="147"/>
      <c r="ED576" s="147"/>
      <c r="EE576" s="147"/>
      <c r="EF576" s="147"/>
      <c r="EG576" s="147"/>
      <c r="EH576" s="147"/>
    </row>
    <row r="577" spans="1:138" x14ac:dyDescent="0.25">
      <c r="A577" s="147"/>
      <c r="B577" s="147"/>
      <c r="C577" s="160"/>
      <c r="D577" s="160"/>
      <c r="E577" s="169"/>
      <c r="F577" s="229"/>
      <c r="G577" s="165"/>
      <c r="H577" s="165"/>
      <c r="I577" s="163"/>
      <c r="J577" s="163"/>
      <c r="K577" s="162"/>
      <c r="L577" s="162"/>
      <c r="M577" s="162"/>
      <c r="N577" s="230"/>
      <c r="O577" s="230"/>
      <c r="P577" s="162"/>
      <c r="Q577" s="162"/>
      <c r="R577" s="162"/>
      <c r="S577" s="162"/>
      <c r="T577" s="162"/>
      <c r="U577" s="230"/>
      <c r="V577" s="230"/>
      <c r="W577" s="162"/>
      <c r="X577" s="162"/>
      <c r="Y577" s="162"/>
      <c r="Z577" s="162"/>
      <c r="AA577" s="162"/>
      <c r="AB577" s="230"/>
      <c r="AC577" s="230"/>
      <c r="AD577" s="162"/>
      <c r="AE577" s="162"/>
      <c r="AF577" s="162"/>
      <c r="AG577" s="162"/>
      <c r="AH577" s="162"/>
      <c r="AI577" s="230"/>
      <c r="AJ577" s="230"/>
      <c r="AK577" s="162"/>
      <c r="AL577" s="162"/>
      <c r="AM577" s="162"/>
      <c r="AN577" s="162"/>
      <c r="AO577" s="162"/>
      <c r="AP577" s="230"/>
      <c r="AQ577" s="230"/>
      <c r="AR577" s="162"/>
      <c r="AS577" s="162"/>
      <c r="AT577" s="162"/>
      <c r="AU577" s="162"/>
      <c r="AV577" s="162"/>
      <c r="AW577" s="230"/>
      <c r="AX577" s="230"/>
      <c r="AY577" s="162"/>
      <c r="AZ577" s="162"/>
      <c r="BA577" s="162"/>
      <c r="BB577" s="162"/>
      <c r="BC577" s="162"/>
      <c r="BD577" s="230"/>
      <c r="BE577" s="230"/>
      <c r="BF577" s="162"/>
      <c r="BG577" s="162"/>
      <c r="BH577" s="162"/>
      <c r="BI577" s="162"/>
      <c r="BJ577" s="162"/>
      <c r="BK577" s="230"/>
      <c r="BL577" s="230"/>
      <c r="BM577" s="162"/>
      <c r="BN577" s="162"/>
      <c r="BO577" s="162"/>
      <c r="BP577" s="162"/>
      <c r="BQ577" s="162"/>
      <c r="BR577" s="230"/>
      <c r="BS577" s="230"/>
      <c r="BT577" s="162"/>
      <c r="BU577" s="162"/>
      <c r="BV577" s="162"/>
      <c r="BW577" s="162"/>
      <c r="BX577" s="162"/>
      <c r="BY577" s="230"/>
      <c r="BZ577" s="230"/>
      <c r="CA577" s="162"/>
      <c r="CB577" s="162"/>
      <c r="CC577" s="162"/>
      <c r="CD577" s="162"/>
      <c r="CE577" s="162"/>
      <c r="CF577" s="230"/>
      <c r="CG577" s="230"/>
      <c r="CH577" s="162"/>
      <c r="CI577" s="162"/>
      <c r="CJ577" s="162"/>
      <c r="CK577" s="162"/>
      <c r="CL577" s="162"/>
      <c r="CM577" s="230"/>
      <c r="CN577" s="230"/>
      <c r="CO577" s="162"/>
      <c r="CP577" s="162"/>
      <c r="CQ577" s="162"/>
      <c r="CR577" s="162"/>
      <c r="CS577" s="162"/>
      <c r="CT577" s="230"/>
      <c r="CU577" s="230"/>
      <c r="CV577" s="162"/>
      <c r="CW577" s="162"/>
      <c r="CX577" s="162"/>
      <c r="CY577" s="162"/>
      <c r="CZ577" s="162"/>
      <c r="DA577" s="230"/>
      <c r="DB577" s="230"/>
      <c r="DC577" s="162"/>
      <c r="DD577" s="162"/>
      <c r="DE577" s="162"/>
      <c r="DF577" s="162"/>
      <c r="DG577" s="162"/>
      <c r="DH577" s="230"/>
      <c r="DI577" s="230"/>
      <c r="DJ577" s="162"/>
      <c r="DK577" s="162"/>
      <c r="DL577" s="147"/>
      <c r="DM577" s="147"/>
      <c r="DN577" s="147"/>
      <c r="DO577" s="147"/>
      <c r="DP577" s="147"/>
      <c r="DQ577" s="147"/>
      <c r="DR577" s="147"/>
      <c r="DS577" s="147"/>
      <c r="DT577" s="147"/>
      <c r="DU577" s="147"/>
      <c r="DV577" s="147"/>
      <c r="DW577" s="147"/>
      <c r="DX577" s="147"/>
      <c r="DY577" s="147"/>
      <c r="DZ577" s="147"/>
      <c r="EA577" s="147"/>
      <c r="EB577" s="147"/>
      <c r="EC577" s="147"/>
      <c r="ED577" s="147"/>
      <c r="EE577" s="147"/>
      <c r="EF577" s="147"/>
      <c r="EG577" s="147"/>
      <c r="EH577" s="147"/>
    </row>
    <row r="578" spans="1:138" x14ac:dyDescent="0.25">
      <c r="A578" s="147"/>
      <c r="B578" s="147"/>
      <c r="C578" s="160"/>
      <c r="D578" s="160"/>
      <c r="E578" s="169"/>
      <c r="F578" s="229"/>
      <c r="G578" s="165"/>
      <c r="H578" s="165"/>
      <c r="I578" s="163"/>
      <c r="J578" s="163"/>
      <c r="K578" s="162"/>
      <c r="L578" s="162"/>
      <c r="M578" s="162"/>
      <c r="N578" s="230"/>
      <c r="O578" s="230"/>
      <c r="P578" s="162"/>
      <c r="Q578" s="162"/>
      <c r="R578" s="162"/>
      <c r="S578" s="162"/>
      <c r="T578" s="162"/>
      <c r="U578" s="230"/>
      <c r="V578" s="230"/>
      <c r="W578" s="162"/>
      <c r="X578" s="162"/>
      <c r="Y578" s="162"/>
      <c r="Z578" s="162"/>
      <c r="AA578" s="162"/>
      <c r="AB578" s="230"/>
      <c r="AC578" s="230"/>
      <c r="AD578" s="162"/>
      <c r="AE578" s="162"/>
      <c r="AF578" s="162"/>
      <c r="AG578" s="162"/>
      <c r="AH578" s="162"/>
      <c r="AI578" s="230"/>
      <c r="AJ578" s="230"/>
      <c r="AK578" s="162"/>
      <c r="AL578" s="162"/>
      <c r="AM578" s="162"/>
      <c r="AN578" s="162"/>
      <c r="AO578" s="162"/>
      <c r="AP578" s="230"/>
      <c r="AQ578" s="230"/>
      <c r="AR578" s="162"/>
      <c r="AS578" s="162"/>
      <c r="AT578" s="162"/>
      <c r="AU578" s="162"/>
      <c r="AV578" s="162"/>
      <c r="AW578" s="230"/>
      <c r="AX578" s="230"/>
      <c r="AY578" s="162"/>
      <c r="AZ578" s="162"/>
      <c r="BA578" s="162"/>
      <c r="BB578" s="162"/>
      <c r="BC578" s="162"/>
      <c r="BD578" s="230"/>
      <c r="BE578" s="230"/>
      <c r="BF578" s="162"/>
      <c r="BG578" s="162"/>
      <c r="BH578" s="162"/>
      <c r="BI578" s="162"/>
      <c r="BJ578" s="162"/>
      <c r="BK578" s="230"/>
      <c r="BL578" s="230"/>
      <c r="BM578" s="162"/>
      <c r="BN578" s="162"/>
      <c r="BO578" s="162"/>
      <c r="BP578" s="162"/>
      <c r="BQ578" s="162"/>
      <c r="BR578" s="230"/>
      <c r="BS578" s="230"/>
      <c r="BT578" s="162"/>
      <c r="BU578" s="162"/>
      <c r="BV578" s="162"/>
      <c r="BW578" s="162"/>
      <c r="BX578" s="162"/>
      <c r="BY578" s="230"/>
      <c r="BZ578" s="230"/>
      <c r="CA578" s="162"/>
      <c r="CB578" s="162"/>
      <c r="CC578" s="162"/>
      <c r="CD578" s="162"/>
      <c r="CE578" s="162"/>
      <c r="CF578" s="230"/>
      <c r="CG578" s="230"/>
      <c r="CH578" s="162"/>
      <c r="CI578" s="162"/>
      <c r="CJ578" s="162"/>
      <c r="CK578" s="162"/>
      <c r="CL578" s="162"/>
      <c r="CM578" s="230"/>
      <c r="CN578" s="230"/>
      <c r="CO578" s="162"/>
      <c r="CP578" s="162"/>
      <c r="CQ578" s="162"/>
      <c r="CR578" s="162"/>
      <c r="CS578" s="162"/>
      <c r="CT578" s="230"/>
      <c r="CU578" s="230"/>
      <c r="CV578" s="162"/>
      <c r="CW578" s="162"/>
      <c r="CX578" s="162"/>
      <c r="CY578" s="162"/>
      <c r="CZ578" s="162"/>
      <c r="DA578" s="230"/>
      <c r="DB578" s="230"/>
      <c r="DC578" s="162"/>
      <c r="DD578" s="162"/>
      <c r="DE578" s="162"/>
      <c r="DF578" s="162"/>
      <c r="DG578" s="162"/>
      <c r="DH578" s="230"/>
      <c r="DI578" s="230"/>
      <c r="DJ578" s="162"/>
      <c r="DK578" s="162"/>
      <c r="DL578" s="147"/>
      <c r="DM578" s="147"/>
      <c r="DN578" s="147"/>
      <c r="DO578" s="147"/>
      <c r="DP578" s="147"/>
      <c r="DQ578" s="147"/>
      <c r="DR578" s="147"/>
      <c r="DS578" s="147"/>
      <c r="DT578" s="147"/>
      <c r="DU578" s="147"/>
      <c r="DV578" s="147"/>
      <c r="DW578" s="147"/>
      <c r="DX578" s="147"/>
      <c r="DY578" s="147"/>
      <c r="DZ578" s="147"/>
      <c r="EA578" s="147"/>
      <c r="EB578" s="147"/>
      <c r="EC578" s="147"/>
      <c r="ED578" s="147"/>
      <c r="EE578" s="147"/>
      <c r="EF578" s="147"/>
      <c r="EG578" s="147"/>
      <c r="EH578" s="147"/>
    </row>
    <row r="579" spans="1:138" x14ac:dyDescent="0.25">
      <c r="A579" s="147"/>
      <c r="B579" s="147"/>
      <c r="C579" s="160"/>
      <c r="D579" s="160"/>
      <c r="E579" s="169"/>
      <c r="F579" s="229"/>
      <c r="G579" s="165"/>
      <c r="H579" s="165"/>
      <c r="I579" s="163"/>
      <c r="J579" s="163"/>
      <c r="K579" s="162"/>
      <c r="L579" s="162"/>
      <c r="M579" s="162"/>
      <c r="N579" s="230"/>
      <c r="O579" s="230"/>
      <c r="P579" s="162"/>
      <c r="Q579" s="162"/>
      <c r="R579" s="162"/>
      <c r="S579" s="162"/>
      <c r="T579" s="162"/>
      <c r="U579" s="230"/>
      <c r="V579" s="230"/>
      <c r="W579" s="162"/>
      <c r="X579" s="162"/>
      <c r="Y579" s="162"/>
      <c r="Z579" s="162"/>
      <c r="AA579" s="162"/>
      <c r="AB579" s="230"/>
      <c r="AC579" s="230"/>
      <c r="AD579" s="162"/>
      <c r="AE579" s="162"/>
      <c r="AF579" s="162"/>
      <c r="AG579" s="162"/>
      <c r="AH579" s="162"/>
      <c r="AI579" s="230"/>
      <c r="AJ579" s="230"/>
      <c r="AK579" s="162"/>
      <c r="AL579" s="162"/>
      <c r="AM579" s="162"/>
      <c r="AN579" s="162"/>
      <c r="AO579" s="162"/>
      <c r="AP579" s="230"/>
      <c r="AQ579" s="230"/>
      <c r="AR579" s="162"/>
      <c r="AS579" s="162"/>
      <c r="AT579" s="162"/>
      <c r="AU579" s="162"/>
      <c r="AV579" s="162"/>
      <c r="AW579" s="230"/>
      <c r="AX579" s="230"/>
      <c r="AY579" s="162"/>
      <c r="AZ579" s="162"/>
      <c r="BA579" s="162"/>
      <c r="BB579" s="162"/>
      <c r="BC579" s="162"/>
      <c r="BD579" s="230"/>
      <c r="BE579" s="230"/>
      <c r="BF579" s="162"/>
      <c r="BG579" s="162"/>
      <c r="BH579" s="162"/>
      <c r="BI579" s="162"/>
      <c r="BJ579" s="162"/>
      <c r="BK579" s="230"/>
      <c r="BL579" s="230"/>
      <c r="BM579" s="162"/>
      <c r="BN579" s="162"/>
      <c r="BO579" s="162"/>
      <c r="BP579" s="162"/>
      <c r="BQ579" s="162"/>
      <c r="BR579" s="230"/>
      <c r="BS579" s="230"/>
      <c r="BT579" s="162"/>
      <c r="BU579" s="162"/>
      <c r="BV579" s="162"/>
      <c r="BW579" s="162"/>
      <c r="BX579" s="162"/>
      <c r="BY579" s="230"/>
      <c r="BZ579" s="230"/>
      <c r="CA579" s="162"/>
      <c r="CB579" s="162"/>
      <c r="CC579" s="162"/>
      <c r="CD579" s="162"/>
      <c r="CE579" s="162"/>
      <c r="CF579" s="230"/>
      <c r="CG579" s="230"/>
      <c r="CH579" s="162"/>
      <c r="CI579" s="162"/>
      <c r="CJ579" s="162"/>
      <c r="CK579" s="162"/>
      <c r="CL579" s="162"/>
      <c r="CM579" s="230"/>
      <c r="CN579" s="230"/>
      <c r="CO579" s="162"/>
      <c r="CP579" s="162"/>
      <c r="CQ579" s="162"/>
      <c r="CR579" s="162"/>
      <c r="CS579" s="162"/>
      <c r="CT579" s="230"/>
      <c r="CU579" s="230"/>
      <c r="CV579" s="162"/>
      <c r="CW579" s="162"/>
      <c r="CX579" s="162"/>
      <c r="CY579" s="162"/>
      <c r="CZ579" s="162"/>
      <c r="DA579" s="230"/>
      <c r="DB579" s="230"/>
      <c r="DC579" s="162"/>
      <c r="DD579" s="162"/>
      <c r="DE579" s="162"/>
      <c r="DF579" s="162"/>
      <c r="DG579" s="162"/>
      <c r="DH579" s="230"/>
      <c r="DI579" s="230"/>
      <c r="DJ579" s="162"/>
      <c r="DK579" s="162"/>
      <c r="DL579" s="147"/>
      <c r="DM579" s="147"/>
      <c r="DN579" s="147"/>
      <c r="DO579" s="147"/>
      <c r="DP579" s="147"/>
      <c r="DQ579" s="147"/>
      <c r="DR579" s="147"/>
      <c r="DS579" s="147"/>
      <c r="DT579" s="147"/>
      <c r="DU579" s="147"/>
      <c r="DV579" s="147"/>
      <c r="DW579" s="147"/>
      <c r="DX579" s="147"/>
      <c r="DY579" s="147"/>
      <c r="DZ579" s="147"/>
      <c r="EA579" s="147"/>
      <c r="EB579" s="147"/>
      <c r="EC579" s="147"/>
      <c r="ED579" s="147"/>
      <c r="EE579" s="147"/>
      <c r="EF579" s="147"/>
      <c r="EG579" s="147"/>
      <c r="EH579" s="147"/>
    </row>
    <row r="580" spans="1:138" x14ac:dyDescent="0.25">
      <c r="A580" s="147"/>
      <c r="B580" s="147"/>
      <c r="C580" s="160"/>
      <c r="D580" s="160"/>
      <c r="E580" s="169"/>
      <c r="F580" s="229"/>
      <c r="G580" s="165"/>
      <c r="H580" s="165"/>
      <c r="I580" s="163"/>
      <c r="J580" s="163"/>
      <c r="K580" s="162"/>
      <c r="L580" s="162"/>
      <c r="M580" s="162"/>
      <c r="N580" s="230"/>
      <c r="O580" s="230"/>
      <c r="P580" s="162"/>
      <c r="Q580" s="162"/>
      <c r="R580" s="162"/>
      <c r="S580" s="162"/>
      <c r="T580" s="162"/>
      <c r="U580" s="230"/>
      <c r="V580" s="230"/>
      <c r="W580" s="162"/>
      <c r="X580" s="162"/>
      <c r="Y580" s="162"/>
      <c r="Z580" s="162"/>
      <c r="AA580" s="162"/>
      <c r="AB580" s="230"/>
      <c r="AC580" s="230"/>
      <c r="AD580" s="162"/>
      <c r="AE580" s="162"/>
      <c r="AF580" s="162"/>
      <c r="AG580" s="162"/>
      <c r="AH580" s="162"/>
      <c r="AI580" s="230"/>
      <c r="AJ580" s="230"/>
      <c r="AK580" s="162"/>
      <c r="AL580" s="162"/>
      <c r="AM580" s="162"/>
      <c r="AN580" s="162"/>
      <c r="AO580" s="162"/>
      <c r="AP580" s="230"/>
      <c r="AQ580" s="230"/>
      <c r="AR580" s="162"/>
      <c r="AS580" s="162"/>
      <c r="AT580" s="162"/>
      <c r="AU580" s="162"/>
      <c r="AV580" s="162"/>
      <c r="AW580" s="230"/>
      <c r="AX580" s="230"/>
      <c r="AY580" s="162"/>
      <c r="AZ580" s="162"/>
      <c r="BA580" s="162"/>
      <c r="BB580" s="162"/>
      <c r="BC580" s="162"/>
      <c r="BD580" s="230"/>
      <c r="BE580" s="230"/>
      <c r="BF580" s="162"/>
      <c r="BG580" s="162"/>
      <c r="BH580" s="162"/>
      <c r="BI580" s="162"/>
      <c r="BJ580" s="162"/>
      <c r="BK580" s="230"/>
      <c r="BL580" s="230"/>
      <c r="BM580" s="162"/>
      <c r="BN580" s="162"/>
      <c r="BO580" s="162"/>
      <c r="BP580" s="162"/>
      <c r="BQ580" s="162"/>
      <c r="BR580" s="230"/>
      <c r="BS580" s="230"/>
      <c r="BT580" s="162"/>
      <c r="BU580" s="162"/>
      <c r="BV580" s="162"/>
      <c r="BW580" s="162"/>
      <c r="BX580" s="162"/>
      <c r="BY580" s="230"/>
      <c r="BZ580" s="230"/>
      <c r="CA580" s="162"/>
      <c r="CB580" s="162"/>
      <c r="CC580" s="162"/>
      <c r="CD580" s="162"/>
      <c r="CE580" s="162"/>
      <c r="CF580" s="230"/>
      <c r="CG580" s="230"/>
      <c r="CH580" s="162"/>
      <c r="CI580" s="162"/>
      <c r="CJ580" s="162"/>
      <c r="CK580" s="162"/>
      <c r="CL580" s="162"/>
      <c r="CM580" s="230"/>
      <c r="CN580" s="230"/>
      <c r="CO580" s="162"/>
      <c r="CP580" s="162"/>
      <c r="CQ580" s="162"/>
      <c r="CR580" s="162"/>
      <c r="CS580" s="162"/>
      <c r="CT580" s="230"/>
      <c r="CU580" s="230"/>
      <c r="CV580" s="162"/>
      <c r="CW580" s="162"/>
      <c r="CX580" s="162"/>
      <c r="CY580" s="162"/>
      <c r="CZ580" s="162"/>
      <c r="DA580" s="230"/>
      <c r="DB580" s="230"/>
      <c r="DC580" s="162"/>
      <c r="DD580" s="162"/>
      <c r="DE580" s="162"/>
      <c r="DF580" s="162"/>
      <c r="DG580" s="162"/>
      <c r="DH580" s="230"/>
      <c r="DI580" s="230"/>
      <c r="DJ580" s="162"/>
      <c r="DK580" s="162"/>
      <c r="DL580" s="147"/>
      <c r="DM580" s="147"/>
      <c r="DN580" s="147"/>
      <c r="DO580" s="147"/>
      <c r="DP580" s="147"/>
      <c r="DQ580" s="147"/>
      <c r="DR580" s="147"/>
      <c r="DS580" s="147"/>
      <c r="DT580" s="147"/>
      <c r="DU580" s="147"/>
      <c r="DV580" s="147"/>
      <c r="DW580" s="147"/>
      <c r="DX580" s="147"/>
      <c r="DY580" s="147"/>
      <c r="DZ580" s="147"/>
      <c r="EA580" s="147"/>
      <c r="EB580" s="147"/>
      <c r="EC580" s="147"/>
      <c r="ED580" s="147"/>
      <c r="EE580" s="147"/>
      <c r="EF580" s="147"/>
      <c r="EG580" s="147"/>
      <c r="EH580" s="147"/>
    </row>
    <row r="581" spans="1:138" x14ac:dyDescent="0.25">
      <c r="A581" s="147"/>
      <c r="B581" s="147"/>
      <c r="C581" s="160"/>
      <c r="D581" s="160"/>
      <c r="E581" s="169"/>
      <c r="F581" s="229"/>
      <c r="G581" s="165"/>
      <c r="H581" s="165"/>
      <c r="I581" s="163"/>
      <c r="J581" s="163"/>
      <c r="K581" s="162"/>
      <c r="L581" s="162"/>
      <c r="M581" s="162"/>
      <c r="N581" s="230"/>
      <c r="O581" s="230"/>
      <c r="P581" s="162"/>
      <c r="Q581" s="162"/>
      <c r="R581" s="162"/>
      <c r="S581" s="162"/>
      <c r="T581" s="162"/>
      <c r="U581" s="230"/>
      <c r="V581" s="230"/>
      <c r="W581" s="162"/>
      <c r="X581" s="162"/>
      <c r="Y581" s="162"/>
      <c r="Z581" s="162"/>
      <c r="AA581" s="162"/>
      <c r="AB581" s="230"/>
      <c r="AC581" s="230"/>
      <c r="AD581" s="162"/>
      <c r="AE581" s="162"/>
      <c r="AF581" s="162"/>
      <c r="AG581" s="162"/>
      <c r="AH581" s="162"/>
      <c r="AI581" s="230"/>
      <c r="AJ581" s="230"/>
      <c r="AK581" s="162"/>
      <c r="AL581" s="162"/>
      <c r="AM581" s="162"/>
      <c r="AN581" s="162"/>
      <c r="AO581" s="162"/>
      <c r="AP581" s="230"/>
      <c r="AQ581" s="230"/>
      <c r="AR581" s="162"/>
      <c r="AS581" s="162"/>
      <c r="AT581" s="162"/>
      <c r="AU581" s="162"/>
      <c r="AV581" s="162"/>
      <c r="AW581" s="230"/>
      <c r="AX581" s="230"/>
      <c r="AY581" s="162"/>
      <c r="AZ581" s="162"/>
      <c r="BA581" s="162"/>
      <c r="BB581" s="162"/>
      <c r="BC581" s="162"/>
      <c r="BD581" s="230"/>
      <c r="BE581" s="230"/>
      <c r="BF581" s="162"/>
      <c r="BG581" s="162"/>
      <c r="BH581" s="162"/>
      <c r="BI581" s="162"/>
      <c r="BJ581" s="162"/>
      <c r="BK581" s="230"/>
      <c r="BL581" s="230"/>
      <c r="BM581" s="162"/>
      <c r="BN581" s="162"/>
      <c r="BO581" s="162"/>
      <c r="BP581" s="162"/>
      <c r="BQ581" s="162"/>
      <c r="BR581" s="230"/>
      <c r="BS581" s="230"/>
      <c r="BT581" s="162"/>
      <c r="BU581" s="162"/>
      <c r="BV581" s="162"/>
      <c r="BW581" s="162"/>
      <c r="BX581" s="162"/>
      <c r="BY581" s="230"/>
      <c r="BZ581" s="230"/>
      <c r="CA581" s="162"/>
      <c r="CB581" s="162"/>
      <c r="CC581" s="162"/>
      <c r="CD581" s="162"/>
      <c r="CE581" s="162"/>
      <c r="CF581" s="230"/>
      <c r="CG581" s="230"/>
      <c r="CH581" s="162"/>
      <c r="CI581" s="162"/>
      <c r="CJ581" s="162"/>
      <c r="CK581" s="162"/>
      <c r="CL581" s="162"/>
      <c r="CM581" s="230"/>
      <c r="CN581" s="230"/>
      <c r="CO581" s="162"/>
      <c r="CP581" s="162"/>
      <c r="CQ581" s="162"/>
      <c r="CR581" s="162"/>
      <c r="CS581" s="162"/>
      <c r="CT581" s="230"/>
      <c r="CU581" s="230"/>
      <c r="CV581" s="162"/>
      <c r="CW581" s="162"/>
      <c r="CX581" s="162"/>
      <c r="CY581" s="162"/>
      <c r="CZ581" s="162"/>
      <c r="DA581" s="230"/>
      <c r="DB581" s="230"/>
      <c r="DC581" s="162"/>
      <c r="DD581" s="162"/>
      <c r="DE581" s="162"/>
      <c r="DF581" s="162"/>
      <c r="DG581" s="162"/>
      <c r="DH581" s="230"/>
      <c r="DI581" s="230"/>
      <c r="DJ581" s="162"/>
      <c r="DK581" s="162"/>
      <c r="DL581" s="147"/>
      <c r="DM581" s="147"/>
      <c r="DN581" s="147"/>
      <c r="DO581" s="147"/>
      <c r="DP581" s="147"/>
      <c r="DQ581" s="147"/>
      <c r="DR581" s="147"/>
      <c r="DS581" s="147"/>
      <c r="DT581" s="147"/>
      <c r="DU581" s="147"/>
      <c r="DV581" s="147"/>
      <c r="DW581" s="147"/>
      <c r="DX581" s="147"/>
      <c r="DY581" s="147"/>
      <c r="DZ581" s="147"/>
      <c r="EA581" s="147"/>
      <c r="EB581" s="147"/>
      <c r="EC581" s="147"/>
      <c r="ED581" s="147"/>
      <c r="EE581" s="147"/>
      <c r="EF581" s="147"/>
      <c r="EG581" s="147"/>
      <c r="EH581" s="147"/>
    </row>
    <row r="582" spans="1:138" x14ac:dyDescent="0.25">
      <c r="A582" s="147"/>
      <c r="B582" s="147"/>
      <c r="C582" s="160"/>
      <c r="D582" s="160"/>
      <c r="E582" s="169"/>
      <c r="F582" s="229"/>
      <c r="G582" s="165"/>
      <c r="H582" s="165"/>
      <c r="I582" s="163"/>
      <c r="J582" s="163"/>
      <c r="K582" s="162"/>
      <c r="L582" s="162"/>
      <c r="M582" s="162"/>
      <c r="N582" s="230"/>
      <c r="O582" s="230"/>
      <c r="P582" s="162"/>
      <c r="Q582" s="162"/>
      <c r="R582" s="162"/>
      <c r="S582" s="162"/>
      <c r="T582" s="162"/>
      <c r="U582" s="230"/>
      <c r="V582" s="230"/>
      <c r="W582" s="162"/>
      <c r="X582" s="162"/>
      <c r="Y582" s="162"/>
      <c r="Z582" s="162"/>
      <c r="AA582" s="162"/>
      <c r="AB582" s="230"/>
      <c r="AC582" s="230"/>
      <c r="AD582" s="162"/>
      <c r="AE582" s="162"/>
      <c r="AF582" s="162"/>
      <c r="AG582" s="162"/>
      <c r="AH582" s="162"/>
      <c r="AI582" s="230"/>
      <c r="AJ582" s="230"/>
      <c r="AK582" s="162"/>
      <c r="AL582" s="162"/>
      <c r="AM582" s="162"/>
      <c r="AN582" s="162"/>
      <c r="AO582" s="162"/>
      <c r="AP582" s="230"/>
      <c r="AQ582" s="230"/>
      <c r="AR582" s="162"/>
      <c r="AS582" s="162"/>
      <c r="AT582" s="162"/>
      <c r="AU582" s="162"/>
      <c r="AV582" s="162"/>
      <c r="AW582" s="230"/>
      <c r="AX582" s="230"/>
      <c r="AY582" s="162"/>
      <c r="AZ582" s="162"/>
      <c r="BA582" s="162"/>
      <c r="BB582" s="162"/>
      <c r="BC582" s="162"/>
      <c r="BD582" s="230"/>
      <c r="BE582" s="230"/>
      <c r="BF582" s="162"/>
      <c r="BG582" s="162"/>
      <c r="BH582" s="162"/>
      <c r="BI582" s="162"/>
      <c r="BJ582" s="162"/>
      <c r="BK582" s="230"/>
      <c r="BL582" s="230"/>
      <c r="BM582" s="162"/>
      <c r="BN582" s="162"/>
      <c r="BO582" s="162"/>
      <c r="BP582" s="162"/>
      <c r="BQ582" s="162"/>
      <c r="BR582" s="230"/>
      <c r="BS582" s="230"/>
      <c r="BT582" s="162"/>
      <c r="BU582" s="162"/>
      <c r="BV582" s="162"/>
      <c r="BW582" s="162"/>
      <c r="BX582" s="162"/>
      <c r="BY582" s="230"/>
      <c r="BZ582" s="230"/>
      <c r="CA582" s="162"/>
      <c r="CB582" s="162"/>
      <c r="CC582" s="162"/>
      <c r="CD582" s="162"/>
      <c r="CE582" s="162"/>
      <c r="CF582" s="230"/>
      <c r="CG582" s="230"/>
      <c r="CH582" s="162"/>
      <c r="CI582" s="162"/>
      <c r="CJ582" s="162"/>
      <c r="CK582" s="162"/>
      <c r="CL582" s="162"/>
      <c r="CM582" s="230"/>
      <c r="CN582" s="230"/>
      <c r="CO582" s="162"/>
      <c r="CP582" s="162"/>
      <c r="CQ582" s="162"/>
      <c r="CR582" s="162"/>
      <c r="CS582" s="162"/>
      <c r="CT582" s="230"/>
      <c r="CU582" s="230"/>
      <c r="CV582" s="162"/>
      <c r="CW582" s="162"/>
      <c r="CX582" s="162"/>
      <c r="CY582" s="162"/>
      <c r="CZ582" s="162"/>
      <c r="DA582" s="230"/>
      <c r="DB582" s="230"/>
      <c r="DC582" s="162"/>
      <c r="DD582" s="162"/>
      <c r="DE582" s="162"/>
      <c r="DF582" s="162"/>
      <c r="DG582" s="162"/>
      <c r="DH582" s="230"/>
      <c r="DI582" s="230"/>
      <c r="DJ582" s="162"/>
      <c r="DK582" s="162"/>
      <c r="DL582" s="147"/>
      <c r="DM582" s="147"/>
      <c r="DN582" s="147"/>
      <c r="DO582" s="147"/>
      <c r="DP582" s="147"/>
      <c r="DQ582" s="147"/>
      <c r="DR582" s="147"/>
      <c r="DS582" s="147"/>
      <c r="DT582" s="147"/>
      <c r="DU582" s="147"/>
      <c r="DV582" s="147"/>
      <c r="DW582" s="147"/>
      <c r="DX582" s="147"/>
      <c r="DY582" s="147"/>
      <c r="DZ582" s="147"/>
      <c r="EA582" s="147"/>
      <c r="EB582" s="147"/>
      <c r="EC582" s="147"/>
      <c r="ED582" s="147"/>
      <c r="EE582" s="147"/>
      <c r="EF582" s="147"/>
      <c r="EG582" s="147"/>
      <c r="EH582" s="147"/>
    </row>
    <row r="583" spans="1:138" x14ac:dyDescent="0.25">
      <c r="A583" s="147"/>
      <c r="B583" s="147"/>
      <c r="C583" s="160"/>
      <c r="D583" s="160"/>
      <c r="E583" s="169"/>
      <c r="F583" s="229"/>
      <c r="G583" s="165"/>
      <c r="H583" s="165"/>
      <c r="I583" s="163"/>
      <c r="J583" s="163"/>
      <c r="K583" s="162"/>
      <c r="L583" s="162"/>
      <c r="M583" s="162"/>
      <c r="N583" s="230"/>
      <c r="O583" s="230"/>
      <c r="P583" s="162"/>
      <c r="Q583" s="162"/>
      <c r="R583" s="162"/>
      <c r="S583" s="162"/>
      <c r="T583" s="162"/>
      <c r="U583" s="230"/>
      <c r="V583" s="230"/>
      <c r="W583" s="162"/>
      <c r="X583" s="162"/>
      <c r="Y583" s="162"/>
      <c r="Z583" s="162"/>
      <c r="AA583" s="162"/>
      <c r="AB583" s="230"/>
      <c r="AC583" s="230"/>
      <c r="AD583" s="162"/>
      <c r="AE583" s="162"/>
      <c r="AF583" s="162"/>
      <c r="AG583" s="162"/>
      <c r="AH583" s="162"/>
      <c r="AI583" s="230"/>
      <c r="AJ583" s="230"/>
      <c r="AK583" s="162"/>
      <c r="AL583" s="162"/>
      <c r="AM583" s="162"/>
      <c r="AN583" s="162"/>
      <c r="AO583" s="162"/>
      <c r="AP583" s="230"/>
      <c r="AQ583" s="230"/>
      <c r="AR583" s="162"/>
      <c r="AS583" s="162"/>
      <c r="AT583" s="162"/>
      <c r="AU583" s="162"/>
      <c r="AV583" s="162"/>
      <c r="AW583" s="230"/>
      <c r="AX583" s="230"/>
      <c r="AY583" s="162"/>
      <c r="AZ583" s="162"/>
      <c r="BA583" s="162"/>
      <c r="BB583" s="162"/>
      <c r="BC583" s="162"/>
      <c r="BD583" s="230"/>
      <c r="BE583" s="230"/>
      <c r="BF583" s="162"/>
      <c r="BG583" s="162"/>
      <c r="BH583" s="162"/>
      <c r="BI583" s="162"/>
      <c r="BJ583" s="162"/>
      <c r="BK583" s="230"/>
      <c r="BL583" s="230"/>
      <c r="BM583" s="162"/>
      <c r="BN583" s="162"/>
      <c r="BO583" s="162"/>
      <c r="BP583" s="162"/>
      <c r="BQ583" s="162"/>
      <c r="BR583" s="230"/>
      <c r="BS583" s="230"/>
      <c r="BT583" s="162"/>
      <c r="BU583" s="162"/>
      <c r="BV583" s="162"/>
      <c r="BW583" s="162"/>
      <c r="BX583" s="162"/>
      <c r="BY583" s="230"/>
      <c r="BZ583" s="230"/>
      <c r="CA583" s="162"/>
      <c r="CB583" s="162"/>
      <c r="CC583" s="162"/>
      <c r="CD583" s="162"/>
      <c r="CE583" s="162"/>
      <c r="CF583" s="230"/>
      <c r="CG583" s="230"/>
      <c r="CH583" s="162"/>
      <c r="CI583" s="162"/>
      <c r="CJ583" s="162"/>
      <c r="CK583" s="162"/>
      <c r="CL583" s="162"/>
      <c r="CM583" s="230"/>
      <c r="CN583" s="230"/>
      <c r="CO583" s="162"/>
      <c r="CP583" s="162"/>
      <c r="CQ583" s="162"/>
      <c r="CR583" s="162"/>
      <c r="CS583" s="162"/>
      <c r="CT583" s="230"/>
      <c r="CU583" s="230"/>
      <c r="CV583" s="162"/>
      <c r="CW583" s="162"/>
      <c r="CX583" s="162"/>
      <c r="CY583" s="162"/>
      <c r="CZ583" s="162"/>
      <c r="DA583" s="230"/>
      <c r="DB583" s="230"/>
      <c r="DC583" s="162"/>
      <c r="DD583" s="162"/>
      <c r="DE583" s="162"/>
      <c r="DF583" s="162"/>
      <c r="DG583" s="162"/>
      <c r="DH583" s="230"/>
      <c r="DI583" s="230"/>
      <c r="DJ583" s="162"/>
      <c r="DK583" s="162"/>
      <c r="DL583" s="147"/>
      <c r="DM583" s="147"/>
      <c r="DN583" s="147"/>
      <c r="DO583" s="147"/>
      <c r="DP583" s="147"/>
      <c r="DQ583" s="147"/>
      <c r="DR583" s="147"/>
      <c r="DS583" s="147"/>
      <c r="DT583" s="147"/>
      <c r="DU583" s="147"/>
      <c r="DV583" s="147"/>
      <c r="DW583" s="147"/>
      <c r="DX583" s="147"/>
      <c r="DY583" s="147"/>
      <c r="DZ583" s="147"/>
      <c r="EA583" s="147"/>
      <c r="EB583" s="147"/>
      <c r="EC583" s="147"/>
      <c r="ED583" s="147"/>
      <c r="EE583" s="147"/>
      <c r="EF583" s="147"/>
      <c r="EG583" s="147"/>
      <c r="EH583" s="147"/>
    </row>
    <row r="584" spans="1:138" x14ac:dyDescent="0.25">
      <c r="A584" s="147"/>
      <c r="B584" s="147"/>
      <c r="C584" s="160"/>
      <c r="D584" s="160"/>
      <c r="E584" s="169"/>
      <c r="F584" s="229"/>
      <c r="G584" s="165"/>
      <c r="H584" s="165"/>
      <c r="I584" s="163"/>
      <c r="J584" s="163"/>
      <c r="K584" s="162"/>
      <c r="L584" s="162"/>
      <c r="M584" s="162"/>
      <c r="N584" s="230"/>
      <c r="O584" s="230"/>
      <c r="P584" s="162"/>
      <c r="Q584" s="162"/>
      <c r="R584" s="162"/>
      <c r="S584" s="162"/>
      <c r="T584" s="162"/>
      <c r="U584" s="230"/>
      <c r="V584" s="230"/>
      <c r="W584" s="162"/>
      <c r="X584" s="162"/>
      <c r="Y584" s="162"/>
      <c r="Z584" s="162"/>
      <c r="AA584" s="162"/>
      <c r="AB584" s="230"/>
      <c r="AC584" s="230"/>
      <c r="AD584" s="162"/>
      <c r="AE584" s="162"/>
      <c r="AF584" s="162"/>
      <c r="AG584" s="162"/>
      <c r="AH584" s="162"/>
      <c r="AI584" s="230"/>
      <c r="AJ584" s="230"/>
      <c r="AK584" s="162"/>
      <c r="AL584" s="162"/>
      <c r="AM584" s="162"/>
      <c r="AN584" s="162"/>
      <c r="AO584" s="162"/>
      <c r="AP584" s="230"/>
      <c r="AQ584" s="230"/>
      <c r="AR584" s="162"/>
      <c r="AS584" s="162"/>
      <c r="AT584" s="162"/>
      <c r="AU584" s="162"/>
      <c r="AV584" s="162"/>
      <c r="AW584" s="230"/>
      <c r="AX584" s="230"/>
      <c r="AY584" s="162"/>
      <c r="AZ584" s="162"/>
      <c r="BA584" s="162"/>
      <c r="BB584" s="162"/>
      <c r="BC584" s="162"/>
      <c r="BD584" s="230"/>
      <c r="BE584" s="230"/>
      <c r="BF584" s="162"/>
      <c r="BG584" s="162"/>
      <c r="BH584" s="162"/>
      <c r="BI584" s="162"/>
      <c r="BJ584" s="162"/>
      <c r="BK584" s="230"/>
      <c r="BL584" s="230"/>
      <c r="BM584" s="162"/>
      <c r="BN584" s="162"/>
      <c r="BO584" s="162"/>
      <c r="BP584" s="162"/>
      <c r="BQ584" s="162"/>
      <c r="BR584" s="230"/>
      <c r="BS584" s="230"/>
      <c r="BT584" s="162"/>
      <c r="BU584" s="162"/>
      <c r="BV584" s="162"/>
      <c r="BW584" s="162"/>
      <c r="BX584" s="162"/>
      <c r="BY584" s="230"/>
      <c r="BZ584" s="230"/>
      <c r="CA584" s="162"/>
      <c r="CB584" s="162"/>
      <c r="CC584" s="162"/>
      <c r="CD584" s="162"/>
      <c r="CE584" s="162"/>
      <c r="CF584" s="230"/>
      <c r="CG584" s="230"/>
      <c r="CH584" s="162"/>
      <c r="CI584" s="162"/>
      <c r="CJ584" s="162"/>
      <c r="CK584" s="162"/>
      <c r="CL584" s="162"/>
      <c r="CM584" s="230"/>
      <c r="CN584" s="230"/>
      <c r="CO584" s="162"/>
      <c r="CP584" s="162"/>
      <c r="CQ584" s="162"/>
      <c r="CR584" s="162"/>
      <c r="CS584" s="162"/>
      <c r="CT584" s="230"/>
      <c r="CU584" s="230"/>
      <c r="CV584" s="162"/>
      <c r="CW584" s="162"/>
      <c r="CX584" s="162"/>
      <c r="CY584" s="162"/>
      <c r="CZ584" s="162"/>
      <c r="DA584" s="230"/>
      <c r="DB584" s="230"/>
      <c r="DC584" s="162"/>
      <c r="DD584" s="162"/>
      <c r="DE584" s="162"/>
      <c r="DF584" s="162"/>
      <c r="DG584" s="162"/>
      <c r="DH584" s="230"/>
      <c r="DI584" s="230"/>
      <c r="DJ584" s="162"/>
      <c r="DK584" s="162"/>
      <c r="DL584" s="147"/>
      <c r="DM584" s="147"/>
      <c r="DN584" s="147"/>
      <c r="DO584" s="147"/>
      <c r="DP584" s="147"/>
      <c r="DQ584" s="147"/>
      <c r="DR584" s="147"/>
      <c r="DS584" s="147"/>
      <c r="DT584" s="147"/>
      <c r="DU584" s="147"/>
      <c r="DV584" s="147"/>
      <c r="DW584" s="147"/>
      <c r="DX584" s="147"/>
      <c r="DY584" s="147"/>
      <c r="DZ584" s="147"/>
      <c r="EA584" s="147"/>
      <c r="EB584" s="147"/>
      <c r="EC584" s="147"/>
      <c r="ED584" s="147"/>
      <c r="EE584" s="147"/>
      <c r="EF584" s="147"/>
      <c r="EG584" s="147"/>
      <c r="EH584" s="147"/>
    </row>
    <row r="585" spans="1:138" x14ac:dyDescent="0.25">
      <c r="A585" s="147"/>
      <c r="B585" s="147"/>
      <c r="C585" s="160"/>
      <c r="D585" s="160"/>
      <c r="E585" s="169"/>
      <c r="F585" s="229"/>
      <c r="G585" s="165"/>
      <c r="H585" s="165"/>
      <c r="I585" s="163"/>
      <c r="J585" s="163"/>
      <c r="K585" s="162"/>
      <c r="L585" s="162"/>
      <c r="M585" s="162"/>
      <c r="N585" s="230"/>
      <c r="O585" s="230"/>
      <c r="P585" s="162"/>
      <c r="Q585" s="162"/>
      <c r="R585" s="162"/>
      <c r="S585" s="162"/>
      <c r="T585" s="162"/>
      <c r="U585" s="230"/>
      <c r="V585" s="230"/>
      <c r="W585" s="162"/>
      <c r="X585" s="162"/>
      <c r="Y585" s="162"/>
      <c r="Z585" s="162"/>
      <c r="AA585" s="162"/>
      <c r="AB585" s="230"/>
      <c r="AC585" s="230"/>
      <c r="AD585" s="162"/>
      <c r="AE585" s="162"/>
      <c r="AF585" s="162"/>
      <c r="AG585" s="162"/>
      <c r="AH585" s="162"/>
      <c r="AI585" s="230"/>
      <c r="AJ585" s="230"/>
      <c r="AK585" s="162"/>
      <c r="AL585" s="162"/>
      <c r="AM585" s="162"/>
      <c r="AN585" s="162"/>
      <c r="AO585" s="162"/>
      <c r="AP585" s="230"/>
      <c r="AQ585" s="230"/>
      <c r="AR585" s="162"/>
      <c r="AS585" s="162"/>
      <c r="AT585" s="162"/>
      <c r="AU585" s="162"/>
      <c r="AV585" s="162"/>
      <c r="AW585" s="230"/>
      <c r="AX585" s="230"/>
      <c r="AY585" s="162"/>
      <c r="AZ585" s="162"/>
      <c r="BA585" s="162"/>
      <c r="BB585" s="162"/>
      <c r="BC585" s="162"/>
      <c r="BD585" s="230"/>
      <c r="BE585" s="230"/>
      <c r="BF585" s="162"/>
      <c r="BG585" s="162"/>
      <c r="BH585" s="162"/>
      <c r="BI585" s="162"/>
      <c r="BJ585" s="162"/>
      <c r="BK585" s="230"/>
      <c r="BL585" s="230"/>
      <c r="BM585" s="162"/>
      <c r="BN585" s="162"/>
      <c r="BO585" s="162"/>
      <c r="BP585" s="162"/>
      <c r="BQ585" s="162"/>
      <c r="BR585" s="230"/>
      <c r="BS585" s="230"/>
      <c r="BT585" s="162"/>
      <c r="BU585" s="162"/>
      <c r="BV585" s="162"/>
      <c r="BW585" s="162"/>
      <c r="BX585" s="162"/>
      <c r="BY585" s="230"/>
      <c r="BZ585" s="230"/>
      <c r="CA585" s="162"/>
      <c r="CB585" s="162"/>
      <c r="CC585" s="162"/>
      <c r="CD585" s="162"/>
      <c r="CE585" s="162"/>
      <c r="CF585" s="230"/>
      <c r="CG585" s="230"/>
      <c r="CH585" s="162"/>
      <c r="CI585" s="162"/>
      <c r="CJ585" s="162"/>
      <c r="CK585" s="162"/>
      <c r="CL585" s="162"/>
      <c r="CM585" s="230"/>
      <c r="CN585" s="230"/>
      <c r="CO585" s="162"/>
      <c r="CP585" s="162"/>
      <c r="CQ585" s="162"/>
      <c r="CR585" s="162"/>
      <c r="CS585" s="162"/>
      <c r="CT585" s="230"/>
      <c r="CU585" s="230"/>
      <c r="CV585" s="162"/>
      <c r="CW585" s="162"/>
      <c r="CX585" s="162"/>
      <c r="CY585" s="162"/>
      <c r="CZ585" s="162"/>
      <c r="DA585" s="230"/>
      <c r="DB585" s="230"/>
      <c r="DC585" s="162"/>
      <c r="DD585" s="162"/>
      <c r="DE585" s="162"/>
      <c r="DF585" s="162"/>
      <c r="DG585" s="162"/>
      <c r="DH585" s="230"/>
      <c r="DI585" s="230"/>
      <c r="DJ585" s="162"/>
      <c r="DK585" s="162"/>
      <c r="DL585" s="147"/>
      <c r="DM585" s="147"/>
      <c r="DN585" s="147"/>
      <c r="DO585" s="147"/>
      <c r="DP585" s="147"/>
      <c r="DQ585" s="147"/>
      <c r="DR585" s="147"/>
      <c r="DS585" s="147"/>
      <c r="DT585" s="147"/>
      <c r="DU585" s="147"/>
      <c r="DV585" s="147"/>
      <c r="DW585" s="147"/>
      <c r="DX585" s="147"/>
      <c r="DY585" s="147"/>
      <c r="DZ585" s="147"/>
      <c r="EA585" s="147"/>
      <c r="EB585" s="147"/>
      <c r="EC585" s="147"/>
      <c r="ED585" s="147"/>
      <c r="EE585" s="147"/>
      <c r="EF585" s="147"/>
      <c r="EG585" s="147"/>
      <c r="EH585" s="147"/>
    </row>
    <row r="586" spans="1:138" x14ac:dyDescent="0.25">
      <c r="A586" s="147"/>
      <c r="B586" s="147"/>
      <c r="C586" s="160"/>
      <c r="D586" s="160"/>
      <c r="E586" s="169"/>
      <c r="F586" s="229"/>
      <c r="G586" s="165"/>
      <c r="H586" s="165"/>
      <c r="I586" s="163"/>
      <c r="J586" s="163"/>
      <c r="K586" s="162"/>
      <c r="L586" s="162"/>
      <c r="M586" s="162"/>
      <c r="N586" s="230"/>
      <c r="O586" s="230"/>
      <c r="P586" s="162"/>
      <c r="Q586" s="162"/>
      <c r="R586" s="162"/>
      <c r="S586" s="162"/>
      <c r="T586" s="162"/>
      <c r="U586" s="230"/>
      <c r="V586" s="230"/>
      <c r="W586" s="162"/>
      <c r="X586" s="162"/>
      <c r="Y586" s="162"/>
      <c r="Z586" s="162"/>
      <c r="AA586" s="162"/>
      <c r="AB586" s="230"/>
      <c r="AC586" s="230"/>
      <c r="AD586" s="162"/>
      <c r="AE586" s="162"/>
      <c r="AF586" s="162"/>
      <c r="AG586" s="162"/>
      <c r="AH586" s="162"/>
      <c r="AI586" s="230"/>
      <c r="AJ586" s="230"/>
      <c r="AK586" s="162"/>
      <c r="AL586" s="162"/>
      <c r="AM586" s="162"/>
      <c r="AN586" s="162"/>
      <c r="AO586" s="162"/>
      <c r="AP586" s="230"/>
      <c r="AQ586" s="230"/>
      <c r="AR586" s="162"/>
      <c r="AS586" s="162"/>
      <c r="AT586" s="162"/>
      <c r="AU586" s="162"/>
      <c r="AV586" s="162"/>
      <c r="AW586" s="230"/>
      <c r="AX586" s="230"/>
      <c r="AY586" s="162"/>
      <c r="AZ586" s="162"/>
      <c r="BA586" s="162"/>
      <c r="BB586" s="162"/>
      <c r="BC586" s="162"/>
      <c r="BD586" s="230"/>
      <c r="BE586" s="230"/>
      <c r="BF586" s="162"/>
      <c r="BG586" s="162"/>
      <c r="BH586" s="162"/>
      <c r="BI586" s="162"/>
      <c r="BJ586" s="162"/>
      <c r="BK586" s="230"/>
      <c r="BL586" s="230"/>
      <c r="BM586" s="162"/>
      <c r="BN586" s="162"/>
      <c r="BO586" s="162"/>
      <c r="BP586" s="162"/>
      <c r="BQ586" s="162"/>
      <c r="BR586" s="230"/>
      <c r="BS586" s="230"/>
      <c r="BT586" s="162"/>
      <c r="BU586" s="162"/>
      <c r="BV586" s="162"/>
      <c r="BW586" s="162"/>
      <c r="BX586" s="162"/>
      <c r="BY586" s="230"/>
      <c r="BZ586" s="230"/>
      <c r="CA586" s="162"/>
      <c r="CB586" s="162"/>
      <c r="CC586" s="162"/>
      <c r="CD586" s="162"/>
      <c r="CE586" s="162"/>
      <c r="CF586" s="230"/>
      <c r="CG586" s="230"/>
      <c r="CH586" s="162"/>
      <c r="CI586" s="162"/>
      <c r="CJ586" s="162"/>
      <c r="CK586" s="162"/>
      <c r="CL586" s="162"/>
      <c r="CM586" s="230"/>
      <c r="CN586" s="230"/>
      <c r="CO586" s="162"/>
      <c r="CP586" s="162"/>
      <c r="CQ586" s="162"/>
      <c r="CR586" s="162"/>
      <c r="CS586" s="162"/>
      <c r="CT586" s="230"/>
      <c r="CU586" s="230"/>
      <c r="CV586" s="162"/>
      <c r="CW586" s="162"/>
      <c r="CX586" s="162"/>
      <c r="CY586" s="162"/>
      <c r="CZ586" s="162"/>
      <c r="DA586" s="230"/>
      <c r="DB586" s="230"/>
      <c r="DC586" s="162"/>
      <c r="DD586" s="162"/>
      <c r="DE586" s="162"/>
      <c r="DF586" s="162"/>
      <c r="DG586" s="162"/>
      <c r="DH586" s="230"/>
      <c r="DI586" s="230"/>
      <c r="DJ586" s="162"/>
      <c r="DK586" s="162"/>
      <c r="DL586" s="147"/>
      <c r="DM586" s="147"/>
      <c r="DN586" s="147"/>
      <c r="DO586" s="147"/>
      <c r="DP586" s="147"/>
      <c r="DQ586" s="147"/>
      <c r="DR586" s="147"/>
      <c r="DS586" s="147"/>
      <c r="DT586" s="147"/>
      <c r="DU586" s="147"/>
      <c r="DV586" s="147"/>
      <c r="DW586" s="147"/>
      <c r="DX586" s="147"/>
      <c r="DY586" s="147"/>
      <c r="DZ586" s="147"/>
      <c r="EA586" s="147"/>
      <c r="EB586" s="147"/>
      <c r="EC586" s="147"/>
      <c r="ED586" s="147"/>
      <c r="EE586" s="147"/>
      <c r="EF586" s="147"/>
      <c r="EG586" s="147"/>
      <c r="EH586" s="147"/>
    </row>
    <row r="587" spans="1:138" x14ac:dyDescent="0.25">
      <c r="A587" s="147"/>
      <c r="B587" s="147"/>
      <c r="C587" s="160"/>
      <c r="D587" s="160"/>
      <c r="E587" s="169"/>
      <c r="F587" s="229"/>
      <c r="G587" s="165"/>
      <c r="H587" s="165"/>
      <c r="I587" s="163"/>
      <c r="J587" s="163"/>
      <c r="K587" s="162"/>
      <c r="L587" s="162"/>
      <c r="M587" s="162"/>
      <c r="N587" s="230"/>
      <c r="O587" s="230"/>
      <c r="P587" s="162"/>
      <c r="Q587" s="162"/>
      <c r="R587" s="162"/>
      <c r="S587" s="162"/>
      <c r="T587" s="162"/>
      <c r="U587" s="230"/>
      <c r="V587" s="230"/>
      <c r="W587" s="162"/>
      <c r="X587" s="162"/>
      <c r="Y587" s="162"/>
      <c r="Z587" s="162"/>
      <c r="AA587" s="162"/>
      <c r="AB587" s="230"/>
      <c r="AC587" s="230"/>
      <c r="AD587" s="162"/>
      <c r="AE587" s="162"/>
      <c r="AF587" s="162"/>
      <c r="AG587" s="162"/>
      <c r="AH587" s="162"/>
      <c r="AI587" s="230"/>
      <c r="AJ587" s="230"/>
      <c r="AK587" s="162"/>
      <c r="AL587" s="162"/>
      <c r="AM587" s="162"/>
      <c r="AN587" s="162"/>
      <c r="AO587" s="162"/>
      <c r="AP587" s="230"/>
      <c r="AQ587" s="230"/>
      <c r="AR587" s="162"/>
      <c r="AS587" s="162"/>
      <c r="AT587" s="162"/>
      <c r="AU587" s="162"/>
      <c r="AV587" s="162"/>
      <c r="AW587" s="230"/>
      <c r="AX587" s="230"/>
      <c r="AY587" s="162"/>
      <c r="AZ587" s="162"/>
      <c r="BA587" s="162"/>
      <c r="BB587" s="162"/>
      <c r="BC587" s="162"/>
      <c r="BD587" s="230"/>
      <c r="BE587" s="230"/>
      <c r="BF587" s="162"/>
      <c r="BG587" s="162"/>
      <c r="BH587" s="162"/>
      <c r="BI587" s="162"/>
      <c r="BJ587" s="162"/>
      <c r="BK587" s="230"/>
      <c r="BL587" s="230"/>
      <c r="BM587" s="162"/>
      <c r="BN587" s="162"/>
      <c r="BO587" s="162"/>
      <c r="BP587" s="162"/>
      <c r="BQ587" s="162"/>
      <c r="BR587" s="230"/>
      <c r="BS587" s="230"/>
      <c r="BT587" s="162"/>
      <c r="BU587" s="162"/>
      <c r="BV587" s="162"/>
      <c r="BW587" s="162"/>
      <c r="BX587" s="162"/>
      <c r="BY587" s="230"/>
      <c r="BZ587" s="230"/>
      <c r="CA587" s="162"/>
      <c r="CB587" s="162"/>
      <c r="CC587" s="162"/>
      <c r="CD587" s="162"/>
      <c r="CE587" s="162"/>
      <c r="CF587" s="230"/>
      <c r="CG587" s="230"/>
      <c r="CH587" s="162"/>
      <c r="CI587" s="162"/>
      <c r="CJ587" s="162"/>
      <c r="CK587" s="162"/>
      <c r="CL587" s="162"/>
      <c r="CM587" s="230"/>
      <c r="CN587" s="230"/>
      <c r="CO587" s="162"/>
      <c r="CP587" s="162"/>
      <c r="CQ587" s="162"/>
      <c r="CR587" s="162"/>
      <c r="CS587" s="162"/>
      <c r="CT587" s="230"/>
      <c r="CU587" s="230"/>
      <c r="CV587" s="162"/>
      <c r="CW587" s="162"/>
      <c r="CX587" s="162"/>
      <c r="CY587" s="162"/>
      <c r="CZ587" s="162"/>
      <c r="DA587" s="230"/>
      <c r="DB587" s="230"/>
      <c r="DC587" s="162"/>
      <c r="DD587" s="162"/>
      <c r="DE587" s="162"/>
      <c r="DF587" s="162"/>
      <c r="DG587" s="162"/>
      <c r="DH587" s="230"/>
      <c r="DI587" s="230"/>
      <c r="DJ587" s="162"/>
      <c r="DK587" s="162"/>
      <c r="DL587" s="147"/>
      <c r="DM587" s="147"/>
      <c r="DN587" s="147"/>
      <c r="DO587" s="147"/>
      <c r="DP587" s="147"/>
      <c r="DQ587" s="147"/>
      <c r="DR587" s="147"/>
      <c r="DS587" s="147"/>
      <c r="DT587" s="147"/>
      <c r="DU587" s="147"/>
      <c r="DV587" s="147"/>
      <c r="DW587" s="147"/>
      <c r="DX587" s="147"/>
      <c r="DY587" s="147"/>
      <c r="DZ587" s="147"/>
      <c r="EA587" s="147"/>
      <c r="EB587" s="147"/>
      <c r="EC587" s="147"/>
      <c r="ED587" s="147"/>
      <c r="EE587" s="147"/>
      <c r="EF587" s="147"/>
      <c r="EG587" s="147"/>
      <c r="EH587" s="147"/>
    </row>
    <row r="588" spans="1:138" x14ac:dyDescent="0.25">
      <c r="A588" s="147"/>
      <c r="B588" s="147"/>
      <c r="C588" s="160"/>
      <c r="D588" s="160"/>
      <c r="E588" s="169"/>
      <c r="F588" s="229"/>
      <c r="G588" s="165"/>
      <c r="H588" s="165"/>
      <c r="I588" s="163"/>
      <c r="J588" s="163"/>
      <c r="K588" s="162"/>
      <c r="L588" s="162"/>
      <c r="M588" s="162"/>
      <c r="N588" s="230"/>
      <c r="O588" s="230"/>
      <c r="P588" s="162"/>
      <c r="Q588" s="162"/>
      <c r="R588" s="162"/>
      <c r="S588" s="162"/>
      <c r="T588" s="162"/>
      <c r="U588" s="230"/>
      <c r="V588" s="230"/>
      <c r="W588" s="162"/>
      <c r="X588" s="162"/>
      <c r="Y588" s="162"/>
      <c r="Z588" s="162"/>
      <c r="AA588" s="162"/>
      <c r="AB588" s="230"/>
      <c r="AC588" s="230"/>
      <c r="AD588" s="162"/>
      <c r="AE588" s="162"/>
      <c r="AF588" s="162"/>
      <c r="AG588" s="162"/>
      <c r="AH588" s="162"/>
      <c r="AI588" s="230"/>
      <c r="AJ588" s="230"/>
      <c r="AK588" s="162"/>
      <c r="AL588" s="162"/>
      <c r="AM588" s="162"/>
      <c r="AN588" s="162"/>
      <c r="AO588" s="162"/>
      <c r="AP588" s="230"/>
      <c r="AQ588" s="230"/>
      <c r="AR588" s="162"/>
      <c r="AS588" s="162"/>
      <c r="AT588" s="162"/>
      <c r="AU588" s="162"/>
      <c r="AV588" s="162"/>
      <c r="AW588" s="230"/>
      <c r="AX588" s="230"/>
      <c r="AY588" s="162"/>
      <c r="AZ588" s="162"/>
      <c r="BA588" s="162"/>
      <c r="BB588" s="162"/>
      <c r="BC588" s="162"/>
      <c r="BD588" s="230"/>
      <c r="BE588" s="230"/>
      <c r="BF588" s="162"/>
      <c r="BG588" s="162"/>
      <c r="BH588" s="162"/>
      <c r="BI588" s="162"/>
      <c r="BJ588" s="162"/>
      <c r="BK588" s="230"/>
      <c r="BL588" s="230"/>
      <c r="BM588" s="162"/>
      <c r="BN588" s="162"/>
      <c r="BO588" s="162"/>
      <c r="BP588" s="162"/>
      <c r="BQ588" s="162"/>
      <c r="BR588" s="230"/>
      <c r="BS588" s="230"/>
      <c r="BT588" s="162"/>
      <c r="BU588" s="162"/>
      <c r="BV588" s="162"/>
      <c r="BW588" s="162"/>
      <c r="BX588" s="162"/>
      <c r="BY588" s="230"/>
      <c r="BZ588" s="230"/>
      <c r="CA588" s="162"/>
      <c r="CB588" s="162"/>
      <c r="CC588" s="162"/>
      <c r="CD588" s="162"/>
      <c r="CE588" s="162"/>
      <c r="CF588" s="230"/>
      <c r="CG588" s="230"/>
      <c r="CH588" s="162"/>
      <c r="CI588" s="162"/>
      <c r="CJ588" s="162"/>
      <c r="CK588" s="162"/>
      <c r="CL588" s="162"/>
      <c r="CM588" s="230"/>
      <c r="CN588" s="230"/>
      <c r="CO588" s="162"/>
      <c r="CP588" s="162"/>
      <c r="CQ588" s="162"/>
      <c r="CR588" s="162"/>
      <c r="CS588" s="162"/>
      <c r="CT588" s="230"/>
      <c r="CU588" s="230"/>
      <c r="CV588" s="162"/>
      <c r="CW588" s="162"/>
      <c r="CX588" s="162"/>
      <c r="CY588" s="162"/>
      <c r="CZ588" s="162"/>
      <c r="DA588" s="230"/>
      <c r="DB588" s="230"/>
      <c r="DC588" s="162"/>
      <c r="DD588" s="162"/>
      <c r="DE588" s="162"/>
      <c r="DF588" s="162"/>
      <c r="DG588" s="162"/>
      <c r="DH588" s="230"/>
      <c r="DI588" s="230"/>
      <c r="DJ588" s="162"/>
      <c r="DK588" s="162"/>
      <c r="DL588" s="147"/>
      <c r="DM588" s="147"/>
      <c r="DN588" s="147"/>
      <c r="DO588" s="147"/>
      <c r="DP588" s="147"/>
      <c r="DQ588" s="147"/>
      <c r="DR588" s="147"/>
      <c r="DS588" s="147"/>
      <c r="DT588" s="147"/>
      <c r="DU588" s="147"/>
      <c r="DV588" s="147"/>
      <c r="DW588" s="147"/>
      <c r="DX588" s="147"/>
      <c r="DY588" s="147"/>
      <c r="DZ588" s="147"/>
      <c r="EA588" s="147"/>
      <c r="EB588" s="147"/>
      <c r="EC588" s="147"/>
      <c r="ED588" s="147"/>
      <c r="EE588" s="147"/>
      <c r="EF588" s="147"/>
      <c r="EG588" s="147"/>
      <c r="EH588" s="147"/>
    </row>
    <row r="589" spans="1:138" x14ac:dyDescent="0.25">
      <c r="A589" s="147"/>
      <c r="B589" s="147"/>
      <c r="C589" s="160"/>
      <c r="D589" s="160"/>
      <c r="E589" s="169"/>
      <c r="F589" s="229"/>
      <c r="G589" s="165"/>
      <c r="H589" s="165"/>
      <c r="I589" s="163"/>
      <c r="J589" s="163"/>
      <c r="K589" s="162"/>
      <c r="L589" s="162"/>
      <c r="M589" s="162"/>
      <c r="N589" s="230"/>
      <c r="O589" s="230"/>
      <c r="P589" s="162"/>
      <c r="Q589" s="162"/>
      <c r="R589" s="162"/>
      <c r="S589" s="162"/>
      <c r="T589" s="162"/>
      <c r="U589" s="230"/>
      <c r="V589" s="230"/>
      <c r="W589" s="162"/>
      <c r="X589" s="162"/>
      <c r="Y589" s="162"/>
      <c r="Z589" s="162"/>
      <c r="AA589" s="162"/>
      <c r="AB589" s="230"/>
      <c r="AC589" s="230"/>
      <c r="AD589" s="162"/>
      <c r="AE589" s="162"/>
      <c r="AF589" s="162"/>
      <c r="AG589" s="162"/>
      <c r="AH589" s="162"/>
      <c r="AI589" s="230"/>
      <c r="AJ589" s="230"/>
      <c r="AK589" s="162"/>
      <c r="AL589" s="162"/>
      <c r="AM589" s="162"/>
      <c r="AN589" s="162"/>
      <c r="AO589" s="162"/>
      <c r="AP589" s="230"/>
      <c r="AQ589" s="230"/>
      <c r="AR589" s="162"/>
      <c r="AS589" s="162"/>
      <c r="AT589" s="162"/>
      <c r="AU589" s="162"/>
      <c r="AV589" s="162"/>
      <c r="AW589" s="230"/>
      <c r="AX589" s="230"/>
      <c r="AY589" s="162"/>
      <c r="AZ589" s="162"/>
      <c r="BA589" s="162"/>
      <c r="BB589" s="162"/>
      <c r="BC589" s="162"/>
      <c r="BD589" s="230"/>
      <c r="BE589" s="230"/>
      <c r="BF589" s="162"/>
      <c r="BG589" s="162"/>
      <c r="BH589" s="162"/>
      <c r="BI589" s="162"/>
      <c r="BJ589" s="162"/>
      <c r="BK589" s="230"/>
      <c r="BL589" s="230"/>
      <c r="BM589" s="162"/>
      <c r="BN589" s="162"/>
      <c r="BO589" s="162"/>
      <c r="BP589" s="162"/>
      <c r="BQ589" s="162"/>
      <c r="BR589" s="230"/>
      <c r="BS589" s="230"/>
      <c r="BT589" s="162"/>
      <c r="BU589" s="162"/>
      <c r="BV589" s="162"/>
      <c r="BW589" s="162"/>
      <c r="BX589" s="162"/>
      <c r="BY589" s="230"/>
      <c r="BZ589" s="230"/>
      <c r="CA589" s="162"/>
      <c r="CB589" s="162"/>
      <c r="CC589" s="162"/>
      <c r="CD589" s="162"/>
      <c r="CE589" s="162"/>
      <c r="CF589" s="230"/>
      <c r="CG589" s="230"/>
      <c r="CH589" s="162"/>
      <c r="CI589" s="162"/>
      <c r="CJ589" s="162"/>
      <c r="CK589" s="162"/>
      <c r="CL589" s="162"/>
      <c r="CM589" s="230"/>
      <c r="CN589" s="230"/>
      <c r="CO589" s="162"/>
      <c r="CP589" s="162"/>
      <c r="CQ589" s="162"/>
      <c r="CR589" s="162"/>
      <c r="CS589" s="162"/>
      <c r="CT589" s="230"/>
      <c r="CU589" s="230"/>
      <c r="CV589" s="162"/>
      <c r="CW589" s="162"/>
      <c r="CX589" s="162"/>
      <c r="CY589" s="162"/>
      <c r="CZ589" s="162"/>
      <c r="DA589" s="230"/>
      <c r="DB589" s="230"/>
      <c r="DC589" s="162"/>
      <c r="DD589" s="162"/>
      <c r="DE589" s="162"/>
      <c r="DF589" s="162"/>
      <c r="DG589" s="162"/>
      <c r="DH589" s="230"/>
      <c r="DI589" s="230"/>
      <c r="DJ589" s="162"/>
      <c r="DK589" s="162"/>
      <c r="DL589" s="147"/>
      <c r="DM589" s="147"/>
      <c r="DN589" s="147"/>
      <c r="DO589" s="147"/>
      <c r="DP589" s="147"/>
      <c r="DQ589" s="147"/>
      <c r="DR589" s="147"/>
      <c r="DS589" s="147"/>
      <c r="DT589" s="147"/>
      <c r="DU589" s="147"/>
      <c r="DV589" s="147"/>
      <c r="DW589" s="147"/>
      <c r="DX589" s="147"/>
      <c r="DY589" s="147"/>
      <c r="DZ589" s="147"/>
      <c r="EA589" s="147"/>
      <c r="EB589" s="147"/>
      <c r="EC589" s="147"/>
      <c r="ED589" s="147"/>
      <c r="EE589" s="147"/>
      <c r="EF589" s="147"/>
      <c r="EG589" s="147"/>
      <c r="EH589" s="147"/>
    </row>
    <row r="590" spans="1:138" x14ac:dyDescent="0.25">
      <c r="A590" s="147"/>
      <c r="B590" s="147"/>
      <c r="C590" s="160"/>
      <c r="D590" s="160"/>
      <c r="E590" s="169"/>
      <c r="F590" s="229"/>
      <c r="G590" s="165"/>
      <c r="H590" s="165"/>
      <c r="I590" s="163"/>
      <c r="J590" s="163"/>
      <c r="K590" s="162"/>
      <c r="L590" s="162"/>
      <c r="M590" s="162"/>
      <c r="N590" s="230"/>
      <c r="O590" s="230"/>
      <c r="P590" s="162"/>
      <c r="Q590" s="162"/>
      <c r="R590" s="162"/>
      <c r="S590" s="162"/>
      <c r="T590" s="162"/>
      <c r="U590" s="230"/>
      <c r="V590" s="230"/>
      <c r="W590" s="162"/>
      <c r="X590" s="162"/>
      <c r="Y590" s="162"/>
      <c r="Z590" s="162"/>
      <c r="AA590" s="162"/>
      <c r="AB590" s="230"/>
      <c r="AC590" s="230"/>
      <c r="AD590" s="162"/>
      <c r="AE590" s="162"/>
      <c r="AF590" s="162"/>
      <c r="AG590" s="162"/>
      <c r="AH590" s="162"/>
      <c r="AI590" s="230"/>
      <c r="AJ590" s="230"/>
      <c r="AK590" s="162"/>
      <c r="AL590" s="162"/>
      <c r="AM590" s="162"/>
      <c r="AN590" s="162"/>
      <c r="AO590" s="162"/>
      <c r="AP590" s="230"/>
      <c r="AQ590" s="230"/>
      <c r="AR590" s="162"/>
      <c r="AS590" s="162"/>
      <c r="AT590" s="162"/>
      <c r="AU590" s="162"/>
      <c r="AV590" s="162"/>
      <c r="AW590" s="230"/>
      <c r="AX590" s="230"/>
      <c r="AY590" s="162"/>
      <c r="AZ590" s="162"/>
      <c r="BA590" s="162"/>
      <c r="BB590" s="162"/>
      <c r="BC590" s="162"/>
      <c r="BD590" s="230"/>
      <c r="BE590" s="230"/>
      <c r="BF590" s="162"/>
      <c r="BG590" s="162"/>
      <c r="BH590" s="162"/>
      <c r="BI590" s="162"/>
      <c r="BJ590" s="162"/>
      <c r="BK590" s="230"/>
      <c r="BL590" s="230"/>
      <c r="BM590" s="162"/>
      <c r="BN590" s="162"/>
      <c r="BO590" s="162"/>
      <c r="BP590" s="162"/>
      <c r="BQ590" s="162"/>
      <c r="BR590" s="230"/>
      <c r="BS590" s="230"/>
      <c r="BT590" s="162"/>
      <c r="BU590" s="162"/>
      <c r="BV590" s="162"/>
      <c r="BW590" s="162"/>
      <c r="BX590" s="162"/>
      <c r="BY590" s="230"/>
      <c r="BZ590" s="230"/>
      <c r="CA590" s="162"/>
      <c r="CB590" s="162"/>
      <c r="CC590" s="162"/>
      <c r="CD590" s="162"/>
      <c r="CE590" s="162"/>
      <c r="CF590" s="230"/>
      <c r="CG590" s="230"/>
      <c r="CH590" s="162"/>
      <c r="CI590" s="162"/>
      <c r="CJ590" s="162"/>
      <c r="CK590" s="162"/>
      <c r="CL590" s="162"/>
      <c r="CM590" s="230"/>
      <c r="CN590" s="230"/>
      <c r="CO590" s="162"/>
      <c r="CP590" s="162"/>
      <c r="CQ590" s="162"/>
      <c r="CR590" s="162"/>
      <c r="CS590" s="162"/>
      <c r="CT590" s="230"/>
      <c r="CU590" s="230"/>
      <c r="CV590" s="162"/>
      <c r="CW590" s="162"/>
      <c r="CX590" s="162"/>
      <c r="CY590" s="162"/>
      <c r="CZ590" s="162"/>
      <c r="DA590" s="230"/>
      <c r="DB590" s="230"/>
      <c r="DC590" s="162"/>
      <c r="DD590" s="162"/>
      <c r="DE590" s="162"/>
      <c r="DF590" s="162"/>
      <c r="DG590" s="162"/>
      <c r="DH590" s="230"/>
      <c r="DI590" s="230"/>
      <c r="DJ590" s="162"/>
      <c r="DK590" s="162"/>
      <c r="DL590" s="147"/>
      <c r="DM590" s="147"/>
      <c r="DN590" s="147"/>
      <c r="DO590" s="147"/>
      <c r="DP590" s="147"/>
      <c r="DQ590" s="147"/>
      <c r="DR590" s="147"/>
      <c r="DS590" s="147"/>
      <c r="DT590" s="147"/>
      <c r="DU590" s="147"/>
      <c r="DV590" s="147"/>
      <c r="DW590" s="147"/>
      <c r="DX590" s="147"/>
      <c r="DY590" s="147"/>
      <c r="DZ590" s="147"/>
      <c r="EA590" s="147"/>
      <c r="EB590" s="147"/>
      <c r="EC590" s="147"/>
      <c r="ED590" s="147"/>
      <c r="EE590" s="147"/>
      <c r="EF590" s="147"/>
      <c r="EG590" s="147"/>
      <c r="EH590" s="147"/>
    </row>
    <row r="591" spans="1:138" x14ac:dyDescent="0.25">
      <c r="A591" s="147"/>
      <c r="B591" s="147"/>
      <c r="C591" s="160"/>
      <c r="D591" s="160"/>
      <c r="E591" s="169"/>
      <c r="F591" s="229"/>
      <c r="G591" s="165"/>
      <c r="H591" s="165"/>
      <c r="I591" s="163"/>
      <c r="J591" s="163"/>
      <c r="K591" s="162"/>
      <c r="L591" s="162"/>
      <c r="M591" s="162"/>
      <c r="N591" s="230"/>
      <c r="O591" s="230"/>
      <c r="P591" s="162"/>
      <c r="Q591" s="162"/>
      <c r="R591" s="162"/>
      <c r="S591" s="162"/>
      <c r="T591" s="162"/>
      <c r="U591" s="230"/>
      <c r="V591" s="230"/>
      <c r="W591" s="162"/>
      <c r="X591" s="162"/>
      <c r="Y591" s="162"/>
      <c r="Z591" s="162"/>
      <c r="AA591" s="162"/>
      <c r="AB591" s="230"/>
      <c r="AC591" s="230"/>
      <c r="AD591" s="162"/>
      <c r="AE591" s="162"/>
      <c r="AF591" s="162"/>
      <c r="AG591" s="162"/>
      <c r="AH591" s="162"/>
      <c r="AI591" s="230"/>
      <c r="AJ591" s="230"/>
      <c r="AK591" s="162"/>
      <c r="AL591" s="162"/>
      <c r="AM591" s="162"/>
      <c r="AN591" s="162"/>
      <c r="AO591" s="162"/>
      <c r="AP591" s="230"/>
      <c r="AQ591" s="230"/>
      <c r="AR591" s="162"/>
      <c r="AS591" s="162"/>
      <c r="AT591" s="162"/>
      <c r="AU591" s="162"/>
      <c r="AV591" s="162"/>
      <c r="AW591" s="230"/>
      <c r="AX591" s="230"/>
      <c r="AY591" s="162"/>
      <c r="AZ591" s="162"/>
      <c r="BA591" s="162"/>
      <c r="BB591" s="162"/>
      <c r="BC591" s="162"/>
      <c r="BD591" s="230"/>
      <c r="BE591" s="230"/>
      <c r="BF591" s="162"/>
      <c r="BG591" s="162"/>
      <c r="BH591" s="162"/>
      <c r="BI591" s="162"/>
      <c r="BJ591" s="162"/>
      <c r="BK591" s="230"/>
      <c r="BL591" s="230"/>
      <c r="BM591" s="162"/>
      <c r="BN591" s="162"/>
      <c r="BO591" s="162"/>
      <c r="BP591" s="162"/>
      <c r="BQ591" s="162"/>
      <c r="BR591" s="230"/>
      <c r="BS591" s="230"/>
      <c r="BT591" s="162"/>
      <c r="BU591" s="162"/>
      <c r="BV591" s="162"/>
      <c r="BW591" s="162"/>
      <c r="BX591" s="162"/>
      <c r="BY591" s="230"/>
      <c r="BZ591" s="230"/>
      <c r="CA591" s="162"/>
      <c r="CB591" s="162"/>
      <c r="CC591" s="162"/>
      <c r="CD591" s="162"/>
      <c r="CE591" s="162"/>
      <c r="CF591" s="230"/>
      <c r="CG591" s="230"/>
      <c r="CH591" s="162"/>
      <c r="CI591" s="162"/>
      <c r="CJ591" s="162"/>
      <c r="CK591" s="162"/>
      <c r="CL591" s="162"/>
      <c r="CM591" s="230"/>
      <c r="CN591" s="230"/>
      <c r="CO591" s="162"/>
      <c r="CP591" s="162"/>
      <c r="CQ591" s="162"/>
      <c r="CR591" s="162"/>
      <c r="CS591" s="162"/>
      <c r="CT591" s="230"/>
      <c r="CU591" s="230"/>
      <c r="CV591" s="162"/>
      <c r="CW591" s="162"/>
      <c r="CX591" s="162"/>
      <c r="CY591" s="162"/>
      <c r="CZ591" s="162"/>
      <c r="DA591" s="230"/>
      <c r="DB591" s="230"/>
      <c r="DC591" s="162"/>
      <c r="DD591" s="162"/>
      <c r="DE591" s="162"/>
      <c r="DF591" s="162"/>
      <c r="DG591" s="162"/>
      <c r="DH591" s="230"/>
      <c r="DI591" s="230"/>
      <c r="DJ591" s="162"/>
      <c r="DK591" s="162"/>
      <c r="DL591" s="147"/>
      <c r="DM591" s="147"/>
      <c r="DN591" s="147"/>
      <c r="DO591" s="147"/>
      <c r="DP591" s="147"/>
      <c r="DQ591" s="147"/>
      <c r="DR591" s="147"/>
      <c r="DS591" s="147"/>
      <c r="DT591" s="147"/>
      <c r="DU591" s="147"/>
      <c r="DV591" s="147"/>
      <c r="DW591" s="147"/>
      <c r="DX591" s="147"/>
      <c r="DY591" s="147"/>
      <c r="DZ591" s="147"/>
      <c r="EA591" s="147"/>
      <c r="EB591" s="147"/>
      <c r="EC591" s="147"/>
      <c r="ED591" s="147"/>
      <c r="EE591" s="147"/>
      <c r="EF591" s="147"/>
      <c r="EG591" s="147"/>
      <c r="EH591" s="147"/>
    </row>
    <row r="592" spans="1:138" x14ac:dyDescent="0.25">
      <c r="A592" s="147"/>
      <c r="B592" s="147"/>
      <c r="C592" s="160"/>
      <c r="D592" s="160"/>
      <c r="E592" s="169"/>
      <c r="F592" s="229"/>
      <c r="G592" s="165"/>
      <c r="H592" s="165"/>
      <c r="I592" s="163"/>
      <c r="J592" s="163"/>
      <c r="K592" s="162"/>
      <c r="L592" s="162"/>
      <c r="M592" s="162"/>
      <c r="N592" s="230"/>
      <c r="O592" s="230"/>
      <c r="P592" s="162"/>
      <c r="Q592" s="162"/>
      <c r="R592" s="162"/>
      <c r="S592" s="162"/>
      <c r="T592" s="162"/>
      <c r="U592" s="230"/>
      <c r="V592" s="230"/>
      <c r="W592" s="162"/>
      <c r="X592" s="162"/>
      <c r="Y592" s="162"/>
      <c r="Z592" s="162"/>
      <c r="AA592" s="162"/>
      <c r="AB592" s="230"/>
      <c r="AC592" s="230"/>
      <c r="AD592" s="162"/>
      <c r="AE592" s="162"/>
      <c r="AF592" s="162"/>
      <c r="AG592" s="162"/>
      <c r="AH592" s="162"/>
      <c r="AI592" s="230"/>
      <c r="AJ592" s="230"/>
      <c r="AK592" s="162"/>
      <c r="AL592" s="162"/>
      <c r="AM592" s="162"/>
      <c r="AN592" s="162"/>
      <c r="AO592" s="162"/>
      <c r="AP592" s="230"/>
      <c r="AQ592" s="230"/>
      <c r="AR592" s="162"/>
      <c r="AS592" s="162"/>
      <c r="AT592" s="162"/>
      <c r="AU592" s="162"/>
      <c r="AV592" s="162"/>
      <c r="AW592" s="230"/>
      <c r="AX592" s="230"/>
      <c r="AY592" s="162"/>
      <c r="AZ592" s="162"/>
      <c r="BA592" s="162"/>
      <c r="BB592" s="162"/>
      <c r="BC592" s="162"/>
      <c r="BD592" s="230"/>
      <c r="BE592" s="230"/>
      <c r="BF592" s="162"/>
      <c r="BG592" s="162"/>
      <c r="BH592" s="162"/>
      <c r="BI592" s="162"/>
      <c r="BJ592" s="162"/>
      <c r="BK592" s="230"/>
      <c r="BL592" s="230"/>
      <c r="BM592" s="162"/>
      <c r="BN592" s="162"/>
      <c r="BO592" s="162"/>
      <c r="BP592" s="162"/>
      <c r="BQ592" s="162"/>
      <c r="BR592" s="230"/>
      <c r="BS592" s="230"/>
      <c r="BT592" s="162"/>
      <c r="BU592" s="162"/>
      <c r="BV592" s="162"/>
      <c r="BW592" s="162"/>
      <c r="BX592" s="162"/>
      <c r="BY592" s="230"/>
      <c r="BZ592" s="230"/>
      <c r="CA592" s="162"/>
      <c r="CB592" s="162"/>
      <c r="CC592" s="162"/>
      <c r="CD592" s="162"/>
      <c r="CE592" s="162"/>
      <c r="CF592" s="230"/>
      <c r="CG592" s="230"/>
      <c r="CH592" s="162"/>
      <c r="CI592" s="162"/>
      <c r="CJ592" s="162"/>
      <c r="CK592" s="162"/>
      <c r="CL592" s="162"/>
      <c r="CM592" s="230"/>
      <c r="CN592" s="230"/>
      <c r="CO592" s="162"/>
      <c r="CP592" s="162"/>
      <c r="CQ592" s="162"/>
      <c r="CR592" s="162"/>
      <c r="CS592" s="162"/>
      <c r="CT592" s="230"/>
      <c r="CU592" s="230"/>
      <c r="CV592" s="162"/>
      <c r="CW592" s="162"/>
      <c r="CX592" s="162"/>
      <c r="CY592" s="162"/>
      <c r="CZ592" s="162"/>
      <c r="DA592" s="230"/>
      <c r="DB592" s="230"/>
      <c r="DC592" s="162"/>
      <c r="DD592" s="162"/>
      <c r="DE592" s="162"/>
      <c r="DF592" s="162"/>
      <c r="DG592" s="162"/>
      <c r="DH592" s="230"/>
      <c r="DI592" s="230"/>
      <c r="DJ592" s="162"/>
      <c r="DK592" s="162"/>
      <c r="DL592" s="147"/>
      <c r="DM592" s="147"/>
      <c r="DN592" s="147"/>
      <c r="DO592" s="147"/>
      <c r="DP592" s="147"/>
      <c r="DQ592" s="147"/>
      <c r="DR592" s="147"/>
      <c r="DS592" s="147"/>
      <c r="DT592" s="147"/>
      <c r="DU592" s="147"/>
      <c r="DV592" s="147"/>
      <c r="DW592" s="147"/>
      <c r="DX592" s="147"/>
      <c r="DY592" s="147"/>
      <c r="DZ592" s="147"/>
      <c r="EA592" s="147"/>
      <c r="EB592" s="147"/>
      <c r="EC592" s="147"/>
      <c r="ED592" s="147"/>
      <c r="EE592" s="147"/>
      <c r="EF592" s="147"/>
      <c r="EG592" s="147"/>
      <c r="EH592" s="147"/>
    </row>
    <row r="593" spans="1:138" x14ac:dyDescent="0.25">
      <c r="A593" s="147"/>
      <c r="B593" s="147"/>
      <c r="C593" s="160"/>
      <c r="D593" s="160"/>
      <c r="E593" s="169"/>
      <c r="F593" s="229"/>
      <c r="G593" s="165"/>
      <c r="H593" s="165"/>
      <c r="I593" s="163"/>
      <c r="J593" s="163"/>
      <c r="K593" s="162"/>
      <c r="L593" s="162"/>
      <c r="M593" s="162"/>
      <c r="N593" s="230"/>
      <c r="O593" s="230"/>
      <c r="P593" s="162"/>
      <c r="Q593" s="162"/>
      <c r="R593" s="162"/>
      <c r="S593" s="162"/>
      <c r="T593" s="162"/>
      <c r="U593" s="230"/>
      <c r="V593" s="230"/>
      <c r="W593" s="162"/>
      <c r="X593" s="162"/>
      <c r="Y593" s="162"/>
      <c r="Z593" s="162"/>
      <c r="AA593" s="162"/>
      <c r="AB593" s="230"/>
      <c r="AC593" s="230"/>
      <c r="AD593" s="162"/>
      <c r="AE593" s="162"/>
      <c r="AF593" s="162"/>
      <c r="AG593" s="162"/>
      <c r="AH593" s="162"/>
      <c r="AI593" s="230"/>
      <c r="AJ593" s="230"/>
      <c r="AK593" s="162"/>
      <c r="AL593" s="162"/>
      <c r="AM593" s="162"/>
      <c r="AN593" s="162"/>
      <c r="AO593" s="162"/>
      <c r="AP593" s="230"/>
      <c r="AQ593" s="230"/>
      <c r="AR593" s="162"/>
      <c r="AS593" s="162"/>
      <c r="AT593" s="162"/>
      <c r="AU593" s="162"/>
      <c r="AV593" s="162"/>
      <c r="AW593" s="230"/>
      <c r="AX593" s="230"/>
      <c r="AY593" s="162"/>
      <c r="AZ593" s="162"/>
      <c r="BA593" s="162"/>
      <c r="BB593" s="162"/>
      <c r="BC593" s="162"/>
      <c r="BD593" s="230"/>
      <c r="BE593" s="230"/>
      <c r="BF593" s="162"/>
      <c r="BG593" s="162"/>
      <c r="BH593" s="162"/>
      <c r="BI593" s="162"/>
      <c r="BJ593" s="162"/>
      <c r="BK593" s="230"/>
      <c r="BL593" s="230"/>
      <c r="BM593" s="162"/>
      <c r="BN593" s="162"/>
      <c r="BO593" s="162"/>
      <c r="BP593" s="162"/>
      <c r="BQ593" s="162"/>
      <c r="BR593" s="230"/>
      <c r="BS593" s="230"/>
      <c r="BT593" s="162"/>
      <c r="BU593" s="162"/>
      <c r="BV593" s="162"/>
      <c r="BW593" s="162"/>
      <c r="BX593" s="162"/>
      <c r="BY593" s="230"/>
      <c r="BZ593" s="230"/>
      <c r="CA593" s="162"/>
      <c r="CB593" s="162"/>
      <c r="CC593" s="162"/>
      <c r="CD593" s="162"/>
      <c r="CE593" s="162"/>
      <c r="CF593" s="230"/>
      <c r="CG593" s="230"/>
      <c r="CH593" s="162"/>
      <c r="CI593" s="162"/>
      <c r="CJ593" s="162"/>
      <c r="CK593" s="162"/>
      <c r="CL593" s="162"/>
      <c r="CM593" s="230"/>
      <c r="CN593" s="230"/>
      <c r="CO593" s="162"/>
      <c r="CP593" s="162"/>
      <c r="CQ593" s="162"/>
      <c r="CR593" s="162"/>
      <c r="CS593" s="162"/>
      <c r="CT593" s="230"/>
      <c r="CU593" s="230"/>
      <c r="CV593" s="162"/>
      <c r="CW593" s="162"/>
      <c r="CX593" s="162"/>
      <c r="CY593" s="162"/>
      <c r="CZ593" s="162"/>
      <c r="DA593" s="230"/>
      <c r="DB593" s="230"/>
      <c r="DC593" s="162"/>
      <c r="DD593" s="162"/>
      <c r="DE593" s="162"/>
      <c r="DF593" s="162"/>
      <c r="DG593" s="162"/>
      <c r="DH593" s="230"/>
      <c r="DI593" s="230"/>
      <c r="DJ593" s="162"/>
      <c r="DK593" s="162"/>
      <c r="DL593" s="147"/>
      <c r="DM593" s="147"/>
      <c r="DN593" s="147"/>
      <c r="DO593" s="147"/>
      <c r="DP593" s="147"/>
      <c r="DQ593" s="147"/>
      <c r="DR593" s="147"/>
      <c r="DS593" s="147"/>
      <c r="DT593" s="147"/>
      <c r="DU593" s="147"/>
      <c r="DV593" s="147"/>
      <c r="DW593" s="147"/>
      <c r="DX593" s="147"/>
      <c r="DY593" s="147"/>
      <c r="DZ593" s="147"/>
      <c r="EA593" s="147"/>
      <c r="EB593" s="147"/>
      <c r="EC593" s="147"/>
      <c r="ED593" s="147"/>
      <c r="EE593" s="147"/>
      <c r="EF593" s="147"/>
      <c r="EG593" s="147"/>
      <c r="EH593" s="147"/>
    </row>
    <row r="594" spans="1:138" x14ac:dyDescent="0.25">
      <c r="A594" s="147"/>
      <c r="B594" s="147"/>
      <c r="C594" s="160"/>
      <c r="D594" s="160"/>
      <c r="E594" s="169"/>
      <c r="F594" s="229"/>
      <c r="G594" s="165"/>
      <c r="H594" s="165"/>
      <c r="I594" s="163"/>
      <c r="J594" s="163"/>
      <c r="K594" s="162"/>
      <c r="L594" s="162"/>
      <c r="M594" s="162"/>
      <c r="N594" s="230"/>
      <c r="O594" s="230"/>
      <c r="P594" s="162"/>
      <c r="Q594" s="162"/>
      <c r="R594" s="162"/>
      <c r="S594" s="162"/>
      <c r="T594" s="162"/>
      <c r="U594" s="230"/>
      <c r="V594" s="230"/>
      <c r="W594" s="162"/>
      <c r="X594" s="162"/>
      <c r="Y594" s="162"/>
      <c r="Z594" s="162"/>
      <c r="AA594" s="162"/>
      <c r="AB594" s="230"/>
      <c r="AC594" s="230"/>
      <c r="AD594" s="162"/>
      <c r="AE594" s="162"/>
      <c r="AF594" s="162"/>
      <c r="AG594" s="162"/>
      <c r="AH594" s="162"/>
      <c r="AI594" s="230"/>
      <c r="AJ594" s="230"/>
      <c r="AK594" s="162"/>
      <c r="AL594" s="162"/>
      <c r="AM594" s="162"/>
      <c r="AN594" s="162"/>
      <c r="AO594" s="162"/>
      <c r="AP594" s="230"/>
      <c r="AQ594" s="230"/>
      <c r="AR594" s="162"/>
      <c r="AS594" s="162"/>
      <c r="AT594" s="162"/>
      <c r="AU594" s="162"/>
      <c r="AV594" s="162"/>
      <c r="AW594" s="230"/>
      <c r="AX594" s="230"/>
      <c r="AY594" s="162"/>
      <c r="AZ594" s="162"/>
      <c r="BA594" s="162"/>
      <c r="BB594" s="162"/>
      <c r="BC594" s="162"/>
      <c r="BD594" s="230"/>
      <c r="BE594" s="230"/>
      <c r="BF594" s="162"/>
      <c r="BG594" s="162"/>
      <c r="BH594" s="162"/>
      <c r="BI594" s="162"/>
      <c r="BJ594" s="162"/>
      <c r="BK594" s="230"/>
      <c r="BL594" s="230"/>
      <c r="BM594" s="162"/>
      <c r="BN594" s="162"/>
      <c r="BO594" s="162"/>
      <c r="BP594" s="162"/>
      <c r="BQ594" s="162"/>
      <c r="BR594" s="230"/>
      <c r="BS594" s="230"/>
      <c r="BT594" s="162"/>
      <c r="BU594" s="162"/>
      <c r="BV594" s="162"/>
      <c r="BW594" s="162"/>
      <c r="BX594" s="162"/>
      <c r="BY594" s="230"/>
      <c r="BZ594" s="230"/>
      <c r="CA594" s="162"/>
      <c r="CB594" s="162"/>
      <c r="CC594" s="162"/>
      <c r="CD594" s="162"/>
      <c r="CE594" s="162"/>
      <c r="CF594" s="230"/>
      <c r="CG594" s="230"/>
      <c r="CH594" s="162"/>
      <c r="CI594" s="162"/>
      <c r="CJ594" s="162"/>
      <c r="CK594" s="162"/>
      <c r="CL594" s="162"/>
      <c r="CM594" s="230"/>
      <c r="CN594" s="230"/>
      <c r="CO594" s="162"/>
      <c r="CP594" s="162"/>
      <c r="CQ594" s="162"/>
      <c r="CR594" s="162"/>
      <c r="CS594" s="162"/>
      <c r="CT594" s="230"/>
      <c r="CU594" s="230"/>
      <c r="CV594" s="162"/>
      <c r="CW594" s="162"/>
      <c r="CX594" s="162"/>
      <c r="CY594" s="162"/>
      <c r="CZ594" s="162"/>
      <c r="DA594" s="230"/>
      <c r="DB594" s="230"/>
      <c r="DC594" s="162"/>
      <c r="DD594" s="162"/>
      <c r="DE594" s="162"/>
      <c r="DF594" s="162"/>
      <c r="DG594" s="162"/>
      <c r="DH594" s="230"/>
      <c r="DI594" s="230"/>
      <c r="DJ594" s="162"/>
      <c r="DK594" s="162"/>
      <c r="DL594" s="147"/>
      <c r="DM594" s="147"/>
      <c r="DN594" s="147"/>
      <c r="DO594" s="147"/>
      <c r="DP594" s="147"/>
      <c r="DQ594" s="147"/>
      <c r="DR594" s="147"/>
      <c r="DS594" s="147"/>
      <c r="DT594" s="147"/>
      <c r="DU594" s="147"/>
      <c r="DV594" s="147"/>
      <c r="DW594" s="147"/>
      <c r="DX594" s="147"/>
      <c r="DY594" s="147"/>
      <c r="DZ594" s="147"/>
      <c r="EA594" s="147"/>
      <c r="EB594" s="147"/>
      <c r="EC594" s="147"/>
      <c r="ED594" s="147"/>
      <c r="EE594" s="147"/>
      <c r="EF594" s="147"/>
      <c r="EG594" s="147"/>
      <c r="EH594" s="147"/>
    </row>
    <row r="595" spans="1:138" x14ac:dyDescent="0.25">
      <c r="A595" s="147"/>
      <c r="B595" s="147"/>
      <c r="C595" s="160"/>
      <c r="D595" s="160"/>
      <c r="E595" s="169"/>
      <c r="F595" s="229"/>
      <c r="G595" s="165"/>
      <c r="H595" s="165"/>
      <c r="I595" s="163"/>
      <c r="J595" s="163"/>
      <c r="K595" s="162"/>
      <c r="L595" s="162"/>
      <c r="M595" s="162"/>
      <c r="N595" s="230"/>
      <c r="O595" s="230"/>
      <c r="P595" s="162"/>
      <c r="Q595" s="162"/>
      <c r="R595" s="162"/>
      <c r="S595" s="162"/>
      <c r="T595" s="162"/>
      <c r="U595" s="230"/>
      <c r="V595" s="230"/>
      <c r="W595" s="162"/>
      <c r="X595" s="162"/>
      <c r="Y595" s="162"/>
      <c r="Z595" s="162"/>
      <c r="AA595" s="162"/>
      <c r="AB595" s="230"/>
      <c r="AC595" s="230"/>
      <c r="AD595" s="162"/>
      <c r="AE595" s="162"/>
      <c r="AF595" s="162"/>
      <c r="AG595" s="162"/>
      <c r="AH595" s="162"/>
      <c r="AI595" s="230"/>
      <c r="AJ595" s="230"/>
      <c r="AK595" s="162"/>
      <c r="AL595" s="162"/>
      <c r="AM595" s="162"/>
      <c r="AN595" s="162"/>
      <c r="AO595" s="162"/>
      <c r="AP595" s="230"/>
      <c r="AQ595" s="230"/>
      <c r="AR595" s="162"/>
      <c r="AS595" s="162"/>
      <c r="AT595" s="162"/>
      <c r="AU595" s="162"/>
      <c r="AV595" s="162"/>
      <c r="AW595" s="230"/>
      <c r="AX595" s="230"/>
      <c r="AY595" s="162"/>
      <c r="AZ595" s="162"/>
      <c r="BA595" s="162"/>
      <c r="BB595" s="162"/>
      <c r="BC595" s="162"/>
      <c r="BD595" s="230"/>
      <c r="BE595" s="230"/>
      <c r="BF595" s="162"/>
      <c r="BG595" s="162"/>
      <c r="BH595" s="162"/>
      <c r="BI595" s="162"/>
      <c r="BJ595" s="162"/>
      <c r="BK595" s="230"/>
      <c r="BL595" s="230"/>
      <c r="BM595" s="162"/>
      <c r="BN595" s="162"/>
      <c r="BO595" s="162"/>
      <c r="BP595" s="162"/>
      <c r="BQ595" s="162"/>
      <c r="BR595" s="230"/>
      <c r="BS595" s="230"/>
      <c r="BT595" s="162"/>
      <c r="BU595" s="162"/>
      <c r="BV595" s="162"/>
      <c r="BW595" s="162"/>
      <c r="BX595" s="162"/>
      <c r="BY595" s="230"/>
      <c r="BZ595" s="230"/>
      <c r="CA595" s="162"/>
      <c r="CB595" s="162"/>
      <c r="CC595" s="162"/>
      <c r="CD595" s="162"/>
      <c r="CE595" s="162"/>
      <c r="CF595" s="230"/>
      <c r="CG595" s="230"/>
      <c r="CH595" s="162"/>
      <c r="CI595" s="162"/>
      <c r="CJ595" s="162"/>
      <c r="CK595" s="162"/>
      <c r="CL595" s="162"/>
      <c r="CM595" s="230"/>
      <c r="CN595" s="230"/>
      <c r="CO595" s="162"/>
      <c r="CP595" s="162"/>
      <c r="CQ595" s="162"/>
      <c r="CR595" s="162"/>
      <c r="CS595" s="162"/>
      <c r="CT595" s="230"/>
      <c r="CU595" s="230"/>
      <c r="CV595" s="162"/>
      <c r="CW595" s="162"/>
      <c r="CX595" s="162"/>
      <c r="CY595" s="162"/>
      <c r="CZ595" s="162"/>
      <c r="DA595" s="230"/>
      <c r="DB595" s="230"/>
      <c r="DC595" s="162"/>
      <c r="DD595" s="162"/>
      <c r="DE595" s="162"/>
      <c r="DF595" s="162"/>
      <c r="DG595" s="162"/>
      <c r="DH595" s="230"/>
      <c r="DI595" s="230"/>
      <c r="DJ595" s="162"/>
      <c r="DK595" s="162"/>
      <c r="DL595" s="147"/>
      <c r="DM595" s="147"/>
      <c r="DN595" s="147"/>
      <c r="DO595" s="147"/>
      <c r="DP595" s="147"/>
      <c r="DQ595" s="147"/>
      <c r="DR595" s="147"/>
      <c r="DS595" s="147"/>
      <c r="DT595" s="147"/>
      <c r="DU595" s="147"/>
      <c r="DV595" s="147"/>
      <c r="DW595" s="147"/>
      <c r="DX595" s="147"/>
      <c r="DY595" s="147"/>
      <c r="DZ595" s="147"/>
      <c r="EA595" s="147"/>
      <c r="EB595" s="147"/>
      <c r="EC595" s="147"/>
      <c r="ED595" s="147"/>
      <c r="EE595" s="147"/>
      <c r="EF595" s="147"/>
      <c r="EG595" s="147"/>
      <c r="EH595" s="147"/>
    </row>
    <row r="596" spans="1:138" x14ac:dyDescent="0.25">
      <c r="A596" s="147"/>
      <c r="B596" s="147"/>
      <c r="C596" s="160"/>
      <c r="D596" s="160"/>
      <c r="E596" s="169"/>
      <c r="F596" s="229"/>
      <c r="G596" s="165"/>
      <c r="H596" s="165"/>
      <c r="I596" s="163"/>
      <c r="J596" s="163"/>
      <c r="K596" s="162"/>
      <c r="L596" s="162"/>
      <c r="M596" s="162"/>
      <c r="N596" s="230"/>
      <c r="O596" s="230"/>
      <c r="P596" s="162"/>
      <c r="Q596" s="162"/>
      <c r="R596" s="162"/>
      <c r="S596" s="162"/>
      <c r="T596" s="162"/>
      <c r="U596" s="230"/>
      <c r="V596" s="230"/>
      <c r="W596" s="162"/>
      <c r="X596" s="162"/>
      <c r="Y596" s="162"/>
      <c r="Z596" s="162"/>
      <c r="AA596" s="162"/>
      <c r="AB596" s="230"/>
      <c r="AC596" s="230"/>
      <c r="AD596" s="162"/>
      <c r="AE596" s="162"/>
      <c r="AF596" s="162"/>
      <c r="AG596" s="162"/>
      <c r="AH596" s="162"/>
      <c r="AI596" s="230"/>
      <c r="AJ596" s="230"/>
      <c r="AK596" s="162"/>
      <c r="AL596" s="162"/>
      <c r="AM596" s="162"/>
      <c r="AN596" s="162"/>
      <c r="AO596" s="162"/>
      <c r="AP596" s="230"/>
      <c r="AQ596" s="230"/>
      <c r="AR596" s="162"/>
      <c r="AS596" s="162"/>
      <c r="AT596" s="162"/>
      <c r="AU596" s="162"/>
      <c r="AV596" s="162"/>
      <c r="AW596" s="230"/>
      <c r="AX596" s="230"/>
      <c r="AY596" s="162"/>
      <c r="AZ596" s="162"/>
      <c r="BA596" s="162"/>
      <c r="BB596" s="162"/>
      <c r="BC596" s="162"/>
      <c r="BD596" s="230"/>
      <c r="BE596" s="230"/>
      <c r="BF596" s="162"/>
      <c r="BG596" s="162"/>
      <c r="BH596" s="162"/>
      <c r="BI596" s="162"/>
      <c r="BJ596" s="162"/>
      <c r="BK596" s="230"/>
      <c r="BL596" s="230"/>
      <c r="BM596" s="162"/>
      <c r="BN596" s="162"/>
      <c r="BO596" s="162"/>
      <c r="BP596" s="162"/>
      <c r="BQ596" s="162"/>
      <c r="BR596" s="230"/>
      <c r="BS596" s="230"/>
      <c r="BT596" s="162"/>
      <c r="BU596" s="162"/>
      <c r="BV596" s="162"/>
      <c r="BW596" s="162"/>
      <c r="BX596" s="162"/>
      <c r="BY596" s="230"/>
      <c r="BZ596" s="230"/>
      <c r="CA596" s="162"/>
      <c r="CB596" s="162"/>
      <c r="CC596" s="162"/>
      <c r="CD596" s="162"/>
      <c r="CE596" s="162"/>
      <c r="CF596" s="230"/>
      <c r="CG596" s="230"/>
      <c r="CH596" s="162"/>
      <c r="CI596" s="162"/>
      <c r="CJ596" s="162"/>
      <c r="CK596" s="162"/>
      <c r="CL596" s="162"/>
      <c r="CM596" s="230"/>
      <c r="CN596" s="230"/>
      <c r="CO596" s="162"/>
      <c r="CP596" s="162"/>
      <c r="CQ596" s="162"/>
      <c r="CR596" s="162"/>
      <c r="CS596" s="162"/>
      <c r="CT596" s="230"/>
      <c r="CU596" s="230"/>
      <c r="CV596" s="162"/>
      <c r="CW596" s="162"/>
      <c r="CX596" s="162"/>
      <c r="CY596" s="162"/>
      <c r="CZ596" s="162"/>
      <c r="DA596" s="230"/>
      <c r="DB596" s="230"/>
      <c r="DC596" s="162"/>
      <c r="DD596" s="162"/>
      <c r="DE596" s="162"/>
      <c r="DF596" s="162"/>
      <c r="DG596" s="162"/>
      <c r="DH596" s="230"/>
      <c r="DI596" s="230"/>
      <c r="DJ596" s="162"/>
      <c r="DK596" s="162"/>
      <c r="DL596" s="147"/>
      <c r="DM596" s="147"/>
      <c r="DN596" s="147"/>
      <c r="DO596" s="147"/>
      <c r="DP596" s="147"/>
      <c r="DQ596" s="147"/>
      <c r="DR596" s="147"/>
      <c r="DS596" s="147"/>
      <c r="DT596" s="147"/>
      <c r="DU596" s="147"/>
      <c r="DV596" s="147"/>
      <c r="DW596" s="147"/>
      <c r="DX596" s="147"/>
      <c r="DY596" s="147"/>
      <c r="DZ596" s="147"/>
      <c r="EA596" s="147"/>
      <c r="EB596" s="147"/>
      <c r="EC596" s="147"/>
      <c r="ED596" s="147"/>
      <c r="EE596" s="147"/>
      <c r="EF596" s="147"/>
      <c r="EG596" s="147"/>
      <c r="EH596" s="147"/>
    </row>
    <row r="597" spans="1:138" x14ac:dyDescent="0.25">
      <c r="A597" s="147"/>
      <c r="B597" s="147"/>
      <c r="C597" s="160"/>
      <c r="D597" s="160"/>
      <c r="E597" s="169"/>
      <c r="F597" s="229"/>
      <c r="G597" s="165"/>
      <c r="H597" s="165"/>
      <c r="I597" s="163"/>
      <c r="J597" s="163"/>
      <c r="K597" s="162"/>
      <c r="L597" s="162"/>
      <c r="M597" s="162"/>
      <c r="N597" s="230"/>
      <c r="O597" s="230"/>
      <c r="P597" s="162"/>
      <c r="Q597" s="162"/>
      <c r="R597" s="162"/>
      <c r="S597" s="162"/>
      <c r="T597" s="162"/>
      <c r="U597" s="230"/>
      <c r="V597" s="230"/>
      <c r="W597" s="162"/>
      <c r="X597" s="162"/>
      <c r="Y597" s="162"/>
      <c r="Z597" s="162"/>
      <c r="AA597" s="162"/>
      <c r="AB597" s="230"/>
      <c r="AC597" s="230"/>
      <c r="AD597" s="162"/>
      <c r="AE597" s="162"/>
      <c r="AF597" s="162"/>
      <c r="AG597" s="162"/>
      <c r="AH597" s="162"/>
      <c r="AI597" s="230"/>
      <c r="AJ597" s="230"/>
      <c r="AK597" s="162"/>
      <c r="AL597" s="162"/>
      <c r="AM597" s="162"/>
      <c r="AN597" s="162"/>
      <c r="AO597" s="162"/>
      <c r="AP597" s="230"/>
      <c r="AQ597" s="230"/>
      <c r="AR597" s="162"/>
      <c r="AS597" s="162"/>
      <c r="AT597" s="162"/>
      <c r="AU597" s="162"/>
      <c r="AV597" s="162"/>
      <c r="AW597" s="230"/>
      <c r="AX597" s="230"/>
      <c r="AY597" s="162"/>
      <c r="AZ597" s="162"/>
      <c r="BA597" s="162"/>
      <c r="BB597" s="162"/>
      <c r="BC597" s="162"/>
      <c r="BD597" s="230"/>
      <c r="BE597" s="230"/>
      <c r="BF597" s="162"/>
      <c r="BG597" s="162"/>
      <c r="BH597" s="162"/>
      <c r="BI597" s="162"/>
      <c r="BJ597" s="162"/>
      <c r="BK597" s="230"/>
      <c r="BL597" s="230"/>
      <c r="BM597" s="162"/>
      <c r="BN597" s="162"/>
      <c r="BO597" s="162"/>
      <c r="BP597" s="162"/>
      <c r="BQ597" s="162"/>
      <c r="BR597" s="230"/>
      <c r="BS597" s="230"/>
      <c r="BT597" s="162"/>
      <c r="BU597" s="162"/>
      <c r="BV597" s="162"/>
      <c r="BW597" s="162"/>
      <c r="BX597" s="162"/>
      <c r="BY597" s="230"/>
      <c r="BZ597" s="230"/>
      <c r="CA597" s="162"/>
      <c r="CB597" s="162"/>
      <c r="CC597" s="162"/>
      <c r="CD597" s="162"/>
      <c r="CE597" s="162"/>
      <c r="CF597" s="230"/>
      <c r="CG597" s="230"/>
      <c r="CH597" s="162"/>
      <c r="CI597" s="162"/>
      <c r="CJ597" s="162"/>
      <c r="CK597" s="162"/>
      <c r="CL597" s="162"/>
      <c r="CM597" s="230"/>
      <c r="CN597" s="230"/>
      <c r="CO597" s="162"/>
      <c r="CP597" s="162"/>
      <c r="CQ597" s="162"/>
      <c r="CR597" s="162"/>
      <c r="CS597" s="162"/>
      <c r="CT597" s="230"/>
      <c r="CU597" s="230"/>
      <c r="CV597" s="162"/>
      <c r="CW597" s="162"/>
      <c r="CX597" s="162"/>
      <c r="CY597" s="162"/>
      <c r="CZ597" s="162"/>
      <c r="DA597" s="230"/>
      <c r="DB597" s="230"/>
      <c r="DC597" s="162"/>
      <c r="DD597" s="162"/>
      <c r="DE597" s="162"/>
      <c r="DF597" s="162"/>
      <c r="DG597" s="162"/>
      <c r="DH597" s="230"/>
      <c r="DI597" s="230"/>
      <c r="DJ597" s="162"/>
      <c r="DK597" s="162"/>
      <c r="DL597" s="147"/>
      <c r="DM597" s="147"/>
      <c r="DN597" s="147"/>
      <c r="DO597" s="147"/>
      <c r="DP597" s="147"/>
      <c r="DQ597" s="147"/>
      <c r="DR597" s="147"/>
      <c r="DS597" s="147"/>
      <c r="DT597" s="147"/>
      <c r="DU597" s="147"/>
      <c r="DV597" s="147"/>
      <c r="DW597" s="147"/>
      <c r="DX597" s="147"/>
      <c r="DY597" s="147"/>
      <c r="DZ597" s="147"/>
      <c r="EA597" s="147"/>
      <c r="EB597" s="147"/>
      <c r="EC597" s="147"/>
      <c r="ED597" s="147"/>
      <c r="EE597" s="147"/>
      <c r="EF597" s="147"/>
      <c r="EG597" s="147"/>
      <c r="EH597" s="147"/>
    </row>
    <row r="598" spans="1:138" x14ac:dyDescent="0.25">
      <c r="A598" s="147"/>
      <c r="B598" s="147"/>
      <c r="C598" s="160"/>
      <c r="D598" s="160"/>
      <c r="E598" s="169"/>
      <c r="F598" s="229"/>
      <c r="G598" s="165"/>
      <c r="H598" s="165"/>
      <c r="I598" s="163"/>
      <c r="J598" s="163"/>
      <c r="K598" s="162"/>
      <c r="L598" s="162"/>
      <c r="M598" s="162"/>
      <c r="N598" s="230"/>
      <c r="O598" s="230"/>
      <c r="P598" s="162"/>
      <c r="Q598" s="162"/>
      <c r="R598" s="162"/>
      <c r="S598" s="162"/>
      <c r="T598" s="162"/>
      <c r="U598" s="230"/>
      <c r="V598" s="230"/>
      <c r="W598" s="162"/>
      <c r="X598" s="162"/>
      <c r="Y598" s="162"/>
      <c r="Z598" s="162"/>
      <c r="AA598" s="162"/>
      <c r="AB598" s="230"/>
      <c r="AC598" s="230"/>
      <c r="AD598" s="162"/>
      <c r="AE598" s="162"/>
      <c r="AF598" s="162"/>
      <c r="AG598" s="162"/>
      <c r="AH598" s="162"/>
      <c r="AI598" s="230"/>
      <c r="AJ598" s="230"/>
      <c r="AK598" s="162"/>
      <c r="AL598" s="162"/>
      <c r="AM598" s="162"/>
      <c r="AN598" s="162"/>
      <c r="AO598" s="162"/>
      <c r="AP598" s="230"/>
      <c r="AQ598" s="230"/>
      <c r="AR598" s="162"/>
      <c r="AS598" s="162"/>
      <c r="AT598" s="162"/>
      <c r="AU598" s="162"/>
      <c r="AV598" s="162"/>
      <c r="AW598" s="230"/>
      <c r="AX598" s="230"/>
      <c r="AY598" s="162"/>
      <c r="AZ598" s="162"/>
      <c r="BA598" s="162"/>
      <c r="BB598" s="162"/>
      <c r="BC598" s="162"/>
      <c r="BD598" s="230"/>
      <c r="BE598" s="230"/>
      <c r="BF598" s="162"/>
      <c r="BG598" s="162"/>
      <c r="BH598" s="162"/>
      <c r="BI598" s="162"/>
      <c r="BJ598" s="162"/>
      <c r="BK598" s="230"/>
      <c r="BL598" s="230"/>
      <c r="BM598" s="162"/>
      <c r="BN598" s="162"/>
      <c r="BO598" s="162"/>
      <c r="BP598" s="162"/>
      <c r="BQ598" s="162"/>
      <c r="BR598" s="230"/>
      <c r="BS598" s="230"/>
      <c r="BT598" s="162"/>
      <c r="BU598" s="162"/>
      <c r="BV598" s="162"/>
      <c r="BW598" s="162"/>
      <c r="BX598" s="162"/>
      <c r="BY598" s="230"/>
      <c r="BZ598" s="230"/>
      <c r="CA598" s="162"/>
      <c r="CB598" s="162"/>
      <c r="CC598" s="162"/>
      <c r="CD598" s="162"/>
      <c r="CE598" s="162"/>
      <c r="CF598" s="230"/>
      <c r="CG598" s="230"/>
      <c r="CH598" s="162"/>
      <c r="CI598" s="162"/>
      <c r="CJ598" s="162"/>
      <c r="CK598" s="162"/>
      <c r="CL598" s="162"/>
      <c r="CM598" s="230"/>
      <c r="CN598" s="230"/>
      <c r="CO598" s="162"/>
      <c r="CP598" s="162"/>
      <c r="CQ598" s="162"/>
      <c r="CR598" s="162"/>
      <c r="CS598" s="162"/>
      <c r="CT598" s="230"/>
      <c r="CU598" s="230"/>
      <c r="CV598" s="162"/>
      <c r="CW598" s="162"/>
      <c r="CX598" s="162"/>
      <c r="CY598" s="162"/>
      <c r="CZ598" s="162"/>
      <c r="DA598" s="230"/>
      <c r="DB598" s="230"/>
      <c r="DC598" s="162"/>
      <c r="DD598" s="162"/>
      <c r="DE598" s="162"/>
      <c r="DF598" s="162"/>
      <c r="DG598" s="162"/>
      <c r="DH598" s="230"/>
      <c r="DI598" s="230"/>
      <c r="DJ598" s="162"/>
      <c r="DK598" s="162"/>
      <c r="DL598" s="147"/>
      <c r="DM598" s="147"/>
      <c r="DN598" s="147"/>
      <c r="DO598" s="147"/>
      <c r="DP598" s="147"/>
      <c r="DQ598" s="147"/>
      <c r="DR598" s="147"/>
      <c r="DS598" s="147"/>
      <c r="DT598" s="147"/>
      <c r="DU598" s="147"/>
      <c r="DV598" s="147"/>
      <c r="DW598" s="147"/>
      <c r="DX598" s="147"/>
      <c r="DY598" s="147"/>
      <c r="DZ598" s="147"/>
      <c r="EA598" s="147"/>
      <c r="EB598" s="147"/>
      <c r="EC598" s="147"/>
      <c r="ED598" s="147"/>
      <c r="EE598" s="147"/>
      <c r="EF598" s="147"/>
      <c r="EG598" s="147"/>
      <c r="EH598" s="147"/>
    </row>
    <row r="599" spans="1:138" x14ac:dyDescent="0.25">
      <c r="A599" s="147"/>
      <c r="B599" s="147"/>
      <c r="C599" s="160"/>
      <c r="D599" s="160"/>
      <c r="E599" s="169"/>
      <c r="F599" s="229"/>
      <c r="G599" s="165"/>
      <c r="H599" s="165"/>
      <c r="I599" s="163"/>
      <c r="J599" s="163"/>
      <c r="K599" s="162"/>
      <c r="L599" s="162"/>
      <c r="M599" s="162"/>
      <c r="N599" s="230"/>
      <c r="O599" s="230"/>
      <c r="P599" s="162"/>
      <c r="Q599" s="162"/>
      <c r="R599" s="162"/>
      <c r="S599" s="162"/>
      <c r="T599" s="162"/>
      <c r="U599" s="230"/>
      <c r="V599" s="230"/>
      <c r="W599" s="162"/>
      <c r="X599" s="162"/>
      <c r="Y599" s="162"/>
      <c r="Z599" s="162"/>
      <c r="AA599" s="162"/>
      <c r="AB599" s="230"/>
      <c r="AC599" s="230"/>
      <c r="AD599" s="162"/>
      <c r="AE599" s="162"/>
      <c r="AF599" s="162"/>
      <c r="AG599" s="162"/>
      <c r="AH599" s="162"/>
      <c r="AI599" s="230"/>
      <c r="AJ599" s="230"/>
      <c r="AK599" s="162"/>
      <c r="AL599" s="162"/>
      <c r="AM599" s="162"/>
      <c r="AN599" s="162"/>
      <c r="AO599" s="162"/>
      <c r="AP599" s="230"/>
      <c r="AQ599" s="230"/>
      <c r="AR599" s="162"/>
      <c r="AS599" s="162"/>
      <c r="AT599" s="162"/>
      <c r="AU599" s="162"/>
      <c r="AV599" s="162"/>
      <c r="AW599" s="230"/>
      <c r="AX599" s="230"/>
      <c r="AY599" s="162"/>
      <c r="AZ599" s="162"/>
      <c r="BA599" s="162"/>
      <c r="BB599" s="162"/>
      <c r="BC599" s="162"/>
      <c r="BD599" s="230"/>
      <c r="BE599" s="230"/>
      <c r="BF599" s="162"/>
      <c r="BG599" s="162"/>
      <c r="BH599" s="162"/>
      <c r="BI599" s="162"/>
      <c r="BJ599" s="162"/>
      <c r="BK599" s="230"/>
      <c r="BL599" s="230"/>
      <c r="BM599" s="162"/>
      <c r="BN599" s="162"/>
      <c r="BO599" s="162"/>
      <c r="BP599" s="162"/>
      <c r="BQ599" s="162"/>
      <c r="BR599" s="230"/>
      <c r="BS599" s="230"/>
      <c r="BT599" s="162"/>
      <c r="BU599" s="162"/>
      <c r="BV599" s="162"/>
      <c r="BW599" s="162"/>
      <c r="BX599" s="162"/>
      <c r="BY599" s="230"/>
      <c r="BZ599" s="230"/>
      <c r="CA599" s="162"/>
      <c r="CB599" s="162"/>
      <c r="CC599" s="162"/>
      <c r="CD599" s="162"/>
      <c r="CE599" s="162"/>
      <c r="CF599" s="230"/>
      <c r="CG599" s="230"/>
      <c r="CH599" s="162"/>
      <c r="CI599" s="162"/>
      <c r="CJ599" s="162"/>
      <c r="CK599" s="162"/>
      <c r="CL599" s="162"/>
      <c r="CM599" s="230"/>
      <c r="CN599" s="230"/>
      <c r="CO599" s="162"/>
      <c r="CP599" s="162"/>
      <c r="CQ599" s="162"/>
      <c r="CR599" s="162"/>
      <c r="CS599" s="162"/>
      <c r="CT599" s="230"/>
      <c r="CU599" s="230"/>
      <c r="CV599" s="162"/>
      <c r="CW599" s="162"/>
      <c r="CX599" s="162"/>
      <c r="CY599" s="162"/>
      <c r="CZ599" s="162"/>
      <c r="DA599" s="230"/>
      <c r="DB599" s="230"/>
      <c r="DC599" s="162"/>
      <c r="DD599" s="162"/>
      <c r="DE599" s="162"/>
      <c r="DF599" s="162"/>
      <c r="DG599" s="162"/>
      <c r="DH599" s="230"/>
      <c r="DI599" s="230"/>
      <c r="DJ599" s="162"/>
      <c r="DK599" s="162"/>
      <c r="DL599" s="147"/>
      <c r="DM599" s="147"/>
      <c r="DN599" s="147"/>
      <c r="DO599" s="147"/>
      <c r="DP599" s="147"/>
      <c r="DQ599" s="147"/>
      <c r="DR599" s="147"/>
      <c r="DS599" s="147"/>
      <c r="DT599" s="147"/>
      <c r="DU599" s="147"/>
      <c r="DV599" s="147"/>
      <c r="DW599" s="147"/>
      <c r="DX599" s="147"/>
      <c r="DY599" s="147"/>
      <c r="DZ599" s="147"/>
      <c r="EA599" s="147"/>
      <c r="EB599" s="147"/>
      <c r="EC599" s="147"/>
      <c r="ED599" s="147"/>
      <c r="EE599" s="147"/>
      <c r="EF599" s="147"/>
      <c r="EG599" s="147"/>
      <c r="EH599" s="147"/>
    </row>
    <row r="600" spans="1:138" x14ac:dyDescent="0.25">
      <c r="A600" s="147"/>
      <c r="B600" s="147"/>
      <c r="C600" s="160"/>
      <c r="D600" s="160"/>
      <c r="E600" s="169"/>
      <c r="F600" s="229"/>
      <c r="G600" s="165"/>
      <c r="H600" s="165"/>
      <c r="I600" s="163"/>
      <c r="J600" s="163"/>
      <c r="K600" s="162"/>
      <c r="L600" s="162"/>
      <c r="M600" s="162"/>
      <c r="N600" s="230"/>
      <c r="O600" s="230"/>
      <c r="P600" s="162"/>
      <c r="Q600" s="162"/>
      <c r="R600" s="162"/>
      <c r="S600" s="162"/>
      <c r="T600" s="162"/>
      <c r="U600" s="230"/>
      <c r="V600" s="230"/>
      <c r="W600" s="162"/>
      <c r="X600" s="162"/>
      <c r="Y600" s="162"/>
      <c r="Z600" s="162"/>
      <c r="AA600" s="162"/>
      <c r="AB600" s="230"/>
      <c r="AC600" s="230"/>
      <c r="AD600" s="162"/>
      <c r="AE600" s="162"/>
      <c r="AF600" s="162"/>
      <c r="AG600" s="162"/>
      <c r="AH600" s="162"/>
      <c r="AI600" s="230"/>
      <c r="AJ600" s="230"/>
      <c r="AK600" s="162"/>
      <c r="AL600" s="162"/>
      <c r="AM600" s="162"/>
      <c r="AN600" s="162"/>
      <c r="AO600" s="162"/>
      <c r="AP600" s="230"/>
      <c r="AQ600" s="230"/>
      <c r="AR600" s="162"/>
      <c r="AS600" s="162"/>
      <c r="AT600" s="162"/>
      <c r="AU600" s="162"/>
      <c r="AV600" s="162"/>
      <c r="AW600" s="230"/>
      <c r="AX600" s="230"/>
      <c r="AY600" s="162"/>
      <c r="AZ600" s="162"/>
      <c r="BA600" s="162"/>
      <c r="BB600" s="162"/>
      <c r="BC600" s="162"/>
      <c r="BD600" s="230"/>
      <c r="BE600" s="230"/>
      <c r="BF600" s="162"/>
      <c r="BG600" s="162"/>
      <c r="BH600" s="162"/>
      <c r="BI600" s="162"/>
      <c r="BJ600" s="162"/>
      <c r="BK600" s="230"/>
      <c r="BL600" s="230"/>
      <c r="BM600" s="162"/>
      <c r="BN600" s="162"/>
      <c r="BO600" s="162"/>
      <c r="BP600" s="162"/>
      <c r="BQ600" s="162"/>
      <c r="BR600" s="230"/>
      <c r="BS600" s="230"/>
      <c r="BT600" s="162"/>
      <c r="BU600" s="162"/>
      <c r="BV600" s="162"/>
      <c r="BW600" s="162"/>
      <c r="BX600" s="162"/>
      <c r="BY600" s="230"/>
      <c r="BZ600" s="230"/>
      <c r="CA600" s="162"/>
      <c r="CB600" s="162"/>
      <c r="CC600" s="162"/>
      <c r="CD600" s="162"/>
      <c r="CE600" s="162"/>
      <c r="CF600" s="230"/>
      <c r="CG600" s="230"/>
      <c r="CH600" s="162"/>
      <c r="CI600" s="162"/>
      <c r="CJ600" s="162"/>
      <c r="CK600" s="162"/>
      <c r="CL600" s="162"/>
      <c r="CM600" s="230"/>
      <c r="CN600" s="230"/>
      <c r="CO600" s="162"/>
      <c r="CP600" s="162"/>
      <c r="CQ600" s="162"/>
      <c r="CR600" s="162"/>
      <c r="CS600" s="162"/>
      <c r="CT600" s="230"/>
      <c r="CU600" s="230"/>
      <c r="CV600" s="162"/>
      <c r="CW600" s="162"/>
      <c r="CX600" s="162"/>
      <c r="CY600" s="162"/>
      <c r="CZ600" s="162"/>
      <c r="DA600" s="230"/>
      <c r="DB600" s="230"/>
      <c r="DC600" s="162"/>
      <c r="DD600" s="162"/>
      <c r="DE600" s="162"/>
      <c r="DF600" s="162"/>
      <c r="DG600" s="162"/>
      <c r="DH600" s="230"/>
      <c r="DI600" s="230"/>
      <c r="DJ600" s="162"/>
      <c r="DK600" s="162"/>
      <c r="DL600" s="147"/>
      <c r="DM600" s="147"/>
      <c r="DN600" s="147"/>
      <c r="DO600" s="147"/>
      <c r="DP600" s="147"/>
      <c r="DQ600" s="147"/>
      <c r="DR600" s="147"/>
      <c r="DS600" s="147"/>
      <c r="DT600" s="147"/>
      <c r="DU600" s="147"/>
      <c r="DV600" s="147"/>
      <c r="DW600" s="147"/>
      <c r="DX600" s="147"/>
      <c r="DY600" s="147"/>
      <c r="DZ600" s="147"/>
      <c r="EA600" s="147"/>
      <c r="EB600" s="147"/>
      <c r="EC600" s="147"/>
      <c r="ED600" s="147"/>
      <c r="EE600" s="147"/>
      <c r="EF600" s="147"/>
      <c r="EG600" s="147"/>
      <c r="EH600" s="147"/>
    </row>
    <row r="601" spans="1:138" x14ac:dyDescent="0.25">
      <c r="A601" s="147"/>
      <c r="B601" s="147"/>
      <c r="C601" s="160"/>
      <c r="D601" s="160"/>
      <c r="E601" s="169"/>
      <c r="F601" s="229"/>
      <c r="G601" s="165"/>
      <c r="H601" s="165"/>
      <c r="I601" s="163"/>
      <c r="J601" s="163"/>
      <c r="K601" s="162"/>
      <c r="L601" s="162"/>
      <c r="M601" s="162"/>
      <c r="N601" s="230"/>
      <c r="O601" s="230"/>
      <c r="P601" s="162"/>
      <c r="Q601" s="162"/>
      <c r="R601" s="162"/>
      <c r="S601" s="162"/>
      <c r="T601" s="162"/>
      <c r="U601" s="230"/>
      <c r="V601" s="230"/>
      <c r="W601" s="162"/>
      <c r="X601" s="162"/>
      <c r="Y601" s="162"/>
      <c r="Z601" s="162"/>
      <c r="AA601" s="162"/>
      <c r="AB601" s="230"/>
      <c r="AC601" s="230"/>
      <c r="AD601" s="162"/>
      <c r="AE601" s="162"/>
      <c r="AF601" s="162"/>
      <c r="AG601" s="162"/>
      <c r="AH601" s="162"/>
      <c r="AI601" s="230"/>
      <c r="AJ601" s="230"/>
      <c r="AK601" s="162"/>
      <c r="AL601" s="162"/>
      <c r="AM601" s="162"/>
      <c r="AN601" s="162"/>
      <c r="AO601" s="162"/>
      <c r="AP601" s="230"/>
      <c r="AQ601" s="230"/>
      <c r="AR601" s="162"/>
      <c r="AS601" s="162"/>
      <c r="AT601" s="162"/>
      <c r="AU601" s="162"/>
      <c r="AV601" s="162"/>
      <c r="AW601" s="230"/>
      <c r="AX601" s="230"/>
      <c r="AY601" s="162"/>
      <c r="AZ601" s="162"/>
      <c r="BA601" s="162"/>
      <c r="BB601" s="162"/>
      <c r="BC601" s="162"/>
      <c r="BD601" s="230"/>
      <c r="BE601" s="230"/>
      <c r="BF601" s="162"/>
      <c r="BG601" s="162"/>
      <c r="BH601" s="162"/>
      <c r="BI601" s="162"/>
      <c r="BJ601" s="162"/>
      <c r="BK601" s="230"/>
      <c r="BL601" s="230"/>
      <c r="BM601" s="162"/>
      <c r="BN601" s="162"/>
      <c r="BO601" s="162"/>
      <c r="BP601" s="162"/>
      <c r="BQ601" s="162"/>
      <c r="BR601" s="230"/>
      <c r="BS601" s="230"/>
      <c r="BT601" s="162"/>
      <c r="BU601" s="162"/>
      <c r="BV601" s="162"/>
      <c r="BW601" s="162"/>
      <c r="BX601" s="162"/>
      <c r="BY601" s="230"/>
      <c r="BZ601" s="230"/>
      <c r="CA601" s="162"/>
      <c r="CB601" s="162"/>
      <c r="CC601" s="162"/>
      <c r="CD601" s="162"/>
      <c r="CE601" s="162"/>
      <c r="CF601" s="230"/>
      <c r="CG601" s="230"/>
      <c r="CH601" s="162"/>
      <c r="CI601" s="162"/>
      <c r="CJ601" s="162"/>
      <c r="CK601" s="162"/>
      <c r="CL601" s="162"/>
      <c r="CM601" s="230"/>
      <c r="CN601" s="230"/>
      <c r="CO601" s="162"/>
      <c r="CP601" s="162"/>
      <c r="CQ601" s="162"/>
      <c r="CR601" s="162"/>
      <c r="CS601" s="162"/>
      <c r="CT601" s="230"/>
      <c r="CU601" s="230"/>
      <c r="CV601" s="162"/>
      <c r="CW601" s="162"/>
      <c r="CX601" s="162"/>
      <c r="CY601" s="162"/>
      <c r="CZ601" s="162"/>
      <c r="DA601" s="230"/>
      <c r="DB601" s="230"/>
      <c r="DC601" s="162"/>
      <c r="DD601" s="162"/>
      <c r="DE601" s="162"/>
      <c r="DF601" s="162"/>
      <c r="DG601" s="162"/>
      <c r="DH601" s="230"/>
      <c r="DI601" s="230"/>
      <c r="DJ601" s="162"/>
      <c r="DK601" s="162"/>
      <c r="DL601" s="147"/>
      <c r="DM601" s="147"/>
      <c r="DN601" s="147"/>
      <c r="DO601" s="147"/>
      <c r="DP601" s="147"/>
      <c r="DQ601" s="147"/>
      <c r="DR601" s="147"/>
      <c r="DS601" s="147"/>
      <c r="DT601" s="147"/>
      <c r="DU601" s="147"/>
      <c r="DV601" s="147"/>
      <c r="DW601" s="147"/>
      <c r="DX601" s="147"/>
      <c r="DY601" s="147"/>
      <c r="DZ601" s="147"/>
      <c r="EA601" s="147"/>
      <c r="EB601" s="147"/>
      <c r="EC601" s="147"/>
      <c r="ED601" s="147"/>
      <c r="EE601" s="147"/>
      <c r="EF601" s="147"/>
      <c r="EG601" s="147"/>
      <c r="EH601" s="147"/>
    </row>
    <row r="602" spans="1:138" x14ac:dyDescent="0.25">
      <c r="A602" s="147"/>
      <c r="B602" s="147"/>
      <c r="C602" s="160"/>
      <c r="D602" s="160"/>
      <c r="E602" s="169"/>
      <c r="F602" s="229"/>
      <c r="G602" s="165"/>
      <c r="H602" s="165"/>
      <c r="I602" s="163"/>
      <c r="J602" s="163"/>
      <c r="K602" s="162"/>
      <c r="L602" s="162"/>
      <c r="M602" s="162"/>
      <c r="N602" s="230"/>
      <c r="O602" s="230"/>
      <c r="P602" s="162"/>
      <c r="Q602" s="162"/>
      <c r="R602" s="162"/>
      <c r="S602" s="162"/>
      <c r="T602" s="162"/>
      <c r="U602" s="230"/>
      <c r="V602" s="230"/>
      <c r="W602" s="162"/>
      <c r="X602" s="162"/>
      <c r="Y602" s="162"/>
      <c r="Z602" s="162"/>
      <c r="AA602" s="162"/>
      <c r="AB602" s="230"/>
      <c r="AC602" s="230"/>
      <c r="AD602" s="162"/>
      <c r="AE602" s="162"/>
      <c r="AF602" s="162"/>
      <c r="AG602" s="162"/>
      <c r="AH602" s="162"/>
      <c r="AI602" s="230"/>
      <c r="AJ602" s="230"/>
      <c r="AK602" s="162"/>
      <c r="AL602" s="162"/>
      <c r="AM602" s="162"/>
      <c r="AN602" s="162"/>
      <c r="AO602" s="162"/>
      <c r="AP602" s="230"/>
      <c r="AQ602" s="230"/>
      <c r="AR602" s="162"/>
      <c r="AS602" s="162"/>
      <c r="AT602" s="162"/>
      <c r="AU602" s="162"/>
      <c r="AV602" s="162"/>
      <c r="AW602" s="230"/>
      <c r="AX602" s="230"/>
      <c r="AY602" s="162"/>
      <c r="AZ602" s="162"/>
      <c r="BA602" s="162"/>
      <c r="BB602" s="162"/>
      <c r="BC602" s="162"/>
      <c r="BD602" s="230"/>
      <c r="BE602" s="230"/>
      <c r="BF602" s="162"/>
      <c r="BG602" s="162"/>
      <c r="BH602" s="162"/>
      <c r="BI602" s="162"/>
      <c r="BJ602" s="162"/>
      <c r="BK602" s="230"/>
      <c r="BL602" s="230"/>
      <c r="BM602" s="162"/>
      <c r="BN602" s="162"/>
      <c r="BO602" s="162"/>
      <c r="BP602" s="162"/>
      <c r="BQ602" s="162"/>
      <c r="BR602" s="230"/>
      <c r="BS602" s="230"/>
      <c r="BT602" s="162"/>
      <c r="BU602" s="162"/>
      <c r="BV602" s="162"/>
      <c r="BW602" s="162"/>
      <c r="BX602" s="162"/>
      <c r="BY602" s="230"/>
      <c r="BZ602" s="230"/>
      <c r="CA602" s="162"/>
      <c r="CB602" s="162"/>
      <c r="CC602" s="162"/>
      <c r="CD602" s="162"/>
      <c r="CE602" s="162"/>
      <c r="CF602" s="230"/>
      <c r="CG602" s="230"/>
      <c r="CH602" s="162"/>
      <c r="CI602" s="162"/>
      <c r="CJ602" s="162"/>
      <c r="CK602" s="162"/>
      <c r="CL602" s="162"/>
      <c r="CM602" s="230"/>
      <c r="CN602" s="230"/>
      <c r="CO602" s="162"/>
      <c r="CP602" s="162"/>
      <c r="CQ602" s="162"/>
      <c r="CR602" s="162"/>
      <c r="CS602" s="162"/>
      <c r="CT602" s="230"/>
      <c r="CU602" s="230"/>
      <c r="CV602" s="162"/>
      <c r="CW602" s="162"/>
      <c r="CX602" s="162"/>
      <c r="CY602" s="162"/>
      <c r="CZ602" s="162"/>
      <c r="DA602" s="230"/>
      <c r="DB602" s="230"/>
      <c r="DC602" s="162"/>
      <c r="DD602" s="162"/>
      <c r="DE602" s="162"/>
      <c r="DF602" s="162"/>
      <c r="DG602" s="162"/>
      <c r="DH602" s="230"/>
      <c r="DI602" s="230"/>
      <c r="DJ602" s="162"/>
      <c r="DK602" s="162"/>
      <c r="DL602" s="147"/>
      <c r="DM602" s="147"/>
      <c r="DN602" s="147"/>
      <c r="DO602" s="147"/>
      <c r="DP602" s="147"/>
      <c r="DQ602" s="147"/>
      <c r="DR602" s="147"/>
      <c r="DS602" s="147"/>
      <c r="DT602" s="147"/>
      <c r="DU602" s="147"/>
      <c r="DV602" s="147"/>
      <c r="DW602" s="147"/>
      <c r="DX602" s="147"/>
      <c r="DY602" s="147"/>
      <c r="DZ602" s="147"/>
      <c r="EA602" s="147"/>
      <c r="EB602" s="147"/>
      <c r="EC602" s="147"/>
      <c r="ED602" s="147"/>
      <c r="EE602" s="147"/>
      <c r="EF602" s="147"/>
      <c r="EG602" s="147"/>
      <c r="EH602" s="147"/>
    </row>
    <row r="603" spans="1:138" x14ac:dyDescent="0.25">
      <c r="A603" s="147"/>
      <c r="B603" s="147"/>
      <c r="C603" s="160"/>
      <c r="D603" s="160"/>
      <c r="E603" s="169"/>
      <c r="F603" s="229"/>
      <c r="G603" s="165"/>
      <c r="H603" s="165"/>
      <c r="I603" s="163"/>
      <c r="J603" s="163"/>
      <c r="K603" s="162"/>
      <c r="L603" s="162"/>
      <c r="M603" s="162"/>
      <c r="N603" s="230"/>
      <c r="O603" s="230"/>
      <c r="P603" s="162"/>
      <c r="Q603" s="162"/>
      <c r="R603" s="162"/>
      <c r="S603" s="162"/>
      <c r="T603" s="162"/>
      <c r="U603" s="230"/>
      <c r="V603" s="230"/>
      <c r="W603" s="162"/>
      <c r="X603" s="162"/>
      <c r="Y603" s="162"/>
      <c r="Z603" s="162"/>
      <c r="AA603" s="162"/>
      <c r="AB603" s="230"/>
      <c r="AC603" s="230"/>
      <c r="AD603" s="162"/>
      <c r="AE603" s="162"/>
      <c r="AF603" s="162"/>
      <c r="AG603" s="162"/>
      <c r="AH603" s="162"/>
      <c r="AI603" s="230"/>
      <c r="AJ603" s="230"/>
      <c r="AK603" s="162"/>
      <c r="AL603" s="162"/>
      <c r="AM603" s="162"/>
      <c r="AN603" s="162"/>
      <c r="AO603" s="162"/>
      <c r="AP603" s="230"/>
      <c r="AQ603" s="230"/>
      <c r="AR603" s="162"/>
      <c r="AS603" s="162"/>
      <c r="AT603" s="162"/>
      <c r="AU603" s="162"/>
      <c r="AV603" s="162"/>
      <c r="AW603" s="230"/>
      <c r="AX603" s="230"/>
      <c r="AY603" s="162"/>
      <c r="AZ603" s="162"/>
      <c r="BA603" s="162"/>
      <c r="BB603" s="162"/>
      <c r="BC603" s="162"/>
      <c r="BD603" s="230"/>
      <c r="BE603" s="230"/>
      <c r="BF603" s="162"/>
      <c r="BG603" s="162"/>
      <c r="BH603" s="162"/>
      <c r="BI603" s="162"/>
      <c r="BJ603" s="162"/>
      <c r="BK603" s="230"/>
      <c r="BL603" s="230"/>
      <c r="BM603" s="162"/>
      <c r="BN603" s="162"/>
      <c r="BO603" s="162"/>
      <c r="BP603" s="162"/>
      <c r="BQ603" s="162"/>
      <c r="BR603" s="230"/>
      <c r="BS603" s="230"/>
      <c r="BT603" s="162"/>
      <c r="BU603" s="162"/>
      <c r="BV603" s="162"/>
      <c r="BW603" s="162"/>
      <c r="BX603" s="162"/>
      <c r="BY603" s="230"/>
      <c r="BZ603" s="230"/>
      <c r="CA603" s="162"/>
      <c r="CB603" s="162"/>
      <c r="CC603" s="162"/>
      <c r="CD603" s="162"/>
      <c r="CE603" s="162"/>
      <c r="CF603" s="230"/>
      <c r="CG603" s="230"/>
      <c r="CH603" s="162"/>
      <c r="CI603" s="162"/>
      <c r="CJ603" s="162"/>
      <c r="CK603" s="162"/>
      <c r="CL603" s="162"/>
      <c r="CM603" s="230"/>
      <c r="CN603" s="230"/>
      <c r="CO603" s="162"/>
      <c r="CP603" s="162"/>
      <c r="CQ603" s="162"/>
      <c r="CR603" s="162"/>
      <c r="CS603" s="162"/>
      <c r="CT603" s="230"/>
      <c r="CU603" s="230"/>
      <c r="CV603" s="162"/>
      <c r="CW603" s="162"/>
      <c r="CX603" s="162"/>
      <c r="CY603" s="162"/>
      <c r="CZ603" s="162"/>
      <c r="DA603" s="230"/>
      <c r="DB603" s="230"/>
      <c r="DC603" s="162"/>
      <c r="DD603" s="162"/>
      <c r="DE603" s="162"/>
      <c r="DF603" s="162"/>
      <c r="DG603" s="162"/>
      <c r="DH603" s="230"/>
      <c r="DI603" s="230"/>
      <c r="DJ603" s="162"/>
      <c r="DK603" s="162"/>
      <c r="DL603" s="147"/>
      <c r="DM603" s="147"/>
      <c r="DN603" s="147"/>
      <c r="DO603" s="147"/>
      <c r="DP603" s="147"/>
      <c r="DQ603" s="147"/>
      <c r="DR603" s="147"/>
      <c r="DS603" s="147"/>
      <c r="DT603" s="147"/>
      <c r="DU603" s="147"/>
      <c r="DV603" s="147"/>
      <c r="DW603" s="147"/>
      <c r="DX603" s="147"/>
      <c r="DY603" s="147"/>
      <c r="DZ603" s="147"/>
      <c r="EA603" s="147"/>
      <c r="EB603" s="147"/>
      <c r="EC603" s="147"/>
      <c r="ED603" s="147"/>
      <c r="EE603" s="147"/>
      <c r="EF603" s="147"/>
      <c r="EG603" s="147"/>
      <c r="EH603" s="147"/>
    </row>
    <row r="604" spans="1:138" x14ac:dyDescent="0.25">
      <c r="A604" s="147"/>
      <c r="B604" s="147"/>
      <c r="C604" s="160"/>
      <c r="D604" s="160"/>
      <c r="E604" s="169"/>
      <c r="F604" s="229"/>
      <c r="G604" s="165"/>
      <c r="H604" s="165"/>
      <c r="I604" s="163"/>
      <c r="J604" s="163"/>
      <c r="K604" s="162"/>
      <c r="L604" s="162"/>
      <c r="M604" s="162"/>
      <c r="N604" s="230"/>
      <c r="O604" s="230"/>
      <c r="P604" s="162"/>
      <c r="Q604" s="162"/>
      <c r="R604" s="162"/>
      <c r="S604" s="162"/>
      <c r="T604" s="162"/>
      <c r="U604" s="230"/>
      <c r="V604" s="230"/>
      <c r="W604" s="162"/>
      <c r="X604" s="162"/>
      <c r="Y604" s="162"/>
      <c r="Z604" s="162"/>
      <c r="AA604" s="162"/>
      <c r="AB604" s="230"/>
      <c r="AC604" s="230"/>
      <c r="AD604" s="162"/>
      <c r="AE604" s="162"/>
      <c r="AF604" s="162"/>
      <c r="AG604" s="162"/>
      <c r="AH604" s="162"/>
      <c r="AI604" s="230"/>
      <c r="AJ604" s="230"/>
      <c r="AK604" s="162"/>
      <c r="AL604" s="162"/>
      <c r="AM604" s="162"/>
      <c r="AN604" s="162"/>
      <c r="AO604" s="162"/>
      <c r="AP604" s="230"/>
      <c r="AQ604" s="230"/>
      <c r="AR604" s="162"/>
      <c r="AS604" s="162"/>
      <c r="AT604" s="162"/>
      <c r="AU604" s="162"/>
      <c r="AV604" s="162"/>
      <c r="AW604" s="230"/>
      <c r="AX604" s="230"/>
      <c r="AY604" s="162"/>
      <c r="AZ604" s="162"/>
      <c r="BA604" s="162"/>
      <c r="BB604" s="162"/>
      <c r="BC604" s="162"/>
      <c r="BD604" s="230"/>
      <c r="BE604" s="230"/>
      <c r="BF604" s="162"/>
      <c r="BG604" s="162"/>
      <c r="BH604" s="162"/>
      <c r="BI604" s="162"/>
      <c r="BJ604" s="162"/>
      <c r="BK604" s="230"/>
      <c r="BL604" s="230"/>
      <c r="BM604" s="162"/>
      <c r="BN604" s="162"/>
      <c r="BO604" s="162"/>
      <c r="BP604" s="162"/>
      <c r="BQ604" s="162"/>
      <c r="BR604" s="230"/>
      <c r="BS604" s="230"/>
      <c r="BT604" s="162"/>
      <c r="BU604" s="162"/>
      <c r="BV604" s="162"/>
      <c r="BW604" s="162"/>
      <c r="BX604" s="162"/>
      <c r="BY604" s="230"/>
      <c r="BZ604" s="230"/>
      <c r="CA604" s="162"/>
      <c r="CB604" s="162"/>
      <c r="CC604" s="162"/>
      <c r="CD604" s="162"/>
      <c r="CE604" s="162"/>
      <c r="CF604" s="230"/>
      <c r="CG604" s="230"/>
      <c r="CH604" s="162"/>
      <c r="CI604" s="162"/>
      <c r="CJ604" s="162"/>
      <c r="CK604" s="162"/>
      <c r="CL604" s="162"/>
      <c r="CM604" s="230"/>
      <c r="CN604" s="230"/>
      <c r="CO604" s="162"/>
      <c r="CP604" s="162"/>
      <c r="CQ604" s="162"/>
      <c r="CR604" s="162"/>
      <c r="CS604" s="162"/>
      <c r="CT604" s="230"/>
      <c r="CU604" s="230"/>
      <c r="CV604" s="162"/>
      <c r="CW604" s="162"/>
      <c r="CX604" s="162"/>
      <c r="CY604" s="162"/>
      <c r="CZ604" s="162"/>
      <c r="DA604" s="230"/>
      <c r="DB604" s="230"/>
      <c r="DC604" s="162"/>
      <c r="DD604" s="162"/>
      <c r="DE604" s="162"/>
      <c r="DF604" s="162"/>
      <c r="DG604" s="162"/>
      <c r="DH604" s="230"/>
      <c r="DI604" s="230"/>
      <c r="DJ604" s="162"/>
      <c r="DK604" s="162"/>
      <c r="DL604" s="147"/>
      <c r="DM604" s="147"/>
      <c r="DN604" s="147"/>
      <c r="DO604" s="147"/>
      <c r="DP604" s="147"/>
      <c r="DQ604" s="147"/>
      <c r="DR604" s="147"/>
      <c r="DS604" s="147"/>
      <c r="DT604" s="147"/>
      <c r="DU604" s="147"/>
      <c r="DV604" s="147"/>
      <c r="DW604" s="147"/>
      <c r="DX604" s="147"/>
      <c r="DY604" s="147"/>
      <c r="DZ604" s="147"/>
      <c r="EA604" s="147"/>
      <c r="EB604" s="147"/>
      <c r="EC604" s="147"/>
      <c r="ED604" s="147"/>
      <c r="EE604" s="147"/>
      <c r="EF604" s="147"/>
      <c r="EG604" s="147"/>
      <c r="EH604" s="147"/>
    </row>
    <row r="605" spans="1:138" x14ac:dyDescent="0.25">
      <c r="A605" s="147"/>
      <c r="B605" s="147"/>
      <c r="C605" s="160"/>
      <c r="D605" s="160"/>
      <c r="E605" s="169"/>
      <c r="F605" s="229"/>
      <c r="G605" s="165"/>
      <c r="H605" s="165"/>
      <c r="I605" s="163"/>
      <c r="J605" s="163"/>
      <c r="K605" s="162"/>
      <c r="L605" s="162"/>
      <c r="M605" s="162"/>
      <c r="N605" s="230"/>
      <c r="O605" s="230"/>
      <c r="P605" s="162"/>
      <c r="Q605" s="162"/>
      <c r="R605" s="162"/>
      <c r="S605" s="162"/>
      <c r="T605" s="162"/>
      <c r="U605" s="230"/>
      <c r="V605" s="230"/>
      <c r="W605" s="162"/>
      <c r="X605" s="162"/>
      <c r="Y605" s="162"/>
      <c r="Z605" s="162"/>
      <c r="AA605" s="162"/>
      <c r="AB605" s="230"/>
      <c r="AC605" s="230"/>
      <c r="AD605" s="162"/>
      <c r="AE605" s="162"/>
      <c r="AF605" s="162"/>
      <c r="AG605" s="162"/>
      <c r="AH605" s="162"/>
      <c r="AI605" s="230"/>
      <c r="AJ605" s="230"/>
      <c r="AK605" s="162"/>
      <c r="AL605" s="162"/>
      <c r="AM605" s="162"/>
      <c r="AN605" s="162"/>
      <c r="AO605" s="162"/>
      <c r="AP605" s="230"/>
      <c r="AQ605" s="230"/>
      <c r="AR605" s="162"/>
      <c r="AS605" s="162"/>
      <c r="AT605" s="162"/>
      <c r="AU605" s="162"/>
      <c r="AV605" s="162"/>
      <c r="AW605" s="230"/>
      <c r="AX605" s="230"/>
      <c r="AY605" s="162"/>
      <c r="AZ605" s="162"/>
      <c r="BA605" s="162"/>
      <c r="BB605" s="162"/>
      <c r="BC605" s="162"/>
      <c r="BD605" s="230"/>
      <c r="BE605" s="230"/>
      <c r="BF605" s="162"/>
      <c r="BG605" s="162"/>
      <c r="BH605" s="162"/>
      <c r="BI605" s="162"/>
      <c r="BJ605" s="162"/>
      <c r="BK605" s="230"/>
      <c r="BL605" s="230"/>
      <c r="BM605" s="162"/>
      <c r="BN605" s="162"/>
      <c r="BO605" s="162"/>
      <c r="BP605" s="162"/>
      <c r="BQ605" s="162"/>
      <c r="BR605" s="230"/>
      <c r="BS605" s="230"/>
      <c r="BT605" s="162"/>
      <c r="BU605" s="162"/>
      <c r="BV605" s="162"/>
      <c r="BW605" s="162"/>
      <c r="BX605" s="162"/>
      <c r="BY605" s="230"/>
      <c r="BZ605" s="230"/>
      <c r="CA605" s="162"/>
      <c r="CB605" s="162"/>
      <c r="CC605" s="162"/>
      <c r="CD605" s="162"/>
      <c r="CE605" s="162"/>
      <c r="CF605" s="230"/>
      <c r="CG605" s="230"/>
      <c r="CH605" s="162"/>
      <c r="CI605" s="162"/>
      <c r="CJ605" s="162"/>
      <c r="CK605" s="162"/>
      <c r="CL605" s="162"/>
      <c r="CM605" s="230"/>
      <c r="CN605" s="230"/>
      <c r="CO605" s="162"/>
      <c r="CP605" s="162"/>
      <c r="CQ605" s="162"/>
      <c r="CR605" s="162"/>
      <c r="CS605" s="162"/>
      <c r="CT605" s="230"/>
      <c r="CU605" s="230"/>
      <c r="CV605" s="162"/>
      <c r="CW605" s="162"/>
      <c r="CX605" s="162"/>
      <c r="CY605" s="162"/>
      <c r="CZ605" s="162"/>
      <c r="DA605" s="230"/>
      <c r="DB605" s="230"/>
      <c r="DC605" s="162"/>
      <c r="DD605" s="162"/>
      <c r="DE605" s="162"/>
      <c r="DF605" s="162"/>
      <c r="DG605" s="162"/>
      <c r="DH605" s="230"/>
      <c r="DI605" s="230"/>
      <c r="DJ605" s="162"/>
      <c r="DK605" s="162"/>
      <c r="DL605" s="147"/>
      <c r="DM605" s="147"/>
      <c r="DN605" s="147"/>
      <c r="DO605" s="147"/>
      <c r="DP605" s="147"/>
      <c r="DQ605" s="147"/>
      <c r="DR605" s="147"/>
      <c r="DS605" s="147"/>
      <c r="DT605" s="147"/>
      <c r="DU605" s="147"/>
      <c r="DV605" s="147"/>
      <c r="DW605" s="147"/>
      <c r="DX605" s="147"/>
      <c r="DY605" s="147"/>
      <c r="DZ605" s="147"/>
      <c r="EA605" s="147"/>
      <c r="EB605" s="147"/>
      <c r="EC605" s="147"/>
      <c r="ED605" s="147"/>
      <c r="EE605" s="147"/>
      <c r="EF605" s="147"/>
      <c r="EG605" s="147"/>
      <c r="EH605" s="147"/>
    </row>
    <row r="606" spans="1:138" x14ac:dyDescent="0.25">
      <c r="A606" s="147"/>
      <c r="B606" s="147"/>
      <c r="C606" s="160"/>
      <c r="D606" s="160"/>
      <c r="E606" s="169"/>
      <c r="F606" s="229"/>
      <c r="G606" s="165"/>
      <c r="H606" s="165"/>
      <c r="I606" s="163"/>
      <c r="J606" s="163"/>
      <c r="K606" s="162"/>
      <c r="L606" s="162"/>
      <c r="M606" s="162"/>
      <c r="N606" s="230"/>
      <c r="O606" s="230"/>
      <c r="P606" s="162"/>
      <c r="Q606" s="162"/>
      <c r="R606" s="162"/>
      <c r="S606" s="162"/>
      <c r="T606" s="162"/>
      <c r="U606" s="230"/>
      <c r="V606" s="230"/>
      <c r="W606" s="162"/>
      <c r="X606" s="162"/>
      <c r="Y606" s="162"/>
      <c r="Z606" s="162"/>
      <c r="AA606" s="162"/>
      <c r="AB606" s="230"/>
      <c r="AC606" s="230"/>
      <c r="AD606" s="162"/>
      <c r="AE606" s="162"/>
      <c r="AF606" s="162"/>
      <c r="AG606" s="162"/>
      <c r="AH606" s="162"/>
      <c r="AI606" s="230"/>
      <c r="AJ606" s="230"/>
      <c r="AK606" s="162"/>
      <c r="AL606" s="162"/>
      <c r="AM606" s="162"/>
      <c r="AN606" s="162"/>
      <c r="AO606" s="162"/>
      <c r="AP606" s="230"/>
      <c r="AQ606" s="230"/>
      <c r="AR606" s="162"/>
      <c r="AS606" s="162"/>
      <c r="AT606" s="162"/>
      <c r="AU606" s="162"/>
      <c r="AV606" s="162"/>
      <c r="AW606" s="230"/>
      <c r="AX606" s="230"/>
      <c r="AY606" s="162"/>
      <c r="AZ606" s="162"/>
      <c r="BA606" s="162"/>
      <c r="BB606" s="162"/>
      <c r="BC606" s="162"/>
      <c r="BD606" s="230"/>
      <c r="BE606" s="230"/>
      <c r="BF606" s="162"/>
      <c r="BG606" s="162"/>
      <c r="BH606" s="162"/>
      <c r="BI606" s="162"/>
      <c r="BJ606" s="162"/>
      <c r="BK606" s="230"/>
      <c r="BL606" s="230"/>
      <c r="BM606" s="162"/>
      <c r="BN606" s="162"/>
      <c r="BO606" s="162"/>
      <c r="BP606" s="162"/>
      <c r="BQ606" s="162"/>
      <c r="BR606" s="230"/>
      <c r="BS606" s="230"/>
      <c r="BT606" s="162"/>
      <c r="BU606" s="162"/>
      <c r="BV606" s="162"/>
      <c r="BW606" s="162"/>
      <c r="BX606" s="162"/>
      <c r="BY606" s="230"/>
      <c r="BZ606" s="230"/>
      <c r="CA606" s="162"/>
      <c r="CB606" s="162"/>
      <c r="CC606" s="162"/>
      <c r="CD606" s="162"/>
      <c r="CE606" s="162"/>
      <c r="CF606" s="230"/>
      <c r="CG606" s="230"/>
      <c r="CH606" s="162"/>
      <c r="CI606" s="162"/>
      <c r="CJ606" s="162"/>
      <c r="CK606" s="162"/>
      <c r="CL606" s="162"/>
      <c r="CM606" s="230"/>
      <c r="CN606" s="230"/>
      <c r="CO606" s="162"/>
      <c r="CP606" s="162"/>
      <c r="CQ606" s="162"/>
      <c r="CR606" s="162"/>
      <c r="CS606" s="162"/>
      <c r="CT606" s="230"/>
      <c r="CU606" s="230"/>
      <c r="CV606" s="162"/>
      <c r="CW606" s="162"/>
      <c r="CX606" s="162"/>
      <c r="CY606" s="162"/>
      <c r="CZ606" s="162"/>
      <c r="DA606" s="230"/>
      <c r="DB606" s="230"/>
      <c r="DC606" s="162"/>
      <c r="DD606" s="162"/>
      <c r="DE606" s="162"/>
      <c r="DF606" s="162"/>
      <c r="DG606" s="162"/>
      <c r="DH606" s="230"/>
      <c r="DI606" s="230"/>
      <c r="DJ606" s="162"/>
      <c r="DK606" s="162"/>
      <c r="DL606" s="147"/>
      <c r="DM606" s="147"/>
      <c r="DN606" s="147"/>
      <c r="DO606" s="147"/>
      <c r="DP606" s="147"/>
      <c r="DQ606" s="147"/>
      <c r="DR606" s="147"/>
      <c r="DS606" s="147"/>
      <c r="DT606" s="147"/>
      <c r="DU606" s="147"/>
      <c r="DV606" s="147"/>
      <c r="DW606" s="147"/>
      <c r="DX606" s="147"/>
      <c r="DY606" s="147"/>
      <c r="DZ606" s="147"/>
      <c r="EA606" s="147"/>
      <c r="EB606" s="147"/>
      <c r="EC606" s="147"/>
      <c r="ED606" s="147"/>
      <c r="EE606" s="147"/>
      <c r="EF606" s="147"/>
      <c r="EG606" s="147"/>
      <c r="EH606" s="147"/>
    </row>
    <row r="607" spans="1:138" x14ac:dyDescent="0.25">
      <c r="A607" s="147"/>
      <c r="B607" s="147"/>
      <c r="C607" s="160"/>
      <c r="D607" s="160"/>
      <c r="E607" s="169"/>
      <c r="F607" s="229"/>
      <c r="G607" s="165"/>
      <c r="H607" s="165"/>
      <c r="I607" s="163"/>
      <c r="J607" s="163"/>
      <c r="K607" s="162"/>
      <c r="L607" s="162"/>
      <c r="M607" s="162"/>
      <c r="N607" s="230"/>
      <c r="O607" s="230"/>
      <c r="P607" s="162"/>
      <c r="Q607" s="162"/>
      <c r="R607" s="162"/>
      <c r="S607" s="162"/>
      <c r="T607" s="162"/>
      <c r="U607" s="230"/>
      <c r="V607" s="230"/>
      <c r="W607" s="162"/>
      <c r="X607" s="162"/>
      <c r="Y607" s="162"/>
      <c r="Z607" s="162"/>
      <c r="AA607" s="162"/>
      <c r="AB607" s="230"/>
      <c r="AC607" s="230"/>
      <c r="AD607" s="162"/>
      <c r="AE607" s="162"/>
      <c r="AF607" s="162"/>
      <c r="AG607" s="162"/>
      <c r="AH607" s="162"/>
      <c r="AI607" s="230"/>
      <c r="AJ607" s="230"/>
      <c r="AK607" s="162"/>
      <c r="AL607" s="162"/>
      <c r="AM607" s="162"/>
      <c r="AN607" s="162"/>
      <c r="AO607" s="162"/>
      <c r="AP607" s="230"/>
      <c r="AQ607" s="230"/>
      <c r="AR607" s="162"/>
      <c r="AS607" s="162"/>
      <c r="AT607" s="162"/>
      <c r="AU607" s="162"/>
      <c r="AV607" s="162"/>
      <c r="AW607" s="230"/>
      <c r="AX607" s="230"/>
      <c r="AY607" s="162"/>
      <c r="AZ607" s="162"/>
      <c r="BA607" s="162"/>
      <c r="BB607" s="162"/>
      <c r="BC607" s="162"/>
      <c r="BD607" s="230"/>
      <c r="BE607" s="230"/>
      <c r="BF607" s="162"/>
      <c r="BG607" s="162"/>
      <c r="BH607" s="162"/>
      <c r="BI607" s="162"/>
      <c r="BJ607" s="162"/>
      <c r="BK607" s="230"/>
      <c r="BL607" s="230"/>
      <c r="BM607" s="162"/>
      <c r="BN607" s="162"/>
      <c r="BO607" s="162"/>
      <c r="BP607" s="162"/>
      <c r="BQ607" s="162"/>
      <c r="BR607" s="230"/>
      <c r="BS607" s="230"/>
      <c r="BT607" s="162"/>
      <c r="BU607" s="162"/>
      <c r="BV607" s="162"/>
      <c r="BW607" s="162"/>
      <c r="BX607" s="162"/>
      <c r="BY607" s="230"/>
      <c r="BZ607" s="230"/>
      <c r="CA607" s="162"/>
      <c r="CB607" s="162"/>
      <c r="CC607" s="162"/>
      <c r="CD607" s="162"/>
      <c r="CE607" s="162"/>
      <c r="CF607" s="230"/>
      <c r="CG607" s="230"/>
      <c r="CH607" s="162"/>
      <c r="CI607" s="162"/>
      <c r="CJ607" s="162"/>
      <c r="CK607" s="162"/>
      <c r="CL607" s="162"/>
      <c r="CM607" s="230"/>
      <c r="CN607" s="230"/>
      <c r="CO607" s="162"/>
      <c r="CP607" s="162"/>
      <c r="CQ607" s="162"/>
      <c r="CR607" s="162"/>
      <c r="CS607" s="162"/>
      <c r="CT607" s="230"/>
      <c r="CU607" s="230"/>
      <c r="CV607" s="162"/>
      <c r="CW607" s="162"/>
      <c r="CX607" s="162"/>
      <c r="CY607" s="162"/>
      <c r="CZ607" s="162"/>
      <c r="DA607" s="230"/>
      <c r="DB607" s="230"/>
      <c r="DC607" s="162"/>
      <c r="DD607" s="162"/>
      <c r="DE607" s="162"/>
      <c r="DF607" s="162"/>
      <c r="DG607" s="162"/>
      <c r="DH607" s="230"/>
      <c r="DI607" s="230"/>
      <c r="DJ607" s="162"/>
      <c r="DK607" s="162"/>
      <c r="DL607" s="147"/>
      <c r="DM607" s="147"/>
      <c r="DN607" s="147"/>
      <c r="DO607" s="147"/>
      <c r="DP607" s="147"/>
      <c r="DQ607" s="147"/>
      <c r="DR607" s="147"/>
      <c r="DS607" s="147"/>
      <c r="DT607" s="147"/>
      <c r="DU607" s="147"/>
      <c r="DV607" s="147"/>
      <c r="DW607" s="147"/>
      <c r="DX607" s="147"/>
      <c r="DY607" s="147"/>
      <c r="DZ607" s="147"/>
      <c r="EA607" s="147"/>
      <c r="EB607" s="147"/>
      <c r="EC607" s="147"/>
      <c r="ED607" s="147"/>
      <c r="EE607" s="147"/>
      <c r="EF607" s="147"/>
      <c r="EG607" s="147"/>
      <c r="EH607" s="147"/>
    </row>
    <row r="608" spans="1:138" x14ac:dyDescent="0.25">
      <c r="A608" s="147"/>
      <c r="B608" s="147"/>
      <c r="C608" s="160"/>
      <c r="D608" s="160"/>
      <c r="E608" s="169"/>
      <c r="F608" s="229"/>
      <c r="G608" s="165"/>
      <c r="H608" s="165"/>
      <c r="I608" s="163"/>
      <c r="J608" s="163"/>
      <c r="K608" s="162"/>
      <c r="L608" s="162"/>
      <c r="M608" s="162"/>
      <c r="N608" s="230"/>
      <c r="O608" s="230"/>
      <c r="P608" s="162"/>
      <c r="Q608" s="162"/>
      <c r="R608" s="162"/>
      <c r="S608" s="162"/>
      <c r="T608" s="162"/>
      <c r="U608" s="230"/>
      <c r="V608" s="230"/>
      <c r="W608" s="162"/>
      <c r="X608" s="162"/>
      <c r="Y608" s="162"/>
      <c r="Z608" s="162"/>
      <c r="AA608" s="162"/>
      <c r="AB608" s="230"/>
      <c r="AC608" s="230"/>
      <c r="AD608" s="162"/>
      <c r="AE608" s="162"/>
      <c r="AF608" s="162"/>
      <c r="AG608" s="162"/>
      <c r="AH608" s="162"/>
      <c r="AI608" s="230"/>
      <c r="AJ608" s="230"/>
      <c r="AK608" s="162"/>
      <c r="AL608" s="162"/>
      <c r="AM608" s="162"/>
      <c r="AN608" s="162"/>
      <c r="AO608" s="162"/>
      <c r="AP608" s="230"/>
      <c r="AQ608" s="230"/>
      <c r="AR608" s="162"/>
      <c r="AS608" s="162"/>
      <c r="AT608" s="162"/>
      <c r="AU608" s="162"/>
      <c r="AV608" s="162"/>
      <c r="AW608" s="230"/>
      <c r="AX608" s="230"/>
      <c r="AY608" s="162"/>
      <c r="AZ608" s="162"/>
      <c r="BA608" s="162"/>
      <c r="BB608" s="162"/>
      <c r="BC608" s="162"/>
      <c r="BD608" s="230"/>
      <c r="BE608" s="230"/>
      <c r="BF608" s="162"/>
      <c r="BG608" s="162"/>
      <c r="BH608" s="162"/>
      <c r="BI608" s="162"/>
      <c r="BJ608" s="162"/>
      <c r="BK608" s="230"/>
      <c r="BL608" s="230"/>
      <c r="BM608" s="162"/>
      <c r="BN608" s="162"/>
      <c r="BO608" s="162"/>
      <c r="BP608" s="162"/>
      <c r="BQ608" s="162"/>
      <c r="BR608" s="230"/>
      <c r="BS608" s="230"/>
      <c r="BT608" s="162"/>
      <c r="BU608" s="162"/>
      <c r="BV608" s="162"/>
      <c r="BW608" s="162"/>
      <c r="BX608" s="162"/>
      <c r="BY608" s="230"/>
      <c r="BZ608" s="230"/>
      <c r="CA608" s="162"/>
      <c r="CB608" s="162"/>
      <c r="CC608" s="162"/>
      <c r="CD608" s="162"/>
      <c r="CE608" s="162"/>
      <c r="CF608" s="230"/>
      <c r="CG608" s="230"/>
      <c r="CH608" s="162"/>
      <c r="CI608" s="162"/>
      <c r="CJ608" s="162"/>
      <c r="CK608" s="162"/>
      <c r="CL608" s="162"/>
      <c r="CM608" s="230"/>
      <c r="CN608" s="230"/>
      <c r="CO608" s="162"/>
      <c r="CP608" s="162"/>
      <c r="CQ608" s="162"/>
      <c r="CR608" s="162"/>
      <c r="CS608" s="162"/>
      <c r="CT608" s="230"/>
      <c r="CU608" s="230"/>
      <c r="CV608" s="162"/>
      <c r="CW608" s="162"/>
      <c r="CX608" s="162"/>
      <c r="CY608" s="162"/>
      <c r="CZ608" s="162"/>
      <c r="DA608" s="230"/>
      <c r="DB608" s="230"/>
      <c r="DC608" s="162"/>
      <c r="DD608" s="162"/>
      <c r="DE608" s="162"/>
      <c r="DF608" s="162"/>
      <c r="DG608" s="162"/>
      <c r="DH608" s="230"/>
      <c r="DI608" s="230"/>
      <c r="DJ608" s="162"/>
      <c r="DK608" s="162"/>
      <c r="DL608" s="147"/>
      <c r="DM608" s="147"/>
      <c r="DN608" s="147"/>
      <c r="DO608" s="147"/>
      <c r="DP608" s="147"/>
      <c r="DQ608" s="147"/>
      <c r="DR608" s="147"/>
      <c r="DS608" s="147"/>
      <c r="DT608" s="147"/>
      <c r="DU608" s="147"/>
      <c r="DV608" s="147"/>
      <c r="DW608" s="147"/>
      <c r="DX608" s="147"/>
      <c r="DY608" s="147"/>
      <c r="DZ608" s="147"/>
      <c r="EA608" s="147"/>
      <c r="EB608" s="147"/>
      <c r="EC608" s="147"/>
      <c r="ED608" s="147"/>
      <c r="EE608" s="147"/>
      <c r="EF608" s="147"/>
      <c r="EG608" s="147"/>
      <c r="EH608" s="147"/>
    </row>
    <row r="609" spans="1:138" x14ac:dyDescent="0.25">
      <c r="A609" s="147"/>
      <c r="B609" s="147"/>
      <c r="C609" s="160"/>
      <c r="D609" s="160"/>
      <c r="E609" s="169"/>
      <c r="F609" s="229"/>
      <c r="G609" s="165"/>
      <c r="H609" s="165"/>
      <c r="I609" s="163"/>
      <c r="J609" s="163"/>
      <c r="K609" s="162"/>
      <c r="L609" s="162"/>
      <c r="M609" s="162"/>
      <c r="N609" s="230"/>
      <c r="O609" s="230"/>
      <c r="P609" s="162"/>
      <c r="Q609" s="162"/>
      <c r="R609" s="162"/>
      <c r="S609" s="162"/>
      <c r="T609" s="162"/>
      <c r="U609" s="230"/>
      <c r="V609" s="230"/>
      <c r="W609" s="162"/>
      <c r="X609" s="162"/>
      <c r="Y609" s="162"/>
      <c r="Z609" s="162"/>
      <c r="AA609" s="162"/>
      <c r="AB609" s="230"/>
      <c r="AC609" s="230"/>
      <c r="AD609" s="162"/>
      <c r="AE609" s="162"/>
      <c r="AF609" s="162"/>
      <c r="AG609" s="162"/>
      <c r="AH609" s="162"/>
      <c r="AI609" s="230"/>
      <c r="AJ609" s="230"/>
      <c r="AK609" s="162"/>
      <c r="AL609" s="162"/>
      <c r="AM609" s="162"/>
      <c r="AN609" s="162"/>
      <c r="AO609" s="162"/>
      <c r="AP609" s="230"/>
      <c r="AQ609" s="230"/>
      <c r="AR609" s="162"/>
      <c r="AS609" s="162"/>
      <c r="AT609" s="162"/>
      <c r="AU609" s="162"/>
      <c r="AV609" s="162"/>
      <c r="AW609" s="230"/>
      <c r="AX609" s="230"/>
      <c r="AY609" s="162"/>
      <c r="AZ609" s="162"/>
      <c r="BA609" s="162"/>
      <c r="BB609" s="162"/>
      <c r="BC609" s="162"/>
      <c r="BD609" s="230"/>
      <c r="BE609" s="230"/>
      <c r="BF609" s="162"/>
      <c r="BG609" s="162"/>
      <c r="BH609" s="162"/>
      <c r="BI609" s="162"/>
      <c r="BJ609" s="162"/>
      <c r="BK609" s="230"/>
      <c r="BL609" s="230"/>
      <c r="BM609" s="162"/>
      <c r="BN609" s="162"/>
      <c r="BO609" s="162"/>
      <c r="BP609" s="162"/>
      <c r="BQ609" s="162"/>
      <c r="BR609" s="230"/>
      <c r="BS609" s="230"/>
      <c r="BT609" s="162"/>
      <c r="BU609" s="162"/>
      <c r="BV609" s="162"/>
      <c r="BW609" s="162"/>
      <c r="BX609" s="162"/>
      <c r="BY609" s="230"/>
      <c r="BZ609" s="230"/>
      <c r="CA609" s="162"/>
      <c r="CB609" s="162"/>
      <c r="CC609" s="162"/>
      <c r="CD609" s="162"/>
      <c r="CE609" s="162"/>
      <c r="CF609" s="230"/>
      <c r="CG609" s="230"/>
      <c r="CH609" s="162"/>
      <c r="CI609" s="162"/>
      <c r="CJ609" s="162"/>
      <c r="CK609" s="162"/>
      <c r="CL609" s="162"/>
      <c r="CM609" s="230"/>
      <c r="CN609" s="230"/>
      <c r="CO609" s="162"/>
      <c r="CP609" s="162"/>
      <c r="CQ609" s="162"/>
      <c r="CR609" s="162"/>
      <c r="CS609" s="162"/>
      <c r="CT609" s="230"/>
      <c r="CU609" s="230"/>
      <c r="CV609" s="162"/>
      <c r="CW609" s="162"/>
      <c r="CX609" s="162"/>
      <c r="CY609" s="162"/>
      <c r="CZ609" s="162"/>
      <c r="DA609" s="230"/>
      <c r="DB609" s="230"/>
      <c r="DC609" s="162"/>
      <c r="DD609" s="162"/>
      <c r="DE609" s="162"/>
      <c r="DF609" s="162"/>
      <c r="DG609" s="162"/>
      <c r="DH609" s="230"/>
      <c r="DI609" s="230"/>
      <c r="DJ609" s="162"/>
      <c r="DK609" s="162"/>
      <c r="DL609" s="147"/>
      <c r="DM609" s="147"/>
      <c r="DN609" s="147"/>
      <c r="DO609" s="147"/>
      <c r="DP609" s="147"/>
      <c r="DQ609" s="147"/>
      <c r="DR609" s="147"/>
      <c r="DS609" s="147"/>
      <c r="DT609" s="147"/>
      <c r="DU609" s="147"/>
      <c r="DV609" s="147"/>
      <c r="DW609" s="147"/>
      <c r="DX609" s="147"/>
      <c r="DY609" s="147"/>
      <c r="DZ609" s="147"/>
      <c r="EA609" s="147"/>
      <c r="EB609" s="147"/>
      <c r="EC609" s="147"/>
      <c r="ED609" s="147"/>
      <c r="EE609" s="147"/>
      <c r="EF609" s="147"/>
      <c r="EG609" s="147"/>
      <c r="EH609" s="147"/>
    </row>
    <row r="610" spans="1:138" x14ac:dyDescent="0.25">
      <c r="A610" s="147"/>
      <c r="B610" s="147"/>
      <c r="C610" s="160"/>
      <c r="D610" s="160"/>
      <c r="E610" s="169"/>
      <c r="F610" s="229"/>
      <c r="G610" s="165"/>
      <c r="H610" s="165"/>
      <c r="I610" s="163"/>
      <c r="J610" s="163"/>
      <c r="K610" s="162"/>
      <c r="L610" s="162"/>
      <c r="M610" s="162"/>
      <c r="N610" s="230"/>
      <c r="O610" s="230"/>
      <c r="P610" s="162"/>
      <c r="Q610" s="162"/>
      <c r="R610" s="162"/>
      <c r="S610" s="162"/>
      <c r="T610" s="162"/>
      <c r="U610" s="230"/>
      <c r="V610" s="230"/>
      <c r="W610" s="162"/>
      <c r="X610" s="162"/>
      <c r="Y610" s="162"/>
      <c r="Z610" s="162"/>
      <c r="AA610" s="162"/>
      <c r="AB610" s="230"/>
      <c r="AC610" s="230"/>
      <c r="AD610" s="162"/>
      <c r="AE610" s="162"/>
      <c r="AF610" s="162"/>
      <c r="AG610" s="162"/>
      <c r="AH610" s="162"/>
      <c r="AI610" s="230"/>
      <c r="AJ610" s="230"/>
      <c r="AK610" s="162"/>
      <c r="AL610" s="162"/>
      <c r="AM610" s="162"/>
      <c r="AN610" s="162"/>
      <c r="AO610" s="162"/>
      <c r="AP610" s="230"/>
      <c r="AQ610" s="230"/>
      <c r="AR610" s="162"/>
      <c r="AS610" s="162"/>
      <c r="AT610" s="162"/>
      <c r="AU610" s="162"/>
      <c r="AV610" s="162"/>
      <c r="AW610" s="230"/>
      <c r="AX610" s="230"/>
      <c r="AY610" s="162"/>
      <c r="AZ610" s="162"/>
      <c r="BA610" s="162"/>
      <c r="BB610" s="162"/>
      <c r="BC610" s="162"/>
      <c r="BD610" s="230"/>
      <c r="BE610" s="230"/>
      <c r="BF610" s="162"/>
      <c r="BG610" s="162"/>
      <c r="BH610" s="162"/>
      <c r="BI610" s="162"/>
      <c r="BJ610" s="162"/>
      <c r="BK610" s="230"/>
      <c r="BL610" s="230"/>
      <c r="BM610" s="162"/>
      <c r="BN610" s="162"/>
      <c r="BO610" s="162"/>
      <c r="BP610" s="162"/>
      <c r="BQ610" s="162"/>
      <c r="BR610" s="230"/>
      <c r="BS610" s="230"/>
      <c r="BT610" s="162"/>
      <c r="BU610" s="162"/>
      <c r="BV610" s="162"/>
      <c r="BW610" s="162"/>
      <c r="BX610" s="162"/>
      <c r="BY610" s="230"/>
      <c r="BZ610" s="230"/>
      <c r="CA610" s="162"/>
      <c r="CB610" s="162"/>
      <c r="CC610" s="162"/>
      <c r="CD610" s="162"/>
      <c r="CE610" s="162"/>
      <c r="CF610" s="230"/>
      <c r="CG610" s="230"/>
      <c r="CH610" s="162"/>
      <c r="CI610" s="162"/>
      <c r="CJ610" s="162"/>
      <c r="CK610" s="162"/>
      <c r="CL610" s="162"/>
      <c r="CM610" s="230"/>
      <c r="CN610" s="230"/>
      <c r="CO610" s="162"/>
      <c r="CP610" s="162"/>
      <c r="CQ610" s="162"/>
      <c r="CR610" s="162"/>
      <c r="CS610" s="162"/>
      <c r="CT610" s="230"/>
      <c r="CU610" s="230"/>
      <c r="CV610" s="162"/>
      <c r="CW610" s="162"/>
      <c r="CX610" s="162"/>
      <c r="CY610" s="162"/>
      <c r="CZ610" s="162"/>
      <c r="DA610" s="230"/>
      <c r="DB610" s="230"/>
      <c r="DC610" s="162"/>
      <c r="DD610" s="162"/>
      <c r="DE610" s="162"/>
      <c r="DF610" s="162"/>
      <c r="DG610" s="162"/>
      <c r="DH610" s="230"/>
      <c r="DI610" s="230"/>
      <c r="DJ610" s="162"/>
      <c r="DK610" s="162"/>
      <c r="DL610" s="147"/>
      <c r="DM610" s="147"/>
      <c r="DN610" s="147"/>
      <c r="DO610" s="147"/>
      <c r="DP610" s="147"/>
      <c r="DQ610" s="147"/>
      <c r="DR610" s="147"/>
      <c r="DS610" s="147"/>
      <c r="DT610" s="147"/>
      <c r="DU610" s="147"/>
      <c r="DV610" s="147"/>
      <c r="DW610" s="147"/>
      <c r="DX610" s="147"/>
      <c r="DY610" s="147"/>
      <c r="DZ610" s="147"/>
      <c r="EA610" s="147"/>
      <c r="EB610" s="147"/>
      <c r="EC610" s="147"/>
      <c r="ED610" s="147"/>
      <c r="EE610" s="147"/>
      <c r="EF610" s="147"/>
      <c r="EG610" s="147"/>
      <c r="EH610" s="147"/>
    </row>
    <row r="611" spans="1:138" x14ac:dyDescent="0.25">
      <c r="A611" s="147"/>
      <c r="B611" s="147"/>
      <c r="C611" s="160"/>
      <c r="D611" s="160"/>
      <c r="E611" s="169"/>
      <c r="F611" s="229"/>
      <c r="G611" s="165"/>
      <c r="H611" s="165"/>
      <c r="I611" s="163"/>
      <c r="J611" s="163"/>
      <c r="K611" s="162"/>
      <c r="L611" s="162"/>
      <c r="M611" s="162"/>
      <c r="N611" s="230"/>
      <c r="O611" s="230"/>
      <c r="P611" s="162"/>
      <c r="Q611" s="162"/>
      <c r="R611" s="162"/>
      <c r="S611" s="162"/>
      <c r="T611" s="162"/>
      <c r="U611" s="230"/>
      <c r="V611" s="230"/>
      <c r="W611" s="162"/>
      <c r="X611" s="162"/>
      <c r="Y611" s="162"/>
      <c r="Z611" s="162"/>
      <c r="AA611" s="162"/>
      <c r="AB611" s="230"/>
      <c r="AC611" s="230"/>
      <c r="AD611" s="162"/>
      <c r="AE611" s="162"/>
      <c r="AF611" s="162"/>
      <c r="AG611" s="162"/>
      <c r="AH611" s="162"/>
      <c r="AI611" s="230"/>
      <c r="AJ611" s="230"/>
      <c r="AK611" s="162"/>
      <c r="AL611" s="162"/>
      <c r="AM611" s="162"/>
      <c r="AN611" s="162"/>
      <c r="AO611" s="162"/>
      <c r="AP611" s="230"/>
      <c r="AQ611" s="230"/>
      <c r="AR611" s="162"/>
      <c r="AS611" s="162"/>
      <c r="AT611" s="162"/>
      <c r="AU611" s="162"/>
      <c r="AV611" s="162"/>
      <c r="AW611" s="230"/>
      <c r="AX611" s="230"/>
      <c r="AY611" s="162"/>
      <c r="AZ611" s="162"/>
      <c r="BA611" s="162"/>
      <c r="BB611" s="162"/>
      <c r="BC611" s="162"/>
      <c r="BD611" s="230"/>
      <c r="BE611" s="230"/>
      <c r="BF611" s="162"/>
      <c r="BG611" s="162"/>
      <c r="BH611" s="162"/>
      <c r="BI611" s="162"/>
      <c r="BJ611" s="162"/>
      <c r="BK611" s="230"/>
      <c r="BL611" s="230"/>
      <c r="BM611" s="162"/>
      <c r="BN611" s="162"/>
      <c r="BO611" s="162"/>
      <c r="BP611" s="162"/>
      <c r="BQ611" s="162"/>
      <c r="BR611" s="230"/>
      <c r="BS611" s="230"/>
      <c r="BT611" s="162"/>
      <c r="BU611" s="162"/>
      <c r="BV611" s="162"/>
      <c r="BW611" s="162"/>
      <c r="BX611" s="162"/>
      <c r="BY611" s="230"/>
      <c r="BZ611" s="230"/>
      <c r="CA611" s="162"/>
      <c r="CB611" s="162"/>
      <c r="CC611" s="162"/>
      <c r="CD611" s="162"/>
      <c r="CE611" s="162"/>
      <c r="CF611" s="230"/>
      <c r="CG611" s="230"/>
      <c r="CH611" s="162"/>
      <c r="CI611" s="162"/>
      <c r="CJ611" s="162"/>
      <c r="CK611" s="162"/>
      <c r="CL611" s="162"/>
      <c r="CM611" s="230"/>
      <c r="CN611" s="230"/>
      <c r="CO611" s="162"/>
      <c r="CP611" s="162"/>
      <c r="CQ611" s="162"/>
      <c r="CR611" s="162"/>
      <c r="CS611" s="162"/>
      <c r="CT611" s="230"/>
      <c r="CU611" s="230"/>
      <c r="CV611" s="162"/>
      <c r="CW611" s="162"/>
      <c r="CX611" s="162"/>
      <c r="CY611" s="162"/>
      <c r="CZ611" s="162"/>
      <c r="DA611" s="230"/>
      <c r="DB611" s="230"/>
      <c r="DC611" s="162"/>
      <c r="DD611" s="162"/>
      <c r="DE611" s="162"/>
      <c r="DF611" s="162"/>
      <c r="DG611" s="162"/>
      <c r="DH611" s="230"/>
      <c r="DI611" s="230"/>
      <c r="DJ611" s="162"/>
      <c r="DK611" s="162"/>
      <c r="DL611" s="147"/>
      <c r="DM611" s="147"/>
      <c r="DN611" s="147"/>
      <c r="DO611" s="147"/>
      <c r="DP611" s="147"/>
      <c r="DQ611" s="147"/>
      <c r="DR611" s="147"/>
      <c r="DS611" s="147"/>
      <c r="DT611" s="147"/>
      <c r="DU611" s="147"/>
      <c r="DV611" s="147"/>
      <c r="DW611" s="147"/>
      <c r="DX611" s="147"/>
      <c r="DY611" s="147"/>
      <c r="DZ611" s="147"/>
      <c r="EA611" s="147"/>
      <c r="EB611" s="147"/>
      <c r="EC611" s="147"/>
      <c r="ED611" s="147"/>
      <c r="EE611" s="147"/>
      <c r="EF611" s="147"/>
      <c r="EG611" s="147"/>
      <c r="EH611" s="147"/>
    </row>
    <row r="612" spans="1:138" x14ac:dyDescent="0.25">
      <c r="A612" s="147"/>
      <c r="B612" s="147"/>
      <c r="C612" s="160"/>
      <c r="D612" s="160"/>
      <c r="E612" s="169"/>
      <c r="F612" s="229"/>
      <c r="G612" s="165"/>
      <c r="H612" s="165"/>
      <c r="I612" s="163"/>
      <c r="J612" s="163"/>
      <c r="K612" s="162"/>
      <c r="L612" s="162"/>
      <c r="M612" s="162"/>
      <c r="N612" s="230"/>
      <c r="O612" s="230"/>
      <c r="P612" s="162"/>
      <c r="Q612" s="162"/>
      <c r="R612" s="162"/>
      <c r="S612" s="162"/>
      <c r="T612" s="162"/>
      <c r="U612" s="230"/>
      <c r="V612" s="230"/>
      <c r="W612" s="162"/>
      <c r="X612" s="162"/>
      <c r="Y612" s="162"/>
      <c r="Z612" s="162"/>
      <c r="AA612" s="162"/>
      <c r="AB612" s="230"/>
      <c r="AC612" s="230"/>
      <c r="AD612" s="162"/>
      <c r="AE612" s="162"/>
      <c r="AF612" s="162"/>
      <c r="AG612" s="162"/>
      <c r="AH612" s="162"/>
      <c r="AI612" s="230"/>
      <c r="AJ612" s="230"/>
      <c r="AK612" s="162"/>
      <c r="AL612" s="162"/>
      <c r="AM612" s="162"/>
      <c r="AN612" s="162"/>
      <c r="AO612" s="162"/>
      <c r="AP612" s="230"/>
      <c r="AQ612" s="230"/>
      <c r="AR612" s="162"/>
      <c r="AS612" s="162"/>
      <c r="AT612" s="162"/>
      <c r="AU612" s="162"/>
      <c r="AV612" s="162"/>
      <c r="AW612" s="230"/>
      <c r="AX612" s="230"/>
      <c r="AY612" s="162"/>
      <c r="AZ612" s="162"/>
      <c r="BA612" s="162"/>
      <c r="BB612" s="162"/>
      <c r="BC612" s="162"/>
      <c r="BD612" s="230"/>
      <c r="BE612" s="230"/>
      <c r="BF612" s="162"/>
      <c r="BG612" s="162"/>
      <c r="BH612" s="162"/>
      <c r="BI612" s="162"/>
      <c r="BJ612" s="162"/>
      <c r="BK612" s="230"/>
      <c r="BL612" s="230"/>
      <c r="BM612" s="162"/>
      <c r="BN612" s="162"/>
      <c r="BO612" s="162"/>
      <c r="BP612" s="162"/>
      <c r="BQ612" s="162"/>
      <c r="BR612" s="230"/>
      <c r="BS612" s="230"/>
      <c r="BT612" s="162"/>
      <c r="BU612" s="162"/>
      <c r="BV612" s="162"/>
      <c r="BW612" s="162"/>
      <c r="BX612" s="162"/>
      <c r="BY612" s="230"/>
      <c r="BZ612" s="230"/>
      <c r="CA612" s="162"/>
      <c r="CB612" s="162"/>
      <c r="CC612" s="162"/>
      <c r="CD612" s="162"/>
      <c r="CE612" s="162"/>
      <c r="CF612" s="230"/>
      <c r="CG612" s="230"/>
      <c r="CH612" s="162"/>
      <c r="CI612" s="162"/>
      <c r="CJ612" s="162"/>
      <c r="CK612" s="162"/>
      <c r="CL612" s="162"/>
      <c r="CM612" s="230"/>
      <c r="CN612" s="230"/>
      <c r="CO612" s="162"/>
      <c r="CP612" s="162"/>
      <c r="CQ612" s="162"/>
      <c r="CR612" s="162"/>
      <c r="CS612" s="162"/>
      <c r="CT612" s="230"/>
      <c r="CU612" s="230"/>
      <c r="CV612" s="162"/>
      <c r="CW612" s="162"/>
      <c r="CX612" s="162"/>
      <c r="CY612" s="162"/>
      <c r="CZ612" s="162"/>
      <c r="DA612" s="230"/>
      <c r="DB612" s="230"/>
      <c r="DC612" s="162"/>
      <c r="DD612" s="162"/>
      <c r="DE612" s="162"/>
      <c r="DF612" s="162"/>
      <c r="DG612" s="162"/>
      <c r="DH612" s="230"/>
      <c r="DI612" s="230"/>
      <c r="DJ612" s="162"/>
      <c r="DK612" s="162"/>
      <c r="DL612" s="147"/>
      <c r="DM612" s="147"/>
      <c r="DN612" s="147"/>
      <c r="DO612" s="147"/>
      <c r="DP612" s="147"/>
      <c r="DQ612" s="147"/>
      <c r="DR612" s="147"/>
      <c r="DS612" s="147"/>
      <c r="DT612" s="147"/>
      <c r="DU612" s="147"/>
      <c r="DV612" s="147"/>
      <c r="DW612" s="147"/>
      <c r="DX612" s="147"/>
      <c r="DY612" s="147"/>
      <c r="DZ612" s="147"/>
      <c r="EA612" s="147"/>
      <c r="EB612" s="147"/>
      <c r="EC612" s="147"/>
      <c r="ED612" s="147"/>
      <c r="EE612" s="147"/>
      <c r="EF612" s="147"/>
      <c r="EG612" s="147"/>
      <c r="EH612" s="147"/>
    </row>
    <row r="613" spans="1:138" x14ac:dyDescent="0.25">
      <c r="A613" s="147"/>
      <c r="B613" s="147"/>
      <c r="C613" s="160"/>
      <c r="D613" s="160"/>
      <c r="E613" s="169"/>
      <c r="F613" s="229"/>
      <c r="G613" s="165"/>
      <c r="H613" s="165"/>
      <c r="I613" s="163"/>
      <c r="J613" s="163"/>
      <c r="K613" s="162"/>
      <c r="L613" s="162"/>
      <c r="M613" s="162"/>
      <c r="N613" s="230"/>
      <c r="O613" s="230"/>
      <c r="P613" s="162"/>
      <c r="Q613" s="162"/>
      <c r="R613" s="162"/>
      <c r="S613" s="162"/>
      <c r="T613" s="162"/>
      <c r="U613" s="230"/>
      <c r="V613" s="230"/>
      <c r="W613" s="162"/>
      <c r="X613" s="162"/>
      <c r="Y613" s="162"/>
      <c r="Z613" s="162"/>
      <c r="AA613" s="162"/>
      <c r="AB613" s="230"/>
      <c r="AC613" s="230"/>
      <c r="AD613" s="162"/>
      <c r="AE613" s="162"/>
      <c r="AF613" s="162"/>
      <c r="AG613" s="162"/>
      <c r="AH613" s="162"/>
      <c r="AI613" s="230"/>
      <c r="AJ613" s="230"/>
      <c r="AK613" s="162"/>
      <c r="AL613" s="162"/>
      <c r="AM613" s="162"/>
      <c r="AN613" s="162"/>
      <c r="AO613" s="162"/>
      <c r="AP613" s="230"/>
      <c r="AQ613" s="230"/>
      <c r="AR613" s="162"/>
      <c r="AS613" s="162"/>
      <c r="AT613" s="162"/>
      <c r="AU613" s="162"/>
      <c r="AV613" s="162"/>
      <c r="AW613" s="230"/>
      <c r="AX613" s="230"/>
      <c r="AY613" s="162"/>
      <c r="AZ613" s="162"/>
      <c r="BA613" s="162"/>
      <c r="BB613" s="162"/>
      <c r="BC613" s="162"/>
      <c r="BD613" s="230"/>
      <c r="BE613" s="230"/>
      <c r="BF613" s="162"/>
      <c r="BG613" s="162"/>
      <c r="BH613" s="162"/>
      <c r="BI613" s="162"/>
      <c r="BJ613" s="162"/>
      <c r="BK613" s="230"/>
      <c r="BL613" s="230"/>
      <c r="BM613" s="162"/>
      <c r="BN613" s="162"/>
      <c r="BO613" s="162"/>
      <c r="BP613" s="162"/>
      <c r="BQ613" s="162"/>
      <c r="BR613" s="230"/>
      <c r="BS613" s="230"/>
      <c r="BT613" s="162"/>
      <c r="BU613" s="162"/>
      <c r="BV613" s="162"/>
      <c r="BW613" s="162"/>
      <c r="BX613" s="162"/>
      <c r="BY613" s="230"/>
      <c r="BZ613" s="230"/>
      <c r="CA613" s="162"/>
      <c r="CB613" s="162"/>
      <c r="CC613" s="162"/>
      <c r="CD613" s="162"/>
      <c r="CE613" s="162"/>
      <c r="CF613" s="230"/>
      <c r="CG613" s="230"/>
      <c r="CH613" s="162"/>
      <c r="CI613" s="162"/>
      <c r="CJ613" s="162"/>
      <c r="CK613" s="162"/>
      <c r="CL613" s="162"/>
      <c r="CM613" s="230"/>
      <c r="CN613" s="230"/>
      <c r="CO613" s="162"/>
      <c r="CP613" s="162"/>
      <c r="CQ613" s="162"/>
      <c r="CR613" s="162"/>
      <c r="CS613" s="162"/>
      <c r="CT613" s="230"/>
      <c r="CU613" s="230"/>
      <c r="CV613" s="162"/>
      <c r="CW613" s="162"/>
      <c r="CX613" s="162"/>
      <c r="CY613" s="162"/>
      <c r="CZ613" s="162"/>
      <c r="DA613" s="230"/>
      <c r="DB613" s="230"/>
      <c r="DC613" s="162"/>
      <c r="DD613" s="162"/>
      <c r="DE613" s="162"/>
      <c r="DF613" s="162"/>
      <c r="DG613" s="162"/>
      <c r="DH613" s="230"/>
      <c r="DI613" s="230"/>
      <c r="DJ613" s="162"/>
      <c r="DK613" s="162"/>
      <c r="DL613" s="147"/>
      <c r="DM613" s="147"/>
      <c r="DN613" s="147"/>
      <c r="DO613" s="147"/>
      <c r="DP613" s="147"/>
      <c r="DQ613" s="147"/>
      <c r="DR613" s="147"/>
      <c r="DS613" s="147"/>
      <c r="DT613" s="147"/>
      <c r="DU613" s="147"/>
      <c r="DV613" s="147"/>
      <c r="DW613" s="147"/>
      <c r="DX613" s="147"/>
      <c r="DY613" s="147"/>
      <c r="DZ613" s="147"/>
      <c r="EA613" s="147"/>
      <c r="EB613" s="147"/>
      <c r="EC613" s="147"/>
      <c r="ED613" s="147"/>
      <c r="EE613" s="147"/>
      <c r="EF613" s="147"/>
      <c r="EG613" s="147"/>
      <c r="EH613" s="147"/>
    </row>
    <row r="614" spans="1:138" x14ac:dyDescent="0.25">
      <c r="A614" s="147"/>
      <c r="B614" s="147"/>
      <c r="C614" s="160"/>
      <c r="D614" s="160"/>
      <c r="E614" s="169"/>
      <c r="F614" s="229"/>
      <c r="G614" s="165"/>
      <c r="H614" s="165"/>
      <c r="I614" s="163"/>
      <c r="J614" s="163"/>
      <c r="K614" s="162"/>
      <c r="L614" s="162"/>
      <c r="M614" s="162"/>
      <c r="N614" s="230"/>
      <c r="O614" s="230"/>
      <c r="P614" s="162"/>
      <c r="Q614" s="162"/>
      <c r="R614" s="162"/>
      <c r="S614" s="162"/>
      <c r="T614" s="162"/>
      <c r="U614" s="230"/>
      <c r="V614" s="230"/>
      <c r="W614" s="162"/>
      <c r="X614" s="162"/>
      <c r="Y614" s="162"/>
      <c r="Z614" s="162"/>
      <c r="AA614" s="162"/>
      <c r="AB614" s="230"/>
      <c r="AC614" s="230"/>
      <c r="AD614" s="162"/>
      <c r="AE614" s="162"/>
      <c r="AF614" s="162"/>
      <c r="AG614" s="162"/>
      <c r="AH614" s="162"/>
      <c r="AI614" s="230"/>
      <c r="AJ614" s="230"/>
      <c r="AK614" s="162"/>
      <c r="AL614" s="162"/>
      <c r="AM614" s="162"/>
      <c r="AN614" s="162"/>
      <c r="AO614" s="162"/>
      <c r="AP614" s="230"/>
      <c r="AQ614" s="230"/>
      <c r="AR614" s="162"/>
      <c r="AS614" s="162"/>
      <c r="AT614" s="162"/>
      <c r="AU614" s="162"/>
      <c r="AV614" s="162"/>
      <c r="AW614" s="230"/>
      <c r="AX614" s="230"/>
      <c r="AY614" s="162"/>
      <c r="AZ614" s="162"/>
      <c r="BA614" s="162"/>
      <c r="BB614" s="162"/>
      <c r="BC614" s="162"/>
      <c r="BD614" s="230"/>
      <c r="BE614" s="230"/>
      <c r="BF614" s="162"/>
      <c r="BG614" s="162"/>
      <c r="BH614" s="162"/>
      <c r="BI614" s="162"/>
      <c r="BJ614" s="162"/>
      <c r="BK614" s="230"/>
      <c r="BL614" s="230"/>
      <c r="BM614" s="162"/>
      <c r="BN614" s="162"/>
      <c r="BO614" s="162"/>
      <c r="BP614" s="162"/>
      <c r="BQ614" s="162"/>
      <c r="BR614" s="230"/>
      <c r="BS614" s="230"/>
      <c r="BT614" s="162"/>
      <c r="BU614" s="162"/>
      <c r="BV614" s="162"/>
      <c r="BW614" s="162"/>
      <c r="BX614" s="162"/>
      <c r="BY614" s="230"/>
      <c r="BZ614" s="230"/>
      <c r="CA614" s="162"/>
      <c r="CB614" s="162"/>
      <c r="CC614" s="162"/>
      <c r="CD614" s="162"/>
      <c r="CE614" s="162"/>
      <c r="CF614" s="230"/>
      <c r="CG614" s="230"/>
      <c r="CH614" s="162"/>
      <c r="CI614" s="162"/>
      <c r="CJ614" s="162"/>
      <c r="CK614" s="162"/>
      <c r="CL614" s="162"/>
      <c r="CM614" s="230"/>
      <c r="CN614" s="230"/>
      <c r="CO614" s="162"/>
      <c r="CP614" s="162"/>
      <c r="CQ614" s="162"/>
      <c r="CR614" s="162"/>
      <c r="CS614" s="162"/>
      <c r="CT614" s="230"/>
      <c r="CU614" s="230"/>
      <c r="CV614" s="162"/>
      <c r="CW614" s="162"/>
      <c r="CX614" s="162"/>
      <c r="CY614" s="162"/>
      <c r="CZ614" s="162"/>
      <c r="DA614" s="230"/>
      <c r="DB614" s="230"/>
      <c r="DC614" s="162"/>
      <c r="DD614" s="162"/>
      <c r="DE614" s="162"/>
      <c r="DF614" s="162"/>
      <c r="DG614" s="162"/>
      <c r="DH614" s="230"/>
      <c r="DI614" s="230"/>
      <c r="DJ614" s="162"/>
      <c r="DK614" s="162"/>
      <c r="DL614" s="147"/>
      <c r="DM614" s="147"/>
      <c r="DN614" s="147"/>
      <c r="DO614" s="147"/>
      <c r="DP614" s="147"/>
      <c r="DQ614" s="147"/>
      <c r="DR614" s="147"/>
      <c r="DS614" s="147"/>
      <c r="DT614" s="147"/>
      <c r="DU614" s="147"/>
      <c r="DV614" s="147"/>
      <c r="DW614" s="147"/>
      <c r="DX614" s="147"/>
      <c r="DY614" s="147"/>
      <c r="DZ614" s="147"/>
      <c r="EA614" s="147"/>
      <c r="EB614" s="147"/>
      <c r="EC614" s="147"/>
      <c r="ED614" s="147"/>
      <c r="EE614" s="147"/>
      <c r="EF614" s="147"/>
      <c r="EG614" s="147"/>
      <c r="EH614" s="147"/>
    </row>
    <row r="615" spans="1:138" x14ac:dyDescent="0.25">
      <c r="A615" s="147"/>
      <c r="B615" s="147"/>
      <c r="C615" s="160"/>
      <c r="D615" s="160"/>
      <c r="E615" s="169"/>
      <c r="F615" s="229"/>
      <c r="G615" s="165"/>
      <c r="H615" s="165"/>
      <c r="I615" s="163"/>
      <c r="J615" s="163"/>
      <c r="K615" s="162"/>
      <c r="L615" s="162"/>
      <c r="M615" s="162"/>
      <c r="N615" s="230"/>
      <c r="O615" s="230"/>
      <c r="P615" s="162"/>
      <c r="Q615" s="162"/>
      <c r="R615" s="162"/>
      <c r="S615" s="162"/>
      <c r="T615" s="162"/>
      <c r="U615" s="230"/>
      <c r="V615" s="230"/>
      <c r="W615" s="162"/>
      <c r="X615" s="162"/>
      <c r="Y615" s="162"/>
      <c r="Z615" s="162"/>
      <c r="AA615" s="162"/>
      <c r="AB615" s="230"/>
      <c r="AC615" s="230"/>
      <c r="AD615" s="162"/>
      <c r="AE615" s="162"/>
      <c r="AF615" s="162"/>
      <c r="AG615" s="162"/>
      <c r="AH615" s="162"/>
      <c r="AI615" s="230"/>
      <c r="AJ615" s="230"/>
      <c r="AK615" s="162"/>
      <c r="AL615" s="162"/>
      <c r="AM615" s="162"/>
      <c r="AN615" s="162"/>
      <c r="AO615" s="162"/>
      <c r="AP615" s="230"/>
      <c r="AQ615" s="230"/>
      <c r="AR615" s="162"/>
      <c r="AS615" s="162"/>
      <c r="AT615" s="162"/>
      <c r="AU615" s="162"/>
      <c r="AV615" s="162"/>
      <c r="AW615" s="230"/>
      <c r="AX615" s="230"/>
      <c r="AY615" s="162"/>
      <c r="AZ615" s="162"/>
      <c r="BA615" s="162"/>
      <c r="BB615" s="162"/>
      <c r="BC615" s="162"/>
      <c r="BD615" s="230"/>
      <c r="BE615" s="230"/>
      <c r="BF615" s="162"/>
      <c r="BG615" s="162"/>
      <c r="BH615" s="162"/>
      <c r="BI615" s="162"/>
      <c r="BJ615" s="162"/>
      <c r="BK615" s="230"/>
      <c r="BL615" s="230"/>
      <c r="BM615" s="162"/>
      <c r="BN615" s="162"/>
      <c r="BO615" s="162"/>
      <c r="BP615" s="162"/>
      <c r="BQ615" s="162"/>
      <c r="BR615" s="230"/>
      <c r="BS615" s="230"/>
      <c r="BT615" s="162"/>
      <c r="BU615" s="162"/>
      <c r="BV615" s="162"/>
      <c r="BW615" s="162"/>
      <c r="BX615" s="162"/>
      <c r="BY615" s="230"/>
      <c r="BZ615" s="230"/>
      <c r="CA615" s="162"/>
      <c r="CB615" s="162"/>
      <c r="CC615" s="162"/>
      <c r="CD615" s="162"/>
      <c r="CE615" s="162"/>
      <c r="CF615" s="230"/>
      <c r="CG615" s="230"/>
      <c r="CH615" s="162"/>
      <c r="CI615" s="162"/>
      <c r="CJ615" s="162"/>
      <c r="CK615" s="162"/>
      <c r="CL615" s="162"/>
      <c r="CM615" s="230"/>
      <c r="CN615" s="230"/>
      <c r="CO615" s="162"/>
      <c r="CP615" s="162"/>
      <c r="CQ615" s="162"/>
      <c r="CR615" s="162"/>
      <c r="CS615" s="162"/>
      <c r="CT615" s="230"/>
      <c r="CU615" s="230"/>
      <c r="CV615" s="162"/>
      <c r="CW615" s="162"/>
      <c r="CX615" s="162"/>
      <c r="CY615" s="162"/>
      <c r="CZ615" s="162"/>
      <c r="DA615" s="230"/>
      <c r="DB615" s="230"/>
      <c r="DC615" s="162"/>
      <c r="DD615" s="162"/>
      <c r="DE615" s="162"/>
      <c r="DF615" s="162"/>
      <c r="DG615" s="162"/>
      <c r="DH615" s="230"/>
      <c r="DI615" s="230"/>
      <c r="DJ615" s="162"/>
      <c r="DK615" s="162"/>
      <c r="DL615" s="147"/>
      <c r="DM615" s="147"/>
      <c r="DN615" s="147"/>
      <c r="DO615" s="147"/>
      <c r="DP615" s="147"/>
      <c r="DQ615" s="147"/>
      <c r="DR615" s="147"/>
      <c r="DS615" s="147"/>
      <c r="DT615" s="147"/>
      <c r="DU615" s="147"/>
      <c r="DV615" s="147"/>
      <c r="DW615" s="147"/>
      <c r="DX615" s="147"/>
      <c r="DY615" s="147"/>
      <c r="DZ615" s="147"/>
      <c r="EA615" s="147"/>
      <c r="EB615" s="147"/>
      <c r="EC615" s="147"/>
      <c r="ED615" s="147"/>
      <c r="EE615" s="147"/>
      <c r="EF615" s="147"/>
      <c r="EG615" s="147"/>
      <c r="EH615" s="147"/>
    </row>
    <row r="616" spans="1:138" x14ac:dyDescent="0.25">
      <c r="A616" s="147"/>
      <c r="B616" s="147"/>
      <c r="C616" s="160"/>
      <c r="D616" s="160"/>
      <c r="E616" s="169"/>
      <c r="F616" s="229"/>
      <c r="G616" s="165"/>
      <c r="H616" s="165"/>
      <c r="I616" s="163"/>
      <c r="J616" s="163"/>
      <c r="K616" s="162"/>
      <c r="L616" s="162"/>
      <c r="M616" s="162"/>
      <c r="N616" s="230"/>
      <c r="O616" s="230"/>
      <c r="P616" s="162"/>
      <c r="Q616" s="162"/>
      <c r="R616" s="162"/>
      <c r="S616" s="162"/>
      <c r="T616" s="162"/>
      <c r="U616" s="230"/>
      <c r="V616" s="230"/>
      <c r="W616" s="162"/>
      <c r="X616" s="162"/>
      <c r="Y616" s="162"/>
      <c r="Z616" s="162"/>
      <c r="AA616" s="162"/>
      <c r="AB616" s="230"/>
      <c r="AC616" s="230"/>
      <c r="AD616" s="162"/>
      <c r="AE616" s="162"/>
      <c r="AF616" s="162"/>
      <c r="AG616" s="162"/>
      <c r="AH616" s="162"/>
      <c r="AI616" s="230"/>
      <c r="AJ616" s="230"/>
      <c r="AK616" s="162"/>
      <c r="AL616" s="162"/>
      <c r="AM616" s="162"/>
      <c r="AN616" s="162"/>
      <c r="AO616" s="162"/>
      <c r="AP616" s="230"/>
      <c r="AQ616" s="230"/>
      <c r="AR616" s="162"/>
      <c r="AS616" s="162"/>
      <c r="AT616" s="162"/>
      <c r="AU616" s="162"/>
      <c r="AV616" s="162"/>
      <c r="AW616" s="230"/>
      <c r="AX616" s="230"/>
      <c r="AY616" s="162"/>
      <c r="AZ616" s="162"/>
      <c r="BA616" s="162"/>
      <c r="BB616" s="162"/>
      <c r="BC616" s="162"/>
      <c r="BD616" s="230"/>
      <c r="BE616" s="230"/>
      <c r="BF616" s="162"/>
      <c r="BG616" s="162"/>
      <c r="BH616" s="162"/>
      <c r="BI616" s="162"/>
      <c r="BJ616" s="162"/>
      <c r="BK616" s="230"/>
      <c r="BL616" s="230"/>
      <c r="BM616" s="162"/>
      <c r="BN616" s="162"/>
      <c r="BO616" s="162"/>
      <c r="BP616" s="162"/>
      <c r="BQ616" s="162"/>
      <c r="BR616" s="230"/>
      <c r="BS616" s="230"/>
      <c r="BT616" s="162"/>
      <c r="BU616" s="162"/>
      <c r="BV616" s="162"/>
      <c r="BW616" s="162"/>
      <c r="BX616" s="162"/>
      <c r="BY616" s="230"/>
      <c r="BZ616" s="230"/>
      <c r="CA616" s="162"/>
      <c r="CB616" s="162"/>
      <c r="CC616" s="162"/>
      <c r="CD616" s="162"/>
      <c r="CE616" s="162"/>
      <c r="CF616" s="230"/>
      <c r="CG616" s="230"/>
      <c r="CH616" s="162"/>
      <c r="CI616" s="162"/>
      <c r="CJ616" s="162"/>
      <c r="CK616" s="162"/>
      <c r="CL616" s="162"/>
      <c r="CM616" s="230"/>
      <c r="CN616" s="230"/>
      <c r="CO616" s="162"/>
      <c r="CP616" s="162"/>
      <c r="CQ616" s="162"/>
      <c r="CR616" s="162"/>
      <c r="CS616" s="162"/>
      <c r="CT616" s="230"/>
      <c r="CU616" s="230"/>
      <c r="CV616" s="162"/>
      <c r="CW616" s="162"/>
      <c r="CX616" s="162"/>
      <c r="CY616" s="162"/>
      <c r="CZ616" s="162"/>
      <c r="DA616" s="230"/>
      <c r="DB616" s="230"/>
      <c r="DC616" s="162"/>
      <c r="DD616" s="162"/>
      <c r="DE616" s="162"/>
      <c r="DF616" s="162"/>
      <c r="DG616" s="162"/>
      <c r="DH616" s="230"/>
      <c r="DI616" s="230"/>
      <c r="DJ616" s="162"/>
      <c r="DK616" s="162"/>
      <c r="DL616" s="147"/>
      <c r="DM616" s="147"/>
      <c r="DN616" s="147"/>
      <c r="DO616" s="147"/>
      <c r="DP616" s="147"/>
      <c r="DQ616" s="147"/>
      <c r="DR616" s="147"/>
      <c r="DS616" s="147"/>
      <c r="DT616" s="147"/>
      <c r="DU616" s="147"/>
      <c r="DV616" s="147"/>
      <c r="DW616" s="147"/>
      <c r="DX616" s="147"/>
      <c r="DY616" s="147"/>
      <c r="DZ616" s="147"/>
      <c r="EA616" s="147"/>
      <c r="EB616" s="147"/>
      <c r="EC616" s="147"/>
      <c r="ED616" s="147"/>
      <c r="EE616" s="147"/>
      <c r="EF616" s="147"/>
      <c r="EG616" s="147"/>
      <c r="EH616" s="147"/>
    </row>
    <row r="617" spans="1:138" x14ac:dyDescent="0.25">
      <c r="A617" s="147"/>
      <c r="B617" s="147"/>
      <c r="C617" s="160"/>
      <c r="D617" s="160"/>
      <c r="E617" s="169"/>
      <c r="F617" s="229"/>
      <c r="G617" s="165"/>
      <c r="H617" s="165"/>
      <c r="I617" s="163"/>
      <c r="J617" s="163"/>
      <c r="K617" s="162"/>
      <c r="L617" s="162"/>
      <c r="M617" s="162"/>
      <c r="N617" s="230"/>
      <c r="O617" s="230"/>
      <c r="P617" s="162"/>
      <c r="Q617" s="162"/>
      <c r="R617" s="162"/>
      <c r="S617" s="162"/>
      <c r="T617" s="162"/>
      <c r="U617" s="230"/>
      <c r="V617" s="230"/>
      <c r="W617" s="162"/>
      <c r="X617" s="162"/>
      <c r="Y617" s="162"/>
      <c r="Z617" s="162"/>
      <c r="AA617" s="162"/>
      <c r="AB617" s="230"/>
      <c r="AC617" s="230"/>
      <c r="AD617" s="162"/>
      <c r="AE617" s="162"/>
      <c r="AF617" s="162"/>
      <c r="AG617" s="162"/>
      <c r="AH617" s="162"/>
      <c r="AI617" s="230"/>
      <c r="AJ617" s="230"/>
      <c r="AK617" s="162"/>
      <c r="AL617" s="162"/>
      <c r="AM617" s="162"/>
      <c r="AN617" s="162"/>
      <c r="AO617" s="162"/>
      <c r="AP617" s="230"/>
      <c r="AQ617" s="230"/>
      <c r="AR617" s="162"/>
      <c r="AS617" s="162"/>
      <c r="AT617" s="162"/>
      <c r="AU617" s="162"/>
      <c r="AV617" s="162"/>
      <c r="AW617" s="230"/>
      <c r="AX617" s="230"/>
      <c r="AY617" s="162"/>
      <c r="AZ617" s="162"/>
      <c r="BA617" s="162"/>
      <c r="BB617" s="162"/>
      <c r="BC617" s="162"/>
      <c r="BD617" s="230"/>
      <c r="BE617" s="230"/>
      <c r="BF617" s="162"/>
      <c r="BG617" s="162"/>
      <c r="BH617" s="162"/>
      <c r="BI617" s="162"/>
      <c r="BJ617" s="162"/>
      <c r="BK617" s="230"/>
      <c r="BL617" s="230"/>
      <c r="BM617" s="162"/>
      <c r="BN617" s="162"/>
      <c r="BO617" s="162"/>
      <c r="BP617" s="162"/>
      <c r="BQ617" s="162"/>
      <c r="BR617" s="230"/>
      <c r="BS617" s="230"/>
      <c r="BT617" s="162"/>
      <c r="BU617" s="162"/>
      <c r="BV617" s="162"/>
      <c r="BW617" s="162"/>
      <c r="BX617" s="162"/>
      <c r="BY617" s="230"/>
      <c r="BZ617" s="230"/>
      <c r="CA617" s="162"/>
      <c r="CB617" s="162"/>
      <c r="CC617" s="162"/>
      <c r="CD617" s="162"/>
      <c r="CE617" s="162"/>
      <c r="CF617" s="230"/>
      <c r="CG617" s="230"/>
      <c r="CH617" s="162"/>
      <c r="CI617" s="162"/>
      <c r="CJ617" s="162"/>
      <c r="CK617" s="162"/>
      <c r="CL617" s="162"/>
      <c r="CM617" s="230"/>
      <c r="CN617" s="230"/>
      <c r="CO617" s="162"/>
      <c r="CP617" s="162"/>
      <c r="CQ617" s="162"/>
      <c r="CR617" s="162"/>
      <c r="CS617" s="162"/>
      <c r="CT617" s="230"/>
      <c r="CU617" s="230"/>
      <c r="CV617" s="162"/>
      <c r="CW617" s="162"/>
      <c r="CX617" s="162"/>
      <c r="CY617" s="162"/>
      <c r="CZ617" s="162"/>
      <c r="DA617" s="230"/>
      <c r="DB617" s="230"/>
      <c r="DC617" s="162"/>
      <c r="DD617" s="162"/>
      <c r="DE617" s="162"/>
      <c r="DF617" s="162"/>
      <c r="DG617" s="162"/>
      <c r="DH617" s="230"/>
      <c r="DI617" s="230"/>
      <c r="DJ617" s="162"/>
      <c r="DK617" s="162"/>
      <c r="DL617" s="147"/>
      <c r="DM617" s="147"/>
      <c r="DN617" s="147"/>
      <c r="DO617" s="147"/>
      <c r="DP617" s="147"/>
      <c r="DQ617" s="147"/>
      <c r="DR617" s="147"/>
      <c r="DS617" s="147"/>
      <c r="DT617" s="147"/>
      <c r="DU617" s="147"/>
      <c r="DV617" s="147"/>
      <c r="DW617" s="147"/>
      <c r="DX617" s="147"/>
      <c r="DY617" s="147"/>
      <c r="DZ617" s="147"/>
      <c r="EA617" s="147"/>
      <c r="EB617" s="147"/>
      <c r="EC617" s="147"/>
      <c r="ED617" s="147"/>
      <c r="EE617" s="147"/>
      <c r="EF617" s="147"/>
      <c r="EG617" s="147"/>
      <c r="EH617" s="147"/>
    </row>
    <row r="618" spans="1:138" x14ac:dyDescent="0.25">
      <c r="A618" s="147"/>
      <c r="B618" s="147"/>
      <c r="C618" s="160"/>
      <c r="D618" s="160"/>
      <c r="E618" s="169"/>
      <c r="F618" s="229"/>
      <c r="G618" s="165"/>
      <c r="H618" s="165"/>
      <c r="I618" s="163"/>
      <c r="J618" s="163"/>
      <c r="K618" s="162"/>
      <c r="L618" s="162"/>
      <c r="M618" s="162"/>
      <c r="N618" s="230"/>
      <c r="O618" s="230"/>
      <c r="P618" s="162"/>
      <c r="Q618" s="162"/>
      <c r="R618" s="162"/>
      <c r="S618" s="162"/>
      <c r="T618" s="162"/>
      <c r="U618" s="230"/>
      <c r="V618" s="230"/>
      <c r="W618" s="162"/>
      <c r="X618" s="162"/>
      <c r="Y618" s="162"/>
      <c r="Z618" s="162"/>
      <c r="AA618" s="162"/>
      <c r="AB618" s="230"/>
      <c r="AC618" s="230"/>
      <c r="AD618" s="162"/>
      <c r="AE618" s="162"/>
      <c r="AF618" s="162"/>
      <c r="AG618" s="162"/>
      <c r="AH618" s="162"/>
      <c r="AI618" s="230"/>
      <c r="AJ618" s="230"/>
      <c r="AK618" s="162"/>
      <c r="AL618" s="162"/>
      <c r="AM618" s="162"/>
      <c r="AN618" s="162"/>
      <c r="AO618" s="162"/>
      <c r="AP618" s="230"/>
      <c r="AQ618" s="230"/>
      <c r="AR618" s="162"/>
      <c r="AS618" s="162"/>
      <c r="AT618" s="162"/>
      <c r="AU618" s="162"/>
      <c r="AV618" s="162"/>
      <c r="AW618" s="230"/>
      <c r="AX618" s="230"/>
      <c r="AY618" s="162"/>
      <c r="AZ618" s="162"/>
      <c r="BA618" s="162"/>
      <c r="BB618" s="162"/>
      <c r="BC618" s="162"/>
      <c r="BD618" s="230"/>
      <c r="BE618" s="230"/>
      <c r="BF618" s="162"/>
      <c r="BG618" s="162"/>
      <c r="BH618" s="162"/>
      <c r="BI618" s="162"/>
      <c r="BJ618" s="162"/>
      <c r="BK618" s="230"/>
      <c r="BL618" s="230"/>
      <c r="BM618" s="162"/>
      <c r="BN618" s="162"/>
      <c r="BO618" s="162"/>
      <c r="BP618" s="162"/>
      <c r="BQ618" s="162"/>
      <c r="BR618" s="230"/>
      <c r="BS618" s="230"/>
      <c r="BT618" s="162"/>
      <c r="BU618" s="162"/>
      <c r="BV618" s="162"/>
      <c r="BW618" s="162"/>
      <c r="BX618" s="162"/>
      <c r="BY618" s="230"/>
      <c r="BZ618" s="230"/>
      <c r="CA618" s="162"/>
      <c r="CB618" s="162"/>
      <c r="CC618" s="162"/>
      <c r="CD618" s="162"/>
      <c r="CE618" s="162"/>
      <c r="CF618" s="230"/>
      <c r="CG618" s="230"/>
      <c r="CH618" s="162"/>
      <c r="CI618" s="162"/>
      <c r="CJ618" s="162"/>
      <c r="CK618" s="162"/>
      <c r="CL618" s="162"/>
      <c r="CM618" s="230"/>
      <c r="CN618" s="230"/>
      <c r="CO618" s="162"/>
      <c r="CP618" s="162"/>
      <c r="CQ618" s="162"/>
      <c r="CR618" s="162"/>
      <c r="CS618" s="162"/>
      <c r="CT618" s="230"/>
      <c r="CU618" s="230"/>
      <c r="CV618" s="162"/>
      <c r="CW618" s="162"/>
      <c r="CX618" s="162"/>
      <c r="CY618" s="162"/>
      <c r="CZ618" s="162"/>
      <c r="DA618" s="230"/>
      <c r="DB618" s="230"/>
      <c r="DC618" s="162"/>
      <c r="DD618" s="162"/>
      <c r="DE618" s="162"/>
      <c r="DF618" s="162"/>
      <c r="DG618" s="162"/>
      <c r="DH618" s="230"/>
      <c r="DI618" s="230"/>
      <c r="DJ618" s="162"/>
      <c r="DK618" s="162"/>
      <c r="DL618" s="147"/>
      <c r="DM618" s="147"/>
      <c r="DN618" s="147"/>
      <c r="DO618" s="147"/>
      <c r="DP618" s="147"/>
      <c r="DQ618" s="147"/>
      <c r="DR618" s="147"/>
      <c r="DS618" s="147"/>
      <c r="DT618" s="147"/>
      <c r="DU618" s="147"/>
      <c r="DV618" s="147"/>
      <c r="DW618" s="147"/>
      <c r="DX618" s="147"/>
      <c r="DY618" s="147"/>
      <c r="DZ618" s="147"/>
      <c r="EA618" s="147"/>
      <c r="EB618" s="147"/>
      <c r="EC618" s="147"/>
      <c r="ED618" s="147"/>
      <c r="EE618" s="147"/>
      <c r="EF618" s="147"/>
      <c r="EG618" s="147"/>
      <c r="EH618" s="147"/>
    </row>
    <row r="619" spans="1:138" x14ac:dyDescent="0.25">
      <c r="A619" s="147"/>
      <c r="B619" s="147"/>
      <c r="C619" s="160"/>
      <c r="D619" s="160"/>
      <c r="E619" s="169"/>
      <c r="F619" s="229"/>
      <c r="G619" s="165"/>
      <c r="H619" s="165"/>
      <c r="I619" s="163"/>
      <c r="J619" s="163"/>
      <c r="K619" s="162"/>
      <c r="L619" s="162"/>
      <c r="M619" s="162"/>
      <c r="N619" s="230"/>
      <c r="O619" s="230"/>
      <c r="P619" s="162"/>
      <c r="Q619" s="162"/>
      <c r="R619" s="162"/>
      <c r="S619" s="162"/>
      <c r="T619" s="162"/>
      <c r="U619" s="230"/>
      <c r="V619" s="230"/>
      <c r="W619" s="162"/>
      <c r="X619" s="162"/>
      <c r="Y619" s="162"/>
      <c r="Z619" s="162"/>
      <c r="AA619" s="162"/>
      <c r="AB619" s="230"/>
      <c r="AC619" s="230"/>
      <c r="AD619" s="162"/>
      <c r="AE619" s="162"/>
      <c r="AF619" s="162"/>
      <c r="AG619" s="162"/>
      <c r="AH619" s="162"/>
      <c r="AI619" s="230"/>
      <c r="AJ619" s="230"/>
      <c r="AK619" s="162"/>
      <c r="AL619" s="162"/>
      <c r="AM619" s="162"/>
      <c r="AN619" s="162"/>
      <c r="AO619" s="162"/>
      <c r="AP619" s="230"/>
      <c r="AQ619" s="230"/>
      <c r="AR619" s="162"/>
      <c r="AS619" s="162"/>
      <c r="AT619" s="162"/>
      <c r="AU619" s="162"/>
      <c r="AV619" s="162"/>
      <c r="AW619" s="230"/>
      <c r="AX619" s="230"/>
      <c r="AY619" s="162"/>
      <c r="AZ619" s="162"/>
      <c r="BA619" s="162"/>
      <c r="BB619" s="162"/>
      <c r="BC619" s="162"/>
      <c r="BD619" s="230"/>
      <c r="BE619" s="230"/>
      <c r="BF619" s="162"/>
      <c r="BG619" s="162"/>
      <c r="BH619" s="162"/>
      <c r="BI619" s="162"/>
      <c r="BJ619" s="162"/>
      <c r="BK619" s="230"/>
      <c r="BL619" s="230"/>
      <c r="BM619" s="162"/>
      <c r="BN619" s="162"/>
      <c r="BO619" s="162"/>
      <c r="BP619" s="162"/>
      <c r="BQ619" s="162"/>
      <c r="BR619" s="230"/>
      <c r="BS619" s="230"/>
      <c r="BT619" s="162"/>
      <c r="BU619" s="162"/>
      <c r="BV619" s="162"/>
      <c r="BW619" s="162"/>
      <c r="BX619" s="162"/>
      <c r="BY619" s="230"/>
      <c r="BZ619" s="230"/>
      <c r="CA619" s="162"/>
      <c r="CB619" s="162"/>
      <c r="CC619" s="162"/>
      <c r="CD619" s="162"/>
      <c r="CE619" s="162"/>
      <c r="CF619" s="230"/>
      <c r="CG619" s="230"/>
      <c r="CH619" s="162"/>
      <c r="CI619" s="162"/>
      <c r="CJ619" s="162"/>
      <c r="CK619" s="162"/>
      <c r="CL619" s="162"/>
      <c r="CM619" s="230"/>
      <c r="CN619" s="230"/>
      <c r="CO619" s="162"/>
      <c r="CP619" s="162"/>
      <c r="CQ619" s="162"/>
      <c r="CR619" s="162"/>
      <c r="CS619" s="162"/>
      <c r="CT619" s="230"/>
      <c r="CU619" s="230"/>
      <c r="CV619" s="162"/>
      <c r="CW619" s="162"/>
      <c r="CX619" s="162"/>
      <c r="CY619" s="162"/>
      <c r="CZ619" s="162"/>
      <c r="DA619" s="230"/>
      <c r="DB619" s="230"/>
      <c r="DC619" s="162"/>
      <c r="DD619" s="162"/>
      <c r="DE619" s="162"/>
      <c r="DF619" s="162"/>
      <c r="DG619" s="162"/>
      <c r="DH619" s="230"/>
      <c r="DI619" s="230"/>
      <c r="DJ619" s="162"/>
      <c r="DK619" s="162"/>
      <c r="DL619" s="147"/>
      <c r="DM619" s="147"/>
      <c r="DN619" s="147"/>
      <c r="DO619" s="147"/>
      <c r="DP619" s="147"/>
      <c r="DQ619" s="147"/>
      <c r="DR619" s="147"/>
      <c r="DS619" s="147"/>
      <c r="DT619" s="147"/>
      <c r="DU619" s="147"/>
      <c r="DV619" s="147"/>
      <c r="DW619" s="147"/>
      <c r="DX619" s="147"/>
      <c r="DY619" s="147"/>
      <c r="DZ619" s="147"/>
      <c r="EA619" s="147"/>
      <c r="EB619" s="147"/>
      <c r="EC619" s="147"/>
      <c r="ED619" s="147"/>
      <c r="EE619" s="147"/>
      <c r="EF619" s="147"/>
      <c r="EG619" s="147"/>
      <c r="EH619" s="147"/>
    </row>
    <row r="620" spans="1:138" x14ac:dyDescent="0.25">
      <c r="A620" s="147"/>
      <c r="B620" s="147"/>
      <c r="C620" s="160"/>
      <c r="D620" s="160"/>
      <c r="E620" s="169"/>
      <c r="F620" s="229"/>
      <c r="G620" s="165"/>
      <c r="H620" s="165"/>
      <c r="I620" s="163"/>
      <c r="J620" s="163"/>
      <c r="K620" s="162"/>
      <c r="L620" s="162"/>
      <c r="M620" s="162"/>
      <c r="N620" s="230"/>
      <c r="O620" s="230"/>
      <c r="P620" s="162"/>
      <c r="Q620" s="162"/>
      <c r="R620" s="162"/>
      <c r="S620" s="162"/>
      <c r="T620" s="162"/>
      <c r="U620" s="230"/>
      <c r="V620" s="230"/>
      <c r="W620" s="162"/>
      <c r="X620" s="162"/>
      <c r="Y620" s="162"/>
      <c r="Z620" s="162"/>
      <c r="AA620" s="162"/>
      <c r="AB620" s="230"/>
      <c r="AC620" s="230"/>
      <c r="AD620" s="162"/>
      <c r="AE620" s="162"/>
      <c r="AF620" s="162"/>
      <c r="AG620" s="162"/>
      <c r="AH620" s="162"/>
      <c r="AI620" s="230"/>
      <c r="AJ620" s="230"/>
      <c r="AK620" s="162"/>
      <c r="AL620" s="162"/>
      <c r="AM620" s="162"/>
      <c r="AN620" s="162"/>
      <c r="AO620" s="162"/>
      <c r="AP620" s="230"/>
      <c r="AQ620" s="230"/>
      <c r="AR620" s="162"/>
      <c r="AS620" s="162"/>
      <c r="AT620" s="162"/>
      <c r="AU620" s="162"/>
      <c r="AV620" s="162"/>
      <c r="AW620" s="230"/>
      <c r="AX620" s="230"/>
      <c r="AY620" s="162"/>
      <c r="AZ620" s="162"/>
      <c r="BA620" s="162"/>
      <c r="BB620" s="162"/>
      <c r="BC620" s="162"/>
      <c r="BD620" s="230"/>
      <c r="BE620" s="230"/>
      <c r="BF620" s="162"/>
      <c r="BG620" s="162"/>
      <c r="BH620" s="162"/>
      <c r="BI620" s="162"/>
      <c r="BJ620" s="162"/>
      <c r="BK620" s="230"/>
      <c r="BL620" s="230"/>
      <c r="BM620" s="162"/>
      <c r="BN620" s="162"/>
      <c r="BO620" s="162"/>
      <c r="BP620" s="162"/>
      <c r="BQ620" s="162"/>
      <c r="BR620" s="230"/>
      <c r="BS620" s="230"/>
      <c r="BT620" s="162"/>
      <c r="BU620" s="162"/>
      <c r="BV620" s="162"/>
      <c r="BW620" s="162"/>
      <c r="BX620" s="162"/>
      <c r="BY620" s="230"/>
      <c r="BZ620" s="230"/>
      <c r="CA620" s="162"/>
      <c r="CB620" s="162"/>
      <c r="CC620" s="162"/>
      <c r="CD620" s="162"/>
      <c r="CE620" s="162"/>
      <c r="CF620" s="230"/>
      <c r="CG620" s="230"/>
      <c r="CH620" s="162"/>
      <c r="CI620" s="162"/>
      <c r="CJ620" s="162"/>
      <c r="CK620" s="162"/>
      <c r="CL620" s="162"/>
      <c r="CM620" s="230"/>
      <c r="CN620" s="230"/>
      <c r="CO620" s="162"/>
      <c r="CP620" s="162"/>
      <c r="CQ620" s="162"/>
      <c r="CR620" s="162"/>
      <c r="CS620" s="162"/>
      <c r="CT620" s="230"/>
      <c r="CU620" s="230"/>
      <c r="CV620" s="162"/>
      <c r="CW620" s="162"/>
      <c r="CX620" s="162"/>
      <c r="CY620" s="162"/>
      <c r="CZ620" s="162"/>
      <c r="DA620" s="230"/>
      <c r="DB620" s="230"/>
      <c r="DC620" s="162"/>
      <c r="DD620" s="162"/>
      <c r="DE620" s="162"/>
      <c r="DF620" s="162"/>
      <c r="DG620" s="162"/>
      <c r="DH620" s="230"/>
      <c r="DI620" s="230"/>
      <c r="DJ620" s="162"/>
      <c r="DK620" s="162"/>
      <c r="DL620" s="147"/>
      <c r="DM620" s="147"/>
      <c r="DN620" s="147"/>
      <c r="DO620" s="147"/>
      <c r="DP620" s="147"/>
      <c r="DQ620" s="147"/>
      <c r="DR620" s="147"/>
      <c r="DS620" s="147"/>
      <c r="DT620" s="147"/>
      <c r="DU620" s="147"/>
      <c r="DV620" s="147"/>
      <c r="DW620" s="147"/>
      <c r="DX620" s="147"/>
      <c r="DY620" s="147"/>
      <c r="DZ620" s="147"/>
      <c r="EA620" s="147"/>
      <c r="EB620" s="147"/>
      <c r="EC620" s="147"/>
      <c r="ED620" s="147"/>
      <c r="EE620" s="147"/>
      <c r="EF620" s="147"/>
      <c r="EG620" s="147"/>
      <c r="EH620" s="147"/>
    </row>
    <row r="621" spans="1:138" x14ac:dyDescent="0.25">
      <c r="A621" s="147"/>
      <c r="B621" s="147"/>
      <c r="C621" s="160"/>
      <c r="D621" s="160"/>
      <c r="E621" s="169"/>
      <c r="F621" s="229"/>
      <c r="G621" s="165"/>
      <c r="H621" s="165"/>
      <c r="I621" s="163"/>
      <c r="J621" s="163"/>
      <c r="K621" s="162"/>
      <c r="L621" s="162"/>
      <c r="M621" s="162"/>
      <c r="N621" s="230"/>
      <c r="O621" s="230"/>
      <c r="P621" s="162"/>
      <c r="Q621" s="162"/>
      <c r="R621" s="162"/>
      <c r="S621" s="162"/>
      <c r="T621" s="162"/>
      <c r="U621" s="230"/>
      <c r="V621" s="230"/>
      <c r="W621" s="162"/>
      <c r="X621" s="162"/>
      <c r="Y621" s="162"/>
      <c r="Z621" s="162"/>
      <c r="AA621" s="162"/>
      <c r="AB621" s="230"/>
      <c r="AC621" s="230"/>
      <c r="AD621" s="162"/>
      <c r="AE621" s="162"/>
      <c r="AF621" s="162"/>
      <c r="AG621" s="162"/>
      <c r="AH621" s="162"/>
      <c r="AI621" s="230"/>
      <c r="AJ621" s="230"/>
      <c r="AK621" s="162"/>
      <c r="AL621" s="162"/>
      <c r="AM621" s="162"/>
      <c r="AN621" s="162"/>
      <c r="AO621" s="162"/>
      <c r="AP621" s="230"/>
      <c r="AQ621" s="230"/>
      <c r="AR621" s="162"/>
      <c r="AS621" s="162"/>
      <c r="AT621" s="162"/>
      <c r="AU621" s="162"/>
      <c r="AV621" s="162"/>
      <c r="AW621" s="230"/>
      <c r="AX621" s="230"/>
      <c r="AY621" s="162"/>
      <c r="AZ621" s="162"/>
      <c r="BA621" s="162"/>
      <c r="BB621" s="162"/>
      <c r="BC621" s="162"/>
      <c r="BD621" s="230"/>
      <c r="BE621" s="230"/>
      <c r="BF621" s="162"/>
      <c r="BG621" s="162"/>
      <c r="BH621" s="162"/>
      <c r="BI621" s="162"/>
      <c r="BJ621" s="162"/>
      <c r="BK621" s="230"/>
      <c r="BL621" s="230"/>
      <c r="BM621" s="162"/>
      <c r="BN621" s="162"/>
      <c r="BO621" s="162"/>
      <c r="BP621" s="162"/>
      <c r="BQ621" s="162"/>
      <c r="BR621" s="230"/>
      <c r="BS621" s="230"/>
      <c r="BT621" s="162"/>
      <c r="BU621" s="162"/>
      <c r="BV621" s="162"/>
      <c r="BW621" s="162"/>
      <c r="BX621" s="162"/>
      <c r="BY621" s="230"/>
      <c r="BZ621" s="230"/>
      <c r="CA621" s="162"/>
      <c r="CB621" s="162"/>
      <c r="CC621" s="162"/>
      <c r="CD621" s="162"/>
      <c r="CE621" s="162"/>
      <c r="CF621" s="230"/>
      <c r="CG621" s="230"/>
      <c r="CH621" s="162"/>
      <c r="CI621" s="162"/>
      <c r="CJ621" s="162"/>
      <c r="CK621" s="162"/>
      <c r="CL621" s="162"/>
      <c r="CM621" s="230"/>
      <c r="CN621" s="230"/>
      <c r="CO621" s="162"/>
      <c r="CP621" s="162"/>
      <c r="CQ621" s="162"/>
      <c r="CR621" s="162"/>
      <c r="CS621" s="162"/>
      <c r="CT621" s="230"/>
      <c r="CU621" s="230"/>
      <c r="CV621" s="162"/>
      <c r="CW621" s="162"/>
      <c r="CX621" s="162"/>
      <c r="CY621" s="162"/>
      <c r="CZ621" s="162"/>
      <c r="DA621" s="230"/>
      <c r="DB621" s="230"/>
      <c r="DC621" s="162"/>
      <c r="DD621" s="162"/>
      <c r="DE621" s="162"/>
      <c r="DF621" s="162"/>
      <c r="DG621" s="162"/>
      <c r="DH621" s="230"/>
      <c r="DI621" s="230"/>
      <c r="DJ621" s="162"/>
      <c r="DK621" s="162"/>
      <c r="DL621" s="147"/>
      <c r="DM621" s="147"/>
      <c r="DN621" s="147"/>
      <c r="DO621" s="147"/>
      <c r="DP621" s="147"/>
      <c r="DQ621" s="147"/>
      <c r="DR621" s="147"/>
      <c r="DS621" s="147"/>
      <c r="DT621" s="147"/>
      <c r="DU621" s="147"/>
      <c r="DV621" s="147"/>
      <c r="DW621" s="147"/>
      <c r="DX621" s="147"/>
      <c r="DY621" s="147"/>
      <c r="DZ621" s="147"/>
      <c r="EA621" s="147"/>
      <c r="EB621" s="147"/>
      <c r="EC621" s="147"/>
      <c r="ED621" s="147"/>
      <c r="EE621" s="147"/>
      <c r="EF621" s="147"/>
      <c r="EG621" s="147"/>
      <c r="EH621" s="147"/>
    </row>
    <row r="622" spans="1:138" x14ac:dyDescent="0.25">
      <c r="A622" s="147"/>
      <c r="B622" s="147"/>
      <c r="C622" s="160"/>
      <c r="D622" s="160"/>
      <c r="E622" s="169"/>
      <c r="F622" s="229"/>
      <c r="G622" s="165"/>
      <c r="H622" s="165"/>
      <c r="I622" s="163"/>
      <c r="J622" s="163"/>
      <c r="K622" s="162"/>
      <c r="L622" s="162"/>
      <c r="M622" s="162"/>
      <c r="N622" s="230"/>
      <c r="O622" s="230"/>
      <c r="P622" s="162"/>
      <c r="Q622" s="162"/>
      <c r="R622" s="162"/>
      <c r="S622" s="162"/>
      <c r="T622" s="162"/>
      <c r="U622" s="230"/>
      <c r="V622" s="230"/>
      <c r="W622" s="162"/>
      <c r="X622" s="162"/>
      <c r="Y622" s="162"/>
      <c r="Z622" s="162"/>
      <c r="AA622" s="162"/>
      <c r="AB622" s="230"/>
      <c r="AC622" s="230"/>
      <c r="AD622" s="162"/>
      <c r="AE622" s="162"/>
      <c r="AF622" s="162"/>
      <c r="AG622" s="162"/>
      <c r="AH622" s="162"/>
      <c r="AI622" s="230"/>
      <c r="AJ622" s="230"/>
      <c r="AK622" s="162"/>
      <c r="AL622" s="162"/>
      <c r="AM622" s="162"/>
      <c r="AN622" s="162"/>
      <c r="AO622" s="162"/>
      <c r="AP622" s="230"/>
      <c r="AQ622" s="230"/>
      <c r="AR622" s="162"/>
      <c r="AS622" s="162"/>
      <c r="AT622" s="162"/>
      <c r="AU622" s="162"/>
      <c r="AV622" s="162"/>
      <c r="AW622" s="230"/>
      <c r="AX622" s="230"/>
      <c r="AY622" s="162"/>
      <c r="AZ622" s="162"/>
      <c r="BA622" s="162"/>
      <c r="BB622" s="162"/>
      <c r="BC622" s="162"/>
      <c r="BD622" s="230"/>
      <c r="BE622" s="230"/>
      <c r="BF622" s="162"/>
      <c r="BG622" s="162"/>
      <c r="BH622" s="162"/>
      <c r="BI622" s="162"/>
      <c r="BJ622" s="162"/>
      <c r="BK622" s="230"/>
      <c r="BL622" s="230"/>
      <c r="BM622" s="162"/>
      <c r="BN622" s="162"/>
      <c r="BO622" s="162"/>
      <c r="BP622" s="162"/>
      <c r="BQ622" s="162"/>
      <c r="BR622" s="230"/>
      <c r="BS622" s="230"/>
      <c r="BT622" s="162"/>
      <c r="BU622" s="162"/>
      <c r="BV622" s="162"/>
      <c r="BW622" s="162"/>
      <c r="BX622" s="162"/>
      <c r="BY622" s="230"/>
      <c r="BZ622" s="230"/>
      <c r="CA622" s="162"/>
      <c r="CB622" s="162"/>
      <c r="CC622" s="162"/>
      <c r="CD622" s="162"/>
      <c r="CE622" s="162"/>
      <c r="CF622" s="230"/>
      <c r="CG622" s="230"/>
      <c r="CH622" s="162"/>
      <c r="CI622" s="162"/>
      <c r="CJ622" s="162"/>
      <c r="CK622" s="162"/>
      <c r="CL622" s="162"/>
      <c r="CM622" s="230"/>
      <c r="CN622" s="230"/>
      <c r="CO622" s="162"/>
      <c r="CP622" s="162"/>
      <c r="CQ622" s="162"/>
      <c r="CR622" s="162"/>
      <c r="CS622" s="162"/>
      <c r="CT622" s="230"/>
      <c r="CU622" s="230"/>
      <c r="CV622" s="162"/>
      <c r="CW622" s="162"/>
      <c r="CX622" s="162"/>
      <c r="CY622" s="162"/>
      <c r="CZ622" s="162"/>
      <c r="DA622" s="230"/>
      <c r="DB622" s="230"/>
      <c r="DC622" s="162"/>
      <c r="DD622" s="162"/>
      <c r="DE622" s="162"/>
      <c r="DF622" s="162"/>
      <c r="DG622" s="162"/>
      <c r="DH622" s="230"/>
      <c r="DI622" s="230"/>
      <c r="DJ622" s="162"/>
      <c r="DK622" s="162"/>
      <c r="DL622" s="147"/>
      <c r="DM622" s="147"/>
      <c r="DN622" s="147"/>
      <c r="DO622" s="147"/>
      <c r="DP622" s="147"/>
      <c r="DQ622" s="147"/>
      <c r="DR622" s="147"/>
      <c r="DS622" s="147"/>
      <c r="DT622" s="147"/>
      <c r="DU622" s="147"/>
      <c r="DV622" s="147"/>
      <c r="DW622" s="147"/>
      <c r="DX622" s="147"/>
      <c r="DY622" s="147"/>
      <c r="DZ622" s="147"/>
      <c r="EA622" s="147"/>
      <c r="EB622" s="147"/>
      <c r="EC622" s="147"/>
      <c r="ED622" s="147"/>
      <c r="EE622" s="147"/>
      <c r="EF622" s="147"/>
      <c r="EG622" s="147"/>
      <c r="EH622" s="147"/>
    </row>
    <row r="623" spans="1:138" x14ac:dyDescent="0.25">
      <c r="A623" s="147"/>
      <c r="B623" s="147"/>
      <c r="C623" s="160"/>
      <c r="D623" s="160"/>
      <c r="E623" s="169"/>
      <c r="F623" s="229"/>
      <c r="G623" s="165"/>
      <c r="H623" s="165"/>
      <c r="I623" s="163"/>
      <c r="J623" s="163"/>
      <c r="K623" s="162"/>
      <c r="L623" s="162"/>
      <c r="M623" s="162"/>
      <c r="N623" s="230"/>
      <c r="O623" s="230"/>
      <c r="P623" s="162"/>
      <c r="Q623" s="162"/>
      <c r="R623" s="162"/>
      <c r="S623" s="162"/>
      <c r="T623" s="162"/>
      <c r="U623" s="230"/>
      <c r="V623" s="230"/>
      <c r="W623" s="162"/>
      <c r="X623" s="162"/>
      <c r="Y623" s="162"/>
      <c r="Z623" s="162"/>
      <c r="AA623" s="162"/>
      <c r="AB623" s="230"/>
      <c r="AC623" s="230"/>
      <c r="AD623" s="162"/>
      <c r="AE623" s="162"/>
      <c r="AF623" s="162"/>
      <c r="AG623" s="162"/>
      <c r="AH623" s="162"/>
      <c r="AI623" s="230"/>
      <c r="AJ623" s="230"/>
      <c r="AK623" s="162"/>
      <c r="AL623" s="162"/>
      <c r="AM623" s="162"/>
      <c r="AN623" s="162"/>
      <c r="AO623" s="162"/>
      <c r="AP623" s="230"/>
      <c r="AQ623" s="230"/>
      <c r="AR623" s="162"/>
      <c r="AS623" s="162"/>
      <c r="AT623" s="162"/>
      <c r="AU623" s="162"/>
      <c r="AV623" s="162"/>
      <c r="AW623" s="230"/>
      <c r="AX623" s="230"/>
      <c r="AY623" s="162"/>
      <c r="AZ623" s="162"/>
      <c r="BA623" s="162"/>
      <c r="BB623" s="162"/>
      <c r="BC623" s="162"/>
      <c r="BD623" s="230"/>
      <c r="BE623" s="230"/>
      <c r="BF623" s="162"/>
      <c r="BG623" s="162"/>
      <c r="BH623" s="162"/>
      <c r="BI623" s="162"/>
      <c r="BJ623" s="162"/>
      <c r="BK623" s="230"/>
      <c r="BL623" s="230"/>
      <c r="BM623" s="162"/>
      <c r="BN623" s="162"/>
      <c r="BO623" s="162"/>
      <c r="BP623" s="162"/>
      <c r="BQ623" s="162"/>
      <c r="BR623" s="230"/>
      <c r="BS623" s="230"/>
      <c r="BT623" s="162"/>
      <c r="BU623" s="162"/>
      <c r="BV623" s="162"/>
      <c r="BW623" s="162"/>
      <c r="BX623" s="162"/>
      <c r="BY623" s="230"/>
      <c r="BZ623" s="230"/>
      <c r="CA623" s="162"/>
      <c r="CB623" s="162"/>
      <c r="CC623" s="162"/>
      <c r="CD623" s="162"/>
      <c r="CE623" s="162"/>
      <c r="CF623" s="230"/>
      <c r="CG623" s="230"/>
      <c r="CH623" s="162"/>
      <c r="CI623" s="162"/>
      <c r="CJ623" s="162"/>
      <c r="CK623" s="162"/>
      <c r="CL623" s="162"/>
      <c r="CM623" s="230"/>
      <c r="CN623" s="230"/>
      <c r="CO623" s="162"/>
      <c r="CP623" s="162"/>
      <c r="CQ623" s="162"/>
      <c r="CR623" s="162"/>
      <c r="CS623" s="162"/>
      <c r="CT623" s="230"/>
      <c r="CU623" s="230"/>
      <c r="CV623" s="162"/>
      <c r="CW623" s="162"/>
      <c r="CX623" s="162"/>
      <c r="CY623" s="162"/>
      <c r="CZ623" s="162"/>
      <c r="DA623" s="230"/>
      <c r="DB623" s="230"/>
      <c r="DC623" s="162"/>
      <c r="DD623" s="162"/>
      <c r="DE623" s="162"/>
      <c r="DF623" s="162"/>
      <c r="DG623" s="162"/>
      <c r="DH623" s="230"/>
      <c r="DI623" s="230"/>
      <c r="DJ623" s="162"/>
      <c r="DK623" s="162"/>
      <c r="DL623" s="147"/>
      <c r="DM623" s="147"/>
      <c r="DN623" s="147"/>
      <c r="DO623" s="147"/>
      <c r="DP623" s="147"/>
      <c r="DQ623" s="147"/>
      <c r="DR623" s="147"/>
      <c r="DS623" s="147"/>
      <c r="DT623" s="147"/>
      <c r="DU623" s="147"/>
      <c r="DV623" s="147"/>
      <c r="DW623" s="147"/>
      <c r="DX623" s="147"/>
      <c r="DY623" s="147"/>
      <c r="DZ623" s="147"/>
      <c r="EA623" s="147"/>
      <c r="EB623" s="147"/>
      <c r="EC623" s="147"/>
      <c r="ED623" s="147"/>
      <c r="EE623" s="147"/>
      <c r="EF623" s="147"/>
      <c r="EG623" s="147"/>
      <c r="EH623" s="147"/>
    </row>
    <row r="624" spans="1:138" x14ac:dyDescent="0.25">
      <c r="A624" s="147"/>
      <c r="B624" s="147"/>
      <c r="C624" s="160"/>
      <c r="D624" s="160"/>
      <c r="E624" s="169"/>
      <c r="F624" s="229"/>
      <c r="G624" s="165"/>
      <c r="H624" s="165"/>
      <c r="I624" s="163"/>
      <c r="J624" s="163"/>
      <c r="K624" s="162"/>
      <c r="L624" s="162"/>
      <c r="M624" s="162"/>
      <c r="N624" s="230"/>
      <c r="O624" s="230"/>
      <c r="P624" s="162"/>
      <c r="Q624" s="162"/>
      <c r="R624" s="162"/>
      <c r="S624" s="162"/>
      <c r="T624" s="162"/>
      <c r="U624" s="230"/>
      <c r="V624" s="230"/>
      <c r="W624" s="162"/>
      <c r="X624" s="162"/>
      <c r="Y624" s="162"/>
      <c r="Z624" s="162"/>
      <c r="AA624" s="162"/>
      <c r="AB624" s="230"/>
      <c r="AC624" s="230"/>
      <c r="AD624" s="162"/>
      <c r="AE624" s="162"/>
      <c r="AF624" s="162"/>
      <c r="AG624" s="162"/>
      <c r="AH624" s="162"/>
      <c r="AI624" s="230"/>
      <c r="AJ624" s="230"/>
      <c r="AK624" s="162"/>
      <c r="AL624" s="162"/>
      <c r="AM624" s="162"/>
      <c r="AN624" s="162"/>
      <c r="AO624" s="162"/>
      <c r="AP624" s="230"/>
      <c r="AQ624" s="230"/>
      <c r="AR624" s="162"/>
      <c r="AS624" s="162"/>
      <c r="AT624" s="162"/>
      <c r="AU624" s="162"/>
      <c r="AV624" s="162"/>
      <c r="AW624" s="230"/>
      <c r="AX624" s="230"/>
      <c r="AY624" s="162"/>
      <c r="AZ624" s="162"/>
      <c r="BA624" s="162"/>
      <c r="BB624" s="162"/>
      <c r="BC624" s="162"/>
      <c r="BD624" s="230"/>
      <c r="BE624" s="230"/>
      <c r="BF624" s="162"/>
      <c r="BG624" s="162"/>
      <c r="BH624" s="162"/>
      <c r="BI624" s="162"/>
      <c r="BJ624" s="162"/>
      <c r="BK624" s="230"/>
      <c r="BL624" s="230"/>
      <c r="BM624" s="162"/>
      <c r="BN624" s="162"/>
      <c r="BO624" s="162"/>
      <c r="BP624" s="162"/>
      <c r="BQ624" s="162"/>
      <c r="BR624" s="230"/>
      <c r="BS624" s="230"/>
      <c r="BT624" s="162"/>
      <c r="BU624" s="162"/>
      <c r="BV624" s="162"/>
      <c r="BW624" s="162"/>
      <c r="BX624" s="162"/>
      <c r="BY624" s="230"/>
      <c r="BZ624" s="230"/>
      <c r="CA624" s="162"/>
      <c r="CB624" s="162"/>
      <c r="CC624" s="162"/>
      <c r="CD624" s="162"/>
      <c r="CE624" s="162"/>
      <c r="CF624" s="230"/>
      <c r="CG624" s="230"/>
      <c r="CH624" s="162"/>
      <c r="CI624" s="162"/>
      <c r="CJ624" s="162"/>
      <c r="CK624" s="162"/>
      <c r="CL624" s="162"/>
      <c r="CM624" s="230"/>
      <c r="CN624" s="230"/>
      <c r="CO624" s="162"/>
      <c r="CP624" s="162"/>
      <c r="CQ624" s="162"/>
      <c r="CR624" s="162"/>
      <c r="CS624" s="162"/>
      <c r="CT624" s="230"/>
      <c r="CU624" s="230"/>
      <c r="CV624" s="162"/>
      <c r="CW624" s="162"/>
      <c r="CX624" s="162"/>
      <c r="CY624" s="162"/>
      <c r="CZ624" s="162"/>
      <c r="DA624" s="230"/>
      <c r="DB624" s="230"/>
      <c r="DC624" s="162"/>
      <c r="DD624" s="162"/>
      <c r="DE624" s="162"/>
      <c r="DF624" s="162"/>
      <c r="DG624" s="162"/>
      <c r="DH624" s="230"/>
      <c r="DI624" s="230"/>
      <c r="DJ624" s="162"/>
      <c r="DK624" s="162"/>
      <c r="DL624" s="147"/>
      <c r="DM624" s="147"/>
      <c r="DN624" s="147"/>
      <c r="DO624" s="147"/>
      <c r="DP624" s="147"/>
      <c r="DQ624" s="147"/>
      <c r="DR624" s="147"/>
      <c r="DS624" s="147"/>
      <c r="DT624" s="147"/>
      <c r="DU624" s="147"/>
      <c r="DV624" s="147"/>
      <c r="DW624" s="147"/>
      <c r="DX624" s="147"/>
      <c r="DY624" s="147"/>
      <c r="DZ624" s="147"/>
      <c r="EA624" s="147"/>
      <c r="EB624" s="147"/>
      <c r="EC624" s="147"/>
      <c r="ED624" s="147"/>
      <c r="EE624" s="147"/>
      <c r="EF624" s="147"/>
      <c r="EG624" s="147"/>
      <c r="EH624" s="147"/>
    </row>
    <row r="625" spans="1:138" x14ac:dyDescent="0.25">
      <c r="A625" s="147"/>
      <c r="B625" s="147"/>
      <c r="C625" s="160"/>
      <c r="D625" s="160"/>
      <c r="E625" s="169"/>
      <c r="F625" s="229"/>
      <c r="G625" s="165"/>
      <c r="H625" s="165"/>
      <c r="I625" s="163"/>
      <c r="J625" s="163"/>
      <c r="K625" s="162"/>
      <c r="L625" s="162"/>
      <c r="M625" s="162"/>
      <c r="N625" s="230"/>
      <c r="O625" s="230"/>
      <c r="P625" s="162"/>
      <c r="Q625" s="162"/>
      <c r="R625" s="162"/>
      <c r="S625" s="162"/>
      <c r="T625" s="162"/>
      <c r="U625" s="230"/>
      <c r="V625" s="230"/>
      <c r="W625" s="162"/>
      <c r="X625" s="162"/>
      <c r="Y625" s="162"/>
      <c r="Z625" s="162"/>
      <c r="AA625" s="162"/>
      <c r="AB625" s="230"/>
      <c r="AC625" s="230"/>
      <c r="AD625" s="162"/>
      <c r="AE625" s="162"/>
      <c r="AF625" s="162"/>
      <c r="AG625" s="162"/>
      <c r="AH625" s="162"/>
      <c r="AI625" s="230"/>
      <c r="AJ625" s="230"/>
      <c r="AK625" s="162"/>
      <c r="AL625" s="162"/>
      <c r="AM625" s="162"/>
      <c r="AN625" s="162"/>
      <c r="AO625" s="162"/>
      <c r="AP625" s="230"/>
      <c r="AQ625" s="230"/>
      <c r="AR625" s="162"/>
      <c r="AS625" s="162"/>
      <c r="AT625" s="162"/>
      <c r="AU625" s="162"/>
      <c r="AV625" s="162"/>
      <c r="AW625" s="230"/>
      <c r="AX625" s="230"/>
      <c r="AY625" s="162"/>
      <c r="AZ625" s="162"/>
      <c r="BA625" s="162"/>
      <c r="BB625" s="162"/>
      <c r="BC625" s="162"/>
      <c r="BD625" s="230"/>
      <c r="BE625" s="230"/>
      <c r="BF625" s="162"/>
      <c r="BG625" s="162"/>
      <c r="BH625" s="162"/>
      <c r="BI625" s="162"/>
      <c r="BJ625" s="162"/>
      <c r="BK625" s="230"/>
      <c r="BL625" s="230"/>
      <c r="BM625" s="162"/>
      <c r="BN625" s="162"/>
      <c r="BO625" s="162"/>
      <c r="BP625" s="162"/>
      <c r="BQ625" s="162"/>
      <c r="BR625" s="230"/>
      <c r="BS625" s="230"/>
      <c r="BT625" s="162"/>
      <c r="BU625" s="162"/>
      <c r="BV625" s="162"/>
      <c r="BW625" s="162"/>
      <c r="BX625" s="162"/>
      <c r="BY625" s="230"/>
      <c r="BZ625" s="230"/>
      <c r="CA625" s="162"/>
      <c r="CB625" s="162"/>
      <c r="CC625" s="162"/>
      <c r="CD625" s="162"/>
      <c r="CE625" s="162"/>
      <c r="CF625" s="230"/>
      <c r="CG625" s="230"/>
      <c r="CH625" s="162"/>
      <c r="CI625" s="162"/>
      <c r="CJ625" s="162"/>
      <c r="CK625" s="162"/>
      <c r="CL625" s="162"/>
      <c r="CM625" s="230"/>
      <c r="CN625" s="230"/>
      <c r="CO625" s="162"/>
      <c r="CP625" s="162"/>
      <c r="CQ625" s="162"/>
      <c r="CR625" s="162"/>
      <c r="CS625" s="162"/>
      <c r="CT625" s="230"/>
      <c r="CU625" s="230"/>
      <c r="CV625" s="162"/>
      <c r="CW625" s="162"/>
      <c r="CX625" s="162"/>
      <c r="CY625" s="162"/>
      <c r="CZ625" s="162"/>
      <c r="DA625" s="230"/>
      <c r="DB625" s="230"/>
      <c r="DC625" s="162"/>
      <c r="DD625" s="162"/>
      <c r="DE625" s="162"/>
      <c r="DF625" s="162"/>
      <c r="DG625" s="162"/>
      <c r="DH625" s="230"/>
      <c r="DI625" s="230"/>
      <c r="DJ625" s="162"/>
      <c r="DK625" s="162"/>
      <c r="DL625" s="147"/>
      <c r="DM625" s="147"/>
      <c r="DN625" s="147"/>
      <c r="DO625" s="147"/>
      <c r="DP625" s="147"/>
      <c r="DQ625" s="147"/>
      <c r="DR625" s="147"/>
      <c r="DS625" s="147"/>
      <c r="DT625" s="147"/>
      <c r="DU625" s="147"/>
      <c r="DV625" s="147"/>
      <c r="DW625" s="147"/>
      <c r="DX625" s="147"/>
      <c r="DY625" s="147"/>
      <c r="DZ625" s="147"/>
      <c r="EA625" s="147"/>
      <c r="EB625" s="147"/>
      <c r="EC625" s="147"/>
      <c r="ED625" s="147"/>
      <c r="EE625" s="147"/>
      <c r="EF625" s="147"/>
      <c r="EG625" s="147"/>
      <c r="EH625" s="147"/>
    </row>
    <row r="626" spans="1:138" x14ac:dyDescent="0.25">
      <c r="A626" s="147"/>
      <c r="B626" s="147"/>
      <c r="C626" s="160"/>
      <c r="D626" s="160"/>
      <c r="E626" s="169"/>
      <c r="F626" s="229"/>
      <c r="G626" s="165"/>
      <c r="H626" s="165"/>
      <c r="I626" s="163"/>
      <c r="J626" s="163"/>
      <c r="K626" s="162"/>
      <c r="L626" s="162"/>
      <c r="M626" s="162"/>
      <c r="N626" s="230"/>
      <c r="O626" s="230"/>
      <c r="P626" s="162"/>
      <c r="Q626" s="162"/>
      <c r="R626" s="162"/>
      <c r="S626" s="162"/>
      <c r="T626" s="162"/>
      <c r="U626" s="230"/>
      <c r="V626" s="230"/>
      <c r="W626" s="162"/>
      <c r="X626" s="162"/>
      <c r="Y626" s="162"/>
      <c r="Z626" s="162"/>
      <c r="AA626" s="162"/>
      <c r="AB626" s="230"/>
      <c r="AC626" s="230"/>
      <c r="AD626" s="162"/>
      <c r="AE626" s="162"/>
      <c r="AF626" s="162"/>
      <c r="AG626" s="162"/>
      <c r="AH626" s="162"/>
      <c r="AI626" s="230"/>
      <c r="AJ626" s="230"/>
      <c r="AK626" s="162"/>
      <c r="AL626" s="162"/>
      <c r="AM626" s="162"/>
      <c r="AN626" s="162"/>
      <c r="AO626" s="162"/>
      <c r="AP626" s="230"/>
      <c r="AQ626" s="230"/>
      <c r="AR626" s="162"/>
      <c r="AS626" s="162"/>
      <c r="AT626" s="162"/>
      <c r="AU626" s="162"/>
      <c r="AV626" s="162"/>
      <c r="AW626" s="230"/>
      <c r="AX626" s="230"/>
      <c r="AY626" s="162"/>
      <c r="AZ626" s="162"/>
      <c r="BA626" s="162"/>
      <c r="BB626" s="162"/>
      <c r="BC626" s="162"/>
      <c r="BD626" s="230"/>
      <c r="BE626" s="230"/>
      <c r="BF626" s="162"/>
      <c r="BG626" s="162"/>
      <c r="BH626" s="162"/>
      <c r="BI626" s="162"/>
      <c r="BJ626" s="162"/>
      <c r="BK626" s="230"/>
      <c r="BL626" s="230"/>
      <c r="BM626" s="162"/>
      <c r="BN626" s="162"/>
      <c r="BO626" s="162"/>
      <c r="BP626" s="162"/>
      <c r="BQ626" s="162"/>
      <c r="BR626" s="230"/>
      <c r="BS626" s="230"/>
      <c r="BT626" s="162"/>
      <c r="BU626" s="162"/>
      <c r="BV626" s="162"/>
      <c r="BW626" s="162"/>
      <c r="BX626" s="162"/>
      <c r="BY626" s="230"/>
      <c r="BZ626" s="230"/>
      <c r="CA626" s="162"/>
      <c r="CB626" s="162"/>
      <c r="CC626" s="162"/>
      <c r="CD626" s="162"/>
      <c r="CE626" s="162"/>
      <c r="CF626" s="230"/>
      <c r="CG626" s="230"/>
      <c r="CH626" s="162"/>
      <c r="CI626" s="162"/>
      <c r="CJ626" s="162"/>
      <c r="CK626" s="162"/>
      <c r="CL626" s="162"/>
      <c r="CM626" s="230"/>
      <c r="CN626" s="230"/>
      <c r="CO626" s="162"/>
      <c r="CP626" s="162"/>
      <c r="CQ626" s="162"/>
      <c r="CR626" s="162"/>
      <c r="CS626" s="162"/>
      <c r="CT626" s="230"/>
      <c r="CU626" s="230"/>
      <c r="CV626" s="162"/>
      <c r="CW626" s="162"/>
      <c r="CX626" s="162"/>
      <c r="CY626" s="162"/>
      <c r="CZ626" s="162"/>
      <c r="DA626" s="230"/>
      <c r="DB626" s="230"/>
      <c r="DC626" s="162"/>
      <c r="DD626" s="162"/>
      <c r="DE626" s="162"/>
      <c r="DF626" s="162"/>
      <c r="DG626" s="162"/>
      <c r="DH626" s="230"/>
      <c r="DI626" s="230"/>
      <c r="DJ626" s="162"/>
      <c r="DK626" s="162"/>
      <c r="DL626" s="147"/>
      <c r="DM626" s="147"/>
      <c r="DN626" s="147"/>
      <c r="DO626" s="147"/>
      <c r="DP626" s="147"/>
      <c r="DQ626" s="147"/>
      <c r="DR626" s="147"/>
      <c r="DS626" s="147"/>
      <c r="DT626" s="147"/>
      <c r="DU626" s="147"/>
      <c r="DV626" s="147"/>
      <c r="DW626" s="147"/>
      <c r="DX626" s="147"/>
      <c r="DY626" s="147"/>
      <c r="DZ626" s="147"/>
      <c r="EA626" s="147"/>
      <c r="EB626" s="147"/>
      <c r="EC626" s="147"/>
      <c r="ED626" s="147"/>
      <c r="EE626" s="147"/>
      <c r="EF626" s="147"/>
      <c r="EG626" s="147"/>
      <c r="EH626" s="147"/>
    </row>
    <row r="627" spans="1:138" x14ac:dyDescent="0.25">
      <c r="A627" s="147"/>
      <c r="B627" s="147"/>
      <c r="C627" s="160"/>
      <c r="D627" s="160"/>
      <c r="E627" s="169"/>
      <c r="F627" s="229"/>
      <c r="G627" s="165"/>
      <c r="H627" s="165"/>
      <c r="I627" s="163"/>
      <c r="J627" s="163"/>
      <c r="K627" s="162"/>
      <c r="L627" s="162"/>
      <c r="M627" s="162"/>
      <c r="N627" s="230"/>
      <c r="O627" s="230"/>
      <c r="P627" s="162"/>
      <c r="Q627" s="162"/>
      <c r="R627" s="162"/>
      <c r="S627" s="162"/>
      <c r="T627" s="162"/>
      <c r="U627" s="230"/>
      <c r="V627" s="230"/>
      <c r="W627" s="162"/>
      <c r="X627" s="162"/>
      <c r="Y627" s="162"/>
      <c r="Z627" s="162"/>
      <c r="AA627" s="162"/>
      <c r="AB627" s="230"/>
      <c r="AC627" s="230"/>
      <c r="AD627" s="162"/>
      <c r="AE627" s="162"/>
      <c r="AF627" s="162"/>
      <c r="AG627" s="162"/>
      <c r="AH627" s="162"/>
      <c r="AI627" s="230"/>
      <c r="AJ627" s="230"/>
      <c r="AK627" s="162"/>
      <c r="AL627" s="162"/>
      <c r="AM627" s="162"/>
      <c r="AN627" s="162"/>
      <c r="AO627" s="162"/>
      <c r="AP627" s="230"/>
      <c r="AQ627" s="230"/>
      <c r="AR627" s="162"/>
      <c r="AS627" s="162"/>
      <c r="AT627" s="162"/>
      <c r="AU627" s="162"/>
      <c r="AV627" s="162"/>
      <c r="AW627" s="230"/>
      <c r="AX627" s="230"/>
      <c r="AY627" s="162"/>
      <c r="AZ627" s="162"/>
      <c r="BA627" s="162"/>
      <c r="BB627" s="162"/>
      <c r="BC627" s="162"/>
      <c r="BD627" s="230"/>
      <c r="BE627" s="230"/>
      <c r="BF627" s="162"/>
      <c r="BG627" s="162"/>
      <c r="BH627" s="162"/>
      <c r="BI627" s="162"/>
      <c r="BJ627" s="162"/>
      <c r="BK627" s="230"/>
      <c r="BL627" s="230"/>
      <c r="BM627" s="162"/>
      <c r="BN627" s="162"/>
      <c r="BO627" s="162"/>
      <c r="BP627" s="162"/>
      <c r="BQ627" s="162"/>
      <c r="BR627" s="230"/>
      <c r="BS627" s="230"/>
      <c r="BT627" s="162"/>
      <c r="BU627" s="162"/>
      <c r="BV627" s="162"/>
      <c r="BW627" s="162"/>
      <c r="BX627" s="162"/>
      <c r="BY627" s="230"/>
      <c r="BZ627" s="230"/>
      <c r="CA627" s="162"/>
      <c r="CB627" s="162"/>
      <c r="CC627" s="162"/>
      <c r="CD627" s="162"/>
      <c r="CE627" s="162"/>
      <c r="CF627" s="230"/>
      <c r="CG627" s="230"/>
      <c r="CH627" s="162"/>
      <c r="CI627" s="162"/>
      <c r="CJ627" s="162"/>
      <c r="CK627" s="162"/>
      <c r="CL627" s="162"/>
      <c r="CM627" s="230"/>
      <c r="CN627" s="230"/>
      <c r="CO627" s="162"/>
      <c r="CP627" s="162"/>
      <c r="CQ627" s="162"/>
      <c r="CR627" s="162"/>
      <c r="CS627" s="162"/>
      <c r="CT627" s="230"/>
      <c r="CU627" s="230"/>
      <c r="CV627" s="162"/>
      <c r="CW627" s="162"/>
      <c r="CX627" s="162"/>
      <c r="CY627" s="162"/>
      <c r="CZ627" s="162"/>
      <c r="DA627" s="230"/>
      <c r="DB627" s="230"/>
      <c r="DC627" s="162"/>
      <c r="DD627" s="162"/>
      <c r="DE627" s="162"/>
      <c r="DF627" s="162"/>
      <c r="DG627" s="162"/>
      <c r="DH627" s="230"/>
      <c r="DI627" s="230"/>
      <c r="DJ627" s="162"/>
      <c r="DK627" s="162"/>
      <c r="DL627" s="147"/>
      <c r="DM627" s="147"/>
      <c r="DN627" s="147"/>
      <c r="DO627" s="147"/>
      <c r="DP627" s="147"/>
      <c r="DQ627" s="147"/>
      <c r="DR627" s="147"/>
      <c r="DS627" s="147"/>
      <c r="DT627" s="147"/>
      <c r="DU627" s="147"/>
      <c r="DV627" s="147"/>
      <c r="DW627" s="147"/>
      <c r="DX627" s="147"/>
      <c r="DY627" s="147"/>
      <c r="DZ627" s="147"/>
      <c r="EA627" s="147"/>
      <c r="EB627" s="147"/>
      <c r="EC627" s="147"/>
      <c r="ED627" s="147"/>
      <c r="EE627" s="147"/>
      <c r="EF627" s="147"/>
      <c r="EG627" s="147"/>
      <c r="EH627" s="147"/>
    </row>
    <row r="628" spans="1:138" x14ac:dyDescent="0.25">
      <c r="A628" s="147"/>
      <c r="B628" s="147"/>
      <c r="C628" s="160"/>
      <c r="D628" s="160"/>
      <c r="E628" s="169"/>
      <c r="F628" s="229"/>
      <c r="G628" s="165"/>
      <c r="H628" s="165"/>
      <c r="I628" s="163"/>
      <c r="J628" s="163"/>
      <c r="K628" s="162"/>
      <c r="L628" s="162"/>
      <c r="M628" s="162"/>
      <c r="N628" s="230"/>
      <c r="O628" s="230"/>
      <c r="P628" s="162"/>
      <c r="Q628" s="162"/>
      <c r="R628" s="162"/>
      <c r="S628" s="162"/>
      <c r="T628" s="162"/>
      <c r="U628" s="230"/>
      <c r="V628" s="230"/>
      <c r="W628" s="162"/>
      <c r="X628" s="162"/>
      <c r="Y628" s="162"/>
      <c r="Z628" s="162"/>
      <c r="AA628" s="162"/>
      <c r="AB628" s="230"/>
      <c r="AC628" s="230"/>
      <c r="AD628" s="162"/>
      <c r="AE628" s="162"/>
      <c r="AF628" s="162"/>
      <c r="AG628" s="162"/>
      <c r="AH628" s="162"/>
      <c r="AI628" s="230"/>
      <c r="AJ628" s="230"/>
      <c r="AK628" s="162"/>
      <c r="AL628" s="162"/>
      <c r="AM628" s="162"/>
      <c r="AN628" s="162"/>
      <c r="AO628" s="162"/>
      <c r="AP628" s="230"/>
      <c r="AQ628" s="230"/>
      <c r="AR628" s="162"/>
      <c r="AS628" s="162"/>
      <c r="AT628" s="162"/>
      <c r="AU628" s="162"/>
      <c r="AV628" s="162"/>
      <c r="AW628" s="230"/>
      <c r="AX628" s="230"/>
      <c r="AY628" s="162"/>
      <c r="AZ628" s="162"/>
      <c r="BA628" s="162"/>
      <c r="BB628" s="162"/>
      <c r="BC628" s="162"/>
      <c r="BD628" s="230"/>
      <c r="BE628" s="230"/>
      <c r="BF628" s="162"/>
      <c r="BG628" s="162"/>
      <c r="BH628" s="162"/>
      <c r="BI628" s="162"/>
      <c r="BJ628" s="162"/>
      <c r="BK628" s="230"/>
      <c r="BL628" s="230"/>
      <c r="BM628" s="162"/>
      <c r="BN628" s="162"/>
      <c r="BO628" s="162"/>
      <c r="BP628" s="162"/>
      <c r="BQ628" s="162"/>
      <c r="BR628" s="230"/>
      <c r="BS628" s="230"/>
      <c r="BT628" s="162"/>
      <c r="BU628" s="162"/>
      <c r="BV628" s="162"/>
      <c r="BW628" s="162"/>
      <c r="BX628" s="162"/>
      <c r="BY628" s="230"/>
      <c r="BZ628" s="230"/>
      <c r="CA628" s="162"/>
      <c r="CB628" s="162"/>
      <c r="CC628" s="162"/>
      <c r="CD628" s="162"/>
      <c r="CE628" s="162"/>
      <c r="CF628" s="230"/>
      <c r="CG628" s="230"/>
      <c r="CH628" s="162"/>
      <c r="CI628" s="162"/>
      <c r="CJ628" s="162"/>
      <c r="CK628" s="162"/>
      <c r="CL628" s="162"/>
      <c r="CM628" s="230"/>
      <c r="CN628" s="230"/>
      <c r="CO628" s="162"/>
      <c r="CP628" s="162"/>
      <c r="CQ628" s="162"/>
      <c r="CR628" s="162"/>
      <c r="CS628" s="162"/>
      <c r="CT628" s="230"/>
      <c r="CU628" s="230"/>
      <c r="CV628" s="162"/>
      <c r="CW628" s="162"/>
      <c r="CX628" s="162"/>
      <c r="CY628" s="162"/>
      <c r="CZ628" s="162"/>
      <c r="DA628" s="230"/>
      <c r="DB628" s="230"/>
      <c r="DC628" s="162"/>
      <c r="DD628" s="162"/>
      <c r="DE628" s="162"/>
      <c r="DF628" s="162"/>
      <c r="DG628" s="162"/>
      <c r="DH628" s="230"/>
      <c r="DI628" s="230"/>
      <c r="DJ628" s="162"/>
      <c r="DK628" s="162"/>
      <c r="DL628" s="147"/>
      <c r="DM628" s="147"/>
      <c r="DN628" s="147"/>
      <c r="DO628" s="147"/>
      <c r="DP628" s="147"/>
      <c r="DQ628" s="147"/>
      <c r="DR628" s="147"/>
      <c r="DS628" s="147"/>
      <c r="DT628" s="147"/>
      <c r="DU628" s="147"/>
      <c r="DV628" s="147"/>
      <c r="DW628" s="147"/>
      <c r="DX628" s="147"/>
      <c r="DY628" s="147"/>
      <c r="DZ628" s="147"/>
      <c r="EA628" s="147"/>
      <c r="EB628" s="147"/>
      <c r="EC628" s="147"/>
      <c r="ED628" s="147"/>
      <c r="EE628" s="147"/>
      <c r="EF628" s="147"/>
      <c r="EG628" s="147"/>
      <c r="EH628" s="147"/>
    </row>
    <row r="629" spans="1:138" x14ac:dyDescent="0.25">
      <c r="A629" s="147"/>
      <c r="B629" s="147"/>
      <c r="C629" s="160"/>
      <c r="D629" s="160"/>
      <c r="E629" s="169"/>
      <c r="F629" s="229"/>
      <c r="G629" s="165"/>
      <c r="H629" s="165"/>
      <c r="I629" s="163"/>
      <c r="J629" s="163"/>
      <c r="K629" s="162"/>
      <c r="L629" s="162"/>
      <c r="M629" s="162"/>
      <c r="N629" s="230"/>
      <c r="O629" s="230"/>
      <c r="P629" s="162"/>
      <c r="Q629" s="162"/>
      <c r="R629" s="162"/>
      <c r="S629" s="162"/>
      <c r="T629" s="162"/>
      <c r="U629" s="230"/>
      <c r="V629" s="230"/>
      <c r="W629" s="162"/>
      <c r="X629" s="162"/>
      <c r="Y629" s="162"/>
      <c r="Z629" s="162"/>
      <c r="AA629" s="162"/>
      <c r="AB629" s="230"/>
      <c r="AC629" s="230"/>
      <c r="AD629" s="162"/>
      <c r="AE629" s="162"/>
      <c r="AF629" s="162"/>
      <c r="AG629" s="162"/>
      <c r="AH629" s="162"/>
      <c r="AI629" s="230"/>
      <c r="AJ629" s="230"/>
      <c r="AK629" s="162"/>
      <c r="AL629" s="162"/>
      <c r="AM629" s="162"/>
      <c r="AN629" s="162"/>
      <c r="AO629" s="162"/>
      <c r="AP629" s="230"/>
      <c r="AQ629" s="230"/>
      <c r="AR629" s="162"/>
      <c r="AS629" s="162"/>
      <c r="AT629" s="162"/>
      <c r="AU629" s="162"/>
      <c r="AV629" s="162"/>
      <c r="AW629" s="230"/>
      <c r="AX629" s="230"/>
      <c r="AY629" s="162"/>
      <c r="AZ629" s="162"/>
      <c r="BA629" s="162"/>
      <c r="BB629" s="162"/>
      <c r="BC629" s="162"/>
      <c r="BD629" s="230"/>
      <c r="BE629" s="230"/>
      <c r="BF629" s="162"/>
      <c r="BG629" s="162"/>
      <c r="BH629" s="162"/>
      <c r="BI629" s="162"/>
      <c r="BJ629" s="162"/>
      <c r="BK629" s="230"/>
      <c r="BL629" s="230"/>
      <c r="BM629" s="162"/>
      <c r="BN629" s="162"/>
      <c r="BO629" s="162"/>
      <c r="BP629" s="162"/>
      <c r="BQ629" s="162"/>
      <c r="BR629" s="230"/>
      <c r="BS629" s="230"/>
      <c r="BT629" s="162"/>
      <c r="BU629" s="162"/>
      <c r="BV629" s="162"/>
      <c r="BW629" s="162"/>
      <c r="BX629" s="162"/>
      <c r="BY629" s="230"/>
      <c r="BZ629" s="230"/>
      <c r="CA629" s="162"/>
      <c r="CB629" s="162"/>
      <c r="CC629" s="162"/>
      <c r="CD629" s="162"/>
      <c r="CE629" s="162"/>
      <c r="CF629" s="230"/>
      <c r="CG629" s="230"/>
      <c r="CH629" s="162"/>
      <c r="CI629" s="162"/>
      <c r="CJ629" s="162"/>
      <c r="CK629" s="162"/>
      <c r="CL629" s="162"/>
      <c r="CM629" s="230"/>
      <c r="CN629" s="230"/>
      <c r="CO629" s="162"/>
      <c r="CP629" s="162"/>
      <c r="CQ629" s="162"/>
      <c r="CR629" s="162"/>
      <c r="CS629" s="162"/>
      <c r="CT629" s="230"/>
      <c r="CU629" s="230"/>
      <c r="CV629" s="162"/>
      <c r="CW629" s="162"/>
      <c r="CX629" s="162"/>
      <c r="CY629" s="162"/>
      <c r="CZ629" s="162"/>
      <c r="DA629" s="230"/>
      <c r="DB629" s="230"/>
      <c r="DC629" s="162"/>
      <c r="DD629" s="162"/>
      <c r="DE629" s="162"/>
      <c r="DF629" s="162"/>
      <c r="DG629" s="162"/>
      <c r="DH629" s="230"/>
      <c r="DI629" s="230"/>
      <c r="DJ629" s="162"/>
      <c r="DK629" s="162"/>
      <c r="DL629" s="147"/>
      <c r="DM629" s="147"/>
      <c r="DN629" s="147"/>
      <c r="DO629" s="147"/>
      <c r="DP629" s="147"/>
      <c r="DQ629" s="147"/>
      <c r="DR629" s="147"/>
      <c r="DS629" s="147"/>
      <c r="DT629" s="147"/>
      <c r="DU629" s="147"/>
      <c r="DV629" s="147"/>
      <c r="DW629" s="147"/>
      <c r="DX629" s="147"/>
      <c r="DY629" s="147"/>
      <c r="DZ629" s="147"/>
      <c r="EA629" s="147"/>
      <c r="EB629" s="147"/>
      <c r="EC629" s="147"/>
      <c r="ED629" s="147"/>
      <c r="EE629" s="147"/>
      <c r="EF629" s="147"/>
      <c r="EG629" s="147"/>
      <c r="EH629" s="147"/>
    </row>
    <row r="630" spans="1:138" x14ac:dyDescent="0.25">
      <c r="A630" s="147"/>
      <c r="B630" s="147"/>
      <c r="C630" s="160"/>
      <c r="D630" s="160"/>
      <c r="E630" s="169"/>
      <c r="F630" s="229"/>
      <c r="G630" s="165"/>
      <c r="H630" s="165"/>
      <c r="I630" s="163"/>
      <c r="J630" s="163"/>
      <c r="K630" s="162"/>
      <c r="L630" s="162"/>
      <c r="M630" s="162"/>
      <c r="N630" s="230"/>
      <c r="O630" s="230"/>
      <c r="P630" s="162"/>
      <c r="Q630" s="162"/>
      <c r="R630" s="162"/>
      <c r="S630" s="162"/>
      <c r="T630" s="162"/>
      <c r="U630" s="230"/>
      <c r="V630" s="230"/>
      <c r="W630" s="162"/>
      <c r="X630" s="162"/>
      <c r="Y630" s="162"/>
      <c r="Z630" s="162"/>
      <c r="AA630" s="162"/>
      <c r="AB630" s="230"/>
      <c r="AC630" s="230"/>
      <c r="AD630" s="162"/>
      <c r="AE630" s="162"/>
      <c r="AF630" s="162"/>
      <c r="AG630" s="162"/>
      <c r="AH630" s="162"/>
      <c r="AI630" s="230"/>
      <c r="AJ630" s="230"/>
      <c r="AK630" s="162"/>
      <c r="AL630" s="162"/>
      <c r="AM630" s="162"/>
      <c r="AN630" s="162"/>
      <c r="AO630" s="162"/>
      <c r="AP630" s="230"/>
      <c r="AQ630" s="230"/>
      <c r="AR630" s="162"/>
      <c r="AS630" s="162"/>
      <c r="AT630" s="162"/>
      <c r="AU630" s="162"/>
      <c r="AV630" s="162"/>
      <c r="AW630" s="230"/>
      <c r="AX630" s="230"/>
      <c r="AY630" s="162"/>
      <c r="AZ630" s="162"/>
      <c r="BA630" s="162"/>
      <c r="BB630" s="162"/>
      <c r="BC630" s="162"/>
      <c r="BD630" s="230"/>
      <c r="BE630" s="230"/>
      <c r="BF630" s="162"/>
      <c r="BG630" s="162"/>
      <c r="BH630" s="162"/>
      <c r="BI630" s="162"/>
      <c r="BJ630" s="162"/>
      <c r="BK630" s="230"/>
      <c r="BL630" s="230"/>
      <c r="BM630" s="162"/>
      <c r="BN630" s="162"/>
      <c r="BO630" s="162"/>
      <c r="BP630" s="162"/>
      <c r="BQ630" s="162"/>
      <c r="BR630" s="230"/>
      <c r="BS630" s="230"/>
      <c r="BT630" s="162"/>
      <c r="BU630" s="162"/>
      <c r="BV630" s="162"/>
      <c r="BW630" s="162"/>
      <c r="BX630" s="162"/>
      <c r="BY630" s="230"/>
      <c r="BZ630" s="230"/>
      <c r="CA630" s="162"/>
      <c r="CB630" s="162"/>
      <c r="CC630" s="162"/>
      <c r="CD630" s="162"/>
      <c r="CE630" s="162"/>
      <c r="CF630" s="230"/>
      <c r="CG630" s="230"/>
      <c r="CH630" s="162"/>
      <c r="CI630" s="162"/>
      <c r="CJ630" s="162"/>
      <c r="CK630" s="162"/>
      <c r="CL630" s="162"/>
      <c r="CM630" s="230"/>
      <c r="CN630" s="230"/>
      <c r="CO630" s="162"/>
      <c r="CP630" s="162"/>
      <c r="CQ630" s="162"/>
      <c r="CR630" s="162"/>
      <c r="CS630" s="162"/>
      <c r="CT630" s="230"/>
      <c r="CU630" s="230"/>
      <c r="CV630" s="162"/>
      <c r="CW630" s="162"/>
      <c r="CX630" s="162"/>
      <c r="CY630" s="162"/>
      <c r="CZ630" s="162"/>
      <c r="DA630" s="230"/>
      <c r="DB630" s="230"/>
      <c r="DC630" s="162"/>
      <c r="DD630" s="162"/>
      <c r="DE630" s="162"/>
      <c r="DF630" s="162"/>
      <c r="DG630" s="162"/>
      <c r="DH630" s="230"/>
      <c r="DI630" s="230"/>
      <c r="DJ630" s="162"/>
      <c r="DK630" s="162"/>
      <c r="DL630" s="147"/>
      <c r="DM630" s="147"/>
      <c r="DN630" s="147"/>
      <c r="DO630" s="147"/>
      <c r="DP630" s="147"/>
      <c r="DQ630" s="147"/>
      <c r="DR630" s="147"/>
      <c r="DS630" s="147"/>
      <c r="DT630" s="147"/>
      <c r="DU630" s="147"/>
      <c r="DV630" s="147"/>
      <c r="DW630" s="147"/>
      <c r="DX630" s="147"/>
      <c r="DY630" s="147"/>
      <c r="DZ630" s="147"/>
      <c r="EA630" s="147"/>
      <c r="EB630" s="147"/>
      <c r="EC630" s="147"/>
      <c r="ED630" s="147"/>
      <c r="EE630" s="147"/>
      <c r="EF630" s="147"/>
      <c r="EG630" s="147"/>
      <c r="EH630" s="147"/>
    </row>
    <row r="631" spans="1:138" x14ac:dyDescent="0.25">
      <c r="A631" s="147"/>
      <c r="B631" s="147"/>
      <c r="C631" s="160"/>
      <c r="D631" s="160"/>
      <c r="E631" s="169"/>
      <c r="F631" s="229"/>
      <c r="G631" s="165"/>
      <c r="H631" s="165"/>
      <c r="I631" s="163"/>
      <c r="J631" s="163"/>
      <c r="K631" s="162"/>
      <c r="L631" s="162"/>
      <c r="M631" s="162"/>
      <c r="N631" s="230"/>
      <c r="O631" s="230"/>
      <c r="P631" s="162"/>
      <c r="Q631" s="162"/>
      <c r="R631" s="162"/>
      <c r="S631" s="162"/>
      <c r="T631" s="162"/>
      <c r="U631" s="230"/>
      <c r="V631" s="230"/>
      <c r="W631" s="162"/>
      <c r="X631" s="162"/>
      <c r="Y631" s="162"/>
      <c r="Z631" s="162"/>
      <c r="AA631" s="162"/>
      <c r="AB631" s="230"/>
      <c r="AC631" s="230"/>
      <c r="AD631" s="162"/>
      <c r="AE631" s="162"/>
      <c r="AF631" s="162"/>
      <c r="AG631" s="162"/>
      <c r="AH631" s="162"/>
      <c r="AI631" s="230"/>
      <c r="AJ631" s="230"/>
      <c r="AK631" s="162"/>
      <c r="AL631" s="162"/>
      <c r="AM631" s="162"/>
      <c r="AN631" s="162"/>
      <c r="AO631" s="162"/>
      <c r="AP631" s="230"/>
      <c r="AQ631" s="230"/>
      <c r="AR631" s="162"/>
      <c r="AS631" s="162"/>
      <c r="AT631" s="162"/>
      <c r="AU631" s="162"/>
      <c r="AV631" s="162"/>
      <c r="AW631" s="230"/>
      <c r="AX631" s="230"/>
      <c r="AY631" s="162"/>
      <c r="AZ631" s="162"/>
      <c r="BA631" s="162"/>
      <c r="BB631" s="162"/>
      <c r="BC631" s="162"/>
      <c r="BD631" s="230"/>
      <c r="BE631" s="230"/>
      <c r="BF631" s="162"/>
      <c r="BG631" s="162"/>
      <c r="BH631" s="162"/>
      <c r="BI631" s="162"/>
      <c r="BJ631" s="162"/>
      <c r="BK631" s="230"/>
      <c r="BL631" s="230"/>
      <c r="BM631" s="162"/>
      <c r="BN631" s="162"/>
      <c r="BO631" s="162"/>
      <c r="BP631" s="162"/>
      <c r="BQ631" s="162"/>
      <c r="BR631" s="230"/>
      <c r="BS631" s="230"/>
      <c r="BT631" s="162"/>
      <c r="BU631" s="162"/>
      <c r="BV631" s="162"/>
      <c r="BW631" s="162"/>
      <c r="BX631" s="162"/>
      <c r="BY631" s="230"/>
      <c r="BZ631" s="230"/>
      <c r="CA631" s="162"/>
      <c r="CB631" s="162"/>
      <c r="CC631" s="162"/>
      <c r="CD631" s="162"/>
      <c r="CE631" s="162"/>
      <c r="CF631" s="230"/>
      <c r="CG631" s="230"/>
      <c r="CH631" s="162"/>
      <c r="CI631" s="162"/>
      <c r="CJ631" s="162"/>
      <c r="CK631" s="162"/>
      <c r="CL631" s="162"/>
      <c r="CM631" s="230"/>
      <c r="CN631" s="230"/>
      <c r="CO631" s="162"/>
      <c r="CP631" s="162"/>
      <c r="CQ631" s="162"/>
      <c r="CR631" s="162"/>
      <c r="CS631" s="162"/>
      <c r="CT631" s="230"/>
      <c r="CU631" s="230"/>
      <c r="CV631" s="162"/>
      <c r="CW631" s="162"/>
      <c r="CX631" s="162"/>
      <c r="CY631" s="162"/>
      <c r="CZ631" s="162"/>
      <c r="DA631" s="230"/>
      <c r="DB631" s="230"/>
      <c r="DC631" s="162"/>
      <c r="DD631" s="162"/>
      <c r="DE631" s="162"/>
      <c r="DF631" s="162"/>
      <c r="DG631" s="162"/>
      <c r="DH631" s="230"/>
      <c r="DI631" s="230"/>
      <c r="DJ631" s="162"/>
      <c r="DK631" s="162"/>
      <c r="DL631" s="147"/>
      <c r="DM631" s="147"/>
      <c r="DN631" s="147"/>
      <c r="DO631" s="147"/>
      <c r="DP631" s="147"/>
      <c r="DQ631" s="147"/>
      <c r="DR631" s="147"/>
      <c r="DS631" s="147"/>
      <c r="DT631" s="147"/>
      <c r="DU631" s="147"/>
      <c r="DV631" s="147"/>
      <c r="DW631" s="147"/>
      <c r="DX631" s="147"/>
      <c r="DY631" s="147"/>
      <c r="DZ631" s="147"/>
      <c r="EA631" s="147"/>
      <c r="EB631" s="147"/>
      <c r="EC631" s="147"/>
      <c r="ED631" s="147"/>
      <c r="EE631" s="147"/>
      <c r="EF631" s="147"/>
      <c r="EG631" s="147"/>
      <c r="EH631" s="147"/>
    </row>
    <row r="632" spans="1:138" x14ac:dyDescent="0.25">
      <c r="A632" s="147"/>
      <c r="B632" s="147"/>
      <c r="C632" s="160"/>
      <c r="D632" s="160"/>
      <c r="E632" s="169"/>
      <c r="F632" s="229"/>
      <c r="G632" s="165"/>
      <c r="H632" s="165"/>
      <c r="I632" s="163"/>
      <c r="J632" s="163"/>
      <c r="K632" s="162"/>
      <c r="L632" s="162"/>
      <c r="M632" s="162"/>
      <c r="N632" s="230"/>
      <c r="O632" s="230"/>
      <c r="P632" s="162"/>
      <c r="Q632" s="162"/>
      <c r="R632" s="162"/>
      <c r="S632" s="162"/>
      <c r="T632" s="162"/>
      <c r="U632" s="230"/>
      <c r="V632" s="230"/>
      <c r="W632" s="162"/>
      <c r="X632" s="162"/>
      <c r="Y632" s="162"/>
      <c r="Z632" s="162"/>
      <c r="AA632" s="162"/>
      <c r="AB632" s="230"/>
      <c r="AC632" s="230"/>
      <c r="AD632" s="162"/>
      <c r="AE632" s="162"/>
      <c r="AF632" s="162"/>
      <c r="AG632" s="162"/>
      <c r="AH632" s="162"/>
      <c r="AI632" s="230"/>
      <c r="AJ632" s="230"/>
      <c r="AK632" s="162"/>
      <c r="AL632" s="162"/>
      <c r="AM632" s="162"/>
      <c r="AN632" s="162"/>
      <c r="AO632" s="162"/>
      <c r="AP632" s="230"/>
      <c r="AQ632" s="230"/>
      <c r="AR632" s="162"/>
      <c r="AS632" s="162"/>
      <c r="AT632" s="162"/>
      <c r="AU632" s="162"/>
      <c r="AV632" s="162"/>
      <c r="AW632" s="230"/>
      <c r="AX632" s="230"/>
      <c r="AY632" s="162"/>
      <c r="AZ632" s="162"/>
      <c r="BA632" s="162"/>
      <c r="BB632" s="162"/>
      <c r="BC632" s="162"/>
      <c r="BD632" s="230"/>
      <c r="BE632" s="230"/>
      <c r="BF632" s="162"/>
      <c r="BG632" s="162"/>
      <c r="BH632" s="162"/>
      <c r="BI632" s="162"/>
      <c r="BJ632" s="162"/>
      <c r="BK632" s="230"/>
      <c r="BL632" s="230"/>
      <c r="BM632" s="162"/>
      <c r="BN632" s="162"/>
      <c r="BO632" s="162"/>
      <c r="BP632" s="162"/>
      <c r="BQ632" s="162"/>
      <c r="BR632" s="230"/>
      <c r="BS632" s="230"/>
      <c r="BT632" s="162"/>
      <c r="BU632" s="162"/>
      <c r="BV632" s="162"/>
      <c r="BW632" s="162"/>
      <c r="BX632" s="162"/>
      <c r="BY632" s="230"/>
      <c r="BZ632" s="230"/>
      <c r="CA632" s="162"/>
      <c r="CB632" s="162"/>
      <c r="CC632" s="162"/>
      <c r="CD632" s="162"/>
      <c r="CE632" s="162"/>
      <c r="CF632" s="230"/>
      <c r="CG632" s="230"/>
      <c r="CH632" s="162"/>
      <c r="CI632" s="162"/>
      <c r="CJ632" s="162"/>
      <c r="CK632" s="162"/>
      <c r="CL632" s="162"/>
      <c r="CM632" s="230"/>
      <c r="CN632" s="230"/>
      <c r="CO632" s="162"/>
      <c r="CP632" s="162"/>
      <c r="CQ632" s="162"/>
      <c r="CR632" s="162"/>
      <c r="CS632" s="162"/>
      <c r="CT632" s="230"/>
      <c r="CU632" s="230"/>
      <c r="CV632" s="162"/>
      <c r="CW632" s="162"/>
      <c r="CX632" s="162"/>
      <c r="CY632" s="162"/>
      <c r="CZ632" s="162"/>
      <c r="DA632" s="230"/>
      <c r="DB632" s="230"/>
      <c r="DC632" s="162"/>
      <c r="DD632" s="162"/>
      <c r="DE632" s="162"/>
      <c r="DF632" s="162"/>
      <c r="DG632" s="162"/>
      <c r="DH632" s="230"/>
      <c r="DI632" s="230"/>
      <c r="DJ632" s="162"/>
      <c r="DK632" s="162"/>
      <c r="DL632" s="147"/>
      <c r="DM632" s="147"/>
      <c r="DN632" s="147"/>
      <c r="DO632" s="147"/>
      <c r="DP632" s="147"/>
      <c r="DQ632" s="147"/>
      <c r="DR632" s="147"/>
      <c r="DS632" s="147"/>
      <c r="DT632" s="147"/>
      <c r="DU632" s="147"/>
      <c r="DV632" s="147"/>
      <c r="DW632" s="147"/>
      <c r="DX632" s="147"/>
      <c r="DY632" s="147"/>
      <c r="DZ632" s="147"/>
      <c r="EA632" s="147"/>
      <c r="EB632" s="147"/>
      <c r="EC632" s="147"/>
      <c r="ED632" s="147"/>
      <c r="EE632" s="147"/>
      <c r="EF632" s="147"/>
      <c r="EG632" s="147"/>
      <c r="EH632" s="147"/>
    </row>
    <row r="633" spans="1:138" x14ac:dyDescent="0.25">
      <c r="A633" s="147"/>
      <c r="B633" s="147"/>
      <c r="C633" s="160"/>
      <c r="D633" s="160"/>
      <c r="E633" s="169"/>
      <c r="F633" s="229"/>
      <c r="G633" s="165"/>
      <c r="H633" s="165"/>
      <c r="I633" s="163"/>
      <c r="J633" s="163"/>
      <c r="K633" s="162"/>
      <c r="L633" s="162"/>
      <c r="M633" s="162"/>
      <c r="N633" s="230"/>
      <c r="O633" s="230"/>
      <c r="P633" s="162"/>
      <c r="Q633" s="162"/>
      <c r="R633" s="162"/>
      <c r="S633" s="162"/>
      <c r="T633" s="162"/>
      <c r="U633" s="230"/>
      <c r="V633" s="230"/>
      <c r="W633" s="162"/>
      <c r="X633" s="162"/>
      <c r="Y633" s="162"/>
      <c r="Z633" s="162"/>
      <c r="AA633" s="162"/>
      <c r="AB633" s="230"/>
      <c r="AC633" s="230"/>
      <c r="AD633" s="162"/>
      <c r="AE633" s="162"/>
      <c r="AF633" s="162"/>
      <c r="AG633" s="162"/>
      <c r="AH633" s="162"/>
      <c r="AI633" s="230"/>
      <c r="AJ633" s="230"/>
      <c r="AK633" s="162"/>
      <c r="AL633" s="162"/>
      <c r="AM633" s="162"/>
      <c r="AN633" s="162"/>
      <c r="AO633" s="162"/>
      <c r="AP633" s="230"/>
      <c r="AQ633" s="230"/>
      <c r="AR633" s="162"/>
      <c r="AS633" s="162"/>
      <c r="AT633" s="162"/>
      <c r="AU633" s="162"/>
      <c r="AV633" s="162"/>
      <c r="AW633" s="230"/>
      <c r="AX633" s="230"/>
      <c r="AY633" s="162"/>
      <c r="AZ633" s="162"/>
      <c r="BA633" s="162"/>
      <c r="BB633" s="162"/>
      <c r="BC633" s="162"/>
      <c r="BD633" s="230"/>
      <c r="BE633" s="230"/>
      <c r="BF633" s="162"/>
      <c r="BG633" s="162"/>
      <c r="BH633" s="162"/>
      <c r="BI633" s="162"/>
      <c r="BJ633" s="162"/>
      <c r="BK633" s="230"/>
      <c r="BL633" s="230"/>
      <c r="BM633" s="162"/>
      <c r="BN633" s="162"/>
      <c r="BO633" s="162"/>
      <c r="BP633" s="162"/>
      <c r="BQ633" s="162"/>
      <c r="BR633" s="230"/>
      <c r="BS633" s="230"/>
      <c r="BT633" s="162"/>
      <c r="BU633" s="162"/>
      <c r="BV633" s="162"/>
      <c r="BW633" s="162"/>
      <c r="BX633" s="162"/>
      <c r="BY633" s="230"/>
      <c r="BZ633" s="230"/>
      <c r="CA633" s="162"/>
      <c r="CB633" s="162"/>
      <c r="CC633" s="162"/>
      <c r="CD633" s="162"/>
      <c r="CE633" s="162"/>
      <c r="CF633" s="230"/>
      <c r="CG633" s="230"/>
      <c r="CH633" s="162"/>
      <c r="CI633" s="162"/>
      <c r="CJ633" s="162"/>
      <c r="CK633" s="162"/>
      <c r="CL633" s="162"/>
      <c r="CM633" s="230"/>
      <c r="CN633" s="230"/>
      <c r="CO633" s="162"/>
      <c r="CP633" s="162"/>
      <c r="CQ633" s="162"/>
      <c r="CR633" s="162"/>
      <c r="CS633" s="162"/>
      <c r="CT633" s="230"/>
      <c r="CU633" s="230"/>
      <c r="CV633" s="162"/>
      <c r="CW633" s="162"/>
      <c r="CX633" s="162"/>
      <c r="CY633" s="162"/>
      <c r="CZ633" s="162"/>
      <c r="DA633" s="230"/>
      <c r="DB633" s="230"/>
      <c r="DC633" s="162"/>
      <c r="DD633" s="162"/>
      <c r="DE633" s="162"/>
      <c r="DF633" s="162"/>
      <c r="DG633" s="162"/>
      <c r="DH633" s="230"/>
      <c r="DI633" s="230"/>
      <c r="DJ633" s="162"/>
      <c r="DK633" s="162"/>
      <c r="DL633" s="147"/>
      <c r="DM633" s="147"/>
      <c r="DN633" s="147"/>
      <c r="DO633" s="147"/>
      <c r="DP633" s="147"/>
      <c r="DQ633" s="147"/>
      <c r="DR633" s="147"/>
      <c r="DS633" s="147"/>
      <c r="DT633" s="147"/>
      <c r="DU633" s="147"/>
      <c r="DV633" s="147"/>
      <c r="DW633" s="147"/>
      <c r="DX633" s="147"/>
      <c r="DY633" s="147"/>
      <c r="DZ633" s="147"/>
      <c r="EA633" s="147"/>
      <c r="EB633" s="147"/>
      <c r="EC633" s="147"/>
      <c r="ED633" s="147"/>
      <c r="EE633" s="147"/>
      <c r="EF633" s="147"/>
      <c r="EG633" s="147"/>
      <c r="EH633" s="147"/>
    </row>
    <row r="634" spans="1:138" x14ac:dyDescent="0.25">
      <c r="A634" s="147"/>
      <c r="B634" s="147"/>
      <c r="C634" s="160"/>
      <c r="D634" s="160"/>
      <c r="E634" s="169"/>
      <c r="F634" s="229"/>
      <c r="G634" s="165"/>
      <c r="H634" s="165"/>
      <c r="I634" s="163"/>
      <c r="J634" s="163"/>
      <c r="K634" s="162"/>
      <c r="L634" s="162"/>
      <c r="M634" s="162"/>
      <c r="N634" s="230"/>
      <c r="O634" s="230"/>
      <c r="P634" s="162"/>
      <c r="Q634" s="162"/>
      <c r="R634" s="162"/>
      <c r="S634" s="162"/>
      <c r="T634" s="162"/>
      <c r="U634" s="230"/>
      <c r="V634" s="230"/>
      <c r="W634" s="162"/>
      <c r="X634" s="162"/>
      <c r="Y634" s="162"/>
      <c r="Z634" s="162"/>
      <c r="AA634" s="162"/>
      <c r="AB634" s="230"/>
      <c r="AC634" s="230"/>
      <c r="AD634" s="162"/>
      <c r="AE634" s="162"/>
      <c r="AF634" s="162"/>
      <c r="AG634" s="162"/>
      <c r="AH634" s="162"/>
      <c r="AI634" s="230"/>
      <c r="AJ634" s="230"/>
      <c r="AK634" s="162"/>
      <c r="AL634" s="162"/>
      <c r="AM634" s="162"/>
      <c r="AN634" s="162"/>
      <c r="AO634" s="162"/>
      <c r="AP634" s="230"/>
      <c r="AQ634" s="230"/>
      <c r="AR634" s="162"/>
      <c r="AS634" s="162"/>
      <c r="AT634" s="162"/>
      <c r="AU634" s="162"/>
      <c r="AV634" s="162"/>
      <c r="AW634" s="230"/>
      <c r="AX634" s="230"/>
      <c r="AY634" s="162"/>
      <c r="AZ634" s="162"/>
      <c r="BA634" s="162"/>
      <c r="BB634" s="162"/>
      <c r="BC634" s="162"/>
      <c r="BD634" s="230"/>
      <c r="BE634" s="230"/>
      <c r="BF634" s="162"/>
      <c r="BG634" s="162"/>
      <c r="BH634" s="162"/>
      <c r="BI634" s="162"/>
      <c r="BJ634" s="162"/>
      <c r="BK634" s="230"/>
      <c r="BL634" s="230"/>
      <c r="BM634" s="162"/>
      <c r="BN634" s="162"/>
      <c r="BO634" s="162"/>
      <c r="BP634" s="162"/>
      <c r="BQ634" s="162"/>
      <c r="BR634" s="230"/>
      <c r="BS634" s="230"/>
      <c r="BT634" s="162"/>
      <c r="BU634" s="162"/>
      <c r="BV634" s="162"/>
      <c r="BW634" s="162"/>
      <c r="BX634" s="162"/>
      <c r="BY634" s="230"/>
      <c r="BZ634" s="230"/>
      <c r="CA634" s="162"/>
      <c r="CB634" s="162"/>
      <c r="CC634" s="162"/>
      <c r="CD634" s="162"/>
      <c r="CE634" s="162"/>
      <c r="CF634" s="230"/>
      <c r="CG634" s="230"/>
      <c r="CH634" s="162"/>
      <c r="CI634" s="162"/>
      <c r="CJ634" s="162"/>
      <c r="CK634" s="162"/>
      <c r="CL634" s="162"/>
      <c r="CM634" s="230"/>
      <c r="CN634" s="230"/>
      <c r="CO634" s="162"/>
      <c r="CP634" s="162"/>
      <c r="CQ634" s="162"/>
      <c r="CR634" s="162"/>
      <c r="CS634" s="162"/>
      <c r="CT634" s="230"/>
      <c r="CU634" s="230"/>
      <c r="CV634" s="162"/>
      <c r="CW634" s="162"/>
      <c r="CX634" s="162"/>
      <c r="CY634" s="162"/>
      <c r="CZ634" s="162"/>
      <c r="DA634" s="230"/>
      <c r="DB634" s="230"/>
      <c r="DC634" s="162"/>
      <c r="DD634" s="162"/>
      <c r="DE634" s="162"/>
      <c r="DF634" s="162"/>
      <c r="DG634" s="162"/>
      <c r="DH634" s="230"/>
      <c r="DI634" s="230"/>
      <c r="DJ634" s="162"/>
      <c r="DK634" s="162"/>
      <c r="DL634" s="147"/>
      <c r="DM634" s="147"/>
      <c r="DN634" s="147"/>
      <c r="DO634" s="147"/>
      <c r="DP634" s="147"/>
      <c r="DQ634" s="147"/>
      <c r="DR634" s="147"/>
      <c r="DS634" s="147"/>
      <c r="DT634" s="147"/>
      <c r="DU634" s="147"/>
      <c r="DV634" s="147"/>
      <c r="DW634" s="147"/>
      <c r="DX634" s="147"/>
      <c r="DY634" s="147"/>
      <c r="DZ634" s="147"/>
      <c r="EA634" s="147"/>
      <c r="EB634" s="147"/>
      <c r="EC634" s="147"/>
      <c r="ED634" s="147"/>
      <c r="EE634" s="147"/>
      <c r="EF634" s="147"/>
      <c r="EG634" s="147"/>
      <c r="EH634" s="147"/>
    </row>
    <row r="635" spans="1:138" x14ac:dyDescent="0.25">
      <c r="A635" s="147"/>
      <c r="B635" s="147"/>
      <c r="C635" s="160"/>
      <c r="D635" s="160"/>
      <c r="E635" s="169"/>
      <c r="F635" s="229"/>
      <c r="G635" s="165"/>
      <c r="H635" s="165"/>
      <c r="I635" s="163"/>
      <c r="J635" s="163"/>
      <c r="K635" s="162"/>
      <c r="L635" s="162"/>
      <c r="M635" s="162"/>
      <c r="N635" s="230"/>
      <c r="O635" s="230"/>
      <c r="P635" s="162"/>
      <c r="Q635" s="162"/>
      <c r="R635" s="162"/>
      <c r="S635" s="162"/>
      <c r="T635" s="162"/>
      <c r="U635" s="230"/>
      <c r="V635" s="230"/>
      <c r="W635" s="162"/>
      <c r="X635" s="162"/>
      <c r="Y635" s="162"/>
      <c r="Z635" s="162"/>
      <c r="AA635" s="162"/>
      <c r="AB635" s="230"/>
      <c r="AC635" s="230"/>
      <c r="AD635" s="162"/>
      <c r="AE635" s="162"/>
      <c r="AF635" s="162"/>
      <c r="AG635" s="162"/>
      <c r="AH635" s="162"/>
      <c r="AI635" s="230"/>
      <c r="AJ635" s="230"/>
      <c r="AK635" s="162"/>
      <c r="AL635" s="162"/>
      <c r="AM635" s="162"/>
      <c r="AN635" s="162"/>
      <c r="AO635" s="162"/>
      <c r="AP635" s="230"/>
      <c r="AQ635" s="230"/>
      <c r="AR635" s="162"/>
      <c r="AS635" s="162"/>
      <c r="AT635" s="162"/>
      <c r="AU635" s="162"/>
      <c r="AV635" s="162"/>
      <c r="AW635" s="230"/>
      <c r="AX635" s="230"/>
      <c r="AY635" s="162"/>
      <c r="AZ635" s="162"/>
      <c r="BA635" s="162"/>
      <c r="BB635" s="162"/>
      <c r="BC635" s="162"/>
      <c r="BD635" s="230"/>
      <c r="BE635" s="230"/>
      <c r="BF635" s="162"/>
      <c r="BG635" s="162"/>
      <c r="BH635" s="162"/>
      <c r="BI635" s="162"/>
      <c r="BJ635" s="162"/>
      <c r="BK635" s="230"/>
      <c r="BL635" s="230"/>
      <c r="BM635" s="162"/>
      <c r="BN635" s="162"/>
      <c r="BO635" s="162"/>
      <c r="BP635" s="162"/>
      <c r="BQ635" s="162"/>
      <c r="BR635" s="230"/>
      <c r="BS635" s="230"/>
      <c r="BT635" s="162"/>
      <c r="BU635" s="162"/>
      <c r="BV635" s="162"/>
      <c r="BW635" s="162"/>
      <c r="BX635" s="162"/>
      <c r="BY635" s="230"/>
      <c r="BZ635" s="230"/>
      <c r="CA635" s="162"/>
      <c r="CB635" s="162"/>
      <c r="CC635" s="162"/>
      <c r="CD635" s="162"/>
      <c r="CE635" s="162"/>
      <c r="CF635" s="230"/>
      <c r="CG635" s="230"/>
      <c r="CH635" s="162"/>
      <c r="CI635" s="162"/>
      <c r="CJ635" s="162"/>
      <c r="CK635" s="162"/>
      <c r="CL635" s="162"/>
      <c r="CM635" s="230"/>
      <c r="CN635" s="230"/>
      <c r="CO635" s="162"/>
      <c r="CP635" s="162"/>
      <c r="CQ635" s="162"/>
      <c r="CR635" s="162"/>
      <c r="CS635" s="162"/>
      <c r="CT635" s="230"/>
      <c r="CU635" s="230"/>
      <c r="CV635" s="162"/>
      <c r="CW635" s="162"/>
      <c r="CX635" s="162"/>
      <c r="CY635" s="162"/>
      <c r="CZ635" s="162"/>
      <c r="DA635" s="230"/>
      <c r="DB635" s="230"/>
      <c r="DC635" s="162"/>
      <c r="DD635" s="162"/>
      <c r="DE635" s="162"/>
      <c r="DF635" s="162"/>
      <c r="DG635" s="162"/>
      <c r="DH635" s="230"/>
      <c r="DI635" s="230"/>
      <c r="DJ635" s="162"/>
      <c r="DK635" s="162"/>
      <c r="DL635" s="147"/>
      <c r="DM635" s="147"/>
      <c r="DN635" s="147"/>
      <c r="DO635" s="147"/>
      <c r="DP635" s="147"/>
      <c r="DQ635" s="147"/>
      <c r="DR635" s="147"/>
      <c r="DS635" s="147"/>
      <c r="DT635" s="147"/>
      <c r="DU635" s="147"/>
      <c r="DV635" s="147"/>
      <c r="DW635" s="147"/>
      <c r="DX635" s="147"/>
      <c r="DY635" s="147"/>
      <c r="DZ635" s="147"/>
      <c r="EA635" s="147"/>
      <c r="EB635" s="147"/>
      <c r="EC635" s="147"/>
      <c r="ED635" s="147"/>
      <c r="EE635" s="147"/>
      <c r="EF635" s="147"/>
      <c r="EG635" s="147"/>
      <c r="EH635" s="147"/>
    </row>
    <row r="636" spans="1:138" x14ac:dyDescent="0.25">
      <c r="A636" s="147"/>
      <c r="B636" s="147"/>
      <c r="C636" s="160"/>
      <c r="D636" s="160"/>
      <c r="E636" s="169"/>
      <c r="F636" s="229"/>
      <c r="G636" s="165"/>
      <c r="H636" s="165"/>
      <c r="I636" s="163"/>
      <c r="J636" s="163"/>
      <c r="K636" s="162"/>
      <c r="L636" s="162"/>
      <c r="M636" s="162"/>
      <c r="N636" s="230"/>
      <c r="O636" s="230"/>
      <c r="P636" s="162"/>
      <c r="Q636" s="162"/>
      <c r="R636" s="162"/>
      <c r="S636" s="162"/>
      <c r="T636" s="162"/>
      <c r="U636" s="230"/>
      <c r="V636" s="230"/>
      <c r="W636" s="162"/>
      <c r="X636" s="162"/>
      <c r="Y636" s="162"/>
      <c r="Z636" s="162"/>
      <c r="AA636" s="162"/>
      <c r="AB636" s="230"/>
      <c r="AC636" s="230"/>
      <c r="AD636" s="162"/>
      <c r="AE636" s="162"/>
      <c r="AF636" s="162"/>
      <c r="AG636" s="162"/>
      <c r="AH636" s="162"/>
      <c r="AI636" s="230"/>
      <c r="AJ636" s="230"/>
      <c r="AK636" s="162"/>
      <c r="AL636" s="162"/>
      <c r="AM636" s="162"/>
      <c r="AN636" s="162"/>
      <c r="AO636" s="162"/>
      <c r="AP636" s="230"/>
      <c r="AQ636" s="230"/>
      <c r="AR636" s="162"/>
      <c r="AS636" s="162"/>
      <c r="AT636" s="162"/>
      <c r="AU636" s="162"/>
      <c r="AV636" s="162"/>
      <c r="AW636" s="230"/>
      <c r="AX636" s="230"/>
      <c r="AY636" s="162"/>
      <c r="AZ636" s="162"/>
      <c r="BA636" s="162"/>
      <c r="BB636" s="162"/>
      <c r="BC636" s="162"/>
      <c r="BD636" s="230"/>
      <c r="BE636" s="230"/>
      <c r="BF636" s="162"/>
      <c r="BG636" s="162"/>
      <c r="BH636" s="162"/>
      <c r="BI636" s="162"/>
      <c r="BJ636" s="162"/>
      <c r="BK636" s="230"/>
      <c r="BL636" s="230"/>
      <c r="BM636" s="162"/>
      <c r="BN636" s="162"/>
      <c r="BO636" s="162"/>
      <c r="BP636" s="162"/>
      <c r="BQ636" s="162"/>
      <c r="BR636" s="230"/>
      <c r="BS636" s="230"/>
      <c r="BT636" s="162"/>
      <c r="BU636" s="162"/>
      <c r="BV636" s="162"/>
      <c r="BW636" s="162"/>
      <c r="BX636" s="162"/>
      <c r="BY636" s="230"/>
      <c r="BZ636" s="230"/>
      <c r="CA636" s="162"/>
      <c r="CB636" s="162"/>
      <c r="CC636" s="162"/>
      <c r="CD636" s="162"/>
      <c r="CE636" s="162"/>
      <c r="CF636" s="230"/>
      <c r="CG636" s="230"/>
      <c r="CH636" s="162"/>
      <c r="CI636" s="162"/>
      <c r="CJ636" s="162"/>
      <c r="CK636" s="162"/>
      <c r="CL636" s="162"/>
      <c r="CM636" s="230"/>
      <c r="CN636" s="230"/>
      <c r="CO636" s="162"/>
      <c r="CP636" s="162"/>
      <c r="CQ636" s="162"/>
      <c r="CR636" s="162"/>
      <c r="CS636" s="162"/>
      <c r="CT636" s="230"/>
      <c r="CU636" s="230"/>
      <c r="CV636" s="162"/>
      <c r="CW636" s="162"/>
      <c r="CX636" s="162"/>
      <c r="CY636" s="162"/>
      <c r="CZ636" s="162"/>
      <c r="DA636" s="230"/>
      <c r="DB636" s="230"/>
      <c r="DC636" s="162"/>
      <c r="DD636" s="162"/>
      <c r="DE636" s="162"/>
      <c r="DF636" s="162"/>
      <c r="DG636" s="162"/>
      <c r="DH636" s="230"/>
      <c r="DI636" s="230"/>
      <c r="DJ636" s="162"/>
      <c r="DK636" s="162"/>
      <c r="DL636" s="147"/>
      <c r="DM636" s="147"/>
      <c r="DN636" s="147"/>
      <c r="DO636" s="147"/>
      <c r="DP636" s="147"/>
      <c r="DQ636" s="147"/>
      <c r="DR636" s="147"/>
      <c r="DS636" s="147"/>
      <c r="DT636" s="147"/>
      <c r="DU636" s="147"/>
      <c r="DV636" s="147"/>
      <c r="DW636" s="147"/>
      <c r="DX636" s="147"/>
      <c r="DY636" s="147"/>
      <c r="DZ636" s="147"/>
      <c r="EA636" s="147"/>
      <c r="EB636" s="147"/>
      <c r="EC636" s="147"/>
      <c r="ED636" s="147"/>
      <c r="EE636" s="147"/>
      <c r="EF636" s="147"/>
      <c r="EG636" s="147"/>
      <c r="EH636" s="147"/>
    </row>
    <row r="637" spans="1:138" x14ac:dyDescent="0.25">
      <c r="A637" s="147"/>
      <c r="B637" s="147"/>
      <c r="C637" s="160"/>
      <c r="D637" s="160"/>
      <c r="E637" s="169"/>
      <c r="F637" s="229"/>
      <c r="G637" s="165"/>
      <c r="H637" s="165"/>
      <c r="I637" s="163"/>
      <c r="J637" s="163"/>
      <c r="K637" s="162"/>
      <c r="L637" s="162"/>
      <c r="M637" s="162"/>
      <c r="N637" s="230"/>
      <c r="O637" s="230"/>
      <c r="P637" s="162"/>
      <c r="Q637" s="162"/>
      <c r="R637" s="162"/>
      <c r="S637" s="162"/>
      <c r="T637" s="162"/>
      <c r="U637" s="230"/>
      <c r="V637" s="230"/>
      <c r="W637" s="162"/>
      <c r="X637" s="162"/>
      <c r="Y637" s="162"/>
      <c r="Z637" s="162"/>
      <c r="AA637" s="162"/>
      <c r="AB637" s="230"/>
      <c r="AC637" s="230"/>
      <c r="AD637" s="162"/>
      <c r="AE637" s="162"/>
      <c r="AF637" s="162"/>
      <c r="AG637" s="162"/>
      <c r="AH637" s="162"/>
      <c r="AI637" s="230"/>
      <c r="AJ637" s="230"/>
      <c r="AK637" s="162"/>
      <c r="AL637" s="162"/>
      <c r="AM637" s="162"/>
      <c r="AN637" s="162"/>
      <c r="AO637" s="162"/>
      <c r="AP637" s="230"/>
      <c r="AQ637" s="230"/>
      <c r="AR637" s="162"/>
      <c r="AS637" s="162"/>
      <c r="AT637" s="162"/>
      <c r="AU637" s="162"/>
      <c r="AV637" s="162"/>
      <c r="AW637" s="230"/>
      <c r="AX637" s="230"/>
      <c r="AY637" s="162"/>
      <c r="AZ637" s="162"/>
      <c r="BA637" s="162"/>
      <c r="BB637" s="162"/>
      <c r="BC637" s="162"/>
      <c r="BD637" s="230"/>
      <c r="BE637" s="230"/>
      <c r="BF637" s="162"/>
      <c r="BG637" s="162"/>
      <c r="BH637" s="162"/>
      <c r="BI637" s="162"/>
      <c r="BJ637" s="162"/>
      <c r="BK637" s="230"/>
      <c r="BL637" s="230"/>
      <c r="BM637" s="162"/>
      <c r="BN637" s="162"/>
      <c r="BO637" s="162"/>
      <c r="BP637" s="162"/>
      <c r="BQ637" s="162"/>
      <c r="BR637" s="230"/>
      <c r="BS637" s="230"/>
      <c r="BT637" s="162"/>
      <c r="BU637" s="162"/>
      <c r="BV637" s="162"/>
      <c r="BW637" s="162"/>
      <c r="BX637" s="162"/>
      <c r="BY637" s="230"/>
      <c r="BZ637" s="230"/>
      <c r="CA637" s="162"/>
      <c r="CB637" s="162"/>
      <c r="CC637" s="162"/>
      <c r="CD637" s="162"/>
      <c r="CE637" s="162"/>
      <c r="CF637" s="230"/>
      <c r="CG637" s="230"/>
      <c r="CH637" s="162"/>
      <c r="CI637" s="162"/>
      <c r="CJ637" s="162"/>
      <c r="CK637" s="162"/>
      <c r="CL637" s="162"/>
      <c r="CM637" s="230"/>
      <c r="CN637" s="230"/>
      <c r="CO637" s="162"/>
      <c r="CP637" s="162"/>
      <c r="CQ637" s="162"/>
      <c r="CR637" s="162"/>
      <c r="CS637" s="162"/>
      <c r="CT637" s="230"/>
      <c r="CU637" s="230"/>
      <c r="CV637" s="162"/>
      <c r="CW637" s="162"/>
      <c r="CX637" s="162"/>
      <c r="CY637" s="162"/>
      <c r="CZ637" s="162"/>
      <c r="DA637" s="230"/>
      <c r="DB637" s="230"/>
      <c r="DC637" s="162"/>
      <c r="DD637" s="162"/>
      <c r="DE637" s="162"/>
      <c r="DF637" s="162"/>
      <c r="DG637" s="162"/>
      <c r="DH637" s="230"/>
      <c r="DI637" s="230"/>
      <c r="DJ637" s="162"/>
      <c r="DK637" s="162"/>
      <c r="DL637" s="147"/>
      <c r="DM637" s="147"/>
      <c r="DN637" s="147"/>
      <c r="DO637" s="147"/>
      <c r="DP637" s="147"/>
      <c r="DQ637" s="147"/>
      <c r="DR637" s="147"/>
      <c r="DS637" s="147"/>
      <c r="DT637" s="147"/>
      <c r="DU637" s="147"/>
      <c r="DV637" s="147"/>
      <c r="DW637" s="147"/>
      <c r="DX637" s="147"/>
      <c r="DY637" s="147"/>
      <c r="DZ637" s="147"/>
      <c r="EA637" s="147"/>
      <c r="EB637" s="147"/>
      <c r="EC637" s="147"/>
      <c r="ED637" s="147"/>
      <c r="EE637" s="147"/>
      <c r="EF637" s="147"/>
      <c r="EG637" s="147"/>
      <c r="EH637" s="147"/>
    </row>
    <row r="638" spans="1:138" x14ac:dyDescent="0.25">
      <c r="A638" s="147"/>
      <c r="B638" s="147"/>
      <c r="C638" s="160"/>
      <c r="D638" s="160"/>
      <c r="E638" s="169"/>
      <c r="F638" s="229"/>
      <c r="G638" s="165"/>
      <c r="H638" s="165"/>
      <c r="I638" s="163"/>
      <c r="J638" s="163"/>
      <c r="K638" s="162"/>
      <c r="L638" s="162"/>
      <c r="M638" s="162"/>
      <c r="N638" s="230"/>
      <c r="O638" s="230"/>
      <c r="P638" s="162"/>
      <c r="Q638" s="162"/>
      <c r="R638" s="162"/>
      <c r="S638" s="162"/>
      <c r="T638" s="162"/>
      <c r="U638" s="230"/>
      <c r="V638" s="230"/>
      <c r="W638" s="162"/>
      <c r="X638" s="162"/>
      <c r="Y638" s="162"/>
      <c r="Z638" s="162"/>
      <c r="AA638" s="162"/>
      <c r="AB638" s="230"/>
      <c r="AC638" s="230"/>
      <c r="AD638" s="162"/>
      <c r="AE638" s="162"/>
      <c r="AF638" s="162"/>
      <c r="AG638" s="162"/>
      <c r="AH638" s="162"/>
      <c r="AI638" s="230"/>
      <c r="AJ638" s="230"/>
      <c r="AK638" s="162"/>
      <c r="AL638" s="162"/>
      <c r="AM638" s="162"/>
      <c r="AN638" s="162"/>
      <c r="AO638" s="162"/>
      <c r="AP638" s="230"/>
      <c r="AQ638" s="230"/>
      <c r="AR638" s="162"/>
      <c r="AS638" s="162"/>
      <c r="AT638" s="162"/>
      <c r="AU638" s="162"/>
      <c r="AV638" s="162"/>
      <c r="AW638" s="230"/>
      <c r="AX638" s="230"/>
      <c r="AY638" s="162"/>
      <c r="AZ638" s="162"/>
      <c r="BA638" s="162"/>
      <c r="BB638" s="162"/>
      <c r="BC638" s="162"/>
      <c r="BD638" s="230"/>
      <c r="BE638" s="230"/>
      <c r="BF638" s="162"/>
      <c r="BG638" s="162"/>
      <c r="BH638" s="162"/>
      <c r="BI638" s="162"/>
      <c r="BJ638" s="162"/>
      <c r="BK638" s="230"/>
      <c r="BL638" s="230"/>
      <c r="BM638" s="162"/>
      <c r="BN638" s="162"/>
      <c r="BO638" s="162"/>
      <c r="BP638" s="162"/>
      <c r="BQ638" s="162"/>
      <c r="BR638" s="230"/>
      <c r="BS638" s="230"/>
      <c r="BT638" s="162"/>
      <c r="BU638" s="162"/>
      <c r="BV638" s="162"/>
      <c r="BW638" s="162"/>
      <c r="BX638" s="162"/>
      <c r="BY638" s="230"/>
      <c r="BZ638" s="230"/>
      <c r="CA638" s="162"/>
      <c r="CB638" s="162"/>
      <c r="CC638" s="162"/>
      <c r="CD638" s="162"/>
      <c r="CE638" s="162"/>
      <c r="CF638" s="230"/>
      <c r="CG638" s="230"/>
      <c r="CH638" s="162"/>
      <c r="CI638" s="162"/>
      <c r="CJ638" s="162"/>
      <c r="CK638" s="162"/>
      <c r="CL638" s="162"/>
      <c r="CM638" s="230"/>
      <c r="CN638" s="230"/>
      <c r="CO638" s="162"/>
      <c r="CP638" s="162"/>
      <c r="CQ638" s="162"/>
      <c r="CR638" s="162"/>
      <c r="CS638" s="162"/>
      <c r="CT638" s="230"/>
      <c r="CU638" s="230"/>
      <c r="CV638" s="162"/>
      <c r="CW638" s="162"/>
      <c r="CX638" s="162"/>
      <c r="CY638" s="162"/>
      <c r="CZ638" s="162"/>
      <c r="DA638" s="230"/>
      <c r="DB638" s="230"/>
      <c r="DC638" s="162"/>
      <c r="DD638" s="162"/>
      <c r="DE638" s="162"/>
      <c r="DF638" s="162"/>
      <c r="DG638" s="162"/>
      <c r="DH638" s="230"/>
      <c r="DI638" s="230"/>
      <c r="DJ638" s="162"/>
      <c r="DK638" s="162"/>
      <c r="DL638" s="147"/>
      <c r="DM638" s="147"/>
      <c r="DN638" s="147"/>
      <c r="DO638" s="147"/>
      <c r="DP638" s="147"/>
      <c r="DQ638" s="147"/>
      <c r="DR638" s="147"/>
      <c r="DS638" s="147"/>
      <c r="DT638" s="147"/>
      <c r="DU638" s="147"/>
      <c r="DV638" s="147"/>
      <c r="DW638" s="147"/>
      <c r="DX638" s="147"/>
      <c r="DY638" s="147"/>
      <c r="DZ638" s="147"/>
      <c r="EA638" s="147"/>
      <c r="EB638" s="147"/>
      <c r="EC638" s="147"/>
      <c r="ED638" s="147"/>
      <c r="EE638" s="147"/>
      <c r="EF638" s="147"/>
      <c r="EG638" s="147"/>
      <c r="EH638" s="147"/>
    </row>
    <row r="639" spans="1:138" x14ac:dyDescent="0.25">
      <c r="A639" s="147"/>
      <c r="B639" s="147"/>
      <c r="C639" s="160"/>
      <c r="D639" s="160"/>
      <c r="E639" s="169"/>
      <c r="F639" s="229"/>
      <c r="G639" s="165"/>
      <c r="H639" s="165"/>
      <c r="I639" s="163"/>
      <c r="J639" s="163"/>
      <c r="K639" s="162"/>
      <c r="L639" s="162"/>
      <c r="M639" s="162"/>
      <c r="N639" s="230"/>
      <c r="O639" s="230"/>
      <c r="P639" s="162"/>
      <c r="Q639" s="162"/>
      <c r="R639" s="162"/>
      <c r="S639" s="162"/>
      <c r="T639" s="162"/>
      <c r="U639" s="230"/>
      <c r="V639" s="230"/>
      <c r="W639" s="162"/>
      <c r="X639" s="162"/>
      <c r="Y639" s="162"/>
      <c r="Z639" s="162"/>
      <c r="AA639" s="162"/>
      <c r="AB639" s="230"/>
      <c r="AC639" s="230"/>
      <c r="AD639" s="162"/>
      <c r="AE639" s="162"/>
      <c r="AF639" s="162"/>
      <c r="AG639" s="162"/>
      <c r="AH639" s="162"/>
      <c r="AI639" s="230"/>
      <c r="AJ639" s="230"/>
      <c r="AK639" s="162"/>
      <c r="AL639" s="162"/>
      <c r="AM639" s="162"/>
      <c r="AN639" s="162"/>
      <c r="AO639" s="162"/>
      <c r="AP639" s="230"/>
      <c r="AQ639" s="230"/>
      <c r="AR639" s="162"/>
      <c r="AS639" s="162"/>
      <c r="AT639" s="162"/>
      <c r="AU639" s="162"/>
      <c r="AV639" s="162"/>
      <c r="AW639" s="230"/>
      <c r="AX639" s="230"/>
      <c r="AY639" s="162"/>
      <c r="AZ639" s="162"/>
      <c r="BA639" s="162"/>
      <c r="BB639" s="162"/>
      <c r="BC639" s="162"/>
      <c r="BD639" s="230"/>
      <c r="BE639" s="230"/>
      <c r="BF639" s="162"/>
      <c r="BG639" s="162"/>
      <c r="BH639" s="162"/>
      <c r="BI639" s="162"/>
      <c r="BJ639" s="162"/>
      <c r="BK639" s="230"/>
      <c r="BL639" s="230"/>
      <c r="BM639" s="162"/>
      <c r="BN639" s="162"/>
      <c r="BO639" s="162"/>
      <c r="BP639" s="162"/>
      <c r="BQ639" s="162"/>
      <c r="BR639" s="230"/>
      <c r="BS639" s="230"/>
      <c r="BT639" s="162"/>
      <c r="BU639" s="162"/>
      <c r="BV639" s="162"/>
      <c r="BW639" s="162"/>
      <c r="BX639" s="162"/>
      <c r="BY639" s="230"/>
      <c r="BZ639" s="230"/>
      <c r="CA639" s="162"/>
      <c r="CB639" s="162"/>
      <c r="CC639" s="162"/>
      <c r="CD639" s="162"/>
      <c r="CE639" s="162"/>
      <c r="CF639" s="230"/>
      <c r="CG639" s="230"/>
      <c r="CH639" s="162"/>
      <c r="CI639" s="162"/>
      <c r="CJ639" s="162"/>
      <c r="CK639" s="162"/>
      <c r="CL639" s="162"/>
      <c r="CM639" s="230"/>
      <c r="CN639" s="230"/>
      <c r="CO639" s="162"/>
      <c r="CP639" s="162"/>
      <c r="CQ639" s="162"/>
      <c r="CR639" s="162"/>
      <c r="CS639" s="162"/>
      <c r="CT639" s="230"/>
      <c r="CU639" s="230"/>
      <c r="CV639" s="162"/>
      <c r="CW639" s="162"/>
      <c r="CX639" s="162"/>
      <c r="CY639" s="162"/>
      <c r="CZ639" s="162"/>
      <c r="DA639" s="230"/>
      <c r="DB639" s="230"/>
      <c r="DC639" s="162"/>
      <c r="DD639" s="162"/>
      <c r="DE639" s="162"/>
      <c r="DF639" s="162"/>
      <c r="DG639" s="162"/>
      <c r="DH639" s="230"/>
      <c r="DI639" s="230"/>
      <c r="DJ639" s="162"/>
      <c r="DK639" s="162"/>
      <c r="DL639" s="147"/>
      <c r="DM639" s="147"/>
      <c r="DN639" s="147"/>
      <c r="DO639" s="147"/>
      <c r="DP639" s="147"/>
      <c r="DQ639" s="147"/>
      <c r="DR639" s="147"/>
      <c r="DS639" s="147"/>
      <c r="DT639" s="147"/>
      <c r="DU639" s="147"/>
      <c r="DV639" s="147"/>
      <c r="DW639" s="147"/>
      <c r="DX639" s="147"/>
      <c r="DY639" s="147"/>
      <c r="DZ639" s="147"/>
      <c r="EA639" s="147"/>
      <c r="EB639" s="147"/>
      <c r="EC639" s="147"/>
      <c r="ED639" s="147"/>
      <c r="EE639" s="147"/>
      <c r="EF639" s="147"/>
      <c r="EG639" s="147"/>
      <c r="EH639" s="147"/>
    </row>
    <row r="640" spans="1:138" x14ac:dyDescent="0.25">
      <c r="A640" s="147"/>
      <c r="B640" s="147"/>
      <c r="C640" s="160"/>
      <c r="D640" s="160"/>
      <c r="E640" s="169"/>
      <c r="F640" s="229"/>
      <c r="G640" s="165"/>
      <c r="H640" s="165"/>
      <c r="I640" s="163"/>
      <c r="J640" s="163"/>
      <c r="K640" s="162"/>
      <c r="L640" s="162"/>
      <c r="M640" s="162"/>
      <c r="N640" s="230"/>
      <c r="O640" s="230"/>
      <c r="P640" s="162"/>
      <c r="Q640" s="162"/>
      <c r="R640" s="162"/>
      <c r="S640" s="162"/>
      <c r="T640" s="162"/>
      <c r="U640" s="230"/>
      <c r="V640" s="230"/>
      <c r="W640" s="162"/>
      <c r="X640" s="162"/>
      <c r="Y640" s="162"/>
      <c r="Z640" s="162"/>
      <c r="AA640" s="162"/>
      <c r="AB640" s="230"/>
      <c r="AC640" s="230"/>
      <c r="AD640" s="162"/>
      <c r="AE640" s="162"/>
      <c r="AF640" s="162"/>
      <c r="AG640" s="162"/>
      <c r="AH640" s="162"/>
      <c r="AI640" s="230"/>
      <c r="AJ640" s="230"/>
      <c r="AK640" s="162"/>
      <c r="AL640" s="162"/>
      <c r="AM640" s="162"/>
      <c r="AN640" s="162"/>
      <c r="AO640" s="162"/>
      <c r="AP640" s="230"/>
      <c r="AQ640" s="230"/>
      <c r="AR640" s="162"/>
      <c r="AS640" s="162"/>
      <c r="AT640" s="162"/>
      <c r="AU640" s="162"/>
      <c r="AV640" s="162"/>
      <c r="AW640" s="230"/>
      <c r="AX640" s="230"/>
      <c r="AY640" s="162"/>
      <c r="AZ640" s="162"/>
      <c r="BA640" s="162"/>
      <c r="BB640" s="162"/>
      <c r="BC640" s="162"/>
      <c r="BD640" s="230"/>
      <c r="BE640" s="230"/>
      <c r="BF640" s="162"/>
      <c r="BG640" s="162"/>
      <c r="BH640" s="162"/>
      <c r="BI640" s="162"/>
      <c r="BJ640" s="162"/>
      <c r="BK640" s="230"/>
      <c r="BL640" s="230"/>
      <c r="BM640" s="162"/>
      <c r="BN640" s="162"/>
      <c r="BO640" s="162"/>
      <c r="BP640" s="162"/>
      <c r="BQ640" s="162"/>
      <c r="BR640" s="230"/>
      <c r="BS640" s="230"/>
      <c r="BT640" s="162"/>
      <c r="BU640" s="162"/>
      <c r="BV640" s="162"/>
      <c r="BW640" s="162"/>
      <c r="BX640" s="162"/>
      <c r="BY640" s="230"/>
      <c r="BZ640" s="230"/>
      <c r="CA640" s="162"/>
      <c r="CB640" s="162"/>
      <c r="CC640" s="162"/>
      <c r="CD640" s="162"/>
      <c r="CE640" s="162"/>
      <c r="CF640" s="230"/>
      <c r="CG640" s="230"/>
      <c r="CH640" s="162"/>
      <c r="CI640" s="162"/>
      <c r="CJ640" s="162"/>
      <c r="CK640" s="162"/>
      <c r="CL640" s="162"/>
      <c r="CM640" s="230"/>
      <c r="CN640" s="230"/>
      <c r="CO640" s="162"/>
      <c r="CP640" s="162"/>
      <c r="CQ640" s="162"/>
      <c r="CR640" s="162"/>
      <c r="CS640" s="162"/>
      <c r="CT640" s="230"/>
      <c r="CU640" s="230"/>
      <c r="CV640" s="162"/>
      <c r="CW640" s="162"/>
      <c r="CX640" s="162"/>
      <c r="CY640" s="162"/>
      <c r="CZ640" s="162"/>
      <c r="DA640" s="230"/>
      <c r="DB640" s="230"/>
      <c r="DC640" s="162"/>
      <c r="DD640" s="162"/>
      <c r="DE640" s="162"/>
      <c r="DF640" s="162"/>
      <c r="DG640" s="162"/>
      <c r="DH640" s="230"/>
      <c r="DI640" s="230"/>
      <c r="DJ640" s="162"/>
      <c r="DK640" s="162"/>
      <c r="DL640" s="147"/>
      <c r="DM640" s="147"/>
      <c r="DN640" s="147"/>
      <c r="DO640" s="147"/>
      <c r="DP640" s="147"/>
      <c r="DQ640" s="147"/>
      <c r="DR640" s="147"/>
      <c r="DS640" s="147"/>
      <c r="DT640" s="147"/>
      <c r="DU640" s="147"/>
      <c r="DV640" s="147"/>
      <c r="DW640" s="147"/>
      <c r="DX640" s="147"/>
      <c r="DY640" s="147"/>
      <c r="DZ640" s="147"/>
      <c r="EA640" s="147"/>
      <c r="EB640" s="147"/>
      <c r="EC640" s="147"/>
      <c r="ED640" s="147"/>
      <c r="EE640" s="147"/>
      <c r="EF640" s="147"/>
      <c r="EG640" s="147"/>
      <c r="EH640" s="147"/>
    </row>
    <row r="641" spans="1:138" x14ac:dyDescent="0.25">
      <c r="A641" s="147"/>
      <c r="B641" s="147"/>
      <c r="C641" s="160"/>
      <c r="D641" s="160"/>
      <c r="E641" s="169"/>
      <c r="F641" s="229"/>
      <c r="G641" s="165"/>
      <c r="H641" s="165"/>
      <c r="I641" s="163"/>
      <c r="J641" s="163"/>
      <c r="K641" s="162"/>
      <c r="L641" s="162"/>
      <c r="M641" s="162"/>
      <c r="N641" s="230"/>
      <c r="O641" s="230"/>
      <c r="P641" s="162"/>
      <c r="Q641" s="162"/>
      <c r="R641" s="162"/>
      <c r="S641" s="162"/>
      <c r="T641" s="162"/>
      <c r="U641" s="230"/>
      <c r="V641" s="230"/>
      <c r="W641" s="162"/>
      <c r="X641" s="162"/>
      <c r="Y641" s="162"/>
      <c r="Z641" s="162"/>
      <c r="AA641" s="162"/>
      <c r="AB641" s="230"/>
      <c r="AC641" s="230"/>
      <c r="AD641" s="162"/>
      <c r="AE641" s="162"/>
      <c r="AF641" s="162"/>
      <c r="AG641" s="162"/>
      <c r="AH641" s="162"/>
      <c r="AI641" s="230"/>
      <c r="AJ641" s="230"/>
      <c r="AK641" s="162"/>
      <c r="AL641" s="162"/>
      <c r="AM641" s="162"/>
      <c r="AN641" s="162"/>
      <c r="AO641" s="162"/>
      <c r="AP641" s="230"/>
      <c r="AQ641" s="230"/>
      <c r="AR641" s="162"/>
      <c r="AS641" s="162"/>
      <c r="AT641" s="162"/>
      <c r="AU641" s="162"/>
      <c r="AV641" s="162"/>
      <c r="AW641" s="230"/>
      <c r="AX641" s="230"/>
      <c r="AY641" s="162"/>
      <c r="AZ641" s="162"/>
      <c r="BA641" s="162"/>
      <c r="BB641" s="162"/>
      <c r="BC641" s="162"/>
      <c r="BD641" s="230"/>
      <c r="BE641" s="230"/>
      <c r="BF641" s="162"/>
      <c r="BG641" s="162"/>
      <c r="BH641" s="162"/>
      <c r="BI641" s="162"/>
      <c r="BJ641" s="162"/>
      <c r="BK641" s="230"/>
      <c r="BL641" s="230"/>
      <c r="BM641" s="162"/>
      <c r="BN641" s="162"/>
      <c r="BO641" s="162"/>
      <c r="BP641" s="162"/>
      <c r="BQ641" s="162"/>
      <c r="BR641" s="230"/>
      <c r="BS641" s="230"/>
      <c r="BT641" s="162"/>
      <c r="BU641" s="162"/>
      <c r="BV641" s="162"/>
      <c r="BW641" s="162"/>
      <c r="BX641" s="162"/>
      <c r="BY641" s="230"/>
      <c r="BZ641" s="230"/>
      <c r="CA641" s="162"/>
      <c r="CB641" s="162"/>
      <c r="CC641" s="162"/>
      <c r="CD641" s="162"/>
      <c r="CE641" s="162"/>
      <c r="CF641" s="230"/>
      <c r="CG641" s="230"/>
      <c r="CH641" s="162"/>
      <c r="CI641" s="162"/>
      <c r="CJ641" s="162"/>
      <c r="CK641" s="162"/>
      <c r="CL641" s="162"/>
      <c r="CM641" s="230"/>
      <c r="CN641" s="230"/>
      <c r="CO641" s="162"/>
      <c r="CP641" s="162"/>
      <c r="CQ641" s="162"/>
      <c r="CR641" s="162"/>
      <c r="CS641" s="162"/>
      <c r="CT641" s="230"/>
      <c r="CU641" s="230"/>
      <c r="CV641" s="162"/>
      <c r="CW641" s="162"/>
      <c r="CX641" s="162"/>
      <c r="CY641" s="162"/>
      <c r="CZ641" s="162"/>
      <c r="DA641" s="230"/>
      <c r="DB641" s="230"/>
      <c r="DC641" s="162"/>
      <c r="DD641" s="162"/>
      <c r="DE641" s="162"/>
      <c r="DF641" s="162"/>
      <c r="DG641" s="162"/>
      <c r="DH641" s="230"/>
      <c r="DI641" s="230"/>
      <c r="DJ641" s="162"/>
      <c r="DK641" s="162"/>
      <c r="DL641" s="147"/>
      <c r="DM641" s="147"/>
      <c r="DN641" s="147"/>
      <c r="DO641" s="147"/>
      <c r="DP641" s="147"/>
      <c r="DQ641" s="147"/>
      <c r="DR641" s="147"/>
      <c r="DS641" s="147"/>
      <c r="DT641" s="147"/>
      <c r="DU641" s="147"/>
      <c r="DV641" s="147"/>
      <c r="DW641" s="147"/>
      <c r="DX641" s="147"/>
      <c r="DY641" s="147"/>
      <c r="DZ641" s="147"/>
      <c r="EA641" s="147"/>
      <c r="EB641" s="147"/>
      <c r="EC641" s="147"/>
      <c r="ED641" s="147"/>
      <c r="EE641" s="147"/>
      <c r="EF641" s="147"/>
      <c r="EG641" s="147"/>
      <c r="EH641" s="147"/>
    </row>
    <row r="642" spans="1:138" x14ac:dyDescent="0.25">
      <c r="A642" s="147"/>
      <c r="B642" s="147"/>
      <c r="C642" s="160"/>
      <c r="D642" s="160"/>
      <c r="E642" s="169"/>
      <c r="F642" s="229"/>
      <c r="G642" s="165"/>
      <c r="H642" s="165"/>
      <c r="I642" s="163"/>
      <c r="J642" s="163"/>
      <c r="K642" s="162"/>
      <c r="L642" s="162"/>
      <c r="M642" s="162"/>
      <c r="N642" s="230"/>
      <c r="O642" s="230"/>
      <c r="P642" s="162"/>
      <c r="Q642" s="162"/>
      <c r="R642" s="162"/>
      <c r="S642" s="162"/>
      <c r="T642" s="162"/>
      <c r="U642" s="230"/>
      <c r="V642" s="230"/>
      <c r="W642" s="162"/>
      <c r="X642" s="162"/>
      <c r="Y642" s="162"/>
      <c r="Z642" s="162"/>
      <c r="AA642" s="162"/>
      <c r="AB642" s="230"/>
      <c r="AC642" s="230"/>
      <c r="AD642" s="162"/>
      <c r="AE642" s="162"/>
      <c r="AF642" s="162"/>
      <c r="AG642" s="162"/>
      <c r="AH642" s="162"/>
      <c r="AI642" s="230"/>
      <c r="AJ642" s="230"/>
      <c r="AK642" s="162"/>
      <c r="AL642" s="162"/>
      <c r="AM642" s="162"/>
      <c r="AN642" s="162"/>
      <c r="AO642" s="162"/>
      <c r="AP642" s="230"/>
      <c r="AQ642" s="230"/>
      <c r="AR642" s="162"/>
      <c r="AS642" s="162"/>
      <c r="AT642" s="162"/>
      <c r="AU642" s="162"/>
      <c r="AV642" s="162"/>
      <c r="AW642" s="230"/>
      <c r="AX642" s="230"/>
      <c r="AY642" s="162"/>
      <c r="AZ642" s="162"/>
      <c r="BA642" s="162"/>
      <c r="BB642" s="162"/>
      <c r="BC642" s="162"/>
      <c r="BD642" s="230"/>
      <c r="BE642" s="230"/>
      <c r="BF642" s="162"/>
      <c r="BG642" s="162"/>
      <c r="BH642" s="162"/>
      <c r="BI642" s="162"/>
      <c r="BJ642" s="162"/>
      <c r="BK642" s="230"/>
      <c r="BL642" s="230"/>
      <c r="BM642" s="162"/>
      <c r="BN642" s="162"/>
      <c r="BO642" s="162"/>
      <c r="BP642" s="162"/>
      <c r="BQ642" s="162"/>
      <c r="BR642" s="230"/>
      <c r="BS642" s="230"/>
      <c r="BT642" s="162"/>
      <c r="BU642" s="162"/>
      <c r="BV642" s="162"/>
      <c r="BW642" s="162"/>
      <c r="BX642" s="162"/>
      <c r="BY642" s="230"/>
      <c r="BZ642" s="230"/>
      <c r="CA642" s="162"/>
      <c r="CB642" s="162"/>
      <c r="CC642" s="162"/>
      <c r="CD642" s="162"/>
      <c r="CE642" s="162"/>
      <c r="CF642" s="230"/>
      <c r="CG642" s="230"/>
      <c r="CH642" s="162"/>
      <c r="CI642" s="162"/>
      <c r="CJ642" s="162"/>
      <c r="CK642" s="162"/>
      <c r="CL642" s="162"/>
      <c r="CM642" s="230"/>
      <c r="CN642" s="230"/>
      <c r="CO642" s="162"/>
      <c r="CP642" s="162"/>
      <c r="CQ642" s="162"/>
      <c r="CR642" s="162"/>
      <c r="CS642" s="162"/>
      <c r="CT642" s="230"/>
      <c r="CU642" s="230"/>
      <c r="CV642" s="162"/>
      <c r="CW642" s="162"/>
      <c r="CX642" s="162"/>
      <c r="CY642" s="162"/>
      <c r="CZ642" s="162"/>
      <c r="DA642" s="230"/>
      <c r="DB642" s="230"/>
      <c r="DC642" s="162"/>
      <c r="DD642" s="162"/>
      <c r="DE642" s="162"/>
      <c r="DF642" s="162"/>
      <c r="DG642" s="162"/>
      <c r="DH642" s="230"/>
      <c r="DI642" s="230"/>
      <c r="DJ642" s="162"/>
      <c r="DK642" s="162"/>
      <c r="DL642" s="147"/>
      <c r="DM642" s="147"/>
      <c r="DN642" s="147"/>
      <c r="DO642" s="147"/>
      <c r="DP642" s="147"/>
      <c r="DQ642" s="147"/>
      <c r="DR642" s="147"/>
      <c r="DS642" s="147"/>
      <c r="DT642" s="147"/>
      <c r="DU642" s="147"/>
      <c r="DV642" s="147"/>
      <c r="DW642" s="147"/>
      <c r="DX642" s="147"/>
      <c r="DY642" s="147"/>
      <c r="DZ642" s="147"/>
      <c r="EA642" s="147"/>
      <c r="EB642" s="147"/>
      <c r="EC642" s="147"/>
      <c r="ED642" s="147"/>
      <c r="EE642" s="147"/>
      <c r="EF642" s="147"/>
      <c r="EG642" s="147"/>
      <c r="EH642" s="147"/>
    </row>
    <row r="643" spans="1:138" x14ac:dyDescent="0.25">
      <c r="A643" s="147"/>
      <c r="B643" s="147"/>
      <c r="C643" s="160"/>
      <c r="D643" s="160"/>
      <c r="E643" s="169"/>
      <c r="F643" s="229"/>
      <c r="G643" s="165"/>
      <c r="H643" s="165"/>
      <c r="I643" s="163"/>
      <c r="J643" s="163"/>
      <c r="K643" s="162"/>
      <c r="L643" s="162"/>
      <c r="M643" s="162"/>
      <c r="N643" s="230"/>
      <c r="O643" s="230"/>
      <c r="P643" s="162"/>
      <c r="Q643" s="162"/>
      <c r="R643" s="162"/>
      <c r="S643" s="162"/>
      <c r="T643" s="162"/>
      <c r="U643" s="230"/>
      <c r="V643" s="230"/>
      <c r="W643" s="162"/>
      <c r="X643" s="162"/>
      <c r="Y643" s="162"/>
      <c r="Z643" s="162"/>
      <c r="AA643" s="162"/>
      <c r="AB643" s="230"/>
      <c r="AC643" s="230"/>
      <c r="AD643" s="162"/>
      <c r="AE643" s="162"/>
      <c r="AF643" s="162"/>
      <c r="AG643" s="162"/>
      <c r="AH643" s="162"/>
      <c r="AI643" s="230"/>
      <c r="AJ643" s="230"/>
      <c r="AK643" s="162"/>
      <c r="AL643" s="162"/>
      <c r="AM643" s="162"/>
      <c r="AN643" s="162"/>
      <c r="AO643" s="162"/>
      <c r="AP643" s="230"/>
      <c r="AQ643" s="230"/>
      <c r="AR643" s="162"/>
      <c r="AS643" s="162"/>
      <c r="AT643" s="162"/>
      <c r="AU643" s="162"/>
      <c r="AV643" s="162"/>
      <c r="AW643" s="230"/>
      <c r="AX643" s="230"/>
      <c r="AY643" s="162"/>
      <c r="AZ643" s="162"/>
      <c r="BA643" s="162"/>
      <c r="BB643" s="162"/>
      <c r="BC643" s="162"/>
      <c r="BD643" s="230"/>
      <c r="BE643" s="230"/>
      <c r="BF643" s="162"/>
      <c r="BG643" s="162"/>
      <c r="BH643" s="162"/>
      <c r="BI643" s="162"/>
      <c r="BJ643" s="162"/>
      <c r="BK643" s="230"/>
      <c r="BL643" s="230"/>
      <c r="BM643" s="162"/>
      <c r="BN643" s="162"/>
      <c r="BO643" s="162"/>
      <c r="BP643" s="162"/>
      <c r="BQ643" s="162"/>
      <c r="BR643" s="230"/>
      <c r="BS643" s="230"/>
      <c r="BT643" s="162"/>
      <c r="BU643" s="162"/>
      <c r="BV643" s="162"/>
      <c r="BW643" s="162"/>
      <c r="BX643" s="162"/>
      <c r="BY643" s="230"/>
      <c r="BZ643" s="230"/>
      <c r="CA643" s="162"/>
      <c r="CB643" s="162"/>
      <c r="CC643" s="162"/>
      <c r="CD643" s="162"/>
      <c r="CE643" s="162"/>
      <c r="CF643" s="230"/>
      <c r="CG643" s="230"/>
      <c r="CH643" s="162"/>
      <c r="CI643" s="162"/>
      <c r="CJ643" s="162"/>
      <c r="CK643" s="162"/>
      <c r="CL643" s="162"/>
      <c r="CM643" s="230"/>
      <c r="CN643" s="230"/>
      <c r="CO643" s="162"/>
      <c r="CP643" s="162"/>
      <c r="CQ643" s="162"/>
      <c r="CR643" s="162"/>
      <c r="CS643" s="162"/>
      <c r="CT643" s="230"/>
      <c r="CU643" s="230"/>
      <c r="CV643" s="162"/>
      <c r="CW643" s="162"/>
      <c r="CX643" s="162"/>
      <c r="CY643" s="162"/>
      <c r="CZ643" s="162"/>
      <c r="DA643" s="230"/>
      <c r="DB643" s="230"/>
      <c r="DC643" s="162"/>
      <c r="DD643" s="162"/>
      <c r="DE643" s="162"/>
      <c r="DF643" s="162"/>
      <c r="DG643" s="162"/>
      <c r="DH643" s="230"/>
      <c r="DI643" s="230"/>
      <c r="DJ643" s="162"/>
      <c r="DK643" s="162"/>
      <c r="DL643" s="147"/>
      <c r="DM643" s="147"/>
      <c r="DN643" s="147"/>
      <c r="DO643" s="147"/>
      <c r="DP643" s="147"/>
      <c r="DQ643" s="147"/>
      <c r="DR643" s="147"/>
      <c r="DS643" s="147"/>
      <c r="DT643" s="147"/>
      <c r="DU643" s="147"/>
      <c r="DV643" s="147"/>
      <c r="DW643" s="147"/>
      <c r="DX643" s="147"/>
      <c r="DY643" s="147"/>
      <c r="DZ643" s="147"/>
      <c r="EA643" s="147"/>
      <c r="EB643" s="147"/>
      <c r="EC643" s="147"/>
      <c r="ED643" s="147"/>
      <c r="EE643" s="147"/>
      <c r="EF643" s="147"/>
      <c r="EG643" s="147"/>
      <c r="EH643" s="147"/>
    </row>
    <row r="644" spans="1:138" x14ac:dyDescent="0.25">
      <c r="A644" s="147"/>
      <c r="B644" s="147"/>
      <c r="C644" s="160"/>
      <c r="D644" s="160"/>
      <c r="E644" s="169"/>
      <c r="F644" s="229"/>
      <c r="G644" s="165"/>
      <c r="H644" s="165"/>
      <c r="I644" s="163"/>
      <c r="J644" s="163"/>
      <c r="K644" s="162"/>
      <c r="L644" s="162"/>
      <c r="M644" s="162"/>
      <c r="N644" s="230"/>
      <c r="O644" s="230"/>
      <c r="P644" s="162"/>
      <c r="Q644" s="162"/>
      <c r="R644" s="162"/>
      <c r="S644" s="162"/>
      <c r="T644" s="162"/>
      <c r="U644" s="230"/>
      <c r="V644" s="230"/>
      <c r="W644" s="162"/>
      <c r="X644" s="162"/>
      <c r="Y644" s="162"/>
      <c r="Z644" s="162"/>
      <c r="AA644" s="162"/>
      <c r="AB644" s="230"/>
      <c r="AC644" s="230"/>
      <c r="AD644" s="162"/>
      <c r="AE644" s="162"/>
      <c r="AF644" s="162"/>
      <c r="AG644" s="162"/>
      <c r="AH644" s="162"/>
      <c r="AI644" s="230"/>
      <c r="AJ644" s="230"/>
      <c r="AK644" s="162"/>
      <c r="AL644" s="162"/>
      <c r="AM644" s="162"/>
      <c r="AN644" s="162"/>
      <c r="AO644" s="162"/>
      <c r="AP644" s="230"/>
      <c r="AQ644" s="230"/>
      <c r="AR644" s="162"/>
      <c r="AS644" s="162"/>
      <c r="AT644" s="162"/>
      <c r="AU644" s="162"/>
      <c r="AV644" s="162"/>
      <c r="AW644" s="230"/>
      <c r="AX644" s="230"/>
      <c r="AY644" s="162"/>
      <c r="AZ644" s="162"/>
      <c r="BA644" s="162"/>
      <c r="BB644" s="162"/>
      <c r="BC644" s="162"/>
      <c r="BD644" s="230"/>
      <c r="BE644" s="230"/>
      <c r="BF644" s="162"/>
      <c r="BG644" s="162"/>
      <c r="BH644" s="162"/>
      <c r="BI644" s="162"/>
      <c r="BJ644" s="162"/>
      <c r="BK644" s="230"/>
      <c r="BL644" s="230"/>
      <c r="BM644" s="162"/>
      <c r="BN644" s="162"/>
      <c r="BO644" s="162"/>
      <c r="BP644" s="162"/>
      <c r="BQ644" s="162"/>
      <c r="BR644" s="230"/>
      <c r="BS644" s="230"/>
      <c r="BT644" s="162"/>
      <c r="BU644" s="162"/>
      <c r="BV644" s="162"/>
      <c r="BW644" s="162"/>
      <c r="BX644" s="162"/>
      <c r="BY644" s="230"/>
      <c r="BZ644" s="230"/>
      <c r="CA644" s="162"/>
      <c r="CB644" s="162"/>
      <c r="CC644" s="162"/>
      <c r="CD644" s="162"/>
      <c r="CE644" s="162"/>
      <c r="CF644" s="230"/>
      <c r="CG644" s="230"/>
      <c r="CH644" s="162"/>
      <c r="CI644" s="162"/>
      <c r="CJ644" s="162"/>
      <c r="CK644" s="162"/>
      <c r="CL644" s="162"/>
      <c r="CM644" s="230"/>
      <c r="CN644" s="230"/>
      <c r="CO644" s="162"/>
      <c r="CP644" s="162"/>
      <c r="CQ644" s="162"/>
      <c r="CR644" s="162"/>
      <c r="CS644" s="162"/>
      <c r="CT644" s="230"/>
      <c r="CU644" s="230"/>
      <c r="CV644" s="162"/>
      <c r="CW644" s="162"/>
      <c r="CX644" s="162"/>
      <c r="CY644" s="162"/>
      <c r="CZ644" s="162"/>
      <c r="DA644" s="230"/>
      <c r="DB644" s="230"/>
      <c r="DC644" s="162"/>
      <c r="DD644" s="162"/>
      <c r="DE644" s="162"/>
      <c r="DF644" s="162"/>
      <c r="DG644" s="162"/>
      <c r="DH644" s="230"/>
      <c r="DI644" s="230"/>
      <c r="DJ644" s="162"/>
      <c r="DK644" s="162"/>
      <c r="DL644" s="147"/>
      <c r="DM644" s="147"/>
      <c r="DN644" s="147"/>
      <c r="DO644" s="147"/>
      <c r="DP644" s="147"/>
      <c r="DQ644" s="147"/>
      <c r="DR644" s="147"/>
      <c r="DS644" s="147"/>
      <c r="DT644" s="147"/>
      <c r="DU644" s="147"/>
      <c r="DV644" s="147"/>
      <c r="DW644" s="147"/>
      <c r="DX644" s="147"/>
      <c r="DY644" s="147"/>
      <c r="DZ644" s="147"/>
      <c r="EA644" s="147"/>
      <c r="EB644" s="147"/>
      <c r="EC644" s="147"/>
      <c r="ED644" s="147"/>
      <c r="EE644" s="147"/>
      <c r="EF644" s="147"/>
      <c r="EG644" s="147"/>
      <c r="EH644" s="147"/>
    </row>
    <row r="645" spans="1:138" x14ac:dyDescent="0.25">
      <c r="A645" s="147"/>
      <c r="B645" s="147"/>
      <c r="C645" s="160"/>
      <c r="D645" s="160"/>
      <c r="E645" s="169"/>
      <c r="F645" s="229"/>
      <c r="G645" s="165"/>
      <c r="H645" s="165"/>
      <c r="I645" s="163"/>
      <c r="J645" s="163"/>
      <c r="K645" s="162"/>
      <c r="L645" s="162"/>
      <c r="M645" s="162"/>
      <c r="N645" s="230"/>
      <c r="O645" s="230"/>
      <c r="P645" s="162"/>
      <c r="Q645" s="162"/>
      <c r="R645" s="162"/>
      <c r="S645" s="162"/>
      <c r="T645" s="162"/>
      <c r="U645" s="230"/>
      <c r="V645" s="230"/>
      <c r="W645" s="162"/>
      <c r="X645" s="162"/>
      <c r="Y645" s="162"/>
      <c r="Z645" s="162"/>
      <c r="AA645" s="162"/>
      <c r="AB645" s="230"/>
      <c r="AC645" s="230"/>
      <c r="AD645" s="162"/>
      <c r="AE645" s="162"/>
      <c r="AF645" s="162"/>
      <c r="AG645" s="162"/>
      <c r="AH645" s="162"/>
      <c r="AI645" s="230"/>
      <c r="AJ645" s="230"/>
      <c r="AK645" s="162"/>
      <c r="AL645" s="162"/>
      <c r="AM645" s="162"/>
      <c r="AN645" s="162"/>
      <c r="AO645" s="162"/>
      <c r="AP645" s="230"/>
      <c r="AQ645" s="230"/>
      <c r="AR645" s="162"/>
      <c r="AS645" s="162"/>
      <c r="AT645" s="162"/>
      <c r="AU645" s="162"/>
      <c r="AV645" s="162"/>
      <c r="AW645" s="230"/>
      <c r="AX645" s="230"/>
      <c r="AY645" s="162"/>
      <c r="AZ645" s="162"/>
      <c r="BA645" s="162"/>
      <c r="BB645" s="162"/>
      <c r="BC645" s="162"/>
      <c r="BD645" s="230"/>
      <c r="BE645" s="230"/>
      <c r="BF645" s="162"/>
      <c r="BG645" s="162"/>
      <c r="BH645" s="162"/>
      <c r="BI645" s="162"/>
      <c r="BJ645" s="162"/>
      <c r="BK645" s="230"/>
      <c r="BL645" s="230"/>
      <c r="BM645" s="162"/>
      <c r="BN645" s="162"/>
      <c r="BO645" s="162"/>
      <c r="BP645" s="162"/>
      <c r="BQ645" s="162"/>
      <c r="BR645" s="230"/>
      <c r="BS645" s="230"/>
      <c r="BT645" s="162"/>
      <c r="BU645" s="162"/>
      <c r="BV645" s="162"/>
      <c r="BW645" s="162"/>
      <c r="BX645" s="162"/>
      <c r="BY645" s="230"/>
      <c r="BZ645" s="230"/>
      <c r="CA645" s="162"/>
      <c r="CB645" s="162"/>
      <c r="CC645" s="162"/>
      <c r="CD645" s="162"/>
      <c r="CE645" s="162"/>
      <c r="CF645" s="230"/>
      <c r="CG645" s="230"/>
      <c r="CH645" s="162"/>
      <c r="CI645" s="162"/>
      <c r="CJ645" s="162"/>
      <c r="CK645" s="162"/>
      <c r="CL645" s="162"/>
      <c r="CM645" s="230"/>
      <c r="CN645" s="230"/>
      <c r="CO645" s="162"/>
      <c r="CP645" s="162"/>
      <c r="CQ645" s="162"/>
      <c r="CR645" s="162"/>
      <c r="CS645" s="162"/>
      <c r="CT645" s="230"/>
      <c r="CU645" s="230"/>
      <c r="CV645" s="162"/>
      <c r="CW645" s="162"/>
      <c r="CX645" s="162"/>
      <c r="CY645" s="162"/>
      <c r="CZ645" s="162"/>
      <c r="DA645" s="230"/>
      <c r="DB645" s="230"/>
      <c r="DC645" s="162"/>
      <c r="DD645" s="162"/>
      <c r="DE645" s="162"/>
      <c r="DF645" s="162"/>
      <c r="DG645" s="162"/>
      <c r="DH645" s="230"/>
      <c r="DI645" s="230"/>
      <c r="DJ645" s="162"/>
      <c r="DK645" s="162"/>
      <c r="DL645" s="147"/>
      <c r="DM645" s="147"/>
      <c r="DN645" s="147"/>
      <c r="DO645" s="147"/>
      <c r="DP645" s="147"/>
      <c r="DQ645" s="147"/>
      <c r="DR645" s="147"/>
      <c r="DS645" s="147"/>
      <c r="DT645" s="147"/>
      <c r="DU645" s="147"/>
      <c r="DV645" s="147"/>
      <c r="DW645" s="147"/>
      <c r="DX645" s="147"/>
      <c r="DY645" s="147"/>
      <c r="DZ645" s="147"/>
      <c r="EA645" s="147"/>
      <c r="EB645" s="147"/>
      <c r="EC645" s="147"/>
      <c r="ED645" s="147"/>
      <c r="EE645" s="147"/>
      <c r="EF645" s="147"/>
      <c r="EG645" s="147"/>
      <c r="EH645" s="147"/>
    </row>
    <row r="646" spans="1:138" x14ac:dyDescent="0.25">
      <c r="A646" s="147"/>
      <c r="B646" s="147"/>
      <c r="C646" s="160"/>
      <c r="D646" s="160"/>
      <c r="E646" s="169"/>
      <c r="F646" s="229"/>
      <c r="G646" s="165"/>
      <c r="H646" s="165"/>
      <c r="I646" s="163"/>
      <c r="J646" s="163"/>
      <c r="K646" s="162"/>
      <c r="L646" s="162"/>
      <c r="M646" s="162"/>
      <c r="N646" s="230"/>
      <c r="O646" s="230"/>
      <c r="P646" s="162"/>
      <c r="Q646" s="162"/>
      <c r="R646" s="162"/>
      <c r="S646" s="162"/>
      <c r="T646" s="162"/>
      <c r="U646" s="230"/>
      <c r="V646" s="230"/>
      <c r="W646" s="162"/>
      <c r="X646" s="162"/>
      <c r="Y646" s="162"/>
      <c r="Z646" s="162"/>
      <c r="AA646" s="162"/>
      <c r="AB646" s="230"/>
      <c r="AC646" s="230"/>
      <c r="AD646" s="162"/>
      <c r="AE646" s="162"/>
      <c r="AF646" s="162"/>
      <c r="AG646" s="162"/>
      <c r="AH646" s="162"/>
      <c r="AI646" s="230"/>
      <c r="AJ646" s="230"/>
      <c r="AK646" s="162"/>
      <c r="AL646" s="162"/>
      <c r="AM646" s="162"/>
      <c r="AN646" s="162"/>
      <c r="AO646" s="162"/>
      <c r="AP646" s="230"/>
      <c r="AQ646" s="230"/>
      <c r="AR646" s="162"/>
      <c r="AS646" s="162"/>
      <c r="AT646" s="162"/>
      <c r="AU646" s="162"/>
      <c r="AV646" s="162"/>
      <c r="AW646" s="230"/>
      <c r="AX646" s="230"/>
      <c r="AY646" s="162"/>
      <c r="AZ646" s="162"/>
      <c r="BA646" s="162"/>
      <c r="BB646" s="162"/>
      <c r="BC646" s="162"/>
      <c r="BD646" s="230"/>
      <c r="BE646" s="230"/>
      <c r="BF646" s="162"/>
      <c r="BG646" s="162"/>
      <c r="BH646" s="162"/>
      <c r="BI646" s="162"/>
      <c r="BJ646" s="162"/>
      <c r="BK646" s="230"/>
      <c r="BL646" s="230"/>
      <c r="BM646" s="162"/>
      <c r="BN646" s="162"/>
      <c r="BO646" s="162"/>
      <c r="BP646" s="162"/>
      <c r="BQ646" s="162"/>
      <c r="BR646" s="230"/>
      <c r="BS646" s="230"/>
      <c r="BT646" s="162"/>
      <c r="BU646" s="162"/>
      <c r="BV646" s="162"/>
      <c r="BW646" s="162"/>
      <c r="BX646" s="162"/>
      <c r="BY646" s="230"/>
      <c r="BZ646" s="230"/>
      <c r="CA646" s="162"/>
      <c r="CB646" s="162"/>
      <c r="CC646" s="162"/>
      <c r="CD646" s="162"/>
      <c r="CE646" s="162"/>
      <c r="CF646" s="230"/>
      <c r="CG646" s="230"/>
      <c r="CH646" s="162"/>
      <c r="CI646" s="162"/>
      <c r="CJ646" s="162"/>
      <c r="CK646" s="162"/>
      <c r="CL646" s="162"/>
      <c r="CM646" s="230"/>
      <c r="CN646" s="230"/>
      <c r="CO646" s="162"/>
      <c r="CP646" s="162"/>
      <c r="CQ646" s="162"/>
      <c r="CR646" s="162"/>
      <c r="CS646" s="162"/>
      <c r="CT646" s="230"/>
      <c r="CU646" s="230"/>
      <c r="CV646" s="162"/>
      <c r="CW646" s="162"/>
      <c r="CX646" s="162"/>
      <c r="CY646" s="162"/>
      <c r="CZ646" s="162"/>
      <c r="DA646" s="230"/>
      <c r="DB646" s="230"/>
      <c r="DC646" s="162"/>
      <c r="DD646" s="162"/>
      <c r="DE646" s="162"/>
      <c r="DF646" s="162"/>
      <c r="DG646" s="162"/>
      <c r="DH646" s="230"/>
      <c r="DI646" s="230"/>
      <c r="DJ646" s="162"/>
      <c r="DK646" s="162"/>
      <c r="DL646" s="147"/>
      <c r="DM646" s="147"/>
      <c r="DN646" s="147"/>
      <c r="DO646" s="147"/>
      <c r="DP646" s="147"/>
      <c r="DQ646" s="147"/>
      <c r="DR646" s="147"/>
      <c r="DS646" s="147"/>
      <c r="DT646" s="147"/>
      <c r="DU646" s="147"/>
      <c r="DV646" s="147"/>
      <c r="DW646" s="147"/>
      <c r="DX646" s="147"/>
      <c r="DY646" s="147"/>
      <c r="DZ646" s="147"/>
      <c r="EA646" s="147"/>
      <c r="EB646" s="147"/>
      <c r="EC646" s="147"/>
      <c r="ED646" s="147"/>
      <c r="EE646" s="147"/>
      <c r="EF646" s="147"/>
      <c r="EG646" s="147"/>
      <c r="EH646" s="147"/>
    </row>
    <row r="647" spans="1:138" x14ac:dyDescent="0.25">
      <c r="A647" s="147"/>
      <c r="B647" s="147"/>
      <c r="C647" s="160"/>
      <c r="D647" s="160"/>
      <c r="E647" s="169"/>
      <c r="F647" s="229"/>
      <c r="G647" s="165"/>
      <c r="H647" s="165"/>
      <c r="I647" s="163"/>
      <c r="J647" s="163"/>
      <c r="K647" s="162"/>
      <c r="L647" s="162"/>
      <c r="M647" s="162"/>
      <c r="N647" s="230"/>
      <c r="O647" s="230"/>
      <c r="P647" s="162"/>
      <c r="Q647" s="162"/>
      <c r="R647" s="162"/>
      <c r="S647" s="162"/>
      <c r="T647" s="162"/>
      <c r="U647" s="230"/>
      <c r="V647" s="230"/>
      <c r="W647" s="162"/>
      <c r="X647" s="162"/>
      <c r="Y647" s="162"/>
      <c r="Z647" s="162"/>
      <c r="AA647" s="162"/>
      <c r="AB647" s="230"/>
      <c r="AC647" s="230"/>
      <c r="AD647" s="162"/>
      <c r="AE647" s="162"/>
      <c r="AF647" s="162"/>
      <c r="AG647" s="162"/>
      <c r="AH647" s="162"/>
      <c r="AI647" s="230"/>
      <c r="AJ647" s="230"/>
      <c r="AK647" s="162"/>
      <c r="AL647" s="162"/>
      <c r="AM647" s="162"/>
      <c r="AN647" s="162"/>
      <c r="AO647" s="162"/>
      <c r="AP647" s="230"/>
      <c r="AQ647" s="230"/>
      <c r="AR647" s="162"/>
      <c r="AS647" s="162"/>
      <c r="AT647" s="162"/>
      <c r="AU647" s="162"/>
      <c r="AV647" s="162"/>
      <c r="AW647" s="230"/>
      <c r="AX647" s="230"/>
      <c r="AY647" s="162"/>
      <c r="AZ647" s="162"/>
      <c r="BA647" s="162"/>
      <c r="BB647" s="162"/>
      <c r="BC647" s="162"/>
      <c r="BD647" s="230"/>
      <c r="BE647" s="230"/>
      <c r="BF647" s="162"/>
      <c r="BG647" s="162"/>
      <c r="BH647" s="162"/>
      <c r="BI647" s="162"/>
      <c r="BJ647" s="162"/>
      <c r="BK647" s="230"/>
      <c r="BL647" s="230"/>
      <c r="BM647" s="162"/>
      <c r="BN647" s="162"/>
      <c r="BO647" s="162"/>
      <c r="BP647" s="162"/>
      <c r="BQ647" s="162"/>
      <c r="BR647" s="230"/>
      <c r="BS647" s="230"/>
      <c r="BT647" s="162"/>
      <c r="BU647" s="162"/>
      <c r="BV647" s="162"/>
      <c r="BW647" s="162"/>
      <c r="BX647" s="162"/>
      <c r="BY647" s="230"/>
      <c r="BZ647" s="230"/>
      <c r="CA647" s="162"/>
      <c r="CB647" s="162"/>
      <c r="CC647" s="162"/>
      <c r="CD647" s="162"/>
      <c r="CE647" s="162"/>
      <c r="CF647" s="230"/>
      <c r="CG647" s="230"/>
      <c r="CH647" s="162"/>
      <c r="CI647" s="162"/>
      <c r="CJ647" s="162"/>
      <c r="CK647" s="162"/>
      <c r="CL647" s="162"/>
      <c r="CM647" s="230"/>
      <c r="CN647" s="230"/>
      <c r="CO647" s="162"/>
      <c r="CP647" s="162"/>
      <c r="CQ647" s="162"/>
      <c r="CR647" s="162"/>
      <c r="CS647" s="162"/>
      <c r="CT647" s="230"/>
      <c r="CU647" s="230"/>
      <c r="CV647" s="162"/>
      <c r="CW647" s="162"/>
      <c r="CX647" s="162"/>
      <c r="CY647" s="162"/>
      <c r="CZ647" s="162"/>
      <c r="DA647" s="230"/>
      <c r="DB647" s="230"/>
      <c r="DC647" s="162"/>
      <c r="DD647" s="162"/>
      <c r="DE647" s="162"/>
      <c r="DF647" s="162"/>
      <c r="DG647" s="162"/>
      <c r="DH647" s="230"/>
      <c r="DI647" s="230"/>
      <c r="DJ647" s="162"/>
      <c r="DK647" s="162"/>
      <c r="DL647" s="147"/>
      <c r="DM647" s="147"/>
      <c r="DN647" s="147"/>
      <c r="DO647" s="147"/>
      <c r="DP647" s="147"/>
      <c r="DQ647" s="147"/>
      <c r="DR647" s="147"/>
      <c r="DS647" s="147"/>
      <c r="DT647" s="147"/>
      <c r="DU647" s="147"/>
      <c r="DV647" s="147"/>
      <c r="DW647" s="147"/>
      <c r="DX647" s="147"/>
      <c r="DY647" s="147"/>
      <c r="DZ647" s="147"/>
      <c r="EA647" s="147"/>
      <c r="EB647" s="147"/>
      <c r="EC647" s="147"/>
      <c r="ED647" s="147"/>
      <c r="EE647" s="147"/>
      <c r="EF647" s="147"/>
      <c r="EG647" s="147"/>
      <c r="EH647" s="147"/>
    </row>
    <row r="648" spans="1:138" x14ac:dyDescent="0.25">
      <c r="A648" s="147"/>
      <c r="B648" s="147"/>
      <c r="C648" s="160"/>
      <c r="D648" s="160"/>
      <c r="E648" s="169"/>
      <c r="F648" s="229"/>
      <c r="G648" s="165"/>
      <c r="H648" s="165"/>
      <c r="I648" s="163"/>
      <c r="J648" s="163"/>
      <c r="K648" s="162"/>
      <c r="L648" s="162"/>
      <c r="M648" s="162"/>
      <c r="N648" s="230"/>
      <c r="O648" s="230"/>
      <c r="P648" s="162"/>
      <c r="Q648" s="162"/>
      <c r="R648" s="162"/>
      <c r="S648" s="162"/>
      <c r="T648" s="162"/>
      <c r="U648" s="230"/>
      <c r="V648" s="230"/>
      <c r="W648" s="162"/>
      <c r="X648" s="162"/>
      <c r="Y648" s="162"/>
      <c r="Z648" s="162"/>
      <c r="AA648" s="162"/>
      <c r="AB648" s="230"/>
      <c r="AC648" s="230"/>
      <c r="AD648" s="162"/>
      <c r="AE648" s="162"/>
      <c r="AF648" s="162"/>
      <c r="AG648" s="162"/>
      <c r="AH648" s="162"/>
      <c r="AI648" s="230"/>
      <c r="AJ648" s="230"/>
      <c r="AK648" s="162"/>
      <c r="AL648" s="162"/>
      <c r="AM648" s="162"/>
      <c r="AN648" s="162"/>
      <c r="AO648" s="162"/>
      <c r="AP648" s="230"/>
      <c r="AQ648" s="230"/>
      <c r="AR648" s="162"/>
      <c r="AS648" s="162"/>
      <c r="AT648" s="162"/>
      <c r="AU648" s="162"/>
      <c r="AV648" s="162"/>
      <c r="AW648" s="230"/>
      <c r="AX648" s="230"/>
      <c r="AY648" s="162"/>
      <c r="AZ648" s="162"/>
      <c r="BA648" s="162"/>
      <c r="BB648" s="162"/>
      <c r="BC648" s="162"/>
      <c r="BD648" s="230"/>
      <c r="BE648" s="230"/>
      <c r="BF648" s="162"/>
      <c r="BG648" s="162"/>
      <c r="BH648" s="162"/>
      <c r="BI648" s="162"/>
      <c r="BJ648" s="162"/>
      <c r="BK648" s="230"/>
      <c r="BL648" s="230"/>
      <c r="BM648" s="162"/>
      <c r="BN648" s="162"/>
      <c r="BO648" s="162"/>
      <c r="BP648" s="162"/>
      <c r="BQ648" s="162"/>
      <c r="BR648" s="230"/>
      <c r="BS648" s="230"/>
      <c r="BT648" s="162"/>
      <c r="BU648" s="162"/>
      <c r="BV648" s="162"/>
      <c r="BW648" s="162"/>
      <c r="BX648" s="162"/>
      <c r="BY648" s="230"/>
      <c r="BZ648" s="230"/>
      <c r="CA648" s="162"/>
      <c r="CB648" s="162"/>
      <c r="CC648" s="162"/>
      <c r="CD648" s="162"/>
      <c r="CE648" s="162"/>
      <c r="CF648" s="230"/>
      <c r="CG648" s="230"/>
      <c r="CH648" s="162"/>
      <c r="CI648" s="162"/>
      <c r="CJ648" s="162"/>
      <c r="CK648" s="162"/>
      <c r="CL648" s="162"/>
      <c r="CM648" s="230"/>
      <c r="CN648" s="230"/>
      <c r="CO648" s="162"/>
      <c r="CP648" s="162"/>
      <c r="CQ648" s="162"/>
      <c r="CR648" s="162"/>
      <c r="CS648" s="162"/>
      <c r="CT648" s="230"/>
      <c r="CU648" s="230"/>
      <c r="CV648" s="162"/>
      <c r="CW648" s="162"/>
      <c r="CX648" s="162"/>
      <c r="CY648" s="162"/>
      <c r="CZ648" s="162"/>
      <c r="DA648" s="230"/>
      <c r="DB648" s="230"/>
      <c r="DC648" s="162"/>
      <c r="DD648" s="162"/>
      <c r="DE648" s="162"/>
      <c r="DF648" s="162"/>
      <c r="DG648" s="162"/>
      <c r="DH648" s="230"/>
      <c r="DI648" s="230"/>
      <c r="DJ648" s="162"/>
      <c r="DK648" s="162"/>
      <c r="DL648" s="147"/>
      <c r="DM648" s="147"/>
      <c r="DN648" s="147"/>
      <c r="DO648" s="147"/>
      <c r="DP648" s="147"/>
      <c r="DQ648" s="147"/>
      <c r="DR648" s="147"/>
      <c r="DS648" s="147"/>
      <c r="DT648" s="147"/>
      <c r="DU648" s="147"/>
      <c r="DV648" s="147"/>
      <c r="DW648" s="147"/>
      <c r="DX648" s="147"/>
      <c r="DY648" s="147"/>
      <c r="DZ648" s="147"/>
      <c r="EA648" s="147"/>
      <c r="EB648" s="147"/>
      <c r="EC648" s="147"/>
      <c r="ED648" s="147"/>
      <c r="EE648" s="147"/>
      <c r="EF648" s="147"/>
      <c r="EG648" s="147"/>
      <c r="EH648" s="147"/>
    </row>
    <row r="649" spans="1:138" x14ac:dyDescent="0.25">
      <c r="A649" s="147"/>
      <c r="B649" s="147"/>
      <c r="C649" s="160"/>
      <c r="D649" s="160"/>
      <c r="E649" s="169"/>
      <c r="F649" s="229"/>
      <c r="G649" s="165"/>
      <c r="H649" s="165"/>
      <c r="I649" s="163"/>
      <c r="J649" s="163"/>
      <c r="K649" s="162"/>
      <c r="L649" s="162"/>
      <c r="M649" s="162"/>
      <c r="N649" s="230"/>
      <c r="O649" s="230"/>
      <c r="P649" s="162"/>
      <c r="Q649" s="162"/>
      <c r="R649" s="162"/>
      <c r="S649" s="162"/>
      <c r="T649" s="162"/>
      <c r="U649" s="230"/>
      <c r="V649" s="230"/>
      <c r="W649" s="162"/>
      <c r="X649" s="162"/>
      <c r="Y649" s="162"/>
      <c r="Z649" s="162"/>
      <c r="AA649" s="162"/>
      <c r="AB649" s="230"/>
      <c r="AC649" s="230"/>
      <c r="AD649" s="162"/>
      <c r="AE649" s="162"/>
      <c r="AF649" s="162"/>
      <c r="AG649" s="162"/>
      <c r="AH649" s="162"/>
      <c r="AI649" s="230"/>
      <c r="AJ649" s="230"/>
      <c r="AK649" s="162"/>
      <c r="AL649" s="162"/>
      <c r="AM649" s="162"/>
      <c r="AN649" s="162"/>
      <c r="AO649" s="162"/>
      <c r="AP649" s="230"/>
      <c r="AQ649" s="230"/>
      <c r="AR649" s="162"/>
      <c r="AS649" s="162"/>
      <c r="AT649" s="162"/>
      <c r="AU649" s="162"/>
      <c r="AV649" s="162"/>
      <c r="AW649" s="230"/>
      <c r="AX649" s="230"/>
      <c r="AY649" s="162"/>
      <c r="AZ649" s="162"/>
      <c r="BA649" s="162"/>
      <c r="BB649" s="162"/>
      <c r="BC649" s="162"/>
      <c r="BD649" s="230"/>
      <c r="BE649" s="230"/>
      <c r="BF649" s="162"/>
      <c r="BG649" s="162"/>
      <c r="BH649" s="162"/>
      <c r="BI649" s="162"/>
      <c r="BJ649" s="162"/>
      <c r="BK649" s="230"/>
      <c r="BL649" s="230"/>
      <c r="BM649" s="162"/>
      <c r="BN649" s="162"/>
      <c r="BO649" s="162"/>
      <c r="BP649" s="162"/>
      <c r="BQ649" s="162"/>
      <c r="BR649" s="230"/>
      <c r="BS649" s="230"/>
      <c r="BT649" s="162"/>
      <c r="BU649" s="162"/>
      <c r="BV649" s="162"/>
      <c r="BW649" s="162"/>
      <c r="BX649" s="162"/>
      <c r="BY649" s="230"/>
      <c r="BZ649" s="230"/>
      <c r="CA649" s="162"/>
      <c r="CB649" s="162"/>
      <c r="CC649" s="162"/>
      <c r="CD649" s="162"/>
      <c r="CE649" s="162"/>
      <c r="CF649" s="230"/>
      <c r="CG649" s="230"/>
      <c r="CH649" s="162"/>
      <c r="CI649" s="162"/>
      <c r="CJ649" s="162"/>
      <c r="CK649" s="162"/>
      <c r="CL649" s="162"/>
      <c r="CM649" s="230"/>
      <c r="CN649" s="230"/>
      <c r="CO649" s="162"/>
      <c r="CP649" s="162"/>
      <c r="CQ649" s="162"/>
      <c r="CR649" s="162"/>
      <c r="CS649" s="162"/>
      <c r="CT649" s="230"/>
      <c r="CU649" s="230"/>
      <c r="CV649" s="162"/>
      <c r="CW649" s="162"/>
      <c r="CX649" s="162"/>
      <c r="CY649" s="162"/>
      <c r="CZ649" s="162"/>
      <c r="DA649" s="230"/>
      <c r="DB649" s="230"/>
      <c r="DC649" s="162"/>
      <c r="DD649" s="162"/>
      <c r="DE649" s="162"/>
      <c r="DF649" s="162"/>
      <c r="DG649" s="162"/>
      <c r="DH649" s="230"/>
      <c r="DI649" s="230"/>
      <c r="DJ649" s="162"/>
      <c r="DK649" s="162"/>
      <c r="DL649" s="147"/>
      <c r="DM649" s="147"/>
      <c r="DN649" s="147"/>
      <c r="DO649" s="147"/>
      <c r="DP649" s="147"/>
      <c r="DQ649" s="147"/>
      <c r="DR649" s="147"/>
      <c r="DS649" s="147"/>
      <c r="DT649" s="147"/>
      <c r="DU649" s="147"/>
      <c r="DV649" s="147"/>
      <c r="DW649" s="147"/>
      <c r="DX649" s="147"/>
      <c r="DY649" s="147"/>
      <c r="DZ649" s="147"/>
      <c r="EA649" s="147"/>
      <c r="EB649" s="147"/>
      <c r="EC649" s="147"/>
      <c r="ED649" s="147"/>
      <c r="EE649" s="147"/>
      <c r="EF649" s="147"/>
      <c r="EG649" s="147"/>
      <c r="EH649" s="147"/>
    </row>
    <row r="650" spans="1:138" x14ac:dyDescent="0.25">
      <c r="A650" s="147"/>
      <c r="B650" s="147"/>
      <c r="C650" s="160"/>
      <c r="D650" s="160"/>
      <c r="E650" s="169"/>
      <c r="F650" s="229"/>
      <c r="G650" s="165"/>
      <c r="H650" s="165"/>
      <c r="I650" s="163"/>
      <c r="J650" s="163"/>
      <c r="K650" s="162"/>
      <c r="L650" s="162"/>
      <c r="M650" s="162"/>
      <c r="N650" s="230"/>
      <c r="O650" s="230"/>
      <c r="P650" s="162"/>
      <c r="Q650" s="162"/>
      <c r="R650" s="162"/>
      <c r="S650" s="162"/>
      <c r="T650" s="162"/>
      <c r="U650" s="230"/>
      <c r="V650" s="230"/>
      <c r="W650" s="162"/>
      <c r="X650" s="162"/>
      <c r="Y650" s="162"/>
      <c r="Z650" s="162"/>
      <c r="AA650" s="162"/>
      <c r="AB650" s="230"/>
      <c r="AC650" s="230"/>
      <c r="AD650" s="162"/>
      <c r="AE650" s="162"/>
      <c r="AF650" s="162"/>
      <c r="AG650" s="162"/>
      <c r="AH650" s="162"/>
      <c r="AI650" s="230"/>
      <c r="AJ650" s="230"/>
      <c r="AK650" s="162"/>
      <c r="AL650" s="162"/>
      <c r="AM650" s="162"/>
      <c r="AN650" s="162"/>
      <c r="AO650" s="162"/>
      <c r="AP650" s="230"/>
      <c r="AQ650" s="230"/>
      <c r="AR650" s="162"/>
      <c r="AS650" s="162"/>
      <c r="AT650" s="162"/>
      <c r="AU650" s="162"/>
      <c r="AV650" s="162"/>
      <c r="AW650" s="230"/>
      <c r="AX650" s="230"/>
      <c r="AY650" s="162"/>
      <c r="AZ650" s="162"/>
      <c r="BA650" s="162"/>
      <c r="BB650" s="162"/>
      <c r="BC650" s="162"/>
      <c r="BD650" s="230"/>
      <c r="BE650" s="230"/>
      <c r="BF650" s="162"/>
      <c r="BG650" s="162"/>
      <c r="BH650" s="162"/>
      <c r="BI650" s="162"/>
      <c r="BJ650" s="162"/>
      <c r="BK650" s="230"/>
      <c r="BL650" s="230"/>
      <c r="BM650" s="162"/>
      <c r="BN650" s="162"/>
      <c r="BO650" s="162"/>
      <c r="BP650" s="162"/>
      <c r="BQ650" s="162"/>
      <c r="BR650" s="230"/>
      <c r="BS650" s="230"/>
      <c r="BT650" s="162"/>
      <c r="BU650" s="162"/>
      <c r="BV650" s="162"/>
      <c r="BW650" s="162"/>
      <c r="BX650" s="162"/>
      <c r="BY650" s="230"/>
      <c r="BZ650" s="230"/>
      <c r="CA650" s="162"/>
      <c r="CB650" s="162"/>
      <c r="CC650" s="162"/>
      <c r="CD650" s="162"/>
      <c r="CE650" s="162"/>
      <c r="CF650" s="230"/>
      <c r="CG650" s="230"/>
      <c r="CH650" s="162"/>
      <c r="CI650" s="162"/>
      <c r="CJ650" s="162"/>
      <c r="CK650" s="162"/>
      <c r="CL650" s="162"/>
      <c r="CM650" s="230"/>
      <c r="CN650" s="230"/>
      <c r="CO650" s="162"/>
      <c r="CP650" s="162"/>
      <c r="CQ650" s="162"/>
      <c r="CR650" s="162"/>
      <c r="CS650" s="162"/>
      <c r="CT650" s="230"/>
      <c r="CU650" s="230"/>
      <c r="CV650" s="162"/>
      <c r="CW650" s="162"/>
      <c r="CX650" s="162"/>
      <c r="CY650" s="162"/>
      <c r="CZ650" s="162"/>
      <c r="DA650" s="230"/>
      <c r="DB650" s="230"/>
      <c r="DC650" s="162"/>
      <c r="DD650" s="162"/>
      <c r="DE650" s="162"/>
      <c r="DF650" s="162"/>
      <c r="DG650" s="162"/>
      <c r="DH650" s="230"/>
      <c r="DI650" s="230"/>
      <c r="DJ650" s="162"/>
      <c r="DK650" s="162"/>
      <c r="DL650" s="147"/>
      <c r="DM650" s="147"/>
      <c r="DN650" s="147"/>
      <c r="DO650" s="147"/>
      <c r="DP650" s="147"/>
      <c r="DQ650" s="147"/>
      <c r="DR650" s="147"/>
      <c r="DS650" s="147"/>
      <c r="DT650" s="147"/>
      <c r="DU650" s="147"/>
      <c r="DV650" s="147"/>
      <c r="DW650" s="147"/>
      <c r="DX650" s="147"/>
      <c r="DY650" s="147"/>
      <c r="DZ650" s="147"/>
      <c r="EA650" s="147"/>
      <c r="EB650" s="147"/>
      <c r="EC650" s="147"/>
      <c r="ED650" s="147"/>
      <c r="EE650" s="147"/>
      <c r="EF650" s="147"/>
      <c r="EG650" s="147"/>
      <c r="EH650" s="147"/>
    </row>
    <row r="651" spans="1:138" x14ac:dyDescent="0.25">
      <c r="A651" s="147"/>
      <c r="B651" s="147"/>
      <c r="C651" s="160"/>
      <c r="D651" s="160"/>
      <c r="E651" s="169"/>
      <c r="F651" s="229"/>
      <c r="G651" s="165"/>
      <c r="H651" s="165"/>
      <c r="I651" s="163"/>
      <c r="J651" s="163"/>
      <c r="K651" s="162"/>
      <c r="L651" s="162"/>
      <c r="M651" s="162"/>
      <c r="N651" s="230"/>
      <c r="O651" s="230"/>
      <c r="P651" s="162"/>
      <c r="Q651" s="162"/>
      <c r="R651" s="162"/>
      <c r="S651" s="162"/>
      <c r="T651" s="162"/>
      <c r="U651" s="230"/>
      <c r="V651" s="230"/>
      <c r="W651" s="162"/>
      <c r="X651" s="162"/>
      <c r="Y651" s="162"/>
      <c r="Z651" s="162"/>
      <c r="AA651" s="162"/>
      <c r="AB651" s="230"/>
      <c r="AC651" s="230"/>
      <c r="AD651" s="162"/>
      <c r="AE651" s="162"/>
      <c r="AF651" s="162"/>
      <c r="AG651" s="162"/>
      <c r="AH651" s="162"/>
      <c r="AI651" s="230"/>
      <c r="AJ651" s="230"/>
      <c r="AK651" s="162"/>
      <c r="AL651" s="162"/>
      <c r="AM651" s="162"/>
      <c r="AN651" s="162"/>
      <c r="AO651" s="162"/>
      <c r="AP651" s="230"/>
      <c r="AQ651" s="230"/>
      <c r="AR651" s="162"/>
      <c r="AS651" s="162"/>
      <c r="AT651" s="162"/>
      <c r="AU651" s="162"/>
      <c r="AV651" s="162"/>
      <c r="AW651" s="230"/>
      <c r="AX651" s="230"/>
      <c r="AY651" s="162"/>
      <c r="AZ651" s="162"/>
      <c r="BA651" s="162"/>
      <c r="BB651" s="162"/>
      <c r="BC651" s="162"/>
      <c r="BD651" s="230"/>
      <c r="BE651" s="230"/>
      <c r="BF651" s="162"/>
      <c r="BG651" s="162"/>
      <c r="BH651" s="162"/>
      <c r="BI651" s="162"/>
      <c r="BJ651" s="162"/>
      <c r="BK651" s="230"/>
      <c r="BL651" s="230"/>
      <c r="BM651" s="162"/>
      <c r="BN651" s="162"/>
      <c r="BO651" s="162"/>
      <c r="BP651" s="162"/>
      <c r="BQ651" s="162"/>
      <c r="BR651" s="230"/>
      <c r="BS651" s="230"/>
      <c r="BT651" s="162"/>
      <c r="BU651" s="162"/>
      <c r="BV651" s="162"/>
      <c r="BW651" s="162"/>
      <c r="BX651" s="162"/>
      <c r="BY651" s="230"/>
      <c r="BZ651" s="230"/>
      <c r="CA651" s="162"/>
      <c r="CB651" s="162"/>
      <c r="CC651" s="162"/>
      <c r="CD651" s="162"/>
      <c r="CE651" s="162"/>
      <c r="CF651" s="230"/>
      <c r="CG651" s="230"/>
      <c r="CH651" s="162"/>
      <c r="CI651" s="162"/>
      <c r="CJ651" s="162"/>
      <c r="CK651" s="162"/>
      <c r="CL651" s="162"/>
      <c r="CM651" s="230"/>
      <c r="CN651" s="230"/>
      <c r="CO651" s="162"/>
      <c r="CP651" s="162"/>
      <c r="CQ651" s="162"/>
      <c r="CR651" s="162"/>
      <c r="CS651" s="162"/>
      <c r="CT651" s="230"/>
      <c r="CU651" s="230"/>
      <c r="CV651" s="162"/>
      <c r="CW651" s="162"/>
      <c r="CX651" s="162"/>
      <c r="CY651" s="162"/>
      <c r="CZ651" s="162"/>
      <c r="DA651" s="230"/>
      <c r="DB651" s="230"/>
      <c r="DC651" s="162"/>
      <c r="DD651" s="162"/>
      <c r="DE651" s="162"/>
      <c r="DF651" s="162"/>
      <c r="DG651" s="162"/>
      <c r="DH651" s="230"/>
      <c r="DI651" s="230"/>
      <c r="DJ651" s="162"/>
      <c r="DK651" s="162"/>
      <c r="DL651" s="147"/>
      <c r="DM651" s="147"/>
      <c r="DN651" s="147"/>
      <c r="DO651" s="147"/>
      <c r="DP651" s="147"/>
      <c r="DQ651" s="147"/>
      <c r="DR651" s="147"/>
      <c r="DS651" s="147"/>
      <c r="DT651" s="147"/>
      <c r="DU651" s="147"/>
      <c r="DV651" s="147"/>
      <c r="DW651" s="147"/>
      <c r="DX651" s="147"/>
      <c r="DY651" s="147"/>
      <c r="DZ651" s="147"/>
      <c r="EA651" s="147"/>
      <c r="EB651" s="147"/>
      <c r="EC651" s="147"/>
      <c r="ED651" s="147"/>
      <c r="EE651" s="147"/>
      <c r="EF651" s="147"/>
      <c r="EG651" s="147"/>
      <c r="EH651" s="147"/>
    </row>
    <row r="652" spans="1:138" x14ac:dyDescent="0.25">
      <c r="A652" s="147"/>
      <c r="B652" s="147"/>
      <c r="C652" s="160"/>
      <c r="D652" s="160"/>
      <c r="E652" s="169"/>
      <c r="F652" s="229"/>
      <c r="G652" s="165"/>
      <c r="H652" s="165"/>
      <c r="I652" s="163"/>
      <c r="J652" s="163"/>
      <c r="K652" s="162"/>
      <c r="L652" s="162"/>
      <c r="M652" s="162"/>
      <c r="N652" s="230"/>
      <c r="O652" s="230"/>
      <c r="P652" s="162"/>
      <c r="Q652" s="162"/>
      <c r="R652" s="162"/>
      <c r="S652" s="162"/>
      <c r="T652" s="162"/>
      <c r="U652" s="230"/>
      <c r="V652" s="230"/>
      <c r="W652" s="162"/>
      <c r="X652" s="162"/>
      <c r="Y652" s="162"/>
      <c r="Z652" s="162"/>
      <c r="AA652" s="162"/>
      <c r="AB652" s="230"/>
      <c r="AC652" s="230"/>
      <c r="AD652" s="162"/>
      <c r="AE652" s="162"/>
      <c r="AF652" s="162"/>
      <c r="AG652" s="162"/>
      <c r="AH652" s="162"/>
      <c r="AI652" s="230"/>
      <c r="AJ652" s="230"/>
      <c r="AK652" s="162"/>
      <c r="AL652" s="162"/>
      <c r="AM652" s="162"/>
      <c r="AN652" s="162"/>
      <c r="AO652" s="162"/>
      <c r="AP652" s="230"/>
      <c r="AQ652" s="230"/>
      <c r="AR652" s="162"/>
      <c r="AS652" s="162"/>
      <c r="AT652" s="162"/>
      <c r="AU652" s="162"/>
      <c r="AV652" s="162"/>
      <c r="AW652" s="230"/>
      <c r="AX652" s="230"/>
      <c r="AY652" s="162"/>
      <c r="AZ652" s="162"/>
      <c r="BA652" s="162"/>
      <c r="BB652" s="162"/>
      <c r="BC652" s="162"/>
      <c r="BD652" s="230"/>
      <c r="BE652" s="230"/>
      <c r="BF652" s="162"/>
      <c r="BG652" s="162"/>
      <c r="BH652" s="162"/>
      <c r="BI652" s="162"/>
      <c r="BJ652" s="162"/>
      <c r="BK652" s="230"/>
      <c r="BL652" s="230"/>
      <c r="BM652" s="162"/>
      <c r="BN652" s="162"/>
      <c r="BO652" s="162"/>
      <c r="BP652" s="162"/>
      <c r="BQ652" s="162"/>
      <c r="BR652" s="230"/>
      <c r="BS652" s="230"/>
      <c r="BT652" s="162"/>
      <c r="BU652" s="162"/>
      <c r="BV652" s="162"/>
      <c r="BW652" s="162"/>
      <c r="BX652" s="162"/>
      <c r="BY652" s="230"/>
      <c r="BZ652" s="230"/>
      <c r="CA652" s="162"/>
      <c r="CB652" s="162"/>
      <c r="CC652" s="162"/>
      <c r="CD652" s="162"/>
      <c r="CE652" s="162"/>
      <c r="CF652" s="230"/>
      <c r="CG652" s="230"/>
      <c r="CH652" s="162"/>
      <c r="CI652" s="162"/>
      <c r="CJ652" s="162"/>
      <c r="CK652" s="162"/>
      <c r="CL652" s="162"/>
      <c r="CM652" s="230"/>
      <c r="CN652" s="230"/>
      <c r="CO652" s="162"/>
      <c r="CP652" s="162"/>
      <c r="CQ652" s="162"/>
      <c r="CR652" s="162"/>
      <c r="CS652" s="162"/>
      <c r="CT652" s="230"/>
      <c r="CU652" s="230"/>
      <c r="CV652" s="162"/>
      <c r="CW652" s="162"/>
      <c r="CX652" s="162"/>
      <c r="CY652" s="162"/>
      <c r="CZ652" s="162"/>
      <c r="DA652" s="230"/>
      <c r="DB652" s="230"/>
      <c r="DC652" s="162"/>
      <c r="DD652" s="162"/>
      <c r="DE652" s="162"/>
      <c r="DF652" s="162"/>
      <c r="DG652" s="162"/>
      <c r="DH652" s="230"/>
      <c r="DI652" s="230"/>
      <c r="DJ652" s="162"/>
      <c r="DK652" s="162"/>
      <c r="DL652" s="147"/>
      <c r="DM652" s="147"/>
      <c r="DN652" s="147"/>
      <c r="DO652" s="147"/>
      <c r="DP652" s="147"/>
      <c r="DQ652" s="147"/>
      <c r="DR652" s="147"/>
      <c r="DS652" s="147"/>
      <c r="DT652" s="147"/>
      <c r="DU652" s="147"/>
      <c r="DV652" s="147"/>
      <c r="DW652" s="147"/>
      <c r="DX652" s="147"/>
      <c r="DY652" s="147"/>
      <c r="DZ652" s="147"/>
      <c r="EA652" s="147"/>
      <c r="EB652" s="147"/>
      <c r="EC652" s="147"/>
      <c r="ED652" s="147"/>
      <c r="EE652" s="147"/>
      <c r="EF652" s="147"/>
      <c r="EG652" s="147"/>
      <c r="EH652" s="147"/>
    </row>
    <row r="653" spans="1:138" x14ac:dyDescent="0.25">
      <c r="A653" s="147"/>
      <c r="B653" s="147"/>
      <c r="C653" s="160"/>
      <c r="D653" s="160"/>
      <c r="E653" s="169"/>
      <c r="F653" s="229"/>
      <c r="G653" s="165"/>
      <c r="H653" s="165"/>
      <c r="I653" s="163"/>
      <c r="J653" s="163"/>
      <c r="K653" s="162"/>
      <c r="L653" s="162"/>
      <c r="M653" s="162"/>
      <c r="N653" s="230"/>
      <c r="O653" s="230"/>
      <c r="P653" s="162"/>
      <c r="Q653" s="162"/>
      <c r="R653" s="162"/>
      <c r="S653" s="162"/>
      <c r="T653" s="162"/>
      <c r="U653" s="230"/>
      <c r="V653" s="230"/>
      <c r="W653" s="162"/>
      <c r="X653" s="162"/>
      <c r="Y653" s="162"/>
      <c r="Z653" s="162"/>
      <c r="AA653" s="162"/>
      <c r="AB653" s="230"/>
      <c r="AC653" s="230"/>
      <c r="AD653" s="162"/>
      <c r="AE653" s="162"/>
      <c r="AF653" s="162"/>
      <c r="AG653" s="162"/>
      <c r="AH653" s="162"/>
      <c r="AI653" s="230"/>
      <c r="AJ653" s="230"/>
      <c r="AK653" s="162"/>
      <c r="AL653" s="162"/>
      <c r="AM653" s="162"/>
      <c r="AN653" s="162"/>
      <c r="AO653" s="162"/>
      <c r="AP653" s="230"/>
      <c r="AQ653" s="230"/>
      <c r="AR653" s="162"/>
      <c r="AS653" s="162"/>
      <c r="AT653" s="162"/>
      <c r="AU653" s="162"/>
      <c r="AV653" s="162"/>
      <c r="AW653" s="230"/>
      <c r="AX653" s="230"/>
      <c r="AY653" s="162"/>
      <c r="AZ653" s="162"/>
      <c r="BA653" s="162"/>
      <c r="BB653" s="162"/>
      <c r="BC653" s="162"/>
      <c r="BD653" s="230"/>
      <c r="BE653" s="230"/>
      <c r="BF653" s="162"/>
      <c r="BG653" s="162"/>
      <c r="BH653" s="162"/>
      <c r="BI653" s="162"/>
      <c r="BJ653" s="162"/>
      <c r="BK653" s="230"/>
      <c r="BL653" s="230"/>
      <c r="BM653" s="162"/>
      <c r="BN653" s="162"/>
      <c r="BO653" s="162"/>
      <c r="BP653" s="162"/>
      <c r="BQ653" s="162"/>
      <c r="BR653" s="230"/>
      <c r="BS653" s="230"/>
      <c r="BT653" s="162"/>
      <c r="BU653" s="162"/>
      <c r="BV653" s="162"/>
      <c r="BW653" s="162"/>
      <c r="BX653" s="162"/>
      <c r="BY653" s="230"/>
      <c r="BZ653" s="230"/>
      <c r="CA653" s="162"/>
      <c r="CB653" s="162"/>
      <c r="CC653" s="162"/>
      <c r="CD653" s="162"/>
      <c r="CE653" s="162"/>
      <c r="CF653" s="230"/>
      <c r="CG653" s="230"/>
      <c r="CH653" s="162"/>
      <c r="CI653" s="162"/>
      <c r="CJ653" s="162"/>
      <c r="CK653" s="162"/>
      <c r="CL653" s="162"/>
      <c r="CM653" s="230"/>
      <c r="CN653" s="230"/>
      <c r="CO653" s="162"/>
      <c r="CP653" s="162"/>
      <c r="CQ653" s="162"/>
      <c r="CR653" s="162"/>
      <c r="CS653" s="162"/>
      <c r="CT653" s="230"/>
      <c r="CU653" s="230"/>
      <c r="CV653" s="162"/>
      <c r="CW653" s="162"/>
      <c r="CX653" s="162"/>
      <c r="CY653" s="162"/>
      <c r="CZ653" s="162"/>
      <c r="DA653" s="230"/>
      <c r="DB653" s="230"/>
      <c r="DC653" s="162"/>
      <c r="DD653" s="162"/>
      <c r="DE653" s="162"/>
      <c r="DF653" s="162"/>
      <c r="DG653" s="162"/>
      <c r="DH653" s="230"/>
      <c r="DI653" s="230"/>
      <c r="DJ653" s="162"/>
      <c r="DK653" s="162"/>
      <c r="DL653" s="147"/>
      <c r="DM653" s="147"/>
      <c r="DN653" s="147"/>
      <c r="DO653" s="147"/>
      <c r="DP653" s="147"/>
      <c r="DQ653" s="147"/>
      <c r="DR653" s="147"/>
      <c r="DS653" s="147"/>
      <c r="DT653" s="147"/>
      <c r="DU653" s="147"/>
      <c r="DV653" s="147"/>
      <c r="DW653" s="147"/>
      <c r="DX653" s="147"/>
      <c r="DY653" s="147"/>
      <c r="DZ653" s="147"/>
      <c r="EA653" s="147"/>
      <c r="EB653" s="147"/>
      <c r="EC653" s="147"/>
      <c r="ED653" s="147"/>
      <c r="EE653" s="147"/>
      <c r="EF653" s="147"/>
      <c r="EG653" s="147"/>
      <c r="EH653" s="147"/>
    </row>
    <row r="654" spans="1:138" x14ac:dyDescent="0.25">
      <c r="A654" s="147"/>
      <c r="B654" s="147"/>
      <c r="C654" s="160"/>
      <c r="D654" s="160"/>
      <c r="E654" s="169"/>
      <c r="F654" s="229"/>
      <c r="G654" s="165"/>
      <c r="H654" s="165"/>
      <c r="I654" s="163"/>
      <c r="J654" s="163"/>
      <c r="K654" s="162"/>
      <c r="L654" s="162"/>
      <c r="M654" s="162"/>
      <c r="N654" s="230"/>
      <c r="O654" s="230"/>
      <c r="P654" s="162"/>
      <c r="Q654" s="162"/>
      <c r="R654" s="162"/>
      <c r="S654" s="162"/>
      <c r="T654" s="162"/>
      <c r="U654" s="230"/>
      <c r="V654" s="230"/>
      <c r="W654" s="162"/>
      <c r="X654" s="162"/>
      <c r="Y654" s="162"/>
      <c r="Z654" s="162"/>
      <c r="AA654" s="162"/>
      <c r="AB654" s="230"/>
      <c r="AC654" s="230"/>
      <c r="AD654" s="162"/>
      <c r="AE654" s="162"/>
      <c r="AF654" s="162"/>
      <c r="AG654" s="162"/>
      <c r="AH654" s="162"/>
      <c r="AI654" s="230"/>
      <c r="AJ654" s="230"/>
      <c r="AK654" s="162"/>
      <c r="AL654" s="162"/>
      <c r="AM654" s="162"/>
      <c r="AN654" s="162"/>
      <c r="AO654" s="162"/>
      <c r="AP654" s="230"/>
      <c r="AQ654" s="230"/>
      <c r="AR654" s="162"/>
      <c r="AS654" s="162"/>
      <c r="AT654" s="162"/>
      <c r="AU654" s="162"/>
      <c r="AV654" s="162"/>
      <c r="AW654" s="230"/>
      <c r="AX654" s="230"/>
      <c r="AY654" s="162"/>
      <c r="AZ654" s="162"/>
      <c r="BA654" s="162"/>
      <c r="BB654" s="162"/>
      <c r="BC654" s="162"/>
      <c r="BD654" s="230"/>
      <c r="BE654" s="230"/>
      <c r="BF654" s="162"/>
      <c r="BG654" s="162"/>
      <c r="BH654" s="162"/>
      <c r="BI654" s="162"/>
      <c r="BJ654" s="162"/>
      <c r="BK654" s="230"/>
      <c r="BL654" s="230"/>
      <c r="BM654" s="162"/>
      <c r="BN654" s="162"/>
      <c r="BO654" s="162"/>
      <c r="BP654" s="162"/>
      <c r="BQ654" s="162"/>
      <c r="BR654" s="230"/>
      <c r="BS654" s="230"/>
      <c r="BT654" s="162"/>
      <c r="BU654" s="162"/>
      <c r="BV654" s="162"/>
      <c r="BW654" s="162"/>
      <c r="BX654" s="162"/>
      <c r="BY654" s="230"/>
      <c r="BZ654" s="230"/>
      <c r="CA654" s="162"/>
      <c r="CB654" s="162"/>
      <c r="CC654" s="162"/>
      <c r="CD654" s="162"/>
      <c r="CE654" s="162"/>
      <c r="CF654" s="230"/>
      <c r="CG654" s="230"/>
      <c r="CH654" s="162"/>
      <c r="CI654" s="162"/>
      <c r="CJ654" s="162"/>
      <c r="CK654" s="162"/>
      <c r="CL654" s="162"/>
      <c r="CM654" s="230"/>
      <c r="CN654" s="230"/>
      <c r="CO654" s="162"/>
      <c r="CP654" s="162"/>
      <c r="CQ654" s="162"/>
      <c r="CR654" s="162"/>
      <c r="CS654" s="162"/>
      <c r="CT654" s="230"/>
      <c r="CU654" s="230"/>
      <c r="CV654" s="162"/>
      <c r="CW654" s="162"/>
      <c r="CX654" s="162"/>
      <c r="CY654" s="162"/>
      <c r="CZ654" s="162"/>
      <c r="DA654" s="230"/>
      <c r="DB654" s="230"/>
      <c r="DC654" s="162"/>
      <c r="DD654" s="162"/>
      <c r="DE654" s="162"/>
      <c r="DF654" s="162"/>
      <c r="DG654" s="162"/>
      <c r="DH654" s="230"/>
      <c r="DI654" s="230"/>
      <c r="DJ654" s="162"/>
      <c r="DK654" s="162"/>
      <c r="DL654" s="147"/>
      <c r="DM654" s="147"/>
      <c r="DN654" s="147"/>
      <c r="DO654" s="147"/>
      <c r="DP654" s="147"/>
      <c r="DQ654" s="147"/>
      <c r="DR654" s="147"/>
      <c r="DS654" s="147"/>
      <c r="DT654" s="147"/>
      <c r="DU654" s="147"/>
      <c r="DV654" s="147"/>
      <c r="DW654" s="147"/>
      <c r="DX654" s="147"/>
      <c r="DY654" s="147"/>
      <c r="DZ654" s="147"/>
      <c r="EA654" s="147"/>
      <c r="EB654" s="147"/>
      <c r="EC654" s="147"/>
      <c r="ED654" s="147"/>
      <c r="EE654" s="147"/>
      <c r="EF654" s="147"/>
      <c r="EG654" s="147"/>
      <c r="EH654" s="147"/>
    </row>
    <row r="655" spans="1:138" x14ac:dyDescent="0.25">
      <c r="A655" s="147"/>
      <c r="B655" s="147"/>
      <c r="C655" s="160"/>
      <c r="D655" s="160"/>
      <c r="E655" s="169"/>
      <c r="F655" s="229"/>
      <c r="G655" s="165"/>
      <c r="H655" s="165"/>
      <c r="I655" s="163"/>
      <c r="J655" s="163"/>
      <c r="K655" s="162"/>
      <c r="L655" s="162"/>
      <c r="M655" s="162"/>
      <c r="N655" s="230"/>
      <c r="O655" s="230"/>
      <c r="P655" s="162"/>
      <c r="Q655" s="162"/>
      <c r="R655" s="162"/>
      <c r="S655" s="162"/>
      <c r="T655" s="162"/>
      <c r="U655" s="230"/>
      <c r="V655" s="230"/>
      <c r="W655" s="162"/>
      <c r="X655" s="162"/>
      <c r="Y655" s="162"/>
      <c r="Z655" s="162"/>
      <c r="AA655" s="162"/>
      <c r="AB655" s="230"/>
      <c r="AC655" s="230"/>
      <c r="AD655" s="162"/>
      <c r="AE655" s="162"/>
      <c r="AF655" s="162"/>
      <c r="AG655" s="162"/>
      <c r="AH655" s="162"/>
      <c r="AI655" s="230"/>
      <c r="AJ655" s="230"/>
      <c r="AK655" s="162"/>
      <c r="AL655" s="162"/>
      <c r="AM655" s="162"/>
      <c r="AN655" s="162"/>
      <c r="AO655" s="162"/>
      <c r="AP655" s="230"/>
      <c r="AQ655" s="230"/>
      <c r="AR655" s="162"/>
      <c r="AS655" s="162"/>
      <c r="AT655" s="162"/>
      <c r="AU655" s="162"/>
      <c r="AV655" s="162"/>
      <c r="AW655" s="230"/>
      <c r="AX655" s="230"/>
      <c r="AY655" s="162"/>
      <c r="AZ655" s="162"/>
      <c r="BA655" s="162"/>
      <c r="BB655" s="162"/>
      <c r="BC655" s="162"/>
      <c r="BD655" s="230"/>
      <c r="BE655" s="230"/>
      <c r="BF655" s="162"/>
      <c r="BG655" s="162"/>
      <c r="BH655" s="162"/>
      <c r="BI655" s="162"/>
      <c r="BJ655" s="162"/>
      <c r="BK655" s="230"/>
      <c r="BL655" s="230"/>
      <c r="BM655" s="162"/>
      <c r="BN655" s="162"/>
      <c r="BO655" s="162"/>
      <c r="BP655" s="162"/>
      <c r="BQ655" s="162"/>
      <c r="BR655" s="230"/>
      <c r="BS655" s="230"/>
      <c r="BT655" s="162"/>
      <c r="BU655" s="162"/>
      <c r="BV655" s="162"/>
      <c r="BW655" s="162"/>
      <c r="BX655" s="162"/>
      <c r="BY655" s="230"/>
      <c r="BZ655" s="230"/>
      <c r="CA655" s="162"/>
      <c r="CB655" s="162"/>
      <c r="CC655" s="162"/>
      <c r="CD655" s="162"/>
      <c r="CE655" s="162"/>
      <c r="CF655" s="230"/>
      <c r="CG655" s="230"/>
      <c r="CH655" s="162"/>
      <c r="CI655" s="162"/>
      <c r="CJ655" s="162"/>
      <c r="CK655" s="162"/>
      <c r="CL655" s="162"/>
      <c r="CM655" s="230"/>
      <c r="CN655" s="230"/>
      <c r="CO655" s="162"/>
      <c r="CP655" s="162"/>
      <c r="CQ655" s="162"/>
      <c r="CR655" s="162"/>
      <c r="CS655" s="162"/>
      <c r="CT655" s="230"/>
      <c r="CU655" s="230"/>
      <c r="CV655" s="162"/>
      <c r="CW655" s="162"/>
      <c r="CX655" s="162"/>
      <c r="CY655" s="162"/>
      <c r="CZ655" s="162"/>
      <c r="DA655" s="230"/>
      <c r="DB655" s="230"/>
      <c r="DC655" s="162"/>
      <c r="DD655" s="162"/>
      <c r="DE655" s="162"/>
      <c r="DF655" s="162"/>
      <c r="DG655" s="162"/>
      <c r="DH655" s="230"/>
      <c r="DI655" s="230"/>
      <c r="DJ655" s="162"/>
      <c r="DK655" s="162"/>
      <c r="DL655" s="147"/>
      <c r="DM655" s="147"/>
      <c r="DN655" s="147"/>
      <c r="DO655" s="147"/>
      <c r="DP655" s="147"/>
      <c r="DQ655" s="147"/>
      <c r="DR655" s="147"/>
      <c r="DS655" s="147"/>
      <c r="DT655" s="147"/>
      <c r="DU655" s="147"/>
      <c r="DV655" s="147"/>
      <c r="DW655" s="147"/>
      <c r="DX655" s="147"/>
      <c r="DY655" s="147"/>
      <c r="DZ655" s="147"/>
      <c r="EA655" s="147"/>
      <c r="EB655" s="147"/>
      <c r="EC655" s="147"/>
      <c r="ED655" s="147"/>
      <c r="EE655" s="147"/>
      <c r="EF655" s="147"/>
      <c r="EG655" s="147"/>
      <c r="EH655" s="147"/>
    </row>
    <row r="656" spans="1:138" x14ac:dyDescent="0.25">
      <c r="A656" s="147"/>
      <c r="B656" s="147"/>
      <c r="C656" s="160"/>
      <c r="D656" s="160"/>
      <c r="E656" s="169"/>
      <c r="F656" s="229"/>
      <c r="G656" s="165"/>
      <c r="H656" s="165"/>
      <c r="I656" s="163"/>
      <c r="J656" s="163"/>
      <c r="K656" s="162"/>
      <c r="L656" s="162"/>
      <c r="M656" s="162"/>
      <c r="N656" s="230"/>
      <c r="O656" s="230"/>
      <c r="P656" s="162"/>
      <c r="Q656" s="162"/>
      <c r="R656" s="162"/>
      <c r="S656" s="162"/>
      <c r="T656" s="162"/>
      <c r="U656" s="230"/>
      <c r="V656" s="230"/>
      <c r="W656" s="162"/>
      <c r="X656" s="162"/>
      <c r="Y656" s="162"/>
      <c r="Z656" s="162"/>
      <c r="AA656" s="162"/>
      <c r="AB656" s="230"/>
      <c r="AC656" s="230"/>
      <c r="AD656" s="162"/>
      <c r="AE656" s="162"/>
      <c r="AF656" s="162"/>
      <c r="AG656" s="162"/>
      <c r="AH656" s="162"/>
      <c r="AI656" s="230"/>
      <c r="AJ656" s="230"/>
      <c r="AK656" s="162"/>
      <c r="AL656" s="162"/>
      <c r="AM656" s="162"/>
      <c r="AN656" s="162"/>
      <c r="AO656" s="162"/>
      <c r="AP656" s="230"/>
      <c r="AQ656" s="230"/>
      <c r="AR656" s="162"/>
      <c r="AS656" s="162"/>
      <c r="AT656" s="162"/>
      <c r="AU656" s="162"/>
      <c r="AV656" s="162"/>
      <c r="AW656" s="230"/>
      <c r="AX656" s="230"/>
      <c r="AY656" s="162"/>
      <c r="AZ656" s="162"/>
      <c r="BA656" s="162"/>
      <c r="BB656" s="162"/>
      <c r="BC656" s="162"/>
      <c r="BD656" s="230"/>
      <c r="BE656" s="230"/>
      <c r="BF656" s="162"/>
      <c r="BG656" s="162"/>
      <c r="BH656" s="162"/>
      <c r="BI656" s="162"/>
      <c r="BJ656" s="162"/>
      <c r="BK656" s="230"/>
      <c r="BL656" s="230"/>
      <c r="BM656" s="162"/>
      <c r="BN656" s="162"/>
      <c r="BO656" s="162"/>
      <c r="BP656" s="162"/>
      <c r="BQ656" s="162"/>
      <c r="BR656" s="230"/>
      <c r="BS656" s="230"/>
      <c r="BT656" s="162"/>
      <c r="BU656" s="162"/>
      <c r="BV656" s="162"/>
      <c r="BW656" s="162"/>
      <c r="BX656" s="162"/>
      <c r="BY656" s="230"/>
      <c r="BZ656" s="230"/>
      <c r="CA656" s="162"/>
      <c r="CB656" s="162"/>
      <c r="CC656" s="162"/>
      <c r="CD656" s="162"/>
      <c r="CE656" s="162"/>
      <c r="CF656" s="230"/>
      <c r="CG656" s="230"/>
      <c r="CH656" s="162"/>
      <c r="CI656" s="162"/>
      <c r="CJ656" s="162"/>
      <c r="CK656" s="162"/>
      <c r="CL656" s="162"/>
      <c r="CM656" s="230"/>
      <c r="CN656" s="230"/>
      <c r="CO656" s="162"/>
      <c r="CP656" s="162"/>
      <c r="CQ656" s="162"/>
      <c r="CR656" s="162"/>
      <c r="CS656" s="162"/>
      <c r="CT656" s="230"/>
      <c r="CU656" s="230"/>
      <c r="CV656" s="162"/>
      <c r="CW656" s="162"/>
      <c r="CX656" s="162"/>
      <c r="CY656" s="162"/>
      <c r="CZ656" s="162"/>
      <c r="DA656" s="230"/>
      <c r="DB656" s="230"/>
      <c r="DC656" s="162"/>
      <c r="DD656" s="162"/>
      <c r="DE656" s="162"/>
      <c r="DF656" s="162"/>
      <c r="DG656" s="162"/>
      <c r="DH656" s="230"/>
      <c r="DI656" s="230"/>
      <c r="DJ656" s="162"/>
      <c r="DK656" s="162"/>
      <c r="DL656" s="147"/>
      <c r="DM656" s="147"/>
      <c r="DN656" s="147"/>
      <c r="DO656" s="147"/>
      <c r="DP656" s="147"/>
      <c r="DQ656" s="147"/>
      <c r="DR656" s="147"/>
      <c r="DS656" s="147"/>
      <c r="DT656" s="147"/>
      <c r="DU656" s="147"/>
      <c r="DV656" s="147"/>
      <c r="DW656" s="147"/>
      <c r="DX656" s="147"/>
      <c r="DY656" s="147"/>
      <c r="DZ656" s="147"/>
      <c r="EA656" s="147"/>
      <c r="EB656" s="147"/>
      <c r="EC656" s="147"/>
      <c r="ED656" s="147"/>
      <c r="EE656" s="147"/>
      <c r="EF656" s="147"/>
      <c r="EG656" s="147"/>
      <c r="EH656" s="147"/>
    </row>
    <row r="657" spans="1:138" x14ac:dyDescent="0.25">
      <c r="A657" s="147"/>
      <c r="B657" s="147"/>
      <c r="C657" s="160"/>
      <c r="D657" s="160"/>
      <c r="E657" s="169"/>
      <c r="F657" s="229"/>
      <c r="G657" s="165"/>
      <c r="H657" s="165"/>
      <c r="I657" s="163"/>
      <c r="J657" s="163"/>
      <c r="K657" s="162"/>
      <c r="L657" s="162"/>
      <c r="M657" s="162"/>
      <c r="N657" s="230"/>
      <c r="O657" s="230"/>
      <c r="P657" s="162"/>
      <c r="Q657" s="162"/>
      <c r="R657" s="162"/>
      <c r="S657" s="162"/>
      <c r="T657" s="162"/>
      <c r="U657" s="230"/>
      <c r="V657" s="230"/>
      <c r="W657" s="162"/>
      <c r="X657" s="162"/>
      <c r="Y657" s="162"/>
      <c r="Z657" s="162"/>
      <c r="AA657" s="162"/>
      <c r="AB657" s="230"/>
      <c r="AC657" s="230"/>
      <c r="AD657" s="162"/>
      <c r="AE657" s="162"/>
      <c r="AF657" s="162"/>
      <c r="AG657" s="162"/>
      <c r="AH657" s="162"/>
      <c r="AI657" s="230"/>
      <c r="AJ657" s="230"/>
      <c r="AK657" s="162"/>
      <c r="AL657" s="162"/>
      <c r="AM657" s="162"/>
      <c r="AN657" s="162"/>
      <c r="AO657" s="162"/>
      <c r="AP657" s="230"/>
      <c r="AQ657" s="230"/>
      <c r="AR657" s="162"/>
      <c r="AS657" s="162"/>
      <c r="AT657" s="162"/>
      <c r="AU657" s="162"/>
      <c r="AV657" s="162"/>
      <c r="AW657" s="230"/>
      <c r="AX657" s="230"/>
      <c r="AY657" s="162"/>
      <c r="AZ657" s="162"/>
      <c r="BA657" s="162"/>
      <c r="BB657" s="162"/>
      <c r="BC657" s="162"/>
      <c r="BD657" s="230"/>
      <c r="BE657" s="230"/>
      <c r="BF657" s="162"/>
      <c r="BG657" s="162"/>
      <c r="BH657" s="162"/>
      <c r="BI657" s="162"/>
      <c r="BJ657" s="162"/>
      <c r="BK657" s="230"/>
      <c r="BL657" s="230"/>
      <c r="BM657" s="162"/>
      <c r="BN657" s="162"/>
      <c r="BO657" s="162"/>
      <c r="BP657" s="162"/>
      <c r="BQ657" s="162"/>
      <c r="BR657" s="230"/>
      <c r="BS657" s="230"/>
      <c r="BT657" s="162"/>
      <c r="BU657" s="162"/>
      <c r="BV657" s="162"/>
      <c r="BW657" s="162"/>
      <c r="BX657" s="162"/>
      <c r="BY657" s="230"/>
      <c r="BZ657" s="230"/>
      <c r="CA657" s="162"/>
      <c r="CB657" s="162"/>
      <c r="CC657" s="162"/>
      <c r="CD657" s="162"/>
      <c r="CE657" s="162"/>
      <c r="CF657" s="230"/>
      <c r="CG657" s="230"/>
      <c r="CH657" s="162"/>
      <c r="CI657" s="162"/>
      <c r="CJ657" s="162"/>
      <c r="CK657" s="162"/>
      <c r="CL657" s="162"/>
      <c r="CM657" s="230"/>
      <c r="CN657" s="230"/>
      <c r="CO657" s="162"/>
      <c r="CP657" s="162"/>
      <c r="CQ657" s="162"/>
      <c r="CR657" s="162"/>
      <c r="CS657" s="162"/>
      <c r="CT657" s="230"/>
      <c r="CU657" s="230"/>
      <c r="CV657" s="162"/>
      <c r="CW657" s="162"/>
      <c r="CX657" s="162"/>
      <c r="CY657" s="162"/>
      <c r="CZ657" s="162"/>
      <c r="DA657" s="230"/>
      <c r="DB657" s="230"/>
      <c r="DC657" s="162"/>
      <c r="DD657" s="162"/>
      <c r="DE657" s="162"/>
      <c r="DF657" s="162"/>
      <c r="DG657" s="162"/>
      <c r="DH657" s="230"/>
      <c r="DI657" s="230"/>
      <c r="DJ657" s="162"/>
      <c r="DK657" s="162"/>
      <c r="DL657" s="147"/>
      <c r="DM657" s="147"/>
      <c r="DN657" s="147"/>
      <c r="DO657" s="147"/>
      <c r="DP657" s="147"/>
      <c r="DQ657" s="147"/>
      <c r="DR657" s="147"/>
      <c r="DS657" s="147"/>
      <c r="DT657" s="147"/>
      <c r="DU657" s="147"/>
      <c r="DV657" s="147"/>
      <c r="DW657" s="147"/>
      <c r="DX657" s="147"/>
      <c r="DY657" s="147"/>
      <c r="DZ657" s="147"/>
      <c r="EA657" s="147"/>
      <c r="EB657" s="147"/>
      <c r="EC657" s="147"/>
      <c r="ED657" s="147"/>
      <c r="EE657" s="147"/>
      <c r="EF657" s="147"/>
      <c r="EG657" s="147"/>
      <c r="EH657" s="147"/>
    </row>
    <row r="658" spans="1:138" x14ac:dyDescent="0.25">
      <c r="A658" s="147"/>
      <c r="B658" s="147"/>
      <c r="C658" s="160"/>
      <c r="D658" s="160"/>
      <c r="E658" s="169"/>
      <c r="F658" s="229"/>
      <c r="G658" s="165"/>
      <c r="H658" s="165"/>
      <c r="I658" s="163"/>
      <c r="J658" s="163"/>
      <c r="K658" s="162"/>
      <c r="L658" s="162"/>
      <c r="M658" s="162"/>
      <c r="N658" s="230"/>
      <c r="O658" s="230"/>
      <c r="P658" s="162"/>
      <c r="Q658" s="162"/>
      <c r="R658" s="162"/>
      <c r="S658" s="162"/>
      <c r="T658" s="162"/>
      <c r="U658" s="230"/>
      <c r="V658" s="230"/>
      <c r="W658" s="162"/>
      <c r="X658" s="162"/>
      <c r="Y658" s="162"/>
      <c r="Z658" s="162"/>
      <c r="AA658" s="162"/>
      <c r="AB658" s="230"/>
      <c r="AC658" s="230"/>
      <c r="AD658" s="162"/>
      <c r="AE658" s="162"/>
      <c r="AF658" s="162"/>
      <c r="AG658" s="162"/>
      <c r="AH658" s="162"/>
      <c r="AI658" s="230"/>
      <c r="AJ658" s="230"/>
      <c r="AK658" s="162"/>
      <c r="AL658" s="162"/>
      <c r="AM658" s="162"/>
      <c r="AN658" s="162"/>
      <c r="AO658" s="162"/>
      <c r="AP658" s="230"/>
      <c r="AQ658" s="230"/>
      <c r="AR658" s="162"/>
      <c r="AS658" s="162"/>
      <c r="AT658" s="162"/>
      <c r="AU658" s="162"/>
      <c r="AV658" s="162"/>
      <c r="AW658" s="230"/>
      <c r="AX658" s="230"/>
      <c r="AY658" s="162"/>
      <c r="AZ658" s="162"/>
      <c r="BA658" s="162"/>
      <c r="BB658" s="162"/>
      <c r="BC658" s="162"/>
      <c r="BD658" s="230"/>
      <c r="BE658" s="230"/>
      <c r="BF658" s="162"/>
      <c r="BG658" s="162"/>
      <c r="BH658" s="162"/>
      <c r="BI658" s="162"/>
      <c r="BJ658" s="162"/>
      <c r="BK658" s="230"/>
      <c r="BL658" s="230"/>
      <c r="BM658" s="162"/>
      <c r="BN658" s="162"/>
      <c r="BO658" s="162"/>
      <c r="BP658" s="162"/>
      <c r="BQ658" s="162"/>
      <c r="BR658" s="230"/>
      <c r="BS658" s="230"/>
      <c r="BT658" s="162"/>
      <c r="BU658" s="162"/>
      <c r="BV658" s="162"/>
      <c r="BW658" s="162"/>
      <c r="BX658" s="162"/>
      <c r="BY658" s="230"/>
      <c r="BZ658" s="230"/>
      <c r="CA658" s="162"/>
      <c r="CB658" s="162"/>
      <c r="CC658" s="162"/>
      <c r="CD658" s="162"/>
      <c r="CE658" s="162"/>
      <c r="CF658" s="230"/>
      <c r="CG658" s="230"/>
      <c r="CH658" s="162"/>
      <c r="CI658" s="162"/>
      <c r="CJ658" s="162"/>
      <c r="CK658" s="162"/>
      <c r="CL658" s="162"/>
      <c r="CM658" s="230"/>
      <c r="CN658" s="230"/>
      <c r="CO658" s="162"/>
      <c r="CP658" s="162"/>
      <c r="CQ658" s="162"/>
      <c r="CR658" s="162"/>
      <c r="CS658" s="162"/>
      <c r="CT658" s="230"/>
      <c r="CU658" s="230"/>
      <c r="CV658" s="162"/>
      <c r="CW658" s="162"/>
      <c r="CX658" s="162"/>
      <c r="CY658" s="162"/>
      <c r="CZ658" s="162"/>
      <c r="DA658" s="230"/>
      <c r="DB658" s="230"/>
      <c r="DC658" s="162"/>
      <c r="DD658" s="162"/>
      <c r="DE658" s="162"/>
      <c r="DF658" s="162"/>
      <c r="DG658" s="162"/>
      <c r="DH658" s="230"/>
      <c r="DI658" s="230"/>
      <c r="DJ658" s="162"/>
      <c r="DK658" s="162"/>
      <c r="DL658" s="147"/>
      <c r="DM658" s="147"/>
      <c r="DN658" s="147"/>
      <c r="DO658" s="147"/>
      <c r="DP658" s="147"/>
      <c r="DQ658" s="147"/>
      <c r="DR658" s="147"/>
      <c r="DS658" s="147"/>
      <c r="DT658" s="147"/>
      <c r="DU658" s="147"/>
      <c r="DV658" s="147"/>
      <c r="DW658" s="147"/>
      <c r="DX658" s="147"/>
      <c r="DY658" s="147"/>
      <c r="DZ658" s="147"/>
      <c r="EA658" s="147"/>
      <c r="EB658" s="147"/>
      <c r="EC658" s="147"/>
      <c r="ED658" s="147"/>
      <c r="EE658" s="147"/>
      <c r="EF658" s="147"/>
      <c r="EG658" s="147"/>
      <c r="EH658" s="147"/>
    </row>
    <row r="659" spans="1:138" x14ac:dyDescent="0.25">
      <c r="A659" s="147"/>
      <c r="B659" s="147"/>
      <c r="C659" s="160"/>
      <c r="D659" s="160"/>
      <c r="E659" s="169"/>
      <c r="F659" s="229"/>
      <c r="G659" s="165"/>
      <c r="H659" s="165"/>
      <c r="I659" s="163"/>
      <c r="J659" s="163"/>
      <c r="K659" s="162"/>
      <c r="L659" s="162"/>
      <c r="M659" s="162"/>
      <c r="N659" s="230"/>
      <c r="O659" s="230"/>
      <c r="P659" s="162"/>
      <c r="Q659" s="162"/>
      <c r="R659" s="162"/>
      <c r="S659" s="162"/>
      <c r="T659" s="162"/>
      <c r="U659" s="230"/>
      <c r="V659" s="230"/>
      <c r="W659" s="162"/>
      <c r="X659" s="162"/>
      <c r="Y659" s="162"/>
      <c r="Z659" s="162"/>
      <c r="AA659" s="162"/>
      <c r="AB659" s="230"/>
      <c r="AC659" s="230"/>
      <c r="AD659" s="162"/>
      <c r="AE659" s="162"/>
      <c r="AF659" s="162"/>
      <c r="AG659" s="162"/>
      <c r="AH659" s="162"/>
      <c r="AI659" s="230"/>
      <c r="AJ659" s="230"/>
      <c r="AK659" s="162"/>
      <c r="AL659" s="162"/>
      <c r="AM659" s="162"/>
      <c r="AN659" s="162"/>
      <c r="AO659" s="162"/>
      <c r="AP659" s="230"/>
      <c r="AQ659" s="230"/>
      <c r="AR659" s="162"/>
      <c r="AS659" s="162"/>
      <c r="AT659" s="162"/>
      <c r="AU659" s="162"/>
      <c r="AV659" s="162"/>
      <c r="AW659" s="230"/>
      <c r="AX659" s="230"/>
      <c r="AY659" s="162"/>
      <c r="AZ659" s="162"/>
      <c r="BA659" s="162"/>
      <c r="BB659" s="162"/>
      <c r="BC659" s="162"/>
      <c r="BD659" s="230"/>
      <c r="BE659" s="230"/>
      <c r="BF659" s="162"/>
      <c r="BG659" s="162"/>
      <c r="BH659" s="162"/>
      <c r="BI659" s="162"/>
      <c r="BJ659" s="162"/>
      <c r="BK659" s="230"/>
      <c r="BL659" s="230"/>
      <c r="BM659" s="162"/>
      <c r="BN659" s="162"/>
      <c r="BO659" s="162"/>
      <c r="BP659" s="162"/>
      <c r="BQ659" s="162"/>
      <c r="BR659" s="230"/>
      <c r="BS659" s="230"/>
      <c r="BT659" s="162"/>
      <c r="BU659" s="162"/>
      <c r="BV659" s="162"/>
      <c r="BW659" s="162"/>
      <c r="BX659" s="162"/>
      <c r="BY659" s="230"/>
      <c r="BZ659" s="230"/>
      <c r="CA659" s="162"/>
      <c r="CB659" s="162"/>
      <c r="CC659" s="162"/>
      <c r="CD659" s="162"/>
      <c r="CE659" s="162"/>
      <c r="CF659" s="230"/>
      <c r="CG659" s="230"/>
      <c r="CH659" s="162"/>
      <c r="CI659" s="162"/>
      <c r="CJ659" s="162"/>
      <c r="CK659" s="162"/>
      <c r="CL659" s="162"/>
      <c r="CM659" s="230"/>
      <c r="CN659" s="230"/>
      <c r="CO659" s="162"/>
      <c r="CP659" s="162"/>
      <c r="CQ659" s="162"/>
      <c r="CR659" s="162"/>
      <c r="CS659" s="162"/>
      <c r="CT659" s="230"/>
      <c r="CU659" s="230"/>
      <c r="CV659" s="162"/>
      <c r="CW659" s="162"/>
      <c r="CX659" s="162"/>
      <c r="CY659" s="162"/>
      <c r="CZ659" s="162"/>
      <c r="DA659" s="230"/>
      <c r="DB659" s="230"/>
      <c r="DC659" s="162"/>
      <c r="DD659" s="162"/>
      <c r="DE659" s="162"/>
      <c r="DF659" s="162"/>
      <c r="DG659" s="162"/>
      <c r="DH659" s="230"/>
      <c r="DI659" s="230"/>
      <c r="DJ659" s="162"/>
      <c r="DK659" s="162"/>
      <c r="DL659" s="147"/>
      <c r="DM659" s="147"/>
      <c r="DN659" s="147"/>
      <c r="DO659" s="147"/>
      <c r="DP659" s="147"/>
      <c r="DQ659" s="147"/>
      <c r="DR659" s="147"/>
      <c r="DS659" s="147"/>
      <c r="DT659" s="147"/>
      <c r="DU659" s="147"/>
      <c r="DV659" s="147"/>
      <c r="DW659" s="147"/>
      <c r="DX659" s="147"/>
      <c r="DY659" s="147"/>
      <c r="DZ659" s="147"/>
      <c r="EA659" s="147"/>
      <c r="EB659" s="147"/>
      <c r="EC659" s="147"/>
      <c r="ED659" s="147"/>
      <c r="EE659" s="147"/>
      <c r="EF659" s="147"/>
      <c r="EG659" s="147"/>
      <c r="EH659" s="147"/>
    </row>
    <row r="660" spans="1:138" x14ac:dyDescent="0.25">
      <c r="A660" s="147"/>
      <c r="B660" s="147"/>
      <c r="C660" s="160"/>
      <c r="D660" s="160"/>
      <c r="E660" s="169"/>
      <c r="F660" s="229"/>
      <c r="G660" s="165"/>
      <c r="H660" s="165"/>
      <c r="I660" s="163"/>
      <c r="J660" s="163"/>
      <c r="K660" s="162"/>
      <c r="L660" s="162"/>
      <c r="M660" s="162"/>
      <c r="N660" s="230"/>
      <c r="O660" s="230"/>
      <c r="P660" s="162"/>
      <c r="Q660" s="162"/>
      <c r="R660" s="162"/>
      <c r="S660" s="162"/>
      <c r="T660" s="162"/>
      <c r="U660" s="230"/>
      <c r="V660" s="230"/>
      <c r="W660" s="162"/>
      <c r="X660" s="162"/>
      <c r="Y660" s="162"/>
      <c r="Z660" s="162"/>
      <c r="AA660" s="162"/>
      <c r="AB660" s="230"/>
      <c r="AC660" s="230"/>
      <c r="AD660" s="162"/>
      <c r="AE660" s="162"/>
      <c r="AF660" s="162"/>
      <c r="AG660" s="162"/>
      <c r="AH660" s="162"/>
      <c r="AI660" s="230"/>
      <c r="AJ660" s="230"/>
      <c r="AK660" s="162"/>
      <c r="AL660" s="162"/>
      <c r="AM660" s="162"/>
      <c r="AN660" s="162"/>
      <c r="AO660" s="162"/>
      <c r="AP660" s="230"/>
      <c r="AQ660" s="230"/>
      <c r="AR660" s="162"/>
      <c r="AS660" s="162"/>
      <c r="AT660" s="162"/>
      <c r="AU660" s="162"/>
      <c r="AV660" s="162"/>
      <c r="AW660" s="230"/>
      <c r="AX660" s="230"/>
      <c r="AY660" s="162"/>
      <c r="AZ660" s="162"/>
      <c r="BA660" s="162"/>
      <c r="BB660" s="162"/>
      <c r="BC660" s="162"/>
      <c r="BD660" s="230"/>
      <c r="BE660" s="230"/>
      <c r="BF660" s="162"/>
      <c r="BG660" s="162"/>
      <c r="BH660" s="162"/>
      <c r="BI660" s="162"/>
      <c r="BJ660" s="162"/>
      <c r="BK660" s="230"/>
      <c r="BL660" s="230"/>
      <c r="BM660" s="162"/>
      <c r="BN660" s="162"/>
      <c r="BO660" s="162"/>
      <c r="BP660" s="162"/>
      <c r="BQ660" s="162"/>
      <c r="BR660" s="230"/>
      <c r="BS660" s="230"/>
      <c r="BT660" s="162"/>
      <c r="BU660" s="162"/>
      <c r="BV660" s="162"/>
      <c r="BW660" s="162"/>
      <c r="BX660" s="162"/>
      <c r="BY660" s="230"/>
      <c r="BZ660" s="230"/>
      <c r="CA660" s="162"/>
      <c r="CB660" s="162"/>
      <c r="CC660" s="162"/>
      <c r="CD660" s="162"/>
      <c r="CE660" s="162"/>
      <c r="CF660" s="230"/>
      <c r="CG660" s="230"/>
      <c r="CH660" s="162"/>
      <c r="CI660" s="162"/>
      <c r="CJ660" s="162"/>
      <c r="CK660" s="162"/>
      <c r="CL660" s="162"/>
      <c r="CM660" s="230"/>
      <c r="CN660" s="230"/>
      <c r="CO660" s="162"/>
      <c r="CP660" s="162"/>
      <c r="CQ660" s="162"/>
      <c r="CR660" s="162"/>
      <c r="CS660" s="162"/>
      <c r="CT660" s="230"/>
      <c r="CU660" s="230"/>
      <c r="CV660" s="162"/>
      <c r="CW660" s="162"/>
      <c r="CX660" s="162"/>
      <c r="CY660" s="162"/>
      <c r="CZ660" s="162"/>
      <c r="DA660" s="230"/>
      <c r="DB660" s="230"/>
      <c r="DC660" s="162"/>
      <c r="DD660" s="162"/>
      <c r="DE660" s="162"/>
      <c r="DF660" s="162"/>
      <c r="DG660" s="162"/>
      <c r="DH660" s="230"/>
      <c r="DI660" s="230"/>
      <c r="DJ660" s="162"/>
      <c r="DK660" s="162"/>
      <c r="DL660" s="147"/>
      <c r="DM660" s="147"/>
      <c r="DN660" s="147"/>
      <c r="DO660" s="147"/>
      <c r="DP660" s="147"/>
      <c r="DQ660" s="147"/>
      <c r="DR660" s="147"/>
      <c r="DS660" s="147"/>
      <c r="DT660" s="147"/>
      <c r="DU660" s="147"/>
      <c r="DV660" s="147"/>
      <c r="DW660" s="147"/>
      <c r="DX660" s="147"/>
      <c r="DY660" s="147"/>
      <c r="DZ660" s="147"/>
      <c r="EA660" s="147"/>
      <c r="EB660" s="147"/>
      <c r="EC660" s="147"/>
      <c r="ED660" s="147"/>
      <c r="EE660" s="147"/>
      <c r="EF660" s="147"/>
      <c r="EG660" s="147"/>
      <c r="EH660" s="147"/>
    </row>
    <row r="661" spans="1:138" x14ac:dyDescent="0.25">
      <c r="A661" s="147"/>
      <c r="B661" s="147"/>
      <c r="C661" s="160"/>
      <c r="D661" s="160"/>
      <c r="E661" s="169"/>
      <c r="F661" s="229"/>
      <c r="G661" s="165"/>
      <c r="H661" s="165"/>
      <c r="I661" s="163"/>
      <c r="J661" s="163"/>
      <c r="K661" s="162"/>
      <c r="L661" s="162"/>
      <c r="M661" s="162"/>
      <c r="N661" s="230"/>
      <c r="O661" s="230"/>
      <c r="P661" s="162"/>
      <c r="Q661" s="162"/>
      <c r="R661" s="162"/>
      <c r="S661" s="162"/>
      <c r="T661" s="162"/>
      <c r="U661" s="230"/>
      <c r="V661" s="230"/>
      <c r="W661" s="162"/>
      <c r="X661" s="162"/>
      <c r="Y661" s="162"/>
      <c r="Z661" s="162"/>
      <c r="AA661" s="162"/>
      <c r="AB661" s="230"/>
      <c r="AC661" s="230"/>
      <c r="AD661" s="162"/>
      <c r="AE661" s="162"/>
      <c r="AF661" s="162"/>
      <c r="AG661" s="162"/>
      <c r="AH661" s="162"/>
      <c r="AI661" s="230"/>
      <c r="AJ661" s="230"/>
      <c r="AK661" s="162"/>
      <c r="AL661" s="162"/>
      <c r="AM661" s="162"/>
      <c r="AN661" s="162"/>
      <c r="AO661" s="162"/>
      <c r="AP661" s="230"/>
      <c r="AQ661" s="230"/>
      <c r="AR661" s="162"/>
      <c r="AS661" s="162"/>
      <c r="AT661" s="162"/>
      <c r="AU661" s="162"/>
      <c r="AV661" s="162"/>
      <c r="AW661" s="230"/>
      <c r="AX661" s="230"/>
      <c r="AY661" s="162"/>
      <c r="AZ661" s="162"/>
      <c r="BA661" s="162"/>
      <c r="BB661" s="162"/>
      <c r="BC661" s="162"/>
      <c r="BD661" s="230"/>
      <c r="BE661" s="230"/>
      <c r="BF661" s="162"/>
      <c r="BG661" s="162"/>
      <c r="BH661" s="162"/>
      <c r="BI661" s="162"/>
      <c r="BJ661" s="162"/>
      <c r="BK661" s="230"/>
      <c r="BL661" s="230"/>
      <c r="BM661" s="162"/>
      <c r="BN661" s="162"/>
      <c r="BO661" s="162"/>
      <c r="BP661" s="162"/>
      <c r="BQ661" s="162"/>
      <c r="BR661" s="230"/>
      <c r="BS661" s="230"/>
      <c r="BT661" s="162"/>
      <c r="BU661" s="162"/>
      <c r="BV661" s="162"/>
      <c r="BW661" s="162"/>
      <c r="BX661" s="162"/>
      <c r="BY661" s="230"/>
      <c r="BZ661" s="230"/>
      <c r="CA661" s="162"/>
      <c r="CB661" s="162"/>
      <c r="CC661" s="162"/>
      <c r="CD661" s="162"/>
      <c r="CE661" s="162"/>
      <c r="CF661" s="230"/>
      <c r="CG661" s="230"/>
      <c r="CH661" s="162"/>
      <c r="CI661" s="162"/>
      <c r="CJ661" s="162"/>
      <c r="CK661" s="162"/>
      <c r="CL661" s="162"/>
      <c r="CM661" s="230"/>
      <c r="CN661" s="230"/>
      <c r="CO661" s="162"/>
      <c r="CP661" s="162"/>
      <c r="CQ661" s="162"/>
      <c r="CR661" s="162"/>
      <c r="CS661" s="162"/>
      <c r="CT661" s="230"/>
      <c r="CU661" s="230"/>
      <c r="CV661" s="162"/>
      <c r="CW661" s="162"/>
      <c r="CX661" s="162"/>
      <c r="CY661" s="162"/>
      <c r="CZ661" s="162"/>
      <c r="DA661" s="230"/>
      <c r="DB661" s="230"/>
      <c r="DC661" s="162"/>
      <c r="DD661" s="162"/>
      <c r="DE661" s="162"/>
      <c r="DF661" s="162"/>
      <c r="DG661" s="162"/>
      <c r="DH661" s="230"/>
      <c r="DI661" s="230"/>
      <c r="DJ661" s="162"/>
      <c r="DK661" s="162"/>
      <c r="DL661" s="147"/>
      <c r="DM661" s="147"/>
      <c r="DN661" s="147"/>
      <c r="DO661" s="147"/>
      <c r="DP661" s="147"/>
      <c r="DQ661" s="147"/>
      <c r="DR661" s="147"/>
      <c r="DS661" s="147"/>
      <c r="DT661" s="147"/>
      <c r="DU661" s="147"/>
      <c r="DV661" s="147"/>
      <c r="DW661" s="147"/>
      <c r="DX661" s="147"/>
      <c r="DY661" s="147"/>
      <c r="DZ661" s="147"/>
      <c r="EA661" s="147"/>
      <c r="EB661" s="147"/>
      <c r="EC661" s="147"/>
      <c r="ED661" s="147"/>
      <c r="EE661" s="147"/>
      <c r="EF661" s="147"/>
      <c r="EG661" s="147"/>
      <c r="EH661" s="147"/>
    </row>
    <row r="662" spans="1:138" x14ac:dyDescent="0.25">
      <c r="A662" s="147"/>
      <c r="B662" s="147"/>
      <c r="C662" s="160"/>
      <c r="D662" s="160"/>
      <c r="E662" s="169"/>
      <c r="F662" s="229"/>
      <c r="G662" s="165"/>
      <c r="H662" s="165"/>
      <c r="I662" s="163"/>
      <c r="J662" s="163"/>
      <c r="K662" s="162"/>
      <c r="L662" s="162"/>
      <c r="M662" s="162"/>
      <c r="N662" s="230"/>
      <c r="O662" s="230"/>
      <c r="P662" s="162"/>
      <c r="Q662" s="162"/>
      <c r="R662" s="162"/>
      <c r="S662" s="162"/>
      <c r="T662" s="162"/>
      <c r="U662" s="230"/>
      <c r="V662" s="230"/>
      <c r="W662" s="162"/>
      <c r="X662" s="162"/>
      <c r="Y662" s="162"/>
      <c r="Z662" s="162"/>
      <c r="AA662" s="162"/>
      <c r="AB662" s="230"/>
      <c r="AC662" s="230"/>
      <c r="AD662" s="162"/>
      <c r="AE662" s="162"/>
      <c r="AF662" s="162"/>
      <c r="AG662" s="162"/>
      <c r="AH662" s="162"/>
      <c r="AI662" s="230"/>
      <c r="AJ662" s="230"/>
      <c r="AK662" s="162"/>
      <c r="AL662" s="162"/>
      <c r="AM662" s="162"/>
      <c r="AN662" s="162"/>
      <c r="AO662" s="162"/>
      <c r="AP662" s="230"/>
      <c r="AQ662" s="230"/>
      <c r="AR662" s="162"/>
      <c r="AS662" s="162"/>
      <c r="AT662" s="162"/>
      <c r="AU662" s="162"/>
      <c r="AV662" s="162"/>
      <c r="AW662" s="230"/>
      <c r="AX662" s="230"/>
      <c r="AY662" s="162"/>
      <c r="AZ662" s="162"/>
      <c r="BA662" s="162"/>
      <c r="BB662" s="162"/>
      <c r="BC662" s="162"/>
      <c r="BD662" s="230"/>
      <c r="BE662" s="230"/>
      <c r="BF662" s="162"/>
      <c r="BG662" s="162"/>
      <c r="BH662" s="162"/>
      <c r="BI662" s="162"/>
      <c r="BJ662" s="162"/>
      <c r="BK662" s="230"/>
      <c r="BL662" s="230"/>
      <c r="BM662" s="162"/>
      <c r="BN662" s="162"/>
      <c r="BO662" s="162"/>
      <c r="BP662" s="162"/>
      <c r="BQ662" s="162"/>
      <c r="BR662" s="230"/>
      <c r="BS662" s="230"/>
      <c r="BT662" s="162"/>
      <c r="BU662" s="162"/>
      <c r="BV662" s="162"/>
      <c r="BW662" s="162"/>
      <c r="BX662" s="162"/>
      <c r="BY662" s="230"/>
      <c r="BZ662" s="230"/>
      <c r="CA662" s="162"/>
      <c r="CB662" s="162"/>
      <c r="CC662" s="162"/>
      <c r="CD662" s="162"/>
      <c r="CE662" s="162"/>
      <c r="CF662" s="230"/>
      <c r="CG662" s="230"/>
      <c r="CH662" s="162"/>
      <c r="CI662" s="162"/>
      <c r="CJ662" s="162"/>
      <c r="CK662" s="162"/>
      <c r="CL662" s="162"/>
      <c r="CM662" s="230"/>
      <c r="CN662" s="230"/>
      <c r="CO662" s="162"/>
      <c r="CP662" s="162"/>
      <c r="CQ662" s="162"/>
      <c r="CR662" s="162"/>
      <c r="CS662" s="162"/>
      <c r="CT662" s="230"/>
      <c r="CU662" s="230"/>
      <c r="CV662" s="162"/>
      <c r="CW662" s="162"/>
      <c r="CX662" s="162"/>
      <c r="CY662" s="162"/>
      <c r="CZ662" s="162"/>
      <c r="DA662" s="230"/>
      <c r="DB662" s="230"/>
      <c r="DC662" s="162"/>
      <c r="DD662" s="162"/>
      <c r="DE662" s="162"/>
      <c r="DF662" s="162"/>
      <c r="DG662" s="162"/>
      <c r="DH662" s="230"/>
      <c r="DI662" s="230"/>
      <c r="DJ662" s="162"/>
      <c r="DK662" s="162"/>
      <c r="DL662" s="147"/>
      <c r="DM662" s="147"/>
      <c r="DN662" s="147"/>
      <c r="DO662" s="147"/>
      <c r="DP662" s="147"/>
      <c r="DQ662" s="147"/>
      <c r="DR662" s="147"/>
      <c r="DS662" s="147"/>
      <c r="DT662" s="147"/>
      <c r="DU662" s="147"/>
      <c r="DV662" s="147"/>
      <c r="DW662" s="147"/>
      <c r="DX662" s="147"/>
      <c r="DY662" s="147"/>
      <c r="DZ662" s="147"/>
      <c r="EA662" s="147"/>
      <c r="EB662" s="147"/>
      <c r="EC662" s="147"/>
      <c r="ED662" s="147"/>
      <c r="EE662" s="147"/>
      <c r="EF662" s="147"/>
      <c r="EG662" s="147"/>
      <c r="EH662" s="147"/>
    </row>
    <row r="663" spans="1:138" x14ac:dyDescent="0.25">
      <c r="A663" s="147"/>
      <c r="B663" s="147"/>
      <c r="C663" s="160"/>
      <c r="D663" s="160"/>
      <c r="E663" s="169"/>
      <c r="F663" s="229"/>
      <c r="G663" s="165"/>
      <c r="H663" s="165"/>
      <c r="I663" s="163"/>
      <c r="J663" s="163"/>
      <c r="K663" s="162"/>
      <c r="L663" s="162"/>
      <c r="M663" s="162"/>
      <c r="N663" s="230"/>
      <c r="O663" s="230"/>
      <c r="P663" s="162"/>
      <c r="Q663" s="162"/>
      <c r="R663" s="162"/>
      <c r="S663" s="162"/>
      <c r="T663" s="162"/>
      <c r="U663" s="230"/>
      <c r="V663" s="230"/>
      <c r="W663" s="162"/>
      <c r="X663" s="162"/>
      <c r="Y663" s="162"/>
      <c r="Z663" s="162"/>
      <c r="AA663" s="162"/>
      <c r="AB663" s="230"/>
      <c r="AC663" s="230"/>
      <c r="AD663" s="162"/>
      <c r="AE663" s="162"/>
      <c r="AF663" s="162"/>
      <c r="AG663" s="162"/>
      <c r="AH663" s="162"/>
      <c r="AI663" s="230"/>
      <c r="AJ663" s="230"/>
      <c r="AK663" s="162"/>
      <c r="AL663" s="162"/>
      <c r="AM663" s="162"/>
      <c r="AN663" s="162"/>
      <c r="AO663" s="162"/>
      <c r="AP663" s="230"/>
      <c r="AQ663" s="230"/>
      <c r="AR663" s="162"/>
      <c r="AS663" s="162"/>
      <c r="AT663" s="162"/>
      <c r="AU663" s="162"/>
      <c r="AV663" s="162"/>
      <c r="AW663" s="230"/>
      <c r="AX663" s="230"/>
      <c r="AY663" s="162"/>
      <c r="AZ663" s="162"/>
      <c r="BA663" s="162"/>
      <c r="BB663" s="162"/>
      <c r="BC663" s="162"/>
      <c r="BD663" s="230"/>
      <c r="BE663" s="230"/>
      <c r="BF663" s="162"/>
      <c r="BG663" s="162"/>
      <c r="BH663" s="162"/>
      <c r="BI663" s="162"/>
      <c r="BJ663" s="162"/>
      <c r="BK663" s="230"/>
      <c r="BL663" s="230"/>
      <c r="BM663" s="162"/>
      <c r="BN663" s="162"/>
      <c r="BO663" s="162"/>
      <c r="BP663" s="162"/>
      <c r="BQ663" s="162"/>
      <c r="BR663" s="230"/>
      <c r="BS663" s="230"/>
      <c r="BT663" s="162"/>
      <c r="BU663" s="162"/>
      <c r="BV663" s="162"/>
      <c r="BW663" s="162"/>
      <c r="BX663" s="162"/>
      <c r="BY663" s="230"/>
      <c r="BZ663" s="230"/>
      <c r="CA663" s="162"/>
      <c r="CB663" s="162"/>
      <c r="CC663" s="162"/>
      <c r="CD663" s="162"/>
      <c r="CE663" s="162"/>
      <c r="CF663" s="230"/>
      <c r="CG663" s="230"/>
      <c r="CH663" s="162"/>
      <c r="CI663" s="162"/>
      <c r="CJ663" s="162"/>
      <c r="CK663" s="162"/>
      <c r="CL663" s="162"/>
      <c r="CM663" s="230"/>
      <c r="CN663" s="230"/>
      <c r="CO663" s="162"/>
      <c r="CP663" s="162"/>
      <c r="CQ663" s="162"/>
      <c r="CR663" s="162"/>
      <c r="CS663" s="162"/>
      <c r="CT663" s="230"/>
      <c r="CU663" s="230"/>
      <c r="CV663" s="162"/>
      <c r="CW663" s="162"/>
      <c r="CX663" s="162"/>
      <c r="CY663" s="162"/>
      <c r="CZ663" s="162"/>
      <c r="DA663" s="230"/>
      <c r="DB663" s="230"/>
      <c r="DC663" s="162"/>
      <c r="DD663" s="162"/>
      <c r="DE663" s="162"/>
      <c r="DF663" s="162"/>
      <c r="DG663" s="162"/>
      <c r="DH663" s="230"/>
      <c r="DI663" s="230"/>
      <c r="DJ663" s="162"/>
      <c r="DK663" s="162"/>
      <c r="DL663" s="147"/>
      <c r="DM663" s="147"/>
      <c r="DN663" s="147"/>
      <c r="DO663" s="147"/>
      <c r="DP663" s="147"/>
      <c r="DQ663" s="147"/>
      <c r="DR663" s="147"/>
      <c r="DS663" s="147"/>
      <c r="DT663" s="147"/>
      <c r="DU663" s="147"/>
      <c r="DV663" s="147"/>
      <c r="DW663" s="147"/>
      <c r="DX663" s="147"/>
      <c r="DY663" s="147"/>
      <c r="DZ663" s="147"/>
      <c r="EA663" s="147"/>
      <c r="EB663" s="147"/>
      <c r="EC663" s="147"/>
      <c r="ED663" s="147"/>
      <c r="EE663" s="147"/>
      <c r="EF663" s="147"/>
      <c r="EG663" s="147"/>
      <c r="EH663" s="147"/>
    </row>
    <row r="664" spans="1:138" x14ac:dyDescent="0.25">
      <c r="A664" s="147"/>
      <c r="B664" s="147"/>
      <c r="C664" s="160"/>
      <c r="D664" s="160"/>
      <c r="E664" s="169"/>
      <c r="F664" s="229"/>
      <c r="G664" s="165"/>
      <c r="H664" s="165"/>
      <c r="I664" s="163"/>
      <c r="J664" s="163"/>
      <c r="K664" s="162"/>
      <c r="L664" s="162"/>
      <c r="M664" s="162"/>
      <c r="N664" s="230"/>
      <c r="O664" s="230"/>
      <c r="P664" s="162"/>
      <c r="Q664" s="162"/>
      <c r="R664" s="162"/>
      <c r="S664" s="162"/>
      <c r="T664" s="162"/>
      <c r="U664" s="230"/>
      <c r="V664" s="230"/>
      <c r="W664" s="162"/>
      <c r="X664" s="162"/>
      <c r="Y664" s="162"/>
      <c r="Z664" s="162"/>
      <c r="AA664" s="162"/>
      <c r="AB664" s="230"/>
      <c r="AC664" s="230"/>
      <c r="AD664" s="162"/>
      <c r="AE664" s="162"/>
      <c r="AF664" s="162"/>
      <c r="AG664" s="162"/>
      <c r="AH664" s="162"/>
      <c r="AI664" s="230"/>
      <c r="AJ664" s="230"/>
      <c r="AK664" s="162"/>
      <c r="AL664" s="162"/>
      <c r="AM664" s="162"/>
      <c r="AN664" s="162"/>
      <c r="AO664" s="162"/>
      <c r="AP664" s="230"/>
      <c r="AQ664" s="230"/>
      <c r="AR664" s="162"/>
      <c r="AS664" s="162"/>
      <c r="AT664" s="162"/>
      <c r="AU664" s="162"/>
      <c r="AV664" s="162"/>
      <c r="AW664" s="230"/>
      <c r="AX664" s="230"/>
      <c r="AY664" s="162"/>
      <c r="AZ664" s="162"/>
      <c r="BA664" s="162"/>
      <c r="BB664" s="162"/>
      <c r="BC664" s="162"/>
      <c r="BD664" s="230"/>
      <c r="BE664" s="230"/>
      <c r="BF664" s="162"/>
      <c r="BG664" s="162"/>
      <c r="BH664" s="162"/>
      <c r="BI664" s="162"/>
      <c r="BJ664" s="162"/>
      <c r="BK664" s="230"/>
      <c r="BL664" s="230"/>
      <c r="BM664" s="162"/>
      <c r="BN664" s="162"/>
      <c r="BO664" s="162"/>
      <c r="BP664" s="162"/>
      <c r="BQ664" s="162"/>
      <c r="BR664" s="230"/>
      <c r="BS664" s="230"/>
      <c r="BT664" s="162"/>
      <c r="BU664" s="162"/>
      <c r="BV664" s="162"/>
      <c r="BW664" s="162"/>
      <c r="BX664" s="162"/>
      <c r="BY664" s="230"/>
      <c r="BZ664" s="230"/>
      <c r="CA664" s="162"/>
      <c r="CB664" s="162"/>
      <c r="CC664" s="162"/>
      <c r="CD664" s="162"/>
      <c r="CE664" s="162"/>
      <c r="CF664" s="230"/>
      <c r="CG664" s="230"/>
      <c r="CH664" s="162"/>
      <c r="CI664" s="162"/>
      <c r="CJ664" s="162"/>
      <c r="CK664" s="162"/>
      <c r="CL664" s="162"/>
      <c r="CM664" s="230"/>
      <c r="CN664" s="230"/>
      <c r="CO664" s="162"/>
      <c r="CP664" s="162"/>
      <c r="CQ664" s="162"/>
      <c r="CR664" s="162"/>
      <c r="CS664" s="162"/>
      <c r="CT664" s="230"/>
      <c r="CU664" s="230"/>
      <c r="CV664" s="162"/>
      <c r="CW664" s="162"/>
      <c r="CX664" s="162"/>
      <c r="CY664" s="162"/>
      <c r="CZ664" s="162"/>
      <c r="DA664" s="230"/>
      <c r="DB664" s="230"/>
      <c r="DC664" s="162"/>
      <c r="DD664" s="162"/>
      <c r="DE664" s="162"/>
      <c r="DF664" s="162"/>
      <c r="DG664" s="162"/>
      <c r="DH664" s="230"/>
      <c r="DI664" s="230"/>
      <c r="DJ664" s="162"/>
      <c r="DK664" s="162"/>
      <c r="DL664" s="147"/>
      <c r="DM664" s="147"/>
      <c r="DN664" s="147"/>
      <c r="DO664" s="147"/>
      <c r="DP664" s="147"/>
      <c r="DQ664" s="147"/>
      <c r="DR664" s="147"/>
      <c r="DS664" s="147"/>
      <c r="DT664" s="147"/>
      <c r="DU664" s="147"/>
      <c r="DV664" s="147"/>
      <c r="DW664" s="147"/>
      <c r="DX664" s="147"/>
      <c r="DY664" s="147"/>
      <c r="DZ664" s="147"/>
      <c r="EA664" s="147"/>
      <c r="EB664" s="147"/>
      <c r="EC664" s="147"/>
      <c r="ED664" s="147"/>
      <c r="EE664" s="147"/>
      <c r="EF664" s="147"/>
      <c r="EG664" s="147"/>
      <c r="EH664" s="147"/>
    </row>
    <row r="665" spans="1:138" x14ac:dyDescent="0.25">
      <c r="A665" s="147"/>
      <c r="B665" s="147"/>
      <c r="C665" s="160"/>
      <c r="D665" s="160"/>
      <c r="E665" s="169"/>
      <c r="F665" s="229"/>
      <c r="G665" s="165"/>
      <c r="H665" s="165"/>
      <c r="I665" s="163"/>
      <c r="J665" s="163"/>
      <c r="K665" s="162"/>
      <c r="L665" s="162"/>
      <c r="M665" s="162"/>
      <c r="N665" s="230"/>
      <c r="O665" s="230"/>
      <c r="P665" s="162"/>
      <c r="Q665" s="162"/>
      <c r="R665" s="162"/>
      <c r="S665" s="162"/>
      <c r="T665" s="162"/>
      <c r="U665" s="230"/>
      <c r="V665" s="230"/>
      <c r="W665" s="162"/>
      <c r="X665" s="162"/>
      <c r="Y665" s="162"/>
      <c r="Z665" s="162"/>
      <c r="AA665" s="162"/>
      <c r="AB665" s="230"/>
      <c r="AC665" s="230"/>
      <c r="AD665" s="162"/>
      <c r="AE665" s="162"/>
      <c r="AF665" s="162"/>
      <c r="AG665" s="162"/>
      <c r="AH665" s="162"/>
      <c r="AI665" s="230"/>
      <c r="AJ665" s="230"/>
      <c r="AK665" s="162"/>
      <c r="AL665" s="162"/>
      <c r="AM665" s="162"/>
      <c r="AN665" s="162"/>
      <c r="AO665" s="162"/>
      <c r="AP665" s="230"/>
      <c r="AQ665" s="230"/>
      <c r="AR665" s="162"/>
      <c r="AS665" s="162"/>
      <c r="AT665" s="162"/>
      <c r="AU665" s="162"/>
      <c r="AV665" s="162"/>
      <c r="AW665" s="230"/>
      <c r="AX665" s="230"/>
      <c r="AY665" s="162"/>
      <c r="AZ665" s="162"/>
      <c r="BA665" s="162"/>
      <c r="BB665" s="162"/>
      <c r="BC665" s="162"/>
      <c r="BD665" s="230"/>
      <c r="BE665" s="230"/>
      <c r="BF665" s="162"/>
      <c r="BG665" s="162"/>
      <c r="BH665" s="162"/>
      <c r="BI665" s="162"/>
      <c r="BJ665" s="162"/>
      <c r="BK665" s="230"/>
      <c r="BL665" s="230"/>
      <c r="BM665" s="162"/>
      <c r="BN665" s="162"/>
      <c r="BO665" s="162"/>
      <c r="BP665" s="162"/>
      <c r="BQ665" s="162"/>
      <c r="BR665" s="230"/>
      <c r="BS665" s="230"/>
      <c r="BT665" s="162"/>
      <c r="BU665" s="162"/>
      <c r="BV665" s="162"/>
      <c r="BW665" s="162"/>
      <c r="BX665" s="162"/>
      <c r="BY665" s="230"/>
      <c r="BZ665" s="230"/>
      <c r="CA665" s="162"/>
      <c r="CB665" s="162"/>
      <c r="CC665" s="162"/>
      <c r="CD665" s="162"/>
      <c r="CE665" s="162"/>
      <c r="CF665" s="230"/>
      <c r="CG665" s="230"/>
      <c r="CH665" s="162"/>
      <c r="CI665" s="162"/>
      <c r="CJ665" s="162"/>
      <c r="CK665" s="162"/>
      <c r="CL665" s="162"/>
      <c r="CM665" s="230"/>
      <c r="CN665" s="230"/>
      <c r="CO665" s="162"/>
      <c r="CP665" s="162"/>
      <c r="CQ665" s="162"/>
      <c r="CR665" s="162"/>
      <c r="CS665" s="162"/>
      <c r="CT665" s="230"/>
      <c r="CU665" s="230"/>
      <c r="CV665" s="162"/>
      <c r="CW665" s="162"/>
      <c r="CX665" s="162"/>
      <c r="CY665" s="162"/>
      <c r="CZ665" s="162"/>
      <c r="DA665" s="230"/>
      <c r="DB665" s="230"/>
      <c r="DC665" s="162"/>
      <c r="DD665" s="162"/>
      <c r="DE665" s="162"/>
      <c r="DF665" s="162"/>
      <c r="DG665" s="162"/>
      <c r="DH665" s="230"/>
      <c r="DI665" s="230"/>
      <c r="DJ665" s="162"/>
      <c r="DK665" s="162"/>
      <c r="DL665" s="147"/>
      <c r="DM665" s="147"/>
      <c r="DN665" s="147"/>
      <c r="DO665" s="147"/>
      <c r="DP665" s="147"/>
      <c r="DQ665" s="147"/>
      <c r="DR665" s="147"/>
      <c r="DS665" s="147"/>
      <c r="DT665" s="147"/>
      <c r="DU665" s="147"/>
      <c r="DV665" s="147"/>
      <c r="DW665" s="147"/>
      <c r="DX665" s="147"/>
      <c r="DY665" s="147"/>
      <c r="DZ665" s="147"/>
      <c r="EA665" s="147"/>
      <c r="EB665" s="147"/>
      <c r="EC665" s="147"/>
      <c r="ED665" s="147"/>
      <c r="EE665" s="147"/>
      <c r="EF665" s="147"/>
      <c r="EG665" s="147"/>
      <c r="EH665" s="147"/>
    </row>
    <row r="666" spans="1:138" x14ac:dyDescent="0.25">
      <c r="A666" s="147"/>
      <c r="B666" s="147"/>
      <c r="C666" s="160"/>
      <c r="D666" s="160"/>
      <c r="E666" s="169"/>
      <c r="F666" s="229"/>
      <c r="G666" s="165"/>
      <c r="H666" s="165"/>
      <c r="I666" s="163"/>
      <c r="J666" s="163"/>
      <c r="K666" s="162"/>
      <c r="L666" s="162"/>
      <c r="M666" s="162"/>
      <c r="N666" s="230"/>
      <c r="O666" s="230"/>
      <c r="P666" s="162"/>
      <c r="Q666" s="162"/>
      <c r="R666" s="162"/>
      <c r="S666" s="162"/>
      <c r="T666" s="162"/>
      <c r="U666" s="230"/>
      <c r="V666" s="230"/>
      <c r="W666" s="162"/>
      <c r="X666" s="162"/>
      <c r="Y666" s="162"/>
      <c r="Z666" s="162"/>
      <c r="AA666" s="162"/>
      <c r="AB666" s="230"/>
      <c r="AC666" s="230"/>
      <c r="AD666" s="162"/>
      <c r="AE666" s="162"/>
      <c r="AF666" s="162"/>
      <c r="AG666" s="162"/>
      <c r="AH666" s="162"/>
      <c r="AI666" s="230"/>
      <c r="AJ666" s="230"/>
      <c r="AK666" s="162"/>
      <c r="AL666" s="162"/>
      <c r="AM666" s="162"/>
      <c r="AN666" s="162"/>
      <c r="AO666" s="162"/>
      <c r="AP666" s="230"/>
      <c r="AQ666" s="230"/>
      <c r="AR666" s="162"/>
      <c r="AS666" s="162"/>
      <c r="AT666" s="162"/>
      <c r="AU666" s="162"/>
      <c r="AV666" s="162"/>
      <c r="AW666" s="230"/>
      <c r="AX666" s="230"/>
      <c r="AY666" s="162"/>
      <c r="AZ666" s="162"/>
      <c r="BA666" s="162"/>
      <c r="BB666" s="162"/>
      <c r="BC666" s="162"/>
      <c r="BD666" s="230"/>
      <c r="BE666" s="230"/>
      <c r="BF666" s="162"/>
      <c r="BG666" s="162"/>
      <c r="BH666" s="162"/>
      <c r="BI666" s="162"/>
      <c r="BJ666" s="162"/>
      <c r="BK666" s="230"/>
      <c r="BL666" s="230"/>
      <c r="BM666" s="162"/>
      <c r="BN666" s="162"/>
      <c r="BO666" s="162"/>
      <c r="BP666" s="162"/>
      <c r="BQ666" s="162"/>
      <c r="BR666" s="230"/>
      <c r="BS666" s="230"/>
      <c r="BT666" s="162"/>
      <c r="BU666" s="162"/>
      <c r="BV666" s="162"/>
      <c r="BW666" s="162"/>
      <c r="BX666" s="162"/>
      <c r="BY666" s="230"/>
      <c r="BZ666" s="230"/>
      <c r="CA666" s="162"/>
      <c r="CB666" s="162"/>
      <c r="CC666" s="162"/>
      <c r="CD666" s="162"/>
      <c r="CE666" s="162"/>
      <c r="CF666" s="230"/>
      <c r="CG666" s="230"/>
      <c r="CH666" s="162"/>
      <c r="CI666" s="162"/>
      <c r="CJ666" s="162"/>
      <c r="CK666" s="162"/>
      <c r="CL666" s="162"/>
      <c r="CM666" s="230"/>
      <c r="CN666" s="230"/>
      <c r="CO666" s="162"/>
      <c r="CP666" s="162"/>
      <c r="CQ666" s="162"/>
      <c r="CR666" s="162"/>
      <c r="CS666" s="162"/>
      <c r="CT666" s="230"/>
      <c r="CU666" s="230"/>
      <c r="CV666" s="162"/>
      <c r="CW666" s="162"/>
      <c r="CX666" s="162"/>
      <c r="CY666" s="162"/>
      <c r="CZ666" s="162"/>
      <c r="DA666" s="230"/>
      <c r="DB666" s="230"/>
      <c r="DC666" s="162"/>
      <c r="DD666" s="162"/>
      <c r="DE666" s="162"/>
      <c r="DF666" s="162"/>
      <c r="DG666" s="162"/>
      <c r="DH666" s="230"/>
      <c r="DI666" s="230"/>
      <c r="DJ666" s="162"/>
      <c r="DK666" s="162"/>
      <c r="DL666" s="147"/>
      <c r="DM666" s="147"/>
      <c r="DN666" s="147"/>
      <c r="DO666" s="147"/>
      <c r="DP666" s="147"/>
      <c r="DQ666" s="147"/>
      <c r="DR666" s="147"/>
      <c r="DS666" s="147"/>
      <c r="DT666" s="147"/>
      <c r="DU666" s="147"/>
      <c r="DV666" s="147"/>
      <c r="DW666" s="147"/>
      <c r="DX666" s="147"/>
      <c r="DY666" s="147"/>
      <c r="DZ666" s="147"/>
      <c r="EA666" s="147"/>
      <c r="EB666" s="147"/>
      <c r="EC666" s="147"/>
      <c r="ED666" s="147"/>
      <c r="EE666" s="147"/>
      <c r="EF666" s="147"/>
      <c r="EG666" s="147"/>
      <c r="EH666" s="147"/>
    </row>
    <row r="667" spans="1:138" x14ac:dyDescent="0.25">
      <c r="A667" s="147"/>
      <c r="B667" s="147"/>
      <c r="C667" s="160"/>
      <c r="D667" s="160"/>
      <c r="E667" s="169"/>
      <c r="F667" s="229"/>
      <c r="G667" s="165"/>
      <c r="H667" s="165"/>
      <c r="I667" s="163"/>
      <c r="J667" s="163"/>
      <c r="K667" s="162"/>
      <c r="L667" s="162"/>
      <c r="M667" s="162"/>
      <c r="N667" s="230"/>
      <c r="O667" s="230"/>
      <c r="P667" s="162"/>
      <c r="Q667" s="162"/>
      <c r="R667" s="162"/>
      <c r="S667" s="162"/>
      <c r="T667" s="162"/>
      <c r="U667" s="230"/>
      <c r="V667" s="230"/>
      <c r="W667" s="162"/>
      <c r="X667" s="162"/>
      <c r="Y667" s="162"/>
      <c r="Z667" s="162"/>
      <c r="AA667" s="162"/>
      <c r="AB667" s="230"/>
      <c r="AC667" s="230"/>
      <c r="AD667" s="162"/>
      <c r="AE667" s="162"/>
      <c r="AF667" s="162"/>
      <c r="AG667" s="162"/>
      <c r="AH667" s="162"/>
      <c r="AI667" s="230"/>
      <c r="AJ667" s="230"/>
      <c r="AK667" s="162"/>
      <c r="AL667" s="162"/>
      <c r="AM667" s="162"/>
      <c r="AN667" s="162"/>
      <c r="AO667" s="162"/>
      <c r="AP667" s="230"/>
      <c r="AQ667" s="230"/>
      <c r="AR667" s="162"/>
      <c r="AS667" s="162"/>
      <c r="AT667" s="162"/>
      <c r="AU667" s="162"/>
      <c r="AV667" s="162"/>
      <c r="AW667" s="230"/>
      <c r="AX667" s="230"/>
      <c r="AY667" s="162"/>
      <c r="AZ667" s="162"/>
      <c r="BA667" s="162"/>
      <c r="BB667" s="162"/>
      <c r="BC667" s="162"/>
      <c r="BD667" s="230"/>
      <c r="BE667" s="230"/>
      <c r="BF667" s="162"/>
      <c r="BG667" s="162"/>
      <c r="BH667" s="162"/>
      <c r="BI667" s="162"/>
      <c r="BJ667" s="162"/>
      <c r="BK667" s="230"/>
      <c r="BL667" s="230"/>
      <c r="BM667" s="162"/>
      <c r="BN667" s="162"/>
      <c r="BO667" s="162"/>
      <c r="BP667" s="162"/>
      <c r="BQ667" s="162"/>
      <c r="BR667" s="230"/>
      <c r="BS667" s="230"/>
      <c r="BT667" s="162"/>
      <c r="BU667" s="162"/>
      <c r="BV667" s="162"/>
      <c r="BW667" s="162"/>
      <c r="BX667" s="162"/>
      <c r="BY667" s="230"/>
      <c r="BZ667" s="230"/>
      <c r="CA667" s="162"/>
      <c r="CB667" s="162"/>
      <c r="CC667" s="162"/>
      <c r="CD667" s="162"/>
      <c r="CE667" s="162"/>
      <c r="CF667" s="230"/>
      <c r="CG667" s="230"/>
      <c r="CH667" s="162"/>
      <c r="CI667" s="162"/>
      <c r="CJ667" s="162"/>
      <c r="CK667" s="162"/>
      <c r="CL667" s="162"/>
      <c r="CM667" s="230"/>
      <c r="CN667" s="230"/>
      <c r="CO667" s="162"/>
      <c r="CP667" s="162"/>
      <c r="CQ667" s="162"/>
      <c r="CR667" s="162"/>
      <c r="CS667" s="162"/>
      <c r="CT667" s="230"/>
      <c r="CU667" s="230"/>
      <c r="CV667" s="162"/>
      <c r="CW667" s="162"/>
      <c r="CX667" s="162"/>
      <c r="CY667" s="162"/>
      <c r="CZ667" s="162"/>
      <c r="DA667" s="230"/>
      <c r="DB667" s="230"/>
      <c r="DC667" s="162"/>
      <c r="DD667" s="162"/>
      <c r="DE667" s="162"/>
      <c r="DF667" s="162"/>
      <c r="DG667" s="162"/>
      <c r="DH667" s="230"/>
      <c r="DI667" s="230"/>
      <c r="DJ667" s="162"/>
      <c r="DK667" s="162"/>
      <c r="DL667" s="147"/>
      <c r="DM667" s="147"/>
      <c r="DN667" s="147"/>
      <c r="DO667" s="147"/>
      <c r="DP667" s="147"/>
      <c r="DQ667" s="147"/>
      <c r="DR667" s="147"/>
      <c r="DS667" s="147"/>
      <c r="DT667" s="147"/>
      <c r="DU667" s="147"/>
      <c r="DV667" s="147"/>
      <c r="DW667" s="147"/>
      <c r="DX667" s="147"/>
      <c r="DY667" s="147"/>
      <c r="DZ667" s="147"/>
      <c r="EA667" s="147"/>
      <c r="EB667" s="147"/>
      <c r="EC667" s="147"/>
      <c r="ED667" s="147"/>
      <c r="EE667" s="147"/>
      <c r="EF667" s="147"/>
      <c r="EG667" s="147"/>
      <c r="EH667" s="147"/>
    </row>
    <row r="668" spans="1:138" x14ac:dyDescent="0.25">
      <c r="A668" s="147"/>
      <c r="B668" s="147"/>
      <c r="C668" s="160"/>
      <c r="D668" s="160"/>
      <c r="E668" s="169"/>
      <c r="F668" s="229"/>
      <c r="G668" s="165"/>
      <c r="H668" s="165"/>
      <c r="I668" s="163"/>
      <c r="J668" s="163"/>
      <c r="K668" s="162"/>
      <c r="L668" s="162"/>
      <c r="M668" s="162"/>
      <c r="N668" s="230"/>
      <c r="O668" s="230"/>
      <c r="P668" s="162"/>
      <c r="Q668" s="162"/>
      <c r="R668" s="162"/>
      <c r="S668" s="162"/>
      <c r="T668" s="162"/>
      <c r="U668" s="230"/>
      <c r="V668" s="230"/>
      <c r="W668" s="162"/>
      <c r="X668" s="162"/>
      <c r="Y668" s="162"/>
      <c r="Z668" s="162"/>
      <c r="AA668" s="162"/>
      <c r="AB668" s="230"/>
      <c r="AC668" s="230"/>
      <c r="AD668" s="162"/>
      <c r="AE668" s="162"/>
      <c r="AF668" s="162"/>
      <c r="AG668" s="162"/>
      <c r="AH668" s="162"/>
      <c r="AI668" s="230"/>
      <c r="AJ668" s="230"/>
      <c r="AK668" s="162"/>
      <c r="AL668" s="162"/>
      <c r="AM668" s="162"/>
      <c r="AN668" s="162"/>
      <c r="AO668" s="162"/>
      <c r="AP668" s="230"/>
      <c r="AQ668" s="230"/>
      <c r="AR668" s="162"/>
      <c r="AS668" s="162"/>
      <c r="AT668" s="162"/>
      <c r="AU668" s="162"/>
      <c r="AV668" s="162"/>
      <c r="AW668" s="230"/>
      <c r="AX668" s="230"/>
      <c r="AY668" s="162"/>
      <c r="AZ668" s="162"/>
      <c r="BA668" s="162"/>
      <c r="BB668" s="162"/>
      <c r="BC668" s="162"/>
      <c r="BD668" s="230"/>
      <c r="BE668" s="230"/>
      <c r="BF668" s="162"/>
      <c r="BG668" s="162"/>
      <c r="BH668" s="162"/>
      <c r="BI668" s="162"/>
      <c r="BJ668" s="162"/>
      <c r="BK668" s="230"/>
      <c r="BL668" s="230"/>
      <c r="BM668" s="162"/>
      <c r="BN668" s="162"/>
      <c r="BO668" s="162"/>
      <c r="BP668" s="162"/>
      <c r="BQ668" s="162"/>
      <c r="BR668" s="230"/>
      <c r="BS668" s="230"/>
      <c r="BT668" s="162"/>
      <c r="BU668" s="162"/>
      <c r="BV668" s="162"/>
      <c r="BW668" s="162"/>
      <c r="BX668" s="162"/>
      <c r="BY668" s="230"/>
      <c r="BZ668" s="230"/>
      <c r="CA668" s="162"/>
      <c r="CB668" s="162"/>
      <c r="CC668" s="162"/>
      <c r="CD668" s="162"/>
      <c r="CE668" s="162"/>
      <c r="CF668" s="230"/>
      <c r="CG668" s="230"/>
      <c r="CH668" s="162"/>
      <c r="CI668" s="162"/>
      <c r="CJ668" s="162"/>
      <c r="CK668" s="162"/>
      <c r="CL668" s="162"/>
      <c r="CM668" s="230"/>
      <c r="CN668" s="230"/>
      <c r="CO668" s="162"/>
      <c r="CP668" s="162"/>
      <c r="CQ668" s="162"/>
      <c r="CR668" s="162"/>
      <c r="CS668" s="162"/>
      <c r="CT668" s="230"/>
      <c r="CU668" s="230"/>
      <c r="CV668" s="162"/>
      <c r="CW668" s="162"/>
      <c r="CX668" s="162"/>
      <c r="CY668" s="162"/>
      <c r="CZ668" s="162"/>
      <c r="DA668" s="230"/>
      <c r="DB668" s="230"/>
      <c r="DC668" s="162"/>
      <c r="DD668" s="162"/>
      <c r="DE668" s="162"/>
      <c r="DF668" s="162"/>
      <c r="DG668" s="162"/>
      <c r="DH668" s="230"/>
      <c r="DI668" s="230"/>
      <c r="DJ668" s="162"/>
      <c r="DK668" s="162"/>
      <c r="DL668" s="147"/>
      <c r="DM668" s="147"/>
      <c r="DN668" s="147"/>
      <c r="DO668" s="147"/>
      <c r="DP668" s="147"/>
      <c r="DQ668" s="147"/>
      <c r="DR668" s="147"/>
      <c r="DS668" s="147"/>
      <c r="DT668" s="147"/>
      <c r="DU668" s="147"/>
      <c r="DV668" s="147"/>
      <c r="DW668" s="147"/>
      <c r="DX668" s="147"/>
      <c r="DY668" s="147"/>
      <c r="DZ668" s="147"/>
      <c r="EA668" s="147"/>
      <c r="EB668" s="147"/>
      <c r="EC668" s="147"/>
      <c r="ED668" s="147"/>
      <c r="EE668" s="147"/>
      <c r="EF668" s="147"/>
      <c r="EG668" s="147"/>
      <c r="EH668" s="147"/>
    </row>
    <row r="669" spans="1:138" x14ac:dyDescent="0.25">
      <c r="A669" s="147"/>
      <c r="B669" s="147"/>
      <c r="C669" s="160"/>
      <c r="D669" s="160"/>
      <c r="E669" s="169"/>
      <c r="F669" s="229"/>
      <c r="G669" s="165"/>
      <c r="H669" s="165"/>
      <c r="I669" s="163"/>
      <c r="J669" s="163"/>
      <c r="K669" s="162"/>
      <c r="L669" s="162"/>
      <c r="M669" s="162"/>
      <c r="N669" s="230"/>
      <c r="O669" s="230"/>
      <c r="P669" s="162"/>
      <c r="Q669" s="162"/>
      <c r="R669" s="162"/>
      <c r="S669" s="162"/>
      <c r="T669" s="162"/>
      <c r="U669" s="230"/>
      <c r="V669" s="230"/>
      <c r="W669" s="162"/>
      <c r="X669" s="162"/>
      <c r="Y669" s="162"/>
      <c r="Z669" s="162"/>
      <c r="AA669" s="162"/>
      <c r="AB669" s="230"/>
      <c r="AC669" s="230"/>
      <c r="AD669" s="162"/>
      <c r="AE669" s="162"/>
      <c r="AF669" s="162"/>
      <c r="AG669" s="162"/>
      <c r="AH669" s="162"/>
      <c r="AI669" s="230"/>
      <c r="AJ669" s="230"/>
      <c r="AK669" s="162"/>
      <c r="AL669" s="162"/>
      <c r="AM669" s="162"/>
      <c r="AN669" s="162"/>
      <c r="AO669" s="162"/>
      <c r="AP669" s="230"/>
      <c r="AQ669" s="230"/>
      <c r="AR669" s="162"/>
      <c r="AS669" s="162"/>
      <c r="AT669" s="162"/>
      <c r="AU669" s="162"/>
      <c r="AV669" s="162"/>
      <c r="AW669" s="230"/>
      <c r="AX669" s="230"/>
      <c r="AY669" s="162"/>
      <c r="AZ669" s="162"/>
      <c r="BA669" s="162"/>
      <c r="BB669" s="162"/>
      <c r="BC669" s="162"/>
      <c r="BD669" s="230"/>
      <c r="BE669" s="230"/>
      <c r="BF669" s="162"/>
      <c r="BG669" s="162"/>
      <c r="BH669" s="162"/>
      <c r="BI669" s="162"/>
      <c r="BJ669" s="162"/>
      <c r="BK669" s="230"/>
      <c r="BL669" s="230"/>
      <c r="BM669" s="162"/>
      <c r="BN669" s="162"/>
      <c r="BO669" s="162"/>
      <c r="BP669" s="162"/>
      <c r="BQ669" s="162"/>
      <c r="BR669" s="230"/>
      <c r="BS669" s="230"/>
      <c r="BT669" s="162"/>
      <c r="BU669" s="162"/>
      <c r="BV669" s="162"/>
      <c r="BW669" s="162"/>
      <c r="BX669" s="162"/>
      <c r="BY669" s="230"/>
      <c r="BZ669" s="230"/>
      <c r="CA669" s="162"/>
      <c r="CB669" s="162"/>
      <c r="CC669" s="162"/>
      <c r="CD669" s="162"/>
      <c r="CE669" s="162"/>
      <c r="CF669" s="230"/>
      <c r="CG669" s="230"/>
      <c r="CH669" s="162"/>
      <c r="CI669" s="162"/>
      <c r="CJ669" s="162"/>
      <c r="CK669" s="162"/>
      <c r="CL669" s="162"/>
      <c r="CM669" s="230"/>
      <c r="CN669" s="230"/>
      <c r="CO669" s="162"/>
      <c r="CP669" s="162"/>
      <c r="CQ669" s="162"/>
      <c r="CR669" s="162"/>
      <c r="CS669" s="162"/>
      <c r="CT669" s="230"/>
      <c r="CU669" s="230"/>
      <c r="CV669" s="162"/>
      <c r="CW669" s="162"/>
      <c r="CX669" s="162"/>
      <c r="CY669" s="162"/>
      <c r="CZ669" s="162"/>
      <c r="DA669" s="230"/>
      <c r="DB669" s="230"/>
      <c r="DC669" s="162"/>
      <c r="DD669" s="162"/>
      <c r="DE669" s="162"/>
      <c r="DF669" s="162"/>
      <c r="DG669" s="162"/>
      <c r="DH669" s="230"/>
      <c r="DI669" s="230"/>
      <c r="DJ669" s="162"/>
      <c r="DK669" s="162"/>
      <c r="DL669" s="147"/>
      <c r="DM669" s="147"/>
      <c r="DN669" s="147"/>
      <c r="DO669" s="147"/>
      <c r="DP669" s="147"/>
      <c r="DQ669" s="147"/>
      <c r="DR669" s="147"/>
      <c r="DS669" s="147"/>
      <c r="DT669" s="147"/>
      <c r="DU669" s="147"/>
      <c r="DV669" s="147"/>
      <c r="DW669" s="147"/>
      <c r="DX669" s="147"/>
      <c r="DY669" s="147"/>
      <c r="DZ669" s="147"/>
      <c r="EA669" s="147"/>
      <c r="EB669" s="147"/>
      <c r="EC669" s="147"/>
      <c r="ED669" s="147"/>
      <c r="EE669" s="147"/>
      <c r="EF669" s="147"/>
      <c r="EG669" s="147"/>
      <c r="EH669" s="147"/>
    </row>
    <row r="670" spans="1:138" x14ac:dyDescent="0.25">
      <c r="A670" s="147"/>
      <c r="B670" s="147"/>
      <c r="C670" s="160"/>
      <c r="D670" s="160"/>
      <c r="E670" s="169"/>
      <c r="F670" s="229"/>
      <c r="G670" s="165"/>
      <c r="H670" s="165"/>
      <c r="I670" s="163"/>
      <c r="J670" s="163"/>
      <c r="K670" s="162"/>
      <c r="L670" s="162"/>
      <c r="M670" s="162"/>
      <c r="N670" s="230"/>
      <c r="O670" s="230"/>
      <c r="P670" s="162"/>
      <c r="Q670" s="162"/>
      <c r="R670" s="162"/>
      <c r="S670" s="162"/>
      <c r="T670" s="162"/>
      <c r="U670" s="230"/>
      <c r="V670" s="230"/>
      <c r="W670" s="162"/>
      <c r="X670" s="162"/>
      <c r="Y670" s="162"/>
      <c r="Z670" s="162"/>
      <c r="AA670" s="162"/>
      <c r="AB670" s="230"/>
      <c r="AC670" s="230"/>
      <c r="AD670" s="162"/>
      <c r="AE670" s="162"/>
      <c r="AF670" s="162"/>
      <c r="AG670" s="162"/>
      <c r="AH670" s="162"/>
      <c r="AI670" s="230"/>
      <c r="AJ670" s="230"/>
      <c r="AK670" s="162"/>
      <c r="AL670" s="162"/>
      <c r="AM670" s="162"/>
      <c r="AN670" s="162"/>
      <c r="AO670" s="162"/>
      <c r="AP670" s="230"/>
      <c r="AQ670" s="230"/>
      <c r="AR670" s="162"/>
      <c r="AS670" s="162"/>
      <c r="AT670" s="162"/>
      <c r="AU670" s="162"/>
      <c r="AV670" s="162"/>
      <c r="AW670" s="230"/>
      <c r="AX670" s="230"/>
      <c r="AY670" s="162"/>
      <c r="AZ670" s="162"/>
      <c r="BA670" s="162"/>
      <c r="BB670" s="162"/>
      <c r="BC670" s="162"/>
      <c r="BD670" s="230"/>
      <c r="BE670" s="230"/>
      <c r="BF670" s="162"/>
      <c r="BG670" s="162"/>
      <c r="BH670" s="162"/>
      <c r="BI670" s="162"/>
      <c r="BJ670" s="162"/>
      <c r="BK670" s="230"/>
      <c r="BL670" s="230"/>
      <c r="BM670" s="162"/>
      <c r="BN670" s="162"/>
      <c r="BO670" s="162"/>
      <c r="BP670" s="162"/>
      <c r="BQ670" s="162"/>
      <c r="BR670" s="230"/>
      <c r="BS670" s="230"/>
      <c r="BT670" s="162"/>
      <c r="BU670" s="162"/>
      <c r="BV670" s="162"/>
      <c r="BW670" s="162"/>
      <c r="BX670" s="162"/>
      <c r="BY670" s="230"/>
      <c r="BZ670" s="230"/>
      <c r="CA670" s="162"/>
      <c r="CB670" s="162"/>
      <c r="CC670" s="162"/>
      <c r="CD670" s="162"/>
      <c r="CE670" s="162"/>
      <c r="CF670" s="230"/>
      <c r="CG670" s="230"/>
      <c r="CH670" s="162"/>
      <c r="CI670" s="162"/>
      <c r="CJ670" s="162"/>
      <c r="CK670" s="162"/>
      <c r="CL670" s="162"/>
      <c r="CM670" s="230"/>
      <c r="CN670" s="230"/>
      <c r="CO670" s="162"/>
      <c r="CP670" s="162"/>
      <c r="CQ670" s="162"/>
      <c r="CR670" s="162"/>
      <c r="CS670" s="162"/>
      <c r="CT670" s="230"/>
      <c r="CU670" s="230"/>
      <c r="CV670" s="162"/>
      <c r="CW670" s="162"/>
      <c r="CX670" s="162"/>
      <c r="CY670" s="162"/>
      <c r="CZ670" s="162"/>
      <c r="DA670" s="230"/>
      <c r="DB670" s="230"/>
      <c r="DC670" s="162"/>
      <c r="DD670" s="162"/>
      <c r="DE670" s="162"/>
      <c r="DF670" s="162"/>
      <c r="DG670" s="162"/>
      <c r="DH670" s="230"/>
      <c r="DI670" s="230"/>
      <c r="DJ670" s="162"/>
      <c r="DK670" s="162"/>
      <c r="DL670" s="147"/>
      <c r="DM670" s="147"/>
      <c r="DN670" s="147"/>
      <c r="DO670" s="147"/>
      <c r="DP670" s="147"/>
      <c r="DQ670" s="147"/>
      <c r="DR670" s="147"/>
      <c r="DS670" s="147"/>
      <c r="DT670" s="147"/>
      <c r="DU670" s="147"/>
      <c r="DV670" s="147"/>
      <c r="DW670" s="147"/>
      <c r="DX670" s="147"/>
      <c r="DY670" s="147"/>
      <c r="DZ670" s="147"/>
      <c r="EA670" s="147"/>
      <c r="EB670" s="147"/>
      <c r="EC670" s="147"/>
      <c r="ED670" s="147"/>
      <c r="EE670" s="147"/>
      <c r="EF670" s="147"/>
      <c r="EG670" s="147"/>
      <c r="EH670" s="147"/>
    </row>
    <row r="671" spans="1:138" x14ac:dyDescent="0.25">
      <c r="A671" s="147"/>
      <c r="B671" s="147"/>
      <c r="C671" s="160"/>
      <c r="D671" s="160"/>
      <c r="E671" s="169"/>
      <c r="F671" s="229"/>
      <c r="G671" s="165"/>
      <c r="H671" s="165"/>
      <c r="I671" s="163"/>
      <c r="J671" s="163"/>
      <c r="K671" s="162"/>
      <c r="L671" s="162"/>
      <c r="M671" s="162"/>
      <c r="N671" s="230"/>
      <c r="O671" s="230"/>
      <c r="P671" s="162"/>
      <c r="Q671" s="162"/>
      <c r="R671" s="162"/>
      <c r="S671" s="162"/>
      <c r="T671" s="162"/>
      <c r="U671" s="230"/>
      <c r="V671" s="230"/>
      <c r="W671" s="162"/>
      <c r="X671" s="162"/>
      <c r="Y671" s="162"/>
      <c r="Z671" s="162"/>
      <c r="AA671" s="162"/>
      <c r="AB671" s="230"/>
      <c r="AC671" s="230"/>
      <c r="AD671" s="162"/>
      <c r="AE671" s="162"/>
      <c r="AF671" s="162"/>
      <c r="AG671" s="162"/>
      <c r="AH671" s="162"/>
      <c r="AI671" s="230"/>
      <c r="AJ671" s="230"/>
      <c r="AK671" s="162"/>
      <c r="AL671" s="162"/>
      <c r="AM671" s="162"/>
      <c r="AN671" s="162"/>
      <c r="AO671" s="162"/>
      <c r="AP671" s="230"/>
      <c r="AQ671" s="230"/>
      <c r="AR671" s="162"/>
      <c r="AS671" s="162"/>
      <c r="AT671" s="162"/>
      <c r="AU671" s="162"/>
      <c r="AV671" s="162"/>
      <c r="AW671" s="230"/>
      <c r="AX671" s="230"/>
      <c r="AY671" s="162"/>
      <c r="AZ671" s="162"/>
      <c r="BA671" s="162"/>
      <c r="BB671" s="162"/>
      <c r="BC671" s="162"/>
      <c r="BD671" s="230"/>
      <c r="BE671" s="230"/>
      <c r="BF671" s="162"/>
      <c r="BG671" s="162"/>
      <c r="BH671" s="162"/>
      <c r="BI671" s="162"/>
      <c r="BJ671" s="162"/>
      <c r="BK671" s="230"/>
      <c r="BL671" s="230"/>
      <c r="BM671" s="162"/>
      <c r="BN671" s="162"/>
      <c r="BO671" s="162"/>
      <c r="BP671" s="162"/>
      <c r="BQ671" s="162"/>
      <c r="BR671" s="230"/>
      <c r="BS671" s="230"/>
      <c r="BT671" s="162"/>
      <c r="BU671" s="162"/>
      <c r="BV671" s="162"/>
      <c r="BW671" s="162"/>
      <c r="BX671" s="162"/>
      <c r="BY671" s="230"/>
      <c r="BZ671" s="230"/>
      <c r="CA671" s="162"/>
      <c r="CB671" s="162"/>
      <c r="CC671" s="162"/>
      <c r="CD671" s="162"/>
      <c r="CE671" s="162"/>
      <c r="CF671" s="230"/>
      <c r="CG671" s="230"/>
      <c r="CH671" s="162"/>
      <c r="CI671" s="162"/>
      <c r="CJ671" s="162"/>
      <c r="CK671" s="162"/>
      <c r="CL671" s="162"/>
      <c r="CM671" s="230"/>
      <c r="CN671" s="230"/>
      <c r="CO671" s="162"/>
      <c r="CP671" s="162"/>
      <c r="CQ671" s="162"/>
      <c r="CR671" s="162"/>
      <c r="CS671" s="162"/>
      <c r="CT671" s="230"/>
      <c r="CU671" s="230"/>
      <c r="CV671" s="162"/>
      <c r="CW671" s="162"/>
      <c r="CX671" s="162"/>
      <c r="CY671" s="162"/>
      <c r="CZ671" s="162"/>
      <c r="DA671" s="230"/>
      <c r="DB671" s="230"/>
      <c r="DC671" s="162"/>
      <c r="DD671" s="162"/>
      <c r="DE671" s="162"/>
      <c r="DF671" s="162"/>
      <c r="DG671" s="162"/>
      <c r="DH671" s="230"/>
      <c r="DI671" s="230"/>
      <c r="DJ671" s="162"/>
      <c r="DK671" s="162"/>
      <c r="DL671" s="147"/>
      <c r="DM671" s="147"/>
      <c r="DN671" s="147"/>
      <c r="DO671" s="147"/>
      <c r="DP671" s="147"/>
      <c r="DQ671" s="147"/>
      <c r="DR671" s="147"/>
      <c r="DS671" s="147"/>
      <c r="DT671" s="147"/>
      <c r="DU671" s="147"/>
      <c r="DV671" s="147"/>
      <c r="DW671" s="147"/>
      <c r="DX671" s="147"/>
      <c r="DY671" s="147"/>
      <c r="DZ671" s="147"/>
      <c r="EA671" s="147"/>
      <c r="EB671" s="147"/>
      <c r="EC671" s="147"/>
      <c r="ED671" s="147"/>
      <c r="EE671" s="147"/>
      <c r="EF671" s="147"/>
      <c r="EG671" s="147"/>
      <c r="EH671" s="147"/>
    </row>
    <row r="672" spans="1:138" x14ac:dyDescent="0.25">
      <c r="A672" s="147"/>
      <c r="B672" s="147"/>
      <c r="C672" s="160"/>
      <c r="D672" s="160"/>
      <c r="E672" s="169"/>
      <c r="F672" s="229"/>
      <c r="G672" s="165"/>
      <c r="H672" s="165"/>
      <c r="I672" s="163"/>
      <c r="J672" s="163"/>
      <c r="K672" s="162"/>
      <c r="L672" s="162"/>
      <c r="M672" s="162"/>
      <c r="N672" s="230"/>
      <c r="O672" s="230"/>
      <c r="P672" s="162"/>
      <c r="Q672" s="162"/>
      <c r="R672" s="162"/>
      <c r="S672" s="162"/>
      <c r="T672" s="162"/>
      <c r="U672" s="230"/>
      <c r="V672" s="230"/>
      <c r="W672" s="162"/>
      <c r="X672" s="162"/>
      <c r="Y672" s="162"/>
      <c r="Z672" s="162"/>
      <c r="AA672" s="162"/>
      <c r="AB672" s="230"/>
      <c r="AC672" s="230"/>
      <c r="AD672" s="162"/>
      <c r="AE672" s="162"/>
      <c r="AF672" s="162"/>
      <c r="AG672" s="162"/>
      <c r="AH672" s="162"/>
      <c r="AI672" s="230"/>
      <c r="AJ672" s="230"/>
      <c r="AK672" s="162"/>
      <c r="AL672" s="162"/>
      <c r="AM672" s="162"/>
      <c r="AN672" s="162"/>
      <c r="AO672" s="162"/>
      <c r="AP672" s="230"/>
      <c r="AQ672" s="230"/>
      <c r="AR672" s="162"/>
      <c r="AS672" s="162"/>
      <c r="AT672" s="162"/>
      <c r="AU672" s="162"/>
      <c r="AV672" s="162"/>
      <c r="AW672" s="230"/>
      <c r="AX672" s="230"/>
      <c r="AY672" s="162"/>
      <c r="AZ672" s="162"/>
      <c r="BA672" s="162"/>
      <c r="BB672" s="162"/>
      <c r="BC672" s="162"/>
      <c r="BD672" s="230"/>
      <c r="BE672" s="230"/>
      <c r="BF672" s="162"/>
      <c r="BG672" s="162"/>
      <c r="BH672" s="162"/>
      <c r="BI672" s="162"/>
      <c r="BJ672" s="162"/>
      <c r="BK672" s="230"/>
      <c r="BL672" s="230"/>
      <c r="BM672" s="162"/>
      <c r="BN672" s="162"/>
      <c r="BO672" s="162"/>
      <c r="BP672" s="162"/>
      <c r="BQ672" s="162"/>
      <c r="BR672" s="230"/>
      <c r="BS672" s="230"/>
      <c r="BT672" s="162"/>
      <c r="BU672" s="162"/>
      <c r="BV672" s="162"/>
      <c r="BW672" s="162"/>
      <c r="BX672" s="162"/>
      <c r="BY672" s="230"/>
      <c r="BZ672" s="230"/>
      <c r="CA672" s="162"/>
      <c r="CB672" s="162"/>
      <c r="CC672" s="162"/>
      <c r="CD672" s="162"/>
      <c r="CE672" s="162"/>
      <c r="CF672" s="230"/>
      <c r="CG672" s="230"/>
      <c r="CH672" s="162"/>
      <c r="CI672" s="162"/>
      <c r="CJ672" s="162"/>
      <c r="CK672" s="162"/>
      <c r="CL672" s="162"/>
      <c r="CM672" s="230"/>
      <c r="CN672" s="230"/>
      <c r="CO672" s="162"/>
      <c r="CP672" s="162"/>
      <c r="CQ672" s="162"/>
      <c r="CR672" s="162"/>
      <c r="CS672" s="162"/>
      <c r="CT672" s="230"/>
      <c r="CU672" s="230"/>
      <c r="CV672" s="162"/>
      <c r="CW672" s="162"/>
      <c r="CX672" s="162"/>
      <c r="CY672" s="162"/>
      <c r="CZ672" s="162"/>
      <c r="DA672" s="230"/>
      <c r="DB672" s="230"/>
      <c r="DC672" s="162"/>
      <c r="DD672" s="162"/>
      <c r="DE672" s="162"/>
      <c r="DF672" s="162"/>
      <c r="DG672" s="162"/>
      <c r="DH672" s="230"/>
      <c r="DI672" s="230"/>
      <c r="DJ672" s="162"/>
      <c r="DK672" s="162"/>
      <c r="DL672" s="147"/>
      <c r="DM672" s="147"/>
      <c r="DN672" s="147"/>
      <c r="DO672" s="147"/>
      <c r="DP672" s="147"/>
      <c r="DQ672" s="147"/>
      <c r="DR672" s="147"/>
      <c r="DS672" s="147"/>
      <c r="DT672" s="147"/>
      <c r="DU672" s="147"/>
      <c r="DV672" s="147"/>
      <c r="DW672" s="147"/>
      <c r="DX672" s="147"/>
      <c r="DY672" s="147"/>
      <c r="DZ672" s="147"/>
      <c r="EA672" s="147"/>
      <c r="EB672" s="147"/>
      <c r="EC672" s="147"/>
      <c r="ED672" s="147"/>
      <c r="EE672" s="147"/>
      <c r="EF672" s="147"/>
      <c r="EG672" s="147"/>
      <c r="EH672" s="147"/>
    </row>
    <row r="673" spans="1:138" x14ac:dyDescent="0.25">
      <c r="A673" s="147"/>
      <c r="B673" s="147"/>
      <c r="C673" s="160"/>
      <c r="D673" s="160"/>
      <c r="E673" s="169"/>
      <c r="F673" s="229"/>
      <c r="G673" s="165"/>
      <c r="H673" s="165"/>
      <c r="I673" s="163"/>
      <c r="J673" s="163"/>
      <c r="K673" s="162"/>
      <c r="L673" s="162"/>
      <c r="M673" s="162"/>
      <c r="N673" s="230"/>
      <c r="O673" s="230"/>
      <c r="P673" s="162"/>
      <c r="Q673" s="162"/>
      <c r="R673" s="162"/>
      <c r="S673" s="162"/>
      <c r="T673" s="162"/>
      <c r="U673" s="230"/>
      <c r="V673" s="230"/>
      <c r="W673" s="162"/>
      <c r="X673" s="162"/>
      <c r="Y673" s="162"/>
      <c r="Z673" s="162"/>
      <c r="AA673" s="162"/>
      <c r="AB673" s="230"/>
      <c r="AC673" s="230"/>
      <c r="AD673" s="162"/>
      <c r="AE673" s="162"/>
      <c r="AF673" s="162"/>
      <c r="AG673" s="162"/>
      <c r="AH673" s="162"/>
      <c r="AI673" s="230"/>
      <c r="AJ673" s="230"/>
      <c r="AK673" s="162"/>
      <c r="AL673" s="162"/>
      <c r="AM673" s="162"/>
      <c r="AN673" s="162"/>
      <c r="AO673" s="162"/>
      <c r="AP673" s="230"/>
      <c r="AQ673" s="230"/>
      <c r="AR673" s="162"/>
      <c r="AS673" s="162"/>
      <c r="AT673" s="162"/>
      <c r="AU673" s="162"/>
      <c r="AV673" s="162"/>
      <c r="AW673" s="230"/>
      <c r="AX673" s="230"/>
      <c r="AY673" s="162"/>
      <c r="AZ673" s="162"/>
      <c r="BA673" s="162"/>
      <c r="BB673" s="162"/>
      <c r="BC673" s="162"/>
      <c r="BD673" s="230"/>
      <c r="BE673" s="230"/>
      <c r="BF673" s="162"/>
      <c r="BG673" s="162"/>
      <c r="BH673" s="162"/>
      <c r="BI673" s="162"/>
      <c r="BJ673" s="162"/>
      <c r="BK673" s="230"/>
      <c r="BL673" s="230"/>
      <c r="BM673" s="162"/>
      <c r="BN673" s="162"/>
      <c r="BO673" s="162"/>
      <c r="BP673" s="162"/>
      <c r="BQ673" s="162"/>
      <c r="BR673" s="230"/>
      <c r="BS673" s="230"/>
      <c r="BT673" s="162"/>
      <c r="BU673" s="162"/>
      <c r="BV673" s="162"/>
      <c r="BW673" s="162"/>
      <c r="BX673" s="162"/>
      <c r="BY673" s="230"/>
      <c r="BZ673" s="230"/>
      <c r="CA673" s="162"/>
      <c r="CB673" s="162"/>
      <c r="CC673" s="162"/>
      <c r="CD673" s="162"/>
      <c r="CE673" s="162"/>
      <c r="CF673" s="230"/>
      <c r="CG673" s="230"/>
      <c r="CH673" s="162"/>
      <c r="CI673" s="162"/>
      <c r="CJ673" s="162"/>
      <c r="CK673" s="162"/>
      <c r="CL673" s="162"/>
      <c r="CM673" s="230"/>
      <c r="CN673" s="230"/>
      <c r="CO673" s="162"/>
      <c r="CP673" s="162"/>
      <c r="CQ673" s="162"/>
      <c r="CR673" s="162"/>
      <c r="CS673" s="162"/>
      <c r="CT673" s="230"/>
      <c r="CU673" s="230"/>
      <c r="CV673" s="162"/>
      <c r="CW673" s="162"/>
      <c r="CX673" s="162"/>
      <c r="CY673" s="162"/>
      <c r="CZ673" s="162"/>
      <c r="DA673" s="230"/>
      <c r="DB673" s="230"/>
      <c r="DC673" s="162"/>
      <c r="DD673" s="162"/>
      <c r="DE673" s="162"/>
      <c r="DF673" s="162"/>
      <c r="DG673" s="162"/>
      <c r="DH673" s="230"/>
      <c r="DI673" s="230"/>
      <c r="DJ673" s="162"/>
      <c r="DK673" s="162"/>
      <c r="DL673" s="147"/>
      <c r="DM673" s="147"/>
      <c r="DN673" s="147"/>
      <c r="DO673" s="147"/>
      <c r="DP673" s="147"/>
      <c r="DQ673" s="147"/>
      <c r="DR673" s="147"/>
      <c r="DS673" s="147"/>
      <c r="DT673" s="147"/>
      <c r="DU673" s="147"/>
      <c r="DV673" s="147"/>
      <c r="DW673" s="147"/>
      <c r="DX673" s="147"/>
      <c r="DY673" s="147"/>
      <c r="DZ673" s="147"/>
      <c r="EA673" s="147"/>
      <c r="EB673" s="147"/>
      <c r="EC673" s="147"/>
      <c r="ED673" s="147"/>
      <c r="EE673" s="147"/>
      <c r="EF673" s="147"/>
      <c r="EG673" s="147"/>
      <c r="EH673" s="147"/>
    </row>
    <row r="674" spans="1:138" x14ac:dyDescent="0.25">
      <c r="A674" s="147"/>
      <c r="B674" s="147"/>
      <c r="C674" s="160"/>
      <c r="D674" s="160"/>
      <c r="E674" s="169"/>
      <c r="F674" s="229"/>
      <c r="G674" s="165"/>
      <c r="H674" s="165"/>
      <c r="I674" s="163"/>
      <c r="J674" s="163"/>
      <c r="K674" s="162"/>
      <c r="L674" s="162"/>
      <c r="M674" s="162"/>
      <c r="N674" s="230"/>
      <c r="O674" s="230"/>
      <c r="P674" s="162"/>
      <c r="Q674" s="162"/>
      <c r="R674" s="162"/>
      <c r="S674" s="162"/>
      <c r="T674" s="162"/>
      <c r="U674" s="230"/>
      <c r="V674" s="230"/>
      <c r="W674" s="162"/>
      <c r="X674" s="162"/>
      <c r="Y674" s="162"/>
      <c r="Z674" s="162"/>
      <c r="AA674" s="162"/>
      <c r="AB674" s="230"/>
      <c r="AC674" s="230"/>
      <c r="AD674" s="162"/>
      <c r="AE674" s="162"/>
      <c r="AF674" s="162"/>
      <c r="AG674" s="162"/>
      <c r="AH674" s="162"/>
      <c r="AI674" s="230"/>
      <c r="AJ674" s="230"/>
      <c r="AK674" s="162"/>
      <c r="AL674" s="162"/>
      <c r="AM674" s="162"/>
      <c r="AN674" s="162"/>
      <c r="AO674" s="162"/>
      <c r="AP674" s="230"/>
      <c r="AQ674" s="230"/>
      <c r="AR674" s="162"/>
      <c r="AS674" s="162"/>
      <c r="AT674" s="162"/>
      <c r="AU674" s="162"/>
      <c r="AV674" s="162"/>
      <c r="AW674" s="230"/>
      <c r="AX674" s="230"/>
      <c r="AY674" s="162"/>
      <c r="AZ674" s="162"/>
      <c r="BA674" s="162"/>
      <c r="BB674" s="162"/>
      <c r="BC674" s="162"/>
      <c r="BD674" s="230"/>
      <c r="BE674" s="230"/>
      <c r="BF674" s="162"/>
      <c r="BG674" s="162"/>
      <c r="BH674" s="162"/>
      <c r="BI674" s="162"/>
      <c r="BJ674" s="162"/>
      <c r="BK674" s="230"/>
      <c r="BL674" s="230"/>
      <c r="BM674" s="162"/>
      <c r="BN674" s="162"/>
      <c r="BO674" s="162"/>
      <c r="BP674" s="162"/>
      <c r="BQ674" s="162"/>
      <c r="BR674" s="230"/>
      <c r="BS674" s="230"/>
      <c r="BT674" s="162"/>
      <c r="BU674" s="162"/>
      <c r="BV674" s="162"/>
      <c r="BW674" s="162"/>
      <c r="BX674" s="162"/>
      <c r="BY674" s="230"/>
      <c r="BZ674" s="230"/>
      <c r="CA674" s="162"/>
      <c r="CB674" s="162"/>
      <c r="CC674" s="162"/>
      <c r="CD674" s="162"/>
      <c r="CE674" s="162"/>
      <c r="CF674" s="230"/>
      <c r="CG674" s="230"/>
      <c r="CH674" s="162"/>
      <c r="CI674" s="162"/>
      <c r="CJ674" s="162"/>
      <c r="CK674" s="162"/>
      <c r="CL674" s="162"/>
      <c r="CM674" s="230"/>
      <c r="CN674" s="230"/>
      <c r="CO674" s="162"/>
      <c r="CP674" s="162"/>
      <c r="CQ674" s="162"/>
      <c r="CR674" s="162"/>
      <c r="CS674" s="162"/>
      <c r="CT674" s="230"/>
      <c r="CU674" s="230"/>
      <c r="CV674" s="162"/>
      <c r="CW674" s="162"/>
      <c r="CX674" s="162"/>
      <c r="CY674" s="162"/>
      <c r="CZ674" s="162"/>
      <c r="DA674" s="230"/>
      <c r="DB674" s="230"/>
      <c r="DC674" s="162"/>
      <c r="DD674" s="162"/>
      <c r="DE674" s="162"/>
      <c r="DF674" s="162"/>
      <c r="DG674" s="162"/>
      <c r="DH674" s="230"/>
      <c r="DI674" s="230"/>
      <c r="DJ674" s="162"/>
      <c r="DK674" s="162"/>
      <c r="DL674" s="147"/>
      <c r="DM674" s="147"/>
      <c r="DN674" s="147"/>
      <c r="DO674" s="147"/>
      <c r="DP674" s="147"/>
      <c r="DQ674" s="147"/>
      <c r="DR674" s="147"/>
      <c r="DS674" s="147"/>
      <c r="DT674" s="147"/>
      <c r="DU674" s="147"/>
      <c r="DV674" s="147"/>
      <c r="DW674" s="147"/>
      <c r="DX674" s="147"/>
      <c r="DY674" s="147"/>
      <c r="DZ674" s="147"/>
      <c r="EA674" s="147"/>
      <c r="EB674" s="147"/>
      <c r="EC674" s="147"/>
      <c r="ED674" s="147"/>
      <c r="EE674" s="147"/>
      <c r="EF674" s="147"/>
      <c r="EG674" s="147"/>
      <c r="EH674" s="147"/>
    </row>
    <row r="675" spans="1:138" x14ac:dyDescent="0.25">
      <c r="A675" s="147"/>
      <c r="B675" s="147"/>
      <c r="C675" s="160"/>
      <c r="D675" s="160"/>
      <c r="E675" s="169"/>
      <c r="F675" s="229"/>
      <c r="G675" s="165"/>
      <c r="H675" s="165"/>
      <c r="I675" s="163"/>
      <c r="J675" s="163"/>
      <c r="K675" s="162"/>
      <c r="L675" s="162"/>
      <c r="M675" s="162"/>
      <c r="N675" s="230"/>
      <c r="O675" s="230"/>
      <c r="P675" s="162"/>
      <c r="Q675" s="162"/>
      <c r="R675" s="162"/>
      <c r="S675" s="162"/>
      <c r="T675" s="162"/>
      <c r="U675" s="230"/>
      <c r="V675" s="230"/>
      <c r="W675" s="162"/>
      <c r="X675" s="162"/>
      <c r="Y675" s="162"/>
      <c r="Z675" s="162"/>
      <c r="AA675" s="162"/>
      <c r="AB675" s="230"/>
      <c r="AC675" s="230"/>
      <c r="AD675" s="162"/>
      <c r="AE675" s="162"/>
      <c r="AF675" s="162"/>
      <c r="AG675" s="162"/>
      <c r="AH675" s="162"/>
      <c r="AI675" s="230"/>
      <c r="AJ675" s="230"/>
      <c r="AK675" s="162"/>
      <c r="AL675" s="162"/>
      <c r="AM675" s="162"/>
      <c r="AN675" s="162"/>
      <c r="AO675" s="162"/>
      <c r="AP675" s="230"/>
      <c r="AQ675" s="230"/>
      <c r="AR675" s="162"/>
      <c r="AS675" s="162"/>
      <c r="AT675" s="162"/>
      <c r="AU675" s="162"/>
      <c r="AV675" s="162"/>
      <c r="AW675" s="230"/>
      <c r="AX675" s="230"/>
      <c r="AY675" s="162"/>
      <c r="AZ675" s="162"/>
      <c r="BA675" s="162"/>
      <c r="BB675" s="162"/>
      <c r="BC675" s="162"/>
      <c r="BD675" s="230"/>
      <c r="BE675" s="230"/>
      <c r="BF675" s="162"/>
      <c r="BG675" s="162"/>
      <c r="BH675" s="162"/>
      <c r="BI675" s="162"/>
      <c r="BJ675" s="162"/>
      <c r="BK675" s="230"/>
      <c r="BL675" s="230"/>
      <c r="BM675" s="162"/>
      <c r="BN675" s="162"/>
      <c r="BO675" s="162"/>
      <c r="BP675" s="162"/>
      <c r="BQ675" s="162"/>
      <c r="BR675" s="230"/>
      <c r="BS675" s="230"/>
      <c r="BT675" s="162"/>
      <c r="BU675" s="162"/>
      <c r="BV675" s="162"/>
      <c r="BW675" s="162"/>
      <c r="BX675" s="162"/>
      <c r="BY675" s="230"/>
      <c r="BZ675" s="230"/>
      <c r="CA675" s="162"/>
      <c r="CB675" s="162"/>
      <c r="CC675" s="162"/>
      <c r="CD675" s="162"/>
      <c r="CE675" s="162"/>
      <c r="CF675" s="230"/>
      <c r="CG675" s="230"/>
      <c r="CH675" s="162"/>
      <c r="CI675" s="162"/>
      <c r="CJ675" s="162"/>
      <c r="CK675" s="162"/>
      <c r="CL675" s="162"/>
      <c r="CM675" s="230"/>
      <c r="CN675" s="230"/>
      <c r="CO675" s="162"/>
      <c r="CP675" s="162"/>
      <c r="CQ675" s="162"/>
      <c r="CR675" s="162"/>
      <c r="CS675" s="162"/>
      <c r="CT675" s="230"/>
      <c r="CU675" s="230"/>
      <c r="CV675" s="162"/>
      <c r="CW675" s="162"/>
      <c r="CX675" s="162"/>
      <c r="CY675" s="162"/>
      <c r="CZ675" s="162"/>
      <c r="DA675" s="230"/>
      <c r="DB675" s="230"/>
      <c r="DC675" s="162"/>
      <c r="DD675" s="162"/>
      <c r="DE675" s="162"/>
      <c r="DF675" s="162"/>
      <c r="DG675" s="162"/>
      <c r="DH675" s="230"/>
      <c r="DI675" s="230"/>
      <c r="DJ675" s="162"/>
      <c r="DK675" s="162"/>
      <c r="DL675" s="147"/>
      <c r="DM675" s="147"/>
      <c r="DN675" s="147"/>
      <c r="DO675" s="147"/>
      <c r="DP675" s="147"/>
      <c r="DQ675" s="147"/>
      <c r="DR675" s="147"/>
      <c r="DS675" s="147"/>
      <c r="DT675" s="147"/>
      <c r="DU675" s="147"/>
      <c r="DV675" s="147"/>
      <c r="DW675" s="147"/>
      <c r="DX675" s="147"/>
      <c r="DY675" s="147"/>
      <c r="DZ675" s="147"/>
      <c r="EA675" s="147"/>
      <c r="EB675" s="147"/>
      <c r="EC675" s="147"/>
      <c r="ED675" s="147"/>
      <c r="EE675" s="147"/>
      <c r="EF675" s="147"/>
      <c r="EG675" s="147"/>
      <c r="EH675" s="147"/>
    </row>
    <row r="676" spans="1:138" x14ac:dyDescent="0.25">
      <c r="A676" s="147"/>
      <c r="B676" s="147"/>
      <c r="C676" s="160"/>
      <c r="D676" s="160"/>
      <c r="E676" s="169"/>
      <c r="F676" s="229"/>
      <c r="G676" s="165"/>
      <c r="H676" s="165"/>
      <c r="I676" s="163"/>
      <c r="J676" s="163"/>
      <c r="K676" s="162"/>
      <c r="L676" s="162"/>
      <c r="M676" s="162"/>
      <c r="N676" s="230"/>
      <c r="O676" s="230"/>
      <c r="P676" s="162"/>
      <c r="Q676" s="162"/>
      <c r="R676" s="162"/>
      <c r="S676" s="162"/>
      <c r="T676" s="162"/>
      <c r="U676" s="230"/>
      <c r="V676" s="230"/>
      <c r="W676" s="162"/>
      <c r="X676" s="162"/>
      <c r="Y676" s="162"/>
      <c r="Z676" s="162"/>
      <c r="AA676" s="162"/>
      <c r="AB676" s="230"/>
      <c r="AC676" s="230"/>
      <c r="AD676" s="162"/>
      <c r="AE676" s="162"/>
      <c r="AF676" s="162"/>
      <c r="AG676" s="162"/>
      <c r="AH676" s="162"/>
      <c r="AI676" s="230"/>
      <c r="AJ676" s="230"/>
      <c r="AK676" s="162"/>
      <c r="AL676" s="162"/>
      <c r="AM676" s="162"/>
      <c r="AN676" s="162"/>
      <c r="AO676" s="162"/>
      <c r="AP676" s="230"/>
      <c r="AQ676" s="230"/>
      <c r="AR676" s="162"/>
      <c r="AS676" s="162"/>
      <c r="AT676" s="162"/>
      <c r="AU676" s="162"/>
      <c r="AV676" s="162"/>
      <c r="AW676" s="230"/>
      <c r="AX676" s="230"/>
      <c r="AY676" s="162"/>
      <c r="AZ676" s="162"/>
      <c r="BA676" s="162"/>
      <c r="BB676" s="162"/>
      <c r="BC676" s="162"/>
      <c r="BD676" s="230"/>
      <c r="BE676" s="230"/>
      <c r="BF676" s="162"/>
      <c r="BG676" s="162"/>
      <c r="BH676" s="162"/>
      <c r="BI676" s="162"/>
      <c r="BJ676" s="162"/>
      <c r="BK676" s="230"/>
      <c r="BL676" s="230"/>
      <c r="BM676" s="162"/>
      <c r="BN676" s="162"/>
      <c r="BO676" s="162"/>
      <c r="BP676" s="162"/>
      <c r="BQ676" s="162"/>
      <c r="BR676" s="230"/>
      <c r="BS676" s="230"/>
      <c r="BT676" s="162"/>
      <c r="BU676" s="162"/>
      <c r="BV676" s="162"/>
      <c r="BW676" s="162"/>
      <c r="BX676" s="162"/>
      <c r="BY676" s="230"/>
      <c r="BZ676" s="230"/>
      <c r="CA676" s="162"/>
      <c r="CB676" s="162"/>
      <c r="CC676" s="162"/>
      <c r="CD676" s="162"/>
      <c r="CE676" s="162"/>
      <c r="CF676" s="230"/>
      <c r="CG676" s="230"/>
      <c r="CH676" s="162"/>
      <c r="CI676" s="162"/>
      <c r="CJ676" s="162"/>
      <c r="CK676" s="162"/>
      <c r="CL676" s="162"/>
      <c r="CM676" s="230"/>
      <c r="CN676" s="230"/>
      <c r="CO676" s="162"/>
      <c r="CP676" s="162"/>
      <c r="CQ676" s="162"/>
      <c r="CR676" s="162"/>
      <c r="CS676" s="162"/>
      <c r="CT676" s="230"/>
      <c r="CU676" s="230"/>
      <c r="CV676" s="162"/>
      <c r="CW676" s="162"/>
      <c r="CX676" s="162"/>
      <c r="CY676" s="162"/>
      <c r="CZ676" s="162"/>
      <c r="DA676" s="230"/>
      <c r="DB676" s="230"/>
      <c r="DC676" s="162"/>
      <c r="DD676" s="162"/>
      <c r="DE676" s="162"/>
      <c r="DF676" s="162"/>
      <c r="DG676" s="162"/>
      <c r="DH676" s="230"/>
      <c r="DI676" s="230"/>
      <c r="DJ676" s="162"/>
      <c r="DK676" s="162"/>
      <c r="DL676" s="147"/>
      <c r="DM676" s="147"/>
      <c r="DN676" s="147"/>
      <c r="DO676" s="147"/>
      <c r="DP676" s="147"/>
      <c r="DQ676" s="147"/>
      <c r="DR676" s="147"/>
      <c r="DS676" s="147"/>
      <c r="DT676" s="147"/>
      <c r="DU676" s="147"/>
      <c r="DV676" s="147"/>
      <c r="DW676" s="147"/>
      <c r="DX676" s="147"/>
      <c r="DY676" s="147"/>
      <c r="DZ676" s="147"/>
      <c r="EA676" s="147"/>
      <c r="EB676" s="147"/>
      <c r="EC676" s="147"/>
      <c r="ED676" s="147"/>
      <c r="EE676" s="147"/>
      <c r="EF676" s="147"/>
      <c r="EG676" s="147"/>
      <c r="EH676" s="147"/>
    </row>
    <row r="677" spans="1:138" x14ac:dyDescent="0.25">
      <c r="A677" s="147"/>
      <c r="B677" s="147"/>
      <c r="C677" s="160"/>
      <c r="D677" s="160"/>
      <c r="E677" s="169"/>
      <c r="F677" s="229"/>
      <c r="G677" s="165"/>
      <c r="H677" s="165"/>
      <c r="I677" s="163"/>
      <c r="J677" s="163"/>
      <c r="K677" s="162"/>
      <c r="L677" s="162"/>
      <c r="M677" s="162"/>
      <c r="N677" s="230"/>
      <c r="O677" s="230"/>
      <c r="P677" s="162"/>
      <c r="Q677" s="162"/>
      <c r="R677" s="162"/>
      <c r="S677" s="162"/>
      <c r="T677" s="162"/>
      <c r="U677" s="230"/>
      <c r="V677" s="230"/>
      <c r="W677" s="162"/>
      <c r="X677" s="162"/>
      <c r="Y677" s="162"/>
      <c r="Z677" s="162"/>
      <c r="AA677" s="162"/>
      <c r="AB677" s="230"/>
      <c r="AC677" s="230"/>
      <c r="AD677" s="162"/>
      <c r="AE677" s="162"/>
      <c r="AF677" s="162"/>
      <c r="AG677" s="162"/>
      <c r="AH677" s="162"/>
      <c r="AI677" s="230"/>
      <c r="AJ677" s="230"/>
      <c r="AK677" s="162"/>
      <c r="AL677" s="162"/>
      <c r="AM677" s="162"/>
      <c r="AN677" s="162"/>
      <c r="AO677" s="162"/>
      <c r="AP677" s="230"/>
      <c r="AQ677" s="230"/>
      <c r="AR677" s="162"/>
      <c r="AS677" s="162"/>
      <c r="AT677" s="162"/>
      <c r="AU677" s="162"/>
      <c r="AV677" s="162"/>
      <c r="AW677" s="230"/>
      <c r="AX677" s="230"/>
      <c r="AY677" s="162"/>
      <c r="AZ677" s="162"/>
      <c r="BA677" s="162"/>
      <c r="BB677" s="162"/>
      <c r="BC677" s="162"/>
      <c r="BD677" s="230"/>
      <c r="BE677" s="230"/>
      <c r="BF677" s="162"/>
      <c r="BG677" s="162"/>
      <c r="BH677" s="162"/>
      <c r="BI677" s="162"/>
      <c r="BJ677" s="162"/>
      <c r="BK677" s="230"/>
      <c r="BL677" s="230"/>
      <c r="BM677" s="162"/>
      <c r="BN677" s="162"/>
      <c r="BO677" s="162"/>
      <c r="BP677" s="162"/>
      <c r="BQ677" s="162"/>
      <c r="BR677" s="230"/>
      <c r="BS677" s="230"/>
      <c r="BT677" s="162"/>
      <c r="BU677" s="162"/>
      <c r="BV677" s="162"/>
      <c r="BW677" s="162"/>
      <c r="BX677" s="162"/>
      <c r="BY677" s="230"/>
      <c r="BZ677" s="230"/>
      <c r="CA677" s="162"/>
      <c r="CB677" s="162"/>
      <c r="CC677" s="162"/>
      <c r="CD677" s="162"/>
      <c r="CE677" s="162"/>
      <c r="CF677" s="230"/>
      <c r="CG677" s="230"/>
      <c r="CH677" s="162"/>
      <c r="CI677" s="162"/>
      <c r="CJ677" s="162"/>
      <c r="CK677" s="162"/>
      <c r="CL677" s="162"/>
      <c r="CM677" s="230"/>
      <c r="CN677" s="230"/>
      <c r="CO677" s="162"/>
      <c r="CP677" s="162"/>
      <c r="CQ677" s="162"/>
      <c r="CR677" s="162"/>
      <c r="CS677" s="162"/>
      <c r="CT677" s="230"/>
      <c r="CU677" s="230"/>
      <c r="CV677" s="162"/>
      <c r="CW677" s="162"/>
      <c r="CX677" s="162"/>
      <c r="CY677" s="162"/>
      <c r="CZ677" s="162"/>
      <c r="DA677" s="230"/>
      <c r="DB677" s="230"/>
      <c r="DC677" s="162"/>
      <c r="DD677" s="162"/>
      <c r="DE677" s="162"/>
      <c r="DF677" s="162"/>
      <c r="DG677" s="162"/>
      <c r="DH677" s="230"/>
      <c r="DI677" s="230"/>
      <c r="DJ677" s="162"/>
      <c r="DK677" s="162"/>
      <c r="DL677" s="147"/>
      <c r="DM677" s="147"/>
      <c r="DN677" s="147"/>
      <c r="DO677" s="147"/>
      <c r="DP677" s="147"/>
      <c r="DQ677" s="147"/>
      <c r="DR677" s="147"/>
      <c r="DS677" s="147"/>
      <c r="DT677" s="147"/>
      <c r="DU677" s="147"/>
      <c r="DV677" s="147"/>
      <c r="DW677" s="147"/>
      <c r="DX677" s="147"/>
      <c r="DY677" s="147"/>
      <c r="DZ677" s="147"/>
      <c r="EA677" s="147"/>
      <c r="EB677" s="147"/>
      <c r="EC677" s="147"/>
      <c r="ED677" s="147"/>
      <c r="EE677" s="147"/>
      <c r="EF677" s="147"/>
      <c r="EG677" s="147"/>
      <c r="EH677" s="147"/>
    </row>
    <row r="678" spans="1:138" x14ac:dyDescent="0.25">
      <c r="A678" s="147"/>
      <c r="B678" s="147"/>
      <c r="C678" s="160"/>
      <c r="D678" s="160"/>
      <c r="E678" s="169"/>
      <c r="F678" s="229"/>
      <c r="G678" s="165"/>
      <c r="H678" s="165"/>
      <c r="I678" s="163"/>
      <c r="J678" s="163"/>
      <c r="K678" s="162"/>
      <c r="L678" s="162"/>
      <c r="M678" s="162"/>
      <c r="N678" s="230"/>
      <c r="O678" s="230"/>
      <c r="P678" s="162"/>
      <c r="Q678" s="162"/>
      <c r="R678" s="162"/>
      <c r="S678" s="162"/>
      <c r="T678" s="162"/>
      <c r="U678" s="230"/>
      <c r="V678" s="230"/>
      <c r="W678" s="162"/>
      <c r="X678" s="162"/>
      <c r="Y678" s="162"/>
      <c r="Z678" s="162"/>
      <c r="AA678" s="162"/>
      <c r="AB678" s="230"/>
      <c r="AC678" s="230"/>
      <c r="AD678" s="162"/>
      <c r="AE678" s="162"/>
      <c r="AF678" s="162"/>
      <c r="AG678" s="162"/>
      <c r="AH678" s="162"/>
      <c r="AI678" s="230"/>
      <c r="AJ678" s="230"/>
      <c r="AK678" s="162"/>
      <c r="AL678" s="162"/>
      <c r="AM678" s="162"/>
      <c r="AN678" s="162"/>
      <c r="AO678" s="162"/>
      <c r="AP678" s="230"/>
      <c r="AQ678" s="230"/>
      <c r="AR678" s="162"/>
      <c r="AS678" s="162"/>
      <c r="AT678" s="162"/>
      <c r="AU678" s="162"/>
      <c r="AV678" s="162"/>
      <c r="AW678" s="230"/>
      <c r="AX678" s="230"/>
      <c r="AY678" s="162"/>
      <c r="AZ678" s="162"/>
      <c r="BA678" s="162"/>
      <c r="BB678" s="162"/>
      <c r="BC678" s="162"/>
      <c r="BD678" s="230"/>
      <c r="BE678" s="230"/>
      <c r="BF678" s="162"/>
      <c r="BG678" s="162"/>
      <c r="BH678" s="162"/>
      <c r="BI678" s="162"/>
      <c r="BJ678" s="162"/>
      <c r="BK678" s="230"/>
      <c r="BL678" s="230"/>
      <c r="BM678" s="162"/>
      <c r="BN678" s="162"/>
      <c r="BO678" s="162"/>
      <c r="BP678" s="162"/>
      <c r="BQ678" s="162"/>
      <c r="BR678" s="230"/>
      <c r="BS678" s="230"/>
      <c r="BT678" s="162"/>
      <c r="BU678" s="162"/>
      <c r="BV678" s="162"/>
      <c r="BW678" s="162"/>
      <c r="BX678" s="162"/>
      <c r="BY678" s="230"/>
      <c r="BZ678" s="230"/>
      <c r="CA678" s="162"/>
      <c r="CB678" s="162"/>
      <c r="CC678" s="162"/>
      <c r="CD678" s="162"/>
      <c r="CE678" s="162"/>
      <c r="CF678" s="230"/>
      <c r="CG678" s="230"/>
      <c r="CH678" s="162"/>
      <c r="CI678" s="162"/>
      <c r="CJ678" s="162"/>
      <c r="CK678" s="162"/>
      <c r="CL678" s="162"/>
      <c r="CM678" s="230"/>
      <c r="CN678" s="230"/>
      <c r="CO678" s="162"/>
      <c r="CP678" s="162"/>
      <c r="CQ678" s="162"/>
      <c r="CR678" s="162"/>
      <c r="CS678" s="162"/>
      <c r="CT678" s="230"/>
      <c r="CU678" s="230"/>
      <c r="CV678" s="162"/>
      <c r="CW678" s="162"/>
      <c r="CX678" s="162"/>
      <c r="CY678" s="162"/>
      <c r="CZ678" s="162"/>
      <c r="DA678" s="230"/>
      <c r="DB678" s="230"/>
      <c r="DC678" s="162"/>
      <c r="DD678" s="162"/>
      <c r="DE678" s="162"/>
      <c r="DF678" s="162"/>
      <c r="DG678" s="162"/>
      <c r="DH678" s="230"/>
      <c r="DI678" s="230"/>
      <c r="DJ678" s="162"/>
      <c r="DK678" s="162"/>
      <c r="DL678" s="147"/>
      <c r="DM678" s="147"/>
      <c r="DN678" s="147"/>
      <c r="DO678" s="147"/>
      <c r="DP678" s="147"/>
      <c r="DQ678" s="147"/>
      <c r="DR678" s="147"/>
      <c r="DS678" s="147"/>
      <c r="DT678" s="147"/>
      <c r="DU678" s="147"/>
      <c r="DV678" s="147"/>
      <c r="DW678" s="147"/>
      <c r="DX678" s="147"/>
      <c r="DY678" s="147"/>
      <c r="DZ678" s="147"/>
      <c r="EA678" s="147"/>
      <c r="EB678" s="147"/>
      <c r="EC678" s="147"/>
      <c r="ED678" s="147"/>
      <c r="EE678" s="147"/>
      <c r="EF678" s="147"/>
      <c r="EG678" s="147"/>
      <c r="EH678" s="147"/>
    </row>
    <row r="679" spans="1:138" x14ac:dyDescent="0.25">
      <c r="A679" s="147"/>
      <c r="B679" s="147"/>
      <c r="C679" s="160"/>
      <c r="D679" s="160"/>
      <c r="E679" s="169"/>
      <c r="F679" s="229"/>
      <c r="G679" s="165"/>
      <c r="H679" s="165"/>
      <c r="I679" s="163"/>
      <c r="J679" s="163"/>
      <c r="K679" s="162"/>
      <c r="L679" s="162"/>
      <c r="M679" s="162"/>
      <c r="N679" s="230"/>
      <c r="O679" s="230"/>
      <c r="P679" s="162"/>
      <c r="Q679" s="162"/>
      <c r="R679" s="162"/>
      <c r="S679" s="162"/>
      <c r="T679" s="162"/>
      <c r="U679" s="230"/>
      <c r="V679" s="230"/>
      <c r="W679" s="162"/>
      <c r="X679" s="162"/>
      <c r="Y679" s="162"/>
      <c r="Z679" s="162"/>
      <c r="AA679" s="162"/>
      <c r="AB679" s="230"/>
      <c r="AC679" s="230"/>
      <c r="AD679" s="162"/>
      <c r="AE679" s="162"/>
      <c r="AF679" s="162"/>
      <c r="AG679" s="162"/>
      <c r="AH679" s="162"/>
      <c r="AI679" s="230"/>
      <c r="AJ679" s="230"/>
      <c r="AK679" s="162"/>
      <c r="AL679" s="162"/>
      <c r="AM679" s="162"/>
      <c r="AN679" s="162"/>
      <c r="AO679" s="162"/>
      <c r="AP679" s="230"/>
      <c r="AQ679" s="230"/>
      <c r="AR679" s="162"/>
      <c r="AS679" s="162"/>
      <c r="AT679" s="162"/>
      <c r="AU679" s="162"/>
      <c r="AV679" s="162"/>
      <c r="AW679" s="230"/>
      <c r="AX679" s="230"/>
      <c r="AY679" s="162"/>
      <c r="AZ679" s="162"/>
      <c r="BA679" s="162"/>
      <c r="BB679" s="162"/>
      <c r="BC679" s="162"/>
      <c r="BD679" s="230"/>
      <c r="BE679" s="230"/>
      <c r="BF679" s="162"/>
      <c r="BG679" s="162"/>
      <c r="BH679" s="162"/>
      <c r="BI679" s="162"/>
      <c r="BJ679" s="162"/>
      <c r="BK679" s="230"/>
      <c r="BL679" s="230"/>
      <c r="BM679" s="162"/>
      <c r="BN679" s="162"/>
      <c r="BO679" s="162"/>
      <c r="BP679" s="162"/>
      <c r="BQ679" s="162"/>
      <c r="BR679" s="230"/>
      <c r="BS679" s="230"/>
      <c r="BT679" s="162"/>
      <c r="BU679" s="162"/>
      <c r="BV679" s="162"/>
      <c r="BW679" s="162"/>
      <c r="BX679" s="162"/>
      <c r="BY679" s="230"/>
      <c r="BZ679" s="230"/>
      <c r="CA679" s="162"/>
      <c r="CB679" s="162"/>
      <c r="CC679" s="162"/>
      <c r="CD679" s="162"/>
      <c r="CE679" s="162"/>
      <c r="CF679" s="230"/>
      <c r="CG679" s="230"/>
      <c r="CH679" s="162"/>
      <c r="CI679" s="162"/>
      <c r="CJ679" s="162"/>
      <c r="CK679" s="162"/>
      <c r="CL679" s="162"/>
      <c r="CM679" s="230"/>
      <c r="CN679" s="230"/>
      <c r="CO679" s="162"/>
      <c r="CP679" s="162"/>
      <c r="CQ679" s="162"/>
      <c r="CR679" s="162"/>
      <c r="CS679" s="162"/>
      <c r="CT679" s="230"/>
      <c r="CU679" s="230"/>
      <c r="CV679" s="162"/>
      <c r="CW679" s="162"/>
      <c r="CX679" s="162"/>
      <c r="CY679" s="162"/>
      <c r="CZ679" s="162"/>
      <c r="DA679" s="230"/>
      <c r="DB679" s="230"/>
      <c r="DC679" s="162"/>
      <c r="DD679" s="162"/>
      <c r="DE679" s="162"/>
      <c r="DF679" s="162"/>
      <c r="DG679" s="162"/>
      <c r="DH679" s="230"/>
      <c r="DI679" s="230"/>
      <c r="DJ679" s="162"/>
      <c r="DK679" s="162"/>
      <c r="DL679" s="147"/>
      <c r="DM679" s="147"/>
      <c r="DN679" s="147"/>
      <c r="DO679" s="147"/>
      <c r="DP679" s="147"/>
      <c r="DQ679" s="147"/>
      <c r="DR679" s="147"/>
      <c r="DS679" s="147"/>
      <c r="DT679" s="147"/>
      <c r="DU679" s="147"/>
      <c r="DV679" s="147"/>
      <c r="DW679" s="147"/>
      <c r="DX679" s="147"/>
      <c r="DY679" s="147"/>
      <c r="DZ679" s="147"/>
      <c r="EA679" s="147"/>
      <c r="EB679" s="147"/>
      <c r="EC679" s="147"/>
      <c r="ED679" s="147"/>
      <c r="EE679" s="147"/>
      <c r="EF679" s="147"/>
      <c r="EG679" s="147"/>
      <c r="EH679" s="147"/>
    </row>
    <row r="680" spans="1:138" x14ac:dyDescent="0.25">
      <c r="A680" s="147"/>
      <c r="B680" s="147"/>
      <c r="C680" s="160"/>
      <c r="D680" s="160"/>
      <c r="E680" s="169"/>
      <c r="F680" s="229"/>
      <c r="G680" s="165"/>
      <c r="H680" s="165"/>
      <c r="I680" s="163"/>
      <c r="J680" s="163"/>
      <c r="K680" s="162"/>
      <c r="L680" s="162"/>
      <c r="M680" s="162"/>
      <c r="N680" s="230"/>
      <c r="O680" s="230"/>
      <c r="P680" s="162"/>
      <c r="Q680" s="162"/>
      <c r="R680" s="162"/>
      <c r="S680" s="162"/>
      <c r="T680" s="162"/>
      <c r="U680" s="230"/>
      <c r="V680" s="230"/>
      <c r="W680" s="162"/>
      <c r="X680" s="162"/>
      <c r="Y680" s="162"/>
      <c r="Z680" s="162"/>
      <c r="AA680" s="162"/>
      <c r="AB680" s="230"/>
      <c r="AC680" s="230"/>
      <c r="AD680" s="162"/>
      <c r="AE680" s="162"/>
      <c r="AF680" s="162"/>
      <c r="AG680" s="162"/>
      <c r="AH680" s="162"/>
      <c r="AI680" s="230"/>
      <c r="AJ680" s="230"/>
      <c r="AK680" s="162"/>
      <c r="AL680" s="162"/>
      <c r="AM680" s="162"/>
      <c r="AN680" s="162"/>
      <c r="AO680" s="162"/>
      <c r="AP680" s="230"/>
      <c r="AQ680" s="230"/>
      <c r="AR680" s="162"/>
      <c r="AS680" s="162"/>
      <c r="AT680" s="162"/>
      <c r="AU680" s="162"/>
      <c r="AV680" s="162"/>
      <c r="AW680" s="230"/>
      <c r="AX680" s="230"/>
      <c r="AY680" s="162"/>
      <c r="AZ680" s="162"/>
      <c r="BA680" s="162"/>
      <c r="BB680" s="162"/>
      <c r="BC680" s="162"/>
      <c r="BD680" s="230"/>
      <c r="BE680" s="230"/>
      <c r="BF680" s="162"/>
      <c r="BG680" s="162"/>
      <c r="BH680" s="162"/>
      <c r="BI680" s="162"/>
      <c r="BJ680" s="162"/>
      <c r="BK680" s="230"/>
      <c r="BL680" s="230"/>
      <c r="BM680" s="162"/>
      <c r="BN680" s="162"/>
      <c r="BO680" s="162"/>
      <c r="BP680" s="162"/>
      <c r="BQ680" s="162"/>
      <c r="BR680" s="230"/>
      <c r="BS680" s="230"/>
      <c r="BT680" s="162"/>
      <c r="BU680" s="162"/>
      <c r="BV680" s="162"/>
      <c r="BW680" s="162"/>
      <c r="BX680" s="162"/>
      <c r="BY680" s="230"/>
      <c r="BZ680" s="230"/>
      <c r="CA680" s="162"/>
      <c r="CB680" s="162"/>
      <c r="CC680" s="162"/>
      <c r="CD680" s="162"/>
      <c r="CE680" s="162"/>
      <c r="CF680" s="230"/>
      <c r="CG680" s="230"/>
      <c r="CH680" s="162"/>
      <c r="CI680" s="162"/>
      <c r="CJ680" s="162"/>
      <c r="CK680" s="162"/>
      <c r="CL680" s="162"/>
      <c r="CM680" s="230"/>
      <c r="CN680" s="230"/>
      <c r="CO680" s="162"/>
      <c r="CP680" s="162"/>
      <c r="CQ680" s="162"/>
      <c r="CR680" s="162"/>
      <c r="CS680" s="162"/>
      <c r="CT680" s="230"/>
      <c r="CU680" s="230"/>
      <c r="CV680" s="162"/>
      <c r="CW680" s="162"/>
      <c r="CX680" s="162"/>
      <c r="CY680" s="162"/>
      <c r="CZ680" s="162"/>
      <c r="DA680" s="230"/>
      <c r="DB680" s="230"/>
      <c r="DC680" s="162"/>
      <c r="DD680" s="162"/>
      <c r="DE680" s="162"/>
      <c r="DF680" s="162"/>
      <c r="DG680" s="162"/>
      <c r="DH680" s="230"/>
      <c r="DI680" s="230"/>
      <c r="DJ680" s="162"/>
      <c r="DK680" s="162"/>
      <c r="DL680" s="147"/>
      <c r="DM680" s="147"/>
      <c r="DN680" s="147"/>
      <c r="DO680" s="147"/>
      <c r="DP680" s="147"/>
      <c r="DQ680" s="147"/>
      <c r="DR680" s="147"/>
      <c r="DS680" s="147"/>
      <c r="DT680" s="147"/>
      <c r="DU680" s="147"/>
      <c r="DV680" s="147"/>
      <c r="DW680" s="147"/>
      <c r="DX680" s="147"/>
      <c r="DY680" s="147"/>
      <c r="DZ680" s="147"/>
      <c r="EA680" s="147"/>
      <c r="EB680" s="147"/>
      <c r="EC680" s="147"/>
      <c r="ED680" s="147"/>
      <c r="EE680" s="147"/>
      <c r="EF680" s="147"/>
      <c r="EG680" s="147"/>
      <c r="EH680" s="147"/>
    </row>
    <row r="681" spans="1:138" x14ac:dyDescent="0.25">
      <c r="A681" s="147"/>
      <c r="B681" s="147"/>
      <c r="C681" s="160"/>
      <c r="D681" s="160"/>
      <c r="E681" s="169"/>
      <c r="F681" s="229"/>
      <c r="G681" s="165"/>
      <c r="H681" s="165"/>
      <c r="I681" s="163"/>
      <c r="J681" s="163"/>
      <c r="K681" s="162"/>
      <c r="L681" s="162"/>
      <c r="M681" s="162"/>
      <c r="N681" s="230"/>
      <c r="O681" s="230"/>
      <c r="P681" s="162"/>
      <c r="Q681" s="162"/>
      <c r="R681" s="162"/>
      <c r="S681" s="162"/>
      <c r="T681" s="162"/>
      <c r="U681" s="230"/>
      <c r="V681" s="230"/>
      <c r="W681" s="162"/>
      <c r="X681" s="162"/>
      <c r="Y681" s="162"/>
      <c r="Z681" s="162"/>
      <c r="AA681" s="162"/>
      <c r="AB681" s="230"/>
      <c r="AC681" s="230"/>
      <c r="AD681" s="162"/>
      <c r="AE681" s="162"/>
      <c r="AF681" s="162"/>
      <c r="AG681" s="162"/>
      <c r="AH681" s="162"/>
      <c r="AI681" s="230"/>
      <c r="AJ681" s="230"/>
      <c r="AK681" s="162"/>
      <c r="AL681" s="162"/>
      <c r="AM681" s="162"/>
      <c r="AN681" s="162"/>
      <c r="AO681" s="162"/>
      <c r="AP681" s="230"/>
      <c r="AQ681" s="230"/>
      <c r="AR681" s="162"/>
      <c r="AS681" s="162"/>
      <c r="AT681" s="162"/>
      <c r="AU681" s="162"/>
      <c r="AV681" s="162"/>
      <c r="AW681" s="230"/>
      <c r="AX681" s="230"/>
      <c r="AY681" s="162"/>
      <c r="AZ681" s="162"/>
      <c r="BA681" s="162"/>
      <c r="BB681" s="162"/>
      <c r="BC681" s="162"/>
      <c r="BD681" s="230"/>
      <c r="BE681" s="230"/>
      <c r="BF681" s="162"/>
      <c r="BG681" s="162"/>
      <c r="BH681" s="162"/>
      <c r="BI681" s="162"/>
      <c r="BJ681" s="162"/>
      <c r="BK681" s="230"/>
      <c r="BL681" s="230"/>
      <c r="BM681" s="162"/>
      <c r="BN681" s="162"/>
      <c r="BO681" s="162"/>
      <c r="BP681" s="162"/>
      <c r="BQ681" s="162"/>
      <c r="BR681" s="230"/>
      <c r="BS681" s="230"/>
      <c r="BT681" s="162"/>
      <c r="BU681" s="162"/>
      <c r="BV681" s="162"/>
      <c r="BW681" s="162"/>
      <c r="BX681" s="162"/>
      <c r="BY681" s="230"/>
      <c r="BZ681" s="230"/>
      <c r="CA681" s="162"/>
      <c r="CB681" s="162"/>
      <c r="CC681" s="162"/>
      <c r="CD681" s="162"/>
      <c r="CE681" s="162"/>
      <c r="CF681" s="230"/>
      <c r="CG681" s="230"/>
      <c r="CH681" s="162"/>
      <c r="CI681" s="162"/>
      <c r="CJ681" s="162"/>
      <c r="CK681" s="162"/>
      <c r="CL681" s="162"/>
      <c r="CM681" s="230"/>
      <c r="CN681" s="230"/>
      <c r="CO681" s="162"/>
      <c r="CP681" s="162"/>
      <c r="CQ681" s="162"/>
      <c r="CR681" s="162"/>
      <c r="CS681" s="162"/>
      <c r="CT681" s="230"/>
      <c r="CU681" s="230"/>
      <c r="CV681" s="162"/>
      <c r="CW681" s="162"/>
      <c r="CX681" s="162"/>
      <c r="CY681" s="162"/>
      <c r="CZ681" s="162"/>
      <c r="DA681" s="230"/>
      <c r="DB681" s="230"/>
      <c r="DC681" s="162"/>
      <c r="DD681" s="162"/>
      <c r="DE681" s="162"/>
      <c r="DF681" s="162"/>
      <c r="DG681" s="162"/>
      <c r="DH681" s="230"/>
      <c r="DI681" s="230"/>
      <c r="DJ681" s="162"/>
      <c r="DK681" s="162"/>
      <c r="DL681" s="147"/>
      <c r="DM681" s="147"/>
      <c r="DN681" s="147"/>
      <c r="DO681" s="147"/>
      <c r="DP681" s="147"/>
      <c r="DQ681" s="147"/>
      <c r="DR681" s="147"/>
      <c r="DS681" s="147"/>
      <c r="DT681" s="147"/>
      <c r="DU681" s="147"/>
      <c r="DV681" s="147"/>
      <c r="DW681" s="147"/>
      <c r="DX681" s="147"/>
      <c r="DY681" s="147"/>
      <c r="DZ681" s="147"/>
      <c r="EA681" s="147"/>
      <c r="EB681" s="147"/>
      <c r="EC681" s="147"/>
      <c r="ED681" s="147"/>
      <c r="EE681" s="147"/>
      <c r="EF681" s="147"/>
      <c r="EG681" s="147"/>
      <c r="EH681" s="147"/>
    </row>
    <row r="682" spans="1:138" x14ac:dyDescent="0.25">
      <c r="A682" s="147"/>
      <c r="B682" s="147"/>
      <c r="C682" s="160"/>
      <c r="D682" s="160"/>
      <c r="E682" s="169"/>
      <c r="F682" s="229"/>
      <c r="G682" s="165"/>
      <c r="H682" s="165"/>
      <c r="I682" s="163"/>
      <c r="J682" s="163"/>
      <c r="K682" s="162"/>
      <c r="L682" s="162"/>
      <c r="M682" s="162"/>
      <c r="N682" s="230"/>
      <c r="O682" s="230"/>
      <c r="P682" s="162"/>
      <c r="Q682" s="162"/>
      <c r="R682" s="162"/>
      <c r="S682" s="162"/>
      <c r="T682" s="162"/>
      <c r="U682" s="230"/>
      <c r="V682" s="230"/>
      <c r="W682" s="162"/>
      <c r="X682" s="162"/>
      <c r="Y682" s="162"/>
      <c r="Z682" s="162"/>
      <c r="AA682" s="162"/>
      <c r="AB682" s="230"/>
      <c r="AC682" s="230"/>
      <c r="AD682" s="162"/>
      <c r="AE682" s="162"/>
      <c r="AF682" s="162"/>
      <c r="AG682" s="162"/>
      <c r="AH682" s="162"/>
      <c r="AI682" s="230"/>
      <c r="AJ682" s="230"/>
      <c r="AK682" s="162"/>
      <c r="AL682" s="162"/>
      <c r="AM682" s="162"/>
      <c r="AN682" s="162"/>
      <c r="AO682" s="162"/>
      <c r="AP682" s="230"/>
      <c r="AQ682" s="230"/>
      <c r="AR682" s="162"/>
      <c r="AS682" s="162"/>
      <c r="AT682" s="162"/>
      <c r="AU682" s="162"/>
      <c r="AV682" s="162"/>
      <c r="AW682" s="230"/>
      <c r="AX682" s="230"/>
      <c r="AY682" s="162"/>
      <c r="AZ682" s="162"/>
      <c r="BA682" s="162"/>
      <c r="BB682" s="162"/>
      <c r="BC682" s="162"/>
      <c r="BD682" s="230"/>
      <c r="BE682" s="230"/>
      <c r="BF682" s="162"/>
      <c r="BG682" s="162"/>
      <c r="BH682" s="162"/>
      <c r="BI682" s="162"/>
      <c r="BJ682" s="162"/>
      <c r="BK682" s="230"/>
      <c r="BL682" s="230"/>
      <c r="BM682" s="162"/>
      <c r="BN682" s="162"/>
      <c r="BO682" s="162"/>
      <c r="BP682" s="162"/>
      <c r="BQ682" s="162"/>
      <c r="BR682" s="230"/>
      <c r="BS682" s="230"/>
      <c r="BT682" s="162"/>
      <c r="BU682" s="162"/>
      <c r="BV682" s="162"/>
      <c r="BW682" s="162"/>
      <c r="BX682" s="162"/>
      <c r="BY682" s="230"/>
      <c r="BZ682" s="230"/>
      <c r="CA682" s="162"/>
      <c r="CB682" s="162"/>
      <c r="CC682" s="162"/>
      <c r="CD682" s="162"/>
      <c r="CE682" s="162"/>
      <c r="CF682" s="230"/>
      <c r="CG682" s="230"/>
      <c r="CH682" s="162"/>
      <c r="CI682" s="162"/>
      <c r="CJ682" s="162"/>
      <c r="CK682" s="162"/>
      <c r="CL682" s="162"/>
      <c r="CM682" s="230"/>
      <c r="CN682" s="230"/>
      <c r="CO682" s="162"/>
      <c r="CP682" s="162"/>
      <c r="CQ682" s="162"/>
      <c r="CR682" s="162"/>
      <c r="CS682" s="162"/>
      <c r="CT682" s="230"/>
      <c r="CU682" s="230"/>
      <c r="CV682" s="162"/>
      <c r="CW682" s="162"/>
      <c r="CX682" s="162"/>
      <c r="CY682" s="162"/>
      <c r="CZ682" s="162"/>
      <c r="DA682" s="230"/>
      <c r="DB682" s="230"/>
      <c r="DC682" s="162"/>
      <c r="DD682" s="162"/>
      <c r="DE682" s="162"/>
      <c r="DF682" s="162"/>
      <c r="DG682" s="162"/>
      <c r="DH682" s="230"/>
      <c r="DI682" s="230"/>
      <c r="DJ682" s="162"/>
      <c r="DK682" s="162"/>
      <c r="DL682" s="147"/>
      <c r="DM682" s="147"/>
      <c r="DN682" s="147"/>
      <c r="DO682" s="147"/>
      <c r="DP682" s="147"/>
      <c r="DQ682" s="147"/>
      <c r="DR682" s="147"/>
      <c r="DS682" s="147"/>
      <c r="DT682" s="147"/>
      <c r="DU682" s="147"/>
      <c r="DV682" s="147"/>
      <c r="DW682" s="147"/>
      <c r="DX682" s="147"/>
      <c r="DY682" s="147"/>
      <c r="DZ682" s="147"/>
      <c r="EA682" s="147"/>
      <c r="EB682" s="147"/>
      <c r="EC682" s="147"/>
      <c r="ED682" s="147"/>
      <c r="EE682" s="147"/>
      <c r="EF682" s="147"/>
      <c r="EG682" s="147"/>
      <c r="EH682" s="147"/>
    </row>
    <row r="683" spans="1:138" x14ac:dyDescent="0.25">
      <c r="A683" s="147"/>
      <c r="B683" s="147"/>
      <c r="C683" s="160"/>
      <c r="D683" s="160"/>
      <c r="E683" s="169"/>
      <c r="F683" s="229"/>
      <c r="G683" s="165"/>
      <c r="H683" s="165"/>
      <c r="I683" s="163"/>
      <c r="J683" s="163"/>
      <c r="K683" s="162"/>
      <c r="L683" s="162"/>
      <c r="M683" s="162"/>
      <c r="N683" s="230"/>
      <c r="O683" s="230"/>
      <c r="P683" s="162"/>
      <c r="Q683" s="162"/>
      <c r="R683" s="162"/>
      <c r="S683" s="162"/>
      <c r="T683" s="162"/>
      <c r="U683" s="230"/>
      <c r="V683" s="230"/>
      <c r="W683" s="162"/>
      <c r="X683" s="162"/>
      <c r="Y683" s="162"/>
      <c r="Z683" s="162"/>
      <c r="AA683" s="162"/>
      <c r="AB683" s="230"/>
      <c r="AC683" s="230"/>
      <c r="AD683" s="162"/>
      <c r="AE683" s="162"/>
      <c r="AF683" s="162"/>
      <c r="AG683" s="162"/>
      <c r="AH683" s="162"/>
      <c r="AI683" s="230"/>
      <c r="AJ683" s="230"/>
      <c r="AK683" s="162"/>
      <c r="AL683" s="162"/>
      <c r="AM683" s="162"/>
      <c r="AN683" s="162"/>
      <c r="AO683" s="162"/>
      <c r="AP683" s="230"/>
      <c r="AQ683" s="230"/>
      <c r="AR683" s="162"/>
      <c r="AS683" s="162"/>
      <c r="AT683" s="162"/>
      <c r="AU683" s="162"/>
      <c r="AV683" s="162"/>
      <c r="AW683" s="230"/>
      <c r="AX683" s="230"/>
      <c r="AY683" s="162"/>
      <c r="AZ683" s="162"/>
      <c r="BA683" s="162"/>
      <c r="BB683" s="162"/>
      <c r="BC683" s="162"/>
      <c r="BD683" s="230"/>
      <c r="BE683" s="230"/>
      <c r="BF683" s="162"/>
      <c r="BG683" s="162"/>
      <c r="BH683" s="162"/>
      <c r="BI683" s="162"/>
      <c r="BJ683" s="162"/>
      <c r="BK683" s="230"/>
      <c r="BL683" s="230"/>
      <c r="BM683" s="162"/>
      <c r="BN683" s="162"/>
      <c r="BO683" s="162"/>
      <c r="BP683" s="162"/>
      <c r="BQ683" s="162"/>
      <c r="BR683" s="230"/>
      <c r="BS683" s="230"/>
      <c r="BT683" s="162"/>
      <c r="BU683" s="162"/>
      <c r="BV683" s="162"/>
      <c r="BW683" s="162"/>
      <c r="BX683" s="162"/>
      <c r="BY683" s="230"/>
      <c r="BZ683" s="230"/>
      <c r="CA683" s="162"/>
      <c r="CB683" s="162"/>
      <c r="CC683" s="162"/>
      <c r="CD683" s="162"/>
      <c r="CE683" s="162"/>
      <c r="CF683" s="230"/>
      <c r="CG683" s="230"/>
      <c r="CH683" s="162"/>
      <c r="CI683" s="162"/>
      <c r="CJ683" s="162"/>
      <c r="CK683" s="162"/>
      <c r="CL683" s="162"/>
      <c r="CM683" s="230"/>
      <c r="CN683" s="230"/>
      <c r="CO683" s="162"/>
      <c r="CP683" s="162"/>
      <c r="CQ683" s="162"/>
      <c r="CR683" s="162"/>
      <c r="CS683" s="162"/>
      <c r="CT683" s="230"/>
      <c r="CU683" s="230"/>
      <c r="CV683" s="162"/>
      <c r="CW683" s="162"/>
      <c r="CX683" s="162"/>
      <c r="CY683" s="162"/>
      <c r="CZ683" s="162"/>
      <c r="DA683" s="230"/>
      <c r="DB683" s="230"/>
      <c r="DC683" s="162"/>
      <c r="DD683" s="162"/>
      <c r="DE683" s="162"/>
      <c r="DF683" s="162"/>
      <c r="DG683" s="162"/>
      <c r="DH683" s="230"/>
      <c r="DI683" s="230"/>
      <c r="DJ683" s="162"/>
      <c r="DK683" s="162"/>
      <c r="DL683" s="147"/>
      <c r="DM683" s="147"/>
      <c r="DN683" s="147"/>
      <c r="DO683" s="147"/>
      <c r="DP683" s="147"/>
      <c r="DQ683" s="147"/>
      <c r="DR683" s="147"/>
      <c r="DS683" s="147"/>
      <c r="DT683" s="147"/>
      <c r="DU683" s="147"/>
      <c r="DV683" s="147"/>
      <c r="DW683" s="147"/>
      <c r="DX683" s="147"/>
      <c r="DY683" s="147"/>
      <c r="DZ683" s="147"/>
      <c r="EA683" s="147"/>
      <c r="EB683" s="147"/>
      <c r="EC683" s="147"/>
      <c r="ED683" s="147"/>
      <c r="EE683" s="147"/>
      <c r="EF683" s="147"/>
      <c r="EG683" s="147"/>
      <c r="EH683" s="147"/>
    </row>
    <row r="684" spans="1:138" x14ac:dyDescent="0.25">
      <c r="A684" s="147"/>
      <c r="B684" s="147"/>
      <c r="C684" s="160"/>
      <c r="D684" s="160"/>
      <c r="E684" s="169"/>
      <c r="F684" s="229"/>
      <c r="G684" s="165"/>
      <c r="H684" s="165"/>
      <c r="I684" s="163"/>
      <c r="J684" s="163"/>
      <c r="K684" s="162"/>
      <c r="L684" s="162"/>
      <c r="M684" s="162"/>
      <c r="N684" s="230"/>
      <c r="O684" s="230"/>
      <c r="P684" s="162"/>
      <c r="Q684" s="162"/>
      <c r="R684" s="162"/>
      <c r="S684" s="162"/>
      <c r="T684" s="162"/>
      <c r="U684" s="230"/>
      <c r="V684" s="230"/>
      <c r="W684" s="162"/>
      <c r="X684" s="162"/>
      <c r="Y684" s="162"/>
      <c r="Z684" s="162"/>
      <c r="AA684" s="162"/>
      <c r="AB684" s="230"/>
      <c r="AC684" s="230"/>
      <c r="AD684" s="162"/>
      <c r="AE684" s="162"/>
      <c r="AF684" s="162"/>
      <c r="AG684" s="162"/>
      <c r="AH684" s="162"/>
      <c r="AI684" s="230"/>
      <c r="AJ684" s="230"/>
      <c r="AK684" s="162"/>
      <c r="AL684" s="162"/>
      <c r="AM684" s="162"/>
      <c r="AN684" s="162"/>
      <c r="AO684" s="162"/>
      <c r="AP684" s="230"/>
      <c r="AQ684" s="230"/>
      <c r="AR684" s="162"/>
      <c r="AS684" s="162"/>
      <c r="AT684" s="162"/>
      <c r="AU684" s="162"/>
      <c r="AV684" s="162"/>
      <c r="AW684" s="230"/>
      <c r="AX684" s="230"/>
      <c r="AY684" s="162"/>
      <c r="AZ684" s="162"/>
      <c r="BA684" s="162"/>
      <c r="BB684" s="162"/>
      <c r="BC684" s="162"/>
      <c r="BD684" s="230"/>
      <c r="BE684" s="230"/>
      <c r="BF684" s="162"/>
      <c r="BG684" s="162"/>
      <c r="BH684" s="162"/>
      <c r="BI684" s="162"/>
      <c r="BJ684" s="162"/>
      <c r="BK684" s="230"/>
      <c r="BL684" s="230"/>
      <c r="BM684" s="162"/>
      <c r="BN684" s="162"/>
      <c r="BO684" s="162"/>
      <c r="BP684" s="162"/>
      <c r="BQ684" s="162"/>
      <c r="BR684" s="230"/>
      <c r="BS684" s="230"/>
      <c r="BT684" s="162"/>
      <c r="BU684" s="162"/>
      <c r="BV684" s="162"/>
      <c r="BW684" s="162"/>
      <c r="BX684" s="162"/>
      <c r="BY684" s="230"/>
      <c r="BZ684" s="230"/>
      <c r="CA684" s="162"/>
      <c r="CB684" s="162"/>
      <c r="CC684" s="162"/>
      <c r="CD684" s="162"/>
      <c r="CE684" s="162"/>
      <c r="CF684" s="230"/>
      <c r="CG684" s="230"/>
      <c r="CH684" s="162"/>
      <c r="CI684" s="162"/>
      <c r="CJ684" s="162"/>
      <c r="CK684" s="162"/>
      <c r="CL684" s="162"/>
      <c r="CM684" s="230"/>
      <c r="CN684" s="230"/>
      <c r="CO684" s="162"/>
      <c r="CP684" s="162"/>
      <c r="CQ684" s="162"/>
      <c r="CR684" s="162"/>
      <c r="CS684" s="162"/>
      <c r="CT684" s="230"/>
      <c r="CU684" s="230"/>
      <c r="CV684" s="162"/>
      <c r="CW684" s="162"/>
      <c r="CX684" s="162"/>
      <c r="CY684" s="162"/>
      <c r="CZ684" s="162"/>
      <c r="DA684" s="230"/>
      <c r="DB684" s="230"/>
      <c r="DC684" s="162"/>
      <c r="DD684" s="162"/>
      <c r="DE684" s="162"/>
      <c r="DF684" s="162"/>
      <c r="DG684" s="162"/>
      <c r="DH684" s="230"/>
      <c r="DI684" s="230"/>
      <c r="DJ684" s="162"/>
      <c r="DK684" s="162"/>
      <c r="DL684" s="147"/>
      <c r="DM684" s="147"/>
      <c r="DN684" s="147"/>
      <c r="DO684" s="147"/>
      <c r="DP684" s="147"/>
      <c r="DQ684" s="147"/>
      <c r="DR684" s="147"/>
      <c r="DS684" s="147"/>
      <c r="DT684" s="147"/>
      <c r="DU684" s="147"/>
      <c r="DV684" s="147"/>
      <c r="DW684" s="147"/>
      <c r="DX684" s="147"/>
      <c r="DY684" s="147"/>
      <c r="DZ684" s="147"/>
      <c r="EA684" s="147"/>
      <c r="EB684" s="147"/>
      <c r="EC684" s="147"/>
      <c r="ED684" s="147"/>
      <c r="EE684" s="147"/>
      <c r="EF684" s="147"/>
      <c r="EG684" s="147"/>
      <c r="EH684" s="147"/>
    </row>
    <row r="685" spans="1:138" x14ac:dyDescent="0.25">
      <c r="A685" s="147"/>
      <c r="B685" s="147"/>
      <c r="C685" s="160"/>
      <c r="D685" s="160"/>
      <c r="E685" s="169"/>
      <c r="F685" s="229"/>
      <c r="G685" s="165"/>
      <c r="H685" s="165"/>
      <c r="I685" s="163"/>
      <c r="J685" s="163"/>
      <c r="K685" s="162"/>
      <c r="L685" s="162"/>
      <c r="M685" s="162"/>
      <c r="N685" s="230"/>
      <c r="O685" s="230"/>
      <c r="P685" s="162"/>
      <c r="Q685" s="162"/>
      <c r="R685" s="162"/>
      <c r="S685" s="162"/>
      <c r="T685" s="162"/>
      <c r="U685" s="230"/>
      <c r="V685" s="230"/>
      <c r="W685" s="162"/>
      <c r="X685" s="162"/>
      <c r="Y685" s="162"/>
      <c r="Z685" s="162"/>
      <c r="AA685" s="162"/>
      <c r="AB685" s="230"/>
      <c r="AC685" s="230"/>
      <c r="AD685" s="162"/>
      <c r="AE685" s="162"/>
      <c r="AF685" s="162"/>
      <c r="AG685" s="162"/>
      <c r="AH685" s="162"/>
      <c r="AI685" s="230"/>
      <c r="AJ685" s="230"/>
      <c r="AK685" s="162"/>
      <c r="AL685" s="162"/>
      <c r="AM685" s="162"/>
      <c r="AN685" s="162"/>
      <c r="AO685" s="162"/>
      <c r="AP685" s="230"/>
      <c r="AQ685" s="230"/>
      <c r="AR685" s="162"/>
      <c r="AS685" s="162"/>
      <c r="AT685" s="162"/>
      <c r="AU685" s="162"/>
      <c r="AV685" s="162"/>
      <c r="AW685" s="230"/>
      <c r="AX685" s="230"/>
      <c r="AY685" s="162"/>
      <c r="AZ685" s="162"/>
      <c r="BA685" s="162"/>
      <c r="BB685" s="162"/>
      <c r="BC685" s="162"/>
      <c r="BD685" s="230"/>
      <c r="BE685" s="230"/>
      <c r="BF685" s="162"/>
      <c r="BG685" s="162"/>
      <c r="BH685" s="162"/>
      <c r="BI685" s="162"/>
      <c r="BJ685" s="162"/>
      <c r="BK685" s="230"/>
      <c r="BL685" s="230"/>
      <c r="BM685" s="162"/>
      <c r="BN685" s="162"/>
      <c r="BO685" s="162"/>
      <c r="BP685" s="162"/>
      <c r="BQ685" s="162"/>
      <c r="BR685" s="230"/>
      <c r="BS685" s="230"/>
      <c r="BT685" s="162"/>
      <c r="BU685" s="162"/>
      <c r="BV685" s="162"/>
      <c r="BW685" s="162"/>
      <c r="BX685" s="162"/>
      <c r="BY685" s="230"/>
      <c r="BZ685" s="230"/>
      <c r="CA685" s="162"/>
      <c r="CB685" s="162"/>
      <c r="CC685" s="162"/>
      <c r="CD685" s="162"/>
      <c r="CE685" s="162"/>
      <c r="CF685" s="230"/>
      <c r="CG685" s="230"/>
      <c r="CH685" s="162"/>
      <c r="CI685" s="162"/>
      <c r="CJ685" s="162"/>
      <c r="CK685" s="162"/>
      <c r="CL685" s="162"/>
      <c r="CM685" s="230"/>
      <c r="CN685" s="230"/>
      <c r="CO685" s="162"/>
      <c r="CP685" s="162"/>
      <c r="CQ685" s="162"/>
      <c r="CR685" s="162"/>
      <c r="CS685" s="162"/>
      <c r="CT685" s="230"/>
      <c r="CU685" s="230"/>
      <c r="CV685" s="162"/>
      <c r="CW685" s="162"/>
      <c r="CX685" s="162"/>
      <c r="CY685" s="162"/>
      <c r="CZ685" s="162"/>
      <c r="DA685" s="230"/>
      <c r="DB685" s="230"/>
      <c r="DC685" s="162"/>
      <c r="DD685" s="162"/>
      <c r="DE685" s="162"/>
      <c r="DF685" s="162"/>
      <c r="DG685" s="162"/>
      <c r="DH685" s="230"/>
      <c r="DI685" s="230"/>
      <c r="DJ685" s="162"/>
      <c r="DK685" s="162"/>
      <c r="DL685" s="147"/>
      <c r="DM685" s="147"/>
      <c r="DN685" s="147"/>
      <c r="DO685" s="147"/>
      <c r="DP685" s="147"/>
      <c r="DQ685" s="147"/>
      <c r="DR685" s="147"/>
      <c r="DS685" s="147"/>
      <c r="DT685" s="147"/>
      <c r="DU685" s="147"/>
      <c r="DV685" s="147"/>
      <c r="DW685" s="147"/>
      <c r="DX685" s="147"/>
      <c r="DY685" s="147"/>
      <c r="DZ685" s="147"/>
      <c r="EA685" s="147"/>
      <c r="EB685" s="147"/>
      <c r="EC685" s="147"/>
      <c r="ED685" s="147"/>
      <c r="EE685" s="147"/>
      <c r="EF685" s="147"/>
      <c r="EG685" s="147"/>
      <c r="EH685" s="147"/>
    </row>
    <row r="686" spans="1:138" x14ac:dyDescent="0.25">
      <c r="A686" s="147"/>
      <c r="B686" s="147"/>
      <c r="C686" s="160"/>
      <c r="D686" s="160"/>
      <c r="E686" s="169"/>
      <c r="F686" s="229"/>
      <c r="G686" s="165"/>
      <c r="H686" s="165"/>
      <c r="I686" s="163"/>
      <c r="J686" s="163"/>
      <c r="K686" s="162"/>
      <c r="L686" s="162"/>
      <c r="M686" s="162"/>
      <c r="N686" s="230"/>
      <c r="O686" s="230"/>
      <c r="P686" s="162"/>
      <c r="Q686" s="162"/>
      <c r="R686" s="162"/>
      <c r="S686" s="162"/>
      <c r="T686" s="162"/>
      <c r="U686" s="230"/>
      <c r="V686" s="230"/>
      <c r="W686" s="162"/>
      <c r="X686" s="162"/>
      <c r="Y686" s="162"/>
      <c r="Z686" s="162"/>
      <c r="AA686" s="162"/>
      <c r="AB686" s="230"/>
      <c r="AC686" s="230"/>
      <c r="AD686" s="162"/>
      <c r="AE686" s="162"/>
      <c r="AF686" s="162"/>
      <c r="AG686" s="162"/>
      <c r="AH686" s="162"/>
      <c r="AI686" s="230"/>
      <c r="AJ686" s="230"/>
      <c r="AK686" s="162"/>
      <c r="AL686" s="162"/>
      <c r="AM686" s="162"/>
      <c r="AN686" s="162"/>
      <c r="AO686" s="162"/>
      <c r="AP686" s="230"/>
      <c r="AQ686" s="230"/>
      <c r="AR686" s="162"/>
      <c r="AS686" s="162"/>
      <c r="AT686" s="162"/>
      <c r="AU686" s="162"/>
      <c r="AV686" s="162"/>
      <c r="AW686" s="230"/>
      <c r="AX686" s="230"/>
      <c r="AY686" s="162"/>
      <c r="AZ686" s="162"/>
      <c r="BA686" s="162"/>
      <c r="BB686" s="162"/>
      <c r="BC686" s="162"/>
      <c r="BD686" s="230"/>
      <c r="BE686" s="230"/>
      <c r="BF686" s="162"/>
      <c r="BG686" s="162"/>
      <c r="BH686" s="162"/>
      <c r="BI686" s="162"/>
      <c r="BJ686" s="162"/>
      <c r="BK686" s="230"/>
      <c r="BL686" s="230"/>
      <c r="BM686" s="162"/>
      <c r="BN686" s="162"/>
      <c r="BO686" s="162"/>
      <c r="BP686" s="162"/>
      <c r="BQ686" s="162"/>
      <c r="BR686" s="230"/>
      <c r="BS686" s="230"/>
      <c r="BT686" s="162"/>
      <c r="BU686" s="162"/>
      <c r="BV686" s="162"/>
      <c r="BW686" s="162"/>
      <c r="BX686" s="162"/>
      <c r="BY686" s="230"/>
      <c r="BZ686" s="230"/>
      <c r="CA686" s="162"/>
      <c r="CB686" s="162"/>
      <c r="CC686" s="162"/>
      <c r="CD686" s="162"/>
      <c r="CE686" s="162"/>
      <c r="CF686" s="230"/>
      <c r="CG686" s="230"/>
      <c r="CH686" s="162"/>
      <c r="CI686" s="162"/>
      <c r="CJ686" s="162"/>
      <c r="CK686" s="162"/>
      <c r="CL686" s="162"/>
      <c r="CM686" s="230"/>
      <c r="CN686" s="230"/>
      <c r="CO686" s="162"/>
      <c r="CP686" s="162"/>
      <c r="CQ686" s="162"/>
      <c r="CR686" s="162"/>
      <c r="CS686" s="162"/>
      <c r="CT686" s="230"/>
      <c r="CU686" s="230"/>
      <c r="CV686" s="162"/>
      <c r="CW686" s="162"/>
      <c r="CX686" s="162"/>
      <c r="CY686" s="162"/>
      <c r="CZ686" s="162"/>
      <c r="DA686" s="230"/>
      <c r="DB686" s="230"/>
      <c r="DC686" s="162"/>
      <c r="DD686" s="162"/>
      <c r="DE686" s="162"/>
      <c r="DF686" s="162"/>
      <c r="DG686" s="162"/>
      <c r="DH686" s="230"/>
      <c r="DI686" s="230"/>
      <c r="DJ686" s="162"/>
      <c r="DK686" s="162"/>
      <c r="DL686" s="147"/>
      <c r="DM686" s="147"/>
      <c r="DN686" s="147"/>
      <c r="DO686" s="147"/>
      <c r="DP686" s="147"/>
      <c r="DQ686" s="147"/>
      <c r="DR686" s="147"/>
      <c r="DS686" s="147"/>
      <c r="DT686" s="147"/>
      <c r="DU686" s="147"/>
      <c r="DV686" s="147"/>
      <c r="DW686" s="147"/>
      <c r="DX686" s="147"/>
      <c r="DY686" s="147"/>
      <c r="DZ686" s="147"/>
      <c r="EA686" s="147"/>
      <c r="EB686" s="147"/>
      <c r="EC686" s="147"/>
      <c r="ED686" s="147"/>
      <c r="EE686" s="147"/>
      <c r="EF686" s="147"/>
      <c r="EG686" s="147"/>
      <c r="EH686" s="147"/>
    </row>
    <row r="687" spans="1:138" x14ac:dyDescent="0.25">
      <c r="A687" s="147"/>
      <c r="B687" s="147"/>
      <c r="C687" s="160"/>
      <c r="D687" s="160"/>
      <c r="E687" s="169"/>
      <c r="F687" s="229"/>
      <c r="G687" s="165"/>
      <c r="H687" s="165"/>
      <c r="I687" s="163"/>
      <c r="J687" s="163"/>
      <c r="K687" s="162"/>
      <c r="L687" s="162"/>
      <c r="M687" s="162"/>
      <c r="N687" s="230"/>
      <c r="O687" s="230"/>
      <c r="P687" s="162"/>
      <c r="Q687" s="162"/>
      <c r="R687" s="162"/>
      <c r="S687" s="162"/>
      <c r="T687" s="162"/>
      <c r="U687" s="230"/>
      <c r="V687" s="230"/>
      <c r="W687" s="162"/>
      <c r="X687" s="162"/>
      <c r="Y687" s="162"/>
      <c r="Z687" s="162"/>
      <c r="AA687" s="162"/>
      <c r="AB687" s="230"/>
      <c r="AC687" s="230"/>
      <c r="AD687" s="162"/>
      <c r="AE687" s="162"/>
      <c r="AF687" s="162"/>
      <c r="AG687" s="162"/>
      <c r="AH687" s="162"/>
      <c r="AI687" s="230"/>
      <c r="AJ687" s="230"/>
      <c r="AK687" s="162"/>
      <c r="AL687" s="162"/>
      <c r="AM687" s="162"/>
      <c r="AN687" s="162"/>
      <c r="AO687" s="162"/>
      <c r="AP687" s="230"/>
      <c r="AQ687" s="230"/>
      <c r="AR687" s="162"/>
      <c r="AS687" s="162"/>
      <c r="AT687" s="162"/>
      <c r="AU687" s="162"/>
      <c r="AV687" s="162"/>
      <c r="AW687" s="230"/>
      <c r="AX687" s="230"/>
      <c r="AY687" s="162"/>
      <c r="AZ687" s="162"/>
      <c r="BA687" s="162"/>
      <c r="BB687" s="162"/>
      <c r="BC687" s="162"/>
      <c r="BD687" s="230"/>
      <c r="BE687" s="230"/>
      <c r="BF687" s="162"/>
      <c r="BG687" s="162"/>
      <c r="BH687" s="162"/>
      <c r="BI687" s="162"/>
      <c r="BJ687" s="162"/>
      <c r="BK687" s="230"/>
      <c r="BL687" s="230"/>
      <c r="BM687" s="162"/>
      <c r="BN687" s="162"/>
      <c r="BO687" s="162"/>
      <c r="BP687" s="162"/>
      <c r="BQ687" s="162"/>
      <c r="BR687" s="230"/>
      <c r="BS687" s="230"/>
      <c r="BT687" s="162"/>
      <c r="BU687" s="162"/>
      <c r="BV687" s="162"/>
      <c r="BW687" s="162"/>
      <c r="BX687" s="162"/>
      <c r="BY687" s="230"/>
      <c r="BZ687" s="230"/>
      <c r="CA687" s="162"/>
      <c r="CB687" s="162"/>
      <c r="CC687" s="162"/>
      <c r="CD687" s="162"/>
      <c r="CE687" s="162"/>
      <c r="CF687" s="230"/>
      <c r="CG687" s="230"/>
      <c r="CH687" s="162"/>
      <c r="CI687" s="162"/>
      <c r="CJ687" s="162"/>
      <c r="CK687" s="162"/>
      <c r="CL687" s="162"/>
      <c r="CM687" s="230"/>
      <c r="CN687" s="230"/>
      <c r="CO687" s="162"/>
      <c r="CP687" s="162"/>
      <c r="CQ687" s="162"/>
      <c r="CR687" s="162"/>
      <c r="CS687" s="162"/>
      <c r="CT687" s="230"/>
      <c r="CU687" s="230"/>
      <c r="CV687" s="162"/>
      <c r="CW687" s="162"/>
      <c r="CX687" s="162"/>
      <c r="CY687" s="162"/>
      <c r="CZ687" s="162"/>
      <c r="DA687" s="230"/>
      <c r="DB687" s="230"/>
      <c r="DC687" s="162"/>
      <c r="DD687" s="162"/>
      <c r="DE687" s="162"/>
      <c r="DF687" s="162"/>
      <c r="DG687" s="162"/>
      <c r="DH687" s="230"/>
      <c r="DI687" s="230"/>
      <c r="DJ687" s="162"/>
      <c r="DK687" s="162"/>
      <c r="DL687" s="147"/>
      <c r="DM687" s="147"/>
      <c r="DN687" s="147"/>
      <c r="DO687" s="147"/>
      <c r="DP687" s="147"/>
      <c r="DQ687" s="147"/>
      <c r="DR687" s="147"/>
      <c r="DS687" s="147"/>
      <c r="DT687" s="147"/>
      <c r="DU687" s="147"/>
      <c r="DV687" s="147"/>
      <c r="DW687" s="147"/>
      <c r="DX687" s="147"/>
      <c r="DY687" s="147"/>
      <c r="DZ687" s="147"/>
      <c r="EA687" s="147"/>
      <c r="EB687" s="147"/>
      <c r="EC687" s="147"/>
      <c r="ED687" s="147"/>
      <c r="EE687" s="147"/>
      <c r="EF687" s="147"/>
      <c r="EG687" s="147"/>
      <c r="EH687" s="147"/>
    </row>
    <row r="688" spans="1:138" x14ac:dyDescent="0.25">
      <c r="A688" s="147"/>
      <c r="B688" s="147"/>
      <c r="C688" s="160"/>
      <c r="D688" s="160"/>
      <c r="E688" s="169"/>
      <c r="F688" s="229"/>
      <c r="G688" s="165"/>
      <c r="H688" s="165"/>
      <c r="I688" s="163"/>
      <c r="J688" s="163"/>
      <c r="K688" s="162"/>
      <c r="L688" s="162"/>
      <c r="M688" s="162"/>
      <c r="N688" s="230"/>
      <c r="O688" s="230"/>
      <c r="P688" s="162"/>
      <c r="Q688" s="162"/>
      <c r="R688" s="162"/>
      <c r="S688" s="162"/>
      <c r="T688" s="162"/>
      <c r="U688" s="230"/>
      <c r="V688" s="230"/>
      <c r="W688" s="162"/>
      <c r="X688" s="162"/>
      <c r="Y688" s="162"/>
      <c r="Z688" s="162"/>
      <c r="AA688" s="162"/>
      <c r="AB688" s="230"/>
      <c r="AC688" s="230"/>
      <c r="AD688" s="162"/>
      <c r="AE688" s="162"/>
      <c r="AF688" s="162"/>
      <c r="AG688" s="162"/>
      <c r="AH688" s="162"/>
      <c r="AI688" s="230"/>
      <c r="AJ688" s="230"/>
      <c r="AK688" s="162"/>
      <c r="AL688" s="162"/>
      <c r="AM688" s="162"/>
      <c r="AN688" s="162"/>
      <c r="AO688" s="162"/>
      <c r="AP688" s="230"/>
      <c r="AQ688" s="230"/>
      <c r="AR688" s="162"/>
      <c r="AS688" s="162"/>
      <c r="AT688" s="162"/>
      <c r="AU688" s="162"/>
      <c r="AV688" s="162"/>
      <c r="AW688" s="230"/>
      <c r="AX688" s="230"/>
      <c r="AY688" s="162"/>
      <c r="AZ688" s="162"/>
      <c r="BA688" s="162"/>
      <c r="BB688" s="162"/>
      <c r="BC688" s="162"/>
      <c r="BD688" s="230"/>
      <c r="BE688" s="230"/>
      <c r="BF688" s="162"/>
      <c r="BG688" s="162"/>
      <c r="BH688" s="162"/>
      <c r="BI688" s="162"/>
      <c r="BJ688" s="162"/>
      <c r="BK688" s="230"/>
      <c r="BL688" s="230"/>
      <c r="BM688" s="162"/>
      <c r="BN688" s="162"/>
      <c r="BO688" s="162"/>
      <c r="BP688" s="162"/>
      <c r="BQ688" s="162"/>
      <c r="BR688" s="230"/>
      <c r="BS688" s="230"/>
      <c r="BT688" s="162"/>
      <c r="BU688" s="162"/>
      <c r="BV688" s="162"/>
      <c r="BW688" s="162"/>
      <c r="BX688" s="162"/>
      <c r="BY688" s="230"/>
      <c r="BZ688" s="230"/>
      <c r="CA688" s="162"/>
      <c r="CB688" s="162"/>
      <c r="CC688" s="162"/>
      <c r="CD688" s="162"/>
      <c r="CE688" s="162"/>
      <c r="CF688" s="230"/>
      <c r="CG688" s="230"/>
      <c r="CH688" s="162"/>
      <c r="CI688" s="162"/>
      <c r="CJ688" s="162"/>
      <c r="CK688" s="162"/>
      <c r="CL688" s="162"/>
      <c r="CM688" s="230"/>
      <c r="CN688" s="230"/>
      <c r="CO688" s="162"/>
      <c r="CP688" s="162"/>
      <c r="CQ688" s="162"/>
      <c r="CR688" s="162"/>
      <c r="CS688" s="162"/>
      <c r="CT688" s="230"/>
      <c r="CU688" s="230"/>
      <c r="CV688" s="162"/>
      <c r="CW688" s="162"/>
      <c r="CX688" s="162"/>
      <c r="CY688" s="162"/>
      <c r="CZ688" s="162"/>
      <c r="DA688" s="230"/>
      <c r="DB688" s="230"/>
      <c r="DC688" s="162"/>
      <c r="DD688" s="162"/>
      <c r="DE688" s="162"/>
      <c r="DF688" s="162"/>
      <c r="DG688" s="162"/>
      <c r="DH688" s="230"/>
      <c r="DI688" s="230"/>
      <c r="DJ688" s="162"/>
      <c r="DK688" s="162"/>
      <c r="DL688" s="147"/>
      <c r="DM688" s="147"/>
      <c r="DN688" s="147"/>
      <c r="DO688" s="147"/>
      <c r="DP688" s="147"/>
      <c r="DQ688" s="147"/>
      <c r="DR688" s="147"/>
      <c r="DS688" s="147"/>
      <c r="DT688" s="147"/>
      <c r="DU688" s="147"/>
      <c r="DV688" s="147"/>
      <c r="DW688" s="147"/>
      <c r="DX688" s="147"/>
      <c r="DY688" s="147"/>
      <c r="DZ688" s="147"/>
      <c r="EA688" s="147"/>
      <c r="EB688" s="147"/>
      <c r="EC688" s="147"/>
      <c r="ED688" s="147"/>
      <c r="EE688" s="147"/>
      <c r="EF688" s="147"/>
      <c r="EG688" s="147"/>
      <c r="EH688" s="147"/>
    </row>
    <row r="689" spans="1:138" x14ac:dyDescent="0.25">
      <c r="A689" s="147"/>
      <c r="B689" s="147"/>
      <c r="C689" s="160"/>
      <c r="D689" s="160"/>
      <c r="E689" s="169"/>
      <c r="F689" s="229"/>
      <c r="G689" s="165"/>
      <c r="H689" s="165"/>
      <c r="I689" s="163"/>
      <c r="J689" s="163"/>
      <c r="K689" s="162"/>
      <c r="L689" s="162"/>
      <c r="M689" s="162"/>
      <c r="N689" s="230"/>
      <c r="O689" s="230"/>
      <c r="P689" s="162"/>
      <c r="Q689" s="162"/>
      <c r="R689" s="162"/>
      <c r="S689" s="162"/>
      <c r="T689" s="162"/>
      <c r="U689" s="230"/>
      <c r="V689" s="230"/>
      <c r="W689" s="162"/>
      <c r="X689" s="162"/>
      <c r="Y689" s="162"/>
      <c r="Z689" s="162"/>
      <c r="AA689" s="162"/>
      <c r="AB689" s="230"/>
      <c r="AC689" s="230"/>
      <c r="AD689" s="162"/>
      <c r="AE689" s="162"/>
      <c r="AF689" s="162"/>
      <c r="AG689" s="162"/>
      <c r="AH689" s="162"/>
      <c r="AI689" s="230"/>
      <c r="AJ689" s="230"/>
      <c r="AK689" s="162"/>
      <c r="AL689" s="162"/>
      <c r="AM689" s="162"/>
      <c r="AN689" s="162"/>
      <c r="AO689" s="162"/>
      <c r="AP689" s="230"/>
      <c r="AQ689" s="230"/>
      <c r="AR689" s="162"/>
      <c r="AS689" s="162"/>
      <c r="AT689" s="162"/>
      <c r="AU689" s="162"/>
      <c r="AV689" s="162"/>
      <c r="AW689" s="230"/>
      <c r="AX689" s="230"/>
      <c r="AY689" s="162"/>
      <c r="AZ689" s="162"/>
      <c r="BA689" s="162"/>
      <c r="BB689" s="162"/>
      <c r="BC689" s="162"/>
      <c r="BD689" s="230"/>
      <c r="BE689" s="230"/>
      <c r="BF689" s="162"/>
      <c r="BG689" s="162"/>
      <c r="BH689" s="162"/>
      <c r="BI689" s="162"/>
      <c r="BJ689" s="162"/>
      <c r="BK689" s="230"/>
      <c r="BL689" s="230"/>
      <c r="BM689" s="162"/>
      <c r="BN689" s="162"/>
      <c r="BO689" s="162"/>
      <c r="BP689" s="162"/>
      <c r="BQ689" s="162"/>
      <c r="BR689" s="230"/>
      <c r="BS689" s="230"/>
      <c r="BT689" s="162"/>
      <c r="BU689" s="162"/>
      <c r="BV689" s="162"/>
      <c r="BW689" s="162"/>
      <c r="BX689" s="162"/>
      <c r="BY689" s="230"/>
      <c r="BZ689" s="230"/>
      <c r="CA689" s="162"/>
      <c r="CB689" s="162"/>
      <c r="CC689" s="162"/>
      <c r="CD689" s="162"/>
      <c r="CE689" s="162"/>
      <c r="CF689" s="230"/>
      <c r="CG689" s="230"/>
      <c r="CH689" s="162"/>
      <c r="CI689" s="162"/>
      <c r="CJ689" s="162"/>
      <c r="CK689" s="162"/>
      <c r="CL689" s="162"/>
      <c r="CM689" s="230"/>
      <c r="CN689" s="230"/>
      <c r="CO689" s="162"/>
      <c r="CP689" s="162"/>
      <c r="CQ689" s="162"/>
      <c r="CR689" s="162"/>
      <c r="CS689" s="162"/>
      <c r="CT689" s="230"/>
      <c r="CU689" s="230"/>
      <c r="CV689" s="162"/>
      <c r="CW689" s="162"/>
      <c r="CX689" s="162"/>
      <c r="CY689" s="162"/>
      <c r="CZ689" s="162"/>
      <c r="DA689" s="230"/>
      <c r="DB689" s="230"/>
      <c r="DC689" s="162"/>
      <c r="DD689" s="162"/>
      <c r="DE689" s="162"/>
      <c r="DF689" s="162"/>
      <c r="DG689" s="162"/>
      <c r="DH689" s="230"/>
      <c r="DI689" s="230"/>
      <c r="DJ689" s="162"/>
      <c r="DK689" s="162"/>
      <c r="DL689" s="147"/>
      <c r="DM689" s="147"/>
      <c r="DN689" s="147"/>
      <c r="DO689" s="147"/>
      <c r="DP689" s="147"/>
      <c r="DQ689" s="147"/>
      <c r="DR689" s="147"/>
      <c r="DS689" s="147"/>
      <c r="DT689" s="147"/>
      <c r="DU689" s="147"/>
      <c r="DV689" s="147"/>
      <c r="DW689" s="147"/>
      <c r="DX689" s="147"/>
      <c r="DY689" s="147"/>
      <c r="DZ689" s="147"/>
      <c r="EA689" s="147"/>
      <c r="EB689" s="147"/>
      <c r="EC689" s="147"/>
      <c r="ED689" s="147"/>
      <c r="EE689" s="147"/>
      <c r="EF689" s="147"/>
      <c r="EG689" s="147"/>
      <c r="EH689" s="147"/>
    </row>
    <row r="690" spans="1:138" x14ac:dyDescent="0.25">
      <c r="A690" s="147"/>
      <c r="B690" s="147"/>
      <c r="C690" s="160"/>
      <c r="D690" s="160"/>
      <c r="E690" s="169"/>
      <c r="F690" s="229"/>
      <c r="G690" s="165"/>
      <c r="H690" s="165"/>
      <c r="I690" s="163"/>
      <c r="J690" s="163"/>
      <c r="K690" s="162"/>
      <c r="L690" s="162"/>
      <c r="M690" s="162"/>
      <c r="N690" s="230"/>
      <c r="O690" s="230"/>
      <c r="P690" s="162"/>
      <c r="Q690" s="162"/>
      <c r="R690" s="162"/>
      <c r="S690" s="162"/>
      <c r="T690" s="162"/>
      <c r="U690" s="230"/>
      <c r="V690" s="230"/>
      <c r="W690" s="162"/>
      <c r="X690" s="162"/>
      <c r="Y690" s="162"/>
      <c r="Z690" s="162"/>
      <c r="AA690" s="162"/>
      <c r="AB690" s="230"/>
      <c r="AC690" s="230"/>
      <c r="AD690" s="162"/>
      <c r="AE690" s="162"/>
      <c r="AF690" s="162"/>
      <c r="AG690" s="162"/>
      <c r="AH690" s="162"/>
      <c r="AI690" s="230"/>
      <c r="AJ690" s="230"/>
      <c r="AK690" s="162"/>
      <c r="AL690" s="162"/>
      <c r="AM690" s="162"/>
      <c r="AN690" s="162"/>
      <c r="AO690" s="162"/>
      <c r="AP690" s="230"/>
      <c r="AQ690" s="230"/>
      <c r="AR690" s="162"/>
      <c r="AS690" s="162"/>
      <c r="AT690" s="162"/>
      <c r="AU690" s="162"/>
      <c r="AV690" s="162"/>
      <c r="AW690" s="230"/>
      <c r="AX690" s="230"/>
      <c r="AY690" s="162"/>
      <c r="AZ690" s="162"/>
      <c r="BA690" s="162"/>
      <c r="BB690" s="162"/>
      <c r="BC690" s="162"/>
      <c r="BD690" s="230"/>
      <c r="BE690" s="230"/>
      <c r="BF690" s="162"/>
      <c r="BG690" s="162"/>
      <c r="BH690" s="162"/>
      <c r="BI690" s="162"/>
      <c r="BJ690" s="162"/>
      <c r="BK690" s="230"/>
      <c r="BL690" s="230"/>
      <c r="BM690" s="162"/>
      <c r="BN690" s="162"/>
      <c r="BO690" s="162"/>
      <c r="BP690" s="162"/>
      <c r="BQ690" s="162"/>
      <c r="BR690" s="230"/>
      <c r="BS690" s="230"/>
      <c r="BT690" s="162"/>
      <c r="BU690" s="162"/>
      <c r="BV690" s="162"/>
      <c r="BW690" s="162"/>
      <c r="BX690" s="162"/>
      <c r="BY690" s="230"/>
      <c r="BZ690" s="230"/>
      <c r="CA690" s="162"/>
      <c r="CB690" s="162"/>
      <c r="CC690" s="162"/>
      <c r="CD690" s="162"/>
      <c r="CE690" s="162"/>
      <c r="CF690" s="230"/>
      <c r="CG690" s="230"/>
      <c r="CH690" s="162"/>
      <c r="CI690" s="162"/>
      <c r="CJ690" s="162"/>
      <c r="CK690" s="162"/>
      <c r="CL690" s="162"/>
      <c r="CM690" s="230"/>
      <c r="CN690" s="230"/>
      <c r="CO690" s="162"/>
      <c r="CP690" s="162"/>
      <c r="CQ690" s="162"/>
      <c r="CR690" s="162"/>
      <c r="CS690" s="162"/>
      <c r="CT690" s="230"/>
      <c r="CU690" s="230"/>
      <c r="CV690" s="162"/>
      <c r="CW690" s="162"/>
      <c r="CX690" s="162"/>
      <c r="CY690" s="162"/>
      <c r="CZ690" s="162"/>
      <c r="DA690" s="230"/>
      <c r="DB690" s="230"/>
      <c r="DC690" s="162"/>
      <c r="DD690" s="162"/>
      <c r="DE690" s="162"/>
      <c r="DF690" s="162"/>
      <c r="DG690" s="162"/>
      <c r="DH690" s="230"/>
      <c r="DI690" s="230"/>
      <c r="DJ690" s="162"/>
      <c r="DK690" s="162"/>
      <c r="DL690" s="147"/>
      <c r="DM690" s="147"/>
      <c r="DN690" s="147"/>
      <c r="DO690" s="147"/>
      <c r="DP690" s="147"/>
      <c r="DQ690" s="147"/>
      <c r="DR690" s="147"/>
      <c r="DS690" s="147"/>
      <c r="DT690" s="147"/>
      <c r="DU690" s="147"/>
      <c r="DV690" s="147"/>
      <c r="DW690" s="147"/>
      <c r="DX690" s="147"/>
      <c r="DY690" s="147"/>
      <c r="DZ690" s="147"/>
      <c r="EA690" s="147"/>
      <c r="EB690" s="147"/>
      <c r="EC690" s="147"/>
      <c r="ED690" s="147"/>
      <c r="EE690" s="147"/>
      <c r="EF690" s="147"/>
      <c r="EG690" s="147"/>
      <c r="EH690" s="147"/>
    </row>
    <row r="691" spans="1:138" x14ac:dyDescent="0.25">
      <c r="A691" s="147"/>
      <c r="B691" s="147"/>
      <c r="C691" s="160"/>
      <c r="D691" s="160"/>
      <c r="E691" s="169"/>
      <c r="F691" s="229"/>
      <c r="G691" s="165"/>
      <c r="H691" s="165"/>
      <c r="I691" s="163"/>
      <c r="J691" s="163"/>
      <c r="K691" s="162"/>
      <c r="L691" s="162"/>
      <c r="M691" s="162"/>
      <c r="N691" s="230"/>
      <c r="O691" s="230"/>
      <c r="P691" s="162"/>
      <c r="Q691" s="162"/>
      <c r="R691" s="162"/>
      <c r="S691" s="162"/>
      <c r="T691" s="162"/>
      <c r="U691" s="230"/>
      <c r="V691" s="230"/>
      <c r="W691" s="162"/>
      <c r="X691" s="162"/>
      <c r="Y691" s="162"/>
      <c r="Z691" s="162"/>
      <c r="AA691" s="162"/>
      <c r="AB691" s="230"/>
      <c r="AC691" s="230"/>
      <c r="AD691" s="162"/>
      <c r="AE691" s="162"/>
      <c r="AF691" s="162"/>
      <c r="AG691" s="162"/>
      <c r="AH691" s="162"/>
      <c r="AI691" s="230"/>
      <c r="AJ691" s="230"/>
      <c r="AK691" s="162"/>
      <c r="AL691" s="162"/>
      <c r="AM691" s="162"/>
      <c r="AN691" s="162"/>
      <c r="AO691" s="162"/>
      <c r="AP691" s="230"/>
      <c r="AQ691" s="230"/>
      <c r="AR691" s="162"/>
      <c r="AS691" s="162"/>
      <c r="AT691" s="162"/>
      <c r="AU691" s="162"/>
      <c r="AV691" s="162"/>
      <c r="AW691" s="230"/>
      <c r="AX691" s="230"/>
      <c r="AY691" s="162"/>
      <c r="AZ691" s="162"/>
      <c r="BA691" s="162"/>
      <c r="BB691" s="162"/>
      <c r="BC691" s="162"/>
      <c r="BD691" s="230"/>
      <c r="BE691" s="230"/>
      <c r="BF691" s="162"/>
      <c r="BG691" s="162"/>
      <c r="BH691" s="162"/>
      <c r="BI691" s="162"/>
      <c r="BJ691" s="162"/>
      <c r="BK691" s="230"/>
      <c r="BL691" s="230"/>
      <c r="BM691" s="162"/>
      <c r="BN691" s="162"/>
      <c r="BO691" s="162"/>
      <c r="BP691" s="162"/>
      <c r="BQ691" s="162"/>
      <c r="BR691" s="230"/>
      <c r="BS691" s="230"/>
      <c r="BT691" s="162"/>
      <c r="BU691" s="162"/>
      <c r="BV691" s="162"/>
      <c r="BW691" s="162"/>
      <c r="BX691" s="162"/>
      <c r="BY691" s="230"/>
      <c r="BZ691" s="230"/>
      <c r="CA691" s="162"/>
      <c r="CB691" s="162"/>
      <c r="CC691" s="162"/>
      <c r="CD691" s="162"/>
      <c r="CE691" s="162"/>
      <c r="CF691" s="230"/>
      <c r="CG691" s="230"/>
      <c r="CH691" s="162"/>
      <c r="CI691" s="162"/>
      <c r="CJ691" s="162"/>
      <c r="CK691" s="162"/>
      <c r="CL691" s="162"/>
      <c r="CM691" s="230"/>
      <c r="CN691" s="230"/>
      <c r="CO691" s="162"/>
      <c r="CP691" s="162"/>
      <c r="CQ691" s="162"/>
      <c r="CR691" s="162"/>
      <c r="CS691" s="162"/>
      <c r="CT691" s="230"/>
      <c r="CU691" s="230"/>
      <c r="CV691" s="162"/>
      <c r="CW691" s="162"/>
      <c r="CX691" s="162"/>
      <c r="CY691" s="162"/>
      <c r="CZ691" s="162"/>
      <c r="DA691" s="230"/>
      <c r="DB691" s="230"/>
      <c r="DC691" s="162"/>
      <c r="DD691" s="162"/>
      <c r="DE691" s="162"/>
      <c r="DF691" s="162"/>
      <c r="DG691" s="162"/>
      <c r="DH691" s="230"/>
      <c r="DI691" s="230"/>
      <c r="DJ691" s="162"/>
      <c r="DK691" s="162"/>
      <c r="DL691" s="147"/>
      <c r="DM691" s="147"/>
      <c r="DN691" s="147"/>
      <c r="DO691" s="147"/>
      <c r="DP691" s="147"/>
      <c r="DQ691" s="147"/>
      <c r="DR691" s="147"/>
      <c r="DS691" s="147"/>
      <c r="DT691" s="147"/>
      <c r="DU691" s="147"/>
      <c r="DV691" s="147"/>
      <c r="DW691" s="147"/>
      <c r="DX691" s="147"/>
      <c r="DY691" s="147"/>
      <c r="DZ691" s="147"/>
      <c r="EA691" s="147"/>
      <c r="EB691" s="147"/>
      <c r="EC691" s="147"/>
      <c r="ED691" s="147"/>
      <c r="EE691" s="147"/>
      <c r="EF691" s="147"/>
      <c r="EG691" s="147"/>
      <c r="EH691" s="147"/>
    </row>
    <row r="692" spans="1:138" x14ac:dyDescent="0.25">
      <c r="A692" s="147"/>
      <c r="B692" s="147"/>
      <c r="C692" s="160"/>
      <c r="D692" s="160"/>
      <c r="E692" s="169"/>
      <c r="F692" s="229"/>
      <c r="G692" s="165"/>
      <c r="H692" s="165"/>
      <c r="I692" s="163"/>
      <c r="J692" s="163"/>
      <c r="K692" s="162"/>
      <c r="L692" s="162"/>
      <c r="M692" s="162"/>
      <c r="N692" s="230"/>
      <c r="O692" s="230"/>
      <c r="P692" s="162"/>
      <c r="Q692" s="162"/>
      <c r="R692" s="162"/>
      <c r="S692" s="162"/>
      <c r="T692" s="162"/>
      <c r="U692" s="230"/>
      <c r="V692" s="230"/>
      <c r="W692" s="162"/>
      <c r="X692" s="162"/>
      <c r="Y692" s="162"/>
      <c r="Z692" s="162"/>
      <c r="AA692" s="162"/>
      <c r="AB692" s="230"/>
      <c r="AC692" s="230"/>
      <c r="AD692" s="162"/>
      <c r="AE692" s="162"/>
      <c r="AF692" s="162"/>
      <c r="AG692" s="162"/>
      <c r="AH692" s="162"/>
      <c r="AI692" s="230"/>
      <c r="AJ692" s="230"/>
      <c r="AK692" s="162"/>
      <c r="AL692" s="162"/>
      <c r="AM692" s="162"/>
      <c r="AN692" s="162"/>
      <c r="AO692" s="162"/>
      <c r="AP692" s="230"/>
      <c r="AQ692" s="230"/>
      <c r="AR692" s="162"/>
      <c r="AS692" s="162"/>
      <c r="AT692" s="162"/>
      <c r="AU692" s="162"/>
      <c r="AV692" s="162"/>
      <c r="AW692" s="230"/>
      <c r="AX692" s="230"/>
      <c r="AY692" s="162"/>
      <c r="AZ692" s="162"/>
      <c r="BA692" s="162"/>
      <c r="BB692" s="162"/>
      <c r="BC692" s="162"/>
      <c r="BD692" s="230"/>
      <c r="BE692" s="230"/>
      <c r="BF692" s="162"/>
      <c r="BG692" s="162"/>
      <c r="BH692" s="162"/>
      <c r="BI692" s="162"/>
      <c r="BJ692" s="162"/>
      <c r="BK692" s="230"/>
      <c r="BL692" s="230"/>
      <c r="BM692" s="162"/>
      <c r="BN692" s="162"/>
      <c r="BO692" s="162"/>
      <c r="BP692" s="162"/>
      <c r="BQ692" s="162"/>
      <c r="BR692" s="230"/>
      <c r="BS692" s="230"/>
      <c r="BT692" s="162"/>
      <c r="BU692" s="162"/>
      <c r="BV692" s="162"/>
      <c r="BW692" s="162"/>
      <c r="BX692" s="162"/>
      <c r="BY692" s="230"/>
      <c r="BZ692" s="230"/>
      <c r="CA692" s="162"/>
      <c r="CB692" s="162"/>
      <c r="CC692" s="162"/>
      <c r="CD692" s="162"/>
      <c r="CE692" s="162"/>
      <c r="CF692" s="230"/>
      <c r="CG692" s="230"/>
      <c r="CH692" s="162"/>
      <c r="CI692" s="162"/>
      <c r="CJ692" s="162"/>
      <c r="CK692" s="162"/>
      <c r="CL692" s="162"/>
      <c r="CM692" s="230"/>
      <c r="CN692" s="230"/>
      <c r="CO692" s="162"/>
      <c r="CP692" s="162"/>
      <c r="CQ692" s="162"/>
      <c r="CR692" s="162"/>
      <c r="CS692" s="162"/>
      <c r="CT692" s="230"/>
      <c r="CU692" s="230"/>
      <c r="CV692" s="162"/>
      <c r="CW692" s="162"/>
      <c r="CX692" s="162"/>
      <c r="CY692" s="162"/>
      <c r="CZ692" s="162"/>
      <c r="DA692" s="230"/>
      <c r="DB692" s="230"/>
      <c r="DC692" s="162"/>
      <c r="DD692" s="162"/>
      <c r="DE692" s="162"/>
      <c r="DF692" s="162"/>
      <c r="DG692" s="162"/>
      <c r="DH692" s="230"/>
      <c r="DI692" s="230"/>
      <c r="DJ692" s="162"/>
      <c r="DK692" s="162"/>
      <c r="DL692" s="147"/>
      <c r="DM692" s="147"/>
      <c r="DN692" s="147"/>
      <c r="DO692" s="147"/>
      <c r="DP692" s="147"/>
      <c r="DQ692" s="147"/>
      <c r="DR692" s="147"/>
      <c r="DS692" s="147"/>
      <c r="DT692" s="147"/>
      <c r="DU692" s="147"/>
      <c r="DV692" s="147"/>
      <c r="DW692" s="147"/>
      <c r="DX692" s="147"/>
      <c r="DY692" s="147"/>
      <c r="DZ692" s="147"/>
      <c r="EA692" s="147"/>
      <c r="EB692" s="147"/>
      <c r="EC692" s="147"/>
      <c r="ED692" s="147"/>
      <c r="EE692" s="147"/>
      <c r="EF692" s="147"/>
      <c r="EG692" s="147"/>
      <c r="EH692" s="147"/>
    </row>
    <row r="693" spans="1:138" x14ac:dyDescent="0.25">
      <c r="A693" s="147"/>
      <c r="B693" s="147"/>
      <c r="C693" s="160"/>
      <c r="D693" s="160"/>
      <c r="E693" s="169"/>
      <c r="F693" s="229"/>
      <c r="G693" s="165"/>
      <c r="H693" s="165"/>
      <c r="I693" s="163"/>
      <c r="J693" s="163"/>
      <c r="K693" s="162"/>
      <c r="L693" s="162"/>
      <c r="M693" s="162"/>
      <c r="N693" s="230"/>
      <c r="O693" s="230"/>
      <c r="P693" s="162"/>
      <c r="Q693" s="162"/>
      <c r="R693" s="162"/>
      <c r="S693" s="162"/>
      <c r="T693" s="162"/>
      <c r="U693" s="230"/>
      <c r="V693" s="230"/>
      <c r="W693" s="162"/>
      <c r="X693" s="162"/>
      <c r="Y693" s="162"/>
      <c r="Z693" s="162"/>
      <c r="AA693" s="162"/>
      <c r="AB693" s="230"/>
      <c r="AC693" s="230"/>
      <c r="AD693" s="162"/>
      <c r="AE693" s="162"/>
      <c r="AF693" s="162"/>
      <c r="AG693" s="162"/>
      <c r="AH693" s="162"/>
      <c r="AI693" s="230"/>
      <c r="AJ693" s="230"/>
      <c r="AK693" s="162"/>
      <c r="AL693" s="162"/>
      <c r="AM693" s="162"/>
      <c r="AN693" s="162"/>
      <c r="AO693" s="162"/>
      <c r="AP693" s="230"/>
      <c r="AQ693" s="230"/>
      <c r="AR693" s="162"/>
      <c r="AS693" s="162"/>
      <c r="AT693" s="162"/>
      <c r="AU693" s="162"/>
      <c r="AV693" s="162"/>
      <c r="AW693" s="230"/>
      <c r="AX693" s="230"/>
      <c r="AY693" s="162"/>
      <c r="AZ693" s="162"/>
      <c r="BA693" s="162"/>
      <c r="BB693" s="162"/>
      <c r="BC693" s="162"/>
      <c r="BD693" s="230"/>
      <c r="BE693" s="230"/>
      <c r="BF693" s="162"/>
      <c r="BG693" s="162"/>
      <c r="BH693" s="162"/>
      <c r="BI693" s="162"/>
      <c r="BJ693" s="162"/>
      <c r="BK693" s="230"/>
      <c r="BL693" s="230"/>
      <c r="BM693" s="162"/>
      <c r="BN693" s="162"/>
      <c r="BO693" s="162"/>
      <c r="BP693" s="162"/>
      <c r="BQ693" s="162"/>
      <c r="BR693" s="230"/>
      <c r="BS693" s="230"/>
      <c r="BT693" s="162"/>
      <c r="BU693" s="162"/>
      <c r="BV693" s="162"/>
      <c r="BW693" s="162"/>
      <c r="BX693" s="162"/>
      <c r="BY693" s="230"/>
      <c r="BZ693" s="230"/>
      <c r="CA693" s="162"/>
      <c r="CB693" s="162"/>
      <c r="CC693" s="162"/>
      <c r="CD693" s="162"/>
      <c r="CE693" s="162"/>
      <c r="CF693" s="230"/>
      <c r="CG693" s="230"/>
      <c r="CH693" s="162"/>
      <c r="CI693" s="162"/>
      <c r="CJ693" s="162"/>
      <c r="CK693" s="162"/>
      <c r="CL693" s="162"/>
      <c r="CM693" s="230"/>
      <c r="CN693" s="230"/>
      <c r="CO693" s="162"/>
      <c r="CP693" s="162"/>
      <c r="CQ693" s="162"/>
      <c r="CR693" s="162"/>
      <c r="CS693" s="162"/>
      <c r="CT693" s="230"/>
      <c r="CU693" s="230"/>
      <c r="CV693" s="162"/>
      <c r="CW693" s="162"/>
      <c r="CX693" s="162"/>
      <c r="CY693" s="162"/>
      <c r="CZ693" s="162"/>
      <c r="DA693" s="230"/>
      <c r="DB693" s="230"/>
      <c r="DC693" s="162"/>
      <c r="DD693" s="162"/>
      <c r="DE693" s="162"/>
      <c r="DF693" s="162"/>
      <c r="DG693" s="162"/>
      <c r="DH693" s="230"/>
      <c r="DI693" s="230"/>
      <c r="DJ693" s="162"/>
      <c r="DK693" s="162"/>
      <c r="DL693" s="147"/>
      <c r="DM693" s="147"/>
      <c r="DN693" s="147"/>
      <c r="DO693" s="147"/>
      <c r="DP693" s="147"/>
      <c r="DQ693" s="147"/>
      <c r="DR693" s="147"/>
      <c r="DS693" s="147"/>
      <c r="DT693" s="147"/>
      <c r="DU693" s="147"/>
      <c r="DV693" s="147"/>
      <c r="DW693" s="147"/>
      <c r="DX693" s="147"/>
      <c r="DY693" s="147"/>
      <c r="DZ693" s="147"/>
      <c r="EA693" s="147"/>
      <c r="EB693" s="147"/>
      <c r="EC693" s="147"/>
      <c r="ED693" s="147"/>
      <c r="EE693" s="147"/>
      <c r="EF693" s="147"/>
      <c r="EG693" s="147"/>
      <c r="EH693" s="147"/>
    </row>
    <row r="694" spans="1:138" x14ac:dyDescent="0.25">
      <c r="A694" s="147"/>
      <c r="B694" s="147"/>
      <c r="C694" s="160"/>
      <c r="D694" s="160"/>
      <c r="E694" s="169"/>
      <c r="F694" s="229"/>
      <c r="G694" s="165"/>
      <c r="H694" s="165"/>
      <c r="I694" s="163"/>
      <c r="J694" s="163"/>
      <c r="K694" s="162"/>
      <c r="L694" s="162"/>
      <c r="M694" s="162"/>
      <c r="N694" s="230"/>
      <c r="O694" s="230"/>
      <c r="P694" s="162"/>
      <c r="Q694" s="162"/>
      <c r="R694" s="162"/>
      <c r="S694" s="162"/>
      <c r="T694" s="162"/>
      <c r="U694" s="230"/>
      <c r="V694" s="230"/>
      <c r="W694" s="162"/>
      <c r="X694" s="162"/>
      <c r="Y694" s="162"/>
      <c r="Z694" s="162"/>
      <c r="AA694" s="162"/>
      <c r="AB694" s="230"/>
      <c r="AC694" s="230"/>
      <c r="AD694" s="162"/>
      <c r="AE694" s="162"/>
      <c r="AF694" s="162"/>
      <c r="AG694" s="162"/>
      <c r="AH694" s="162"/>
      <c r="AI694" s="230"/>
      <c r="AJ694" s="230"/>
      <c r="AK694" s="162"/>
      <c r="AL694" s="162"/>
      <c r="AM694" s="162"/>
      <c r="AN694" s="162"/>
      <c r="AO694" s="162"/>
      <c r="AP694" s="230"/>
      <c r="AQ694" s="230"/>
      <c r="AR694" s="162"/>
      <c r="AS694" s="162"/>
      <c r="AT694" s="162"/>
      <c r="AU694" s="162"/>
      <c r="AV694" s="162"/>
      <c r="AW694" s="230"/>
      <c r="AX694" s="230"/>
      <c r="AY694" s="162"/>
      <c r="AZ694" s="162"/>
      <c r="BA694" s="162"/>
      <c r="BB694" s="162"/>
      <c r="BC694" s="162"/>
      <c r="BD694" s="230"/>
      <c r="BE694" s="230"/>
      <c r="BF694" s="162"/>
      <c r="BG694" s="162"/>
      <c r="BH694" s="162"/>
      <c r="BI694" s="162"/>
      <c r="BJ694" s="162"/>
      <c r="BK694" s="230"/>
      <c r="BL694" s="230"/>
      <c r="BM694" s="162"/>
      <c r="BN694" s="162"/>
      <c r="BO694" s="162"/>
      <c r="BP694" s="162"/>
      <c r="BQ694" s="162"/>
      <c r="BR694" s="230"/>
      <c r="BS694" s="230"/>
      <c r="BT694" s="162"/>
      <c r="BU694" s="162"/>
      <c r="BV694" s="162"/>
      <c r="BW694" s="162"/>
      <c r="BX694" s="162"/>
      <c r="BY694" s="230"/>
      <c r="BZ694" s="230"/>
      <c r="CA694" s="162"/>
      <c r="CB694" s="162"/>
      <c r="CC694" s="162"/>
      <c r="CD694" s="162"/>
      <c r="CE694" s="162"/>
      <c r="CF694" s="230"/>
      <c r="CG694" s="230"/>
      <c r="CH694" s="162"/>
      <c r="CI694" s="162"/>
      <c r="CJ694" s="162"/>
      <c r="CK694" s="162"/>
      <c r="CL694" s="162"/>
      <c r="CM694" s="230"/>
      <c r="CN694" s="230"/>
      <c r="CO694" s="162"/>
      <c r="CP694" s="162"/>
      <c r="CQ694" s="162"/>
      <c r="CR694" s="162"/>
      <c r="CS694" s="162"/>
      <c r="CT694" s="230"/>
      <c r="CU694" s="230"/>
      <c r="CV694" s="162"/>
      <c r="CW694" s="162"/>
      <c r="CX694" s="162"/>
      <c r="CY694" s="162"/>
      <c r="CZ694" s="162"/>
      <c r="DA694" s="230"/>
      <c r="DB694" s="230"/>
      <c r="DC694" s="162"/>
      <c r="DD694" s="162"/>
      <c r="DE694" s="162"/>
      <c r="DF694" s="162"/>
      <c r="DG694" s="162"/>
      <c r="DH694" s="230"/>
      <c r="DI694" s="230"/>
      <c r="DJ694" s="162"/>
      <c r="DK694" s="162"/>
      <c r="DL694" s="147"/>
      <c r="DM694" s="147"/>
      <c r="DN694" s="147"/>
      <c r="DO694" s="147"/>
      <c r="DP694" s="147"/>
      <c r="DQ694" s="147"/>
      <c r="DR694" s="147"/>
      <c r="DS694" s="147"/>
      <c r="DT694" s="147"/>
      <c r="DU694" s="147"/>
      <c r="DV694" s="147"/>
      <c r="DW694" s="147"/>
      <c r="DX694" s="147"/>
      <c r="DY694" s="147"/>
      <c r="DZ694" s="147"/>
      <c r="EA694" s="147"/>
      <c r="EB694" s="147"/>
      <c r="EC694" s="147"/>
      <c r="ED694" s="147"/>
      <c r="EE694" s="147"/>
      <c r="EF694" s="147"/>
      <c r="EG694" s="147"/>
      <c r="EH694" s="147"/>
    </row>
    <row r="695" spans="1:138" x14ac:dyDescent="0.25">
      <c r="A695" s="147"/>
      <c r="B695" s="147"/>
      <c r="C695" s="160"/>
      <c r="D695" s="160"/>
      <c r="E695" s="169"/>
      <c r="F695" s="229"/>
      <c r="G695" s="165"/>
      <c r="H695" s="165"/>
      <c r="I695" s="163"/>
      <c r="J695" s="163"/>
      <c r="K695" s="162"/>
      <c r="L695" s="162"/>
      <c r="M695" s="162"/>
      <c r="N695" s="230"/>
      <c r="O695" s="230"/>
      <c r="P695" s="162"/>
      <c r="Q695" s="162"/>
      <c r="R695" s="162"/>
      <c r="S695" s="162"/>
      <c r="T695" s="162"/>
      <c r="U695" s="230"/>
      <c r="V695" s="230"/>
      <c r="W695" s="162"/>
      <c r="X695" s="162"/>
      <c r="Y695" s="162"/>
      <c r="Z695" s="162"/>
      <c r="AA695" s="162"/>
      <c r="AB695" s="230"/>
      <c r="AC695" s="230"/>
      <c r="AD695" s="162"/>
      <c r="AE695" s="162"/>
      <c r="AF695" s="162"/>
      <c r="AG695" s="162"/>
      <c r="AH695" s="162"/>
      <c r="AI695" s="230"/>
      <c r="AJ695" s="230"/>
      <c r="AK695" s="162"/>
      <c r="AL695" s="162"/>
      <c r="AM695" s="162"/>
      <c r="AN695" s="162"/>
      <c r="AO695" s="162"/>
      <c r="AP695" s="230"/>
      <c r="AQ695" s="230"/>
      <c r="AR695" s="162"/>
      <c r="AS695" s="162"/>
      <c r="AT695" s="162"/>
      <c r="AU695" s="162"/>
      <c r="AV695" s="162"/>
      <c r="AW695" s="230"/>
      <c r="AX695" s="230"/>
      <c r="AY695" s="162"/>
      <c r="AZ695" s="162"/>
      <c r="BA695" s="162"/>
      <c r="BB695" s="162"/>
      <c r="BC695" s="162"/>
      <c r="BD695" s="230"/>
      <c r="BE695" s="230"/>
      <c r="BF695" s="162"/>
      <c r="BG695" s="162"/>
      <c r="BH695" s="162"/>
      <c r="BI695" s="162"/>
      <c r="BJ695" s="162"/>
      <c r="BK695" s="230"/>
      <c r="BL695" s="230"/>
      <c r="BM695" s="162"/>
      <c r="BN695" s="162"/>
      <c r="BO695" s="162"/>
      <c r="BP695" s="162"/>
      <c r="BQ695" s="162"/>
      <c r="BR695" s="230"/>
      <c r="BS695" s="230"/>
      <c r="BT695" s="162"/>
      <c r="BU695" s="162"/>
      <c r="BV695" s="162"/>
      <c r="BW695" s="162"/>
      <c r="BX695" s="162"/>
      <c r="BY695" s="230"/>
      <c r="BZ695" s="230"/>
      <c r="CA695" s="162"/>
      <c r="CB695" s="162"/>
      <c r="CC695" s="162"/>
      <c r="CD695" s="162"/>
      <c r="CE695" s="162"/>
      <c r="CF695" s="230"/>
      <c r="CG695" s="230"/>
      <c r="CH695" s="162"/>
      <c r="CI695" s="162"/>
      <c r="CJ695" s="162"/>
      <c r="CK695" s="162"/>
      <c r="CL695" s="162"/>
      <c r="CM695" s="230"/>
      <c r="CN695" s="230"/>
      <c r="CO695" s="162"/>
      <c r="CP695" s="162"/>
      <c r="CQ695" s="162"/>
      <c r="CR695" s="162"/>
      <c r="CS695" s="162"/>
      <c r="CT695" s="230"/>
      <c r="CU695" s="230"/>
      <c r="CV695" s="162"/>
      <c r="CW695" s="162"/>
      <c r="CX695" s="162"/>
      <c r="CY695" s="162"/>
      <c r="CZ695" s="162"/>
      <c r="DA695" s="230"/>
      <c r="DB695" s="230"/>
      <c r="DC695" s="162"/>
      <c r="DD695" s="162"/>
      <c r="DE695" s="162"/>
      <c r="DF695" s="162"/>
      <c r="DG695" s="162"/>
      <c r="DH695" s="230"/>
      <c r="DI695" s="230"/>
      <c r="DJ695" s="162"/>
      <c r="DK695" s="162"/>
      <c r="DL695" s="147"/>
      <c r="DM695" s="147"/>
      <c r="DN695" s="147"/>
      <c r="DO695" s="147"/>
      <c r="DP695" s="147"/>
      <c r="DQ695" s="147"/>
      <c r="DR695" s="147"/>
      <c r="DS695" s="147"/>
      <c r="DT695" s="147"/>
      <c r="DU695" s="147"/>
      <c r="DV695" s="147"/>
      <c r="DW695" s="147"/>
      <c r="DX695" s="147"/>
      <c r="DY695" s="147"/>
      <c r="DZ695" s="147"/>
      <c r="EA695" s="147"/>
      <c r="EB695" s="147"/>
      <c r="EC695" s="147"/>
      <c r="ED695" s="147"/>
      <c r="EE695" s="147"/>
      <c r="EF695" s="147"/>
      <c r="EG695" s="147"/>
      <c r="EH695" s="147"/>
    </row>
    <row r="696" spans="1:138" x14ac:dyDescent="0.25">
      <c r="A696" s="147"/>
      <c r="B696" s="147"/>
      <c r="C696" s="160"/>
      <c r="D696" s="160"/>
      <c r="E696" s="169"/>
      <c r="F696" s="229"/>
      <c r="G696" s="165"/>
      <c r="H696" s="165"/>
      <c r="I696" s="163"/>
      <c r="J696" s="163"/>
      <c r="K696" s="162"/>
      <c r="L696" s="162"/>
      <c r="M696" s="162"/>
      <c r="N696" s="230"/>
      <c r="O696" s="230"/>
      <c r="P696" s="162"/>
      <c r="Q696" s="162"/>
      <c r="R696" s="162"/>
      <c r="S696" s="162"/>
      <c r="T696" s="162"/>
      <c r="U696" s="230"/>
      <c r="V696" s="230"/>
      <c r="W696" s="162"/>
      <c r="X696" s="162"/>
      <c r="Y696" s="162"/>
      <c r="Z696" s="162"/>
      <c r="AA696" s="162"/>
      <c r="AB696" s="230"/>
      <c r="AC696" s="230"/>
      <c r="AD696" s="162"/>
      <c r="AE696" s="162"/>
      <c r="AF696" s="162"/>
      <c r="AG696" s="162"/>
      <c r="AH696" s="162"/>
      <c r="AI696" s="230"/>
      <c r="AJ696" s="230"/>
      <c r="AK696" s="162"/>
      <c r="AL696" s="162"/>
      <c r="AM696" s="162"/>
      <c r="AN696" s="162"/>
      <c r="AO696" s="162"/>
      <c r="AP696" s="230"/>
      <c r="AQ696" s="230"/>
      <c r="AR696" s="162"/>
      <c r="AS696" s="162"/>
      <c r="AT696" s="162"/>
      <c r="AU696" s="162"/>
      <c r="AV696" s="162"/>
      <c r="AW696" s="230"/>
      <c r="AX696" s="230"/>
      <c r="AY696" s="162"/>
      <c r="AZ696" s="162"/>
      <c r="BA696" s="162"/>
      <c r="BB696" s="162"/>
      <c r="BC696" s="162"/>
      <c r="BD696" s="230"/>
      <c r="BE696" s="230"/>
      <c r="BF696" s="162"/>
      <c r="BG696" s="162"/>
      <c r="BH696" s="162"/>
      <c r="BI696" s="162"/>
      <c r="BJ696" s="162"/>
      <c r="BK696" s="230"/>
      <c r="BL696" s="230"/>
      <c r="BM696" s="162"/>
      <c r="BN696" s="162"/>
      <c r="BO696" s="162"/>
      <c r="BP696" s="162"/>
      <c r="BQ696" s="162"/>
      <c r="BR696" s="230"/>
      <c r="BS696" s="230"/>
      <c r="BT696" s="162"/>
      <c r="BU696" s="162"/>
      <c r="BV696" s="162"/>
      <c r="BW696" s="162"/>
      <c r="BX696" s="162"/>
      <c r="BY696" s="230"/>
      <c r="BZ696" s="230"/>
      <c r="CA696" s="162"/>
      <c r="CB696" s="162"/>
      <c r="CC696" s="162"/>
      <c r="CD696" s="162"/>
      <c r="CE696" s="162"/>
      <c r="CF696" s="230"/>
      <c r="CG696" s="230"/>
      <c r="CH696" s="162"/>
      <c r="CI696" s="162"/>
      <c r="CJ696" s="162"/>
      <c r="CK696" s="162"/>
      <c r="CL696" s="162"/>
      <c r="CM696" s="230"/>
      <c r="CN696" s="230"/>
      <c r="CO696" s="162"/>
      <c r="CP696" s="162"/>
      <c r="CQ696" s="162"/>
      <c r="CR696" s="162"/>
      <c r="CS696" s="162"/>
      <c r="CT696" s="230"/>
      <c r="CU696" s="230"/>
      <c r="CV696" s="162"/>
      <c r="CW696" s="162"/>
      <c r="CX696" s="162"/>
      <c r="CY696" s="162"/>
      <c r="CZ696" s="162"/>
      <c r="DA696" s="230"/>
      <c r="DB696" s="230"/>
      <c r="DC696" s="162"/>
      <c r="DD696" s="162"/>
      <c r="DE696" s="162"/>
      <c r="DF696" s="162"/>
      <c r="DG696" s="162"/>
      <c r="DH696" s="230"/>
      <c r="DI696" s="230"/>
      <c r="DJ696" s="162"/>
      <c r="DK696" s="162"/>
      <c r="DL696" s="147"/>
      <c r="DM696" s="147"/>
      <c r="DN696" s="147"/>
      <c r="DO696" s="147"/>
      <c r="DP696" s="147"/>
      <c r="DQ696" s="147"/>
      <c r="DR696" s="147"/>
      <c r="DS696" s="147"/>
      <c r="DT696" s="147"/>
      <c r="DU696" s="147"/>
      <c r="DV696" s="147"/>
      <c r="DW696" s="147"/>
      <c r="DX696" s="147"/>
      <c r="DY696" s="147"/>
      <c r="DZ696" s="147"/>
      <c r="EA696" s="147"/>
      <c r="EB696" s="147"/>
      <c r="EC696" s="147"/>
      <c r="ED696" s="147"/>
      <c r="EE696" s="147"/>
      <c r="EF696" s="147"/>
      <c r="EG696" s="147"/>
      <c r="EH696" s="147"/>
    </row>
    <row r="697" spans="1:138" x14ac:dyDescent="0.25">
      <c r="A697" s="147"/>
      <c r="B697" s="147"/>
      <c r="C697" s="160"/>
      <c r="D697" s="160"/>
      <c r="E697" s="169"/>
      <c r="F697" s="229"/>
      <c r="G697" s="165"/>
      <c r="H697" s="165"/>
      <c r="I697" s="163"/>
      <c r="J697" s="163"/>
      <c r="K697" s="162"/>
      <c r="L697" s="162"/>
      <c r="M697" s="162"/>
      <c r="N697" s="230"/>
      <c r="O697" s="230"/>
      <c r="P697" s="162"/>
      <c r="Q697" s="162"/>
      <c r="R697" s="162"/>
      <c r="S697" s="162"/>
      <c r="T697" s="162"/>
      <c r="U697" s="230"/>
      <c r="V697" s="230"/>
      <c r="W697" s="162"/>
      <c r="X697" s="162"/>
      <c r="Y697" s="162"/>
      <c r="Z697" s="162"/>
      <c r="AA697" s="162"/>
      <c r="AB697" s="230"/>
      <c r="AC697" s="230"/>
      <c r="AD697" s="162"/>
      <c r="AE697" s="162"/>
      <c r="AF697" s="162"/>
      <c r="AG697" s="162"/>
      <c r="AH697" s="162"/>
      <c r="AI697" s="230"/>
      <c r="AJ697" s="230"/>
      <c r="AK697" s="162"/>
      <c r="AL697" s="162"/>
      <c r="AM697" s="162"/>
      <c r="AN697" s="162"/>
      <c r="AO697" s="162"/>
      <c r="AP697" s="230"/>
      <c r="AQ697" s="230"/>
      <c r="AR697" s="162"/>
      <c r="AS697" s="162"/>
      <c r="AT697" s="162"/>
      <c r="AU697" s="162"/>
      <c r="AV697" s="162"/>
      <c r="AW697" s="230"/>
      <c r="AX697" s="230"/>
      <c r="AY697" s="162"/>
      <c r="AZ697" s="162"/>
      <c r="BA697" s="162"/>
      <c r="BB697" s="162"/>
      <c r="BC697" s="162"/>
      <c r="BD697" s="230"/>
      <c r="BE697" s="230"/>
      <c r="BF697" s="162"/>
      <c r="BG697" s="162"/>
      <c r="BH697" s="162"/>
      <c r="BI697" s="162"/>
      <c r="BJ697" s="162"/>
      <c r="BK697" s="230"/>
      <c r="BL697" s="230"/>
      <c r="BM697" s="162"/>
      <c r="BN697" s="162"/>
      <c r="BO697" s="162"/>
      <c r="BP697" s="162"/>
      <c r="BQ697" s="162"/>
      <c r="BR697" s="230"/>
      <c r="BS697" s="230"/>
      <c r="BT697" s="162"/>
      <c r="BU697" s="162"/>
      <c r="BV697" s="162"/>
      <c r="BW697" s="162"/>
      <c r="BX697" s="162"/>
      <c r="BY697" s="230"/>
      <c r="BZ697" s="230"/>
      <c r="CA697" s="162"/>
      <c r="CB697" s="162"/>
      <c r="CC697" s="162"/>
      <c r="CD697" s="162"/>
      <c r="CE697" s="162"/>
      <c r="CF697" s="230"/>
      <c r="CG697" s="230"/>
      <c r="CH697" s="162"/>
      <c r="CI697" s="162"/>
      <c r="CJ697" s="162"/>
      <c r="CK697" s="162"/>
      <c r="CL697" s="162"/>
      <c r="CM697" s="230"/>
      <c r="CN697" s="230"/>
      <c r="CO697" s="162"/>
      <c r="CP697" s="162"/>
      <c r="CQ697" s="162"/>
      <c r="CR697" s="162"/>
      <c r="CS697" s="162"/>
      <c r="CT697" s="230"/>
      <c r="CU697" s="230"/>
      <c r="CV697" s="162"/>
      <c r="CW697" s="162"/>
      <c r="CX697" s="162"/>
      <c r="CY697" s="162"/>
      <c r="CZ697" s="162"/>
      <c r="DA697" s="230"/>
      <c r="DB697" s="230"/>
      <c r="DC697" s="162"/>
      <c r="DD697" s="162"/>
      <c r="DE697" s="162"/>
      <c r="DF697" s="162"/>
      <c r="DG697" s="162"/>
      <c r="DH697" s="230"/>
      <c r="DI697" s="230"/>
      <c r="DJ697" s="162"/>
      <c r="DK697" s="162"/>
      <c r="DL697" s="147"/>
      <c r="DM697" s="147"/>
      <c r="DN697" s="147"/>
      <c r="DO697" s="147"/>
      <c r="DP697" s="147"/>
      <c r="DQ697" s="147"/>
      <c r="DR697" s="147"/>
      <c r="DS697" s="147"/>
      <c r="DT697" s="147"/>
      <c r="DU697" s="147"/>
      <c r="DV697" s="147"/>
      <c r="DW697" s="147"/>
      <c r="DX697" s="147"/>
      <c r="DY697" s="147"/>
      <c r="DZ697" s="147"/>
      <c r="EA697" s="147"/>
      <c r="EB697" s="147"/>
      <c r="EC697" s="147"/>
      <c r="ED697" s="147"/>
      <c r="EE697" s="147"/>
      <c r="EF697" s="147"/>
      <c r="EG697" s="147"/>
      <c r="EH697" s="147"/>
    </row>
    <row r="698" spans="1:138" x14ac:dyDescent="0.25">
      <c r="A698" s="147"/>
      <c r="B698" s="147"/>
      <c r="C698" s="160"/>
      <c r="D698" s="160"/>
      <c r="E698" s="169"/>
      <c r="F698" s="229"/>
      <c r="G698" s="165"/>
      <c r="H698" s="165"/>
      <c r="I698" s="163"/>
      <c r="J698" s="163"/>
      <c r="K698" s="162"/>
      <c r="L698" s="162"/>
      <c r="M698" s="162"/>
      <c r="N698" s="230"/>
      <c r="O698" s="230"/>
      <c r="P698" s="162"/>
      <c r="Q698" s="162"/>
      <c r="R698" s="162"/>
      <c r="S698" s="162"/>
      <c r="T698" s="162"/>
      <c r="U698" s="230"/>
      <c r="V698" s="230"/>
      <c r="W698" s="162"/>
      <c r="X698" s="162"/>
      <c r="Y698" s="162"/>
      <c r="Z698" s="162"/>
      <c r="AA698" s="162"/>
      <c r="AB698" s="230"/>
      <c r="AC698" s="230"/>
      <c r="AD698" s="162"/>
      <c r="AE698" s="162"/>
      <c r="AF698" s="162"/>
      <c r="AG698" s="162"/>
      <c r="AH698" s="162"/>
      <c r="AI698" s="230"/>
      <c r="AJ698" s="230"/>
      <c r="AK698" s="162"/>
      <c r="AL698" s="162"/>
      <c r="AM698" s="162"/>
      <c r="AN698" s="162"/>
      <c r="AO698" s="162"/>
      <c r="AP698" s="230"/>
      <c r="AQ698" s="230"/>
      <c r="AR698" s="162"/>
      <c r="AS698" s="162"/>
      <c r="AT698" s="162"/>
      <c r="AU698" s="162"/>
      <c r="AV698" s="162"/>
      <c r="AW698" s="230"/>
      <c r="AX698" s="230"/>
      <c r="AY698" s="162"/>
      <c r="AZ698" s="162"/>
      <c r="BA698" s="162"/>
      <c r="BB698" s="162"/>
      <c r="BC698" s="162"/>
      <c r="BD698" s="230"/>
      <c r="BE698" s="230"/>
      <c r="BF698" s="162"/>
      <c r="BG698" s="162"/>
      <c r="BH698" s="162"/>
      <c r="BI698" s="162"/>
      <c r="BJ698" s="162"/>
      <c r="BK698" s="230"/>
      <c r="BL698" s="230"/>
      <c r="BM698" s="162"/>
      <c r="BN698" s="162"/>
      <c r="BO698" s="162"/>
      <c r="BP698" s="162"/>
      <c r="BQ698" s="162"/>
      <c r="BR698" s="230"/>
      <c r="BS698" s="230"/>
      <c r="BT698" s="162"/>
      <c r="BU698" s="162"/>
      <c r="BV698" s="162"/>
      <c r="BW698" s="162"/>
      <c r="BX698" s="162"/>
      <c r="BY698" s="230"/>
      <c r="BZ698" s="230"/>
      <c r="CA698" s="162"/>
      <c r="CB698" s="162"/>
      <c r="CC698" s="162"/>
      <c r="CD698" s="162"/>
      <c r="CE698" s="162"/>
      <c r="CF698" s="230"/>
      <c r="CG698" s="230"/>
      <c r="CH698" s="162"/>
      <c r="CI698" s="162"/>
      <c r="CJ698" s="162"/>
      <c r="CK698" s="162"/>
      <c r="CL698" s="162"/>
      <c r="CM698" s="230"/>
      <c r="CN698" s="230"/>
      <c r="CO698" s="162"/>
      <c r="CP698" s="162"/>
      <c r="CQ698" s="162"/>
      <c r="CR698" s="162"/>
      <c r="CS698" s="162"/>
      <c r="CT698" s="230"/>
      <c r="CU698" s="230"/>
      <c r="CV698" s="162"/>
      <c r="CW698" s="162"/>
      <c r="CX698" s="162"/>
      <c r="CY698" s="162"/>
      <c r="CZ698" s="162"/>
      <c r="DA698" s="230"/>
      <c r="DB698" s="230"/>
      <c r="DC698" s="162"/>
      <c r="DD698" s="162"/>
      <c r="DE698" s="162"/>
      <c r="DF698" s="162"/>
      <c r="DG698" s="162"/>
      <c r="DH698" s="230"/>
      <c r="DI698" s="230"/>
      <c r="DJ698" s="162"/>
      <c r="DK698" s="162"/>
      <c r="DL698" s="147"/>
      <c r="DM698" s="147"/>
      <c r="DN698" s="147"/>
      <c r="DO698" s="147"/>
      <c r="DP698" s="147"/>
      <c r="DQ698" s="147"/>
      <c r="DR698" s="147"/>
      <c r="DS698" s="147"/>
      <c r="DT698" s="147"/>
      <c r="DU698" s="147"/>
      <c r="DV698" s="147"/>
      <c r="DW698" s="147"/>
      <c r="DX698" s="147"/>
      <c r="DY698" s="147"/>
      <c r="DZ698" s="147"/>
      <c r="EA698" s="147"/>
      <c r="EB698" s="147"/>
      <c r="EC698" s="147"/>
      <c r="ED698" s="147"/>
      <c r="EE698" s="147"/>
      <c r="EF698" s="147"/>
      <c r="EG698" s="147"/>
      <c r="EH698" s="147"/>
    </row>
    <row r="699" spans="1:138" x14ac:dyDescent="0.25">
      <c r="A699" s="147"/>
      <c r="B699" s="147"/>
      <c r="C699" s="160"/>
      <c r="D699" s="160"/>
      <c r="E699" s="169"/>
      <c r="F699" s="229"/>
      <c r="G699" s="165"/>
      <c r="H699" s="165"/>
      <c r="I699" s="163"/>
      <c r="J699" s="163"/>
      <c r="K699" s="162"/>
      <c r="L699" s="162"/>
      <c r="M699" s="162"/>
      <c r="N699" s="230"/>
      <c r="O699" s="230"/>
      <c r="P699" s="162"/>
      <c r="Q699" s="162"/>
      <c r="R699" s="162"/>
      <c r="S699" s="162"/>
      <c r="T699" s="162"/>
      <c r="U699" s="230"/>
      <c r="V699" s="230"/>
      <c r="W699" s="162"/>
      <c r="X699" s="162"/>
      <c r="Y699" s="162"/>
      <c r="Z699" s="162"/>
      <c r="AA699" s="162"/>
      <c r="AB699" s="230"/>
      <c r="AC699" s="230"/>
      <c r="AD699" s="162"/>
      <c r="AE699" s="162"/>
      <c r="AF699" s="162"/>
      <c r="AG699" s="162"/>
      <c r="AH699" s="162"/>
      <c r="AI699" s="230"/>
      <c r="AJ699" s="230"/>
      <c r="AK699" s="162"/>
      <c r="AL699" s="162"/>
      <c r="AM699" s="162"/>
      <c r="AN699" s="162"/>
      <c r="AO699" s="162"/>
      <c r="AP699" s="230"/>
      <c r="AQ699" s="230"/>
      <c r="AR699" s="162"/>
      <c r="AS699" s="162"/>
      <c r="AT699" s="162"/>
      <c r="AU699" s="162"/>
      <c r="AV699" s="162"/>
      <c r="AW699" s="230"/>
      <c r="AX699" s="230"/>
      <c r="AY699" s="162"/>
      <c r="AZ699" s="162"/>
      <c r="BA699" s="162"/>
      <c r="BB699" s="162"/>
      <c r="BC699" s="162"/>
      <c r="BD699" s="230"/>
      <c r="BE699" s="230"/>
      <c r="BF699" s="162"/>
      <c r="BG699" s="162"/>
      <c r="BH699" s="162"/>
      <c r="BI699" s="162"/>
      <c r="BJ699" s="162"/>
      <c r="BK699" s="230"/>
      <c r="BL699" s="230"/>
      <c r="BM699" s="162"/>
      <c r="BN699" s="162"/>
      <c r="BO699" s="162"/>
      <c r="BP699" s="162"/>
      <c r="BQ699" s="162"/>
      <c r="BR699" s="230"/>
      <c r="BS699" s="230"/>
      <c r="BT699" s="162"/>
      <c r="BU699" s="162"/>
      <c r="BV699" s="162"/>
      <c r="BW699" s="162"/>
      <c r="BX699" s="162"/>
      <c r="BY699" s="230"/>
      <c r="BZ699" s="230"/>
      <c r="CA699" s="162"/>
      <c r="CB699" s="162"/>
      <c r="CC699" s="162"/>
      <c r="CD699" s="162"/>
      <c r="CE699" s="162"/>
      <c r="CF699" s="230"/>
      <c r="CG699" s="230"/>
      <c r="CH699" s="162"/>
      <c r="CI699" s="162"/>
      <c r="CJ699" s="162"/>
      <c r="CK699" s="162"/>
      <c r="CL699" s="162"/>
      <c r="CM699" s="230"/>
      <c r="CN699" s="230"/>
      <c r="CO699" s="162"/>
      <c r="CP699" s="162"/>
      <c r="CQ699" s="162"/>
      <c r="CR699" s="162"/>
      <c r="CS699" s="162"/>
      <c r="CT699" s="230"/>
      <c r="CU699" s="230"/>
      <c r="CV699" s="162"/>
      <c r="CW699" s="162"/>
      <c r="CX699" s="162"/>
      <c r="CY699" s="162"/>
      <c r="CZ699" s="162"/>
      <c r="DA699" s="230"/>
      <c r="DB699" s="230"/>
      <c r="DC699" s="162"/>
      <c r="DD699" s="162"/>
      <c r="DE699" s="162"/>
      <c r="DF699" s="162"/>
      <c r="DG699" s="162"/>
      <c r="DH699" s="230"/>
      <c r="DI699" s="230"/>
      <c r="DJ699" s="162"/>
      <c r="DK699" s="162"/>
      <c r="DL699" s="147"/>
      <c r="DM699" s="147"/>
      <c r="DN699" s="147"/>
      <c r="DO699" s="147"/>
      <c r="DP699" s="147"/>
      <c r="DQ699" s="147"/>
      <c r="DR699" s="147"/>
      <c r="DS699" s="147"/>
      <c r="DT699" s="147"/>
      <c r="DU699" s="147"/>
      <c r="DV699" s="147"/>
      <c r="DW699" s="147"/>
      <c r="DX699" s="147"/>
      <c r="DY699" s="147"/>
      <c r="DZ699" s="147"/>
      <c r="EA699" s="147"/>
      <c r="EB699" s="147"/>
      <c r="EC699" s="147"/>
      <c r="ED699" s="147"/>
      <c r="EE699" s="147"/>
      <c r="EF699" s="147"/>
      <c r="EG699" s="147"/>
      <c r="EH699" s="147"/>
    </row>
    <row r="700" spans="1:138" x14ac:dyDescent="0.25">
      <c r="A700" s="147"/>
      <c r="B700" s="147"/>
      <c r="C700" s="160"/>
      <c r="D700" s="160"/>
      <c r="E700" s="169"/>
      <c r="F700" s="229"/>
      <c r="G700" s="165"/>
      <c r="H700" s="165"/>
      <c r="I700" s="163"/>
      <c r="J700" s="163"/>
      <c r="K700" s="162"/>
      <c r="L700" s="162"/>
      <c r="M700" s="162"/>
      <c r="N700" s="230"/>
      <c r="O700" s="230"/>
      <c r="P700" s="162"/>
      <c r="Q700" s="162"/>
      <c r="R700" s="162"/>
      <c r="S700" s="162"/>
      <c r="T700" s="162"/>
      <c r="U700" s="230"/>
      <c r="V700" s="230"/>
      <c r="W700" s="162"/>
      <c r="X700" s="162"/>
      <c r="Y700" s="162"/>
      <c r="Z700" s="162"/>
      <c r="AA700" s="162"/>
      <c r="AB700" s="230"/>
      <c r="AC700" s="230"/>
      <c r="AD700" s="162"/>
      <c r="AE700" s="162"/>
      <c r="AF700" s="162"/>
      <c r="AG700" s="162"/>
      <c r="AH700" s="162"/>
      <c r="AI700" s="230"/>
      <c r="AJ700" s="230"/>
      <c r="AK700" s="162"/>
      <c r="AL700" s="162"/>
      <c r="AM700" s="162"/>
      <c r="AN700" s="162"/>
      <c r="AO700" s="162"/>
      <c r="AP700" s="230"/>
      <c r="AQ700" s="230"/>
      <c r="AR700" s="162"/>
      <c r="AS700" s="162"/>
      <c r="AT700" s="162"/>
      <c r="AU700" s="162"/>
      <c r="AV700" s="162"/>
      <c r="AW700" s="230"/>
      <c r="AX700" s="230"/>
      <c r="AY700" s="162"/>
      <c r="AZ700" s="162"/>
      <c r="BA700" s="162"/>
      <c r="BB700" s="162"/>
      <c r="BC700" s="162"/>
      <c r="BD700" s="230"/>
      <c r="BE700" s="230"/>
      <c r="BF700" s="162"/>
      <c r="BG700" s="162"/>
      <c r="BH700" s="162"/>
      <c r="BI700" s="162"/>
      <c r="BJ700" s="162"/>
      <c r="BK700" s="230"/>
      <c r="BL700" s="230"/>
      <c r="BM700" s="162"/>
      <c r="BN700" s="162"/>
      <c r="BO700" s="162"/>
      <c r="BP700" s="162"/>
      <c r="BQ700" s="162"/>
      <c r="BR700" s="230"/>
      <c r="BS700" s="230"/>
      <c r="BT700" s="162"/>
      <c r="BU700" s="162"/>
      <c r="BV700" s="162"/>
      <c r="BW700" s="162"/>
      <c r="BX700" s="162"/>
      <c r="BY700" s="230"/>
      <c r="BZ700" s="230"/>
      <c r="CA700" s="162"/>
      <c r="CB700" s="162"/>
      <c r="CC700" s="162"/>
      <c r="CD700" s="162"/>
      <c r="CE700" s="162"/>
      <c r="CF700" s="230"/>
      <c r="CG700" s="230"/>
      <c r="CH700" s="162"/>
      <c r="CI700" s="162"/>
      <c r="CJ700" s="162"/>
      <c r="CK700" s="162"/>
      <c r="CL700" s="162"/>
      <c r="CM700" s="230"/>
      <c r="CN700" s="230"/>
      <c r="CO700" s="162"/>
      <c r="CP700" s="162"/>
      <c r="CQ700" s="162"/>
      <c r="CR700" s="162"/>
      <c r="CS700" s="162"/>
      <c r="CT700" s="230"/>
      <c r="CU700" s="230"/>
      <c r="CV700" s="162"/>
      <c r="CW700" s="162"/>
      <c r="CX700" s="162"/>
      <c r="CY700" s="162"/>
      <c r="CZ700" s="162"/>
      <c r="DA700" s="230"/>
      <c r="DB700" s="230"/>
      <c r="DC700" s="162"/>
      <c r="DD700" s="162"/>
      <c r="DE700" s="162"/>
      <c r="DF700" s="162"/>
      <c r="DG700" s="162"/>
      <c r="DH700" s="230"/>
      <c r="DI700" s="230"/>
      <c r="DJ700" s="162"/>
      <c r="DK700" s="162"/>
      <c r="DL700" s="147"/>
      <c r="DM700" s="147"/>
      <c r="DN700" s="147"/>
      <c r="DO700" s="147"/>
      <c r="DP700" s="147"/>
      <c r="DQ700" s="147"/>
      <c r="DR700" s="147"/>
      <c r="DS700" s="147"/>
      <c r="DT700" s="147"/>
      <c r="DU700" s="147"/>
      <c r="DV700" s="147"/>
      <c r="DW700" s="147"/>
      <c r="DX700" s="147"/>
      <c r="DY700" s="147"/>
      <c r="DZ700" s="147"/>
      <c r="EA700" s="147"/>
      <c r="EB700" s="147"/>
      <c r="EC700" s="147"/>
      <c r="ED700" s="147"/>
      <c r="EE700" s="147"/>
      <c r="EF700" s="147"/>
      <c r="EG700" s="147"/>
      <c r="EH700" s="147"/>
    </row>
    <row r="701" spans="1:138" x14ac:dyDescent="0.25">
      <c r="A701" s="147"/>
      <c r="B701" s="147"/>
      <c r="C701" s="160"/>
      <c r="D701" s="160"/>
      <c r="E701" s="169"/>
      <c r="F701" s="229"/>
      <c r="G701" s="165"/>
      <c r="H701" s="165"/>
      <c r="I701" s="163"/>
      <c r="J701" s="163"/>
      <c r="K701" s="162"/>
      <c r="L701" s="162"/>
      <c r="M701" s="162"/>
      <c r="N701" s="230"/>
      <c r="O701" s="230"/>
      <c r="P701" s="162"/>
      <c r="Q701" s="162"/>
      <c r="R701" s="162"/>
      <c r="S701" s="162"/>
      <c r="T701" s="162"/>
      <c r="U701" s="230"/>
      <c r="V701" s="230"/>
      <c r="W701" s="162"/>
      <c r="X701" s="162"/>
      <c r="Y701" s="162"/>
      <c r="Z701" s="162"/>
      <c r="AA701" s="162"/>
      <c r="AB701" s="230"/>
      <c r="AC701" s="230"/>
      <c r="AD701" s="162"/>
      <c r="AE701" s="162"/>
      <c r="AF701" s="162"/>
      <c r="AG701" s="162"/>
      <c r="AH701" s="162"/>
      <c r="AI701" s="230"/>
      <c r="AJ701" s="230"/>
      <c r="AK701" s="162"/>
      <c r="AL701" s="162"/>
      <c r="AM701" s="162"/>
      <c r="AN701" s="162"/>
      <c r="AO701" s="162"/>
      <c r="AP701" s="230"/>
      <c r="AQ701" s="230"/>
      <c r="AR701" s="162"/>
      <c r="AS701" s="162"/>
      <c r="AT701" s="162"/>
      <c r="AU701" s="162"/>
      <c r="AV701" s="162"/>
      <c r="AW701" s="230"/>
      <c r="AX701" s="230"/>
      <c r="AY701" s="162"/>
      <c r="AZ701" s="162"/>
      <c r="BA701" s="162"/>
      <c r="BB701" s="162"/>
      <c r="BC701" s="162"/>
      <c r="BD701" s="230"/>
      <c r="BE701" s="230"/>
      <c r="BF701" s="162"/>
      <c r="BG701" s="162"/>
      <c r="BH701" s="162"/>
      <c r="BI701" s="162"/>
      <c r="BJ701" s="162"/>
      <c r="BK701" s="230"/>
      <c r="BL701" s="230"/>
      <c r="BM701" s="162"/>
      <c r="BN701" s="162"/>
      <c r="BO701" s="162"/>
      <c r="BP701" s="162"/>
      <c r="BQ701" s="162"/>
      <c r="BR701" s="230"/>
      <c r="BS701" s="230"/>
      <c r="BT701" s="162"/>
      <c r="BU701" s="162"/>
      <c r="BV701" s="162"/>
      <c r="BW701" s="162"/>
      <c r="BX701" s="162"/>
      <c r="BY701" s="230"/>
      <c r="BZ701" s="230"/>
      <c r="CA701" s="162"/>
      <c r="CB701" s="162"/>
      <c r="CC701" s="162"/>
      <c r="CD701" s="162"/>
      <c r="CE701" s="162"/>
      <c r="CF701" s="230"/>
      <c r="CG701" s="230"/>
      <c r="CH701" s="162"/>
      <c r="CI701" s="162"/>
      <c r="CJ701" s="162"/>
      <c r="CK701" s="162"/>
      <c r="CL701" s="162"/>
      <c r="CM701" s="230"/>
      <c r="CN701" s="230"/>
      <c r="CO701" s="162"/>
      <c r="CP701" s="162"/>
      <c r="CQ701" s="162"/>
      <c r="CR701" s="162"/>
      <c r="CS701" s="162"/>
      <c r="CT701" s="230"/>
      <c r="CU701" s="230"/>
      <c r="CV701" s="162"/>
      <c r="CW701" s="162"/>
      <c r="CX701" s="162"/>
      <c r="CY701" s="162"/>
      <c r="CZ701" s="162"/>
      <c r="DA701" s="230"/>
      <c r="DB701" s="230"/>
      <c r="DC701" s="162"/>
      <c r="DD701" s="162"/>
      <c r="DE701" s="162"/>
      <c r="DF701" s="162"/>
      <c r="DG701" s="162"/>
      <c r="DH701" s="230"/>
      <c r="DI701" s="230"/>
      <c r="DJ701" s="162"/>
      <c r="DK701" s="162"/>
      <c r="DL701" s="147"/>
      <c r="DM701" s="147"/>
      <c r="DN701" s="147"/>
      <c r="DO701" s="147"/>
      <c r="DP701" s="147"/>
      <c r="DQ701" s="147"/>
      <c r="DR701" s="147"/>
      <c r="DS701" s="147"/>
      <c r="DT701" s="147"/>
      <c r="DU701" s="147"/>
      <c r="DV701" s="147"/>
      <c r="DW701" s="147"/>
      <c r="DX701" s="147"/>
      <c r="DY701" s="147"/>
      <c r="DZ701" s="147"/>
      <c r="EA701" s="147"/>
      <c r="EB701" s="147"/>
      <c r="EC701" s="147"/>
      <c r="ED701" s="147"/>
      <c r="EE701" s="147"/>
      <c r="EF701" s="147"/>
      <c r="EG701" s="147"/>
      <c r="EH701" s="147"/>
    </row>
    <row r="702" spans="1:138" x14ac:dyDescent="0.25">
      <c r="A702" s="147"/>
      <c r="B702" s="147"/>
      <c r="C702" s="160"/>
      <c r="D702" s="160"/>
      <c r="E702" s="169"/>
      <c r="F702" s="229"/>
      <c r="G702" s="165"/>
      <c r="H702" s="165"/>
      <c r="I702" s="163"/>
      <c r="J702" s="163"/>
      <c r="K702" s="162"/>
      <c r="L702" s="162"/>
      <c r="M702" s="162"/>
      <c r="N702" s="230"/>
      <c r="O702" s="230"/>
      <c r="P702" s="162"/>
      <c r="Q702" s="162"/>
      <c r="R702" s="162"/>
      <c r="S702" s="162"/>
      <c r="T702" s="162"/>
      <c r="U702" s="230"/>
      <c r="V702" s="230"/>
      <c r="W702" s="162"/>
      <c r="X702" s="162"/>
      <c r="Y702" s="162"/>
      <c r="Z702" s="162"/>
      <c r="AA702" s="162"/>
      <c r="AB702" s="230"/>
      <c r="AC702" s="230"/>
      <c r="AD702" s="162"/>
      <c r="AE702" s="162"/>
      <c r="AF702" s="162"/>
      <c r="AG702" s="162"/>
      <c r="AH702" s="162"/>
      <c r="AI702" s="230"/>
      <c r="AJ702" s="230"/>
      <c r="AK702" s="162"/>
      <c r="AL702" s="162"/>
      <c r="AM702" s="162"/>
      <c r="AN702" s="162"/>
      <c r="AO702" s="162"/>
      <c r="AP702" s="230"/>
      <c r="AQ702" s="230"/>
      <c r="AR702" s="162"/>
      <c r="AS702" s="162"/>
      <c r="AT702" s="162"/>
      <c r="AU702" s="162"/>
      <c r="AV702" s="162"/>
      <c r="AW702" s="230"/>
      <c r="AX702" s="230"/>
      <c r="AY702" s="162"/>
      <c r="AZ702" s="162"/>
      <c r="BA702" s="162"/>
      <c r="BB702" s="162"/>
      <c r="BC702" s="162"/>
      <c r="BD702" s="230"/>
      <c r="BE702" s="230"/>
      <c r="BF702" s="162"/>
      <c r="BG702" s="162"/>
      <c r="BH702" s="162"/>
      <c r="BI702" s="162"/>
      <c r="BJ702" s="162"/>
      <c r="BK702" s="230"/>
      <c r="BL702" s="230"/>
      <c r="BM702" s="162"/>
      <c r="BN702" s="162"/>
      <c r="BO702" s="162"/>
      <c r="BP702" s="162"/>
      <c r="BQ702" s="162"/>
      <c r="BR702" s="230"/>
      <c r="BS702" s="230"/>
      <c r="BT702" s="162"/>
      <c r="BU702" s="162"/>
      <c r="BV702" s="162"/>
      <c r="BW702" s="162"/>
      <c r="BX702" s="162"/>
      <c r="BY702" s="230"/>
      <c r="BZ702" s="230"/>
      <c r="CA702" s="162"/>
      <c r="CB702" s="162"/>
      <c r="CC702" s="162"/>
      <c r="CD702" s="162"/>
      <c r="CE702" s="162"/>
      <c r="CF702" s="230"/>
      <c r="CG702" s="230"/>
      <c r="CH702" s="162"/>
      <c r="CI702" s="162"/>
      <c r="CJ702" s="162"/>
      <c r="CK702" s="162"/>
      <c r="CL702" s="162"/>
      <c r="CM702" s="230"/>
      <c r="CN702" s="230"/>
      <c r="CO702" s="162"/>
      <c r="CP702" s="162"/>
      <c r="CQ702" s="162"/>
      <c r="CR702" s="162"/>
      <c r="CS702" s="162"/>
      <c r="CT702" s="230"/>
      <c r="CU702" s="230"/>
      <c r="CV702" s="162"/>
      <c r="CW702" s="162"/>
      <c r="CX702" s="162"/>
      <c r="CY702" s="162"/>
      <c r="CZ702" s="162"/>
      <c r="DA702" s="230"/>
      <c r="DB702" s="230"/>
      <c r="DC702" s="162"/>
      <c r="DD702" s="162"/>
      <c r="DE702" s="162"/>
      <c r="DF702" s="162"/>
      <c r="DG702" s="162"/>
      <c r="DH702" s="230"/>
      <c r="DI702" s="230"/>
      <c r="DJ702" s="162"/>
      <c r="DK702" s="162"/>
      <c r="DL702" s="147"/>
      <c r="DM702" s="147"/>
      <c r="DN702" s="147"/>
      <c r="DO702" s="147"/>
      <c r="DP702" s="147"/>
      <c r="DQ702" s="147"/>
      <c r="DR702" s="147"/>
      <c r="DS702" s="147"/>
      <c r="DT702" s="147"/>
      <c r="DU702" s="147"/>
      <c r="DV702" s="147"/>
      <c r="DW702" s="147"/>
      <c r="DX702" s="147"/>
      <c r="DY702" s="147"/>
      <c r="DZ702" s="147"/>
      <c r="EA702" s="147"/>
      <c r="EB702" s="147"/>
      <c r="EC702" s="147"/>
      <c r="ED702" s="147"/>
      <c r="EE702" s="147"/>
      <c r="EF702" s="147"/>
      <c r="EG702" s="147"/>
      <c r="EH702" s="147"/>
    </row>
    <row r="703" spans="1:138" x14ac:dyDescent="0.25">
      <c r="A703" s="147"/>
      <c r="B703" s="147"/>
      <c r="C703" s="160"/>
      <c r="D703" s="160"/>
      <c r="E703" s="169"/>
      <c r="F703" s="229"/>
      <c r="G703" s="165"/>
      <c r="H703" s="165"/>
      <c r="I703" s="163"/>
      <c r="J703" s="163"/>
      <c r="K703" s="162"/>
      <c r="L703" s="162"/>
      <c r="M703" s="162"/>
      <c r="N703" s="230"/>
      <c r="O703" s="230"/>
      <c r="P703" s="162"/>
      <c r="Q703" s="162"/>
      <c r="R703" s="162"/>
      <c r="S703" s="162"/>
      <c r="T703" s="162"/>
      <c r="U703" s="230"/>
      <c r="V703" s="230"/>
      <c r="W703" s="162"/>
      <c r="X703" s="162"/>
      <c r="Y703" s="162"/>
      <c r="Z703" s="162"/>
      <c r="AA703" s="162"/>
      <c r="AB703" s="230"/>
      <c r="AC703" s="230"/>
      <c r="AD703" s="162"/>
      <c r="AE703" s="162"/>
      <c r="AF703" s="162"/>
      <c r="AG703" s="162"/>
      <c r="AH703" s="162"/>
      <c r="AI703" s="230"/>
      <c r="AJ703" s="230"/>
      <c r="AK703" s="162"/>
      <c r="AL703" s="162"/>
      <c r="AM703" s="162"/>
      <c r="AN703" s="162"/>
      <c r="AO703" s="162"/>
      <c r="AP703" s="230"/>
      <c r="AQ703" s="230"/>
      <c r="AR703" s="162"/>
      <c r="AS703" s="162"/>
      <c r="AT703" s="162"/>
      <c r="AU703" s="162"/>
      <c r="AV703" s="162"/>
      <c r="AW703" s="230"/>
      <c r="AX703" s="230"/>
      <c r="AY703" s="162"/>
      <c r="AZ703" s="162"/>
      <c r="BA703" s="162"/>
      <c r="BB703" s="162"/>
      <c r="BC703" s="162"/>
      <c r="BD703" s="230"/>
      <c r="BE703" s="230"/>
      <c r="BF703" s="162"/>
      <c r="BG703" s="162"/>
      <c r="BH703" s="162"/>
      <c r="BI703" s="162"/>
      <c r="BJ703" s="162"/>
      <c r="BK703" s="230"/>
      <c r="BL703" s="230"/>
      <c r="BM703" s="162"/>
      <c r="BN703" s="162"/>
      <c r="BO703" s="162"/>
      <c r="BP703" s="162"/>
      <c r="BQ703" s="162"/>
      <c r="BR703" s="230"/>
      <c r="BS703" s="230"/>
      <c r="BT703" s="162"/>
      <c r="BU703" s="162"/>
      <c r="BV703" s="162"/>
      <c r="BW703" s="162"/>
      <c r="BX703" s="162"/>
      <c r="BY703" s="230"/>
      <c r="BZ703" s="230"/>
      <c r="CA703" s="162"/>
      <c r="CB703" s="162"/>
      <c r="CC703" s="162"/>
      <c r="CD703" s="162"/>
      <c r="CE703" s="162"/>
      <c r="CF703" s="230"/>
      <c r="CG703" s="230"/>
      <c r="CH703" s="162"/>
      <c r="CI703" s="162"/>
      <c r="CJ703" s="162"/>
      <c r="CK703" s="162"/>
      <c r="CL703" s="162"/>
      <c r="CM703" s="230"/>
      <c r="CN703" s="230"/>
      <c r="CO703" s="162"/>
      <c r="CP703" s="162"/>
      <c r="CQ703" s="162"/>
      <c r="CR703" s="162"/>
      <c r="CS703" s="162"/>
      <c r="CT703" s="230"/>
      <c r="CU703" s="230"/>
      <c r="CV703" s="162"/>
      <c r="CW703" s="162"/>
      <c r="CX703" s="162"/>
      <c r="CY703" s="162"/>
      <c r="CZ703" s="162"/>
      <c r="DA703" s="230"/>
      <c r="DB703" s="230"/>
      <c r="DC703" s="162"/>
      <c r="DD703" s="162"/>
      <c r="DE703" s="162"/>
      <c r="DF703" s="162"/>
      <c r="DG703" s="162"/>
      <c r="DH703" s="230"/>
      <c r="DI703" s="230"/>
      <c r="DJ703" s="162"/>
      <c r="DK703" s="162"/>
      <c r="DL703" s="147"/>
      <c r="DM703" s="147"/>
      <c r="DN703" s="147"/>
      <c r="DO703" s="147"/>
      <c r="DP703" s="147"/>
      <c r="DQ703" s="147"/>
      <c r="DR703" s="147"/>
      <c r="DS703" s="147"/>
      <c r="DT703" s="147"/>
      <c r="DU703" s="147"/>
      <c r="DV703" s="147"/>
      <c r="DW703" s="147"/>
      <c r="DX703" s="147"/>
      <c r="DY703" s="147"/>
      <c r="DZ703" s="147"/>
      <c r="EA703" s="147"/>
      <c r="EB703" s="147"/>
      <c r="EC703" s="147"/>
      <c r="ED703" s="147"/>
      <c r="EE703" s="147"/>
      <c r="EF703" s="147"/>
      <c r="EG703" s="147"/>
      <c r="EH703" s="147"/>
    </row>
    <row r="704" spans="1:138" x14ac:dyDescent="0.25">
      <c r="A704" s="147"/>
      <c r="B704" s="147"/>
      <c r="C704" s="160"/>
      <c r="D704" s="160"/>
      <c r="E704" s="169"/>
      <c r="F704" s="229"/>
      <c r="G704" s="165"/>
      <c r="H704" s="165"/>
      <c r="I704" s="163"/>
      <c r="J704" s="163"/>
      <c r="K704" s="162"/>
      <c r="L704" s="162"/>
      <c r="M704" s="162"/>
      <c r="N704" s="230"/>
      <c r="O704" s="230"/>
      <c r="P704" s="162"/>
      <c r="Q704" s="162"/>
      <c r="R704" s="162"/>
      <c r="S704" s="162"/>
      <c r="T704" s="162"/>
      <c r="U704" s="230"/>
      <c r="V704" s="230"/>
      <c r="W704" s="162"/>
      <c r="X704" s="162"/>
      <c r="Y704" s="162"/>
      <c r="Z704" s="162"/>
      <c r="AA704" s="162"/>
      <c r="AB704" s="230"/>
      <c r="AC704" s="230"/>
      <c r="AD704" s="162"/>
      <c r="AE704" s="162"/>
      <c r="AF704" s="162"/>
      <c r="AG704" s="162"/>
      <c r="AH704" s="162"/>
      <c r="AI704" s="230"/>
      <c r="AJ704" s="230"/>
      <c r="AK704" s="162"/>
      <c r="AL704" s="162"/>
      <c r="AM704" s="162"/>
      <c r="AN704" s="162"/>
      <c r="AO704" s="162"/>
      <c r="AP704" s="230"/>
      <c r="AQ704" s="230"/>
      <c r="AR704" s="162"/>
      <c r="AS704" s="162"/>
      <c r="AT704" s="162"/>
      <c r="AU704" s="162"/>
      <c r="AV704" s="162"/>
      <c r="AW704" s="230"/>
      <c r="AX704" s="230"/>
      <c r="AY704" s="162"/>
      <c r="AZ704" s="162"/>
      <c r="BA704" s="162"/>
      <c r="BB704" s="162"/>
      <c r="BC704" s="162"/>
      <c r="BD704" s="230"/>
      <c r="BE704" s="230"/>
      <c r="BF704" s="162"/>
      <c r="BG704" s="162"/>
      <c r="BH704" s="162"/>
      <c r="BI704" s="162"/>
      <c r="BJ704" s="162"/>
      <c r="BK704" s="230"/>
      <c r="BL704" s="230"/>
      <c r="BM704" s="162"/>
      <c r="BN704" s="162"/>
      <c r="BO704" s="162"/>
      <c r="BP704" s="162"/>
      <c r="BQ704" s="162"/>
      <c r="BR704" s="230"/>
      <c r="BS704" s="230"/>
      <c r="BT704" s="162"/>
      <c r="BU704" s="162"/>
      <c r="BV704" s="162"/>
      <c r="BW704" s="162"/>
      <c r="BX704" s="162"/>
      <c r="BY704" s="230"/>
      <c r="BZ704" s="230"/>
      <c r="CA704" s="162"/>
      <c r="CB704" s="162"/>
      <c r="CC704" s="162"/>
      <c r="CD704" s="162"/>
      <c r="CE704" s="162"/>
      <c r="CF704" s="230"/>
      <c r="CG704" s="230"/>
      <c r="CH704" s="162"/>
      <c r="CI704" s="162"/>
      <c r="CJ704" s="162"/>
      <c r="CK704" s="162"/>
      <c r="CL704" s="162"/>
      <c r="CM704" s="230"/>
      <c r="CN704" s="230"/>
      <c r="CO704" s="162"/>
      <c r="CP704" s="162"/>
      <c r="CQ704" s="162"/>
      <c r="CR704" s="162"/>
      <c r="CS704" s="162"/>
      <c r="CT704" s="230"/>
      <c r="CU704" s="230"/>
      <c r="CV704" s="162"/>
      <c r="CW704" s="162"/>
      <c r="CX704" s="162"/>
      <c r="CY704" s="162"/>
      <c r="CZ704" s="162"/>
      <c r="DA704" s="230"/>
      <c r="DB704" s="230"/>
      <c r="DC704" s="162"/>
      <c r="DD704" s="162"/>
      <c r="DE704" s="162"/>
      <c r="DF704" s="162"/>
      <c r="DG704" s="162"/>
      <c r="DH704" s="230"/>
      <c r="DI704" s="230"/>
      <c r="DJ704" s="162"/>
      <c r="DK704" s="162"/>
      <c r="DL704" s="147"/>
      <c r="DM704" s="147"/>
      <c r="DN704" s="147"/>
      <c r="DO704" s="147"/>
      <c r="DP704" s="147"/>
      <c r="DQ704" s="147"/>
      <c r="DR704" s="147"/>
      <c r="DS704" s="147"/>
      <c r="DT704" s="147"/>
      <c r="DU704" s="147"/>
      <c r="DV704" s="147"/>
      <c r="DW704" s="147"/>
      <c r="DX704" s="147"/>
      <c r="DY704" s="147"/>
      <c r="DZ704" s="147"/>
      <c r="EA704" s="147"/>
      <c r="EB704" s="147"/>
      <c r="EC704" s="147"/>
      <c r="ED704" s="147"/>
      <c r="EE704" s="147"/>
      <c r="EF704" s="147"/>
      <c r="EG704" s="147"/>
      <c r="EH704" s="147"/>
    </row>
    <row r="705" spans="1:138" x14ac:dyDescent="0.25">
      <c r="A705" s="147"/>
      <c r="B705" s="147"/>
      <c r="C705" s="160"/>
      <c r="D705" s="160"/>
      <c r="E705" s="169"/>
      <c r="F705" s="229"/>
      <c r="G705" s="165"/>
      <c r="H705" s="165"/>
      <c r="I705" s="163"/>
      <c r="J705" s="163"/>
      <c r="K705" s="162"/>
      <c r="L705" s="162"/>
      <c r="M705" s="162"/>
      <c r="N705" s="230"/>
      <c r="O705" s="230"/>
      <c r="P705" s="162"/>
      <c r="Q705" s="162"/>
      <c r="R705" s="162"/>
      <c r="S705" s="162"/>
      <c r="T705" s="162"/>
      <c r="U705" s="230"/>
      <c r="V705" s="230"/>
      <c r="W705" s="162"/>
      <c r="X705" s="162"/>
      <c r="Y705" s="162"/>
      <c r="Z705" s="162"/>
      <c r="AA705" s="162"/>
      <c r="AB705" s="230"/>
      <c r="AC705" s="230"/>
      <c r="AD705" s="162"/>
      <c r="AE705" s="162"/>
      <c r="AF705" s="162"/>
      <c r="AG705" s="162"/>
      <c r="AH705" s="162"/>
      <c r="AI705" s="230"/>
      <c r="AJ705" s="230"/>
      <c r="AK705" s="162"/>
      <c r="AL705" s="162"/>
      <c r="AM705" s="162"/>
      <c r="AN705" s="162"/>
      <c r="AO705" s="162"/>
      <c r="AP705" s="230"/>
      <c r="AQ705" s="230"/>
      <c r="AR705" s="162"/>
      <c r="AS705" s="162"/>
      <c r="AT705" s="162"/>
      <c r="AU705" s="162"/>
      <c r="AV705" s="162"/>
      <c r="AW705" s="230"/>
      <c r="AX705" s="230"/>
      <c r="AY705" s="162"/>
      <c r="AZ705" s="162"/>
      <c r="BA705" s="162"/>
      <c r="BB705" s="162"/>
      <c r="BC705" s="162"/>
      <c r="BD705" s="230"/>
      <c r="BE705" s="230"/>
      <c r="BF705" s="162"/>
      <c r="BG705" s="162"/>
      <c r="BH705" s="162"/>
      <c r="BI705" s="162"/>
      <c r="BJ705" s="162"/>
      <c r="BK705" s="230"/>
      <c r="BL705" s="230"/>
      <c r="BM705" s="162"/>
      <c r="BN705" s="162"/>
      <c r="BO705" s="162"/>
      <c r="BP705" s="162"/>
      <c r="BQ705" s="162"/>
      <c r="BR705" s="230"/>
      <c r="BS705" s="230"/>
      <c r="BT705" s="162"/>
      <c r="BU705" s="162"/>
      <c r="BV705" s="162"/>
      <c r="BW705" s="162"/>
      <c r="BX705" s="162"/>
      <c r="BY705" s="230"/>
      <c r="BZ705" s="230"/>
      <c r="CA705" s="162"/>
      <c r="CB705" s="162"/>
      <c r="CC705" s="162"/>
      <c r="CD705" s="162"/>
      <c r="CE705" s="162"/>
      <c r="CF705" s="230"/>
      <c r="CG705" s="230"/>
      <c r="CH705" s="162"/>
      <c r="CI705" s="162"/>
      <c r="CJ705" s="162"/>
      <c r="CK705" s="162"/>
      <c r="CL705" s="162"/>
      <c r="CM705" s="230"/>
      <c r="CN705" s="230"/>
      <c r="CO705" s="162"/>
      <c r="CP705" s="162"/>
      <c r="CQ705" s="162"/>
      <c r="CR705" s="162"/>
      <c r="CS705" s="162"/>
      <c r="CT705" s="230"/>
      <c r="CU705" s="230"/>
      <c r="CV705" s="162"/>
      <c r="CW705" s="162"/>
      <c r="CX705" s="162"/>
      <c r="CY705" s="162"/>
      <c r="CZ705" s="162"/>
      <c r="DA705" s="230"/>
      <c r="DB705" s="230"/>
      <c r="DC705" s="162"/>
      <c r="DD705" s="162"/>
      <c r="DE705" s="162"/>
      <c r="DF705" s="162"/>
      <c r="DG705" s="162"/>
      <c r="DH705" s="230"/>
      <c r="DI705" s="230"/>
      <c r="DJ705" s="162"/>
      <c r="DK705" s="162"/>
      <c r="DL705" s="147"/>
      <c r="DM705" s="147"/>
      <c r="DN705" s="147"/>
      <c r="DO705" s="147"/>
      <c r="DP705" s="147"/>
      <c r="DQ705" s="147"/>
      <c r="DR705" s="147"/>
      <c r="DS705" s="147"/>
      <c r="DT705" s="147"/>
      <c r="DU705" s="147"/>
      <c r="DV705" s="147"/>
      <c r="DW705" s="147"/>
      <c r="DX705" s="147"/>
      <c r="DY705" s="147"/>
      <c r="DZ705" s="147"/>
      <c r="EA705" s="147"/>
      <c r="EB705" s="147"/>
      <c r="EC705" s="147"/>
      <c r="ED705" s="147"/>
      <c r="EE705" s="147"/>
      <c r="EF705" s="147"/>
      <c r="EG705" s="147"/>
      <c r="EH705" s="147"/>
    </row>
    <row r="706" spans="1:138" x14ac:dyDescent="0.25">
      <c r="A706" s="147"/>
      <c r="B706" s="147"/>
      <c r="C706" s="160"/>
      <c r="D706" s="160"/>
      <c r="E706" s="169"/>
      <c r="F706" s="229"/>
      <c r="G706" s="165"/>
      <c r="H706" s="165"/>
      <c r="I706" s="163"/>
      <c r="J706" s="163"/>
      <c r="K706" s="162"/>
      <c r="L706" s="162"/>
      <c r="M706" s="162"/>
      <c r="N706" s="230"/>
      <c r="O706" s="230"/>
      <c r="P706" s="162"/>
      <c r="Q706" s="162"/>
      <c r="R706" s="162"/>
      <c r="S706" s="162"/>
      <c r="T706" s="162"/>
      <c r="U706" s="230"/>
      <c r="V706" s="230"/>
      <c r="W706" s="162"/>
      <c r="X706" s="162"/>
      <c r="Y706" s="162"/>
      <c r="Z706" s="162"/>
      <c r="AA706" s="162"/>
      <c r="AB706" s="230"/>
      <c r="AC706" s="230"/>
      <c r="AD706" s="162"/>
      <c r="AE706" s="162"/>
      <c r="AF706" s="162"/>
      <c r="AG706" s="162"/>
      <c r="AH706" s="162"/>
      <c r="AI706" s="230"/>
      <c r="AJ706" s="230"/>
      <c r="AK706" s="162"/>
      <c r="AL706" s="162"/>
      <c r="AM706" s="162"/>
      <c r="AN706" s="162"/>
      <c r="AO706" s="162"/>
      <c r="AP706" s="230"/>
      <c r="AQ706" s="230"/>
      <c r="AR706" s="162"/>
      <c r="AS706" s="162"/>
      <c r="AT706" s="162"/>
      <c r="AU706" s="162"/>
      <c r="AV706" s="162"/>
      <c r="AW706" s="230"/>
      <c r="AX706" s="230"/>
      <c r="AY706" s="162"/>
      <c r="AZ706" s="162"/>
      <c r="BA706" s="162"/>
      <c r="BB706" s="162"/>
      <c r="BC706" s="162"/>
      <c r="BD706" s="230"/>
      <c r="BE706" s="230"/>
      <c r="BF706" s="162"/>
      <c r="BG706" s="162"/>
      <c r="BH706" s="162"/>
      <c r="BI706" s="162"/>
      <c r="BJ706" s="162"/>
      <c r="BK706" s="230"/>
      <c r="BL706" s="230"/>
      <c r="BM706" s="162"/>
      <c r="BN706" s="162"/>
      <c r="BO706" s="162"/>
      <c r="BP706" s="162"/>
      <c r="BQ706" s="162"/>
      <c r="BR706" s="230"/>
      <c r="BS706" s="230"/>
      <c r="BT706" s="162"/>
      <c r="BU706" s="162"/>
      <c r="BV706" s="162"/>
      <c r="BW706" s="162"/>
      <c r="BX706" s="162"/>
      <c r="BY706" s="230"/>
      <c r="BZ706" s="230"/>
      <c r="CA706" s="162"/>
      <c r="CB706" s="162"/>
      <c r="CC706" s="162"/>
      <c r="CD706" s="162"/>
      <c r="CE706" s="162"/>
      <c r="CF706" s="230"/>
      <c r="CG706" s="230"/>
      <c r="CH706" s="162"/>
      <c r="CI706" s="162"/>
      <c r="CJ706" s="162"/>
      <c r="CK706" s="162"/>
      <c r="CL706" s="162"/>
      <c r="CM706" s="230"/>
      <c r="CN706" s="230"/>
      <c r="CO706" s="162"/>
      <c r="CP706" s="162"/>
      <c r="CQ706" s="162"/>
      <c r="CR706" s="162"/>
      <c r="CS706" s="162"/>
      <c r="CT706" s="230"/>
      <c r="CU706" s="230"/>
      <c r="CV706" s="162"/>
      <c r="CW706" s="162"/>
      <c r="CX706" s="162"/>
      <c r="CY706" s="162"/>
      <c r="CZ706" s="162"/>
      <c r="DA706" s="230"/>
      <c r="DB706" s="230"/>
      <c r="DC706" s="162"/>
      <c r="DD706" s="162"/>
      <c r="DE706" s="162"/>
      <c r="DF706" s="162"/>
      <c r="DG706" s="162"/>
      <c r="DH706" s="230"/>
      <c r="DI706" s="230"/>
      <c r="DJ706" s="162"/>
      <c r="DK706" s="162"/>
      <c r="DL706" s="147"/>
      <c r="DM706" s="147"/>
      <c r="DN706" s="147"/>
      <c r="DO706" s="147"/>
      <c r="DP706" s="147"/>
      <c r="DQ706" s="147"/>
      <c r="DR706" s="147"/>
      <c r="DS706" s="147"/>
      <c r="DT706" s="147"/>
      <c r="DU706" s="147"/>
      <c r="DV706" s="147"/>
      <c r="DW706" s="147"/>
      <c r="DX706" s="147"/>
      <c r="DY706" s="147"/>
      <c r="DZ706" s="147"/>
      <c r="EA706" s="147"/>
      <c r="EB706" s="147"/>
      <c r="EC706" s="147"/>
      <c r="ED706" s="147"/>
      <c r="EE706" s="147"/>
      <c r="EF706" s="147"/>
      <c r="EG706" s="147"/>
      <c r="EH706" s="147"/>
    </row>
    <row r="707" spans="1:138" x14ac:dyDescent="0.25">
      <c r="A707" s="147"/>
      <c r="B707" s="147"/>
      <c r="C707" s="160"/>
      <c r="D707" s="160"/>
      <c r="E707" s="169"/>
      <c r="F707" s="229"/>
      <c r="G707" s="165"/>
      <c r="H707" s="165"/>
      <c r="I707" s="163"/>
      <c r="J707" s="163"/>
      <c r="K707" s="162"/>
      <c r="L707" s="162"/>
      <c r="M707" s="162"/>
      <c r="N707" s="230"/>
      <c r="O707" s="230"/>
      <c r="P707" s="162"/>
      <c r="Q707" s="162"/>
      <c r="R707" s="162"/>
      <c r="S707" s="162"/>
      <c r="T707" s="162"/>
      <c r="U707" s="230"/>
      <c r="V707" s="230"/>
      <c r="W707" s="162"/>
      <c r="X707" s="162"/>
      <c r="Y707" s="162"/>
      <c r="Z707" s="162"/>
      <c r="AA707" s="162"/>
      <c r="AB707" s="230"/>
      <c r="AC707" s="230"/>
      <c r="AD707" s="162"/>
      <c r="AE707" s="162"/>
      <c r="AF707" s="162"/>
      <c r="AG707" s="162"/>
      <c r="AH707" s="162"/>
      <c r="AI707" s="230"/>
      <c r="AJ707" s="230"/>
      <c r="AK707" s="162"/>
      <c r="AL707" s="162"/>
      <c r="AM707" s="162"/>
      <c r="AN707" s="162"/>
      <c r="AO707" s="162"/>
      <c r="AP707" s="230"/>
      <c r="AQ707" s="230"/>
      <c r="AR707" s="162"/>
      <c r="AS707" s="162"/>
      <c r="AT707" s="162"/>
      <c r="AU707" s="162"/>
      <c r="AV707" s="162"/>
      <c r="AW707" s="230"/>
      <c r="AX707" s="230"/>
      <c r="AY707" s="162"/>
      <c r="AZ707" s="162"/>
      <c r="BA707" s="162"/>
      <c r="BB707" s="162"/>
      <c r="BC707" s="162"/>
      <c r="BD707" s="230"/>
      <c r="BE707" s="230"/>
      <c r="BF707" s="162"/>
      <c r="BG707" s="162"/>
      <c r="BH707" s="162"/>
      <c r="BI707" s="162"/>
      <c r="BJ707" s="162"/>
      <c r="BK707" s="230"/>
      <c r="BL707" s="230"/>
      <c r="BM707" s="162"/>
      <c r="BN707" s="162"/>
      <c r="BO707" s="162"/>
      <c r="BP707" s="162"/>
      <c r="BQ707" s="162"/>
      <c r="BR707" s="230"/>
      <c r="BS707" s="230"/>
      <c r="BT707" s="162"/>
      <c r="BU707" s="162"/>
      <c r="BV707" s="162"/>
      <c r="BW707" s="162"/>
      <c r="BX707" s="162"/>
      <c r="BY707" s="230"/>
      <c r="BZ707" s="230"/>
      <c r="CA707" s="162"/>
      <c r="CB707" s="162"/>
      <c r="CC707" s="162"/>
      <c r="CD707" s="162"/>
      <c r="CE707" s="162"/>
      <c r="CF707" s="230"/>
      <c r="CG707" s="230"/>
      <c r="CH707" s="162"/>
      <c r="CI707" s="162"/>
      <c r="CJ707" s="162"/>
      <c r="CK707" s="162"/>
      <c r="CL707" s="162"/>
      <c r="CM707" s="230"/>
      <c r="CN707" s="230"/>
      <c r="CO707" s="162"/>
      <c r="CP707" s="162"/>
      <c r="CQ707" s="162"/>
      <c r="CR707" s="162"/>
      <c r="CS707" s="162"/>
      <c r="CT707" s="230"/>
      <c r="CU707" s="230"/>
      <c r="CV707" s="162"/>
      <c r="CW707" s="162"/>
      <c r="CX707" s="162"/>
      <c r="CY707" s="162"/>
      <c r="CZ707" s="162"/>
      <c r="DA707" s="230"/>
      <c r="DB707" s="230"/>
      <c r="DC707" s="162"/>
      <c r="DD707" s="162"/>
      <c r="DE707" s="162"/>
      <c r="DF707" s="162"/>
      <c r="DG707" s="162"/>
      <c r="DH707" s="230"/>
      <c r="DI707" s="230"/>
      <c r="DJ707" s="162"/>
      <c r="DK707" s="162"/>
      <c r="DL707" s="147"/>
      <c r="DM707" s="147"/>
      <c r="DN707" s="147"/>
      <c r="DO707" s="147"/>
      <c r="DP707" s="147"/>
      <c r="DQ707" s="147"/>
      <c r="DR707" s="147"/>
      <c r="DS707" s="147"/>
      <c r="DT707" s="147"/>
      <c r="DU707" s="147"/>
      <c r="DV707" s="147"/>
      <c r="DW707" s="147"/>
      <c r="DX707" s="147"/>
      <c r="DY707" s="147"/>
      <c r="DZ707" s="147"/>
      <c r="EA707" s="147"/>
      <c r="EB707" s="147"/>
      <c r="EC707" s="147"/>
      <c r="ED707" s="147"/>
      <c r="EE707" s="147"/>
      <c r="EF707" s="147"/>
      <c r="EG707" s="147"/>
      <c r="EH707" s="147"/>
    </row>
    <row r="708" spans="1:138" x14ac:dyDescent="0.25">
      <c r="A708" s="147"/>
      <c r="B708" s="147"/>
      <c r="C708" s="160"/>
      <c r="D708" s="160"/>
      <c r="E708" s="169"/>
      <c r="F708" s="229"/>
      <c r="G708" s="165"/>
      <c r="H708" s="165"/>
      <c r="I708" s="163"/>
      <c r="J708" s="163"/>
      <c r="K708" s="162"/>
      <c r="L708" s="162"/>
      <c r="M708" s="162"/>
      <c r="N708" s="230"/>
      <c r="O708" s="230"/>
      <c r="P708" s="162"/>
      <c r="Q708" s="162"/>
      <c r="R708" s="162"/>
      <c r="S708" s="162"/>
      <c r="T708" s="162"/>
      <c r="U708" s="230"/>
      <c r="V708" s="230"/>
      <c r="W708" s="162"/>
      <c r="X708" s="162"/>
      <c r="Y708" s="162"/>
      <c r="Z708" s="162"/>
      <c r="AA708" s="162"/>
      <c r="AB708" s="230"/>
      <c r="AC708" s="230"/>
      <c r="AD708" s="162"/>
      <c r="AE708" s="162"/>
      <c r="AF708" s="162"/>
      <c r="AG708" s="162"/>
      <c r="AH708" s="162"/>
      <c r="AI708" s="230"/>
      <c r="AJ708" s="230"/>
      <c r="AK708" s="162"/>
      <c r="AL708" s="162"/>
      <c r="AM708" s="162"/>
      <c r="AN708" s="162"/>
      <c r="AO708" s="162"/>
      <c r="AP708" s="230"/>
      <c r="AQ708" s="230"/>
      <c r="AR708" s="162"/>
      <c r="AS708" s="162"/>
      <c r="AT708" s="162"/>
      <c r="AU708" s="162"/>
      <c r="AV708" s="162"/>
      <c r="AW708" s="230"/>
      <c r="AX708" s="230"/>
      <c r="AY708" s="162"/>
      <c r="AZ708" s="162"/>
      <c r="BA708" s="162"/>
      <c r="BB708" s="162"/>
      <c r="BC708" s="162"/>
      <c r="BD708" s="230"/>
      <c r="BE708" s="230"/>
      <c r="BF708" s="162"/>
      <c r="BG708" s="162"/>
      <c r="BH708" s="162"/>
      <c r="BI708" s="162"/>
      <c r="BJ708" s="162"/>
      <c r="BK708" s="230"/>
      <c r="BL708" s="230"/>
      <c r="BM708" s="162"/>
      <c r="BN708" s="162"/>
      <c r="BO708" s="162"/>
      <c r="BP708" s="162"/>
      <c r="BQ708" s="162"/>
      <c r="BR708" s="230"/>
      <c r="BS708" s="230"/>
      <c r="BT708" s="162"/>
      <c r="BU708" s="162"/>
      <c r="BV708" s="162"/>
      <c r="BW708" s="162"/>
      <c r="BX708" s="162"/>
      <c r="BY708" s="230"/>
      <c r="BZ708" s="230"/>
      <c r="CA708" s="162"/>
      <c r="CB708" s="162"/>
      <c r="CC708" s="162"/>
      <c r="CD708" s="162"/>
      <c r="CE708" s="162"/>
      <c r="CF708" s="230"/>
      <c r="CG708" s="230"/>
      <c r="CH708" s="162"/>
      <c r="CI708" s="162"/>
      <c r="CJ708" s="162"/>
      <c r="CK708" s="162"/>
      <c r="CL708" s="162"/>
      <c r="CM708" s="230"/>
      <c r="CN708" s="230"/>
      <c r="CO708" s="162"/>
      <c r="CP708" s="162"/>
      <c r="CQ708" s="162"/>
      <c r="CR708" s="162"/>
      <c r="CS708" s="162"/>
      <c r="CT708" s="230"/>
      <c r="CU708" s="230"/>
      <c r="CV708" s="162"/>
      <c r="CW708" s="162"/>
      <c r="CX708" s="162"/>
      <c r="CY708" s="162"/>
      <c r="CZ708" s="162"/>
      <c r="DA708" s="230"/>
      <c r="DB708" s="230"/>
      <c r="DC708" s="162"/>
      <c r="DD708" s="162"/>
      <c r="DE708" s="162"/>
      <c r="DF708" s="162"/>
      <c r="DG708" s="162"/>
      <c r="DH708" s="230"/>
      <c r="DI708" s="230"/>
      <c r="DJ708" s="162"/>
      <c r="DK708" s="162"/>
      <c r="DL708" s="147"/>
      <c r="DM708" s="147"/>
      <c r="DN708" s="147"/>
      <c r="DO708" s="147"/>
      <c r="DP708" s="147"/>
      <c r="DQ708" s="147"/>
      <c r="DR708" s="147"/>
      <c r="DS708" s="147"/>
      <c r="DT708" s="147"/>
      <c r="DU708" s="147"/>
      <c r="DV708" s="147"/>
      <c r="DW708" s="147"/>
      <c r="DX708" s="147"/>
      <c r="DY708" s="147"/>
      <c r="DZ708" s="147"/>
      <c r="EA708" s="147"/>
      <c r="EB708" s="147"/>
      <c r="EC708" s="147"/>
      <c r="ED708" s="147"/>
      <c r="EE708" s="147"/>
      <c r="EF708" s="147"/>
      <c r="EG708" s="147"/>
      <c r="EH708" s="147"/>
    </row>
    <row r="709" spans="1:138" x14ac:dyDescent="0.25">
      <c r="A709" s="147"/>
      <c r="B709" s="147"/>
      <c r="C709" s="160"/>
      <c r="D709" s="160"/>
      <c r="E709" s="169"/>
      <c r="F709" s="229"/>
      <c r="G709" s="165"/>
      <c r="H709" s="165"/>
      <c r="I709" s="163"/>
      <c r="J709" s="163"/>
      <c r="K709" s="162"/>
      <c r="L709" s="162"/>
      <c r="M709" s="162"/>
      <c r="N709" s="230"/>
      <c r="O709" s="230"/>
      <c r="P709" s="162"/>
      <c r="Q709" s="162"/>
      <c r="R709" s="162"/>
      <c r="S709" s="162"/>
      <c r="T709" s="162"/>
      <c r="U709" s="230"/>
      <c r="V709" s="230"/>
      <c r="W709" s="162"/>
      <c r="X709" s="162"/>
      <c r="Y709" s="162"/>
      <c r="Z709" s="162"/>
      <c r="AA709" s="162"/>
      <c r="AB709" s="230"/>
      <c r="AC709" s="230"/>
      <c r="AD709" s="162"/>
      <c r="AE709" s="162"/>
      <c r="AF709" s="162"/>
      <c r="AG709" s="162"/>
      <c r="AH709" s="162"/>
      <c r="AI709" s="230"/>
      <c r="AJ709" s="230"/>
      <c r="AK709" s="162"/>
      <c r="AL709" s="162"/>
      <c r="AM709" s="162"/>
      <c r="AN709" s="162"/>
      <c r="AO709" s="162"/>
      <c r="AP709" s="230"/>
      <c r="AQ709" s="230"/>
      <c r="AR709" s="162"/>
      <c r="AS709" s="162"/>
      <c r="AT709" s="162"/>
      <c r="AU709" s="162"/>
      <c r="AV709" s="162"/>
      <c r="AW709" s="230"/>
      <c r="AX709" s="230"/>
      <c r="AY709" s="162"/>
      <c r="AZ709" s="162"/>
      <c r="BA709" s="162"/>
      <c r="BB709" s="162"/>
      <c r="BC709" s="162"/>
      <c r="BD709" s="230"/>
      <c r="BE709" s="230"/>
      <c r="BF709" s="162"/>
      <c r="BG709" s="162"/>
      <c r="BH709" s="162"/>
      <c r="BI709" s="162"/>
      <c r="BJ709" s="162"/>
      <c r="BK709" s="230"/>
      <c r="BL709" s="230"/>
      <c r="BM709" s="162"/>
      <c r="BN709" s="162"/>
      <c r="BO709" s="162"/>
      <c r="BP709" s="162"/>
      <c r="BQ709" s="162"/>
      <c r="BR709" s="230"/>
      <c r="BS709" s="230"/>
      <c r="BT709" s="162"/>
      <c r="BU709" s="162"/>
      <c r="BV709" s="162"/>
      <c r="BW709" s="162"/>
      <c r="BX709" s="162"/>
      <c r="BY709" s="230"/>
      <c r="BZ709" s="230"/>
      <c r="CA709" s="162"/>
      <c r="CB709" s="162"/>
      <c r="CC709" s="162"/>
      <c r="CD709" s="162"/>
      <c r="CE709" s="162"/>
      <c r="CF709" s="230"/>
      <c r="CG709" s="230"/>
      <c r="CH709" s="162"/>
      <c r="CI709" s="162"/>
      <c r="CJ709" s="162"/>
      <c r="CK709" s="162"/>
      <c r="CL709" s="162"/>
      <c r="CM709" s="230"/>
      <c r="CN709" s="230"/>
      <c r="CO709" s="162"/>
      <c r="CP709" s="162"/>
      <c r="CQ709" s="162"/>
      <c r="CR709" s="162"/>
      <c r="CS709" s="162"/>
      <c r="CT709" s="230"/>
      <c r="CU709" s="230"/>
      <c r="CV709" s="162"/>
      <c r="CW709" s="162"/>
      <c r="CX709" s="162"/>
      <c r="CY709" s="162"/>
      <c r="CZ709" s="162"/>
      <c r="DA709" s="230"/>
      <c r="DB709" s="230"/>
      <c r="DC709" s="162"/>
      <c r="DD709" s="162"/>
      <c r="DE709" s="162"/>
      <c r="DF709" s="162"/>
      <c r="DG709" s="162"/>
      <c r="DH709" s="230"/>
      <c r="DI709" s="230"/>
      <c r="DJ709" s="162"/>
      <c r="DK709" s="162"/>
      <c r="DL709" s="147"/>
      <c r="DM709" s="147"/>
      <c r="DN709" s="147"/>
      <c r="DO709" s="147"/>
      <c r="DP709" s="147"/>
      <c r="DQ709" s="147"/>
      <c r="DR709" s="147"/>
      <c r="DS709" s="147"/>
      <c r="DT709" s="147"/>
      <c r="DU709" s="147"/>
      <c r="DV709" s="147"/>
      <c r="DW709" s="147"/>
      <c r="DX709" s="147"/>
      <c r="DY709" s="147"/>
      <c r="DZ709" s="147"/>
      <c r="EA709" s="147"/>
      <c r="EB709" s="147"/>
      <c r="EC709" s="147"/>
      <c r="ED709" s="147"/>
      <c r="EE709" s="147"/>
      <c r="EF709" s="147"/>
      <c r="EG709" s="147"/>
      <c r="EH709" s="147"/>
    </row>
    <row r="710" spans="1:138" x14ac:dyDescent="0.25">
      <c r="A710" s="147"/>
      <c r="B710" s="147"/>
      <c r="C710" s="160"/>
      <c r="D710" s="160"/>
      <c r="E710" s="169"/>
      <c r="F710" s="229"/>
      <c r="G710" s="165"/>
      <c r="H710" s="165"/>
      <c r="I710" s="163"/>
      <c r="J710" s="163"/>
      <c r="K710" s="162"/>
      <c r="L710" s="162"/>
      <c r="M710" s="162"/>
      <c r="N710" s="230"/>
      <c r="O710" s="230"/>
      <c r="P710" s="162"/>
      <c r="Q710" s="162"/>
      <c r="R710" s="162"/>
      <c r="S710" s="162"/>
      <c r="T710" s="162"/>
      <c r="U710" s="230"/>
      <c r="V710" s="230"/>
      <c r="W710" s="162"/>
      <c r="X710" s="162"/>
      <c r="Y710" s="162"/>
      <c r="Z710" s="162"/>
      <c r="AA710" s="162"/>
      <c r="AB710" s="230"/>
      <c r="AC710" s="230"/>
      <c r="AD710" s="162"/>
      <c r="AE710" s="162"/>
      <c r="AF710" s="162"/>
      <c r="AG710" s="162"/>
      <c r="AH710" s="162"/>
      <c r="AI710" s="230"/>
      <c r="AJ710" s="230"/>
      <c r="AK710" s="162"/>
      <c r="AL710" s="162"/>
      <c r="AM710" s="162"/>
      <c r="AN710" s="162"/>
      <c r="AO710" s="162"/>
      <c r="AP710" s="230"/>
      <c r="AQ710" s="230"/>
      <c r="AR710" s="162"/>
      <c r="AS710" s="162"/>
      <c r="AT710" s="162"/>
      <c r="AU710" s="162"/>
      <c r="AV710" s="162"/>
      <c r="AW710" s="230"/>
      <c r="AX710" s="230"/>
      <c r="AY710" s="162"/>
      <c r="AZ710" s="162"/>
      <c r="BA710" s="162"/>
      <c r="BB710" s="162"/>
      <c r="BC710" s="162"/>
      <c r="BD710" s="230"/>
      <c r="BE710" s="230"/>
      <c r="BF710" s="162"/>
      <c r="BG710" s="162"/>
      <c r="BH710" s="162"/>
      <c r="BI710" s="162"/>
      <c r="BJ710" s="162"/>
      <c r="BK710" s="230"/>
      <c r="BL710" s="230"/>
      <c r="BM710" s="162"/>
      <c r="BN710" s="162"/>
      <c r="BO710" s="162"/>
      <c r="BP710" s="162"/>
      <c r="BQ710" s="162"/>
      <c r="BR710" s="230"/>
      <c r="BS710" s="230"/>
      <c r="BT710" s="162"/>
      <c r="BU710" s="162"/>
      <c r="BV710" s="162"/>
      <c r="BW710" s="162"/>
      <c r="BX710" s="162"/>
      <c r="BY710" s="230"/>
      <c r="BZ710" s="230"/>
      <c r="CA710" s="162"/>
      <c r="CB710" s="162"/>
      <c r="CC710" s="162"/>
      <c r="CD710" s="162"/>
      <c r="CE710" s="162"/>
      <c r="CF710" s="230"/>
      <c r="CG710" s="230"/>
      <c r="CH710" s="162"/>
      <c r="CI710" s="162"/>
      <c r="CJ710" s="162"/>
      <c r="CK710" s="162"/>
      <c r="CL710" s="162"/>
      <c r="CM710" s="230"/>
      <c r="CN710" s="230"/>
      <c r="CO710" s="162"/>
      <c r="CP710" s="162"/>
      <c r="CQ710" s="162"/>
      <c r="CR710" s="162"/>
      <c r="CS710" s="162"/>
      <c r="CT710" s="230"/>
      <c r="CU710" s="230"/>
      <c r="CV710" s="162"/>
      <c r="CW710" s="162"/>
      <c r="CX710" s="162"/>
      <c r="CY710" s="162"/>
      <c r="CZ710" s="162"/>
      <c r="DA710" s="230"/>
      <c r="DB710" s="230"/>
      <c r="DC710" s="162"/>
      <c r="DD710" s="162"/>
      <c r="DE710" s="162"/>
      <c r="DF710" s="162"/>
      <c r="DG710" s="162"/>
      <c r="DH710" s="230"/>
      <c r="DI710" s="230"/>
      <c r="DJ710" s="162"/>
      <c r="DK710" s="162"/>
      <c r="DL710" s="147"/>
      <c r="DM710" s="147"/>
      <c r="DN710" s="147"/>
      <c r="DO710" s="147"/>
      <c r="DP710" s="147"/>
      <c r="DQ710" s="147"/>
      <c r="DR710" s="147"/>
      <c r="DS710" s="147"/>
      <c r="DT710" s="147"/>
      <c r="DU710" s="147"/>
      <c r="DV710" s="147"/>
      <c r="DW710" s="147"/>
      <c r="DX710" s="147"/>
      <c r="DY710" s="147"/>
      <c r="DZ710" s="147"/>
      <c r="EA710" s="147"/>
      <c r="EB710" s="147"/>
      <c r="EC710" s="147"/>
      <c r="ED710" s="147"/>
      <c r="EE710" s="147"/>
      <c r="EF710" s="147"/>
      <c r="EG710" s="147"/>
      <c r="EH710" s="147"/>
    </row>
    <row r="711" spans="1:138" x14ac:dyDescent="0.25">
      <c r="A711" s="147"/>
      <c r="B711" s="147"/>
      <c r="C711" s="160"/>
      <c r="D711" s="160"/>
      <c r="E711" s="169"/>
      <c r="F711" s="229"/>
      <c r="G711" s="165"/>
      <c r="H711" s="165"/>
      <c r="I711" s="163"/>
      <c r="J711" s="163"/>
      <c r="K711" s="162"/>
      <c r="L711" s="162"/>
      <c r="M711" s="162"/>
      <c r="N711" s="230"/>
      <c r="O711" s="230"/>
      <c r="P711" s="162"/>
      <c r="Q711" s="162"/>
      <c r="R711" s="162"/>
      <c r="S711" s="162"/>
      <c r="T711" s="162"/>
      <c r="U711" s="230"/>
      <c r="V711" s="230"/>
      <c r="W711" s="162"/>
      <c r="X711" s="162"/>
      <c r="Y711" s="162"/>
      <c r="Z711" s="162"/>
      <c r="AA711" s="162"/>
      <c r="AB711" s="230"/>
      <c r="AC711" s="230"/>
      <c r="AD711" s="162"/>
      <c r="AE711" s="162"/>
      <c r="AF711" s="162"/>
      <c r="AG711" s="162"/>
      <c r="AH711" s="162"/>
      <c r="AI711" s="230"/>
      <c r="AJ711" s="230"/>
      <c r="AK711" s="162"/>
      <c r="AL711" s="162"/>
      <c r="AM711" s="162"/>
      <c r="AN711" s="162"/>
      <c r="AO711" s="162"/>
      <c r="AP711" s="230"/>
      <c r="AQ711" s="230"/>
      <c r="AR711" s="162"/>
      <c r="AS711" s="162"/>
      <c r="AT711" s="162"/>
      <c r="AU711" s="162"/>
      <c r="AV711" s="162"/>
      <c r="AW711" s="230"/>
      <c r="AX711" s="230"/>
      <c r="AY711" s="162"/>
      <c r="AZ711" s="162"/>
      <c r="BA711" s="162"/>
      <c r="BB711" s="162"/>
      <c r="BC711" s="162"/>
      <c r="BD711" s="230"/>
      <c r="BE711" s="230"/>
      <c r="BF711" s="162"/>
      <c r="BG711" s="162"/>
      <c r="BH711" s="162"/>
      <c r="BI711" s="162"/>
      <c r="BJ711" s="162"/>
      <c r="BK711" s="230"/>
      <c r="BL711" s="230"/>
      <c r="BM711" s="162"/>
      <c r="BN711" s="162"/>
      <c r="BO711" s="162"/>
      <c r="BP711" s="162"/>
      <c r="BQ711" s="162"/>
      <c r="BR711" s="230"/>
      <c r="BS711" s="230"/>
      <c r="BT711" s="162"/>
      <c r="BU711" s="162"/>
      <c r="BV711" s="162"/>
      <c r="BW711" s="162"/>
      <c r="BX711" s="162"/>
      <c r="BY711" s="230"/>
      <c r="BZ711" s="230"/>
      <c r="CA711" s="162"/>
      <c r="CB711" s="162"/>
      <c r="CC711" s="162"/>
      <c r="CD711" s="162"/>
      <c r="CE711" s="162"/>
      <c r="CF711" s="230"/>
      <c r="CG711" s="230"/>
      <c r="CH711" s="162"/>
      <c r="CI711" s="162"/>
      <c r="CJ711" s="162"/>
      <c r="CK711" s="162"/>
      <c r="CL711" s="162"/>
      <c r="CM711" s="230"/>
      <c r="CN711" s="230"/>
      <c r="CO711" s="162"/>
      <c r="CP711" s="162"/>
      <c r="CQ711" s="162"/>
      <c r="CR711" s="162"/>
      <c r="CS711" s="162"/>
      <c r="CT711" s="230"/>
      <c r="CU711" s="230"/>
      <c r="CV711" s="162"/>
      <c r="CW711" s="162"/>
      <c r="CX711" s="162"/>
      <c r="CY711" s="162"/>
      <c r="CZ711" s="162"/>
      <c r="DA711" s="230"/>
      <c r="DB711" s="230"/>
      <c r="DC711" s="162"/>
      <c r="DD711" s="162"/>
      <c r="DE711" s="162"/>
      <c r="DF711" s="162"/>
      <c r="DG711" s="162"/>
      <c r="DH711" s="230"/>
      <c r="DI711" s="230"/>
      <c r="DJ711" s="162"/>
      <c r="DK711" s="162"/>
      <c r="DL711" s="147"/>
      <c r="DM711" s="147"/>
      <c r="DN711" s="147"/>
      <c r="DO711" s="147"/>
      <c r="DP711" s="147"/>
      <c r="DQ711" s="147"/>
      <c r="DR711" s="147"/>
      <c r="DS711" s="147"/>
      <c r="DT711" s="147"/>
      <c r="DU711" s="147"/>
      <c r="DV711" s="147"/>
      <c r="DW711" s="147"/>
      <c r="DX711" s="147"/>
      <c r="DY711" s="147"/>
      <c r="DZ711" s="147"/>
      <c r="EA711" s="147"/>
      <c r="EB711" s="147"/>
      <c r="EC711" s="147"/>
      <c r="ED711" s="147"/>
      <c r="EE711" s="147"/>
      <c r="EF711" s="147"/>
      <c r="EG711" s="147"/>
      <c r="EH711" s="147"/>
    </row>
    <row r="712" spans="1:138" x14ac:dyDescent="0.25">
      <c r="A712" s="147"/>
      <c r="B712" s="147"/>
      <c r="C712" s="160"/>
      <c r="D712" s="160"/>
      <c r="E712" s="169"/>
      <c r="F712" s="229"/>
      <c r="G712" s="165"/>
      <c r="H712" s="165"/>
      <c r="I712" s="163"/>
      <c r="J712" s="163"/>
      <c r="K712" s="162"/>
      <c r="L712" s="162"/>
      <c r="M712" s="162"/>
      <c r="N712" s="230"/>
      <c r="O712" s="230"/>
      <c r="P712" s="162"/>
      <c r="Q712" s="162"/>
      <c r="R712" s="162"/>
      <c r="S712" s="162"/>
      <c r="T712" s="162"/>
      <c r="U712" s="230"/>
      <c r="V712" s="230"/>
      <c r="W712" s="162"/>
      <c r="X712" s="162"/>
      <c r="Y712" s="162"/>
      <c r="Z712" s="162"/>
      <c r="AA712" s="162"/>
      <c r="AB712" s="230"/>
      <c r="AC712" s="230"/>
      <c r="AD712" s="162"/>
      <c r="AE712" s="162"/>
      <c r="AF712" s="162"/>
      <c r="AG712" s="162"/>
      <c r="AH712" s="162"/>
      <c r="AI712" s="230"/>
      <c r="AJ712" s="230"/>
      <c r="AK712" s="162"/>
      <c r="AL712" s="162"/>
      <c r="AM712" s="162"/>
      <c r="AN712" s="162"/>
      <c r="AO712" s="162"/>
      <c r="AP712" s="230"/>
      <c r="AQ712" s="230"/>
      <c r="AR712" s="162"/>
      <c r="AS712" s="162"/>
      <c r="AT712" s="162"/>
      <c r="AU712" s="162"/>
      <c r="AV712" s="162"/>
      <c r="AW712" s="230"/>
      <c r="AX712" s="230"/>
      <c r="AY712" s="162"/>
      <c r="AZ712" s="162"/>
      <c r="BA712" s="162"/>
      <c r="BB712" s="162"/>
      <c r="BC712" s="162"/>
      <c r="BD712" s="230"/>
      <c r="BE712" s="230"/>
      <c r="BF712" s="162"/>
      <c r="BG712" s="162"/>
      <c r="BH712" s="162"/>
      <c r="BI712" s="162"/>
      <c r="BJ712" s="162"/>
      <c r="BK712" s="230"/>
      <c r="BL712" s="230"/>
      <c r="BM712" s="162"/>
      <c r="BN712" s="162"/>
      <c r="BO712" s="162"/>
      <c r="BP712" s="162"/>
      <c r="BQ712" s="162"/>
      <c r="BR712" s="230"/>
      <c r="BS712" s="230"/>
      <c r="BT712" s="162"/>
      <c r="BU712" s="162"/>
      <c r="BV712" s="162"/>
      <c r="BW712" s="162"/>
      <c r="BX712" s="162"/>
      <c r="BY712" s="230"/>
      <c r="BZ712" s="230"/>
      <c r="CA712" s="162"/>
      <c r="CB712" s="162"/>
      <c r="CC712" s="162"/>
      <c r="CD712" s="162"/>
      <c r="CE712" s="162"/>
      <c r="CF712" s="230"/>
      <c r="CG712" s="230"/>
      <c r="CH712" s="162"/>
      <c r="CI712" s="162"/>
      <c r="CJ712" s="162"/>
      <c r="CK712" s="162"/>
      <c r="CL712" s="162"/>
      <c r="CM712" s="230"/>
      <c r="CN712" s="230"/>
      <c r="CO712" s="162"/>
      <c r="CP712" s="162"/>
      <c r="CQ712" s="162"/>
      <c r="CR712" s="162"/>
      <c r="CS712" s="162"/>
      <c r="CT712" s="230"/>
      <c r="CU712" s="230"/>
      <c r="CV712" s="162"/>
      <c r="CW712" s="162"/>
      <c r="CX712" s="162"/>
      <c r="CY712" s="162"/>
      <c r="CZ712" s="162"/>
      <c r="DA712" s="230"/>
      <c r="DB712" s="230"/>
      <c r="DC712" s="162"/>
      <c r="DD712" s="162"/>
      <c r="DE712" s="162"/>
      <c r="DF712" s="162"/>
      <c r="DG712" s="162"/>
      <c r="DH712" s="230"/>
      <c r="DI712" s="230"/>
      <c r="DJ712" s="162"/>
      <c r="DK712" s="162"/>
      <c r="DL712" s="147"/>
      <c r="DM712" s="147"/>
      <c r="DN712" s="147"/>
      <c r="DO712" s="147"/>
      <c r="DP712" s="147"/>
      <c r="DQ712" s="147"/>
      <c r="DR712" s="147"/>
      <c r="DS712" s="147"/>
      <c r="DT712" s="147"/>
      <c r="DU712" s="147"/>
      <c r="DV712" s="147"/>
      <c r="DW712" s="147"/>
      <c r="DX712" s="147"/>
      <c r="DY712" s="147"/>
      <c r="DZ712" s="147"/>
      <c r="EA712" s="147"/>
      <c r="EB712" s="147"/>
      <c r="EC712" s="147"/>
      <c r="ED712" s="147"/>
      <c r="EE712" s="147"/>
      <c r="EF712" s="147"/>
      <c r="EG712" s="147"/>
      <c r="EH712" s="147"/>
    </row>
    <row r="713" spans="1:138" x14ac:dyDescent="0.25">
      <c r="A713" s="147"/>
      <c r="B713" s="147"/>
      <c r="C713" s="160"/>
      <c r="D713" s="160"/>
      <c r="E713" s="169"/>
      <c r="F713" s="229"/>
      <c r="G713" s="165"/>
      <c r="H713" s="165"/>
      <c r="I713" s="163"/>
      <c r="J713" s="163"/>
      <c r="K713" s="162"/>
      <c r="L713" s="162"/>
      <c r="M713" s="162"/>
      <c r="N713" s="230"/>
      <c r="O713" s="230"/>
      <c r="P713" s="162"/>
      <c r="Q713" s="162"/>
      <c r="R713" s="162"/>
      <c r="S713" s="162"/>
      <c r="T713" s="162"/>
      <c r="U713" s="230"/>
      <c r="V713" s="230"/>
      <c r="W713" s="162"/>
      <c r="X713" s="162"/>
      <c r="Y713" s="162"/>
      <c r="Z713" s="162"/>
      <c r="AA713" s="162"/>
      <c r="AB713" s="230"/>
      <c r="AC713" s="230"/>
      <c r="AD713" s="162"/>
      <c r="AE713" s="162"/>
      <c r="AF713" s="162"/>
      <c r="AG713" s="162"/>
      <c r="AH713" s="162"/>
      <c r="AI713" s="230"/>
      <c r="AJ713" s="230"/>
      <c r="AK713" s="162"/>
      <c r="AL713" s="162"/>
      <c r="AM713" s="162"/>
      <c r="AN713" s="162"/>
      <c r="AO713" s="162"/>
      <c r="AP713" s="230"/>
      <c r="AQ713" s="230"/>
      <c r="AR713" s="162"/>
      <c r="AS713" s="162"/>
      <c r="AT713" s="162"/>
      <c r="AU713" s="162"/>
      <c r="AV713" s="162"/>
      <c r="AW713" s="230"/>
      <c r="AX713" s="230"/>
      <c r="AY713" s="162"/>
      <c r="AZ713" s="162"/>
      <c r="BA713" s="162"/>
      <c r="BB713" s="162"/>
      <c r="BC713" s="162"/>
      <c r="BD713" s="230"/>
      <c r="BE713" s="230"/>
      <c r="BF713" s="162"/>
      <c r="BG713" s="162"/>
      <c r="BH713" s="162"/>
      <c r="BI713" s="162"/>
      <c r="BJ713" s="162"/>
      <c r="BK713" s="230"/>
      <c r="BL713" s="230"/>
      <c r="BM713" s="162"/>
      <c r="BN713" s="162"/>
      <c r="BO713" s="162"/>
      <c r="BP713" s="162"/>
      <c r="BQ713" s="162"/>
      <c r="BR713" s="230"/>
      <c r="BS713" s="230"/>
      <c r="BT713" s="162"/>
      <c r="BU713" s="162"/>
      <c r="BV713" s="162"/>
      <c r="BW713" s="162"/>
      <c r="BX713" s="162"/>
      <c r="BY713" s="230"/>
      <c r="BZ713" s="230"/>
      <c r="CA713" s="162"/>
      <c r="CB713" s="162"/>
      <c r="CC713" s="162"/>
      <c r="CD713" s="162"/>
      <c r="CE713" s="162"/>
      <c r="CF713" s="230"/>
      <c r="CG713" s="230"/>
      <c r="CH713" s="162"/>
      <c r="CI713" s="162"/>
      <c r="CJ713" s="162"/>
      <c r="CK713" s="162"/>
      <c r="CL713" s="162"/>
      <c r="CM713" s="230"/>
      <c r="CN713" s="230"/>
      <c r="CO713" s="162"/>
      <c r="CP713" s="162"/>
      <c r="CQ713" s="162"/>
      <c r="CR713" s="162"/>
      <c r="CS713" s="162"/>
      <c r="CT713" s="230"/>
      <c r="CU713" s="230"/>
      <c r="CV713" s="162"/>
      <c r="CW713" s="162"/>
      <c r="CX713" s="162"/>
      <c r="CY713" s="162"/>
      <c r="CZ713" s="162"/>
      <c r="DA713" s="230"/>
      <c r="DB713" s="230"/>
      <c r="DC713" s="162"/>
      <c r="DD713" s="162"/>
      <c r="DE713" s="162"/>
      <c r="DF713" s="162"/>
      <c r="DG713" s="162"/>
      <c r="DH713" s="230"/>
      <c r="DI713" s="230"/>
      <c r="DJ713" s="162"/>
      <c r="DK713" s="162"/>
      <c r="DL713" s="147"/>
      <c r="DM713" s="147"/>
      <c r="DN713" s="147"/>
      <c r="DO713" s="147"/>
      <c r="DP713" s="147"/>
      <c r="DQ713" s="147"/>
      <c r="DR713" s="147"/>
      <c r="DS713" s="147"/>
      <c r="DT713" s="147"/>
      <c r="DU713" s="147"/>
      <c r="DV713" s="147"/>
      <c r="DW713" s="147"/>
      <c r="DX713" s="147"/>
      <c r="DY713" s="147"/>
      <c r="DZ713" s="147"/>
      <c r="EA713" s="147"/>
      <c r="EB713" s="147"/>
      <c r="EC713" s="147"/>
      <c r="ED713" s="147"/>
      <c r="EE713" s="147"/>
      <c r="EF713" s="147"/>
      <c r="EG713" s="147"/>
      <c r="EH713" s="147"/>
    </row>
    <row r="714" spans="1:138" x14ac:dyDescent="0.25">
      <c r="A714" s="147"/>
      <c r="B714" s="147"/>
      <c r="C714" s="160"/>
      <c r="D714" s="160"/>
      <c r="E714" s="169"/>
      <c r="F714" s="229"/>
      <c r="G714" s="165"/>
      <c r="H714" s="165"/>
      <c r="I714" s="163"/>
      <c r="J714" s="163"/>
      <c r="K714" s="162"/>
      <c r="L714" s="162"/>
      <c r="M714" s="162"/>
      <c r="N714" s="230"/>
      <c r="O714" s="230"/>
      <c r="P714" s="162"/>
      <c r="Q714" s="162"/>
      <c r="R714" s="162"/>
      <c r="S714" s="162"/>
      <c r="T714" s="162"/>
      <c r="U714" s="230"/>
      <c r="V714" s="230"/>
      <c r="W714" s="162"/>
      <c r="X714" s="162"/>
      <c r="Y714" s="162"/>
      <c r="Z714" s="162"/>
      <c r="AA714" s="162"/>
      <c r="AB714" s="230"/>
      <c r="AC714" s="230"/>
      <c r="AD714" s="162"/>
      <c r="AE714" s="162"/>
      <c r="AF714" s="162"/>
      <c r="AG714" s="162"/>
      <c r="AH714" s="162"/>
      <c r="AI714" s="230"/>
      <c r="AJ714" s="230"/>
      <c r="AK714" s="162"/>
      <c r="AL714" s="162"/>
      <c r="AM714" s="162"/>
      <c r="AN714" s="162"/>
      <c r="AO714" s="162"/>
      <c r="AP714" s="230"/>
      <c r="AQ714" s="230"/>
      <c r="AR714" s="162"/>
      <c r="AS714" s="162"/>
      <c r="AT714" s="162"/>
      <c r="AU714" s="162"/>
      <c r="AV714" s="162"/>
      <c r="AW714" s="230"/>
      <c r="AX714" s="230"/>
      <c r="AY714" s="162"/>
      <c r="AZ714" s="162"/>
      <c r="BA714" s="162"/>
      <c r="BB714" s="162"/>
      <c r="BC714" s="162"/>
      <c r="BD714" s="230"/>
      <c r="BE714" s="230"/>
      <c r="BF714" s="162"/>
      <c r="BG714" s="162"/>
      <c r="BH714" s="162"/>
      <c r="BI714" s="162"/>
      <c r="BJ714" s="162"/>
      <c r="BK714" s="230"/>
      <c r="BL714" s="230"/>
      <c r="BM714" s="162"/>
      <c r="BN714" s="162"/>
      <c r="BO714" s="162"/>
      <c r="BP714" s="162"/>
      <c r="BQ714" s="162"/>
      <c r="BR714" s="230"/>
      <c r="BS714" s="230"/>
      <c r="BT714" s="162"/>
      <c r="BU714" s="162"/>
      <c r="BV714" s="162"/>
      <c r="BW714" s="162"/>
      <c r="BX714" s="162"/>
      <c r="BY714" s="230"/>
      <c r="BZ714" s="230"/>
      <c r="CA714" s="162"/>
      <c r="CB714" s="162"/>
      <c r="CC714" s="162"/>
      <c r="CD714" s="162"/>
      <c r="CE714" s="162"/>
      <c r="CF714" s="230"/>
      <c r="CG714" s="230"/>
      <c r="CH714" s="162"/>
      <c r="CI714" s="162"/>
      <c r="CJ714" s="162"/>
      <c r="CK714" s="162"/>
      <c r="CL714" s="162"/>
      <c r="CM714" s="230"/>
      <c r="CN714" s="230"/>
      <c r="CO714" s="162"/>
      <c r="CP714" s="162"/>
      <c r="CQ714" s="162"/>
      <c r="CR714" s="162"/>
      <c r="CS714" s="162"/>
      <c r="CT714" s="230"/>
      <c r="CU714" s="230"/>
      <c r="CV714" s="162"/>
      <c r="CW714" s="162"/>
      <c r="CX714" s="162"/>
      <c r="CY714" s="162"/>
      <c r="CZ714" s="162"/>
      <c r="DA714" s="230"/>
      <c r="DB714" s="230"/>
      <c r="DC714" s="162"/>
      <c r="DD714" s="162"/>
      <c r="DE714" s="162"/>
      <c r="DF714" s="162"/>
      <c r="DG714" s="162"/>
      <c r="DH714" s="230"/>
      <c r="DI714" s="230"/>
      <c r="DJ714" s="162"/>
      <c r="DK714" s="162"/>
      <c r="DL714" s="147"/>
      <c r="DM714" s="147"/>
      <c r="DN714" s="147"/>
      <c r="DO714" s="147"/>
      <c r="DP714" s="147"/>
      <c r="DQ714" s="147"/>
      <c r="DR714" s="147"/>
      <c r="DS714" s="147"/>
      <c r="DT714" s="147"/>
      <c r="DU714" s="147"/>
      <c r="DV714" s="147"/>
      <c r="DW714" s="147"/>
      <c r="DX714" s="147"/>
      <c r="DY714" s="147"/>
      <c r="DZ714" s="147"/>
      <c r="EA714" s="147"/>
      <c r="EB714" s="147"/>
      <c r="EC714" s="147"/>
      <c r="ED714" s="147"/>
      <c r="EE714" s="147"/>
      <c r="EF714" s="147"/>
      <c r="EG714" s="147"/>
      <c r="EH714" s="147"/>
    </row>
    <row r="715" spans="1:138" x14ac:dyDescent="0.25">
      <c r="A715" s="147"/>
      <c r="B715" s="147"/>
      <c r="C715" s="160"/>
      <c r="D715" s="160"/>
      <c r="E715" s="169"/>
      <c r="F715" s="229"/>
      <c r="G715" s="165"/>
      <c r="H715" s="165"/>
      <c r="I715" s="163"/>
      <c r="J715" s="163"/>
      <c r="K715" s="162"/>
      <c r="L715" s="162"/>
      <c r="M715" s="162"/>
      <c r="N715" s="230"/>
      <c r="O715" s="230"/>
      <c r="P715" s="162"/>
      <c r="Q715" s="162"/>
      <c r="R715" s="162"/>
      <c r="S715" s="162"/>
      <c r="T715" s="162"/>
      <c r="U715" s="230"/>
      <c r="V715" s="230"/>
      <c r="W715" s="162"/>
      <c r="X715" s="162"/>
      <c r="Y715" s="162"/>
      <c r="Z715" s="162"/>
      <c r="AA715" s="162"/>
      <c r="AB715" s="230"/>
      <c r="AC715" s="230"/>
      <c r="AD715" s="162"/>
      <c r="AE715" s="162"/>
      <c r="AF715" s="162"/>
      <c r="AG715" s="162"/>
      <c r="AH715" s="162"/>
      <c r="AI715" s="230"/>
      <c r="AJ715" s="230"/>
      <c r="AK715" s="162"/>
      <c r="AL715" s="162"/>
      <c r="AM715" s="162"/>
      <c r="AN715" s="162"/>
      <c r="AO715" s="162"/>
      <c r="AP715" s="230"/>
      <c r="AQ715" s="230"/>
      <c r="AR715" s="162"/>
      <c r="AS715" s="162"/>
      <c r="AT715" s="162"/>
      <c r="AU715" s="162"/>
      <c r="AV715" s="162"/>
      <c r="AW715" s="230"/>
      <c r="AX715" s="230"/>
      <c r="AY715" s="162"/>
      <c r="AZ715" s="162"/>
      <c r="BA715" s="162"/>
      <c r="BB715" s="162"/>
      <c r="BC715" s="162"/>
      <c r="BD715" s="230"/>
      <c r="BE715" s="230"/>
      <c r="BF715" s="162"/>
      <c r="BG715" s="162"/>
      <c r="BH715" s="162"/>
      <c r="BI715" s="162"/>
      <c r="BJ715" s="162"/>
      <c r="BK715" s="230"/>
      <c r="BL715" s="230"/>
      <c r="BM715" s="162"/>
      <c r="BN715" s="162"/>
      <c r="BO715" s="162"/>
      <c r="BP715" s="162"/>
      <c r="BQ715" s="162"/>
      <c r="BR715" s="230"/>
      <c r="BS715" s="230"/>
      <c r="BT715" s="162"/>
      <c r="BU715" s="162"/>
      <c r="BV715" s="162"/>
      <c r="BW715" s="162"/>
      <c r="BX715" s="162"/>
      <c r="BY715" s="230"/>
      <c r="BZ715" s="230"/>
      <c r="CA715" s="162"/>
      <c r="CB715" s="162"/>
      <c r="CC715" s="162"/>
      <c r="CD715" s="162"/>
      <c r="CE715" s="162"/>
      <c r="CF715" s="230"/>
      <c r="CG715" s="230"/>
      <c r="CH715" s="162"/>
      <c r="CI715" s="162"/>
      <c r="CJ715" s="162"/>
      <c r="CK715" s="162"/>
      <c r="CL715" s="162"/>
      <c r="CM715" s="230"/>
      <c r="CN715" s="230"/>
      <c r="CO715" s="162"/>
      <c r="CP715" s="162"/>
      <c r="CQ715" s="162"/>
      <c r="CR715" s="162"/>
      <c r="CS715" s="162"/>
      <c r="CT715" s="230"/>
      <c r="CU715" s="230"/>
      <c r="CV715" s="162"/>
      <c r="CW715" s="162"/>
      <c r="CX715" s="162"/>
      <c r="CY715" s="162"/>
      <c r="CZ715" s="162"/>
      <c r="DA715" s="230"/>
      <c r="DB715" s="230"/>
      <c r="DC715" s="162"/>
      <c r="DD715" s="162"/>
      <c r="DE715" s="162"/>
      <c r="DF715" s="162"/>
      <c r="DG715" s="162"/>
      <c r="DH715" s="230"/>
      <c r="DI715" s="230"/>
      <c r="DJ715" s="162"/>
      <c r="DK715" s="162"/>
      <c r="DL715" s="147"/>
      <c r="DM715" s="147"/>
      <c r="DN715" s="147"/>
      <c r="DO715" s="147"/>
      <c r="DP715" s="147"/>
      <c r="DQ715" s="147"/>
      <c r="DR715" s="147"/>
      <c r="DS715" s="147"/>
      <c r="DT715" s="147"/>
      <c r="DU715" s="147"/>
      <c r="DV715" s="147"/>
      <c r="DW715" s="147"/>
      <c r="DX715" s="147"/>
      <c r="DY715" s="147"/>
      <c r="DZ715" s="147"/>
      <c r="EA715" s="147"/>
      <c r="EB715" s="147"/>
      <c r="EC715" s="147"/>
      <c r="ED715" s="147"/>
      <c r="EE715" s="147"/>
      <c r="EF715" s="147"/>
      <c r="EG715" s="147"/>
      <c r="EH715" s="147"/>
    </row>
    <row r="716" spans="1:138" x14ac:dyDescent="0.25">
      <c r="A716" s="147"/>
      <c r="B716" s="147"/>
      <c r="C716" s="160"/>
      <c r="D716" s="160"/>
      <c r="E716" s="169"/>
      <c r="F716" s="229"/>
      <c r="G716" s="165"/>
      <c r="H716" s="165"/>
      <c r="I716" s="163"/>
      <c r="J716" s="163"/>
      <c r="K716" s="162"/>
      <c r="L716" s="162"/>
      <c r="M716" s="162"/>
      <c r="N716" s="230"/>
      <c r="O716" s="230"/>
      <c r="P716" s="162"/>
      <c r="Q716" s="162"/>
      <c r="R716" s="162"/>
      <c r="S716" s="162"/>
      <c r="T716" s="162"/>
      <c r="U716" s="230"/>
      <c r="V716" s="230"/>
      <c r="W716" s="162"/>
      <c r="X716" s="162"/>
      <c r="Y716" s="162"/>
      <c r="Z716" s="162"/>
      <c r="AA716" s="162"/>
      <c r="AB716" s="230"/>
      <c r="AC716" s="230"/>
      <c r="AD716" s="162"/>
      <c r="AE716" s="162"/>
      <c r="AF716" s="162"/>
      <c r="AG716" s="162"/>
      <c r="AH716" s="162"/>
      <c r="AI716" s="230"/>
      <c r="AJ716" s="230"/>
      <c r="AK716" s="162"/>
      <c r="AL716" s="162"/>
      <c r="AM716" s="162"/>
      <c r="AN716" s="162"/>
      <c r="AO716" s="162"/>
      <c r="AP716" s="230"/>
      <c r="AQ716" s="230"/>
      <c r="AR716" s="162"/>
      <c r="AS716" s="162"/>
      <c r="AT716" s="162"/>
      <c r="AU716" s="162"/>
      <c r="AV716" s="162"/>
      <c r="AW716" s="230"/>
      <c r="AX716" s="230"/>
      <c r="AY716" s="162"/>
      <c r="AZ716" s="162"/>
      <c r="BA716" s="162"/>
      <c r="BB716" s="162"/>
      <c r="BC716" s="162"/>
      <c r="BD716" s="230"/>
      <c r="BE716" s="230"/>
      <c r="BF716" s="162"/>
      <c r="BG716" s="162"/>
      <c r="BH716" s="162"/>
      <c r="BI716" s="162"/>
      <c r="BJ716" s="162"/>
      <c r="BK716" s="230"/>
      <c r="BL716" s="230"/>
      <c r="BM716" s="162"/>
      <c r="BN716" s="162"/>
      <c r="BO716" s="162"/>
      <c r="BP716" s="162"/>
      <c r="BQ716" s="162"/>
      <c r="BR716" s="230"/>
      <c r="BS716" s="230"/>
      <c r="BT716" s="162"/>
      <c r="BU716" s="162"/>
      <c r="BV716" s="162"/>
      <c r="BW716" s="162"/>
      <c r="BX716" s="162"/>
      <c r="BY716" s="230"/>
      <c r="BZ716" s="230"/>
      <c r="CA716" s="162"/>
      <c r="CB716" s="162"/>
      <c r="CC716" s="162"/>
      <c r="CD716" s="162"/>
      <c r="CE716" s="162"/>
      <c r="CF716" s="230"/>
      <c r="CG716" s="230"/>
      <c r="CH716" s="162"/>
      <c r="CI716" s="162"/>
      <c r="CJ716" s="162"/>
      <c r="CK716" s="162"/>
      <c r="CL716" s="162"/>
      <c r="CM716" s="230"/>
      <c r="CN716" s="230"/>
      <c r="CO716" s="162"/>
      <c r="CP716" s="162"/>
      <c r="CQ716" s="162"/>
      <c r="CR716" s="162"/>
      <c r="CS716" s="162"/>
      <c r="CT716" s="230"/>
      <c r="CU716" s="230"/>
      <c r="CV716" s="162"/>
      <c r="CW716" s="162"/>
      <c r="CX716" s="162"/>
      <c r="CY716" s="162"/>
      <c r="CZ716" s="162"/>
      <c r="DA716" s="230"/>
      <c r="DB716" s="230"/>
      <c r="DC716" s="162"/>
      <c r="DD716" s="162"/>
      <c r="DE716" s="162"/>
      <c r="DF716" s="162"/>
      <c r="DG716" s="162"/>
      <c r="DH716" s="230"/>
      <c r="DI716" s="230"/>
      <c r="DJ716" s="162"/>
      <c r="DK716" s="162"/>
      <c r="DL716" s="147"/>
      <c r="DM716" s="147"/>
      <c r="DN716" s="147"/>
      <c r="DO716" s="147"/>
      <c r="DP716" s="147"/>
      <c r="DQ716" s="147"/>
      <c r="DR716" s="147"/>
      <c r="DS716" s="147"/>
      <c r="DT716" s="147"/>
      <c r="DU716" s="147"/>
      <c r="DV716" s="147"/>
      <c r="DW716" s="147"/>
      <c r="DX716" s="147"/>
      <c r="DY716" s="147"/>
      <c r="DZ716" s="147"/>
      <c r="EA716" s="147"/>
      <c r="EB716" s="147"/>
      <c r="EC716" s="147"/>
      <c r="ED716" s="147"/>
      <c r="EE716" s="147"/>
      <c r="EF716" s="147"/>
      <c r="EG716" s="147"/>
      <c r="EH716" s="147"/>
    </row>
    <row r="717" spans="1:138" x14ac:dyDescent="0.25">
      <c r="A717" s="147"/>
      <c r="B717" s="147"/>
      <c r="C717" s="160"/>
      <c r="D717" s="160"/>
      <c r="E717" s="169"/>
      <c r="F717" s="229"/>
      <c r="G717" s="165"/>
      <c r="H717" s="165"/>
      <c r="I717" s="163"/>
      <c r="J717" s="163"/>
      <c r="K717" s="162"/>
      <c r="L717" s="162"/>
      <c r="M717" s="162"/>
      <c r="N717" s="230"/>
      <c r="O717" s="230"/>
      <c r="P717" s="162"/>
      <c r="Q717" s="162"/>
      <c r="R717" s="162"/>
      <c r="S717" s="162"/>
      <c r="T717" s="162"/>
      <c r="U717" s="230"/>
      <c r="V717" s="230"/>
      <c r="W717" s="162"/>
      <c r="X717" s="162"/>
      <c r="Y717" s="162"/>
      <c r="Z717" s="162"/>
      <c r="AA717" s="162"/>
      <c r="AB717" s="230"/>
      <c r="AC717" s="230"/>
      <c r="AD717" s="162"/>
      <c r="AE717" s="162"/>
      <c r="AF717" s="162"/>
      <c r="AG717" s="162"/>
      <c r="AH717" s="162"/>
      <c r="AI717" s="230"/>
      <c r="AJ717" s="230"/>
      <c r="AK717" s="162"/>
      <c r="AL717" s="162"/>
      <c r="AM717" s="162"/>
      <c r="AN717" s="162"/>
      <c r="AO717" s="162"/>
      <c r="AP717" s="230"/>
      <c r="AQ717" s="230"/>
      <c r="AR717" s="162"/>
      <c r="AS717" s="162"/>
      <c r="AT717" s="162"/>
      <c r="AU717" s="162"/>
      <c r="AV717" s="162"/>
      <c r="AW717" s="230"/>
      <c r="AX717" s="230"/>
      <c r="AY717" s="162"/>
      <c r="AZ717" s="162"/>
      <c r="BA717" s="162"/>
      <c r="BB717" s="162"/>
      <c r="BC717" s="162"/>
      <c r="BD717" s="230"/>
      <c r="BE717" s="230"/>
      <c r="BF717" s="162"/>
      <c r="BG717" s="162"/>
      <c r="BH717" s="162"/>
      <c r="BI717" s="162"/>
      <c r="BJ717" s="162"/>
      <c r="BK717" s="230"/>
      <c r="BL717" s="230"/>
      <c r="BM717" s="162"/>
      <c r="BN717" s="162"/>
      <c r="BO717" s="162"/>
      <c r="BP717" s="162"/>
      <c r="BQ717" s="162"/>
      <c r="BR717" s="230"/>
      <c r="BS717" s="230"/>
      <c r="BT717" s="162"/>
      <c r="BU717" s="162"/>
      <c r="BV717" s="162"/>
      <c r="BW717" s="162"/>
      <c r="BX717" s="162"/>
      <c r="BY717" s="230"/>
      <c r="BZ717" s="230"/>
      <c r="CA717" s="162"/>
      <c r="CB717" s="162"/>
      <c r="CC717" s="162"/>
      <c r="CD717" s="162"/>
      <c r="CE717" s="162"/>
      <c r="CF717" s="230"/>
      <c r="CG717" s="230"/>
      <c r="CH717" s="162"/>
      <c r="CI717" s="162"/>
      <c r="CJ717" s="162"/>
      <c r="CK717" s="162"/>
      <c r="CL717" s="162"/>
      <c r="CM717" s="230"/>
      <c r="CN717" s="230"/>
      <c r="CO717" s="162"/>
      <c r="CP717" s="162"/>
      <c r="CQ717" s="162"/>
      <c r="CR717" s="162"/>
      <c r="CS717" s="162"/>
      <c r="CT717" s="230"/>
      <c r="CU717" s="230"/>
      <c r="CV717" s="162"/>
      <c r="CW717" s="162"/>
      <c r="CX717" s="162"/>
      <c r="CY717" s="162"/>
      <c r="CZ717" s="162"/>
      <c r="DA717" s="230"/>
      <c r="DB717" s="230"/>
      <c r="DC717" s="162"/>
      <c r="DD717" s="162"/>
      <c r="DE717" s="162"/>
      <c r="DF717" s="162"/>
      <c r="DG717" s="162"/>
      <c r="DH717" s="230"/>
      <c r="DI717" s="230"/>
      <c r="DJ717" s="162"/>
      <c r="DK717" s="162"/>
      <c r="DL717" s="147"/>
      <c r="DM717" s="147"/>
      <c r="DN717" s="147"/>
      <c r="DO717" s="147"/>
      <c r="DP717" s="147"/>
      <c r="DQ717" s="147"/>
      <c r="DR717" s="147"/>
      <c r="DS717" s="147"/>
      <c r="DT717" s="147"/>
      <c r="DU717" s="147"/>
      <c r="DV717" s="147"/>
      <c r="DW717" s="147"/>
      <c r="DX717" s="147"/>
      <c r="DY717" s="147"/>
      <c r="DZ717" s="147"/>
      <c r="EA717" s="147"/>
      <c r="EB717" s="147"/>
      <c r="EC717" s="147"/>
      <c r="ED717" s="147"/>
      <c r="EE717" s="147"/>
      <c r="EF717" s="147"/>
      <c r="EG717" s="147"/>
      <c r="EH717" s="147"/>
    </row>
    <row r="718" spans="1:138" x14ac:dyDescent="0.25">
      <c r="A718" s="147"/>
      <c r="B718" s="147"/>
      <c r="C718" s="160"/>
      <c r="D718" s="160"/>
      <c r="E718" s="169"/>
      <c r="F718" s="229"/>
      <c r="G718" s="165"/>
      <c r="H718" s="165"/>
      <c r="I718" s="163"/>
      <c r="J718" s="163"/>
      <c r="K718" s="162"/>
      <c r="L718" s="162"/>
      <c r="M718" s="162"/>
      <c r="N718" s="230"/>
      <c r="O718" s="230"/>
      <c r="P718" s="162"/>
      <c r="Q718" s="162"/>
      <c r="R718" s="162"/>
      <c r="S718" s="162"/>
      <c r="T718" s="162"/>
      <c r="U718" s="230"/>
      <c r="V718" s="230"/>
      <c r="W718" s="162"/>
      <c r="X718" s="162"/>
      <c r="Y718" s="162"/>
      <c r="Z718" s="162"/>
      <c r="AA718" s="162"/>
      <c r="AB718" s="230"/>
      <c r="AC718" s="230"/>
      <c r="AD718" s="162"/>
      <c r="AE718" s="162"/>
      <c r="AF718" s="162"/>
      <c r="AG718" s="162"/>
      <c r="AH718" s="162"/>
      <c r="AI718" s="230"/>
      <c r="AJ718" s="230"/>
      <c r="AK718" s="162"/>
      <c r="AL718" s="162"/>
      <c r="AM718" s="162"/>
      <c r="AN718" s="162"/>
      <c r="AO718" s="162"/>
      <c r="AP718" s="230"/>
      <c r="AQ718" s="230"/>
      <c r="AR718" s="162"/>
      <c r="AS718" s="162"/>
      <c r="AT718" s="162"/>
      <c r="AU718" s="162"/>
      <c r="AV718" s="162"/>
      <c r="AW718" s="230"/>
      <c r="AX718" s="230"/>
      <c r="AY718" s="162"/>
      <c r="AZ718" s="162"/>
      <c r="BA718" s="162"/>
      <c r="BB718" s="162"/>
      <c r="BC718" s="162"/>
      <c r="BD718" s="230"/>
      <c r="BE718" s="230"/>
      <c r="BF718" s="162"/>
      <c r="BG718" s="162"/>
      <c r="BH718" s="162"/>
      <c r="BI718" s="162"/>
      <c r="BJ718" s="162"/>
      <c r="BK718" s="230"/>
      <c r="BL718" s="230"/>
      <c r="BM718" s="162"/>
      <c r="BN718" s="162"/>
      <c r="BO718" s="162"/>
      <c r="BP718" s="162"/>
      <c r="BQ718" s="162"/>
      <c r="BR718" s="230"/>
      <c r="BS718" s="230"/>
      <c r="BT718" s="162"/>
      <c r="BU718" s="162"/>
      <c r="BV718" s="162"/>
      <c r="BW718" s="162"/>
      <c r="BX718" s="162"/>
      <c r="BY718" s="230"/>
      <c r="BZ718" s="230"/>
      <c r="CA718" s="162"/>
      <c r="CB718" s="162"/>
      <c r="CC718" s="162"/>
      <c r="CD718" s="162"/>
      <c r="CE718" s="162"/>
      <c r="CF718" s="230"/>
      <c r="CG718" s="230"/>
      <c r="CH718" s="162"/>
      <c r="CI718" s="162"/>
      <c r="CJ718" s="162"/>
      <c r="CK718" s="162"/>
      <c r="CL718" s="162"/>
      <c r="CM718" s="230"/>
      <c r="CN718" s="230"/>
      <c r="CO718" s="162"/>
      <c r="CP718" s="162"/>
      <c r="CQ718" s="162"/>
      <c r="CR718" s="162"/>
      <c r="CS718" s="162"/>
      <c r="CT718" s="230"/>
      <c r="CU718" s="230"/>
      <c r="CV718" s="162"/>
      <c r="CW718" s="162"/>
      <c r="CX718" s="162"/>
      <c r="CY718" s="162"/>
      <c r="CZ718" s="162"/>
      <c r="DA718" s="230"/>
      <c r="DB718" s="230"/>
      <c r="DC718" s="162"/>
      <c r="DD718" s="162"/>
      <c r="DE718" s="162"/>
      <c r="DF718" s="162"/>
      <c r="DG718" s="162"/>
      <c r="DH718" s="230"/>
      <c r="DI718" s="230"/>
      <c r="DJ718" s="162"/>
      <c r="DK718" s="162"/>
      <c r="DL718" s="147"/>
      <c r="DM718" s="147"/>
      <c r="DN718" s="147"/>
      <c r="DO718" s="147"/>
      <c r="DP718" s="147"/>
      <c r="DQ718" s="147"/>
      <c r="DR718" s="147"/>
      <c r="DS718" s="147"/>
      <c r="DT718" s="147"/>
      <c r="DU718" s="147"/>
      <c r="DV718" s="147"/>
      <c r="DW718" s="147"/>
      <c r="DX718" s="147"/>
      <c r="DY718" s="147"/>
      <c r="DZ718" s="147"/>
      <c r="EA718" s="147"/>
      <c r="EB718" s="147"/>
      <c r="EC718" s="147"/>
      <c r="ED718" s="147"/>
      <c r="EE718" s="147"/>
      <c r="EF718" s="147"/>
      <c r="EG718" s="147"/>
      <c r="EH718" s="147"/>
    </row>
    <row r="719" spans="1:138" x14ac:dyDescent="0.25">
      <c r="A719" s="147"/>
      <c r="B719" s="147"/>
      <c r="C719" s="160"/>
      <c r="D719" s="160"/>
      <c r="E719" s="169"/>
      <c r="F719" s="229"/>
      <c r="G719" s="165"/>
      <c r="H719" s="165"/>
      <c r="I719" s="163"/>
      <c r="J719" s="163"/>
      <c r="K719" s="162"/>
      <c r="L719" s="162"/>
      <c r="M719" s="162"/>
      <c r="N719" s="230"/>
      <c r="O719" s="230"/>
      <c r="P719" s="162"/>
      <c r="Q719" s="162"/>
      <c r="R719" s="162"/>
      <c r="S719" s="162"/>
      <c r="T719" s="162"/>
      <c r="U719" s="230"/>
      <c r="V719" s="230"/>
      <c r="W719" s="162"/>
      <c r="X719" s="162"/>
      <c r="Y719" s="162"/>
      <c r="Z719" s="162"/>
      <c r="AA719" s="162"/>
      <c r="AB719" s="230"/>
      <c r="AC719" s="230"/>
      <c r="AD719" s="162"/>
      <c r="AE719" s="162"/>
      <c r="AF719" s="162"/>
      <c r="AG719" s="162"/>
      <c r="AH719" s="162"/>
      <c r="AI719" s="230"/>
      <c r="AJ719" s="230"/>
      <c r="AK719" s="162"/>
      <c r="AL719" s="162"/>
      <c r="AM719" s="162"/>
      <c r="AN719" s="162"/>
      <c r="AO719" s="162"/>
      <c r="AP719" s="230"/>
      <c r="AQ719" s="230"/>
      <c r="AR719" s="162"/>
      <c r="AS719" s="162"/>
      <c r="AT719" s="162"/>
      <c r="AU719" s="162"/>
      <c r="AV719" s="162"/>
      <c r="AW719" s="230"/>
      <c r="AX719" s="230"/>
      <c r="AY719" s="162"/>
      <c r="AZ719" s="162"/>
      <c r="BA719" s="162"/>
      <c r="BB719" s="162"/>
      <c r="BC719" s="162"/>
      <c r="BD719" s="230"/>
      <c r="BE719" s="230"/>
      <c r="BF719" s="162"/>
      <c r="BG719" s="162"/>
      <c r="BH719" s="162"/>
      <c r="BI719" s="162"/>
      <c r="BJ719" s="162"/>
      <c r="BK719" s="230"/>
      <c r="BL719" s="230"/>
      <c r="BM719" s="162"/>
      <c r="BN719" s="162"/>
      <c r="BO719" s="162"/>
      <c r="BP719" s="162"/>
      <c r="BQ719" s="162"/>
      <c r="BR719" s="230"/>
      <c r="BS719" s="230"/>
      <c r="BT719" s="162"/>
      <c r="BU719" s="162"/>
      <c r="BV719" s="162"/>
      <c r="BW719" s="162"/>
      <c r="BX719" s="162"/>
      <c r="BY719" s="230"/>
      <c r="BZ719" s="230"/>
      <c r="CA719" s="162"/>
      <c r="CB719" s="162"/>
      <c r="CC719" s="162"/>
      <c r="CD719" s="162"/>
      <c r="CE719" s="162"/>
      <c r="CF719" s="230"/>
      <c r="CG719" s="230"/>
      <c r="CH719" s="162"/>
      <c r="CI719" s="162"/>
      <c r="CJ719" s="162"/>
      <c r="CK719" s="162"/>
      <c r="CL719" s="162"/>
      <c r="CM719" s="230"/>
      <c r="CN719" s="230"/>
      <c r="CO719" s="162"/>
      <c r="CP719" s="162"/>
      <c r="CQ719" s="162"/>
      <c r="CR719" s="162"/>
      <c r="CS719" s="162"/>
      <c r="CT719" s="230"/>
      <c r="CU719" s="230"/>
      <c r="CV719" s="162"/>
      <c r="CW719" s="162"/>
      <c r="CX719" s="162"/>
      <c r="CY719" s="162"/>
      <c r="CZ719" s="162"/>
      <c r="DA719" s="230"/>
      <c r="DB719" s="230"/>
      <c r="DC719" s="162"/>
      <c r="DD719" s="162"/>
      <c r="DE719" s="162"/>
      <c r="DF719" s="162"/>
      <c r="DG719" s="162"/>
      <c r="DH719" s="230"/>
      <c r="DI719" s="230"/>
      <c r="DJ719" s="162"/>
      <c r="DK719" s="162"/>
      <c r="DL719" s="147"/>
      <c r="DM719" s="147"/>
      <c r="DN719" s="147"/>
      <c r="DO719" s="147"/>
      <c r="DP719" s="147"/>
      <c r="DQ719" s="147"/>
      <c r="DR719" s="147"/>
      <c r="DS719" s="147"/>
      <c r="DT719" s="147"/>
      <c r="DU719" s="147"/>
      <c r="DV719" s="147"/>
      <c r="DW719" s="147"/>
      <c r="DX719" s="147"/>
      <c r="DY719" s="147"/>
      <c r="DZ719" s="147"/>
      <c r="EA719" s="147"/>
      <c r="EB719" s="147"/>
      <c r="EC719" s="147"/>
      <c r="ED719" s="147"/>
      <c r="EE719" s="147"/>
      <c r="EF719" s="147"/>
      <c r="EG719" s="147"/>
      <c r="EH719" s="147"/>
    </row>
    <row r="720" spans="1:138" x14ac:dyDescent="0.25">
      <c r="A720" s="147"/>
      <c r="B720" s="147"/>
      <c r="C720" s="160"/>
      <c r="D720" s="160"/>
      <c r="E720" s="169"/>
      <c r="F720" s="229"/>
      <c r="G720" s="165"/>
      <c r="H720" s="165"/>
      <c r="I720" s="163"/>
      <c r="J720" s="163"/>
      <c r="K720" s="162"/>
      <c r="L720" s="162"/>
      <c r="M720" s="162"/>
      <c r="N720" s="230"/>
      <c r="O720" s="230"/>
      <c r="P720" s="162"/>
      <c r="Q720" s="162"/>
      <c r="R720" s="162"/>
      <c r="S720" s="162"/>
      <c r="T720" s="162"/>
      <c r="U720" s="230"/>
      <c r="V720" s="230"/>
      <c r="W720" s="162"/>
      <c r="X720" s="162"/>
      <c r="Y720" s="162"/>
      <c r="Z720" s="162"/>
      <c r="AA720" s="162"/>
      <c r="AB720" s="230"/>
      <c r="AC720" s="230"/>
      <c r="AD720" s="162"/>
      <c r="AE720" s="162"/>
      <c r="AF720" s="162"/>
      <c r="AG720" s="162"/>
      <c r="AH720" s="162"/>
      <c r="AI720" s="230"/>
      <c r="AJ720" s="230"/>
      <c r="AK720" s="162"/>
      <c r="AL720" s="162"/>
      <c r="AM720" s="162"/>
      <c r="AN720" s="162"/>
      <c r="AO720" s="162"/>
      <c r="AP720" s="230"/>
      <c r="AQ720" s="230"/>
      <c r="AR720" s="162"/>
      <c r="AS720" s="162"/>
      <c r="AT720" s="162"/>
      <c r="AU720" s="162"/>
      <c r="AV720" s="162"/>
      <c r="AW720" s="230"/>
      <c r="AX720" s="230"/>
      <c r="AY720" s="162"/>
      <c r="AZ720" s="162"/>
      <c r="BA720" s="162"/>
      <c r="BB720" s="162"/>
      <c r="BC720" s="162"/>
      <c r="BD720" s="230"/>
      <c r="BE720" s="230"/>
      <c r="BF720" s="162"/>
      <c r="BG720" s="162"/>
      <c r="BH720" s="162"/>
      <c r="BI720" s="162"/>
      <c r="BJ720" s="162"/>
      <c r="BK720" s="230"/>
      <c r="BL720" s="230"/>
      <c r="BM720" s="162"/>
      <c r="BN720" s="162"/>
      <c r="BO720" s="162"/>
      <c r="BP720" s="162"/>
      <c r="BQ720" s="162"/>
      <c r="BR720" s="230"/>
      <c r="BS720" s="230"/>
      <c r="BT720" s="162"/>
      <c r="BU720" s="162"/>
      <c r="BV720" s="162"/>
      <c r="BW720" s="162"/>
      <c r="BX720" s="162"/>
      <c r="BY720" s="230"/>
      <c r="BZ720" s="230"/>
      <c r="CA720" s="162"/>
      <c r="CB720" s="162"/>
      <c r="CC720" s="162"/>
      <c r="CD720" s="162"/>
      <c r="CE720" s="162"/>
      <c r="CF720" s="230"/>
      <c r="CG720" s="230"/>
      <c r="CH720" s="162"/>
      <c r="CI720" s="162"/>
      <c r="CJ720" s="162"/>
      <c r="CK720" s="162"/>
      <c r="CL720" s="162"/>
      <c r="CM720" s="230"/>
      <c r="CN720" s="230"/>
      <c r="CO720" s="162"/>
      <c r="CP720" s="162"/>
      <c r="CQ720" s="162"/>
      <c r="CR720" s="162"/>
      <c r="CS720" s="162"/>
      <c r="CT720" s="230"/>
      <c r="CU720" s="230"/>
      <c r="CV720" s="162"/>
      <c r="CW720" s="162"/>
      <c r="CX720" s="162"/>
      <c r="CY720" s="162"/>
      <c r="CZ720" s="162"/>
      <c r="DA720" s="230"/>
      <c r="DB720" s="230"/>
      <c r="DC720" s="162"/>
      <c r="DD720" s="162"/>
      <c r="DE720" s="162"/>
      <c r="DF720" s="162"/>
      <c r="DG720" s="162"/>
      <c r="DH720" s="230"/>
      <c r="DI720" s="230"/>
      <c r="DJ720" s="162"/>
      <c r="DK720" s="162"/>
      <c r="DL720" s="147"/>
      <c r="DM720" s="147"/>
      <c r="DN720" s="147"/>
      <c r="DO720" s="147"/>
      <c r="DP720" s="147"/>
      <c r="DQ720" s="147"/>
      <c r="DR720" s="147"/>
      <c r="DS720" s="147"/>
      <c r="DT720" s="147"/>
      <c r="DU720" s="147"/>
      <c r="DV720" s="147"/>
      <c r="DW720" s="147"/>
      <c r="DX720" s="147"/>
      <c r="DY720" s="147"/>
      <c r="DZ720" s="147"/>
      <c r="EA720" s="147"/>
      <c r="EB720" s="147"/>
      <c r="EC720" s="147"/>
      <c r="ED720" s="147"/>
      <c r="EE720" s="147"/>
      <c r="EF720" s="147"/>
      <c r="EG720" s="147"/>
      <c r="EH720" s="147"/>
    </row>
    <row r="721" spans="1:138" x14ac:dyDescent="0.25">
      <c r="A721" s="147"/>
      <c r="B721" s="147"/>
      <c r="C721" s="160"/>
      <c r="D721" s="160"/>
      <c r="E721" s="169"/>
      <c r="F721" s="229"/>
      <c r="G721" s="165"/>
      <c r="H721" s="165"/>
      <c r="I721" s="163"/>
      <c r="J721" s="163"/>
      <c r="K721" s="162"/>
      <c r="L721" s="162"/>
      <c r="M721" s="162"/>
      <c r="N721" s="230"/>
      <c r="O721" s="230"/>
      <c r="P721" s="162"/>
      <c r="Q721" s="162"/>
      <c r="R721" s="162"/>
      <c r="S721" s="162"/>
      <c r="T721" s="162"/>
      <c r="U721" s="230"/>
      <c r="V721" s="230"/>
      <c r="W721" s="162"/>
      <c r="X721" s="162"/>
      <c r="Y721" s="162"/>
      <c r="Z721" s="162"/>
      <c r="AA721" s="162"/>
      <c r="AB721" s="230"/>
      <c r="AC721" s="230"/>
      <c r="AD721" s="162"/>
      <c r="AE721" s="162"/>
      <c r="AF721" s="162"/>
      <c r="AG721" s="162"/>
      <c r="AH721" s="162"/>
      <c r="AI721" s="230"/>
      <c r="AJ721" s="230"/>
      <c r="AK721" s="162"/>
      <c r="AL721" s="162"/>
      <c r="AM721" s="162"/>
      <c r="AN721" s="162"/>
      <c r="AO721" s="162"/>
      <c r="AP721" s="230"/>
      <c r="AQ721" s="230"/>
      <c r="AR721" s="162"/>
      <c r="AS721" s="162"/>
      <c r="AT721" s="162"/>
      <c r="AU721" s="162"/>
      <c r="AV721" s="162"/>
      <c r="AW721" s="230"/>
      <c r="AX721" s="230"/>
      <c r="AY721" s="162"/>
      <c r="AZ721" s="162"/>
      <c r="BA721" s="162"/>
      <c r="BB721" s="162"/>
      <c r="BC721" s="162"/>
      <c r="BD721" s="230"/>
      <c r="BE721" s="230"/>
      <c r="BF721" s="162"/>
      <c r="BG721" s="162"/>
      <c r="BH721" s="162"/>
      <c r="BI721" s="162"/>
      <c r="BJ721" s="162"/>
      <c r="BK721" s="230"/>
      <c r="BL721" s="230"/>
      <c r="BM721" s="162"/>
      <c r="BN721" s="162"/>
      <c r="BO721" s="162"/>
      <c r="BP721" s="162"/>
      <c r="BQ721" s="162"/>
      <c r="BR721" s="230"/>
      <c r="BS721" s="230"/>
      <c r="BT721" s="162"/>
      <c r="BU721" s="162"/>
      <c r="BV721" s="162"/>
      <c r="BW721" s="162"/>
      <c r="BX721" s="162"/>
      <c r="BY721" s="230"/>
      <c r="BZ721" s="230"/>
      <c r="CA721" s="162"/>
      <c r="CB721" s="162"/>
      <c r="CC721" s="162"/>
      <c r="CD721" s="162"/>
      <c r="CE721" s="162"/>
      <c r="CF721" s="230"/>
      <c r="CG721" s="230"/>
      <c r="CH721" s="162"/>
      <c r="CI721" s="162"/>
      <c r="CJ721" s="162"/>
      <c r="CK721" s="162"/>
      <c r="CL721" s="162"/>
      <c r="CM721" s="230"/>
      <c r="CN721" s="230"/>
      <c r="CO721" s="162"/>
      <c r="CP721" s="162"/>
      <c r="CQ721" s="162"/>
      <c r="CR721" s="162"/>
      <c r="CS721" s="162"/>
      <c r="CT721" s="230"/>
      <c r="CU721" s="230"/>
      <c r="CV721" s="162"/>
      <c r="CW721" s="162"/>
      <c r="CX721" s="162"/>
      <c r="CY721" s="162"/>
      <c r="CZ721" s="162"/>
      <c r="DA721" s="230"/>
      <c r="DB721" s="230"/>
      <c r="DC721" s="162"/>
      <c r="DD721" s="162"/>
      <c r="DE721" s="162"/>
      <c r="DF721" s="162"/>
      <c r="DG721" s="162"/>
      <c r="DH721" s="230"/>
      <c r="DI721" s="230"/>
      <c r="DJ721" s="162"/>
      <c r="DK721" s="162"/>
      <c r="DL721" s="147"/>
      <c r="DM721" s="147"/>
      <c r="DN721" s="147"/>
      <c r="DO721" s="147"/>
      <c r="DP721" s="147"/>
      <c r="DQ721" s="147"/>
      <c r="DR721" s="147"/>
      <c r="DS721" s="147"/>
      <c r="DT721" s="147"/>
      <c r="DU721" s="147"/>
      <c r="DV721" s="147"/>
      <c r="DW721" s="147"/>
      <c r="DX721" s="147"/>
      <c r="DY721" s="147"/>
      <c r="DZ721" s="147"/>
      <c r="EA721" s="147"/>
      <c r="EB721" s="147"/>
      <c r="EC721" s="147"/>
      <c r="ED721" s="147"/>
      <c r="EE721" s="147"/>
      <c r="EF721" s="147"/>
      <c r="EG721" s="147"/>
      <c r="EH721" s="147"/>
    </row>
    <row r="722" spans="1:138" x14ac:dyDescent="0.25">
      <c r="A722" s="147"/>
      <c r="B722" s="147"/>
      <c r="C722" s="160"/>
      <c r="D722" s="160"/>
      <c r="E722" s="169"/>
      <c r="F722" s="229"/>
      <c r="G722" s="165"/>
      <c r="H722" s="165"/>
      <c r="I722" s="163"/>
      <c r="J722" s="163"/>
      <c r="K722" s="162"/>
      <c r="L722" s="162"/>
      <c r="M722" s="162"/>
      <c r="N722" s="230"/>
      <c r="O722" s="230"/>
      <c r="P722" s="162"/>
      <c r="Q722" s="162"/>
      <c r="R722" s="162"/>
      <c r="S722" s="162"/>
      <c r="T722" s="162"/>
      <c r="U722" s="230"/>
      <c r="V722" s="230"/>
      <c r="W722" s="162"/>
      <c r="X722" s="162"/>
      <c r="Y722" s="162"/>
      <c r="Z722" s="162"/>
      <c r="AA722" s="162"/>
      <c r="AB722" s="230"/>
      <c r="AC722" s="230"/>
      <c r="AD722" s="162"/>
      <c r="AE722" s="162"/>
      <c r="AF722" s="162"/>
      <c r="AG722" s="162"/>
      <c r="AH722" s="162"/>
      <c r="AI722" s="230"/>
      <c r="AJ722" s="230"/>
      <c r="AK722" s="162"/>
      <c r="AL722" s="162"/>
      <c r="AM722" s="162"/>
      <c r="AN722" s="162"/>
      <c r="AO722" s="162"/>
      <c r="AP722" s="230"/>
      <c r="AQ722" s="230"/>
      <c r="AR722" s="162"/>
      <c r="AS722" s="162"/>
      <c r="AT722" s="162"/>
      <c r="AU722" s="162"/>
      <c r="AV722" s="162"/>
      <c r="AW722" s="230"/>
      <c r="AX722" s="230"/>
      <c r="AY722" s="162"/>
      <c r="AZ722" s="162"/>
      <c r="BA722" s="162"/>
      <c r="BB722" s="162"/>
      <c r="BC722" s="162"/>
      <c r="BD722" s="230"/>
      <c r="BE722" s="230"/>
      <c r="BF722" s="162"/>
      <c r="BG722" s="162"/>
      <c r="BH722" s="162"/>
      <c r="BI722" s="162"/>
      <c r="BJ722" s="162"/>
      <c r="BK722" s="230"/>
      <c r="BL722" s="230"/>
      <c r="BM722" s="162"/>
      <c r="BN722" s="162"/>
      <c r="BO722" s="162"/>
      <c r="BP722" s="162"/>
      <c r="BQ722" s="162"/>
      <c r="BR722" s="230"/>
      <c r="BS722" s="230"/>
      <c r="BT722" s="162"/>
      <c r="BU722" s="162"/>
      <c r="BV722" s="162"/>
      <c r="BW722" s="162"/>
      <c r="BX722" s="162"/>
      <c r="BY722" s="230"/>
      <c r="BZ722" s="230"/>
      <c r="CA722" s="162"/>
      <c r="CB722" s="162"/>
      <c r="CC722" s="162"/>
      <c r="CD722" s="162"/>
      <c r="CE722" s="162"/>
      <c r="CF722" s="230"/>
      <c r="CG722" s="230"/>
      <c r="CH722" s="162"/>
      <c r="CI722" s="162"/>
      <c r="CJ722" s="162"/>
      <c r="CK722" s="162"/>
      <c r="CL722" s="162"/>
      <c r="CM722" s="230"/>
      <c r="CN722" s="230"/>
      <c r="CO722" s="162"/>
      <c r="CP722" s="162"/>
      <c r="CQ722" s="162"/>
      <c r="CR722" s="162"/>
      <c r="CS722" s="162"/>
      <c r="CT722" s="230"/>
      <c r="CU722" s="230"/>
      <c r="CV722" s="162"/>
      <c r="CW722" s="162"/>
      <c r="CX722" s="162"/>
      <c r="CY722" s="162"/>
      <c r="CZ722" s="162"/>
      <c r="DA722" s="230"/>
      <c r="DB722" s="230"/>
      <c r="DC722" s="162"/>
      <c r="DD722" s="162"/>
      <c r="DE722" s="162"/>
      <c r="DF722" s="162"/>
      <c r="DG722" s="162"/>
      <c r="DH722" s="230"/>
      <c r="DI722" s="230"/>
      <c r="DJ722" s="162"/>
      <c r="DK722" s="162"/>
      <c r="DL722" s="147"/>
      <c r="DM722" s="147"/>
      <c r="DN722" s="147"/>
      <c r="DO722" s="147"/>
      <c r="DP722" s="147"/>
      <c r="DQ722" s="147"/>
      <c r="DR722" s="147"/>
      <c r="DS722" s="147"/>
      <c r="DT722" s="147"/>
      <c r="DU722" s="147"/>
      <c r="DV722" s="147"/>
      <c r="DW722" s="147"/>
      <c r="DX722" s="147"/>
      <c r="DY722" s="147"/>
      <c r="DZ722" s="147"/>
      <c r="EA722" s="147"/>
      <c r="EB722" s="147"/>
      <c r="EC722" s="147"/>
      <c r="ED722" s="147"/>
      <c r="EE722" s="147"/>
      <c r="EF722" s="147"/>
      <c r="EG722" s="147"/>
      <c r="EH722" s="147"/>
    </row>
    <row r="723" spans="1:138" x14ac:dyDescent="0.25">
      <c r="A723" s="147"/>
      <c r="B723" s="147"/>
      <c r="C723" s="160"/>
      <c r="D723" s="160"/>
      <c r="E723" s="169"/>
      <c r="F723" s="229"/>
      <c r="G723" s="165"/>
      <c r="H723" s="165"/>
      <c r="I723" s="163"/>
      <c r="J723" s="163"/>
      <c r="K723" s="162"/>
      <c r="L723" s="162"/>
      <c r="M723" s="162"/>
      <c r="N723" s="230"/>
      <c r="O723" s="230"/>
      <c r="P723" s="162"/>
      <c r="Q723" s="162"/>
      <c r="R723" s="162"/>
      <c r="S723" s="162"/>
      <c r="T723" s="162"/>
      <c r="U723" s="230"/>
      <c r="V723" s="230"/>
      <c r="W723" s="162"/>
      <c r="X723" s="162"/>
      <c r="Y723" s="162"/>
      <c r="Z723" s="162"/>
      <c r="AA723" s="162"/>
      <c r="AB723" s="230"/>
      <c r="AC723" s="230"/>
      <c r="AD723" s="162"/>
      <c r="AE723" s="162"/>
      <c r="AF723" s="162"/>
      <c r="AG723" s="162"/>
      <c r="AH723" s="162"/>
      <c r="AI723" s="230"/>
      <c r="AJ723" s="230"/>
      <c r="AK723" s="162"/>
      <c r="AL723" s="162"/>
      <c r="AM723" s="162"/>
      <c r="AN723" s="162"/>
      <c r="AO723" s="162"/>
      <c r="AP723" s="230"/>
      <c r="AQ723" s="230"/>
      <c r="AR723" s="162"/>
      <c r="AS723" s="162"/>
      <c r="AT723" s="162"/>
      <c r="AU723" s="162"/>
      <c r="AV723" s="162"/>
      <c r="AW723" s="230"/>
      <c r="AX723" s="230"/>
      <c r="AY723" s="162"/>
      <c r="AZ723" s="162"/>
      <c r="BA723" s="162"/>
      <c r="BB723" s="162"/>
      <c r="BC723" s="162"/>
      <c r="BD723" s="230"/>
      <c r="BE723" s="230"/>
      <c r="BF723" s="162"/>
      <c r="BG723" s="162"/>
      <c r="BH723" s="162"/>
      <c r="BI723" s="162"/>
      <c r="BJ723" s="162"/>
      <c r="BK723" s="230"/>
      <c r="BL723" s="230"/>
      <c r="BM723" s="162"/>
      <c r="BN723" s="162"/>
      <c r="BO723" s="162"/>
      <c r="BP723" s="162"/>
      <c r="BQ723" s="162"/>
      <c r="BR723" s="230"/>
      <c r="BS723" s="230"/>
      <c r="BT723" s="162"/>
      <c r="BU723" s="162"/>
      <c r="BV723" s="162"/>
      <c r="BW723" s="162"/>
      <c r="BX723" s="162"/>
      <c r="BY723" s="230"/>
      <c r="BZ723" s="230"/>
      <c r="CA723" s="162"/>
      <c r="CB723" s="162"/>
      <c r="CC723" s="162"/>
      <c r="CD723" s="162"/>
      <c r="CE723" s="162"/>
      <c r="CF723" s="230"/>
      <c r="CG723" s="230"/>
      <c r="CH723" s="162"/>
      <c r="CI723" s="162"/>
      <c r="CJ723" s="162"/>
      <c r="CK723" s="162"/>
      <c r="CL723" s="162"/>
      <c r="CM723" s="230"/>
      <c r="CN723" s="230"/>
      <c r="CO723" s="162"/>
      <c r="CP723" s="162"/>
      <c r="CQ723" s="162"/>
      <c r="CR723" s="162"/>
      <c r="CS723" s="162"/>
      <c r="CT723" s="230"/>
      <c r="CU723" s="230"/>
      <c r="CV723" s="162"/>
      <c r="CW723" s="162"/>
      <c r="CX723" s="162"/>
      <c r="CY723" s="162"/>
      <c r="CZ723" s="162"/>
      <c r="DA723" s="230"/>
      <c r="DB723" s="230"/>
      <c r="DC723" s="162"/>
      <c r="DD723" s="162"/>
      <c r="DE723" s="162"/>
      <c r="DF723" s="162"/>
      <c r="DG723" s="162"/>
      <c r="DH723" s="230"/>
      <c r="DI723" s="230"/>
      <c r="DJ723" s="162"/>
      <c r="DK723" s="162"/>
      <c r="DL723" s="147"/>
      <c r="DM723" s="147"/>
      <c r="DN723" s="147"/>
      <c r="DO723" s="147"/>
      <c r="DP723" s="147"/>
      <c r="DQ723" s="147"/>
      <c r="DR723" s="147"/>
      <c r="DS723" s="147"/>
      <c r="DT723" s="147"/>
      <c r="DU723" s="147"/>
      <c r="DV723" s="147"/>
      <c r="DW723" s="147"/>
      <c r="DX723" s="147"/>
      <c r="DY723" s="147"/>
      <c r="DZ723" s="147"/>
      <c r="EA723" s="147"/>
      <c r="EB723" s="147"/>
      <c r="EC723" s="147"/>
      <c r="ED723" s="147"/>
      <c r="EE723" s="147"/>
      <c r="EF723" s="147"/>
      <c r="EG723" s="147"/>
      <c r="EH723" s="147"/>
    </row>
    <row r="724" spans="1:138" x14ac:dyDescent="0.25">
      <c r="A724" s="147"/>
      <c r="B724" s="147"/>
      <c r="C724" s="160"/>
      <c r="D724" s="160"/>
      <c r="E724" s="169"/>
      <c r="F724" s="229"/>
      <c r="G724" s="165"/>
      <c r="H724" s="165"/>
      <c r="I724" s="163"/>
      <c r="J724" s="163"/>
      <c r="K724" s="162"/>
      <c r="L724" s="162"/>
      <c r="M724" s="162"/>
      <c r="N724" s="230"/>
      <c r="O724" s="230"/>
      <c r="P724" s="162"/>
      <c r="Q724" s="162"/>
      <c r="R724" s="162"/>
      <c r="S724" s="162"/>
      <c r="T724" s="162"/>
      <c r="U724" s="230"/>
      <c r="V724" s="230"/>
      <c r="W724" s="162"/>
      <c r="X724" s="162"/>
      <c r="Y724" s="162"/>
      <c r="Z724" s="162"/>
      <c r="AA724" s="162"/>
      <c r="AB724" s="230"/>
      <c r="AC724" s="230"/>
      <c r="AD724" s="162"/>
      <c r="AE724" s="162"/>
      <c r="AF724" s="162"/>
      <c r="AG724" s="162"/>
      <c r="AH724" s="162"/>
      <c r="AI724" s="230"/>
      <c r="AJ724" s="230"/>
      <c r="AK724" s="162"/>
      <c r="AL724" s="162"/>
      <c r="AM724" s="162"/>
      <c r="AN724" s="162"/>
      <c r="AO724" s="162"/>
      <c r="AP724" s="230"/>
      <c r="AQ724" s="230"/>
      <c r="AR724" s="162"/>
      <c r="AS724" s="162"/>
      <c r="AT724" s="162"/>
      <c r="AU724" s="162"/>
      <c r="AV724" s="162"/>
      <c r="AW724" s="230"/>
      <c r="AX724" s="230"/>
      <c r="AY724" s="162"/>
      <c r="AZ724" s="162"/>
      <c r="BA724" s="162"/>
      <c r="BB724" s="162"/>
      <c r="BC724" s="162"/>
      <c r="BD724" s="230"/>
      <c r="BE724" s="230"/>
      <c r="BF724" s="162"/>
      <c r="BG724" s="162"/>
      <c r="BH724" s="162"/>
      <c r="BI724" s="162"/>
      <c r="BJ724" s="162"/>
      <c r="BK724" s="230"/>
      <c r="BL724" s="230"/>
      <c r="BM724" s="162"/>
      <c r="BN724" s="162"/>
      <c r="BO724" s="162"/>
      <c r="BP724" s="162"/>
      <c r="BQ724" s="162"/>
      <c r="BR724" s="230"/>
      <c r="BS724" s="230"/>
      <c r="BT724" s="162"/>
      <c r="BU724" s="162"/>
      <c r="BV724" s="162"/>
      <c r="BW724" s="162"/>
      <c r="BX724" s="162"/>
      <c r="BY724" s="230"/>
      <c r="BZ724" s="230"/>
      <c r="CA724" s="162"/>
      <c r="CB724" s="162"/>
      <c r="CC724" s="162"/>
      <c r="CD724" s="162"/>
      <c r="CE724" s="162"/>
      <c r="CF724" s="230"/>
      <c r="CG724" s="230"/>
      <c r="CH724" s="162"/>
      <c r="CI724" s="162"/>
      <c r="CJ724" s="162"/>
      <c r="CK724" s="162"/>
      <c r="CL724" s="162"/>
      <c r="CM724" s="230"/>
      <c r="CN724" s="230"/>
      <c r="CO724" s="162"/>
      <c r="CP724" s="162"/>
      <c r="CQ724" s="162"/>
      <c r="CR724" s="162"/>
      <c r="CS724" s="162"/>
      <c r="CT724" s="230"/>
      <c r="CU724" s="230"/>
      <c r="CV724" s="162"/>
      <c r="CW724" s="162"/>
      <c r="CX724" s="162"/>
      <c r="CY724" s="162"/>
      <c r="CZ724" s="162"/>
      <c r="DA724" s="230"/>
      <c r="DB724" s="230"/>
      <c r="DC724" s="162"/>
      <c r="DD724" s="162"/>
      <c r="DE724" s="162"/>
      <c r="DF724" s="162"/>
      <c r="DG724" s="162"/>
      <c r="DH724" s="230"/>
      <c r="DI724" s="230"/>
      <c r="DJ724" s="162"/>
      <c r="DK724" s="162"/>
      <c r="DL724" s="147"/>
      <c r="DM724" s="147"/>
      <c r="DN724" s="147"/>
      <c r="DO724" s="147"/>
      <c r="DP724" s="147"/>
      <c r="DQ724" s="147"/>
      <c r="DR724" s="147"/>
      <c r="DS724" s="147"/>
      <c r="DT724" s="147"/>
      <c r="DU724" s="147"/>
      <c r="DV724" s="147"/>
      <c r="DW724" s="147"/>
      <c r="DX724" s="147"/>
      <c r="DY724" s="147"/>
      <c r="DZ724" s="147"/>
      <c r="EA724" s="147"/>
      <c r="EB724" s="147"/>
      <c r="EC724" s="147"/>
      <c r="ED724" s="147"/>
      <c r="EE724" s="147"/>
      <c r="EF724" s="147"/>
      <c r="EG724" s="147"/>
      <c r="EH724" s="147"/>
    </row>
    <row r="725" spans="1:138" x14ac:dyDescent="0.25">
      <c r="A725" s="147"/>
      <c r="B725" s="147"/>
      <c r="C725" s="160"/>
      <c r="D725" s="160"/>
      <c r="E725" s="169"/>
      <c r="F725" s="229"/>
      <c r="G725" s="165"/>
      <c r="H725" s="165"/>
      <c r="I725" s="163"/>
      <c r="J725" s="163"/>
      <c r="K725" s="162"/>
      <c r="L725" s="162"/>
      <c r="M725" s="162"/>
      <c r="N725" s="230"/>
      <c r="O725" s="230"/>
      <c r="P725" s="162"/>
      <c r="Q725" s="162"/>
      <c r="R725" s="162"/>
      <c r="S725" s="162"/>
      <c r="T725" s="162"/>
      <c r="U725" s="230"/>
      <c r="V725" s="230"/>
      <c r="W725" s="162"/>
      <c r="X725" s="162"/>
      <c r="Y725" s="162"/>
      <c r="Z725" s="162"/>
      <c r="AA725" s="162"/>
      <c r="AB725" s="230"/>
      <c r="AC725" s="230"/>
      <c r="AD725" s="162"/>
      <c r="AE725" s="162"/>
      <c r="AF725" s="162"/>
      <c r="AG725" s="162"/>
      <c r="AH725" s="162"/>
      <c r="AI725" s="230"/>
      <c r="AJ725" s="230"/>
      <c r="AK725" s="162"/>
      <c r="AL725" s="162"/>
      <c r="AM725" s="162"/>
      <c r="AN725" s="162"/>
      <c r="AO725" s="162"/>
      <c r="AP725" s="230"/>
      <c r="AQ725" s="230"/>
      <c r="AR725" s="162"/>
      <c r="AS725" s="162"/>
      <c r="AT725" s="162"/>
      <c r="AU725" s="162"/>
      <c r="AV725" s="162"/>
      <c r="AW725" s="230"/>
      <c r="AX725" s="230"/>
      <c r="AY725" s="162"/>
      <c r="AZ725" s="162"/>
      <c r="BA725" s="162"/>
      <c r="BB725" s="162"/>
      <c r="BC725" s="162"/>
      <c r="BD725" s="230"/>
      <c r="BE725" s="230"/>
      <c r="BF725" s="162"/>
      <c r="BG725" s="162"/>
      <c r="BH725" s="162"/>
      <c r="BI725" s="162"/>
      <c r="BJ725" s="162"/>
      <c r="BK725" s="230"/>
      <c r="BL725" s="230"/>
      <c r="BM725" s="162"/>
      <c r="BN725" s="162"/>
      <c r="BO725" s="162"/>
      <c r="BP725" s="162"/>
      <c r="BQ725" s="162"/>
      <c r="BR725" s="230"/>
      <c r="BS725" s="230"/>
      <c r="BT725" s="162"/>
      <c r="BU725" s="162"/>
      <c r="BV725" s="162"/>
      <c r="BW725" s="162"/>
      <c r="BX725" s="162"/>
      <c r="BY725" s="230"/>
      <c r="BZ725" s="230"/>
      <c r="CA725" s="162"/>
      <c r="CB725" s="162"/>
      <c r="CC725" s="162"/>
      <c r="CD725" s="162"/>
      <c r="CE725" s="162"/>
      <c r="CF725" s="230"/>
      <c r="CG725" s="230"/>
      <c r="CH725" s="162"/>
      <c r="CI725" s="162"/>
      <c r="CJ725" s="162"/>
      <c r="CK725" s="162"/>
      <c r="CL725" s="162"/>
      <c r="CM725" s="230"/>
      <c r="CN725" s="230"/>
      <c r="CO725" s="162"/>
      <c r="CP725" s="162"/>
      <c r="CQ725" s="162"/>
      <c r="CR725" s="162"/>
      <c r="CS725" s="162"/>
      <c r="CT725" s="230"/>
      <c r="CU725" s="230"/>
      <c r="CV725" s="162"/>
      <c r="CW725" s="162"/>
      <c r="CX725" s="162"/>
      <c r="CY725" s="162"/>
      <c r="CZ725" s="162"/>
      <c r="DA725" s="230"/>
      <c r="DB725" s="230"/>
      <c r="DC725" s="162"/>
      <c r="DD725" s="162"/>
      <c r="DE725" s="162"/>
      <c r="DF725" s="162"/>
      <c r="DG725" s="162"/>
      <c r="DH725" s="230"/>
      <c r="DI725" s="230"/>
      <c r="DJ725" s="162"/>
      <c r="DK725" s="162"/>
      <c r="DL725" s="147"/>
      <c r="DM725" s="147"/>
      <c r="DN725" s="147"/>
      <c r="DO725" s="147"/>
      <c r="DP725" s="147"/>
      <c r="DQ725" s="147"/>
      <c r="DR725" s="147"/>
      <c r="DS725" s="147"/>
      <c r="DT725" s="147"/>
      <c r="DU725" s="147"/>
      <c r="DV725" s="147"/>
      <c r="DW725" s="147"/>
      <c r="DX725" s="147"/>
      <c r="DY725" s="147"/>
      <c r="DZ725" s="147"/>
      <c r="EA725" s="147"/>
      <c r="EB725" s="147"/>
      <c r="EC725" s="147"/>
      <c r="ED725" s="147"/>
      <c r="EE725" s="147"/>
      <c r="EF725" s="147"/>
      <c r="EG725" s="147"/>
      <c r="EH725" s="147"/>
    </row>
    <row r="726" spans="1:138" x14ac:dyDescent="0.25">
      <c r="A726" s="147"/>
      <c r="B726" s="147"/>
      <c r="C726" s="160"/>
      <c r="D726" s="160"/>
      <c r="E726" s="169"/>
      <c r="F726" s="229"/>
      <c r="G726" s="165"/>
      <c r="H726" s="165"/>
      <c r="I726" s="163"/>
      <c r="J726" s="163"/>
      <c r="K726" s="162"/>
      <c r="L726" s="162"/>
      <c r="M726" s="162"/>
      <c r="N726" s="230"/>
      <c r="O726" s="230"/>
      <c r="P726" s="162"/>
      <c r="Q726" s="162"/>
      <c r="R726" s="162"/>
      <c r="S726" s="162"/>
      <c r="T726" s="162"/>
      <c r="U726" s="230"/>
      <c r="V726" s="230"/>
      <c r="W726" s="162"/>
      <c r="X726" s="162"/>
      <c r="Y726" s="162"/>
      <c r="Z726" s="162"/>
      <c r="AA726" s="162"/>
      <c r="AB726" s="230"/>
      <c r="AC726" s="230"/>
      <c r="AD726" s="162"/>
      <c r="AE726" s="162"/>
      <c r="AF726" s="162"/>
      <c r="AG726" s="162"/>
      <c r="AH726" s="162"/>
      <c r="AI726" s="230"/>
      <c r="AJ726" s="230"/>
      <c r="AK726" s="162"/>
      <c r="AL726" s="162"/>
      <c r="AM726" s="162"/>
      <c r="AN726" s="162"/>
      <c r="AO726" s="162"/>
      <c r="AP726" s="230"/>
      <c r="AQ726" s="230"/>
      <c r="AR726" s="162"/>
      <c r="AS726" s="162"/>
      <c r="AT726" s="162"/>
      <c r="AU726" s="162"/>
      <c r="AV726" s="162"/>
      <c r="AW726" s="230"/>
      <c r="AX726" s="230"/>
      <c r="AY726" s="162"/>
      <c r="AZ726" s="162"/>
      <c r="BA726" s="162"/>
      <c r="BB726" s="162"/>
      <c r="BC726" s="162"/>
      <c r="BD726" s="230"/>
      <c r="BE726" s="230"/>
      <c r="BF726" s="162"/>
      <c r="BG726" s="162"/>
      <c r="BH726" s="162"/>
      <c r="BI726" s="162"/>
      <c r="BJ726" s="162"/>
      <c r="BK726" s="230"/>
      <c r="BL726" s="230"/>
      <c r="BM726" s="162"/>
      <c r="BN726" s="162"/>
      <c r="BO726" s="162"/>
      <c r="BP726" s="162"/>
      <c r="BQ726" s="162"/>
      <c r="BR726" s="230"/>
      <c r="BS726" s="230"/>
      <c r="BT726" s="162"/>
      <c r="BU726" s="162"/>
      <c r="BV726" s="162"/>
      <c r="BW726" s="162"/>
      <c r="BX726" s="162"/>
      <c r="BY726" s="230"/>
      <c r="BZ726" s="230"/>
      <c r="CA726" s="162"/>
      <c r="CB726" s="162"/>
      <c r="CC726" s="162"/>
      <c r="CD726" s="162"/>
      <c r="CE726" s="162"/>
      <c r="CF726" s="230"/>
      <c r="CG726" s="230"/>
      <c r="CH726" s="162"/>
      <c r="CI726" s="162"/>
      <c r="CJ726" s="162"/>
      <c r="CK726" s="162"/>
      <c r="CL726" s="162"/>
      <c r="CM726" s="230"/>
      <c r="CN726" s="230"/>
      <c r="CO726" s="162"/>
      <c r="CP726" s="162"/>
      <c r="CQ726" s="162"/>
      <c r="CR726" s="162"/>
      <c r="CS726" s="162"/>
      <c r="CT726" s="230"/>
      <c r="CU726" s="230"/>
      <c r="CV726" s="162"/>
      <c r="CW726" s="162"/>
      <c r="CX726" s="162"/>
      <c r="CY726" s="162"/>
      <c r="CZ726" s="162"/>
      <c r="DA726" s="230"/>
      <c r="DB726" s="230"/>
      <c r="DC726" s="162"/>
      <c r="DD726" s="162"/>
      <c r="DE726" s="162"/>
      <c r="DF726" s="162"/>
      <c r="DG726" s="162"/>
      <c r="DH726" s="230"/>
      <c r="DI726" s="230"/>
      <c r="DJ726" s="162"/>
      <c r="DK726" s="162"/>
      <c r="DL726" s="147"/>
      <c r="DM726" s="147"/>
      <c r="DN726" s="147"/>
      <c r="DO726" s="147"/>
      <c r="DP726" s="147"/>
      <c r="DQ726" s="147"/>
      <c r="DR726" s="147"/>
      <c r="DS726" s="147"/>
      <c r="DT726" s="147"/>
      <c r="DU726" s="147"/>
      <c r="DV726" s="147"/>
      <c r="DW726" s="147"/>
      <c r="DX726" s="147"/>
      <c r="DY726" s="147"/>
      <c r="DZ726" s="147"/>
      <c r="EA726" s="147"/>
      <c r="EB726" s="147"/>
      <c r="EC726" s="147"/>
      <c r="ED726" s="147"/>
      <c r="EE726" s="147"/>
      <c r="EF726" s="147"/>
      <c r="EG726" s="147"/>
      <c r="EH726" s="147"/>
    </row>
    <row r="727" spans="1:138" x14ac:dyDescent="0.25">
      <c r="A727" s="147"/>
      <c r="B727" s="147"/>
      <c r="C727" s="160"/>
      <c r="D727" s="160"/>
      <c r="E727" s="169"/>
      <c r="F727" s="229"/>
      <c r="G727" s="165"/>
      <c r="H727" s="165"/>
      <c r="I727" s="163"/>
      <c r="J727" s="163"/>
      <c r="K727" s="162"/>
      <c r="L727" s="162"/>
      <c r="M727" s="162"/>
      <c r="N727" s="230"/>
      <c r="O727" s="230"/>
      <c r="P727" s="162"/>
      <c r="Q727" s="162"/>
      <c r="R727" s="162"/>
      <c r="S727" s="162"/>
      <c r="T727" s="162"/>
      <c r="U727" s="230"/>
      <c r="V727" s="230"/>
      <c r="W727" s="162"/>
      <c r="X727" s="162"/>
      <c r="Y727" s="162"/>
      <c r="Z727" s="162"/>
      <c r="AA727" s="162"/>
      <c r="AB727" s="230"/>
      <c r="AC727" s="230"/>
      <c r="AD727" s="162"/>
      <c r="AE727" s="162"/>
      <c r="AF727" s="162"/>
      <c r="AG727" s="162"/>
      <c r="AH727" s="162"/>
      <c r="AI727" s="230"/>
      <c r="AJ727" s="230"/>
      <c r="AK727" s="162"/>
      <c r="AL727" s="162"/>
      <c r="AM727" s="162"/>
      <c r="AN727" s="162"/>
      <c r="AO727" s="162"/>
      <c r="AP727" s="230"/>
      <c r="AQ727" s="230"/>
      <c r="AR727" s="162"/>
      <c r="AS727" s="162"/>
      <c r="AT727" s="162"/>
      <c r="AU727" s="162"/>
      <c r="AV727" s="162"/>
      <c r="AW727" s="230"/>
      <c r="AX727" s="230"/>
      <c r="AY727" s="162"/>
      <c r="AZ727" s="162"/>
      <c r="BA727" s="162"/>
      <c r="BB727" s="162"/>
      <c r="BC727" s="162"/>
      <c r="BD727" s="230"/>
      <c r="BE727" s="230"/>
      <c r="BF727" s="162"/>
      <c r="BG727" s="162"/>
      <c r="BH727" s="162"/>
      <c r="BI727" s="162"/>
      <c r="BJ727" s="162"/>
      <c r="BK727" s="230"/>
      <c r="BL727" s="230"/>
      <c r="BM727" s="162"/>
      <c r="BN727" s="162"/>
      <c r="BO727" s="162"/>
      <c r="BP727" s="162"/>
      <c r="BQ727" s="162"/>
      <c r="BR727" s="230"/>
      <c r="BS727" s="230"/>
      <c r="BT727" s="162"/>
      <c r="BU727" s="162"/>
      <c r="BV727" s="162"/>
      <c r="BW727" s="162"/>
      <c r="BX727" s="162"/>
      <c r="BY727" s="230"/>
      <c r="BZ727" s="230"/>
      <c r="CA727" s="162"/>
      <c r="CB727" s="162"/>
      <c r="CC727" s="162"/>
      <c r="CD727" s="162"/>
      <c r="CE727" s="162"/>
      <c r="CF727" s="230"/>
      <c r="CG727" s="230"/>
      <c r="CH727" s="162"/>
      <c r="CI727" s="162"/>
      <c r="CJ727" s="162"/>
      <c r="CK727" s="162"/>
      <c r="CL727" s="162"/>
      <c r="CM727" s="230"/>
      <c r="CN727" s="230"/>
      <c r="CO727" s="162"/>
      <c r="CP727" s="162"/>
      <c r="CQ727" s="162"/>
      <c r="CR727" s="162"/>
      <c r="CS727" s="162"/>
      <c r="CT727" s="230"/>
      <c r="CU727" s="230"/>
      <c r="CV727" s="162"/>
      <c r="CW727" s="162"/>
      <c r="CX727" s="162"/>
      <c r="CY727" s="162"/>
      <c r="CZ727" s="162"/>
      <c r="DA727" s="230"/>
      <c r="DB727" s="230"/>
      <c r="DC727" s="162"/>
      <c r="DD727" s="162"/>
      <c r="DE727" s="162"/>
      <c r="DF727" s="162"/>
      <c r="DG727" s="162"/>
      <c r="DH727" s="230"/>
      <c r="DI727" s="230"/>
      <c r="DJ727" s="162"/>
      <c r="DK727" s="162"/>
      <c r="DL727" s="147"/>
      <c r="DM727" s="147"/>
      <c r="DN727" s="147"/>
      <c r="DO727" s="147"/>
      <c r="DP727" s="147"/>
      <c r="DQ727" s="147"/>
      <c r="DR727" s="147"/>
      <c r="DS727" s="147"/>
      <c r="DT727" s="147"/>
      <c r="DU727" s="147"/>
      <c r="DV727" s="147"/>
      <c r="DW727" s="147"/>
      <c r="DX727" s="147"/>
      <c r="DY727" s="147"/>
      <c r="DZ727" s="147"/>
      <c r="EA727" s="147"/>
      <c r="EB727" s="147"/>
      <c r="EC727" s="147"/>
      <c r="ED727" s="147"/>
      <c r="EE727" s="147"/>
      <c r="EF727" s="147"/>
      <c r="EG727" s="147"/>
      <c r="EH727" s="147"/>
    </row>
    <row r="728" spans="1:138" x14ac:dyDescent="0.25">
      <c r="A728" s="147"/>
      <c r="B728" s="147"/>
      <c r="C728" s="160"/>
      <c r="D728" s="160"/>
      <c r="E728" s="169"/>
      <c r="F728" s="229"/>
      <c r="G728" s="165"/>
      <c r="H728" s="165"/>
      <c r="I728" s="163"/>
      <c r="J728" s="163"/>
      <c r="K728" s="162"/>
      <c r="L728" s="162"/>
      <c r="M728" s="162"/>
      <c r="N728" s="230"/>
      <c r="O728" s="230"/>
      <c r="P728" s="162"/>
      <c r="Q728" s="162"/>
      <c r="R728" s="162"/>
      <c r="S728" s="162"/>
      <c r="T728" s="162"/>
      <c r="U728" s="230"/>
      <c r="V728" s="230"/>
      <c r="W728" s="162"/>
      <c r="X728" s="162"/>
      <c r="Y728" s="162"/>
      <c r="Z728" s="162"/>
      <c r="AA728" s="162"/>
      <c r="AB728" s="230"/>
      <c r="AC728" s="230"/>
      <c r="AD728" s="162"/>
      <c r="AE728" s="162"/>
      <c r="AF728" s="162"/>
      <c r="AG728" s="162"/>
      <c r="AH728" s="162"/>
      <c r="AI728" s="230"/>
      <c r="AJ728" s="230"/>
      <c r="AK728" s="162"/>
      <c r="AL728" s="162"/>
      <c r="AM728" s="162"/>
      <c r="AN728" s="162"/>
      <c r="AO728" s="162"/>
      <c r="AP728" s="230"/>
      <c r="AQ728" s="230"/>
      <c r="AR728" s="162"/>
      <c r="AS728" s="162"/>
      <c r="AT728" s="162"/>
      <c r="AU728" s="162"/>
      <c r="AV728" s="162"/>
      <c r="AW728" s="230"/>
      <c r="AX728" s="230"/>
      <c r="AY728" s="162"/>
      <c r="AZ728" s="162"/>
      <c r="BA728" s="162"/>
      <c r="BB728" s="162"/>
      <c r="BC728" s="162"/>
      <c r="BD728" s="230"/>
      <c r="BE728" s="230"/>
      <c r="BF728" s="162"/>
      <c r="BG728" s="162"/>
      <c r="BH728" s="162"/>
      <c r="BI728" s="162"/>
      <c r="BJ728" s="162"/>
      <c r="BK728" s="230"/>
      <c r="BL728" s="230"/>
      <c r="BM728" s="162"/>
      <c r="BN728" s="162"/>
      <c r="BO728" s="162"/>
      <c r="BP728" s="162"/>
      <c r="BQ728" s="162"/>
      <c r="BR728" s="230"/>
      <c r="BS728" s="230"/>
      <c r="BT728" s="162"/>
      <c r="BU728" s="162"/>
      <c r="BV728" s="162"/>
      <c r="BW728" s="162"/>
      <c r="BX728" s="162"/>
      <c r="BY728" s="230"/>
      <c r="BZ728" s="230"/>
      <c r="CA728" s="162"/>
      <c r="CB728" s="162"/>
      <c r="CC728" s="162"/>
      <c r="CD728" s="162"/>
      <c r="CE728" s="162"/>
      <c r="CF728" s="230"/>
      <c r="CG728" s="230"/>
      <c r="CH728" s="162"/>
      <c r="CI728" s="162"/>
      <c r="CJ728" s="162"/>
      <c r="CK728" s="162"/>
      <c r="CL728" s="162"/>
      <c r="CM728" s="230"/>
      <c r="CN728" s="230"/>
      <c r="CO728" s="162"/>
      <c r="CP728" s="162"/>
      <c r="CQ728" s="162"/>
      <c r="CR728" s="162"/>
      <c r="CS728" s="162"/>
      <c r="CT728" s="230"/>
      <c r="CU728" s="230"/>
      <c r="CV728" s="162"/>
      <c r="CW728" s="162"/>
      <c r="CX728" s="162"/>
      <c r="CY728" s="162"/>
      <c r="CZ728" s="162"/>
      <c r="DA728" s="230"/>
      <c r="DB728" s="230"/>
      <c r="DC728" s="162"/>
      <c r="DD728" s="162"/>
      <c r="DE728" s="162"/>
      <c r="DF728" s="162"/>
      <c r="DG728" s="162"/>
      <c r="DH728" s="230"/>
      <c r="DI728" s="230"/>
      <c r="DJ728" s="162"/>
      <c r="DK728" s="162"/>
      <c r="DL728" s="147"/>
      <c r="DM728" s="147"/>
      <c r="DN728" s="147"/>
      <c r="DO728" s="147"/>
      <c r="DP728" s="147"/>
      <c r="DQ728" s="147"/>
      <c r="DR728" s="147"/>
      <c r="DS728" s="147"/>
      <c r="DT728" s="147"/>
      <c r="DU728" s="147"/>
      <c r="DV728" s="147"/>
      <c r="DW728" s="147"/>
      <c r="DX728" s="147"/>
      <c r="DY728" s="147"/>
      <c r="DZ728" s="147"/>
      <c r="EA728" s="147"/>
      <c r="EB728" s="147"/>
      <c r="EC728" s="147"/>
      <c r="ED728" s="147"/>
      <c r="EE728" s="147"/>
      <c r="EF728" s="147"/>
      <c r="EG728" s="147"/>
      <c r="EH728" s="147"/>
    </row>
    <row r="729" spans="1:138" x14ac:dyDescent="0.25">
      <c r="A729" s="147"/>
      <c r="B729" s="147"/>
      <c r="C729" s="160"/>
      <c r="D729" s="160"/>
      <c r="E729" s="169"/>
      <c r="F729" s="229"/>
      <c r="G729" s="165"/>
      <c r="H729" s="165"/>
      <c r="I729" s="163"/>
      <c r="J729" s="163"/>
      <c r="K729" s="162"/>
      <c r="L729" s="162"/>
      <c r="M729" s="162"/>
      <c r="N729" s="230"/>
      <c r="O729" s="230"/>
      <c r="P729" s="162"/>
      <c r="Q729" s="162"/>
      <c r="R729" s="162"/>
      <c r="S729" s="162"/>
      <c r="T729" s="162"/>
      <c r="U729" s="230"/>
      <c r="V729" s="230"/>
      <c r="W729" s="162"/>
      <c r="X729" s="162"/>
      <c r="Y729" s="162"/>
      <c r="Z729" s="162"/>
      <c r="AA729" s="162"/>
      <c r="AB729" s="230"/>
      <c r="AC729" s="230"/>
      <c r="AD729" s="162"/>
      <c r="AE729" s="162"/>
      <c r="AF729" s="162"/>
      <c r="AG729" s="162"/>
      <c r="AH729" s="162"/>
      <c r="AI729" s="230"/>
      <c r="AJ729" s="230"/>
      <c r="AK729" s="162"/>
      <c r="AL729" s="162"/>
      <c r="AM729" s="162"/>
      <c r="AN729" s="162"/>
      <c r="AO729" s="162"/>
      <c r="AP729" s="230"/>
      <c r="AQ729" s="230"/>
      <c r="AR729" s="162"/>
      <c r="AS729" s="162"/>
      <c r="AT729" s="162"/>
      <c r="AU729" s="162"/>
      <c r="AV729" s="162"/>
      <c r="AW729" s="230"/>
      <c r="AX729" s="230"/>
      <c r="AY729" s="162"/>
      <c r="AZ729" s="162"/>
      <c r="BA729" s="162"/>
      <c r="BB729" s="162"/>
      <c r="BC729" s="162"/>
      <c r="BD729" s="230"/>
      <c r="BE729" s="230"/>
      <c r="BF729" s="162"/>
      <c r="BG729" s="162"/>
      <c r="BH729" s="162"/>
      <c r="BI729" s="162"/>
      <c r="BJ729" s="162"/>
      <c r="BK729" s="230"/>
      <c r="BL729" s="230"/>
      <c r="BM729" s="162"/>
      <c r="BN729" s="162"/>
      <c r="BO729" s="162"/>
      <c r="BP729" s="162"/>
      <c r="BQ729" s="162"/>
      <c r="BR729" s="230"/>
      <c r="BS729" s="230"/>
      <c r="BT729" s="162"/>
      <c r="BU729" s="162"/>
      <c r="BV729" s="162"/>
      <c r="BW729" s="162"/>
      <c r="BX729" s="162"/>
      <c r="BY729" s="230"/>
      <c r="BZ729" s="230"/>
      <c r="CA729" s="162"/>
      <c r="CB729" s="162"/>
      <c r="CC729" s="162"/>
      <c r="CD729" s="162"/>
      <c r="CE729" s="162"/>
      <c r="CF729" s="230"/>
      <c r="CG729" s="230"/>
      <c r="CH729" s="162"/>
      <c r="CI729" s="162"/>
      <c r="CJ729" s="162"/>
      <c r="CK729" s="162"/>
      <c r="CL729" s="162"/>
      <c r="CM729" s="230"/>
      <c r="CN729" s="230"/>
      <c r="CO729" s="162"/>
      <c r="CP729" s="162"/>
      <c r="CQ729" s="162"/>
      <c r="CR729" s="162"/>
      <c r="CS729" s="162"/>
      <c r="CT729" s="230"/>
      <c r="CU729" s="230"/>
      <c r="CV729" s="162"/>
      <c r="CW729" s="162"/>
      <c r="CX729" s="162"/>
      <c r="CY729" s="162"/>
      <c r="CZ729" s="162"/>
      <c r="DA729" s="230"/>
      <c r="DB729" s="230"/>
      <c r="DC729" s="162"/>
      <c r="DD729" s="162"/>
      <c r="DE729" s="162"/>
      <c r="DF729" s="162"/>
      <c r="DG729" s="162"/>
      <c r="DH729" s="230"/>
      <c r="DI729" s="230"/>
      <c r="DJ729" s="162"/>
      <c r="DK729" s="162"/>
      <c r="DL729" s="147"/>
      <c r="DM729" s="147"/>
      <c r="DN729" s="147"/>
      <c r="DO729" s="147"/>
      <c r="DP729" s="147"/>
      <c r="DQ729" s="147"/>
      <c r="DR729" s="147"/>
      <c r="DS729" s="147"/>
      <c r="DT729" s="147"/>
      <c r="DU729" s="147"/>
      <c r="DV729" s="147"/>
      <c r="DW729" s="147"/>
      <c r="DX729" s="147"/>
      <c r="DY729" s="147"/>
      <c r="DZ729" s="147"/>
      <c r="EA729" s="147"/>
      <c r="EB729" s="147"/>
      <c r="EC729" s="147"/>
      <c r="ED729" s="147"/>
      <c r="EE729" s="147"/>
      <c r="EF729" s="147"/>
      <c r="EG729" s="147"/>
      <c r="EH729" s="147"/>
    </row>
    <row r="730" spans="1:138" x14ac:dyDescent="0.25">
      <c r="A730" s="147"/>
      <c r="B730" s="147"/>
      <c r="C730" s="160"/>
      <c r="D730" s="160"/>
      <c r="E730" s="169"/>
      <c r="F730" s="229"/>
      <c r="G730" s="165"/>
      <c r="H730" s="165"/>
      <c r="I730" s="163"/>
      <c r="J730" s="163"/>
      <c r="K730" s="162"/>
      <c r="L730" s="162"/>
      <c r="M730" s="162"/>
      <c r="N730" s="230"/>
      <c r="O730" s="230"/>
      <c r="P730" s="162"/>
      <c r="Q730" s="162"/>
      <c r="R730" s="162"/>
      <c r="S730" s="162"/>
      <c r="T730" s="162"/>
      <c r="U730" s="230"/>
      <c r="V730" s="230"/>
      <c r="W730" s="162"/>
      <c r="X730" s="162"/>
      <c r="Y730" s="162"/>
      <c r="Z730" s="162"/>
      <c r="AA730" s="162"/>
      <c r="AB730" s="230"/>
      <c r="AC730" s="230"/>
      <c r="AD730" s="162"/>
      <c r="AE730" s="162"/>
      <c r="AF730" s="162"/>
      <c r="AG730" s="162"/>
      <c r="AH730" s="162"/>
      <c r="AI730" s="230"/>
      <c r="AJ730" s="230"/>
      <c r="AK730" s="162"/>
      <c r="AL730" s="162"/>
      <c r="AM730" s="162"/>
      <c r="AN730" s="162"/>
      <c r="AO730" s="162"/>
      <c r="AP730" s="230"/>
      <c r="AQ730" s="230"/>
      <c r="AR730" s="162"/>
      <c r="AS730" s="162"/>
      <c r="AT730" s="162"/>
      <c r="AU730" s="162"/>
      <c r="AV730" s="162"/>
      <c r="AW730" s="230"/>
      <c r="AX730" s="230"/>
      <c r="AY730" s="162"/>
      <c r="AZ730" s="162"/>
      <c r="BA730" s="162"/>
      <c r="BB730" s="162"/>
      <c r="BC730" s="162"/>
      <c r="BD730" s="230"/>
      <c r="BE730" s="230"/>
      <c r="BF730" s="162"/>
      <c r="BG730" s="162"/>
      <c r="BH730" s="162"/>
      <c r="BI730" s="162"/>
      <c r="BJ730" s="162"/>
      <c r="BK730" s="230"/>
      <c r="BL730" s="230"/>
      <c r="BM730" s="162"/>
      <c r="BN730" s="162"/>
      <c r="BO730" s="162"/>
      <c r="BP730" s="162"/>
      <c r="BQ730" s="162"/>
      <c r="BR730" s="230"/>
      <c r="BS730" s="230"/>
      <c r="BT730" s="162"/>
      <c r="BU730" s="162"/>
      <c r="BV730" s="162"/>
      <c r="BW730" s="162"/>
      <c r="BX730" s="162"/>
      <c r="BY730" s="230"/>
      <c r="BZ730" s="230"/>
      <c r="CA730" s="162"/>
      <c r="CB730" s="162"/>
      <c r="CC730" s="162"/>
      <c r="CD730" s="162"/>
      <c r="CE730" s="162"/>
      <c r="CF730" s="230"/>
      <c r="CG730" s="230"/>
      <c r="CH730" s="162"/>
      <c r="CI730" s="162"/>
      <c r="CJ730" s="162"/>
      <c r="CK730" s="162"/>
      <c r="CL730" s="162"/>
      <c r="CM730" s="230"/>
      <c r="CN730" s="230"/>
      <c r="CO730" s="162"/>
      <c r="CP730" s="162"/>
      <c r="CQ730" s="162"/>
      <c r="CR730" s="162"/>
      <c r="CS730" s="162"/>
      <c r="CT730" s="230"/>
      <c r="CU730" s="230"/>
      <c r="CV730" s="162"/>
      <c r="CW730" s="162"/>
      <c r="CX730" s="162"/>
      <c r="CY730" s="162"/>
      <c r="CZ730" s="162"/>
      <c r="DA730" s="230"/>
      <c r="DB730" s="230"/>
      <c r="DC730" s="162"/>
      <c r="DD730" s="162"/>
      <c r="DE730" s="162"/>
      <c r="DF730" s="162"/>
      <c r="DG730" s="162"/>
      <c r="DH730" s="230"/>
      <c r="DI730" s="230"/>
      <c r="DJ730" s="162"/>
      <c r="DK730" s="162"/>
      <c r="DL730" s="147"/>
      <c r="DM730" s="147"/>
      <c r="DN730" s="147"/>
      <c r="DO730" s="147"/>
      <c r="DP730" s="147"/>
      <c r="DQ730" s="147"/>
      <c r="DR730" s="147"/>
      <c r="DS730" s="147"/>
      <c r="DT730" s="147"/>
      <c r="DU730" s="147"/>
      <c r="DV730" s="147"/>
      <c r="DW730" s="147"/>
      <c r="DX730" s="147"/>
      <c r="DY730" s="147"/>
      <c r="DZ730" s="147"/>
      <c r="EA730" s="147"/>
      <c r="EB730" s="147"/>
      <c r="EC730" s="147"/>
      <c r="ED730" s="147"/>
      <c r="EE730" s="147"/>
      <c r="EF730" s="147"/>
      <c r="EG730" s="147"/>
      <c r="EH730" s="147"/>
    </row>
    <row r="731" spans="1:138" x14ac:dyDescent="0.25">
      <c r="A731" s="147"/>
      <c r="B731" s="147"/>
      <c r="C731" s="160"/>
      <c r="D731" s="160"/>
      <c r="E731" s="169"/>
      <c r="F731" s="229"/>
      <c r="G731" s="165"/>
      <c r="H731" s="165"/>
      <c r="I731" s="163"/>
      <c r="J731" s="163"/>
      <c r="K731" s="162"/>
      <c r="L731" s="162"/>
      <c r="M731" s="162"/>
      <c r="N731" s="230"/>
      <c r="O731" s="230"/>
      <c r="P731" s="162"/>
      <c r="Q731" s="162"/>
      <c r="R731" s="162"/>
      <c r="S731" s="162"/>
      <c r="T731" s="162"/>
      <c r="U731" s="230"/>
      <c r="V731" s="230"/>
      <c r="W731" s="162"/>
      <c r="X731" s="162"/>
      <c r="Y731" s="162"/>
      <c r="Z731" s="162"/>
      <c r="AA731" s="162"/>
      <c r="AB731" s="230"/>
      <c r="AC731" s="230"/>
      <c r="AD731" s="162"/>
      <c r="AE731" s="162"/>
      <c r="AF731" s="162"/>
      <c r="AG731" s="162"/>
      <c r="AH731" s="162"/>
      <c r="AI731" s="230"/>
      <c r="AJ731" s="230"/>
      <c r="AK731" s="162"/>
      <c r="AL731" s="162"/>
      <c r="AM731" s="162"/>
      <c r="AN731" s="162"/>
      <c r="AO731" s="162"/>
      <c r="AP731" s="230"/>
      <c r="AQ731" s="230"/>
      <c r="AR731" s="162"/>
      <c r="AS731" s="162"/>
      <c r="AT731" s="162"/>
      <c r="AU731" s="162"/>
      <c r="AV731" s="162"/>
      <c r="AW731" s="230"/>
      <c r="AX731" s="230"/>
      <c r="AY731" s="162"/>
      <c r="AZ731" s="162"/>
      <c r="BA731" s="162"/>
      <c r="BB731" s="162"/>
      <c r="BC731" s="162"/>
      <c r="BD731" s="230"/>
      <c r="BE731" s="230"/>
      <c r="BF731" s="162"/>
      <c r="BG731" s="162"/>
      <c r="BH731" s="162"/>
      <c r="BI731" s="162"/>
      <c r="BJ731" s="162"/>
      <c r="BK731" s="230"/>
      <c r="BL731" s="230"/>
      <c r="BM731" s="162"/>
      <c r="BN731" s="162"/>
      <c r="BO731" s="162"/>
      <c r="BP731" s="162"/>
      <c r="BQ731" s="162"/>
      <c r="BR731" s="230"/>
      <c r="BS731" s="230"/>
      <c r="BT731" s="162"/>
      <c r="BU731" s="162"/>
      <c r="BV731" s="162"/>
      <c r="BW731" s="162"/>
      <c r="BX731" s="162"/>
      <c r="BY731" s="230"/>
      <c r="BZ731" s="230"/>
      <c r="CA731" s="162"/>
      <c r="CB731" s="162"/>
      <c r="CC731" s="162"/>
      <c r="CD731" s="162"/>
      <c r="CE731" s="162"/>
      <c r="CF731" s="230"/>
      <c r="CG731" s="230"/>
      <c r="CH731" s="162"/>
      <c r="CI731" s="162"/>
      <c r="CJ731" s="162"/>
      <c r="CK731" s="162"/>
      <c r="CL731" s="162"/>
      <c r="CM731" s="230"/>
      <c r="CN731" s="230"/>
      <c r="CO731" s="162"/>
      <c r="CP731" s="162"/>
      <c r="CQ731" s="162"/>
      <c r="CR731" s="162"/>
      <c r="CS731" s="162"/>
      <c r="CT731" s="230"/>
      <c r="CU731" s="230"/>
      <c r="CV731" s="162"/>
      <c r="CW731" s="162"/>
      <c r="CX731" s="162"/>
      <c r="CY731" s="162"/>
      <c r="CZ731" s="162"/>
      <c r="DA731" s="230"/>
      <c r="DB731" s="230"/>
      <c r="DC731" s="162"/>
      <c r="DD731" s="162"/>
      <c r="DE731" s="162"/>
      <c r="DF731" s="162"/>
      <c r="DG731" s="162"/>
      <c r="DH731" s="230"/>
      <c r="DI731" s="230"/>
      <c r="DJ731" s="162"/>
      <c r="DK731" s="162"/>
      <c r="DL731" s="147"/>
      <c r="DM731" s="147"/>
      <c r="DN731" s="147"/>
      <c r="DO731" s="147"/>
      <c r="DP731" s="147"/>
      <c r="DQ731" s="147"/>
      <c r="DR731" s="147"/>
      <c r="DS731" s="147"/>
      <c r="DT731" s="147"/>
      <c r="DU731" s="147"/>
      <c r="DV731" s="147"/>
      <c r="DW731" s="147"/>
      <c r="DX731" s="147"/>
      <c r="DY731" s="147"/>
      <c r="DZ731" s="147"/>
      <c r="EA731" s="147"/>
      <c r="EB731" s="147"/>
      <c r="EC731" s="147"/>
      <c r="ED731" s="147"/>
      <c r="EE731" s="147"/>
      <c r="EF731" s="147"/>
      <c r="EG731" s="147"/>
      <c r="EH731" s="147"/>
    </row>
    <row r="732" spans="1:138" x14ac:dyDescent="0.25">
      <c r="A732" s="147"/>
      <c r="B732" s="147"/>
      <c r="C732" s="160"/>
      <c r="D732" s="160"/>
      <c r="E732" s="169"/>
      <c r="F732" s="229"/>
      <c r="G732" s="165"/>
      <c r="H732" s="165"/>
      <c r="I732" s="163"/>
      <c r="J732" s="163"/>
      <c r="K732" s="162"/>
      <c r="L732" s="162"/>
      <c r="M732" s="162"/>
      <c r="N732" s="230"/>
      <c r="O732" s="230"/>
      <c r="P732" s="162"/>
      <c r="Q732" s="162"/>
      <c r="R732" s="162"/>
      <c r="S732" s="162"/>
      <c r="T732" s="162"/>
      <c r="U732" s="230"/>
      <c r="V732" s="230"/>
      <c r="W732" s="162"/>
      <c r="X732" s="162"/>
      <c r="Y732" s="162"/>
      <c r="Z732" s="162"/>
      <c r="AA732" s="162"/>
      <c r="AB732" s="230"/>
      <c r="AC732" s="230"/>
      <c r="AD732" s="162"/>
      <c r="AE732" s="162"/>
      <c r="AF732" s="162"/>
      <c r="AG732" s="162"/>
      <c r="AH732" s="162"/>
      <c r="AI732" s="230"/>
      <c r="AJ732" s="230"/>
      <c r="AK732" s="162"/>
      <c r="AL732" s="162"/>
      <c r="AM732" s="162"/>
      <c r="AN732" s="162"/>
      <c r="AO732" s="162"/>
      <c r="AP732" s="230"/>
      <c r="AQ732" s="230"/>
      <c r="AR732" s="162"/>
      <c r="AS732" s="162"/>
      <c r="AT732" s="162"/>
      <c r="AU732" s="162"/>
      <c r="AV732" s="162"/>
      <c r="AW732" s="230"/>
      <c r="AX732" s="230"/>
      <c r="AY732" s="162"/>
      <c r="AZ732" s="162"/>
      <c r="BA732" s="162"/>
      <c r="BB732" s="162"/>
      <c r="BC732" s="162"/>
      <c r="BD732" s="230"/>
      <c r="BE732" s="230"/>
      <c r="BF732" s="162"/>
      <c r="BG732" s="162"/>
      <c r="BH732" s="162"/>
      <c r="BI732" s="162"/>
      <c r="BJ732" s="162"/>
      <c r="BK732" s="230"/>
      <c r="BL732" s="230"/>
      <c r="BM732" s="162"/>
      <c r="BN732" s="162"/>
      <c r="BO732" s="162"/>
      <c r="BP732" s="162"/>
      <c r="BQ732" s="162"/>
      <c r="BR732" s="230"/>
      <c r="BS732" s="230"/>
      <c r="BT732" s="162"/>
      <c r="BU732" s="162"/>
      <c r="BV732" s="162"/>
      <c r="BW732" s="162"/>
      <c r="BX732" s="162"/>
      <c r="BY732" s="230"/>
      <c r="BZ732" s="230"/>
      <c r="CA732" s="162"/>
      <c r="CB732" s="162"/>
      <c r="CC732" s="162"/>
      <c r="CD732" s="162"/>
      <c r="CE732" s="162"/>
      <c r="CF732" s="230"/>
      <c r="CG732" s="230"/>
      <c r="CH732" s="162"/>
      <c r="CI732" s="162"/>
      <c r="CJ732" s="162"/>
      <c r="CK732" s="162"/>
      <c r="CL732" s="162"/>
      <c r="CM732" s="230"/>
      <c r="CN732" s="230"/>
      <c r="CO732" s="162"/>
      <c r="CP732" s="162"/>
      <c r="CQ732" s="162"/>
      <c r="CR732" s="162"/>
      <c r="CS732" s="162"/>
      <c r="CT732" s="230"/>
      <c r="CU732" s="230"/>
      <c r="CV732" s="162"/>
      <c r="CW732" s="162"/>
      <c r="CX732" s="162"/>
      <c r="CY732" s="162"/>
      <c r="CZ732" s="162"/>
      <c r="DA732" s="230"/>
      <c r="DB732" s="230"/>
      <c r="DC732" s="162"/>
      <c r="DD732" s="162"/>
      <c r="DE732" s="162"/>
      <c r="DF732" s="162"/>
      <c r="DG732" s="162"/>
      <c r="DH732" s="230"/>
      <c r="DI732" s="230"/>
      <c r="DJ732" s="162"/>
      <c r="DK732" s="162"/>
      <c r="DL732" s="147"/>
      <c r="DM732" s="147"/>
      <c r="DN732" s="147"/>
      <c r="DO732" s="147"/>
      <c r="DP732" s="147"/>
      <c r="DQ732" s="147"/>
      <c r="DR732" s="147"/>
      <c r="DS732" s="147"/>
      <c r="DT732" s="147"/>
      <c r="DU732" s="147"/>
      <c r="DV732" s="147"/>
      <c r="DW732" s="147"/>
      <c r="DX732" s="147"/>
      <c r="DY732" s="147"/>
      <c r="DZ732" s="147"/>
      <c r="EA732" s="147"/>
      <c r="EB732" s="147"/>
      <c r="EC732" s="147"/>
      <c r="ED732" s="147"/>
      <c r="EE732" s="147"/>
      <c r="EF732" s="147"/>
      <c r="EG732" s="147"/>
      <c r="EH732" s="147"/>
    </row>
    <row r="733" spans="1:138" x14ac:dyDescent="0.25">
      <c r="A733" s="147"/>
      <c r="B733" s="147"/>
      <c r="C733" s="160"/>
      <c r="D733" s="160"/>
      <c r="E733" s="169"/>
      <c r="F733" s="229"/>
      <c r="G733" s="165"/>
      <c r="H733" s="165"/>
      <c r="I733" s="163"/>
      <c r="J733" s="163"/>
      <c r="K733" s="162"/>
      <c r="L733" s="162"/>
      <c r="M733" s="162"/>
      <c r="N733" s="230"/>
      <c r="O733" s="230"/>
      <c r="P733" s="162"/>
      <c r="Q733" s="162"/>
      <c r="R733" s="162"/>
      <c r="S733" s="162"/>
      <c r="T733" s="162"/>
      <c r="U733" s="230"/>
      <c r="V733" s="230"/>
      <c r="W733" s="162"/>
      <c r="X733" s="162"/>
      <c r="Y733" s="162"/>
      <c r="Z733" s="162"/>
      <c r="AA733" s="162"/>
      <c r="AB733" s="230"/>
      <c r="AC733" s="230"/>
      <c r="AD733" s="162"/>
      <c r="AE733" s="162"/>
      <c r="AF733" s="162"/>
      <c r="AG733" s="162"/>
      <c r="AH733" s="162"/>
      <c r="AI733" s="230"/>
      <c r="AJ733" s="230"/>
      <c r="AK733" s="162"/>
      <c r="AL733" s="162"/>
      <c r="AM733" s="162"/>
      <c r="AN733" s="162"/>
      <c r="AO733" s="162"/>
      <c r="AP733" s="230"/>
      <c r="AQ733" s="230"/>
      <c r="AR733" s="162"/>
      <c r="AS733" s="162"/>
      <c r="AT733" s="162"/>
      <c r="AU733" s="162"/>
      <c r="AV733" s="162"/>
      <c r="AW733" s="230"/>
      <c r="AX733" s="230"/>
      <c r="AY733" s="162"/>
      <c r="AZ733" s="162"/>
      <c r="BA733" s="162"/>
      <c r="BB733" s="162"/>
      <c r="BC733" s="162"/>
      <c r="BD733" s="230"/>
      <c r="BE733" s="230"/>
      <c r="BF733" s="162"/>
      <c r="BG733" s="162"/>
      <c r="BH733" s="162"/>
      <c r="BI733" s="162"/>
      <c r="BJ733" s="162"/>
      <c r="BK733" s="230"/>
      <c r="BL733" s="230"/>
      <c r="BM733" s="162"/>
      <c r="BN733" s="162"/>
      <c r="BO733" s="162"/>
      <c r="BP733" s="162"/>
      <c r="BQ733" s="162"/>
      <c r="BR733" s="230"/>
      <c r="BS733" s="230"/>
      <c r="BT733" s="162"/>
      <c r="BU733" s="162"/>
      <c r="BV733" s="162"/>
      <c r="BW733" s="162"/>
      <c r="BX733" s="162"/>
      <c r="BY733" s="230"/>
      <c r="BZ733" s="230"/>
      <c r="CA733" s="162"/>
      <c r="CB733" s="162"/>
      <c r="CC733" s="162"/>
      <c r="CD733" s="162"/>
      <c r="CE733" s="162"/>
      <c r="CF733" s="230"/>
      <c r="CG733" s="230"/>
      <c r="CH733" s="162"/>
      <c r="CI733" s="162"/>
      <c r="CJ733" s="162"/>
      <c r="CK733" s="162"/>
      <c r="CL733" s="162"/>
      <c r="CM733" s="230"/>
      <c r="CN733" s="230"/>
      <c r="CO733" s="162"/>
      <c r="CP733" s="162"/>
      <c r="CQ733" s="162"/>
      <c r="CR733" s="162"/>
      <c r="CS733" s="162"/>
      <c r="CT733" s="230"/>
      <c r="CU733" s="230"/>
      <c r="CV733" s="162"/>
      <c r="CW733" s="162"/>
      <c r="CX733" s="162"/>
      <c r="CY733" s="162"/>
      <c r="CZ733" s="162"/>
      <c r="DA733" s="230"/>
      <c r="DB733" s="230"/>
      <c r="DC733" s="162"/>
      <c r="DD733" s="162"/>
      <c r="DE733" s="162"/>
      <c r="DF733" s="162"/>
      <c r="DG733" s="162"/>
      <c r="DH733" s="230"/>
      <c r="DI733" s="230"/>
      <c r="DJ733" s="162"/>
      <c r="DK733" s="162"/>
      <c r="DL733" s="147"/>
      <c r="DM733" s="147"/>
      <c r="DN733" s="147"/>
      <c r="DO733" s="147"/>
      <c r="DP733" s="147"/>
      <c r="DQ733" s="147"/>
      <c r="DR733" s="147"/>
      <c r="DS733" s="147"/>
      <c r="DT733" s="147"/>
      <c r="DU733" s="147"/>
      <c r="DV733" s="147"/>
      <c r="DW733" s="147"/>
      <c r="DX733" s="147"/>
      <c r="DY733" s="147"/>
      <c r="DZ733" s="147"/>
      <c r="EA733" s="147"/>
      <c r="EB733" s="147"/>
      <c r="EC733" s="147"/>
      <c r="ED733" s="147"/>
      <c r="EE733" s="147"/>
      <c r="EF733" s="147"/>
      <c r="EG733" s="147"/>
      <c r="EH733" s="147"/>
    </row>
    <row r="734" spans="1:138" x14ac:dyDescent="0.25">
      <c r="A734" s="147"/>
      <c r="B734" s="147"/>
      <c r="C734" s="160"/>
      <c r="D734" s="160"/>
      <c r="E734" s="169"/>
      <c r="F734" s="229"/>
      <c r="G734" s="165"/>
      <c r="H734" s="165"/>
      <c r="I734" s="163"/>
      <c r="J734" s="163"/>
      <c r="K734" s="162"/>
      <c r="L734" s="162"/>
      <c r="M734" s="162"/>
      <c r="N734" s="230"/>
      <c r="O734" s="230"/>
      <c r="P734" s="162"/>
      <c r="Q734" s="162"/>
      <c r="R734" s="162"/>
      <c r="S734" s="162"/>
      <c r="T734" s="162"/>
      <c r="U734" s="230"/>
      <c r="V734" s="230"/>
      <c r="W734" s="162"/>
      <c r="X734" s="162"/>
      <c r="Y734" s="162"/>
      <c r="Z734" s="162"/>
      <c r="AA734" s="162"/>
      <c r="AB734" s="230"/>
      <c r="AC734" s="230"/>
      <c r="AD734" s="162"/>
      <c r="AE734" s="162"/>
      <c r="AF734" s="162"/>
      <c r="AG734" s="162"/>
      <c r="AH734" s="162"/>
      <c r="AI734" s="230"/>
      <c r="AJ734" s="230"/>
      <c r="AK734" s="162"/>
      <c r="AL734" s="162"/>
      <c r="AM734" s="162"/>
      <c r="AN734" s="162"/>
      <c r="AO734" s="162"/>
      <c r="AP734" s="230"/>
      <c r="AQ734" s="230"/>
      <c r="AR734" s="162"/>
      <c r="AS734" s="162"/>
      <c r="AT734" s="162"/>
      <c r="AU734" s="162"/>
      <c r="AV734" s="162"/>
      <c r="AW734" s="230"/>
      <c r="AX734" s="230"/>
      <c r="AY734" s="162"/>
      <c r="AZ734" s="162"/>
      <c r="BA734" s="162"/>
      <c r="BB734" s="162"/>
      <c r="BC734" s="162"/>
      <c r="BD734" s="230"/>
      <c r="BE734" s="230"/>
      <c r="BF734" s="162"/>
      <c r="BG734" s="162"/>
      <c r="BH734" s="162"/>
      <c r="BI734" s="162"/>
      <c r="BJ734" s="162"/>
      <c r="BK734" s="230"/>
      <c r="BL734" s="230"/>
      <c r="BM734" s="162"/>
      <c r="BN734" s="162"/>
      <c r="BO734" s="162"/>
      <c r="BP734" s="162"/>
      <c r="BQ734" s="162"/>
      <c r="BR734" s="230"/>
      <c r="BS734" s="230"/>
      <c r="BT734" s="162"/>
      <c r="BU734" s="162"/>
      <c r="BV734" s="162"/>
      <c r="BW734" s="162"/>
      <c r="BX734" s="162"/>
      <c r="BY734" s="230"/>
      <c r="BZ734" s="230"/>
      <c r="CA734" s="162"/>
      <c r="CB734" s="162"/>
      <c r="CC734" s="162"/>
      <c r="CD734" s="162"/>
      <c r="CE734" s="162"/>
      <c r="CF734" s="230"/>
      <c r="CG734" s="230"/>
      <c r="CH734" s="162"/>
      <c r="CI734" s="162"/>
      <c r="CJ734" s="162"/>
      <c r="CK734" s="162"/>
      <c r="CL734" s="162"/>
      <c r="CM734" s="230"/>
      <c r="CN734" s="230"/>
      <c r="CO734" s="162"/>
      <c r="CP734" s="162"/>
      <c r="CQ734" s="162"/>
      <c r="CR734" s="162"/>
      <c r="CS734" s="162"/>
      <c r="CT734" s="230"/>
      <c r="CU734" s="230"/>
      <c r="CV734" s="162"/>
      <c r="CW734" s="162"/>
      <c r="CX734" s="162"/>
      <c r="CY734" s="162"/>
      <c r="CZ734" s="162"/>
      <c r="DA734" s="230"/>
      <c r="DB734" s="230"/>
      <c r="DC734" s="162"/>
      <c r="DD734" s="162"/>
      <c r="DE734" s="162"/>
      <c r="DF734" s="162"/>
      <c r="DG734" s="162"/>
      <c r="DH734" s="230"/>
      <c r="DI734" s="230"/>
      <c r="DJ734" s="162"/>
      <c r="DK734" s="162"/>
      <c r="DL734" s="147"/>
      <c r="DM734" s="147"/>
      <c r="DN734" s="147"/>
      <c r="DO734" s="147"/>
      <c r="DP734" s="147"/>
      <c r="DQ734" s="147"/>
      <c r="DR734" s="147"/>
      <c r="DS734" s="147"/>
      <c r="DT734" s="147"/>
      <c r="DU734" s="147"/>
      <c r="DV734" s="147"/>
      <c r="DW734" s="147"/>
      <c r="DX734" s="147"/>
      <c r="DY734" s="147"/>
      <c r="DZ734" s="147"/>
      <c r="EA734" s="147"/>
      <c r="EB734" s="147"/>
      <c r="EC734" s="147"/>
      <c r="ED734" s="147"/>
      <c r="EE734" s="147"/>
      <c r="EF734" s="147"/>
      <c r="EG734" s="147"/>
      <c r="EH734" s="147"/>
    </row>
    <row r="735" spans="1:138" x14ac:dyDescent="0.25">
      <c r="A735" s="147"/>
      <c r="B735" s="147"/>
      <c r="C735" s="160"/>
      <c r="D735" s="160"/>
      <c r="E735" s="169"/>
      <c r="F735" s="229"/>
      <c r="G735" s="165"/>
      <c r="H735" s="165"/>
      <c r="I735" s="163"/>
      <c r="J735" s="163"/>
      <c r="K735" s="162"/>
      <c r="L735" s="162"/>
      <c r="M735" s="162"/>
      <c r="N735" s="230"/>
      <c r="O735" s="230"/>
      <c r="P735" s="162"/>
      <c r="Q735" s="162"/>
      <c r="R735" s="162"/>
      <c r="S735" s="162"/>
      <c r="T735" s="162"/>
      <c r="U735" s="230"/>
      <c r="V735" s="230"/>
      <c r="W735" s="162"/>
      <c r="X735" s="162"/>
      <c r="Y735" s="162"/>
      <c r="Z735" s="162"/>
      <c r="AA735" s="162"/>
      <c r="AB735" s="230"/>
      <c r="AC735" s="230"/>
      <c r="AD735" s="162"/>
      <c r="AE735" s="162"/>
      <c r="AF735" s="162"/>
      <c r="AG735" s="162"/>
      <c r="AH735" s="162"/>
      <c r="AI735" s="230"/>
      <c r="AJ735" s="230"/>
      <c r="AK735" s="162"/>
      <c r="AL735" s="162"/>
      <c r="AM735" s="162"/>
      <c r="AN735" s="162"/>
      <c r="AO735" s="162"/>
      <c r="AP735" s="230"/>
      <c r="AQ735" s="230"/>
      <c r="AR735" s="162"/>
      <c r="AS735" s="162"/>
      <c r="AT735" s="162"/>
      <c r="AU735" s="162"/>
      <c r="AV735" s="162"/>
      <c r="AW735" s="230"/>
      <c r="AX735" s="230"/>
      <c r="AY735" s="162"/>
      <c r="AZ735" s="162"/>
      <c r="BA735" s="162"/>
      <c r="BB735" s="162"/>
      <c r="BC735" s="162"/>
      <c r="BD735" s="230"/>
      <c r="BE735" s="230"/>
      <c r="BF735" s="162"/>
      <c r="BG735" s="162"/>
      <c r="BH735" s="162"/>
      <c r="BI735" s="162"/>
      <c r="BJ735" s="162"/>
      <c r="BK735" s="230"/>
      <c r="BL735" s="230"/>
      <c r="BM735" s="162"/>
      <c r="BN735" s="162"/>
      <c r="BO735" s="162"/>
      <c r="BP735" s="162"/>
      <c r="BQ735" s="162"/>
      <c r="BR735" s="230"/>
      <c r="BS735" s="230"/>
      <c r="BT735" s="162"/>
      <c r="BU735" s="162"/>
      <c r="BV735" s="162"/>
      <c r="BW735" s="162"/>
      <c r="BX735" s="162"/>
      <c r="BY735" s="230"/>
      <c r="BZ735" s="230"/>
      <c r="CA735" s="162"/>
      <c r="CB735" s="162"/>
      <c r="CC735" s="162"/>
      <c r="CD735" s="162"/>
      <c r="CE735" s="162"/>
      <c r="CF735" s="230"/>
      <c r="CG735" s="230"/>
      <c r="CH735" s="162"/>
      <c r="CI735" s="162"/>
      <c r="CJ735" s="162"/>
      <c r="CK735" s="162"/>
      <c r="CL735" s="162"/>
      <c r="CM735" s="230"/>
      <c r="CN735" s="230"/>
      <c r="CO735" s="162"/>
      <c r="CP735" s="162"/>
      <c r="CQ735" s="162"/>
      <c r="CR735" s="162"/>
      <c r="CS735" s="162"/>
      <c r="CT735" s="230"/>
      <c r="CU735" s="230"/>
      <c r="CV735" s="162"/>
      <c r="CW735" s="162"/>
      <c r="CX735" s="162"/>
      <c r="CY735" s="162"/>
      <c r="CZ735" s="162"/>
      <c r="DA735" s="230"/>
      <c r="DB735" s="230"/>
      <c r="DC735" s="162"/>
      <c r="DD735" s="162"/>
      <c r="DE735" s="162"/>
      <c r="DF735" s="162"/>
      <c r="DG735" s="162"/>
      <c r="DH735" s="230"/>
      <c r="DI735" s="230"/>
      <c r="DJ735" s="162"/>
      <c r="DK735" s="162"/>
      <c r="DL735" s="147"/>
      <c r="DM735" s="147"/>
      <c r="DN735" s="147"/>
      <c r="DO735" s="147"/>
      <c r="DP735" s="147"/>
      <c r="DQ735" s="147"/>
      <c r="DR735" s="147"/>
      <c r="DS735" s="147"/>
      <c r="DT735" s="147"/>
      <c r="DU735" s="147"/>
      <c r="DV735" s="147"/>
      <c r="DW735" s="147"/>
      <c r="DX735" s="147"/>
      <c r="DY735" s="147"/>
      <c r="DZ735" s="147"/>
      <c r="EA735" s="147"/>
      <c r="EB735" s="147"/>
      <c r="EC735" s="147"/>
      <c r="ED735" s="147"/>
      <c r="EE735" s="147"/>
      <c r="EF735" s="147"/>
      <c r="EG735" s="147"/>
      <c r="EH735" s="147"/>
    </row>
    <row r="736" spans="1:138" x14ac:dyDescent="0.25">
      <c r="A736" s="147"/>
      <c r="B736" s="147"/>
      <c r="C736" s="160"/>
      <c r="D736" s="160"/>
      <c r="E736" s="169"/>
      <c r="F736" s="229"/>
      <c r="G736" s="165"/>
      <c r="H736" s="165"/>
      <c r="I736" s="163"/>
      <c r="J736" s="163"/>
      <c r="K736" s="162"/>
      <c r="L736" s="162"/>
      <c r="M736" s="162"/>
      <c r="N736" s="230"/>
      <c r="O736" s="230"/>
      <c r="P736" s="162"/>
      <c r="Q736" s="162"/>
      <c r="R736" s="162"/>
      <c r="S736" s="162"/>
      <c r="T736" s="162"/>
      <c r="U736" s="230"/>
      <c r="V736" s="230"/>
      <c r="W736" s="162"/>
      <c r="X736" s="162"/>
      <c r="Y736" s="162"/>
      <c r="Z736" s="162"/>
      <c r="AA736" s="162"/>
      <c r="AB736" s="230"/>
      <c r="AC736" s="230"/>
      <c r="AD736" s="162"/>
      <c r="AE736" s="162"/>
      <c r="AF736" s="162"/>
      <c r="AG736" s="162"/>
      <c r="AH736" s="162"/>
      <c r="AI736" s="230"/>
      <c r="AJ736" s="230"/>
      <c r="AK736" s="162"/>
      <c r="AL736" s="162"/>
      <c r="AM736" s="162"/>
      <c r="AN736" s="162"/>
      <c r="AO736" s="162"/>
      <c r="AP736" s="230"/>
      <c r="AQ736" s="230"/>
      <c r="AR736" s="162"/>
      <c r="AS736" s="162"/>
      <c r="AT736" s="162"/>
      <c r="AU736" s="162"/>
      <c r="AV736" s="162"/>
      <c r="AW736" s="230"/>
      <c r="AX736" s="230"/>
      <c r="AY736" s="162"/>
      <c r="AZ736" s="162"/>
      <c r="BA736" s="162"/>
      <c r="BB736" s="162"/>
      <c r="BC736" s="162"/>
      <c r="BD736" s="230"/>
      <c r="BE736" s="230"/>
      <c r="BF736" s="162"/>
      <c r="BG736" s="162"/>
      <c r="BH736" s="162"/>
      <c r="BI736" s="162"/>
      <c r="BJ736" s="162"/>
      <c r="BK736" s="230"/>
      <c r="BL736" s="230"/>
      <c r="BM736" s="162"/>
      <c r="BN736" s="162"/>
      <c r="BO736" s="162"/>
      <c r="BP736" s="162"/>
      <c r="BQ736" s="162"/>
      <c r="BR736" s="230"/>
      <c r="BS736" s="230"/>
      <c r="BT736" s="162"/>
      <c r="BU736" s="162"/>
      <c r="BV736" s="162"/>
      <c r="BW736" s="162"/>
      <c r="BX736" s="162"/>
      <c r="BY736" s="230"/>
      <c r="BZ736" s="230"/>
      <c r="CA736" s="162"/>
      <c r="CB736" s="162"/>
      <c r="CC736" s="162"/>
      <c r="CD736" s="162"/>
      <c r="CE736" s="162"/>
      <c r="CF736" s="230"/>
      <c r="CG736" s="230"/>
      <c r="CH736" s="162"/>
      <c r="CI736" s="162"/>
      <c r="CJ736" s="162"/>
      <c r="CK736" s="162"/>
      <c r="CL736" s="162"/>
      <c r="CM736" s="230"/>
      <c r="CN736" s="230"/>
      <c r="CO736" s="162"/>
      <c r="CP736" s="162"/>
      <c r="CQ736" s="162"/>
      <c r="CR736" s="162"/>
      <c r="CS736" s="162"/>
      <c r="CT736" s="230"/>
      <c r="CU736" s="230"/>
      <c r="CV736" s="162"/>
      <c r="CW736" s="162"/>
      <c r="CX736" s="162"/>
      <c r="CY736" s="162"/>
      <c r="CZ736" s="162"/>
      <c r="DA736" s="230"/>
      <c r="DB736" s="230"/>
      <c r="DC736" s="162"/>
      <c r="DD736" s="162"/>
      <c r="DE736" s="162"/>
      <c r="DF736" s="162"/>
      <c r="DG736" s="162"/>
      <c r="DH736" s="230"/>
      <c r="DI736" s="230"/>
      <c r="DJ736" s="162"/>
      <c r="DK736" s="162"/>
      <c r="DL736" s="147"/>
      <c r="DM736" s="147"/>
      <c r="DN736" s="147"/>
      <c r="DO736" s="147"/>
      <c r="DP736" s="147"/>
      <c r="DQ736" s="147"/>
      <c r="DR736" s="147"/>
      <c r="DS736" s="147"/>
      <c r="DT736" s="147"/>
      <c r="DU736" s="147"/>
      <c r="DV736" s="147"/>
      <c r="DW736" s="147"/>
      <c r="DX736" s="147"/>
      <c r="DY736" s="147"/>
      <c r="DZ736" s="147"/>
      <c r="EA736" s="147"/>
      <c r="EB736" s="147"/>
      <c r="EC736" s="147"/>
      <c r="ED736" s="147"/>
      <c r="EE736" s="147"/>
      <c r="EF736" s="147"/>
      <c r="EG736" s="147"/>
      <c r="EH736" s="147"/>
    </row>
    <row r="737" spans="1:138" x14ac:dyDescent="0.25">
      <c r="A737" s="147"/>
      <c r="B737" s="147"/>
      <c r="C737" s="160"/>
      <c r="D737" s="160"/>
      <c r="E737" s="169"/>
      <c r="F737" s="229"/>
      <c r="G737" s="165"/>
      <c r="H737" s="165"/>
      <c r="I737" s="163"/>
      <c r="J737" s="163"/>
      <c r="K737" s="162"/>
      <c r="L737" s="162"/>
      <c r="M737" s="162"/>
      <c r="N737" s="230"/>
      <c r="O737" s="230"/>
      <c r="P737" s="162"/>
      <c r="Q737" s="162"/>
      <c r="R737" s="162"/>
      <c r="S737" s="162"/>
      <c r="T737" s="162"/>
      <c r="U737" s="230"/>
      <c r="V737" s="230"/>
      <c r="W737" s="162"/>
      <c r="X737" s="162"/>
      <c r="Y737" s="162"/>
      <c r="Z737" s="162"/>
      <c r="AA737" s="162"/>
      <c r="AB737" s="230"/>
      <c r="AC737" s="230"/>
      <c r="AD737" s="162"/>
      <c r="AE737" s="162"/>
      <c r="AF737" s="162"/>
      <c r="AG737" s="162"/>
      <c r="AH737" s="162"/>
      <c r="AI737" s="230"/>
      <c r="AJ737" s="230"/>
      <c r="AK737" s="162"/>
      <c r="AL737" s="162"/>
      <c r="AM737" s="162"/>
      <c r="AN737" s="162"/>
      <c r="AO737" s="162"/>
      <c r="AP737" s="230"/>
      <c r="AQ737" s="230"/>
      <c r="AR737" s="162"/>
      <c r="AS737" s="162"/>
      <c r="AT737" s="162"/>
      <c r="AU737" s="162"/>
      <c r="AV737" s="162"/>
      <c r="AW737" s="230"/>
      <c r="AX737" s="230"/>
      <c r="AY737" s="162"/>
      <c r="AZ737" s="162"/>
      <c r="BA737" s="162"/>
      <c r="BB737" s="162"/>
      <c r="BC737" s="162"/>
      <c r="BD737" s="230"/>
      <c r="BE737" s="230"/>
      <c r="BF737" s="162"/>
      <c r="BG737" s="162"/>
      <c r="BH737" s="162"/>
      <c r="BI737" s="162"/>
      <c r="BJ737" s="162"/>
      <c r="BK737" s="230"/>
      <c r="BL737" s="230"/>
      <c r="BM737" s="162"/>
      <c r="BN737" s="162"/>
      <c r="BO737" s="162"/>
      <c r="BP737" s="162"/>
      <c r="BQ737" s="162"/>
      <c r="BR737" s="230"/>
      <c r="BS737" s="230"/>
      <c r="BT737" s="162"/>
      <c r="BU737" s="162"/>
      <c r="BV737" s="162"/>
      <c r="BW737" s="162"/>
      <c r="BX737" s="162"/>
      <c r="BY737" s="230"/>
      <c r="BZ737" s="230"/>
      <c r="CA737" s="162"/>
      <c r="CB737" s="162"/>
      <c r="CC737" s="162"/>
      <c r="CD737" s="162"/>
      <c r="CE737" s="162"/>
      <c r="CF737" s="230"/>
      <c r="CG737" s="230"/>
      <c r="CH737" s="162"/>
      <c r="CI737" s="162"/>
      <c r="CJ737" s="162"/>
      <c r="CK737" s="162"/>
      <c r="CL737" s="162"/>
      <c r="CM737" s="230"/>
      <c r="CN737" s="230"/>
      <c r="CO737" s="162"/>
      <c r="CP737" s="162"/>
      <c r="CQ737" s="162"/>
      <c r="CR737" s="162"/>
      <c r="CS737" s="162"/>
      <c r="CT737" s="230"/>
      <c r="CU737" s="230"/>
      <c r="CV737" s="162"/>
      <c r="CW737" s="162"/>
      <c r="CX737" s="162"/>
      <c r="CY737" s="162"/>
      <c r="CZ737" s="162"/>
      <c r="DA737" s="230"/>
      <c r="DB737" s="230"/>
      <c r="DC737" s="162"/>
      <c r="DD737" s="162"/>
      <c r="DE737" s="162"/>
      <c r="DF737" s="162"/>
      <c r="DG737" s="162"/>
      <c r="DH737" s="230"/>
      <c r="DI737" s="230"/>
      <c r="DJ737" s="162"/>
      <c r="DK737" s="162"/>
      <c r="DL737" s="147"/>
      <c r="DM737" s="147"/>
      <c r="DN737" s="147"/>
      <c r="DO737" s="147"/>
      <c r="DP737" s="147"/>
      <c r="DQ737" s="147"/>
      <c r="DR737" s="147"/>
      <c r="DS737" s="147"/>
      <c r="DT737" s="147"/>
      <c r="DU737" s="147"/>
      <c r="DV737" s="147"/>
      <c r="DW737" s="147"/>
      <c r="DX737" s="147"/>
      <c r="DY737" s="147"/>
      <c r="DZ737" s="147"/>
      <c r="EA737" s="147"/>
      <c r="EB737" s="147"/>
      <c r="EC737" s="147"/>
      <c r="ED737" s="147"/>
      <c r="EE737" s="147"/>
      <c r="EF737" s="147"/>
      <c r="EG737" s="147"/>
      <c r="EH737" s="147"/>
    </row>
    <row r="738" spans="1:138" x14ac:dyDescent="0.25">
      <c r="A738" s="147"/>
      <c r="B738" s="147"/>
      <c r="C738" s="160"/>
      <c r="D738" s="160"/>
      <c r="E738" s="169"/>
      <c r="F738" s="229"/>
      <c r="G738" s="165"/>
      <c r="H738" s="165"/>
      <c r="I738" s="163"/>
      <c r="J738" s="163"/>
      <c r="K738" s="162"/>
      <c r="L738" s="162"/>
      <c r="M738" s="162"/>
      <c r="N738" s="230"/>
      <c r="O738" s="230"/>
      <c r="P738" s="162"/>
      <c r="Q738" s="162"/>
      <c r="R738" s="162"/>
      <c r="S738" s="162"/>
      <c r="T738" s="162"/>
      <c r="U738" s="230"/>
      <c r="V738" s="230"/>
      <c r="W738" s="162"/>
      <c r="X738" s="162"/>
      <c r="Y738" s="162"/>
      <c r="Z738" s="162"/>
      <c r="AA738" s="162"/>
      <c r="AB738" s="230"/>
      <c r="AC738" s="230"/>
      <c r="AD738" s="162"/>
      <c r="AE738" s="162"/>
      <c r="AF738" s="162"/>
      <c r="AG738" s="162"/>
      <c r="AH738" s="162"/>
      <c r="AI738" s="230"/>
      <c r="AJ738" s="230"/>
      <c r="AK738" s="162"/>
      <c r="AL738" s="162"/>
      <c r="AM738" s="162"/>
      <c r="AN738" s="162"/>
      <c r="AO738" s="162"/>
      <c r="AP738" s="230"/>
      <c r="AQ738" s="230"/>
      <c r="AR738" s="162"/>
      <c r="AS738" s="162"/>
      <c r="AT738" s="162"/>
      <c r="AU738" s="162"/>
      <c r="AV738" s="162"/>
      <c r="AW738" s="230"/>
      <c r="AX738" s="230"/>
      <c r="AY738" s="162"/>
      <c r="AZ738" s="162"/>
      <c r="BA738" s="162"/>
      <c r="BB738" s="162"/>
      <c r="BC738" s="162"/>
      <c r="BD738" s="230"/>
      <c r="BE738" s="230"/>
      <c r="BF738" s="162"/>
      <c r="BG738" s="162"/>
      <c r="BH738" s="162"/>
      <c r="BI738" s="162"/>
      <c r="BJ738" s="162"/>
      <c r="BK738" s="230"/>
      <c r="BL738" s="230"/>
      <c r="BM738" s="162"/>
      <c r="BN738" s="162"/>
      <c r="BO738" s="162"/>
      <c r="BP738" s="162"/>
      <c r="BQ738" s="162"/>
      <c r="BR738" s="230"/>
      <c r="BS738" s="230"/>
      <c r="BT738" s="162"/>
      <c r="BU738" s="162"/>
      <c r="BV738" s="162"/>
      <c r="BW738" s="162"/>
      <c r="BX738" s="162"/>
      <c r="BY738" s="230"/>
      <c r="BZ738" s="230"/>
      <c r="CA738" s="162"/>
      <c r="CB738" s="162"/>
      <c r="CC738" s="162"/>
      <c r="CD738" s="162"/>
      <c r="CE738" s="162"/>
      <c r="CF738" s="230"/>
      <c r="CG738" s="230"/>
      <c r="CH738" s="162"/>
      <c r="CI738" s="162"/>
      <c r="CJ738" s="162"/>
      <c r="CK738" s="162"/>
      <c r="CL738" s="162"/>
      <c r="CM738" s="230"/>
      <c r="CN738" s="230"/>
      <c r="CO738" s="162"/>
      <c r="CP738" s="162"/>
      <c r="CQ738" s="162"/>
      <c r="CR738" s="162"/>
      <c r="CS738" s="162"/>
      <c r="CT738" s="230"/>
      <c r="CU738" s="230"/>
      <c r="CV738" s="162"/>
      <c r="CW738" s="162"/>
      <c r="CX738" s="162"/>
      <c r="CY738" s="162"/>
      <c r="CZ738" s="162"/>
      <c r="DA738" s="230"/>
      <c r="DB738" s="230"/>
      <c r="DC738" s="162"/>
      <c r="DD738" s="162"/>
      <c r="DE738" s="162"/>
      <c r="DF738" s="162"/>
      <c r="DG738" s="162"/>
      <c r="DH738" s="230"/>
      <c r="DI738" s="230"/>
      <c r="DJ738" s="162"/>
      <c r="DK738" s="162"/>
      <c r="DL738" s="147"/>
      <c r="DM738" s="147"/>
      <c r="DN738" s="147"/>
      <c r="DO738" s="147"/>
      <c r="DP738" s="147"/>
      <c r="DQ738" s="147"/>
      <c r="DR738" s="147"/>
      <c r="DS738" s="147"/>
      <c r="DT738" s="147"/>
      <c r="DU738" s="147"/>
      <c r="DV738" s="147"/>
      <c r="DW738" s="147"/>
      <c r="DX738" s="147"/>
      <c r="DY738" s="147"/>
      <c r="DZ738" s="147"/>
      <c r="EA738" s="147"/>
      <c r="EB738" s="147"/>
      <c r="EC738" s="147"/>
      <c r="ED738" s="147"/>
      <c r="EE738" s="147"/>
      <c r="EF738" s="147"/>
      <c r="EG738" s="147"/>
      <c r="EH738" s="147"/>
    </row>
    <row r="739" spans="1:138" x14ac:dyDescent="0.25">
      <c r="A739" s="147"/>
      <c r="B739" s="147"/>
      <c r="C739" s="160"/>
      <c r="D739" s="160"/>
      <c r="E739" s="169"/>
      <c r="F739" s="229"/>
      <c r="G739" s="165"/>
      <c r="H739" s="165"/>
      <c r="I739" s="163"/>
      <c r="J739" s="163"/>
      <c r="K739" s="162"/>
      <c r="L739" s="162"/>
      <c r="M739" s="162"/>
      <c r="N739" s="230"/>
      <c r="O739" s="230"/>
      <c r="P739" s="162"/>
      <c r="Q739" s="162"/>
      <c r="R739" s="162"/>
      <c r="S739" s="162"/>
      <c r="T739" s="162"/>
      <c r="U739" s="230"/>
      <c r="V739" s="230"/>
      <c r="W739" s="162"/>
      <c r="X739" s="162"/>
      <c r="Y739" s="162"/>
      <c r="Z739" s="162"/>
      <c r="AA739" s="162"/>
      <c r="AB739" s="230"/>
      <c r="AC739" s="230"/>
      <c r="AD739" s="162"/>
      <c r="AE739" s="162"/>
      <c r="AF739" s="162"/>
      <c r="AG739" s="162"/>
      <c r="AH739" s="162"/>
      <c r="AI739" s="230"/>
      <c r="AJ739" s="230"/>
      <c r="AK739" s="162"/>
      <c r="AL739" s="162"/>
      <c r="AM739" s="162"/>
      <c r="AN739" s="162"/>
      <c r="AO739" s="162"/>
      <c r="AP739" s="230"/>
      <c r="AQ739" s="230"/>
      <c r="AR739" s="162"/>
      <c r="AS739" s="162"/>
      <c r="AT739" s="162"/>
      <c r="AU739" s="162"/>
      <c r="AV739" s="162"/>
      <c r="AW739" s="230"/>
      <c r="AX739" s="230"/>
      <c r="AY739" s="162"/>
      <c r="AZ739" s="162"/>
      <c r="BA739" s="162"/>
      <c r="BB739" s="162"/>
      <c r="BC739" s="162"/>
      <c r="BD739" s="230"/>
      <c r="BE739" s="230"/>
      <c r="BF739" s="162"/>
      <c r="BG739" s="162"/>
      <c r="BH739" s="162"/>
      <c r="BI739" s="162"/>
      <c r="BJ739" s="162"/>
      <c r="BK739" s="230"/>
      <c r="BL739" s="230"/>
      <c r="BM739" s="162"/>
      <c r="BN739" s="162"/>
      <c r="BO739" s="162"/>
      <c r="BP739" s="162"/>
      <c r="BQ739" s="162"/>
      <c r="BR739" s="230"/>
      <c r="BS739" s="230"/>
      <c r="BT739" s="162"/>
      <c r="BU739" s="162"/>
      <c r="BV739" s="162"/>
      <c r="BW739" s="162"/>
      <c r="BX739" s="162"/>
      <c r="BY739" s="230"/>
      <c r="BZ739" s="230"/>
      <c r="CA739" s="162"/>
      <c r="CB739" s="162"/>
      <c r="CC739" s="162"/>
      <c r="CD739" s="162"/>
      <c r="CE739" s="162"/>
      <c r="CF739" s="230"/>
      <c r="CG739" s="230"/>
      <c r="CH739" s="162"/>
      <c r="CI739" s="162"/>
      <c r="CJ739" s="162"/>
      <c r="CK739" s="162"/>
      <c r="CL739" s="162"/>
      <c r="CM739" s="230"/>
      <c r="CN739" s="230"/>
      <c r="CO739" s="162"/>
      <c r="CP739" s="162"/>
      <c r="CQ739" s="162"/>
      <c r="CR739" s="162"/>
      <c r="CS739" s="162"/>
      <c r="CT739" s="230"/>
      <c r="CU739" s="230"/>
      <c r="CV739" s="162"/>
      <c r="CW739" s="162"/>
      <c r="CX739" s="162"/>
      <c r="CY739" s="162"/>
      <c r="CZ739" s="162"/>
      <c r="DA739" s="230"/>
      <c r="DB739" s="230"/>
      <c r="DC739" s="162"/>
      <c r="DD739" s="162"/>
      <c r="DE739" s="162"/>
      <c r="DF739" s="162"/>
      <c r="DG739" s="162"/>
      <c r="DH739" s="230"/>
      <c r="DI739" s="230"/>
      <c r="DJ739" s="162"/>
      <c r="DK739" s="162"/>
      <c r="DL739" s="147"/>
      <c r="DM739" s="147"/>
      <c r="DN739" s="147"/>
      <c r="DO739" s="147"/>
      <c r="DP739" s="147"/>
      <c r="DQ739" s="147"/>
      <c r="DR739" s="147"/>
      <c r="DS739" s="147"/>
      <c r="DT739" s="147"/>
      <c r="DU739" s="147"/>
      <c r="DV739" s="147"/>
      <c r="DW739" s="147"/>
      <c r="DX739" s="147"/>
      <c r="DY739" s="147"/>
      <c r="DZ739" s="147"/>
      <c r="EA739" s="147"/>
      <c r="EB739" s="147"/>
      <c r="EC739" s="147"/>
      <c r="ED739" s="147"/>
      <c r="EE739" s="147"/>
      <c r="EF739" s="147"/>
      <c r="EG739" s="147"/>
      <c r="EH739" s="147"/>
    </row>
    <row r="740" spans="1:138" x14ac:dyDescent="0.25">
      <c r="A740" s="147"/>
      <c r="B740" s="147"/>
      <c r="C740" s="160"/>
      <c r="D740" s="160"/>
      <c r="E740" s="169"/>
      <c r="F740" s="229"/>
      <c r="G740" s="165"/>
      <c r="H740" s="165"/>
      <c r="I740" s="163"/>
      <c r="J740" s="163"/>
      <c r="K740" s="162"/>
      <c r="L740" s="162"/>
      <c r="M740" s="162"/>
      <c r="N740" s="230"/>
      <c r="O740" s="230"/>
      <c r="P740" s="162"/>
      <c r="Q740" s="162"/>
      <c r="R740" s="162"/>
      <c r="S740" s="162"/>
      <c r="T740" s="162"/>
      <c r="U740" s="230"/>
      <c r="V740" s="230"/>
      <c r="W740" s="162"/>
      <c r="X740" s="162"/>
      <c r="Y740" s="162"/>
      <c r="Z740" s="162"/>
      <c r="AA740" s="162"/>
      <c r="AB740" s="230"/>
      <c r="AC740" s="230"/>
      <c r="AD740" s="162"/>
      <c r="AE740" s="162"/>
      <c r="AF740" s="162"/>
      <c r="AG740" s="162"/>
      <c r="AH740" s="162"/>
      <c r="AI740" s="230"/>
      <c r="AJ740" s="230"/>
      <c r="AK740" s="162"/>
      <c r="AL740" s="162"/>
      <c r="AM740" s="162"/>
      <c r="AN740" s="162"/>
      <c r="AO740" s="162"/>
      <c r="AP740" s="230"/>
      <c r="AQ740" s="230"/>
      <c r="AR740" s="162"/>
      <c r="AS740" s="162"/>
      <c r="AT740" s="162"/>
      <c r="AU740" s="162"/>
      <c r="AV740" s="162"/>
      <c r="AW740" s="230"/>
      <c r="AX740" s="230"/>
      <c r="AY740" s="162"/>
      <c r="AZ740" s="162"/>
      <c r="BA740" s="162"/>
      <c r="BB740" s="162"/>
      <c r="BC740" s="162"/>
      <c r="BD740" s="230"/>
      <c r="BE740" s="230"/>
      <c r="BF740" s="162"/>
      <c r="BG740" s="162"/>
      <c r="BH740" s="162"/>
      <c r="BI740" s="162"/>
      <c r="BJ740" s="162"/>
      <c r="BK740" s="230"/>
      <c r="BL740" s="230"/>
      <c r="BM740" s="162"/>
      <c r="BN740" s="162"/>
      <c r="BO740" s="162"/>
      <c r="BP740" s="162"/>
      <c r="BQ740" s="162"/>
      <c r="BR740" s="230"/>
      <c r="BS740" s="230"/>
      <c r="BT740" s="162"/>
      <c r="BU740" s="162"/>
      <c r="BV740" s="162"/>
      <c r="BW740" s="162"/>
      <c r="BX740" s="162"/>
      <c r="BY740" s="230"/>
      <c r="BZ740" s="230"/>
      <c r="CA740" s="162"/>
      <c r="CB740" s="162"/>
      <c r="CC740" s="162"/>
      <c r="CD740" s="162"/>
      <c r="CE740" s="162"/>
      <c r="CF740" s="230"/>
      <c r="CG740" s="230"/>
      <c r="CH740" s="162"/>
      <c r="CI740" s="162"/>
      <c r="CJ740" s="162"/>
      <c r="CK740" s="162"/>
      <c r="CL740" s="162"/>
      <c r="CM740" s="230"/>
      <c r="CN740" s="230"/>
      <c r="CO740" s="162"/>
      <c r="CP740" s="162"/>
      <c r="CQ740" s="162"/>
      <c r="CR740" s="162"/>
      <c r="CS740" s="162"/>
      <c r="CT740" s="230"/>
      <c r="CU740" s="230"/>
      <c r="CV740" s="162"/>
      <c r="CW740" s="162"/>
      <c r="CX740" s="162"/>
      <c r="CY740" s="162"/>
      <c r="CZ740" s="162"/>
      <c r="DA740" s="230"/>
      <c r="DB740" s="230"/>
      <c r="DC740" s="162"/>
      <c r="DD740" s="162"/>
      <c r="DE740" s="162"/>
      <c r="DF740" s="162"/>
      <c r="DG740" s="162"/>
      <c r="DH740" s="230"/>
      <c r="DI740" s="230"/>
      <c r="DJ740" s="162"/>
      <c r="DK740" s="162"/>
      <c r="DL740" s="147"/>
      <c r="DM740" s="147"/>
      <c r="DN740" s="147"/>
      <c r="DO740" s="147"/>
      <c r="DP740" s="147"/>
      <c r="DQ740" s="147"/>
      <c r="DR740" s="147"/>
      <c r="DS740" s="147"/>
      <c r="DT740" s="147"/>
      <c r="DU740" s="147"/>
      <c r="DV740" s="147"/>
      <c r="DW740" s="147"/>
      <c r="DX740" s="147"/>
      <c r="DY740" s="147"/>
      <c r="DZ740" s="147"/>
      <c r="EA740" s="147"/>
      <c r="EB740" s="147"/>
      <c r="EC740" s="147"/>
      <c r="ED740" s="147"/>
      <c r="EE740" s="147"/>
      <c r="EF740" s="147"/>
      <c r="EG740" s="147"/>
      <c r="EH740" s="147"/>
    </row>
    <row r="741" spans="1:138" x14ac:dyDescent="0.25">
      <c r="A741" s="147"/>
      <c r="B741" s="147"/>
      <c r="C741" s="160"/>
      <c r="D741" s="160"/>
      <c r="E741" s="169"/>
      <c r="F741" s="229"/>
      <c r="G741" s="165"/>
      <c r="H741" s="165"/>
      <c r="I741" s="163"/>
      <c r="J741" s="163"/>
      <c r="K741" s="162"/>
      <c r="L741" s="162"/>
      <c r="M741" s="162"/>
      <c r="N741" s="230"/>
      <c r="O741" s="230"/>
      <c r="P741" s="162"/>
      <c r="Q741" s="162"/>
      <c r="R741" s="162"/>
      <c r="S741" s="162"/>
      <c r="T741" s="162"/>
      <c r="U741" s="230"/>
      <c r="V741" s="230"/>
      <c r="W741" s="162"/>
      <c r="X741" s="162"/>
      <c r="Y741" s="162"/>
      <c r="Z741" s="162"/>
      <c r="AA741" s="162"/>
      <c r="AB741" s="230"/>
      <c r="AC741" s="230"/>
      <c r="AD741" s="162"/>
      <c r="AE741" s="162"/>
      <c r="AF741" s="162"/>
      <c r="AG741" s="162"/>
      <c r="AH741" s="162"/>
      <c r="AI741" s="230"/>
      <c r="AJ741" s="230"/>
      <c r="AK741" s="162"/>
      <c r="AL741" s="162"/>
      <c r="AM741" s="162"/>
      <c r="AN741" s="162"/>
      <c r="AO741" s="162"/>
      <c r="AP741" s="230"/>
      <c r="AQ741" s="230"/>
      <c r="AR741" s="162"/>
      <c r="AS741" s="162"/>
      <c r="AT741" s="162"/>
      <c r="AU741" s="162"/>
      <c r="AV741" s="162"/>
      <c r="AW741" s="230"/>
      <c r="AX741" s="230"/>
      <c r="AY741" s="162"/>
      <c r="AZ741" s="162"/>
      <c r="BA741" s="162"/>
      <c r="BB741" s="162"/>
      <c r="BC741" s="162"/>
      <c r="BD741" s="230"/>
      <c r="BE741" s="230"/>
      <c r="BF741" s="162"/>
      <c r="BG741" s="162"/>
      <c r="BH741" s="162"/>
      <c r="BI741" s="162"/>
      <c r="BJ741" s="162"/>
      <c r="BK741" s="230"/>
      <c r="BL741" s="230"/>
      <c r="BM741" s="162"/>
      <c r="BN741" s="162"/>
      <c r="BO741" s="162"/>
      <c r="BP741" s="162"/>
      <c r="BQ741" s="162"/>
      <c r="BR741" s="230"/>
      <c r="BS741" s="230"/>
      <c r="BT741" s="162"/>
      <c r="BU741" s="162"/>
      <c r="BV741" s="162"/>
      <c r="BW741" s="162"/>
      <c r="BX741" s="162"/>
      <c r="BY741" s="230"/>
      <c r="BZ741" s="230"/>
      <c r="CA741" s="162"/>
      <c r="CB741" s="162"/>
      <c r="CC741" s="162"/>
      <c r="CD741" s="162"/>
      <c r="CE741" s="162"/>
      <c r="CF741" s="230"/>
      <c r="CG741" s="230"/>
      <c r="CH741" s="162"/>
      <c r="CI741" s="162"/>
      <c r="CJ741" s="162"/>
      <c r="CK741" s="162"/>
      <c r="CL741" s="162"/>
      <c r="CM741" s="230"/>
      <c r="CN741" s="230"/>
      <c r="CO741" s="162"/>
      <c r="CP741" s="162"/>
      <c r="CQ741" s="162"/>
      <c r="CR741" s="162"/>
      <c r="CS741" s="162"/>
      <c r="CT741" s="230"/>
      <c r="CU741" s="230"/>
      <c r="CV741" s="162"/>
      <c r="CW741" s="162"/>
      <c r="CX741" s="162"/>
      <c r="CY741" s="162"/>
      <c r="CZ741" s="162"/>
      <c r="DA741" s="230"/>
      <c r="DB741" s="230"/>
      <c r="DC741" s="162"/>
      <c r="DD741" s="162"/>
      <c r="DE741" s="162"/>
      <c r="DF741" s="162"/>
      <c r="DG741" s="162"/>
      <c r="DH741" s="230"/>
      <c r="DI741" s="230"/>
      <c r="DJ741" s="162"/>
      <c r="DK741" s="162"/>
      <c r="DL741" s="147"/>
      <c r="DM741" s="147"/>
      <c r="DN741" s="147"/>
      <c r="DO741" s="147"/>
      <c r="DP741" s="147"/>
      <c r="DQ741" s="147"/>
      <c r="DR741" s="147"/>
      <c r="DS741" s="147"/>
      <c r="DT741" s="147"/>
      <c r="DU741" s="147"/>
      <c r="DV741" s="147"/>
      <c r="DW741" s="147"/>
      <c r="DX741" s="147"/>
      <c r="DY741" s="147"/>
      <c r="DZ741" s="147"/>
      <c r="EA741" s="147"/>
      <c r="EB741" s="147"/>
      <c r="EC741" s="147"/>
      <c r="ED741" s="147"/>
      <c r="EE741" s="147"/>
      <c r="EF741" s="147"/>
      <c r="EG741" s="147"/>
      <c r="EH741" s="147"/>
    </row>
    <row r="742" spans="1:138" x14ac:dyDescent="0.25">
      <c r="A742" s="147"/>
      <c r="B742" s="147"/>
      <c r="C742" s="160"/>
      <c r="D742" s="160"/>
      <c r="E742" s="169"/>
      <c r="F742" s="229"/>
      <c r="G742" s="165"/>
      <c r="H742" s="165"/>
      <c r="I742" s="163"/>
      <c r="J742" s="163"/>
      <c r="K742" s="162"/>
      <c r="L742" s="162"/>
      <c r="M742" s="162"/>
      <c r="N742" s="230"/>
      <c r="O742" s="230"/>
      <c r="P742" s="162"/>
      <c r="Q742" s="162"/>
      <c r="R742" s="162"/>
      <c r="S742" s="162"/>
      <c r="T742" s="162"/>
      <c r="U742" s="230"/>
      <c r="V742" s="230"/>
      <c r="W742" s="162"/>
      <c r="X742" s="162"/>
      <c r="Y742" s="162"/>
      <c r="Z742" s="162"/>
      <c r="AA742" s="162"/>
      <c r="AB742" s="230"/>
      <c r="AC742" s="230"/>
      <c r="AD742" s="162"/>
      <c r="AE742" s="162"/>
      <c r="AF742" s="162"/>
      <c r="AG742" s="162"/>
      <c r="AH742" s="162"/>
      <c r="AI742" s="230"/>
      <c r="AJ742" s="230"/>
      <c r="AK742" s="162"/>
      <c r="AL742" s="162"/>
      <c r="AM742" s="162"/>
      <c r="AN742" s="162"/>
      <c r="AO742" s="162"/>
      <c r="AP742" s="230"/>
      <c r="AQ742" s="230"/>
      <c r="AR742" s="162"/>
      <c r="AS742" s="162"/>
      <c r="AT742" s="162"/>
      <c r="AU742" s="162"/>
      <c r="AV742" s="162"/>
      <c r="AW742" s="230"/>
      <c r="AX742" s="230"/>
      <c r="AY742" s="162"/>
      <c r="AZ742" s="162"/>
      <c r="BA742" s="162"/>
      <c r="BB742" s="162"/>
      <c r="BC742" s="162"/>
      <c r="BD742" s="230"/>
      <c r="BE742" s="230"/>
      <c r="BF742" s="162"/>
      <c r="BG742" s="162"/>
      <c r="BH742" s="162"/>
      <c r="BI742" s="162"/>
      <c r="BJ742" s="162"/>
      <c r="BK742" s="230"/>
      <c r="BL742" s="230"/>
      <c r="BM742" s="162"/>
      <c r="BN742" s="162"/>
      <c r="BO742" s="162"/>
      <c r="BP742" s="162"/>
      <c r="BQ742" s="162"/>
      <c r="BR742" s="230"/>
      <c r="BS742" s="230"/>
      <c r="BT742" s="162"/>
      <c r="BU742" s="162"/>
      <c r="BV742" s="162"/>
      <c r="BW742" s="162"/>
      <c r="BX742" s="162"/>
      <c r="BY742" s="230"/>
      <c r="BZ742" s="230"/>
      <c r="CA742" s="162"/>
      <c r="CB742" s="162"/>
      <c r="CC742" s="162"/>
      <c r="CD742" s="162"/>
      <c r="CE742" s="162"/>
      <c r="CF742" s="230"/>
      <c r="CG742" s="230"/>
      <c r="CH742" s="162"/>
      <c r="CI742" s="162"/>
      <c r="CJ742" s="162"/>
      <c r="CK742" s="162"/>
      <c r="CL742" s="162"/>
      <c r="CM742" s="230"/>
      <c r="CN742" s="230"/>
      <c r="CO742" s="162"/>
      <c r="CP742" s="162"/>
      <c r="CQ742" s="162"/>
      <c r="CR742" s="162"/>
      <c r="CS742" s="162"/>
      <c r="CT742" s="230"/>
      <c r="CU742" s="230"/>
      <c r="CV742" s="162"/>
      <c r="CW742" s="162"/>
      <c r="CX742" s="162"/>
      <c r="CY742" s="162"/>
      <c r="CZ742" s="162"/>
      <c r="DA742" s="230"/>
      <c r="DB742" s="230"/>
      <c r="DC742" s="162"/>
      <c r="DD742" s="162"/>
      <c r="DE742" s="162"/>
      <c r="DF742" s="162"/>
      <c r="DG742" s="162"/>
      <c r="DH742" s="230"/>
      <c r="DI742" s="230"/>
      <c r="DJ742" s="162"/>
      <c r="DK742" s="162"/>
      <c r="DL742" s="147"/>
      <c r="DM742" s="147"/>
      <c r="DN742" s="147"/>
      <c r="DO742" s="147"/>
      <c r="DP742" s="147"/>
      <c r="DQ742" s="147"/>
      <c r="DR742" s="147"/>
      <c r="DS742" s="147"/>
      <c r="DT742" s="147"/>
      <c r="DU742" s="147"/>
      <c r="DV742" s="147"/>
      <c r="DW742" s="147"/>
      <c r="DX742" s="147"/>
      <c r="DY742" s="147"/>
      <c r="DZ742" s="147"/>
      <c r="EA742" s="147"/>
      <c r="EB742" s="147"/>
      <c r="EC742" s="147"/>
      <c r="ED742" s="147"/>
      <c r="EE742" s="147"/>
      <c r="EF742" s="147"/>
      <c r="EG742" s="147"/>
      <c r="EH742" s="147"/>
    </row>
    <row r="743" spans="1:138" x14ac:dyDescent="0.25">
      <c r="A743" s="147"/>
      <c r="B743" s="147"/>
      <c r="C743" s="160"/>
      <c r="D743" s="160"/>
      <c r="E743" s="169"/>
      <c r="F743" s="229"/>
      <c r="G743" s="165"/>
      <c r="H743" s="165"/>
      <c r="I743" s="163"/>
      <c r="J743" s="163"/>
      <c r="K743" s="162"/>
      <c r="L743" s="162"/>
      <c r="M743" s="162"/>
      <c r="N743" s="230"/>
      <c r="O743" s="230"/>
      <c r="P743" s="162"/>
      <c r="Q743" s="162"/>
      <c r="R743" s="162"/>
      <c r="S743" s="162"/>
      <c r="T743" s="162"/>
      <c r="U743" s="230"/>
      <c r="V743" s="230"/>
      <c r="W743" s="162"/>
      <c r="X743" s="162"/>
      <c r="Y743" s="162"/>
      <c r="Z743" s="162"/>
      <c r="AA743" s="162"/>
      <c r="AB743" s="230"/>
      <c r="AC743" s="230"/>
      <c r="AD743" s="162"/>
      <c r="AE743" s="162"/>
      <c r="AF743" s="162"/>
      <c r="AG743" s="162"/>
      <c r="AH743" s="162"/>
      <c r="AI743" s="230"/>
      <c r="AJ743" s="230"/>
      <c r="AK743" s="162"/>
      <c r="AL743" s="162"/>
      <c r="AM743" s="162"/>
      <c r="AN743" s="162"/>
      <c r="AO743" s="162"/>
      <c r="AP743" s="230"/>
      <c r="AQ743" s="230"/>
      <c r="AR743" s="162"/>
      <c r="AS743" s="162"/>
      <c r="AT743" s="162"/>
      <c r="AU743" s="162"/>
      <c r="AV743" s="162"/>
      <c r="AW743" s="230"/>
      <c r="AX743" s="230"/>
      <c r="AY743" s="162"/>
      <c r="AZ743" s="162"/>
      <c r="BA743" s="162"/>
      <c r="BB743" s="162"/>
      <c r="BC743" s="162"/>
      <c r="BD743" s="230"/>
      <c r="BE743" s="230"/>
      <c r="BF743" s="162"/>
      <c r="BG743" s="162"/>
      <c r="BH743" s="162"/>
      <c r="BI743" s="162"/>
      <c r="BJ743" s="162"/>
      <c r="BK743" s="230"/>
      <c r="BL743" s="230"/>
      <c r="BM743" s="162"/>
      <c r="BN743" s="162"/>
      <c r="BO743" s="162"/>
      <c r="BP743" s="162"/>
      <c r="BQ743" s="162"/>
      <c r="BR743" s="230"/>
      <c r="BS743" s="230"/>
      <c r="BT743" s="162"/>
      <c r="BU743" s="162"/>
      <c r="BV743" s="162"/>
      <c r="BW743" s="162"/>
      <c r="BX743" s="162"/>
      <c r="BY743" s="230"/>
      <c r="BZ743" s="230"/>
      <c r="CA743" s="162"/>
      <c r="CB743" s="162"/>
      <c r="CC743" s="162"/>
      <c r="CD743" s="162"/>
      <c r="CE743" s="162"/>
      <c r="CF743" s="230"/>
      <c r="CG743" s="230"/>
      <c r="CH743" s="162"/>
      <c r="CI743" s="162"/>
      <c r="CJ743" s="162"/>
      <c r="CK743" s="162"/>
      <c r="CL743" s="162"/>
      <c r="CM743" s="230"/>
      <c r="CN743" s="230"/>
      <c r="CO743" s="162"/>
      <c r="CP743" s="162"/>
      <c r="CQ743" s="162"/>
      <c r="CR743" s="162"/>
      <c r="CS743" s="162"/>
      <c r="CT743" s="230"/>
      <c r="CU743" s="230"/>
      <c r="CV743" s="162"/>
      <c r="CW743" s="162"/>
      <c r="CX743" s="162"/>
      <c r="CY743" s="162"/>
      <c r="CZ743" s="162"/>
      <c r="DA743" s="230"/>
      <c r="DB743" s="230"/>
      <c r="DC743" s="162"/>
      <c r="DD743" s="162"/>
      <c r="DE743" s="162"/>
      <c r="DF743" s="162"/>
      <c r="DG743" s="162"/>
      <c r="DH743" s="230"/>
      <c r="DI743" s="230"/>
      <c r="DJ743" s="162"/>
      <c r="DK743" s="162"/>
      <c r="DL743" s="147"/>
      <c r="DM743" s="147"/>
      <c r="DN743" s="147"/>
      <c r="DO743" s="147"/>
      <c r="DP743" s="147"/>
      <c r="DQ743" s="147"/>
      <c r="DR743" s="147"/>
      <c r="DS743" s="147"/>
      <c r="DT743" s="147"/>
      <c r="DU743" s="147"/>
      <c r="DV743" s="147"/>
      <c r="DW743" s="147"/>
      <c r="DX743" s="147"/>
      <c r="DY743" s="147"/>
      <c r="DZ743" s="147"/>
      <c r="EA743" s="147"/>
      <c r="EB743" s="147"/>
      <c r="EC743" s="147"/>
      <c r="ED743" s="147"/>
      <c r="EE743" s="147"/>
      <c r="EF743" s="147"/>
      <c r="EG743" s="147"/>
      <c r="EH743" s="147"/>
    </row>
    <row r="744" spans="1:138" x14ac:dyDescent="0.25">
      <c r="A744" s="147"/>
      <c r="B744" s="147"/>
      <c r="C744" s="160"/>
      <c r="D744" s="160"/>
      <c r="E744" s="169"/>
      <c r="F744" s="229"/>
      <c r="G744" s="165"/>
      <c r="H744" s="165"/>
      <c r="I744" s="163"/>
      <c r="J744" s="163"/>
      <c r="K744" s="162"/>
      <c r="L744" s="162"/>
      <c r="M744" s="162"/>
      <c r="N744" s="230"/>
      <c r="O744" s="230"/>
      <c r="P744" s="162"/>
      <c r="Q744" s="162"/>
      <c r="R744" s="162"/>
      <c r="S744" s="162"/>
      <c r="T744" s="162"/>
      <c r="U744" s="230"/>
      <c r="V744" s="230"/>
      <c r="W744" s="162"/>
      <c r="X744" s="162"/>
      <c r="Y744" s="162"/>
      <c r="Z744" s="162"/>
      <c r="AA744" s="162"/>
      <c r="AB744" s="230"/>
      <c r="AC744" s="230"/>
      <c r="AD744" s="162"/>
      <c r="AE744" s="162"/>
      <c r="AF744" s="162"/>
      <c r="AG744" s="162"/>
      <c r="AH744" s="162"/>
      <c r="AI744" s="230"/>
      <c r="AJ744" s="230"/>
      <c r="AK744" s="162"/>
      <c r="AL744" s="162"/>
      <c r="AM744" s="162"/>
      <c r="AN744" s="162"/>
      <c r="AO744" s="162"/>
      <c r="AP744" s="230"/>
      <c r="AQ744" s="230"/>
      <c r="AR744" s="162"/>
      <c r="AS744" s="162"/>
      <c r="AT744" s="162"/>
      <c r="AU744" s="162"/>
      <c r="AV744" s="162"/>
      <c r="AW744" s="230"/>
      <c r="AX744" s="230"/>
      <c r="AY744" s="162"/>
      <c r="AZ744" s="162"/>
      <c r="BA744" s="162"/>
      <c r="BB744" s="162"/>
      <c r="BC744" s="162"/>
      <c r="BD744" s="230"/>
      <c r="BE744" s="230"/>
      <c r="BF744" s="162"/>
      <c r="BG744" s="162"/>
      <c r="BH744" s="162"/>
      <c r="BI744" s="162"/>
      <c r="BJ744" s="162"/>
      <c r="BK744" s="230"/>
      <c r="BL744" s="230"/>
      <c r="BM744" s="162"/>
      <c r="BN744" s="162"/>
      <c r="BO744" s="162"/>
      <c r="BP744" s="162"/>
      <c r="BQ744" s="162"/>
      <c r="BR744" s="230"/>
      <c r="BS744" s="230"/>
      <c r="BT744" s="162"/>
      <c r="BU744" s="162"/>
      <c r="BV744" s="162"/>
      <c r="BW744" s="162"/>
      <c r="BX744" s="162"/>
      <c r="BY744" s="230"/>
      <c r="BZ744" s="230"/>
      <c r="CA744" s="162"/>
      <c r="CB744" s="162"/>
      <c r="CC744" s="162"/>
      <c r="CD744" s="162"/>
      <c r="CE744" s="162"/>
      <c r="CF744" s="230"/>
      <c r="CG744" s="230"/>
      <c r="CH744" s="162"/>
      <c r="CI744" s="162"/>
      <c r="CJ744" s="162"/>
      <c r="CK744" s="162"/>
      <c r="CL744" s="162"/>
      <c r="CM744" s="230"/>
      <c r="CN744" s="230"/>
      <c r="CO744" s="162"/>
      <c r="CP744" s="162"/>
      <c r="CQ744" s="162"/>
      <c r="CR744" s="162"/>
      <c r="CS744" s="162"/>
      <c r="CT744" s="230"/>
      <c r="CU744" s="230"/>
      <c r="CV744" s="162"/>
      <c r="CW744" s="162"/>
      <c r="CX744" s="162"/>
      <c r="CY744" s="162"/>
      <c r="CZ744" s="162"/>
      <c r="DA744" s="230"/>
      <c r="DB744" s="230"/>
      <c r="DC744" s="162"/>
      <c r="DD744" s="162"/>
      <c r="DE744" s="162"/>
      <c r="DF744" s="162"/>
      <c r="DG744" s="162"/>
      <c r="DH744" s="230"/>
      <c r="DI744" s="230"/>
      <c r="DJ744" s="162"/>
      <c r="DK744" s="162"/>
      <c r="DL744" s="147"/>
      <c r="DM744" s="147"/>
      <c r="DN744" s="147"/>
      <c r="DO744" s="147"/>
      <c r="DP744" s="147"/>
      <c r="DQ744" s="147"/>
      <c r="DR744" s="147"/>
      <c r="DS744" s="147"/>
      <c r="DT744" s="147"/>
      <c r="DU744" s="147"/>
      <c r="DV744" s="147"/>
      <c r="DW744" s="147"/>
      <c r="DX744" s="147"/>
      <c r="DY744" s="147"/>
      <c r="DZ744" s="147"/>
      <c r="EA744" s="147"/>
      <c r="EB744" s="147"/>
      <c r="EC744" s="147"/>
      <c r="ED744" s="147"/>
      <c r="EE744" s="147"/>
      <c r="EF744" s="147"/>
      <c r="EG744" s="147"/>
      <c r="EH744" s="147"/>
    </row>
    <row r="745" spans="1:138" x14ac:dyDescent="0.25">
      <c r="A745" s="147"/>
      <c r="B745" s="147"/>
      <c r="C745" s="160"/>
      <c r="D745" s="160"/>
      <c r="E745" s="169"/>
      <c r="F745" s="229"/>
      <c r="G745" s="165"/>
      <c r="H745" s="165"/>
      <c r="I745" s="163"/>
      <c r="J745" s="163"/>
      <c r="K745" s="162"/>
      <c r="L745" s="162"/>
      <c r="M745" s="162"/>
      <c r="N745" s="230"/>
      <c r="O745" s="230"/>
      <c r="P745" s="162"/>
      <c r="Q745" s="162"/>
      <c r="R745" s="162"/>
      <c r="S745" s="162"/>
      <c r="T745" s="162"/>
      <c r="U745" s="230"/>
      <c r="V745" s="230"/>
      <c r="W745" s="162"/>
      <c r="X745" s="162"/>
      <c r="Y745" s="162"/>
      <c r="Z745" s="162"/>
      <c r="AA745" s="162"/>
      <c r="AB745" s="230"/>
      <c r="AC745" s="230"/>
      <c r="AD745" s="162"/>
      <c r="AE745" s="162"/>
      <c r="AF745" s="162"/>
      <c r="AG745" s="162"/>
      <c r="AH745" s="162"/>
      <c r="AI745" s="230"/>
      <c r="AJ745" s="230"/>
      <c r="AK745" s="162"/>
      <c r="AL745" s="162"/>
      <c r="AM745" s="162"/>
      <c r="AN745" s="162"/>
      <c r="AO745" s="162"/>
      <c r="AP745" s="230"/>
      <c r="AQ745" s="230"/>
      <c r="AR745" s="162"/>
      <c r="AS745" s="162"/>
      <c r="AT745" s="162"/>
      <c r="AU745" s="162"/>
      <c r="AV745" s="162"/>
      <c r="AW745" s="230"/>
      <c r="AX745" s="230"/>
      <c r="AY745" s="162"/>
      <c r="AZ745" s="162"/>
      <c r="BA745" s="162"/>
      <c r="BB745" s="162"/>
      <c r="BC745" s="162"/>
      <c r="BD745" s="230"/>
      <c r="BE745" s="230"/>
      <c r="BF745" s="162"/>
      <c r="BG745" s="162"/>
      <c r="BH745" s="162"/>
      <c r="BI745" s="162"/>
      <c r="BJ745" s="162"/>
      <c r="BK745" s="230"/>
      <c r="BL745" s="230"/>
      <c r="BM745" s="162"/>
      <c r="BN745" s="162"/>
      <c r="BO745" s="162"/>
      <c r="BP745" s="162"/>
      <c r="BQ745" s="162"/>
      <c r="BR745" s="230"/>
      <c r="BS745" s="230"/>
      <c r="BT745" s="162"/>
      <c r="BU745" s="162"/>
      <c r="BV745" s="162"/>
      <c r="BW745" s="162"/>
      <c r="BX745" s="162"/>
      <c r="BY745" s="230"/>
      <c r="BZ745" s="230"/>
      <c r="CA745" s="162"/>
      <c r="CB745" s="162"/>
      <c r="CC745" s="162"/>
      <c r="CD745" s="162"/>
      <c r="CE745" s="162"/>
      <c r="CF745" s="230"/>
      <c r="CG745" s="230"/>
      <c r="CH745" s="162"/>
      <c r="CI745" s="162"/>
      <c r="CJ745" s="162"/>
      <c r="CK745" s="162"/>
      <c r="CL745" s="162"/>
      <c r="CM745" s="230"/>
      <c r="CN745" s="230"/>
      <c r="CO745" s="162"/>
      <c r="CP745" s="162"/>
      <c r="CQ745" s="162"/>
      <c r="CR745" s="162"/>
      <c r="CS745" s="162"/>
      <c r="CT745" s="230"/>
      <c r="CU745" s="230"/>
      <c r="CV745" s="162"/>
      <c r="CW745" s="162"/>
      <c r="CX745" s="162"/>
      <c r="CY745" s="162"/>
      <c r="CZ745" s="162"/>
      <c r="DA745" s="230"/>
      <c r="DB745" s="230"/>
      <c r="DC745" s="162"/>
      <c r="DD745" s="162"/>
      <c r="DE745" s="162"/>
      <c r="DF745" s="162"/>
      <c r="DG745" s="162"/>
      <c r="DH745" s="230"/>
      <c r="DI745" s="230"/>
      <c r="DJ745" s="162"/>
      <c r="DK745" s="162"/>
      <c r="DL745" s="147"/>
      <c r="DM745" s="147"/>
      <c r="DN745" s="147"/>
      <c r="DO745" s="147"/>
      <c r="DP745" s="147"/>
      <c r="DQ745" s="147"/>
      <c r="DR745" s="147"/>
      <c r="DS745" s="147"/>
      <c r="DT745" s="147"/>
      <c r="DU745" s="147"/>
      <c r="DV745" s="147"/>
      <c r="DW745" s="147"/>
      <c r="DX745" s="147"/>
      <c r="DY745" s="147"/>
      <c r="DZ745" s="147"/>
      <c r="EA745" s="147"/>
      <c r="EB745" s="147"/>
      <c r="EC745" s="147"/>
      <c r="ED745" s="147"/>
      <c r="EE745" s="147"/>
      <c r="EF745" s="147"/>
      <c r="EG745" s="147"/>
      <c r="EH745" s="147"/>
    </row>
    <row r="746" spans="1:138" x14ac:dyDescent="0.25">
      <c r="A746" s="147"/>
      <c r="B746" s="147"/>
      <c r="C746" s="160"/>
      <c r="D746" s="160"/>
      <c r="E746" s="169"/>
      <c r="F746" s="229"/>
      <c r="G746" s="165"/>
      <c r="H746" s="165"/>
      <c r="I746" s="163"/>
      <c r="J746" s="163"/>
      <c r="K746" s="162"/>
      <c r="L746" s="162"/>
      <c r="M746" s="162"/>
      <c r="N746" s="230"/>
      <c r="O746" s="230"/>
      <c r="P746" s="162"/>
      <c r="Q746" s="162"/>
      <c r="R746" s="162"/>
      <c r="S746" s="162"/>
      <c r="T746" s="162"/>
      <c r="U746" s="230"/>
      <c r="V746" s="230"/>
      <c r="W746" s="162"/>
      <c r="X746" s="162"/>
      <c r="Y746" s="162"/>
      <c r="Z746" s="162"/>
      <c r="AA746" s="162"/>
      <c r="AB746" s="230"/>
      <c r="AC746" s="230"/>
      <c r="AD746" s="162"/>
      <c r="AE746" s="162"/>
      <c r="AF746" s="162"/>
      <c r="AG746" s="162"/>
      <c r="AH746" s="162"/>
      <c r="AI746" s="230"/>
      <c r="AJ746" s="230"/>
      <c r="AK746" s="162"/>
      <c r="AL746" s="162"/>
      <c r="AM746" s="162"/>
      <c r="AN746" s="162"/>
      <c r="AO746" s="162"/>
      <c r="AP746" s="230"/>
      <c r="AQ746" s="230"/>
      <c r="AR746" s="162"/>
      <c r="AS746" s="162"/>
      <c r="AT746" s="162"/>
      <c r="AU746" s="162"/>
      <c r="AV746" s="162"/>
      <c r="AW746" s="230"/>
      <c r="AX746" s="230"/>
      <c r="AY746" s="162"/>
      <c r="AZ746" s="162"/>
      <c r="BA746" s="162"/>
      <c r="BB746" s="162"/>
      <c r="BC746" s="162"/>
      <c r="BD746" s="230"/>
      <c r="BE746" s="230"/>
      <c r="BF746" s="162"/>
      <c r="BG746" s="162"/>
      <c r="BH746" s="162"/>
      <c r="BI746" s="162"/>
      <c r="BJ746" s="162"/>
      <c r="BK746" s="230"/>
      <c r="BL746" s="230"/>
      <c r="BM746" s="162"/>
      <c r="BN746" s="162"/>
      <c r="BO746" s="162"/>
      <c r="BP746" s="162"/>
      <c r="BQ746" s="162"/>
      <c r="BR746" s="230"/>
      <c r="BS746" s="230"/>
      <c r="BT746" s="162"/>
      <c r="BU746" s="162"/>
      <c r="BV746" s="162"/>
      <c r="BW746" s="162"/>
      <c r="BX746" s="162"/>
      <c r="BY746" s="230"/>
      <c r="BZ746" s="230"/>
      <c r="CA746" s="162"/>
      <c r="CB746" s="162"/>
      <c r="CC746" s="162"/>
      <c r="CD746" s="162"/>
      <c r="CE746" s="162"/>
      <c r="CF746" s="230"/>
      <c r="CG746" s="230"/>
      <c r="CH746" s="162"/>
      <c r="CI746" s="162"/>
      <c r="CJ746" s="162"/>
      <c r="CK746" s="162"/>
      <c r="CL746" s="162"/>
      <c r="CM746" s="230"/>
      <c r="CN746" s="230"/>
      <c r="CO746" s="162"/>
      <c r="CP746" s="162"/>
      <c r="CQ746" s="162"/>
      <c r="CR746" s="162"/>
      <c r="CS746" s="162"/>
      <c r="CT746" s="230"/>
      <c r="CU746" s="230"/>
      <c r="CV746" s="162"/>
      <c r="CW746" s="162"/>
      <c r="CX746" s="162"/>
      <c r="CY746" s="162"/>
      <c r="CZ746" s="162"/>
      <c r="DA746" s="230"/>
      <c r="DB746" s="230"/>
      <c r="DC746" s="162"/>
      <c r="DD746" s="162"/>
      <c r="DE746" s="162"/>
      <c r="DF746" s="162"/>
      <c r="DG746" s="162"/>
      <c r="DH746" s="230"/>
      <c r="DI746" s="230"/>
      <c r="DJ746" s="162"/>
      <c r="DK746" s="162"/>
      <c r="DL746" s="147"/>
      <c r="DM746" s="147"/>
      <c r="DN746" s="147"/>
      <c r="DO746" s="147"/>
      <c r="DP746" s="147"/>
      <c r="DQ746" s="147"/>
      <c r="DR746" s="147"/>
      <c r="DS746" s="147"/>
      <c r="DT746" s="147"/>
      <c r="DU746" s="147"/>
      <c r="DV746" s="147"/>
      <c r="DW746" s="147"/>
      <c r="DX746" s="147"/>
      <c r="DY746" s="147"/>
      <c r="DZ746" s="147"/>
      <c r="EA746" s="147"/>
      <c r="EB746" s="147"/>
      <c r="EC746" s="147"/>
      <c r="ED746" s="147"/>
      <c r="EE746" s="147"/>
      <c r="EF746" s="147"/>
      <c r="EG746" s="147"/>
      <c r="EH746" s="147"/>
    </row>
    <row r="747" spans="1:138" x14ac:dyDescent="0.25">
      <c r="A747" s="147"/>
      <c r="B747" s="147"/>
      <c r="C747" s="160"/>
      <c r="D747" s="160"/>
      <c r="E747" s="169"/>
      <c r="F747" s="229"/>
      <c r="G747" s="165"/>
      <c r="H747" s="165"/>
      <c r="I747" s="163"/>
      <c r="J747" s="163"/>
      <c r="K747" s="162"/>
      <c r="L747" s="162"/>
      <c r="M747" s="162"/>
      <c r="N747" s="230"/>
      <c r="O747" s="230"/>
      <c r="P747" s="162"/>
      <c r="Q747" s="162"/>
      <c r="R747" s="162"/>
      <c r="S747" s="162"/>
      <c r="T747" s="162"/>
      <c r="U747" s="230"/>
      <c r="V747" s="230"/>
      <c r="W747" s="162"/>
      <c r="X747" s="162"/>
      <c r="Y747" s="162"/>
      <c r="Z747" s="162"/>
      <c r="AA747" s="162"/>
      <c r="AB747" s="230"/>
      <c r="AC747" s="230"/>
      <c r="AD747" s="162"/>
      <c r="AE747" s="162"/>
      <c r="AF747" s="162"/>
      <c r="AG747" s="162"/>
      <c r="AH747" s="162"/>
      <c r="AI747" s="230"/>
      <c r="AJ747" s="230"/>
      <c r="AK747" s="162"/>
      <c r="AL747" s="162"/>
      <c r="AM747" s="162"/>
      <c r="AN747" s="162"/>
      <c r="AO747" s="162"/>
      <c r="AP747" s="230"/>
      <c r="AQ747" s="230"/>
      <c r="AR747" s="162"/>
      <c r="AS747" s="162"/>
      <c r="AT747" s="162"/>
      <c r="AU747" s="162"/>
      <c r="AV747" s="162"/>
      <c r="AW747" s="230"/>
      <c r="AX747" s="230"/>
      <c r="AY747" s="162"/>
      <c r="AZ747" s="162"/>
      <c r="BA747" s="162"/>
      <c r="BB747" s="162"/>
      <c r="BC747" s="162"/>
      <c r="BD747" s="230"/>
      <c r="BE747" s="230"/>
      <c r="BF747" s="162"/>
      <c r="BG747" s="162"/>
      <c r="BH747" s="162"/>
      <c r="BI747" s="162"/>
      <c r="BJ747" s="162"/>
      <c r="BK747" s="230"/>
      <c r="BL747" s="230"/>
      <c r="BM747" s="162"/>
      <c r="BN747" s="162"/>
      <c r="BO747" s="162"/>
      <c r="BP747" s="162"/>
      <c r="BQ747" s="162"/>
      <c r="BR747" s="230"/>
      <c r="BS747" s="230"/>
      <c r="BT747" s="162"/>
      <c r="BU747" s="162"/>
      <c r="BV747" s="162"/>
      <c r="BW747" s="162"/>
      <c r="BX747" s="162"/>
      <c r="BY747" s="230"/>
      <c r="BZ747" s="230"/>
      <c r="CA747" s="162"/>
      <c r="CB747" s="162"/>
      <c r="CC747" s="162"/>
      <c r="CD747" s="162"/>
      <c r="CE747" s="162"/>
      <c r="CF747" s="230"/>
      <c r="CG747" s="230"/>
      <c r="CH747" s="162"/>
      <c r="CI747" s="162"/>
      <c r="CJ747" s="162"/>
      <c r="CK747" s="162"/>
      <c r="CL747" s="162"/>
      <c r="CM747" s="230"/>
      <c r="CN747" s="230"/>
      <c r="CO747" s="162"/>
      <c r="CP747" s="162"/>
      <c r="CQ747" s="162"/>
      <c r="CR747" s="162"/>
      <c r="CS747" s="162"/>
      <c r="CT747" s="230"/>
      <c r="CU747" s="230"/>
      <c r="CV747" s="162"/>
      <c r="CW747" s="162"/>
      <c r="CX747" s="162"/>
      <c r="CY747" s="162"/>
      <c r="CZ747" s="162"/>
      <c r="DA747" s="230"/>
      <c r="DB747" s="230"/>
      <c r="DC747" s="162"/>
      <c r="DD747" s="162"/>
      <c r="DE747" s="162"/>
      <c r="DF747" s="162"/>
      <c r="DG747" s="162"/>
      <c r="DH747" s="230"/>
      <c r="DI747" s="230"/>
      <c r="DJ747" s="162"/>
      <c r="DK747" s="162"/>
      <c r="DL747" s="147"/>
      <c r="DM747" s="147"/>
      <c r="DN747" s="147"/>
      <c r="DO747" s="147"/>
      <c r="DP747" s="147"/>
      <c r="DQ747" s="147"/>
      <c r="DR747" s="147"/>
      <c r="DS747" s="147"/>
      <c r="DT747" s="147"/>
      <c r="DU747" s="147"/>
      <c r="DV747" s="147"/>
      <c r="DW747" s="147"/>
      <c r="DX747" s="147"/>
      <c r="DY747" s="147"/>
      <c r="DZ747" s="147"/>
      <c r="EA747" s="147"/>
      <c r="EB747" s="147"/>
      <c r="EC747" s="147"/>
      <c r="ED747" s="147"/>
      <c r="EE747" s="147"/>
      <c r="EF747" s="147"/>
      <c r="EG747" s="147"/>
      <c r="EH747" s="147"/>
    </row>
    <row r="748" spans="1:138" x14ac:dyDescent="0.25">
      <c r="A748" s="147"/>
      <c r="B748" s="147"/>
      <c r="C748" s="160"/>
      <c r="D748" s="160"/>
      <c r="E748" s="169"/>
      <c r="F748" s="229"/>
      <c r="G748" s="165"/>
      <c r="H748" s="165"/>
      <c r="I748" s="163"/>
      <c r="J748" s="163"/>
      <c r="K748" s="162"/>
      <c r="L748" s="162"/>
      <c r="M748" s="162"/>
      <c r="N748" s="230"/>
      <c r="O748" s="230"/>
      <c r="P748" s="162"/>
      <c r="Q748" s="162"/>
      <c r="R748" s="162"/>
      <c r="S748" s="162"/>
      <c r="T748" s="162"/>
      <c r="U748" s="230"/>
      <c r="V748" s="230"/>
      <c r="W748" s="162"/>
      <c r="X748" s="162"/>
      <c r="Y748" s="162"/>
      <c r="Z748" s="162"/>
      <c r="AA748" s="162"/>
      <c r="AB748" s="230"/>
      <c r="AC748" s="230"/>
      <c r="AD748" s="162"/>
      <c r="AE748" s="162"/>
      <c r="AF748" s="162"/>
      <c r="AG748" s="162"/>
      <c r="AH748" s="162"/>
      <c r="AI748" s="230"/>
      <c r="AJ748" s="230"/>
      <c r="AK748" s="162"/>
      <c r="AL748" s="162"/>
      <c r="AM748" s="162"/>
      <c r="AN748" s="162"/>
      <c r="AO748" s="162"/>
      <c r="AP748" s="230"/>
      <c r="AQ748" s="230"/>
      <c r="AR748" s="162"/>
      <c r="AS748" s="162"/>
      <c r="AT748" s="162"/>
      <c r="AU748" s="162"/>
      <c r="AV748" s="162"/>
      <c r="AW748" s="230"/>
      <c r="AX748" s="230"/>
      <c r="AY748" s="162"/>
      <c r="AZ748" s="162"/>
      <c r="BA748" s="162"/>
      <c r="BB748" s="162"/>
      <c r="BC748" s="162"/>
      <c r="BD748" s="230"/>
      <c r="BE748" s="230"/>
      <c r="BF748" s="162"/>
      <c r="BG748" s="162"/>
      <c r="BH748" s="162"/>
      <c r="BI748" s="162"/>
      <c r="BJ748" s="162"/>
      <c r="BK748" s="230"/>
      <c r="BL748" s="230"/>
      <c r="BM748" s="162"/>
      <c r="BN748" s="162"/>
      <c r="BO748" s="162"/>
      <c r="BP748" s="162"/>
      <c r="BQ748" s="162"/>
      <c r="BR748" s="230"/>
      <c r="BS748" s="230"/>
      <c r="BT748" s="162"/>
      <c r="BU748" s="162"/>
      <c r="BV748" s="162"/>
      <c r="BW748" s="162"/>
      <c r="BX748" s="162"/>
      <c r="BY748" s="230"/>
      <c r="BZ748" s="230"/>
      <c r="CA748" s="162"/>
      <c r="CB748" s="162"/>
      <c r="CC748" s="162"/>
      <c r="CD748" s="162"/>
      <c r="CE748" s="162"/>
      <c r="CF748" s="230"/>
      <c r="CG748" s="230"/>
      <c r="CH748" s="162"/>
      <c r="CI748" s="162"/>
      <c r="CJ748" s="162"/>
      <c r="CK748" s="162"/>
      <c r="CL748" s="162"/>
      <c r="CM748" s="230"/>
      <c r="CN748" s="230"/>
      <c r="CO748" s="162"/>
      <c r="CP748" s="162"/>
      <c r="CQ748" s="162"/>
      <c r="CR748" s="162"/>
      <c r="CS748" s="162"/>
      <c r="CT748" s="230"/>
      <c r="CU748" s="230"/>
      <c r="CV748" s="162"/>
      <c r="CW748" s="162"/>
      <c r="CX748" s="162"/>
      <c r="CY748" s="162"/>
      <c r="CZ748" s="162"/>
      <c r="DA748" s="230"/>
      <c r="DB748" s="230"/>
      <c r="DC748" s="162"/>
      <c r="DD748" s="162"/>
      <c r="DE748" s="162"/>
      <c r="DF748" s="162"/>
      <c r="DG748" s="162"/>
      <c r="DH748" s="230"/>
      <c r="DI748" s="230"/>
      <c r="DJ748" s="162"/>
      <c r="DK748" s="162"/>
      <c r="DL748" s="147"/>
      <c r="DM748" s="147"/>
      <c r="DN748" s="147"/>
      <c r="DO748" s="147"/>
      <c r="DP748" s="147"/>
      <c r="DQ748" s="147"/>
      <c r="DR748" s="147"/>
      <c r="DS748" s="147"/>
      <c r="DT748" s="147"/>
      <c r="DU748" s="147"/>
      <c r="DV748" s="147"/>
      <c r="DW748" s="147"/>
      <c r="DX748" s="147"/>
      <c r="DY748" s="147"/>
      <c r="DZ748" s="147"/>
      <c r="EA748" s="147"/>
      <c r="EB748" s="147"/>
      <c r="EC748" s="147"/>
      <c r="ED748" s="147"/>
      <c r="EE748" s="147"/>
      <c r="EF748" s="147"/>
      <c r="EG748" s="147"/>
      <c r="EH748" s="147"/>
    </row>
    <row r="749" spans="1:138" x14ac:dyDescent="0.25">
      <c r="A749" s="147"/>
      <c r="B749" s="147"/>
      <c r="C749" s="160"/>
      <c r="D749" s="160"/>
      <c r="E749" s="169"/>
      <c r="F749" s="229"/>
      <c r="G749" s="165"/>
      <c r="H749" s="165"/>
      <c r="I749" s="163"/>
      <c r="J749" s="163"/>
      <c r="K749" s="162"/>
      <c r="L749" s="162"/>
      <c r="M749" s="162"/>
      <c r="N749" s="230"/>
      <c r="O749" s="230"/>
      <c r="P749" s="162"/>
      <c r="Q749" s="162"/>
      <c r="R749" s="162"/>
      <c r="S749" s="162"/>
      <c r="T749" s="162"/>
      <c r="U749" s="230"/>
      <c r="V749" s="230"/>
      <c r="W749" s="162"/>
      <c r="X749" s="162"/>
      <c r="Y749" s="162"/>
      <c r="Z749" s="162"/>
      <c r="AA749" s="162"/>
      <c r="AB749" s="230"/>
      <c r="AC749" s="230"/>
      <c r="AD749" s="162"/>
      <c r="AE749" s="162"/>
      <c r="AF749" s="162"/>
      <c r="AG749" s="162"/>
      <c r="AH749" s="162"/>
      <c r="AI749" s="230"/>
      <c r="AJ749" s="230"/>
      <c r="AK749" s="162"/>
      <c r="AL749" s="162"/>
      <c r="AM749" s="162"/>
      <c r="AN749" s="162"/>
      <c r="AO749" s="162"/>
      <c r="AP749" s="230"/>
      <c r="AQ749" s="230"/>
      <c r="AR749" s="162"/>
      <c r="AS749" s="162"/>
      <c r="AT749" s="162"/>
      <c r="AU749" s="162"/>
      <c r="AV749" s="162"/>
      <c r="AW749" s="230"/>
      <c r="AX749" s="230"/>
      <c r="AY749" s="162"/>
      <c r="AZ749" s="162"/>
      <c r="BA749" s="162"/>
      <c r="BB749" s="162"/>
      <c r="BC749" s="162"/>
      <c r="BD749" s="230"/>
      <c r="BE749" s="230"/>
      <c r="BF749" s="162"/>
      <c r="BG749" s="162"/>
      <c r="BH749" s="162"/>
      <c r="BI749" s="162"/>
      <c r="BJ749" s="162"/>
      <c r="BK749" s="230"/>
      <c r="BL749" s="230"/>
      <c r="BM749" s="162"/>
      <c r="BN749" s="162"/>
      <c r="BO749" s="162"/>
      <c r="BP749" s="162"/>
      <c r="BQ749" s="162"/>
      <c r="BR749" s="230"/>
      <c r="BS749" s="230"/>
      <c r="BT749" s="162"/>
      <c r="BU749" s="162"/>
      <c r="BV749" s="162"/>
      <c r="BW749" s="162"/>
      <c r="BX749" s="162"/>
      <c r="BY749" s="230"/>
      <c r="BZ749" s="230"/>
      <c r="CA749" s="162"/>
      <c r="CB749" s="162"/>
      <c r="CC749" s="162"/>
      <c r="CD749" s="162"/>
      <c r="CE749" s="162"/>
      <c r="CF749" s="230"/>
      <c r="CG749" s="230"/>
      <c r="CH749" s="162"/>
      <c r="CI749" s="162"/>
      <c r="CJ749" s="162"/>
      <c r="CK749" s="162"/>
      <c r="CL749" s="162"/>
      <c r="CM749" s="230"/>
      <c r="CN749" s="230"/>
      <c r="CO749" s="162"/>
      <c r="CP749" s="162"/>
      <c r="CQ749" s="162"/>
      <c r="CR749" s="162"/>
      <c r="CS749" s="162"/>
      <c r="CT749" s="230"/>
      <c r="CU749" s="230"/>
      <c r="CV749" s="162"/>
      <c r="CW749" s="162"/>
      <c r="CX749" s="162"/>
      <c r="CY749" s="162"/>
      <c r="CZ749" s="162"/>
      <c r="DA749" s="230"/>
      <c r="DB749" s="230"/>
      <c r="DC749" s="162"/>
      <c r="DD749" s="162"/>
      <c r="DE749" s="162"/>
      <c r="DF749" s="162"/>
      <c r="DG749" s="162"/>
      <c r="DH749" s="230"/>
      <c r="DI749" s="230"/>
      <c r="DJ749" s="162"/>
      <c r="DK749" s="162"/>
      <c r="DL749" s="147"/>
      <c r="DM749" s="147"/>
      <c r="DN749" s="147"/>
      <c r="DO749" s="147"/>
      <c r="DP749" s="147"/>
      <c r="DQ749" s="147"/>
      <c r="DR749" s="147"/>
      <c r="DS749" s="147"/>
      <c r="DT749" s="147"/>
      <c r="DU749" s="147"/>
      <c r="DV749" s="147"/>
      <c r="DW749" s="147"/>
      <c r="DX749" s="147"/>
      <c r="DY749" s="147"/>
      <c r="DZ749" s="147"/>
      <c r="EA749" s="147"/>
      <c r="EB749" s="147"/>
      <c r="EC749" s="147"/>
      <c r="ED749" s="147"/>
      <c r="EE749" s="147"/>
      <c r="EF749" s="147"/>
      <c r="EG749" s="147"/>
      <c r="EH749" s="147"/>
    </row>
    <row r="750" spans="1:138" x14ac:dyDescent="0.25">
      <c r="A750" s="147"/>
      <c r="B750" s="147"/>
      <c r="C750" s="160"/>
      <c r="D750" s="160"/>
      <c r="E750" s="169"/>
      <c r="F750" s="229"/>
      <c r="G750" s="165"/>
      <c r="H750" s="165"/>
      <c r="I750" s="163"/>
      <c r="J750" s="163"/>
      <c r="K750" s="162"/>
      <c r="L750" s="162"/>
      <c r="M750" s="162"/>
      <c r="N750" s="230"/>
      <c r="O750" s="230"/>
      <c r="P750" s="162"/>
      <c r="Q750" s="162"/>
      <c r="R750" s="162"/>
      <c r="S750" s="162"/>
      <c r="T750" s="162"/>
      <c r="U750" s="230"/>
      <c r="V750" s="230"/>
      <c r="W750" s="162"/>
      <c r="X750" s="162"/>
      <c r="Y750" s="162"/>
      <c r="Z750" s="162"/>
      <c r="AA750" s="162"/>
      <c r="AB750" s="230"/>
      <c r="AC750" s="230"/>
      <c r="AD750" s="162"/>
      <c r="AE750" s="162"/>
      <c r="AF750" s="162"/>
      <c r="AG750" s="162"/>
      <c r="AH750" s="162"/>
      <c r="AI750" s="230"/>
      <c r="AJ750" s="230"/>
      <c r="AK750" s="162"/>
      <c r="AL750" s="162"/>
      <c r="AM750" s="162"/>
      <c r="AN750" s="162"/>
      <c r="AO750" s="162"/>
      <c r="AP750" s="230"/>
      <c r="AQ750" s="230"/>
      <c r="AR750" s="162"/>
      <c r="AS750" s="162"/>
      <c r="AT750" s="162"/>
      <c r="AU750" s="162"/>
      <c r="AV750" s="162"/>
      <c r="AW750" s="230"/>
      <c r="AX750" s="230"/>
      <c r="AY750" s="162"/>
      <c r="AZ750" s="162"/>
      <c r="BA750" s="162"/>
      <c r="BB750" s="162"/>
      <c r="BC750" s="162"/>
      <c r="BD750" s="230"/>
      <c r="BE750" s="230"/>
      <c r="BF750" s="162"/>
      <c r="BG750" s="162"/>
      <c r="BH750" s="162"/>
      <c r="BI750" s="162"/>
      <c r="BJ750" s="162"/>
      <c r="BK750" s="230"/>
      <c r="BL750" s="230"/>
      <c r="BM750" s="162"/>
      <c r="BN750" s="162"/>
      <c r="BO750" s="162"/>
      <c r="BP750" s="162"/>
      <c r="BQ750" s="162"/>
      <c r="BR750" s="230"/>
      <c r="BS750" s="230"/>
      <c r="BT750" s="162"/>
      <c r="BU750" s="162"/>
      <c r="BV750" s="162"/>
      <c r="BW750" s="162"/>
      <c r="BX750" s="162"/>
      <c r="BY750" s="230"/>
      <c r="BZ750" s="230"/>
      <c r="CA750" s="162"/>
      <c r="CB750" s="162"/>
      <c r="CC750" s="162"/>
      <c r="CD750" s="162"/>
      <c r="CE750" s="162"/>
      <c r="CF750" s="230"/>
      <c r="CG750" s="230"/>
      <c r="CH750" s="162"/>
      <c r="CI750" s="162"/>
      <c r="CJ750" s="162"/>
      <c r="CK750" s="162"/>
      <c r="CL750" s="162"/>
      <c r="CM750" s="230"/>
      <c r="CN750" s="230"/>
      <c r="CO750" s="162"/>
      <c r="CP750" s="162"/>
      <c r="CQ750" s="162"/>
      <c r="CR750" s="162"/>
      <c r="CS750" s="162"/>
      <c r="CT750" s="230"/>
      <c r="CU750" s="230"/>
      <c r="CV750" s="162"/>
      <c r="CW750" s="162"/>
      <c r="CX750" s="162"/>
      <c r="CY750" s="162"/>
      <c r="CZ750" s="162"/>
      <c r="DA750" s="230"/>
      <c r="DB750" s="230"/>
      <c r="DC750" s="162"/>
      <c r="DD750" s="162"/>
      <c r="DE750" s="162"/>
      <c r="DF750" s="162"/>
      <c r="DG750" s="162"/>
      <c r="DH750" s="230"/>
      <c r="DI750" s="230"/>
      <c r="DJ750" s="162"/>
      <c r="DK750" s="162"/>
      <c r="DL750" s="147"/>
      <c r="DM750" s="147"/>
      <c r="DN750" s="147"/>
      <c r="DO750" s="147"/>
      <c r="DP750" s="147"/>
      <c r="DQ750" s="147"/>
      <c r="DR750" s="147"/>
      <c r="DS750" s="147"/>
      <c r="DT750" s="147"/>
      <c r="DU750" s="147"/>
      <c r="DV750" s="147"/>
      <c r="DW750" s="147"/>
      <c r="DX750" s="147"/>
      <c r="DY750" s="147"/>
      <c r="DZ750" s="147"/>
      <c r="EA750" s="147"/>
      <c r="EB750" s="147"/>
      <c r="EC750" s="147"/>
      <c r="ED750" s="147"/>
      <c r="EE750" s="147"/>
      <c r="EF750" s="147"/>
      <c r="EG750" s="147"/>
      <c r="EH750" s="147"/>
    </row>
    <row r="751" spans="1:138" x14ac:dyDescent="0.25">
      <c r="A751" s="147"/>
      <c r="B751" s="147"/>
      <c r="C751" s="160"/>
      <c r="D751" s="160"/>
      <c r="E751" s="169"/>
      <c r="F751" s="229"/>
      <c r="G751" s="165"/>
      <c r="H751" s="165"/>
      <c r="I751" s="163"/>
      <c r="J751" s="163"/>
      <c r="K751" s="162"/>
      <c r="L751" s="162"/>
      <c r="M751" s="162"/>
      <c r="N751" s="230"/>
      <c r="O751" s="230"/>
      <c r="P751" s="162"/>
      <c r="Q751" s="162"/>
      <c r="R751" s="162"/>
      <c r="S751" s="162"/>
      <c r="T751" s="162"/>
      <c r="U751" s="230"/>
      <c r="V751" s="230"/>
      <c r="W751" s="162"/>
      <c r="X751" s="162"/>
      <c r="Y751" s="162"/>
      <c r="Z751" s="162"/>
      <c r="AA751" s="162"/>
      <c r="AB751" s="230"/>
      <c r="AC751" s="230"/>
      <c r="AD751" s="162"/>
      <c r="AE751" s="162"/>
      <c r="AF751" s="162"/>
      <c r="AG751" s="162"/>
      <c r="AH751" s="162"/>
      <c r="AI751" s="230"/>
      <c r="AJ751" s="230"/>
      <c r="AK751" s="162"/>
      <c r="AL751" s="162"/>
      <c r="AM751" s="162"/>
      <c r="AN751" s="162"/>
      <c r="AO751" s="162"/>
      <c r="AP751" s="230"/>
      <c r="AQ751" s="230"/>
      <c r="AR751" s="162"/>
      <c r="AS751" s="162"/>
      <c r="AT751" s="162"/>
      <c r="AU751" s="162"/>
      <c r="AV751" s="162"/>
      <c r="AW751" s="230"/>
      <c r="AX751" s="230"/>
      <c r="AY751" s="162"/>
      <c r="AZ751" s="162"/>
      <c r="BA751" s="162"/>
      <c r="BB751" s="162"/>
      <c r="BC751" s="162"/>
      <c r="BD751" s="230"/>
      <c r="BE751" s="230"/>
      <c r="BF751" s="162"/>
      <c r="BG751" s="162"/>
      <c r="BH751" s="162"/>
      <c r="BI751" s="162"/>
      <c r="BJ751" s="162"/>
      <c r="BK751" s="230"/>
      <c r="BL751" s="230"/>
      <c r="BM751" s="162"/>
      <c r="BN751" s="162"/>
      <c r="BO751" s="162"/>
      <c r="BP751" s="162"/>
      <c r="BQ751" s="162"/>
      <c r="BR751" s="230"/>
      <c r="BS751" s="230"/>
      <c r="BT751" s="162"/>
      <c r="BU751" s="162"/>
      <c r="BV751" s="162"/>
      <c r="BW751" s="162"/>
      <c r="BX751" s="162"/>
      <c r="BY751" s="230"/>
      <c r="BZ751" s="230"/>
      <c r="CA751" s="162"/>
      <c r="CB751" s="162"/>
      <c r="CC751" s="162"/>
      <c r="CD751" s="162"/>
      <c r="CE751" s="162"/>
      <c r="CF751" s="230"/>
      <c r="CG751" s="230"/>
      <c r="CH751" s="162"/>
      <c r="CI751" s="162"/>
      <c r="CJ751" s="162"/>
      <c r="CK751" s="162"/>
      <c r="CL751" s="162"/>
      <c r="CM751" s="230"/>
      <c r="CN751" s="230"/>
      <c r="CO751" s="162"/>
      <c r="CP751" s="162"/>
      <c r="CQ751" s="162"/>
      <c r="CR751" s="162"/>
      <c r="CS751" s="162"/>
      <c r="CT751" s="230"/>
      <c r="CU751" s="230"/>
      <c r="CV751" s="162"/>
      <c r="CW751" s="162"/>
      <c r="CX751" s="162"/>
      <c r="CY751" s="162"/>
      <c r="CZ751" s="162"/>
      <c r="DA751" s="230"/>
      <c r="DB751" s="230"/>
      <c r="DC751" s="162"/>
      <c r="DD751" s="162"/>
      <c r="DE751" s="162"/>
      <c r="DF751" s="162"/>
      <c r="DG751" s="162"/>
      <c r="DH751" s="230"/>
      <c r="DI751" s="230"/>
      <c r="DJ751" s="162"/>
      <c r="DK751" s="162"/>
      <c r="DL751" s="147"/>
      <c r="DM751" s="147"/>
      <c r="DN751" s="147"/>
      <c r="DO751" s="147"/>
      <c r="DP751" s="147"/>
      <c r="DQ751" s="147"/>
      <c r="DR751" s="147"/>
      <c r="DS751" s="147"/>
      <c r="DT751" s="147"/>
      <c r="DU751" s="147"/>
      <c r="DV751" s="147"/>
      <c r="DW751" s="147"/>
      <c r="DX751" s="147"/>
      <c r="DY751" s="147"/>
      <c r="DZ751" s="147"/>
      <c r="EA751" s="147"/>
      <c r="EB751" s="147"/>
      <c r="EC751" s="147"/>
      <c r="ED751" s="147"/>
      <c r="EE751" s="147"/>
      <c r="EF751" s="147"/>
      <c r="EG751" s="147"/>
      <c r="EH751" s="147"/>
    </row>
    <row r="752" spans="1:138" x14ac:dyDescent="0.25">
      <c r="A752" s="147"/>
      <c r="B752" s="147"/>
      <c r="C752" s="160"/>
      <c r="D752" s="160"/>
      <c r="E752" s="169"/>
      <c r="F752" s="229"/>
      <c r="G752" s="165"/>
      <c r="H752" s="165"/>
      <c r="I752" s="163"/>
      <c r="J752" s="163"/>
      <c r="K752" s="162"/>
      <c r="L752" s="162"/>
      <c r="M752" s="162"/>
      <c r="N752" s="230"/>
      <c r="O752" s="230"/>
      <c r="P752" s="162"/>
      <c r="Q752" s="162"/>
      <c r="R752" s="162"/>
      <c r="S752" s="162"/>
      <c r="T752" s="162"/>
      <c r="U752" s="230"/>
      <c r="V752" s="230"/>
      <c r="W752" s="162"/>
      <c r="X752" s="162"/>
      <c r="Y752" s="162"/>
      <c r="Z752" s="162"/>
      <c r="AA752" s="162"/>
      <c r="AB752" s="230"/>
      <c r="AC752" s="230"/>
      <c r="AD752" s="162"/>
      <c r="AE752" s="162"/>
      <c r="AF752" s="162"/>
      <c r="AG752" s="162"/>
      <c r="AH752" s="162"/>
      <c r="AI752" s="230"/>
      <c r="AJ752" s="230"/>
      <c r="AK752" s="162"/>
      <c r="AL752" s="162"/>
      <c r="AM752" s="162"/>
      <c r="AN752" s="162"/>
      <c r="AO752" s="162"/>
      <c r="AP752" s="230"/>
      <c r="AQ752" s="230"/>
      <c r="AR752" s="162"/>
      <c r="AS752" s="162"/>
      <c r="AT752" s="162"/>
      <c r="AU752" s="162"/>
      <c r="AV752" s="162"/>
      <c r="AW752" s="230"/>
      <c r="AX752" s="230"/>
      <c r="AY752" s="162"/>
      <c r="AZ752" s="162"/>
      <c r="BA752" s="162"/>
      <c r="BB752" s="162"/>
      <c r="BC752" s="162"/>
      <c r="BD752" s="230"/>
      <c r="BE752" s="230"/>
      <c r="BF752" s="162"/>
      <c r="BG752" s="162"/>
      <c r="BH752" s="162"/>
      <c r="BI752" s="162"/>
      <c r="BJ752" s="162"/>
      <c r="BK752" s="230"/>
      <c r="BL752" s="230"/>
      <c r="BM752" s="162"/>
      <c r="BN752" s="162"/>
      <c r="BO752" s="162"/>
      <c r="BP752" s="162"/>
      <c r="BQ752" s="162"/>
      <c r="BR752" s="230"/>
      <c r="BS752" s="230"/>
      <c r="BT752" s="162"/>
      <c r="BU752" s="162"/>
      <c r="BV752" s="162"/>
      <c r="BW752" s="162"/>
      <c r="BX752" s="162"/>
      <c r="BY752" s="230"/>
      <c r="BZ752" s="230"/>
      <c r="CA752" s="162"/>
      <c r="CB752" s="162"/>
      <c r="CC752" s="162"/>
      <c r="CD752" s="162"/>
      <c r="CE752" s="162"/>
      <c r="CF752" s="230"/>
      <c r="CG752" s="230"/>
      <c r="CH752" s="162"/>
      <c r="CI752" s="162"/>
      <c r="CJ752" s="162"/>
      <c r="CK752" s="162"/>
      <c r="CL752" s="162"/>
      <c r="CM752" s="230"/>
      <c r="CN752" s="230"/>
      <c r="CO752" s="162"/>
      <c r="CP752" s="162"/>
      <c r="CQ752" s="162"/>
      <c r="CR752" s="162"/>
      <c r="CS752" s="162"/>
      <c r="CT752" s="230"/>
      <c r="CU752" s="230"/>
      <c r="CV752" s="162"/>
      <c r="CW752" s="162"/>
      <c r="CX752" s="162"/>
      <c r="CY752" s="162"/>
      <c r="CZ752" s="162"/>
      <c r="DA752" s="230"/>
      <c r="DB752" s="230"/>
      <c r="DC752" s="162"/>
      <c r="DD752" s="162"/>
      <c r="DE752" s="162"/>
      <c r="DF752" s="162"/>
      <c r="DG752" s="162"/>
      <c r="DH752" s="230"/>
      <c r="DI752" s="230"/>
      <c r="DJ752" s="162"/>
      <c r="DK752" s="162"/>
      <c r="DL752" s="147"/>
      <c r="DM752" s="147"/>
      <c r="DN752" s="147"/>
      <c r="DO752" s="147"/>
      <c r="DP752" s="147"/>
      <c r="DQ752" s="147"/>
      <c r="DR752" s="147"/>
      <c r="DS752" s="147"/>
      <c r="DT752" s="147"/>
      <c r="DU752" s="147"/>
      <c r="DV752" s="147"/>
      <c r="DW752" s="147"/>
      <c r="DX752" s="147"/>
      <c r="DY752" s="147"/>
      <c r="DZ752" s="147"/>
      <c r="EA752" s="147"/>
      <c r="EB752" s="147"/>
      <c r="EC752" s="147"/>
      <c r="ED752" s="147"/>
      <c r="EE752" s="147"/>
      <c r="EF752" s="147"/>
      <c r="EG752" s="147"/>
      <c r="EH752" s="147"/>
    </row>
    <row r="753" spans="1:138" x14ac:dyDescent="0.25">
      <c r="A753" s="147"/>
      <c r="B753" s="147"/>
      <c r="C753" s="160"/>
      <c r="D753" s="160"/>
      <c r="E753" s="169"/>
      <c r="F753" s="229"/>
      <c r="G753" s="165"/>
      <c r="H753" s="165"/>
      <c r="I753" s="163"/>
      <c r="J753" s="163"/>
      <c r="K753" s="162"/>
      <c r="L753" s="162"/>
      <c r="M753" s="162"/>
      <c r="N753" s="230"/>
      <c r="O753" s="230"/>
      <c r="P753" s="162"/>
      <c r="Q753" s="162"/>
      <c r="R753" s="162"/>
      <c r="S753" s="162"/>
      <c r="T753" s="162"/>
      <c r="U753" s="230"/>
      <c r="V753" s="230"/>
      <c r="W753" s="162"/>
      <c r="X753" s="162"/>
      <c r="Y753" s="162"/>
      <c r="Z753" s="162"/>
      <c r="AA753" s="162"/>
      <c r="AB753" s="230"/>
      <c r="AC753" s="230"/>
      <c r="AD753" s="162"/>
      <c r="AE753" s="162"/>
      <c r="AF753" s="162"/>
      <c r="AG753" s="162"/>
      <c r="AH753" s="162"/>
      <c r="AI753" s="230"/>
      <c r="AJ753" s="230"/>
      <c r="AK753" s="162"/>
      <c r="AL753" s="162"/>
      <c r="AM753" s="162"/>
      <c r="AN753" s="162"/>
      <c r="AO753" s="162"/>
      <c r="AP753" s="230"/>
      <c r="AQ753" s="230"/>
      <c r="AR753" s="162"/>
      <c r="AS753" s="162"/>
      <c r="AT753" s="162"/>
      <c r="AU753" s="162"/>
      <c r="AV753" s="162"/>
      <c r="AW753" s="230"/>
      <c r="AX753" s="230"/>
      <c r="AY753" s="162"/>
      <c r="AZ753" s="162"/>
      <c r="BA753" s="162"/>
      <c r="BB753" s="162"/>
      <c r="BC753" s="162"/>
      <c r="BD753" s="230"/>
      <c r="BE753" s="230"/>
      <c r="BF753" s="162"/>
      <c r="BG753" s="162"/>
      <c r="BH753" s="162"/>
      <c r="BI753" s="162"/>
      <c r="BJ753" s="162"/>
      <c r="BK753" s="230"/>
      <c r="BL753" s="230"/>
      <c r="BM753" s="162"/>
      <c r="BN753" s="162"/>
      <c r="BO753" s="162"/>
      <c r="BP753" s="162"/>
      <c r="BQ753" s="162"/>
      <c r="BR753" s="230"/>
      <c r="BS753" s="230"/>
      <c r="BT753" s="162"/>
      <c r="BU753" s="162"/>
      <c r="BV753" s="162"/>
      <c r="BW753" s="162"/>
      <c r="BX753" s="162"/>
      <c r="BY753" s="230"/>
      <c r="BZ753" s="230"/>
      <c r="CA753" s="162"/>
      <c r="CB753" s="162"/>
      <c r="CC753" s="162"/>
      <c r="CD753" s="162"/>
      <c r="CE753" s="162"/>
      <c r="CF753" s="230"/>
      <c r="CG753" s="230"/>
      <c r="CH753" s="162"/>
      <c r="CI753" s="162"/>
      <c r="CJ753" s="162"/>
      <c r="CK753" s="162"/>
      <c r="CL753" s="162"/>
      <c r="CM753" s="230"/>
      <c r="CN753" s="230"/>
      <c r="CO753" s="162"/>
      <c r="CP753" s="162"/>
      <c r="CQ753" s="162"/>
      <c r="CR753" s="162"/>
      <c r="CS753" s="162"/>
      <c r="CT753" s="230"/>
      <c r="CU753" s="230"/>
      <c r="CV753" s="162"/>
      <c r="CW753" s="162"/>
      <c r="CX753" s="162"/>
      <c r="CY753" s="162"/>
      <c r="CZ753" s="162"/>
      <c r="DA753" s="230"/>
      <c r="DB753" s="230"/>
      <c r="DC753" s="162"/>
      <c r="DD753" s="162"/>
      <c r="DE753" s="162"/>
      <c r="DF753" s="162"/>
      <c r="DG753" s="162"/>
      <c r="DH753" s="230"/>
      <c r="DI753" s="230"/>
      <c r="DJ753" s="162"/>
      <c r="DK753" s="162"/>
      <c r="DL753" s="147"/>
      <c r="DM753" s="147"/>
      <c r="DN753" s="147"/>
      <c r="DO753" s="147"/>
      <c r="DP753" s="147"/>
      <c r="DQ753" s="147"/>
      <c r="DR753" s="147"/>
      <c r="DS753" s="147"/>
      <c r="DT753" s="147"/>
      <c r="DU753" s="147"/>
      <c r="DV753" s="147"/>
      <c r="DW753" s="147"/>
      <c r="DX753" s="147"/>
      <c r="DY753" s="147"/>
      <c r="DZ753" s="147"/>
      <c r="EA753" s="147"/>
      <c r="EB753" s="147"/>
      <c r="EC753" s="147"/>
      <c r="ED753" s="147"/>
      <c r="EE753" s="147"/>
      <c r="EF753" s="147"/>
      <c r="EG753" s="147"/>
      <c r="EH753" s="147"/>
    </row>
    <row r="754" spans="1:138" x14ac:dyDescent="0.25">
      <c r="A754" s="147"/>
      <c r="B754" s="147"/>
      <c r="C754" s="160"/>
      <c r="D754" s="160"/>
      <c r="E754" s="169"/>
      <c r="F754" s="229"/>
      <c r="G754" s="165"/>
      <c r="H754" s="165"/>
      <c r="I754" s="163"/>
      <c r="J754" s="163"/>
      <c r="K754" s="162"/>
      <c r="L754" s="162"/>
      <c r="M754" s="162"/>
      <c r="N754" s="230"/>
      <c r="O754" s="230"/>
      <c r="P754" s="162"/>
      <c r="Q754" s="162"/>
      <c r="R754" s="162"/>
      <c r="S754" s="162"/>
      <c r="T754" s="162"/>
      <c r="U754" s="230"/>
      <c r="V754" s="230"/>
      <c r="W754" s="162"/>
      <c r="X754" s="162"/>
      <c r="Y754" s="162"/>
      <c r="Z754" s="162"/>
      <c r="AA754" s="162"/>
      <c r="AB754" s="230"/>
      <c r="AC754" s="230"/>
      <c r="AD754" s="162"/>
      <c r="AE754" s="162"/>
      <c r="AF754" s="162"/>
      <c r="AG754" s="162"/>
      <c r="AH754" s="162"/>
      <c r="AI754" s="230"/>
      <c r="AJ754" s="230"/>
      <c r="AK754" s="162"/>
      <c r="AL754" s="162"/>
      <c r="AM754" s="162"/>
      <c r="AN754" s="162"/>
      <c r="AO754" s="162"/>
      <c r="AP754" s="230"/>
      <c r="AQ754" s="230"/>
      <c r="AR754" s="162"/>
      <c r="AS754" s="162"/>
      <c r="AT754" s="162"/>
      <c r="AU754" s="162"/>
      <c r="AV754" s="162"/>
      <c r="AW754" s="230"/>
      <c r="AX754" s="230"/>
      <c r="AY754" s="162"/>
      <c r="AZ754" s="162"/>
      <c r="BA754" s="162"/>
      <c r="BB754" s="162"/>
      <c r="BC754" s="162"/>
      <c r="BD754" s="230"/>
      <c r="BE754" s="230"/>
      <c r="BF754" s="162"/>
      <c r="BG754" s="162"/>
      <c r="BH754" s="162"/>
      <c r="BI754" s="162"/>
      <c r="BJ754" s="162"/>
      <c r="BK754" s="230"/>
      <c r="BL754" s="230"/>
      <c r="BM754" s="162"/>
      <c r="BN754" s="162"/>
      <c r="BO754" s="162"/>
      <c r="BP754" s="162"/>
      <c r="BQ754" s="162"/>
      <c r="BR754" s="230"/>
      <c r="BS754" s="230"/>
      <c r="BT754" s="162"/>
      <c r="BU754" s="162"/>
      <c r="BV754" s="162"/>
      <c r="BW754" s="162"/>
      <c r="BX754" s="162"/>
      <c r="BY754" s="230"/>
      <c r="BZ754" s="230"/>
      <c r="CA754" s="162"/>
      <c r="CB754" s="162"/>
      <c r="CC754" s="162"/>
      <c r="CD754" s="162"/>
      <c r="CE754" s="162"/>
      <c r="CF754" s="230"/>
      <c r="CG754" s="230"/>
      <c r="CH754" s="162"/>
      <c r="CI754" s="162"/>
      <c r="CJ754" s="162"/>
      <c r="CK754" s="162"/>
      <c r="CL754" s="162"/>
      <c r="CM754" s="230"/>
      <c r="CN754" s="230"/>
      <c r="CO754" s="162"/>
      <c r="CP754" s="162"/>
      <c r="CQ754" s="162"/>
      <c r="CR754" s="162"/>
      <c r="CS754" s="162"/>
      <c r="CT754" s="230"/>
      <c r="CU754" s="230"/>
      <c r="CV754" s="162"/>
      <c r="CW754" s="162"/>
      <c r="CX754" s="162"/>
      <c r="CY754" s="162"/>
      <c r="CZ754" s="162"/>
      <c r="DA754" s="230"/>
      <c r="DB754" s="230"/>
      <c r="DC754" s="162"/>
      <c r="DD754" s="162"/>
      <c r="DE754" s="162"/>
      <c r="DF754" s="162"/>
      <c r="DG754" s="162"/>
      <c r="DH754" s="230"/>
      <c r="DI754" s="230"/>
      <c r="DJ754" s="162"/>
      <c r="DK754" s="162"/>
      <c r="DL754" s="147"/>
      <c r="DM754" s="147"/>
      <c r="DN754" s="147"/>
      <c r="DO754" s="147"/>
      <c r="DP754" s="147"/>
      <c r="DQ754" s="147"/>
      <c r="DR754" s="147"/>
      <c r="DS754" s="147"/>
      <c r="DT754" s="147"/>
      <c r="DU754" s="147"/>
      <c r="DV754" s="147"/>
      <c r="DW754" s="147"/>
      <c r="DX754" s="147"/>
      <c r="DY754" s="147"/>
      <c r="DZ754" s="147"/>
      <c r="EA754" s="147"/>
      <c r="EB754" s="147"/>
      <c r="EC754" s="147"/>
      <c r="ED754" s="147"/>
      <c r="EE754" s="147"/>
      <c r="EF754" s="147"/>
      <c r="EG754" s="147"/>
      <c r="EH754" s="147"/>
    </row>
    <row r="755" spans="1:138" x14ac:dyDescent="0.25">
      <c r="A755" s="147"/>
      <c r="B755" s="147"/>
      <c r="C755" s="160"/>
      <c r="D755" s="160"/>
      <c r="E755" s="169"/>
      <c r="F755" s="229"/>
      <c r="G755" s="165"/>
      <c r="H755" s="165"/>
      <c r="I755" s="163"/>
      <c r="J755" s="163"/>
      <c r="K755" s="162"/>
      <c r="L755" s="162"/>
      <c r="M755" s="162"/>
      <c r="N755" s="230"/>
      <c r="O755" s="230"/>
      <c r="P755" s="162"/>
      <c r="Q755" s="162"/>
      <c r="R755" s="162"/>
      <c r="S755" s="162"/>
      <c r="T755" s="162"/>
      <c r="U755" s="230"/>
      <c r="V755" s="230"/>
      <c r="W755" s="162"/>
      <c r="X755" s="162"/>
      <c r="Y755" s="162"/>
      <c r="Z755" s="162"/>
      <c r="AA755" s="162"/>
      <c r="AB755" s="230"/>
      <c r="AC755" s="230"/>
      <c r="AD755" s="162"/>
      <c r="AE755" s="162"/>
      <c r="AF755" s="162"/>
      <c r="AG755" s="162"/>
      <c r="AH755" s="162"/>
      <c r="AI755" s="230"/>
      <c r="AJ755" s="230"/>
      <c r="AK755" s="162"/>
      <c r="AL755" s="162"/>
      <c r="AM755" s="162"/>
      <c r="AN755" s="162"/>
      <c r="AO755" s="162"/>
      <c r="AP755" s="230"/>
      <c r="AQ755" s="230"/>
      <c r="AR755" s="162"/>
      <c r="AS755" s="162"/>
      <c r="AT755" s="162"/>
      <c r="AU755" s="162"/>
      <c r="AV755" s="162"/>
      <c r="AW755" s="230"/>
      <c r="AX755" s="230"/>
      <c r="AY755" s="162"/>
      <c r="AZ755" s="162"/>
      <c r="BA755" s="162"/>
      <c r="BB755" s="162"/>
      <c r="BC755" s="162"/>
      <c r="BD755" s="230"/>
      <c r="BE755" s="230"/>
      <c r="BF755" s="162"/>
      <c r="BG755" s="162"/>
      <c r="BH755" s="162"/>
      <c r="BI755" s="162"/>
      <c r="BJ755" s="162"/>
      <c r="BK755" s="230"/>
      <c r="BL755" s="230"/>
      <c r="BM755" s="162"/>
      <c r="BN755" s="162"/>
      <c r="BO755" s="162"/>
      <c r="BP755" s="162"/>
      <c r="BQ755" s="162"/>
      <c r="BR755" s="230"/>
      <c r="BS755" s="230"/>
      <c r="BT755" s="162"/>
      <c r="BU755" s="162"/>
      <c r="BV755" s="162"/>
      <c r="BW755" s="162"/>
      <c r="BX755" s="162"/>
      <c r="BY755" s="230"/>
      <c r="BZ755" s="230"/>
      <c r="CA755" s="162"/>
      <c r="CB755" s="162"/>
      <c r="CC755" s="162"/>
      <c r="CD755" s="162"/>
      <c r="CE755" s="162"/>
      <c r="CF755" s="230"/>
      <c r="CG755" s="230"/>
      <c r="CH755" s="162"/>
      <c r="CI755" s="162"/>
      <c r="CJ755" s="162"/>
      <c r="CK755" s="162"/>
      <c r="CL755" s="162"/>
      <c r="CM755" s="230"/>
      <c r="CN755" s="230"/>
      <c r="CO755" s="162"/>
      <c r="CP755" s="162"/>
      <c r="CQ755" s="162"/>
      <c r="CR755" s="162"/>
      <c r="CS755" s="162"/>
      <c r="CT755" s="230"/>
      <c r="CU755" s="230"/>
      <c r="CV755" s="162"/>
      <c r="CW755" s="162"/>
      <c r="CX755" s="162"/>
      <c r="CY755" s="162"/>
      <c r="CZ755" s="162"/>
      <c r="DA755" s="230"/>
      <c r="DB755" s="230"/>
      <c r="DC755" s="162"/>
      <c r="DD755" s="162"/>
      <c r="DE755" s="162"/>
      <c r="DF755" s="162"/>
      <c r="DG755" s="162"/>
      <c r="DH755" s="230"/>
      <c r="DI755" s="230"/>
      <c r="DJ755" s="162"/>
      <c r="DK755" s="162"/>
      <c r="DL755" s="147"/>
      <c r="DM755" s="147"/>
      <c r="DN755" s="147"/>
      <c r="DO755" s="147"/>
      <c r="DP755" s="147"/>
      <c r="DQ755" s="147"/>
      <c r="DR755" s="147"/>
      <c r="DS755" s="147"/>
      <c r="DT755" s="147"/>
      <c r="DU755" s="147"/>
      <c r="DV755" s="147"/>
      <c r="DW755" s="147"/>
      <c r="DX755" s="147"/>
      <c r="DY755" s="147"/>
      <c r="DZ755" s="147"/>
      <c r="EA755" s="147"/>
      <c r="EB755" s="147"/>
      <c r="EC755" s="147"/>
      <c r="ED755" s="147"/>
      <c r="EE755" s="147"/>
      <c r="EF755" s="147"/>
      <c r="EG755" s="147"/>
      <c r="EH755" s="147"/>
    </row>
    <row r="756" spans="1:138" x14ac:dyDescent="0.25">
      <c r="A756" s="147"/>
      <c r="B756" s="147"/>
      <c r="C756" s="160"/>
      <c r="D756" s="160"/>
      <c r="E756" s="169"/>
      <c r="F756" s="229"/>
      <c r="G756" s="165"/>
      <c r="H756" s="165"/>
      <c r="I756" s="163"/>
      <c r="J756" s="163"/>
      <c r="K756" s="162"/>
      <c r="L756" s="162"/>
      <c r="M756" s="162"/>
      <c r="N756" s="230"/>
      <c r="O756" s="230"/>
      <c r="P756" s="162"/>
      <c r="Q756" s="162"/>
      <c r="R756" s="162"/>
      <c r="S756" s="162"/>
      <c r="T756" s="162"/>
      <c r="U756" s="230"/>
      <c r="V756" s="230"/>
      <c r="W756" s="162"/>
      <c r="X756" s="162"/>
      <c r="Y756" s="162"/>
      <c r="Z756" s="162"/>
      <c r="AA756" s="162"/>
      <c r="AB756" s="230"/>
      <c r="AC756" s="230"/>
      <c r="AD756" s="162"/>
      <c r="AE756" s="162"/>
      <c r="AF756" s="162"/>
      <c r="AG756" s="162"/>
      <c r="AH756" s="162"/>
      <c r="AI756" s="230"/>
      <c r="AJ756" s="230"/>
      <c r="AK756" s="162"/>
      <c r="AL756" s="162"/>
      <c r="AM756" s="162"/>
      <c r="AN756" s="162"/>
      <c r="AO756" s="162"/>
      <c r="AP756" s="230"/>
      <c r="AQ756" s="230"/>
      <c r="AR756" s="162"/>
      <c r="AS756" s="162"/>
      <c r="AT756" s="162"/>
      <c r="AU756" s="162"/>
      <c r="AV756" s="162"/>
      <c r="AW756" s="230"/>
      <c r="AX756" s="230"/>
      <c r="AY756" s="162"/>
      <c r="AZ756" s="162"/>
      <c r="BA756" s="162"/>
      <c r="BB756" s="162"/>
      <c r="BC756" s="162"/>
      <c r="BD756" s="230"/>
      <c r="BE756" s="230"/>
      <c r="BF756" s="162"/>
      <c r="BG756" s="162"/>
      <c r="BH756" s="162"/>
      <c r="BI756" s="162"/>
      <c r="BJ756" s="162"/>
      <c r="BK756" s="230"/>
      <c r="BL756" s="230"/>
      <c r="BM756" s="162"/>
      <c r="BN756" s="162"/>
      <c r="BO756" s="162"/>
      <c r="BP756" s="162"/>
      <c r="BQ756" s="162"/>
      <c r="BR756" s="230"/>
      <c r="BS756" s="230"/>
      <c r="BT756" s="162"/>
      <c r="BU756" s="162"/>
      <c r="BV756" s="162"/>
      <c r="BW756" s="162"/>
      <c r="BX756" s="162"/>
      <c r="BY756" s="230"/>
      <c r="BZ756" s="230"/>
      <c r="CA756" s="162"/>
      <c r="CB756" s="162"/>
      <c r="CC756" s="162"/>
      <c r="CD756" s="162"/>
      <c r="CE756" s="162"/>
      <c r="CF756" s="230"/>
      <c r="CG756" s="230"/>
      <c r="CH756" s="162"/>
      <c r="CI756" s="162"/>
      <c r="CJ756" s="162"/>
      <c r="CK756" s="162"/>
      <c r="CL756" s="162"/>
      <c r="CM756" s="230"/>
      <c r="CN756" s="230"/>
      <c r="CO756" s="162"/>
      <c r="CP756" s="162"/>
      <c r="CQ756" s="162"/>
      <c r="CR756" s="162"/>
      <c r="CS756" s="162"/>
      <c r="CT756" s="230"/>
      <c r="CU756" s="230"/>
      <c r="CV756" s="162"/>
      <c r="CW756" s="162"/>
      <c r="CX756" s="162"/>
      <c r="CY756" s="162"/>
      <c r="CZ756" s="162"/>
      <c r="DA756" s="230"/>
      <c r="DB756" s="230"/>
      <c r="DC756" s="162"/>
      <c r="DD756" s="162"/>
      <c r="DE756" s="162"/>
      <c r="DF756" s="162"/>
      <c r="DG756" s="162"/>
      <c r="DH756" s="230"/>
      <c r="DI756" s="230"/>
      <c r="DJ756" s="162"/>
      <c r="DK756" s="162"/>
      <c r="DL756" s="147"/>
      <c r="DM756" s="147"/>
      <c r="DN756" s="147"/>
      <c r="DO756" s="147"/>
      <c r="DP756" s="147"/>
      <c r="DQ756" s="147"/>
      <c r="DR756" s="147"/>
      <c r="DS756" s="147"/>
      <c r="DT756" s="147"/>
      <c r="DU756" s="147"/>
      <c r="DV756" s="147"/>
      <c r="DW756" s="147"/>
      <c r="DX756" s="147"/>
      <c r="DY756" s="147"/>
      <c r="DZ756" s="147"/>
      <c r="EA756" s="147"/>
      <c r="EB756" s="147"/>
      <c r="EC756" s="147"/>
      <c r="ED756" s="147"/>
      <c r="EE756" s="147"/>
      <c r="EF756" s="147"/>
      <c r="EG756" s="147"/>
      <c r="EH756" s="147"/>
    </row>
    <row r="757" spans="1:138" x14ac:dyDescent="0.25">
      <c r="A757" s="147"/>
      <c r="B757" s="147"/>
      <c r="C757" s="160"/>
      <c r="D757" s="160"/>
      <c r="E757" s="169"/>
      <c r="F757" s="229"/>
      <c r="G757" s="165"/>
      <c r="H757" s="165"/>
      <c r="I757" s="163"/>
      <c r="J757" s="163"/>
      <c r="K757" s="162"/>
      <c r="L757" s="162"/>
      <c r="M757" s="162"/>
      <c r="N757" s="230"/>
      <c r="O757" s="230"/>
      <c r="P757" s="162"/>
      <c r="Q757" s="162"/>
      <c r="R757" s="162"/>
      <c r="S757" s="162"/>
      <c r="T757" s="162"/>
      <c r="U757" s="230"/>
      <c r="V757" s="230"/>
      <c r="W757" s="162"/>
      <c r="X757" s="162"/>
      <c r="Y757" s="162"/>
      <c r="Z757" s="162"/>
      <c r="AA757" s="162"/>
      <c r="AB757" s="230"/>
      <c r="AC757" s="230"/>
      <c r="AD757" s="162"/>
      <c r="AE757" s="162"/>
      <c r="AF757" s="162"/>
      <c r="AG757" s="162"/>
      <c r="AH757" s="162"/>
      <c r="AI757" s="230"/>
      <c r="AJ757" s="230"/>
      <c r="AK757" s="162"/>
      <c r="AL757" s="162"/>
      <c r="AM757" s="162"/>
      <c r="AN757" s="162"/>
      <c r="AO757" s="162"/>
      <c r="AP757" s="230"/>
      <c r="AQ757" s="230"/>
      <c r="AR757" s="162"/>
      <c r="AS757" s="162"/>
      <c r="AT757" s="162"/>
      <c r="AU757" s="162"/>
      <c r="AV757" s="162"/>
      <c r="AW757" s="230"/>
      <c r="AX757" s="230"/>
      <c r="AY757" s="162"/>
      <c r="AZ757" s="162"/>
      <c r="BA757" s="162"/>
      <c r="BB757" s="162"/>
      <c r="BC757" s="162"/>
      <c r="BD757" s="230"/>
      <c r="BE757" s="230"/>
      <c r="BF757" s="162"/>
      <c r="BG757" s="162"/>
      <c r="BH757" s="162"/>
      <c r="BI757" s="162"/>
      <c r="BJ757" s="162"/>
      <c r="BK757" s="230"/>
      <c r="BL757" s="230"/>
      <c r="BM757" s="162"/>
      <c r="BN757" s="162"/>
      <c r="BO757" s="162"/>
      <c r="BP757" s="162"/>
      <c r="BQ757" s="162"/>
      <c r="BR757" s="230"/>
      <c r="BS757" s="230"/>
      <c r="BT757" s="162"/>
      <c r="BU757" s="162"/>
      <c r="BV757" s="162"/>
      <c r="BW757" s="162"/>
      <c r="BX757" s="162"/>
      <c r="BY757" s="230"/>
      <c r="BZ757" s="230"/>
      <c r="CA757" s="162"/>
      <c r="CB757" s="162"/>
      <c r="CC757" s="162"/>
      <c r="CD757" s="162"/>
      <c r="CE757" s="162"/>
      <c r="CF757" s="230"/>
      <c r="CG757" s="230"/>
      <c r="CH757" s="162"/>
      <c r="CI757" s="162"/>
      <c r="CJ757" s="162"/>
      <c r="CK757" s="162"/>
      <c r="CL757" s="162"/>
      <c r="CM757" s="230"/>
      <c r="CN757" s="230"/>
      <c r="CO757" s="162"/>
      <c r="CP757" s="162"/>
      <c r="CQ757" s="162"/>
      <c r="CR757" s="162"/>
      <c r="CS757" s="162"/>
      <c r="CT757" s="230"/>
      <c r="CU757" s="230"/>
      <c r="CV757" s="162"/>
      <c r="CW757" s="162"/>
      <c r="CX757" s="162"/>
      <c r="CY757" s="162"/>
      <c r="CZ757" s="162"/>
      <c r="DA757" s="230"/>
      <c r="DB757" s="230"/>
      <c r="DC757" s="162"/>
      <c r="DD757" s="162"/>
      <c r="DE757" s="162"/>
      <c r="DF757" s="162"/>
      <c r="DG757" s="162"/>
      <c r="DH757" s="230"/>
      <c r="DI757" s="230"/>
      <c r="DJ757" s="162"/>
      <c r="DK757" s="162"/>
      <c r="DL757" s="147"/>
      <c r="DM757" s="147"/>
      <c r="DN757" s="147"/>
      <c r="DO757" s="147"/>
      <c r="DP757" s="147"/>
      <c r="DQ757" s="147"/>
      <c r="DR757" s="147"/>
      <c r="DS757" s="147"/>
      <c r="DT757" s="147"/>
      <c r="DU757" s="147"/>
      <c r="DV757" s="147"/>
      <c r="DW757" s="147"/>
      <c r="DX757" s="147"/>
      <c r="DY757" s="147"/>
      <c r="DZ757" s="147"/>
      <c r="EA757" s="147"/>
      <c r="EB757" s="147"/>
      <c r="EC757" s="147"/>
      <c r="ED757" s="147"/>
      <c r="EE757" s="147"/>
      <c r="EF757" s="147"/>
      <c r="EG757" s="147"/>
      <c r="EH757" s="147"/>
    </row>
    <row r="758" spans="1:138" x14ac:dyDescent="0.25">
      <c r="A758" s="147"/>
      <c r="B758" s="147"/>
      <c r="C758" s="160"/>
      <c r="D758" s="160"/>
      <c r="E758" s="169"/>
      <c r="F758" s="229"/>
      <c r="G758" s="165"/>
      <c r="H758" s="165"/>
      <c r="I758" s="163"/>
      <c r="J758" s="163"/>
      <c r="K758" s="162"/>
      <c r="L758" s="162"/>
      <c r="M758" s="162"/>
      <c r="N758" s="230"/>
      <c r="O758" s="230"/>
      <c r="P758" s="162"/>
      <c r="Q758" s="162"/>
      <c r="R758" s="162"/>
      <c r="S758" s="162"/>
      <c r="T758" s="162"/>
      <c r="U758" s="230"/>
      <c r="V758" s="230"/>
      <c r="W758" s="162"/>
      <c r="X758" s="162"/>
      <c r="Y758" s="162"/>
      <c r="Z758" s="162"/>
      <c r="AA758" s="162"/>
      <c r="AB758" s="230"/>
      <c r="AC758" s="230"/>
      <c r="AD758" s="162"/>
      <c r="AE758" s="162"/>
      <c r="AF758" s="162"/>
      <c r="AG758" s="162"/>
      <c r="AH758" s="162"/>
      <c r="AI758" s="230"/>
      <c r="AJ758" s="230"/>
      <c r="AK758" s="162"/>
      <c r="AL758" s="162"/>
      <c r="AM758" s="162"/>
      <c r="AN758" s="162"/>
      <c r="AO758" s="162"/>
      <c r="AP758" s="230"/>
      <c r="AQ758" s="230"/>
      <c r="AR758" s="162"/>
      <c r="AS758" s="162"/>
      <c r="AT758" s="162"/>
      <c r="AU758" s="162"/>
      <c r="AV758" s="162"/>
      <c r="AW758" s="230"/>
      <c r="AX758" s="230"/>
      <c r="AY758" s="162"/>
      <c r="AZ758" s="162"/>
      <c r="BA758" s="162"/>
      <c r="BB758" s="162"/>
      <c r="BC758" s="162"/>
      <c r="BD758" s="230"/>
      <c r="BE758" s="230"/>
      <c r="BF758" s="162"/>
      <c r="BG758" s="162"/>
      <c r="BH758" s="162"/>
      <c r="BI758" s="162"/>
      <c r="BJ758" s="162"/>
      <c r="BK758" s="230"/>
      <c r="BL758" s="230"/>
      <c r="BM758" s="162"/>
      <c r="BN758" s="162"/>
      <c r="BO758" s="162"/>
      <c r="BP758" s="162"/>
      <c r="BQ758" s="162"/>
      <c r="BR758" s="230"/>
      <c r="BS758" s="230"/>
      <c r="BT758" s="162"/>
      <c r="BU758" s="162"/>
      <c r="BV758" s="162"/>
      <c r="BW758" s="162"/>
      <c r="BX758" s="162"/>
      <c r="BY758" s="230"/>
      <c r="BZ758" s="230"/>
      <c r="CA758" s="162"/>
      <c r="CB758" s="162"/>
      <c r="CC758" s="162"/>
      <c r="CD758" s="162"/>
      <c r="CE758" s="162"/>
      <c r="CF758" s="230"/>
      <c r="CG758" s="230"/>
      <c r="CH758" s="162"/>
      <c r="CI758" s="162"/>
      <c r="CJ758" s="162"/>
      <c r="CK758" s="162"/>
      <c r="CL758" s="162"/>
      <c r="CM758" s="230"/>
      <c r="CN758" s="230"/>
      <c r="CO758" s="162"/>
      <c r="CP758" s="162"/>
      <c r="CQ758" s="162"/>
      <c r="CR758" s="162"/>
      <c r="CS758" s="162"/>
      <c r="CT758" s="230"/>
      <c r="CU758" s="230"/>
      <c r="CV758" s="162"/>
      <c r="CW758" s="162"/>
      <c r="CX758" s="162"/>
      <c r="CY758" s="162"/>
      <c r="CZ758" s="162"/>
      <c r="DA758" s="230"/>
      <c r="DB758" s="230"/>
      <c r="DC758" s="162"/>
      <c r="DD758" s="162"/>
      <c r="DE758" s="162"/>
      <c r="DF758" s="162"/>
      <c r="DG758" s="162"/>
      <c r="DH758" s="230"/>
      <c r="DI758" s="230"/>
      <c r="DJ758" s="162"/>
      <c r="DK758" s="162"/>
      <c r="DL758" s="147"/>
      <c r="DM758" s="147"/>
      <c r="DN758" s="147"/>
      <c r="DO758" s="147"/>
      <c r="DP758" s="147"/>
      <c r="DQ758" s="147"/>
      <c r="DR758" s="147"/>
      <c r="DS758" s="147"/>
      <c r="DT758" s="147"/>
      <c r="DU758" s="147"/>
      <c r="DV758" s="147"/>
      <c r="DW758" s="147"/>
      <c r="DX758" s="147"/>
      <c r="DY758" s="147"/>
      <c r="DZ758" s="147"/>
      <c r="EA758" s="147"/>
      <c r="EB758" s="147"/>
      <c r="EC758" s="147"/>
      <c r="ED758" s="147"/>
      <c r="EE758" s="147"/>
      <c r="EF758" s="147"/>
      <c r="EG758" s="147"/>
      <c r="EH758" s="147"/>
    </row>
    <row r="759" spans="1:138" x14ac:dyDescent="0.25">
      <c r="A759" s="147"/>
      <c r="B759" s="147"/>
      <c r="C759" s="160"/>
      <c r="D759" s="160"/>
      <c r="E759" s="169"/>
      <c r="F759" s="229"/>
      <c r="G759" s="165"/>
      <c r="H759" s="165"/>
      <c r="I759" s="163"/>
      <c r="J759" s="163"/>
      <c r="K759" s="162"/>
      <c r="L759" s="162"/>
      <c r="M759" s="162"/>
      <c r="N759" s="230"/>
      <c r="O759" s="230"/>
      <c r="P759" s="162"/>
      <c r="Q759" s="162"/>
      <c r="R759" s="162"/>
      <c r="S759" s="162"/>
      <c r="T759" s="162"/>
      <c r="U759" s="230"/>
      <c r="V759" s="230"/>
      <c r="W759" s="162"/>
      <c r="X759" s="162"/>
      <c r="Y759" s="162"/>
      <c r="Z759" s="162"/>
      <c r="AA759" s="162"/>
      <c r="AB759" s="230"/>
      <c r="AC759" s="230"/>
      <c r="AD759" s="162"/>
      <c r="AE759" s="162"/>
      <c r="AF759" s="162"/>
      <c r="AG759" s="162"/>
      <c r="AH759" s="162"/>
      <c r="AI759" s="230"/>
      <c r="AJ759" s="230"/>
      <c r="AK759" s="162"/>
      <c r="AL759" s="162"/>
      <c r="AM759" s="162"/>
      <c r="AN759" s="162"/>
      <c r="AO759" s="162"/>
      <c r="AP759" s="230"/>
      <c r="AQ759" s="230"/>
      <c r="AR759" s="162"/>
      <c r="AS759" s="162"/>
      <c r="AT759" s="162"/>
      <c r="AU759" s="162"/>
      <c r="AV759" s="162"/>
      <c r="AW759" s="230"/>
      <c r="AX759" s="230"/>
      <c r="AY759" s="162"/>
      <c r="AZ759" s="162"/>
      <c r="BA759" s="162"/>
      <c r="BB759" s="162"/>
      <c r="BC759" s="162"/>
      <c r="BD759" s="230"/>
      <c r="BE759" s="230"/>
      <c r="BF759" s="162"/>
      <c r="BG759" s="162"/>
      <c r="BH759" s="162"/>
      <c r="BI759" s="162"/>
      <c r="BJ759" s="162"/>
      <c r="BK759" s="230"/>
      <c r="BL759" s="230"/>
      <c r="BM759" s="162"/>
      <c r="BN759" s="162"/>
      <c r="BO759" s="162"/>
      <c r="BP759" s="162"/>
      <c r="BQ759" s="162"/>
      <c r="BR759" s="230"/>
      <c r="BS759" s="230"/>
      <c r="BT759" s="162"/>
      <c r="BU759" s="162"/>
      <c r="BV759" s="162"/>
      <c r="BW759" s="162"/>
      <c r="BX759" s="162"/>
      <c r="BY759" s="230"/>
      <c r="BZ759" s="230"/>
      <c r="CA759" s="162"/>
      <c r="CB759" s="162"/>
      <c r="CC759" s="162"/>
      <c r="CD759" s="162"/>
      <c r="CE759" s="162"/>
      <c r="CF759" s="230"/>
      <c r="CG759" s="230"/>
      <c r="CH759" s="162"/>
      <c r="CI759" s="162"/>
      <c r="CJ759" s="162"/>
      <c r="CK759" s="162"/>
      <c r="CL759" s="162"/>
      <c r="CM759" s="230"/>
      <c r="CN759" s="230"/>
      <c r="CO759" s="162"/>
      <c r="CP759" s="162"/>
      <c r="CQ759" s="162"/>
      <c r="CR759" s="162"/>
      <c r="CS759" s="162"/>
      <c r="CT759" s="230"/>
      <c r="CU759" s="230"/>
      <c r="CV759" s="162"/>
      <c r="CW759" s="162"/>
      <c r="CX759" s="162"/>
      <c r="CY759" s="162"/>
      <c r="CZ759" s="162"/>
      <c r="DA759" s="230"/>
      <c r="DB759" s="230"/>
      <c r="DC759" s="162"/>
      <c r="DD759" s="162"/>
      <c r="DE759" s="162"/>
      <c r="DF759" s="162"/>
      <c r="DG759" s="162"/>
      <c r="DH759" s="230"/>
      <c r="DI759" s="230"/>
      <c r="DJ759" s="162"/>
      <c r="DK759" s="162"/>
      <c r="DL759" s="147"/>
      <c r="DM759" s="147"/>
      <c r="DN759" s="147"/>
      <c r="DO759" s="147"/>
      <c r="DP759" s="147"/>
      <c r="DQ759" s="147"/>
      <c r="DR759" s="147"/>
      <c r="DS759" s="147"/>
      <c r="DT759" s="147"/>
      <c r="DU759" s="147"/>
      <c r="DV759" s="147"/>
      <c r="DW759" s="147"/>
      <c r="DX759" s="147"/>
      <c r="DY759" s="147"/>
      <c r="DZ759" s="147"/>
      <c r="EA759" s="147"/>
      <c r="EB759" s="147"/>
      <c r="EC759" s="147"/>
      <c r="ED759" s="147"/>
      <c r="EE759" s="147"/>
      <c r="EF759" s="147"/>
      <c r="EG759" s="147"/>
      <c r="EH759" s="147"/>
    </row>
    <row r="760" spans="1:138" x14ac:dyDescent="0.25">
      <c r="A760" s="147"/>
      <c r="B760" s="147"/>
      <c r="C760" s="160"/>
      <c r="D760" s="160"/>
      <c r="E760" s="169"/>
      <c r="F760" s="229"/>
      <c r="G760" s="165"/>
      <c r="H760" s="165"/>
      <c r="I760" s="163"/>
      <c r="J760" s="163"/>
      <c r="K760" s="162"/>
      <c r="L760" s="162"/>
      <c r="M760" s="162"/>
      <c r="N760" s="230"/>
      <c r="O760" s="230"/>
      <c r="P760" s="162"/>
      <c r="Q760" s="162"/>
      <c r="R760" s="162"/>
      <c r="S760" s="162"/>
      <c r="T760" s="162"/>
      <c r="U760" s="230"/>
      <c r="V760" s="230"/>
      <c r="W760" s="162"/>
      <c r="X760" s="162"/>
      <c r="Y760" s="162"/>
      <c r="Z760" s="162"/>
      <c r="AA760" s="162"/>
      <c r="AB760" s="230"/>
      <c r="AC760" s="230"/>
      <c r="AD760" s="162"/>
      <c r="AE760" s="162"/>
      <c r="AF760" s="162"/>
      <c r="AG760" s="162"/>
      <c r="AH760" s="162"/>
      <c r="AI760" s="230"/>
      <c r="AJ760" s="230"/>
      <c r="AK760" s="162"/>
      <c r="AL760" s="162"/>
      <c r="AM760" s="162"/>
      <c r="AN760" s="162"/>
      <c r="AO760" s="162"/>
      <c r="AP760" s="230"/>
      <c r="AQ760" s="230"/>
      <c r="AR760" s="162"/>
      <c r="AS760" s="162"/>
      <c r="AT760" s="162"/>
      <c r="AU760" s="162"/>
      <c r="AV760" s="162"/>
      <c r="AW760" s="230"/>
      <c r="AX760" s="230"/>
      <c r="AY760" s="162"/>
      <c r="AZ760" s="162"/>
      <c r="BA760" s="162"/>
      <c r="BB760" s="162"/>
      <c r="BC760" s="162"/>
      <c r="BD760" s="230"/>
      <c r="BE760" s="230"/>
      <c r="BF760" s="162"/>
      <c r="BG760" s="162"/>
      <c r="BH760" s="162"/>
      <c r="BI760" s="162"/>
      <c r="BJ760" s="162"/>
      <c r="BK760" s="230"/>
      <c r="BL760" s="230"/>
      <c r="BM760" s="162"/>
      <c r="BN760" s="162"/>
      <c r="BO760" s="162"/>
      <c r="BP760" s="162"/>
      <c r="BQ760" s="162"/>
      <c r="BR760" s="230"/>
      <c r="BS760" s="230"/>
      <c r="BT760" s="162"/>
      <c r="BU760" s="162"/>
      <c r="BV760" s="162"/>
      <c r="BW760" s="162"/>
      <c r="BX760" s="162"/>
      <c r="BY760" s="230"/>
      <c r="BZ760" s="230"/>
      <c r="CA760" s="162"/>
      <c r="CB760" s="162"/>
      <c r="CC760" s="162"/>
      <c r="CD760" s="162"/>
      <c r="CE760" s="162"/>
      <c r="CF760" s="230"/>
      <c r="CG760" s="230"/>
      <c r="CH760" s="162"/>
      <c r="CI760" s="162"/>
      <c r="CJ760" s="162"/>
      <c r="CK760" s="162"/>
      <c r="CL760" s="162"/>
      <c r="CM760" s="230"/>
      <c r="CN760" s="230"/>
      <c r="CO760" s="162"/>
      <c r="CP760" s="162"/>
      <c r="CQ760" s="162"/>
      <c r="CR760" s="162"/>
      <c r="CS760" s="162"/>
      <c r="CT760" s="230"/>
      <c r="CU760" s="230"/>
      <c r="CV760" s="162"/>
      <c r="CW760" s="162"/>
      <c r="CX760" s="162"/>
      <c r="CY760" s="162"/>
      <c r="CZ760" s="162"/>
      <c r="DA760" s="230"/>
      <c r="DB760" s="230"/>
      <c r="DC760" s="162"/>
      <c r="DD760" s="162"/>
      <c r="DE760" s="162"/>
      <c r="DF760" s="162"/>
      <c r="DG760" s="162"/>
      <c r="DH760" s="230"/>
      <c r="DI760" s="230"/>
      <c r="DJ760" s="162"/>
      <c r="DK760" s="162"/>
      <c r="DL760" s="147"/>
      <c r="DM760" s="147"/>
      <c r="DN760" s="147"/>
      <c r="DO760" s="147"/>
      <c r="DP760" s="147"/>
      <c r="DQ760" s="147"/>
      <c r="DR760" s="147"/>
      <c r="DS760" s="147"/>
      <c r="DT760" s="147"/>
      <c r="DU760" s="147"/>
      <c r="DV760" s="147"/>
      <c r="DW760" s="147"/>
      <c r="DX760" s="147"/>
      <c r="DY760" s="147"/>
      <c r="DZ760" s="147"/>
      <c r="EA760" s="147"/>
      <c r="EB760" s="147"/>
      <c r="EC760" s="147"/>
      <c r="ED760" s="147"/>
      <c r="EE760" s="147"/>
      <c r="EF760" s="147"/>
      <c r="EG760" s="147"/>
      <c r="EH760" s="147"/>
    </row>
    <row r="761" spans="1:138" x14ac:dyDescent="0.25">
      <c r="A761" s="147"/>
      <c r="B761" s="147"/>
      <c r="C761" s="160"/>
      <c r="D761" s="160"/>
      <c r="E761" s="169"/>
      <c r="F761" s="229"/>
      <c r="G761" s="165"/>
      <c r="H761" s="165"/>
      <c r="I761" s="163"/>
      <c r="J761" s="163"/>
      <c r="K761" s="162"/>
      <c r="L761" s="162"/>
      <c r="M761" s="162"/>
      <c r="N761" s="230"/>
      <c r="O761" s="230"/>
      <c r="P761" s="162"/>
      <c r="Q761" s="162"/>
      <c r="R761" s="162"/>
      <c r="S761" s="162"/>
      <c r="T761" s="162"/>
      <c r="U761" s="230"/>
      <c r="V761" s="230"/>
      <c r="W761" s="162"/>
      <c r="X761" s="162"/>
      <c r="Y761" s="162"/>
      <c r="Z761" s="162"/>
      <c r="AA761" s="162"/>
      <c r="AB761" s="230"/>
      <c r="AC761" s="230"/>
      <c r="AD761" s="162"/>
      <c r="AE761" s="162"/>
      <c r="AF761" s="162"/>
      <c r="AG761" s="162"/>
      <c r="AH761" s="162"/>
      <c r="AI761" s="230"/>
      <c r="AJ761" s="230"/>
      <c r="AK761" s="162"/>
      <c r="AL761" s="162"/>
      <c r="AM761" s="162"/>
      <c r="AN761" s="162"/>
      <c r="AO761" s="162"/>
      <c r="AP761" s="230"/>
      <c r="AQ761" s="230"/>
      <c r="AR761" s="162"/>
      <c r="AS761" s="162"/>
      <c r="AT761" s="162"/>
      <c r="AU761" s="162"/>
      <c r="AV761" s="162"/>
      <c r="AW761" s="230"/>
      <c r="AX761" s="230"/>
      <c r="AY761" s="162"/>
      <c r="AZ761" s="162"/>
      <c r="BA761" s="162"/>
      <c r="BB761" s="162"/>
      <c r="BC761" s="162"/>
      <c r="BD761" s="230"/>
      <c r="BE761" s="230"/>
      <c r="BF761" s="162"/>
      <c r="BG761" s="162"/>
      <c r="BH761" s="162"/>
      <c r="BI761" s="162"/>
      <c r="BJ761" s="162"/>
      <c r="BK761" s="230"/>
      <c r="BL761" s="230"/>
      <c r="BM761" s="162"/>
      <c r="BN761" s="162"/>
      <c r="BO761" s="162"/>
      <c r="BP761" s="162"/>
      <c r="BQ761" s="162"/>
      <c r="BR761" s="230"/>
      <c r="BS761" s="230"/>
      <c r="BT761" s="162"/>
      <c r="BU761" s="162"/>
      <c r="BV761" s="162"/>
      <c r="BW761" s="162"/>
      <c r="BX761" s="162"/>
      <c r="BY761" s="230"/>
      <c r="BZ761" s="230"/>
      <c r="CA761" s="162"/>
      <c r="CB761" s="162"/>
      <c r="CC761" s="162"/>
      <c r="CD761" s="162"/>
      <c r="CE761" s="162"/>
      <c r="CF761" s="230"/>
      <c r="CG761" s="230"/>
      <c r="CH761" s="162"/>
      <c r="CI761" s="162"/>
      <c r="CJ761" s="162"/>
      <c r="CK761" s="162"/>
      <c r="CL761" s="162"/>
      <c r="CM761" s="230"/>
      <c r="CN761" s="230"/>
      <c r="CO761" s="162"/>
      <c r="CP761" s="162"/>
      <c r="CQ761" s="162"/>
      <c r="CR761" s="162"/>
      <c r="CS761" s="162"/>
      <c r="CT761" s="230"/>
      <c r="CU761" s="230"/>
      <c r="CV761" s="162"/>
      <c r="CW761" s="162"/>
      <c r="CX761" s="162"/>
      <c r="CY761" s="162"/>
      <c r="CZ761" s="162"/>
      <c r="DA761" s="230"/>
      <c r="DB761" s="230"/>
      <c r="DC761" s="162"/>
      <c r="DD761" s="162"/>
      <c r="DE761" s="162"/>
      <c r="DF761" s="162"/>
      <c r="DG761" s="162"/>
      <c r="DH761" s="230"/>
      <c r="DI761" s="230"/>
      <c r="DJ761" s="162"/>
      <c r="DK761" s="162"/>
      <c r="DL761" s="147"/>
      <c r="DM761" s="147"/>
      <c r="DN761" s="147"/>
      <c r="DO761" s="147"/>
      <c r="DP761" s="147"/>
      <c r="DQ761" s="147"/>
      <c r="DR761" s="147"/>
      <c r="DS761" s="147"/>
      <c r="DT761" s="147"/>
      <c r="DU761" s="147"/>
      <c r="DV761" s="147"/>
      <c r="DW761" s="147"/>
      <c r="DX761" s="147"/>
      <c r="DY761" s="147"/>
      <c r="DZ761" s="147"/>
      <c r="EA761" s="147"/>
      <c r="EB761" s="147"/>
      <c r="EC761" s="147"/>
      <c r="ED761" s="147"/>
      <c r="EE761" s="147"/>
      <c r="EF761" s="147"/>
      <c r="EG761" s="147"/>
      <c r="EH761" s="147"/>
    </row>
    <row r="762" spans="1:138" x14ac:dyDescent="0.25">
      <c r="A762" s="147"/>
      <c r="B762" s="147"/>
      <c r="C762" s="160"/>
      <c r="D762" s="160"/>
      <c r="E762" s="169"/>
      <c r="F762" s="229"/>
      <c r="G762" s="165"/>
      <c r="H762" s="165"/>
      <c r="I762" s="163"/>
      <c r="J762" s="163"/>
      <c r="K762" s="162"/>
      <c r="L762" s="162"/>
      <c r="M762" s="162"/>
      <c r="N762" s="230"/>
      <c r="O762" s="230"/>
      <c r="P762" s="162"/>
      <c r="Q762" s="162"/>
      <c r="R762" s="162"/>
      <c r="S762" s="162"/>
      <c r="T762" s="162"/>
      <c r="U762" s="230"/>
      <c r="V762" s="230"/>
      <c r="W762" s="162"/>
      <c r="X762" s="162"/>
      <c r="Y762" s="162"/>
      <c r="Z762" s="162"/>
      <c r="AA762" s="162"/>
      <c r="AB762" s="230"/>
      <c r="AC762" s="230"/>
      <c r="AD762" s="162"/>
      <c r="AE762" s="162"/>
      <c r="AF762" s="162"/>
      <c r="AG762" s="162"/>
      <c r="AH762" s="162"/>
      <c r="AI762" s="230"/>
      <c r="AJ762" s="230"/>
      <c r="AK762" s="162"/>
      <c r="AL762" s="162"/>
      <c r="AM762" s="162"/>
      <c r="AN762" s="162"/>
      <c r="AO762" s="162"/>
      <c r="AP762" s="230"/>
      <c r="AQ762" s="230"/>
      <c r="AR762" s="162"/>
      <c r="AS762" s="162"/>
      <c r="AT762" s="162"/>
      <c r="AU762" s="162"/>
      <c r="AV762" s="162"/>
      <c r="AW762" s="230"/>
      <c r="AX762" s="230"/>
      <c r="AY762" s="162"/>
      <c r="AZ762" s="162"/>
      <c r="BA762" s="162"/>
      <c r="BB762" s="162"/>
      <c r="BC762" s="162"/>
      <c r="BD762" s="230"/>
      <c r="BE762" s="230"/>
      <c r="BF762" s="162"/>
      <c r="BG762" s="162"/>
      <c r="BH762" s="162"/>
      <c r="BI762" s="162"/>
      <c r="BJ762" s="162"/>
      <c r="BK762" s="230"/>
      <c r="BL762" s="230"/>
      <c r="BM762" s="162"/>
      <c r="BN762" s="162"/>
      <c r="BO762" s="162"/>
      <c r="BP762" s="162"/>
      <c r="BQ762" s="162"/>
      <c r="BR762" s="230"/>
      <c r="BS762" s="230"/>
      <c r="BT762" s="162"/>
      <c r="BU762" s="162"/>
      <c r="BV762" s="162"/>
      <c r="BW762" s="162"/>
      <c r="BX762" s="162"/>
      <c r="BY762" s="230"/>
      <c r="BZ762" s="230"/>
      <c r="CA762" s="162"/>
      <c r="CB762" s="162"/>
      <c r="CC762" s="162"/>
      <c r="CD762" s="162"/>
      <c r="CE762" s="162"/>
      <c r="CF762" s="230"/>
      <c r="CG762" s="230"/>
      <c r="CH762" s="162"/>
      <c r="CI762" s="162"/>
      <c r="CJ762" s="162"/>
      <c r="CK762" s="162"/>
      <c r="CL762" s="162"/>
      <c r="CM762" s="230"/>
      <c r="CN762" s="230"/>
      <c r="CO762" s="162"/>
      <c r="CP762" s="162"/>
      <c r="CQ762" s="162"/>
      <c r="CR762" s="162"/>
      <c r="CS762" s="162"/>
      <c r="CT762" s="230"/>
      <c r="CU762" s="230"/>
      <c r="CV762" s="162"/>
      <c r="CW762" s="162"/>
      <c r="CX762" s="162"/>
      <c r="CY762" s="162"/>
      <c r="CZ762" s="162"/>
      <c r="DA762" s="230"/>
      <c r="DB762" s="230"/>
      <c r="DC762" s="162"/>
      <c r="DD762" s="162"/>
      <c r="DE762" s="162"/>
      <c r="DF762" s="162"/>
      <c r="DG762" s="162"/>
      <c r="DH762" s="230"/>
      <c r="DI762" s="230"/>
      <c r="DJ762" s="162"/>
      <c r="DK762" s="162"/>
      <c r="DL762" s="147"/>
      <c r="DM762" s="147"/>
      <c r="DN762" s="147"/>
      <c r="DO762" s="147"/>
      <c r="DP762" s="147"/>
      <c r="DQ762" s="147"/>
      <c r="DR762" s="147"/>
      <c r="DS762" s="147"/>
      <c r="DT762" s="147"/>
      <c r="DU762" s="147"/>
      <c r="DV762" s="147"/>
      <c r="DW762" s="147"/>
      <c r="DX762" s="147"/>
      <c r="DY762" s="147"/>
      <c r="DZ762" s="147"/>
      <c r="EA762" s="147"/>
      <c r="EB762" s="147"/>
      <c r="EC762" s="147"/>
      <c r="ED762" s="147"/>
      <c r="EE762" s="147"/>
      <c r="EF762" s="147"/>
      <c r="EG762" s="147"/>
      <c r="EH762" s="147"/>
    </row>
    <row r="763" spans="1:138" x14ac:dyDescent="0.25">
      <c r="A763" s="147"/>
      <c r="B763" s="147"/>
      <c r="C763" s="160"/>
      <c r="D763" s="160"/>
      <c r="E763" s="169"/>
      <c r="F763" s="229"/>
      <c r="G763" s="165"/>
      <c r="H763" s="165"/>
      <c r="I763" s="163"/>
      <c r="J763" s="163"/>
      <c r="K763" s="162"/>
      <c r="L763" s="162"/>
      <c r="M763" s="162"/>
      <c r="N763" s="230"/>
      <c r="O763" s="230"/>
      <c r="P763" s="162"/>
      <c r="Q763" s="162"/>
      <c r="R763" s="162"/>
      <c r="S763" s="162"/>
      <c r="T763" s="162"/>
      <c r="U763" s="230"/>
      <c r="V763" s="230"/>
      <c r="W763" s="162"/>
      <c r="X763" s="162"/>
      <c r="Y763" s="162"/>
      <c r="Z763" s="162"/>
      <c r="AA763" s="162"/>
      <c r="AB763" s="230"/>
      <c r="AC763" s="230"/>
      <c r="AD763" s="162"/>
      <c r="AE763" s="162"/>
      <c r="AF763" s="162"/>
      <c r="AG763" s="162"/>
      <c r="AH763" s="162"/>
      <c r="AI763" s="230"/>
      <c r="AJ763" s="230"/>
      <c r="AK763" s="162"/>
      <c r="AL763" s="162"/>
      <c r="AM763" s="162"/>
      <c r="AN763" s="162"/>
      <c r="AO763" s="162"/>
      <c r="AP763" s="230"/>
      <c r="AQ763" s="230"/>
      <c r="AR763" s="162"/>
      <c r="AS763" s="162"/>
      <c r="AT763" s="162"/>
      <c r="AU763" s="162"/>
      <c r="AV763" s="162"/>
      <c r="AW763" s="230"/>
      <c r="AX763" s="230"/>
      <c r="AY763" s="162"/>
      <c r="AZ763" s="162"/>
      <c r="BA763" s="162"/>
      <c r="BB763" s="162"/>
      <c r="BC763" s="162"/>
      <c r="BD763" s="230"/>
      <c r="BE763" s="230"/>
      <c r="BF763" s="162"/>
      <c r="BG763" s="162"/>
      <c r="BH763" s="162"/>
      <c r="BI763" s="162"/>
      <c r="BJ763" s="162"/>
      <c r="BK763" s="230"/>
      <c r="BL763" s="230"/>
      <c r="BM763" s="162"/>
      <c r="BN763" s="162"/>
      <c r="BO763" s="162"/>
      <c r="BP763" s="162"/>
      <c r="BQ763" s="162"/>
      <c r="BR763" s="230"/>
      <c r="BS763" s="230"/>
      <c r="BT763" s="162"/>
      <c r="BU763" s="162"/>
      <c r="BV763" s="162"/>
      <c r="BW763" s="162"/>
      <c r="BX763" s="162"/>
      <c r="BY763" s="230"/>
      <c r="BZ763" s="230"/>
      <c r="CA763" s="162"/>
      <c r="CB763" s="162"/>
      <c r="CC763" s="162"/>
      <c r="CD763" s="162"/>
      <c r="CE763" s="162"/>
      <c r="CF763" s="230"/>
      <c r="CG763" s="230"/>
      <c r="CH763" s="162"/>
      <c r="CI763" s="162"/>
      <c r="CJ763" s="162"/>
      <c r="CK763" s="162"/>
      <c r="CL763" s="162"/>
      <c r="CM763" s="230"/>
      <c r="CN763" s="230"/>
      <c r="CO763" s="162"/>
      <c r="CP763" s="162"/>
      <c r="CQ763" s="162"/>
      <c r="CR763" s="162"/>
      <c r="CS763" s="162"/>
      <c r="CT763" s="230"/>
      <c r="CU763" s="230"/>
      <c r="CV763" s="162"/>
      <c r="CW763" s="162"/>
      <c r="CX763" s="162"/>
      <c r="CY763" s="162"/>
      <c r="CZ763" s="162"/>
      <c r="DA763" s="230"/>
      <c r="DB763" s="230"/>
      <c r="DC763" s="162"/>
      <c r="DD763" s="162"/>
      <c r="DE763" s="162"/>
      <c r="DF763" s="162"/>
      <c r="DG763" s="162"/>
      <c r="DH763" s="230"/>
      <c r="DI763" s="230"/>
      <c r="DJ763" s="162"/>
      <c r="DK763" s="162"/>
      <c r="DL763" s="147"/>
      <c r="DM763" s="147"/>
      <c r="DN763" s="147"/>
      <c r="DO763" s="147"/>
      <c r="DP763" s="147"/>
      <c r="DQ763" s="147"/>
      <c r="DR763" s="147"/>
      <c r="DS763" s="147"/>
      <c r="DT763" s="147"/>
      <c r="DU763" s="147"/>
      <c r="DV763" s="147"/>
      <c r="DW763" s="147"/>
      <c r="DX763" s="147"/>
      <c r="DY763" s="147"/>
      <c r="DZ763" s="147"/>
      <c r="EA763" s="147"/>
      <c r="EB763" s="147"/>
      <c r="EC763" s="147"/>
      <c r="ED763" s="147"/>
      <c r="EE763" s="147"/>
      <c r="EF763" s="147"/>
      <c r="EG763" s="147"/>
      <c r="EH763" s="147"/>
    </row>
    <row r="764" spans="1:138" x14ac:dyDescent="0.25">
      <c r="A764" s="147"/>
      <c r="B764" s="147"/>
      <c r="C764" s="160"/>
      <c r="D764" s="160"/>
      <c r="E764" s="169"/>
      <c r="F764" s="229"/>
      <c r="G764" s="165"/>
      <c r="H764" s="165"/>
      <c r="I764" s="163"/>
      <c r="J764" s="163"/>
      <c r="K764" s="162"/>
      <c r="L764" s="162"/>
      <c r="M764" s="162"/>
      <c r="N764" s="230"/>
      <c r="O764" s="230"/>
      <c r="P764" s="162"/>
      <c r="Q764" s="162"/>
      <c r="R764" s="162"/>
      <c r="S764" s="162"/>
      <c r="T764" s="162"/>
      <c r="U764" s="230"/>
      <c r="V764" s="230"/>
      <c r="W764" s="162"/>
      <c r="X764" s="162"/>
      <c r="Y764" s="162"/>
      <c r="Z764" s="162"/>
      <c r="AA764" s="162"/>
      <c r="AB764" s="230"/>
      <c r="AC764" s="230"/>
      <c r="AD764" s="162"/>
      <c r="AE764" s="162"/>
      <c r="AF764" s="162"/>
      <c r="AG764" s="162"/>
      <c r="AH764" s="162"/>
      <c r="AI764" s="230"/>
      <c r="AJ764" s="230"/>
      <c r="AK764" s="162"/>
      <c r="AL764" s="162"/>
      <c r="AM764" s="162"/>
      <c r="AN764" s="162"/>
      <c r="AO764" s="162"/>
      <c r="AP764" s="230"/>
      <c r="AQ764" s="230"/>
      <c r="AR764" s="162"/>
      <c r="AS764" s="162"/>
      <c r="AT764" s="162"/>
      <c r="AU764" s="162"/>
      <c r="AV764" s="162"/>
      <c r="AW764" s="230"/>
      <c r="AX764" s="230"/>
      <c r="AY764" s="162"/>
      <c r="AZ764" s="162"/>
      <c r="BA764" s="162"/>
      <c r="BB764" s="162"/>
      <c r="BC764" s="162"/>
      <c r="BD764" s="230"/>
      <c r="BE764" s="230"/>
      <c r="BF764" s="162"/>
      <c r="BG764" s="162"/>
      <c r="BH764" s="162"/>
      <c r="BI764" s="162"/>
      <c r="BJ764" s="162"/>
      <c r="BK764" s="230"/>
      <c r="BL764" s="230"/>
      <c r="BM764" s="162"/>
      <c r="BN764" s="162"/>
      <c r="BO764" s="162"/>
      <c r="BP764" s="162"/>
      <c r="BQ764" s="162"/>
      <c r="BR764" s="230"/>
      <c r="BS764" s="230"/>
      <c r="BT764" s="162"/>
      <c r="BU764" s="162"/>
      <c r="BV764" s="162"/>
      <c r="BW764" s="162"/>
      <c r="BX764" s="162"/>
      <c r="BY764" s="230"/>
      <c r="BZ764" s="230"/>
      <c r="CA764" s="162"/>
      <c r="CB764" s="162"/>
      <c r="CC764" s="162"/>
      <c r="CD764" s="162"/>
      <c r="CE764" s="162"/>
      <c r="CF764" s="230"/>
      <c r="CG764" s="230"/>
      <c r="CH764" s="162"/>
      <c r="CI764" s="162"/>
      <c r="CJ764" s="162"/>
      <c r="CK764" s="162"/>
      <c r="CL764" s="162"/>
      <c r="CM764" s="230"/>
      <c r="CN764" s="230"/>
      <c r="CO764" s="162"/>
      <c r="CP764" s="162"/>
      <c r="CQ764" s="162"/>
      <c r="CR764" s="162"/>
      <c r="CS764" s="162"/>
      <c r="CT764" s="230"/>
      <c r="CU764" s="230"/>
      <c r="CV764" s="162"/>
      <c r="CW764" s="162"/>
      <c r="CX764" s="162"/>
      <c r="CY764" s="162"/>
      <c r="CZ764" s="162"/>
      <c r="DA764" s="230"/>
      <c r="DB764" s="230"/>
      <c r="DC764" s="162"/>
      <c r="DD764" s="162"/>
      <c r="DE764" s="162"/>
      <c r="DF764" s="162"/>
      <c r="DG764" s="162"/>
      <c r="DH764" s="230"/>
      <c r="DI764" s="230"/>
      <c r="DJ764" s="162"/>
      <c r="DK764" s="162"/>
      <c r="DL764" s="147"/>
      <c r="DM764" s="147"/>
      <c r="DN764" s="147"/>
      <c r="DO764" s="147"/>
      <c r="DP764" s="147"/>
      <c r="DQ764" s="147"/>
      <c r="DR764" s="147"/>
      <c r="DS764" s="147"/>
      <c r="DT764" s="147"/>
      <c r="DU764" s="147"/>
      <c r="DV764" s="147"/>
      <c r="DW764" s="147"/>
      <c r="DX764" s="147"/>
      <c r="DY764" s="147"/>
      <c r="DZ764" s="147"/>
      <c r="EA764" s="147"/>
      <c r="EB764" s="147"/>
      <c r="EC764" s="147"/>
      <c r="ED764" s="147"/>
      <c r="EE764" s="147"/>
      <c r="EF764" s="147"/>
      <c r="EG764" s="147"/>
      <c r="EH764" s="147"/>
    </row>
    <row r="765" spans="1:138" x14ac:dyDescent="0.25">
      <c r="A765" s="147"/>
      <c r="B765" s="147"/>
      <c r="C765" s="160"/>
      <c r="D765" s="160"/>
      <c r="E765" s="169"/>
      <c r="F765" s="229"/>
      <c r="G765" s="165"/>
      <c r="H765" s="165"/>
      <c r="I765" s="163"/>
      <c r="J765" s="163"/>
      <c r="K765" s="162"/>
      <c r="L765" s="162"/>
      <c r="M765" s="162"/>
      <c r="N765" s="230"/>
      <c r="O765" s="230"/>
      <c r="P765" s="162"/>
      <c r="Q765" s="162"/>
      <c r="R765" s="162"/>
      <c r="S765" s="162"/>
      <c r="T765" s="162"/>
      <c r="U765" s="230"/>
      <c r="V765" s="230"/>
      <c r="W765" s="162"/>
      <c r="X765" s="162"/>
      <c r="Y765" s="162"/>
      <c r="Z765" s="162"/>
      <c r="AA765" s="162"/>
      <c r="AB765" s="230"/>
      <c r="AC765" s="230"/>
      <c r="AD765" s="162"/>
      <c r="AE765" s="162"/>
      <c r="AF765" s="162"/>
      <c r="AG765" s="162"/>
      <c r="AH765" s="162"/>
      <c r="AI765" s="230"/>
      <c r="AJ765" s="230"/>
      <c r="AK765" s="162"/>
      <c r="AL765" s="162"/>
      <c r="AM765" s="162"/>
      <c r="AN765" s="162"/>
      <c r="AO765" s="162"/>
      <c r="AP765" s="230"/>
      <c r="AQ765" s="230"/>
      <c r="AR765" s="162"/>
      <c r="AS765" s="162"/>
      <c r="AT765" s="162"/>
      <c r="AU765" s="162"/>
      <c r="AV765" s="162"/>
      <c r="AW765" s="230"/>
      <c r="AX765" s="230"/>
      <c r="AY765" s="162"/>
      <c r="AZ765" s="162"/>
      <c r="BA765" s="162"/>
      <c r="BB765" s="162"/>
      <c r="BC765" s="162"/>
      <c r="BD765" s="230"/>
      <c r="BE765" s="230"/>
      <c r="BF765" s="162"/>
      <c r="BG765" s="162"/>
      <c r="BH765" s="162"/>
      <c r="BI765" s="162"/>
      <c r="BJ765" s="162"/>
      <c r="BK765" s="230"/>
      <c r="BL765" s="230"/>
      <c r="BM765" s="162"/>
      <c r="BN765" s="162"/>
      <c r="BO765" s="162"/>
      <c r="BP765" s="162"/>
      <c r="BQ765" s="162"/>
      <c r="BR765" s="230"/>
      <c r="BS765" s="230"/>
      <c r="BT765" s="162"/>
      <c r="BU765" s="162"/>
      <c r="BV765" s="162"/>
      <c r="BW765" s="162"/>
      <c r="BX765" s="162"/>
      <c r="BY765" s="230"/>
      <c r="BZ765" s="230"/>
      <c r="CA765" s="162"/>
      <c r="CB765" s="162"/>
      <c r="CC765" s="162"/>
      <c r="CD765" s="162"/>
      <c r="CE765" s="162"/>
      <c r="CF765" s="230"/>
      <c r="CG765" s="230"/>
      <c r="CH765" s="162"/>
      <c r="CI765" s="162"/>
      <c r="CJ765" s="162"/>
      <c r="CK765" s="162"/>
      <c r="CL765" s="162"/>
      <c r="CM765" s="230"/>
      <c r="CN765" s="230"/>
      <c r="CO765" s="162"/>
      <c r="CP765" s="162"/>
      <c r="CQ765" s="162"/>
      <c r="CR765" s="162"/>
      <c r="CS765" s="162"/>
      <c r="CT765" s="230"/>
      <c r="CU765" s="230"/>
      <c r="CV765" s="162"/>
      <c r="CW765" s="162"/>
      <c r="CX765" s="162"/>
      <c r="CY765" s="162"/>
      <c r="CZ765" s="162"/>
      <c r="DA765" s="230"/>
      <c r="DB765" s="230"/>
      <c r="DC765" s="162"/>
      <c r="DD765" s="162"/>
      <c r="DE765" s="162"/>
      <c r="DF765" s="162"/>
      <c r="DG765" s="162"/>
      <c r="DH765" s="230"/>
      <c r="DI765" s="230"/>
      <c r="DJ765" s="162"/>
      <c r="DK765" s="162"/>
      <c r="DL765" s="147"/>
      <c r="DM765" s="147"/>
      <c r="DN765" s="147"/>
      <c r="DO765" s="147"/>
      <c r="DP765" s="147"/>
      <c r="DQ765" s="147"/>
      <c r="DR765" s="147"/>
      <c r="DS765" s="147"/>
      <c r="DT765" s="147"/>
      <c r="DU765" s="147"/>
      <c r="DV765" s="147"/>
      <c r="DW765" s="147"/>
      <c r="DX765" s="147"/>
      <c r="DY765" s="147"/>
      <c r="DZ765" s="147"/>
      <c r="EA765" s="147"/>
      <c r="EB765" s="147"/>
      <c r="EC765" s="147"/>
      <c r="ED765" s="147"/>
      <c r="EE765" s="147"/>
      <c r="EF765" s="147"/>
      <c r="EG765" s="147"/>
      <c r="EH765" s="147"/>
    </row>
    <row r="766" spans="1:138" x14ac:dyDescent="0.25">
      <c r="A766" s="147"/>
      <c r="B766" s="147"/>
      <c r="C766" s="160"/>
      <c r="D766" s="160"/>
      <c r="E766" s="169"/>
      <c r="F766" s="229"/>
      <c r="G766" s="165"/>
      <c r="H766" s="165"/>
      <c r="I766" s="163"/>
      <c r="J766" s="163"/>
      <c r="K766" s="162"/>
      <c r="L766" s="162"/>
      <c r="M766" s="162"/>
      <c r="N766" s="230"/>
      <c r="O766" s="230"/>
      <c r="P766" s="162"/>
      <c r="Q766" s="162"/>
      <c r="R766" s="162"/>
      <c r="S766" s="162"/>
      <c r="T766" s="162"/>
      <c r="U766" s="230"/>
      <c r="V766" s="230"/>
      <c r="W766" s="162"/>
      <c r="X766" s="162"/>
      <c r="Y766" s="162"/>
      <c r="Z766" s="162"/>
      <c r="AA766" s="162"/>
      <c r="AB766" s="230"/>
      <c r="AC766" s="230"/>
      <c r="AD766" s="162"/>
      <c r="AE766" s="162"/>
      <c r="AF766" s="162"/>
      <c r="AG766" s="162"/>
      <c r="AH766" s="162"/>
      <c r="AI766" s="230"/>
      <c r="AJ766" s="230"/>
      <c r="AK766" s="162"/>
      <c r="AL766" s="162"/>
      <c r="AM766" s="162"/>
      <c r="AN766" s="162"/>
      <c r="AO766" s="162"/>
      <c r="AP766" s="230"/>
      <c r="AQ766" s="230"/>
      <c r="AR766" s="162"/>
      <c r="AS766" s="162"/>
      <c r="AT766" s="162"/>
      <c r="AU766" s="162"/>
      <c r="AV766" s="162"/>
      <c r="AW766" s="230"/>
      <c r="AX766" s="230"/>
      <c r="AY766" s="162"/>
      <c r="AZ766" s="162"/>
      <c r="BA766" s="162"/>
      <c r="BB766" s="162"/>
      <c r="BC766" s="162"/>
      <c r="BD766" s="230"/>
      <c r="BE766" s="230"/>
      <c r="BF766" s="162"/>
      <c r="BG766" s="162"/>
      <c r="BH766" s="162"/>
      <c r="BI766" s="162"/>
      <c r="BJ766" s="162"/>
      <c r="BK766" s="230"/>
      <c r="BL766" s="230"/>
      <c r="BM766" s="162"/>
      <c r="BN766" s="162"/>
      <c r="BO766" s="162"/>
      <c r="BP766" s="162"/>
      <c r="BQ766" s="162"/>
      <c r="BR766" s="230"/>
      <c r="BS766" s="230"/>
      <c r="BT766" s="162"/>
      <c r="BU766" s="162"/>
      <c r="BV766" s="162"/>
      <c r="BW766" s="162"/>
      <c r="BX766" s="162"/>
      <c r="BY766" s="230"/>
      <c r="BZ766" s="230"/>
      <c r="CA766" s="162"/>
      <c r="CB766" s="162"/>
      <c r="CC766" s="162"/>
      <c r="CD766" s="162"/>
      <c r="CE766" s="162"/>
      <c r="CF766" s="230"/>
      <c r="CG766" s="230"/>
      <c r="CH766" s="162"/>
      <c r="CI766" s="162"/>
      <c r="CJ766" s="162"/>
      <c r="CK766" s="162"/>
      <c r="CL766" s="162"/>
      <c r="CM766" s="230"/>
      <c r="CN766" s="230"/>
      <c r="CO766" s="162"/>
      <c r="CP766" s="162"/>
      <c r="CQ766" s="162"/>
      <c r="CR766" s="162"/>
      <c r="CS766" s="162"/>
      <c r="CT766" s="230"/>
      <c r="CU766" s="230"/>
      <c r="CV766" s="162"/>
      <c r="CW766" s="162"/>
      <c r="CX766" s="162"/>
      <c r="CY766" s="162"/>
      <c r="CZ766" s="162"/>
      <c r="DA766" s="230"/>
      <c r="DB766" s="230"/>
      <c r="DC766" s="162"/>
      <c r="DD766" s="162"/>
      <c r="DE766" s="162"/>
      <c r="DF766" s="162"/>
      <c r="DG766" s="162"/>
      <c r="DH766" s="230"/>
      <c r="DI766" s="230"/>
      <c r="DJ766" s="162"/>
      <c r="DK766" s="162"/>
      <c r="DL766" s="147"/>
      <c r="DM766" s="147"/>
      <c r="DN766" s="147"/>
      <c r="DO766" s="147"/>
      <c r="DP766" s="147"/>
      <c r="DQ766" s="147"/>
      <c r="DR766" s="147"/>
      <c r="DS766" s="147"/>
      <c r="DT766" s="147"/>
      <c r="DU766" s="147"/>
      <c r="DV766" s="147"/>
      <c r="DW766" s="147"/>
      <c r="DX766" s="147"/>
      <c r="DY766" s="147"/>
      <c r="DZ766" s="147"/>
      <c r="EA766" s="147"/>
      <c r="EB766" s="147"/>
      <c r="EC766" s="147"/>
      <c r="ED766" s="147"/>
      <c r="EE766" s="147"/>
      <c r="EF766" s="147"/>
      <c r="EG766" s="147"/>
      <c r="EH766" s="147"/>
    </row>
    <row r="767" spans="1:138" x14ac:dyDescent="0.25">
      <c r="A767" s="147"/>
      <c r="B767" s="147"/>
      <c r="C767" s="160"/>
      <c r="D767" s="160"/>
      <c r="E767" s="169"/>
      <c r="F767" s="229"/>
      <c r="G767" s="165"/>
      <c r="H767" s="165"/>
      <c r="I767" s="163"/>
      <c r="J767" s="163"/>
      <c r="K767" s="162"/>
      <c r="L767" s="162"/>
      <c r="M767" s="162"/>
      <c r="N767" s="230"/>
      <c r="O767" s="230"/>
      <c r="P767" s="162"/>
      <c r="Q767" s="162"/>
      <c r="R767" s="162"/>
      <c r="S767" s="162"/>
      <c r="T767" s="162"/>
      <c r="U767" s="230"/>
      <c r="V767" s="230"/>
      <c r="W767" s="162"/>
      <c r="X767" s="162"/>
      <c r="Y767" s="162"/>
      <c r="Z767" s="162"/>
      <c r="AA767" s="162"/>
      <c r="AB767" s="230"/>
      <c r="AC767" s="230"/>
      <c r="AD767" s="162"/>
      <c r="AE767" s="162"/>
      <c r="AF767" s="162"/>
      <c r="AG767" s="162"/>
      <c r="AH767" s="162"/>
      <c r="AI767" s="230"/>
      <c r="AJ767" s="230"/>
      <c r="AK767" s="162"/>
      <c r="AL767" s="162"/>
      <c r="AM767" s="162"/>
      <c r="AN767" s="162"/>
      <c r="AO767" s="162"/>
      <c r="AP767" s="230"/>
      <c r="AQ767" s="230"/>
      <c r="AR767" s="162"/>
      <c r="AS767" s="162"/>
      <c r="AT767" s="162"/>
      <c r="AU767" s="162"/>
      <c r="AV767" s="162"/>
      <c r="AW767" s="230"/>
      <c r="AX767" s="230"/>
      <c r="AY767" s="162"/>
      <c r="AZ767" s="162"/>
      <c r="BA767" s="162"/>
      <c r="BB767" s="162"/>
      <c r="BC767" s="162"/>
      <c r="BD767" s="230"/>
      <c r="BE767" s="230"/>
      <c r="BF767" s="162"/>
      <c r="BG767" s="162"/>
      <c r="BH767" s="162"/>
      <c r="BI767" s="162"/>
      <c r="BJ767" s="162"/>
      <c r="BK767" s="230"/>
      <c r="BL767" s="230"/>
      <c r="BM767" s="162"/>
      <c r="BN767" s="162"/>
      <c r="BO767" s="162"/>
      <c r="BP767" s="162"/>
      <c r="BQ767" s="162"/>
      <c r="BR767" s="230"/>
      <c r="BS767" s="230"/>
      <c r="BT767" s="162"/>
      <c r="BU767" s="162"/>
      <c r="BV767" s="162"/>
      <c r="BW767" s="162"/>
      <c r="BX767" s="162"/>
      <c r="BY767" s="230"/>
      <c r="BZ767" s="230"/>
      <c r="CA767" s="162"/>
      <c r="CB767" s="162"/>
      <c r="CC767" s="162"/>
      <c r="CD767" s="162"/>
      <c r="CE767" s="162"/>
      <c r="CF767" s="230"/>
      <c r="CG767" s="230"/>
      <c r="CH767" s="162"/>
      <c r="CI767" s="162"/>
      <c r="CJ767" s="162"/>
      <c r="CK767" s="162"/>
      <c r="CL767" s="162"/>
      <c r="CM767" s="230"/>
      <c r="CN767" s="230"/>
      <c r="CO767" s="162"/>
      <c r="CP767" s="162"/>
      <c r="CQ767" s="162"/>
      <c r="CR767" s="162"/>
      <c r="CS767" s="162"/>
      <c r="CT767" s="230"/>
      <c r="CU767" s="230"/>
      <c r="CV767" s="162"/>
      <c r="CW767" s="162"/>
      <c r="CX767" s="162"/>
      <c r="CY767" s="162"/>
      <c r="CZ767" s="162"/>
      <c r="DA767" s="230"/>
      <c r="DB767" s="230"/>
      <c r="DC767" s="162"/>
      <c r="DD767" s="162"/>
      <c r="DE767" s="162"/>
      <c r="DF767" s="162"/>
      <c r="DG767" s="162"/>
      <c r="DH767" s="230"/>
      <c r="DI767" s="230"/>
      <c r="DJ767" s="162"/>
      <c r="DK767" s="162"/>
      <c r="DL767" s="147"/>
      <c r="DM767" s="147"/>
      <c r="DN767" s="147"/>
      <c r="DO767" s="147"/>
      <c r="DP767" s="147"/>
      <c r="DQ767" s="147"/>
      <c r="DR767" s="147"/>
      <c r="DS767" s="147"/>
      <c r="DT767" s="147"/>
      <c r="DU767" s="147"/>
      <c r="DV767" s="147"/>
      <c r="DW767" s="147"/>
      <c r="DX767" s="147"/>
      <c r="DY767" s="147"/>
      <c r="DZ767" s="147"/>
      <c r="EA767" s="147"/>
      <c r="EB767" s="147"/>
      <c r="EC767" s="147"/>
      <c r="ED767" s="147"/>
      <c r="EE767" s="147"/>
      <c r="EF767" s="147"/>
      <c r="EG767" s="147"/>
      <c r="EH767" s="147"/>
    </row>
    <row r="768" spans="1:138" x14ac:dyDescent="0.25">
      <c r="A768" s="147"/>
      <c r="B768" s="147"/>
      <c r="C768" s="160"/>
      <c r="D768" s="160"/>
      <c r="E768" s="169"/>
      <c r="F768" s="229"/>
      <c r="G768" s="165"/>
      <c r="H768" s="165"/>
      <c r="I768" s="163"/>
      <c r="J768" s="163"/>
      <c r="K768" s="162"/>
      <c r="L768" s="162"/>
      <c r="M768" s="162"/>
      <c r="N768" s="230"/>
      <c r="O768" s="230"/>
      <c r="P768" s="162"/>
      <c r="Q768" s="162"/>
      <c r="R768" s="162"/>
      <c r="S768" s="162"/>
      <c r="T768" s="162"/>
      <c r="U768" s="230"/>
      <c r="V768" s="230"/>
      <c r="W768" s="162"/>
      <c r="X768" s="162"/>
      <c r="Y768" s="162"/>
      <c r="Z768" s="162"/>
      <c r="AA768" s="162"/>
      <c r="AB768" s="230"/>
      <c r="AC768" s="230"/>
      <c r="AD768" s="162"/>
      <c r="AE768" s="162"/>
      <c r="AF768" s="162"/>
      <c r="AG768" s="162"/>
      <c r="AH768" s="162"/>
      <c r="AI768" s="230"/>
      <c r="AJ768" s="230"/>
      <c r="AK768" s="162"/>
      <c r="AL768" s="162"/>
      <c r="AM768" s="162"/>
      <c r="AN768" s="162"/>
      <c r="AO768" s="162"/>
      <c r="AP768" s="230"/>
      <c r="AQ768" s="230"/>
      <c r="AR768" s="162"/>
      <c r="AS768" s="162"/>
      <c r="AT768" s="162"/>
      <c r="AU768" s="162"/>
      <c r="AV768" s="162"/>
      <c r="AW768" s="230"/>
      <c r="AX768" s="230"/>
      <c r="AY768" s="162"/>
      <c r="AZ768" s="162"/>
      <c r="BA768" s="162"/>
      <c r="BB768" s="162"/>
      <c r="BC768" s="162"/>
      <c r="BD768" s="230"/>
      <c r="BE768" s="230"/>
      <c r="BF768" s="162"/>
      <c r="BG768" s="162"/>
      <c r="BH768" s="162"/>
      <c r="BI768" s="162"/>
      <c r="BJ768" s="162"/>
      <c r="BK768" s="230"/>
      <c r="BL768" s="230"/>
      <c r="BM768" s="162"/>
      <c r="BN768" s="162"/>
      <c r="BO768" s="162"/>
      <c r="BP768" s="162"/>
      <c r="BQ768" s="162"/>
      <c r="BR768" s="230"/>
      <c r="BS768" s="230"/>
      <c r="BT768" s="162"/>
      <c r="BU768" s="162"/>
      <c r="BV768" s="162"/>
      <c r="BW768" s="162"/>
      <c r="BX768" s="162"/>
      <c r="BY768" s="230"/>
      <c r="BZ768" s="230"/>
      <c r="CA768" s="162"/>
      <c r="CB768" s="162"/>
      <c r="CC768" s="162"/>
      <c r="CD768" s="162"/>
      <c r="CE768" s="162"/>
      <c r="CF768" s="230"/>
      <c r="CG768" s="230"/>
      <c r="CH768" s="162"/>
      <c r="CI768" s="162"/>
      <c r="CJ768" s="162"/>
      <c r="CK768" s="162"/>
      <c r="CL768" s="162"/>
      <c r="CM768" s="230"/>
      <c r="CN768" s="230"/>
      <c r="CO768" s="162"/>
      <c r="CP768" s="162"/>
      <c r="CQ768" s="162"/>
      <c r="CR768" s="162"/>
      <c r="CS768" s="162"/>
      <c r="CT768" s="230"/>
      <c r="CU768" s="230"/>
      <c r="CV768" s="162"/>
      <c r="CW768" s="162"/>
      <c r="CX768" s="162"/>
      <c r="CY768" s="162"/>
      <c r="CZ768" s="162"/>
      <c r="DA768" s="230"/>
      <c r="DB768" s="230"/>
      <c r="DC768" s="162"/>
      <c r="DD768" s="162"/>
      <c r="DE768" s="162"/>
      <c r="DF768" s="162"/>
      <c r="DG768" s="162"/>
      <c r="DH768" s="230"/>
      <c r="DI768" s="230"/>
      <c r="DJ768" s="162"/>
      <c r="DK768" s="162"/>
      <c r="DL768" s="147"/>
      <c r="DM768" s="147"/>
      <c r="DN768" s="147"/>
      <c r="DO768" s="147"/>
      <c r="DP768" s="147"/>
      <c r="DQ768" s="147"/>
      <c r="DR768" s="147"/>
      <c r="DS768" s="147"/>
      <c r="DT768" s="147"/>
      <c r="DU768" s="147"/>
      <c r="DV768" s="147"/>
      <c r="DW768" s="147"/>
      <c r="DX768" s="147"/>
      <c r="DY768" s="147"/>
      <c r="DZ768" s="147"/>
      <c r="EA768" s="147"/>
      <c r="EB768" s="147"/>
      <c r="EC768" s="147"/>
      <c r="ED768" s="147"/>
      <c r="EE768" s="147"/>
      <c r="EF768" s="147"/>
      <c r="EG768" s="147"/>
      <c r="EH768" s="147"/>
    </row>
    <row r="769" spans="1:138" x14ac:dyDescent="0.25">
      <c r="A769" s="147"/>
      <c r="B769" s="147"/>
      <c r="C769" s="160"/>
      <c r="D769" s="160"/>
      <c r="E769" s="169"/>
      <c r="F769" s="229"/>
      <c r="G769" s="165"/>
      <c r="H769" s="165"/>
      <c r="I769" s="163"/>
      <c r="J769" s="163"/>
      <c r="K769" s="162"/>
      <c r="L769" s="162"/>
      <c r="M769" s="162"/>
      <c r="N769" s="230"/>
      <c r="O769" s="230"/>
      <c r="P769" s="162"/>
      <c r="Q769" s="162"/>
      <c r="R769" s="162"/>
      <c r="S769" s="162"/>
      <c r="T769" s="162"/>
      <c r="U769" s="230"/>
      <c r="V769" s="230"/>
      <c r="W769" s="162"/>
      <c r="X769" s="162"/>
      <c r="Y769" s="162"/>
      <c r="Z769" s="162"/>
      <c r="AA769" s="162"/>
      <c r="AB769" s="230"/>
      <c r="AC769" s="230"/>
      <c r="AD769" s="162"/>
      <c r="AE769" s="162"/>
      <c r="AF769" s="162"/>
      <c r="AG769" s="162"/>
      <c r="AH769" s="162"/>
      <c r="AI769" s="230"/>
      <c r="AJ769" s="230"/>
      <c r="AK769" s="162"/>
      <c r="AL769" s="162"/>
      <c r="AM769" s="162"/>
      <c r="AN769" s="162"/>
      <c r="AO769" s="162"/>
      <c r="AP769" s="230"/>
      <c r="AQ769" s="230"/>
      <c r="AR769" s="162"/>
      <c r="AS769" s="162"/>
      <c r="AT769" s="162"/>
      <c r="AU769" s="162"/>
      <c r="AV769" s="162"/>
      <c r="AW769" s="230"/>
      <c r="AX769" s="230"/>
      <c r="AY769" s="162"/>
      <c r="AZ769" s="162"/>
      <c r="BA769" s="162"/>
      <c r="BB769" s="162"/>
      <c r="BC769" s="162"/>
      <c r="BD769" s="230"/>
      <c r="BE769" s="230"/>
      <c r="BF769" s="162"/>
      <c r="BG769" s="162"/>
      <c r="BH769" s="162"/>
      <c r="BI769" s="162"/>
      <c r="BJ769" s="162"/>
      <c r="BK769" s="230"/>
      <c r="BL769" s="230"/>
      <c r="BM769" s="162"/>
      <c r="BN769" s="162"/>
      <c r="BO769" s="162"/>
      <c r="BP769" s="162"/>
      <c r="BQ769" s="162"/>
      <c r="BR769" s="230"/>
      <c r="BS769" s="230"/>
      <c r="BT769" s="162"/>
      <c r="BU769" s="162"/>
      <c r="BV769" s="162"/>
      <c r="BW769" s="162"/>
      <c r="BX769" s="162"/>
      <c r="BY769" s="230"/>
      <c r="BZ769" s="230"/>
      <c r="CA769" s="162"/>
      <c r="CB769" s="162"/>
      <c r="CC769" s="162"/>
      <c r="CD769" s="162"/>
      <c r="CE769" s="162"/>
      <c r="CF769" s="230"/>
      <c r="CG769" s="230"/>
      <c r="CH769" s="162"/>
      <c r="CI769" s="162"/>
      <c r="CJ769" s="162"/>
      <c r="CK769" s="162"/>
      <c r="CL769" s="162"/>
      <c r="CM769" s="230"/>
      <c r="CN769" s="230"/>
      <c r="CO769" s="162"/>
      <c r="CP769" s="162"/>
      <c r="CQ769" s="162"/>
      <c r="CR769" s="162"/>
      <c r="CS769" s="162"/>
      <c r="CT769" s="230"/>
      <c r="CU769" s="230"/>
      <c r="CV769" s="162"/>
      <c r="CW769" s="162"/>
      <c r="CX769" s="162"/>
      <c r="CY769" s="162"/>
      <c r="CZ769" s="162"/>
      <c r="DA769" s="230"/>
      <c r="DB769" s="230"/>
      <c r="DC769" s="162"/>
      <c r="DD769" s="162"/>
      <c r="DE769" s="162"/>
      <c r="DF769" s="162"/>
      <c r="DG769" s="162"/>
      <c r="DH769" s="230"/>
      <c r="DI769" s="230"/>
      <c r="DJ769" s="162"/>
      <c r="DK769" s="162"/>
      <c r="DL769" s="147"/>
      <c r="DM769" s="147"/>
      <c r="DN769" s="147"/>
      <c r="DO769" s="147"/>
      <c r="DP769" s="147"/>
      <c r="DQ769" s="147"/>
      <c r="DR769" s="147"/>
      <c r="DS769" s="147"/>
      <c r="DT769" s="147"/>
      <c r="DU769" s="147"/>
      <c r="DV769" s="147"/>
      <c r="DW769" s="147"/>
      <c r="DX769" s="147"/>
      <c r="DY769" s="147"/>
      <c r="DZ769" s="147"/>
      <c r="EA769" s="147"/>
      <c r="EB769" s="147"/>
      <c r="EC769" s="147"/>
      <c r="ED769" s="147"/>
      <c r="EE769" s="147"/>
      <c r="EF769" s="147"/>
      <c r="EG769" s="147"/>
      <c r="EH769" s="147"/>
    </row>
    <row r="770" spans="1:138" x14ac:dyDescent="0.25">
      <c r="A770" s="147"/>
      <c r="B770" s="147"/>
      <c r="C770" s="160"/>
      <c r="D770" s="160"/>
      <c r="E770" s="169"/>
      <c r="F770" s="229"/>
      <c r="G770" s="165"/>
      <c r="H770" s="165"/>
      <c r="I770" s="163"/>
      <c r="J770" s="163"/>
      <c r="K770" s="162"/>
      <c r="L770" s="162"/>
      <c r="M770" s="162"/>
      <c r="N770" s="230"/>
      <c r="O770" s="230"/>
      <c r="P770" s="162"/>
      <c r="Q770" s="162"/>
      <c r="R770" s="162"/>
      <c r="S770" s="162"/>
      <c r="T770" s="162"/>
      <c r="U770" s="230"/>
      <c r="V770" s="230"/>
      <c r="W770" s="162"/>
      <c r="X770" s="162"/>
      <c r="Y770" s="162"/>
      <c r="Z770" s="162"/>
      <c r="AA770" s="162"/>
      <c r="AB770" s="230"/>
      <c r="AC770" s="230"/>
      <c r="AD770" s="162"/>
      <c r="AE770" s="162"/>
      <c r="AF770" s="162"/>
      <c r="AG770" s="162"/>
      <c r="AH770" s="162"/>
      <c r="AI770" s="230"/>
      <c r="AJ770" s="230"/>
      <c r="AK770" s="162"/>
      <c r="AL770" s="162"/>
      <c r="AM770" s="162"/>
      <c r="AN770" s="162"/>
      <c r="AO770" s="162"/>
      <c r="AP770" s="230"/>
      <c r="AQ770" s="230"/>
      <c r="AR770" s="162"/>
      <c r="AS770" s="162"/>
      <c r="AT770" s="162"/>
      <c r="AU770" s="162"/>
      <c r="AV770" s="162"/>
      <c r="AW770" s="230"/>
      <c r="AX770" s="230"/>
      <c r="AY770" s="162"/>
      <c r="AZ770" s="162"/>
      <c r="BA770" s="162"/>
      <c r="BB770" s="162"/>
      <c r="BC770" s="162"/>
      <c r="BD770" s="230"/>
      <c r="BE770" s="230"/>
      <c r="BF770" s="162"/>
      <c r="BG770" s="162"/>
      <c r="BH770" s="162"/>
      <c r="BI770" s="162"/>
      <c r="BJ770" s="162"/>
      <c r="BK770" s="230"/>
      <c r="BL770" s="230"/>
      <c r="BM770" s="162"/>
      <c r="BN770" s="162"/>
      <c r="BO770" s="162"/>
      <c r="BP770" s="162"/>
      <c r="BQ770" s="162"/>
      <c r="BR770" s="230"/>
      <c r="BS770" s="230"/>
      <c r="BT770" s="162"/>
      <c r="BU770" s="162"/>
      <c r="BV770" s="162"/>
      <c r="BW770" s="162"/>
      <c r="BX770" s="162"/>
      <c r="BY770" s="230"/>
      <c r="BZ770" s="230"/>
      <c r="CA770" s="162"/>
      <c r="CB770" s="162"/>
      <c r="CC770" s="162"/>
      <c r="CD770" s="162"/>
      <c r="CE770" s="162"/>
      <c r="CF770" s="230"/>
      <c r="CG770" s="230"/>
      <c r="CH770" s="162"/>
      <c r="CI770" s="162"/>
      <c r="CJ770" s="162"/>
      <c r="CK770" s="162"/>
      <c r="CL770" s="162"/>
      <c r="CM770" s="230"/>
      <c r="CN770" s="230"/>
      <c r="CO770" s="162"/>
      <c r="CP770" s="162"/>
      <c r="CQ770" s="162"/>
      <c r="CR770" s="162"/>
      <c r="CS770" s="162"/>
      <c r="CT770" s="230"/>
      <c r="CU770" s="230"/>
      <c r="CV770" s="162"/>
      <c r="CW770" s="162"/>
      <c r="CX770" s="162"/>
      <c r="CY770" s="162"/>
      <c r="CZ770" s="162"/>
      <c r="DA770" s="230"/>
      <c r="DB770" s="230"/>
      <c r="DC770" s="162"/>
      <c r="DD770" s="162"/>
      <c r="DE770" s="162"/>
      <c r="DF770" s="162"/>
      <c r="DG770" s="162"/>
      <c r="DH770" s="230"/>
      <c r="DI770" s="230"/>
      <c r="DJ770" s="162"/>
      <c r="DK770" s="162"/>
      <c r="DL770" s="147"/>
      <c r="DM770" s="147"/>
      <c r="DN770" s="147"/>
      <c r="DO770" s="147"/>
      <c r="DP770" s="147"/>
      <c r="DQ770" s="147"/>
      <c r="DR770" s="147"/>
      <c r="DS770" s="147"/>
      <c r="DT770" s="147"/>
      <c r="DU770" s="147"/>
      <c r="DV770" s="147"/>
      <c r="DW770" s="147"/>
      <c r="DX770" s="147"/>
      <c r="DY770" s="147"/>
      <c r="DZ770" s="147"/>
      <c r="EA770" s="147"/>
      <c r="EB770" s="147"/>
      <c r="EC770" s="147"/>
      <c r="ED770" s="147"/>
      <c r="EE770" s="147"/>
      <c r="EF770" s="147"/>
      <c r="EG770" s="147"/>
      <c r="EH770" s="147"/>
    </row>
    <row r="771" spans="1:138" x14ac:dyDescent="0.25">
      <c r="A771" s="147"/>
      <c r="B771" s="147"/>
      <c r="C771" s="160"/>
      <c r="D771" s="160"/>
      <c r="E771" s="169"/>
      <c r="F771" s="229"/>
      <c r="G771" s="165"/>
      <c r="H771" s="165"/>
      <c r="I771" s="163"/>
      <c r="J771" s="163"/>
      <c r="K771" s="162"/>
      <c r="L771" s="162"/>
      <c r="M771" s="162"/>
      <c r="N771" s="230"/>
      <c r="O771" s="230"/>
      <c r="P771" s="162"/>
      <c r="Q771" s="162"/>
      <c r="R771" s="162"/>
      <c r="S771" s="162"/>
      <c r="T771" s="162"/>
      <c r="U771" s="230"/>
      <c r="V771" s="230"/>
      <c r="W771" s="162"/>
      <c r="X771" s="162"/>
      <c r="Y771" s="162"/>
      <c r="Z771" s="162"/>
      <c r="AA771" s="162"/>
      <c r="AB771" s="230"/>
      <c r="AC771" s="230"/>
      <c r="AD771" s="162"/>
      <c r="AE771" s="162"/>
      <c r="AF771" s="162"/>
      <c r="AG771" s="162"/>
      <c r="AH771" s="162"/>
      <c r="AI771" s="230"/>
      <c r="AJ771" s="230"/>
      <c r="AK771" s="162"/>
      <c r="AL771" s="162"/>
      <c r="AM771" s="162"/>
      <c r="AN771" s="162"/>
      <c r="AO771" s="162"/>
      <c r="AP771" s="230"/>
      <c r="AQ771" s="230"/>
      <c r="AR771" s="162"/>
      <c r="AS771" s="162"/>
      <c r="AT771" s="162"/>
      <c r="AU771" s="162"/>
      <c r="AV771" s="162"/>
      <c r="AW771" s="230"/>
      <c r="AX771" s="230"/>
      <c r="AY771" s="162"/>
      <c r="AZ771" s="162"/>
      <c r="BA771" s="162"/>
      <c r="BB771" s="162"/>
      <c r="BC771" s="162"/>
      <c r="BD771" s="230"/>
      <c r="BE771" s="230"/>
      <c r="BF771" s="162"/>
      <c r="BG771" s="162"/>
      <c r="BH771" s="162"/>
      <c r="BI771" s="162"/>
      <c r="BJ771" s="162"/>
      <c r="BK771" s="230"/>
      <c r="BL771" s="230"/>
      <c r="BM771" s="162"/>
      <c r="BN771" s="162"/>
      <c r="BO771" s="162"/>
      <c r="BP771" s="162"/>
      <c r="BQ771" s="162"/>
      <c r="BR771" s="230"/>
      <c r="BS771" s="230"/>
      <c r="BT771" s="162"/>
      <c r="BU771" s="162"/>
      <c r="BV771" s="162"/>
      <c r="BW771" s="162"/>
      <c r="BX771" s="162"/>
      <c r="BY771" s="230"/>
      <c r="BZ771" s="230"/>
      <c r="CA771" s="162"/>
      <c r="CB771" s="162"/>
      <c r="CC771" s="162"/>
      <c r="CD771" s="162"/>
      <c r="CE771" s="162"/>
      <c r="CF771" s="230"/>
      <c r="CG771" s="230"/>
      <c r="CH771" s="162"/>
      <c r="CI771" s="162"/>
      <c r="CJ771" s="162"/>
      <c r="CK771" s="162"/>
      <c r="CL771" s="162"/>
      <c r="CM771" s="230"/>
      <c r="CN771" s="230"/>
      <c r="CO771" s="162"/>
      <c r="CP771" s="162"/>
      <c r="CQ771" s="162"/>
      <c r="CR771" s="162"/>
      <c r="CS771" s="162"/>
      <c r="CT771" s="230"/>
      <c r="CU771" s="230"/>
      <c r="CV771" s="162"/>
      <c r="CW771" s="162"/>
      <c r="CX771" s="162"/>
      <c r="CY771" s="162"/>
      <c r="CZ771" s="162"/>
      <c r="DA771" s="230"/>
      <c r="DB771" s="230"/>
      <c r="DC771" s="162"/>
      <c r="DD771" s="162"/>
      <c r="DE771" s="162"/>
      <c r="DF771" s="162"/>
      <c r="DG771" s="162"/>
      <c r="DH771" s="230"/>
      <c r="DI771" s="230"/>
      <c r="DJ771" s="162"/>
      <c r="DK771" s="162"/>
      <c r="DL771" s="147"/>
      <c r="DM771" s="147"/>
      <c r="DN771" s="147"/>
      <c r="DO771" s="147"/>
      <c r="DP771" s="147"/>
      <c r="DQ771" s="147"/>
      <c r="DR771" s="147"/>
      <c r="DS771" s="147"/>
      <c r="DT771" s="147"/>
      <c r="DU771" s="147"/>
      <c r="DV771" s="147"/>
      <c r="DW771" s="147"/>
      <c r="DX771" s="147"/>
      <c r="DY771" s="147"/>
      <c r="DZ771" s="147"/>
      <c r="EA771" s="147"/>
      <c r="EB771" s="147"/>
      <c r="EC771" s="147"/>
      <c r="ED771" s="147"/>
      <c r="EE771" s="147"/>
      <c r="EF771" s="147"/>
      <c r="EG771" s="147"/>
      <c r="EH771" s="147"/>
    </row>
    <row r="772" spans="1:138" x14ac:dyDescent="0.25">
      <c r="A772" s="147"/>
      <c r="B772" s="147"/>
      <c r="C772" s="160"/>
      <c r="D772" s="160"/>
      <c r="E772" s="169"/>
      <c r="F772" s="229"/>
      <c r="G772" s="165"/>
      <c r="H772" s="165"/>
      <c r="I772" s="163"/>
      <c r="J772" s="163"/>
      <c r="K772" s="162"/>
      <c r="L772" s="162"/>
      <c r="M772" s="162"/>
      <c r="N772" s="230"/>
      <c r="O772" s="230"/>
      <c r="P772" s="162"/>
      <c r="Q772" s="162"/>
      <c r="R772" s="162"/>
      <c r="S772" s="162"/>
      <c r="T772" s="162"/>
      <c r="U772" s="230"/>
      <c r="V772" s="230"/>
      <c r="W772" s="162"/>
      <c r="X772" s="162"/>
      <c r="Y772" s="162"/>
      <c r="Z772" s="162"/>
      <c r="AA772" s="162"/>
      <c r="AB772" s="230"/>
      <c r="AC772" s="230"/>
      <c r="AD772" s="162"/>
      <c r="AE772" s="162"/>
      <c r="AF772" s="162"/>
      <c r="AG772" s="162"/>
      <c r="AH772" s="162"/>
      <c r="AI772" s="230"/>
      <c r="AJ772" s="230"/>
      <c r="AK772" s="162"/>
      <c r="AL772" s="162"/>
      <c r="AM772" s="162"/>
      <c r="AN772" s="162"/>
      <c r="AO772" s="162"/>
      <c r="AP772" s="230"/>
      <c r="AQ772" s="230"/>
      <c r="AR772" s="162"/>
      <c r="AS772" s="162"/>
      <c r="AT772" s="162"/>
      <c r="AU772" s="162"/>
      <c r="AV772" s="162"/>
      <c r="AW772" s="230"/>
      <c r="AX772" s="230"/>
      <c r="AY772" s="162"/>
      <c r="AZ772" s="162"/>
      <c r="BA772" s="162"/>
      <c r="BB772" s="162"/>
      <c r="BC772" s="162"/>
      <c r="BD772" s="230"/>
      <c r="BE772" s="230"/>
      <c r="BF772" s="162"/>
      <c r="BG772" s="162"/>
      <c r="BH772" s="162"/>
      <c r="BI772" s="162"/>
      <c r="BJ772" s="162"/>
      <c r="BK772" s="230"/>
      <c r="BL772" s="230"/>
      <c r="BM772" s="162"/>
      <c r="BN772" s="162"/>
      <c r="BO772" s="162"/>
      <c r="BP772" s="162"/>
      <c r="BQ772" s="162"/>
      <c r="BR772" s="230"/>
      <c r="BS772" s="230"/>
      <c r="BT772" s="162"/>
      <c r="BU772" s="162"/>
      <c r="BV772" s="162"/>
      <c r="BW772" s="162"/>
      <c r="BX772" s="162"/>
      <c r="BY772" s="230"/>
      <c r="BZ772" s="230"/>
      <c r="CA772" s="162"/>
      <c r="CB772" s="162"/>
      <c r="CC772" s="162"/>
      <c r="CD772" s="162"/>
      <c r="CE772" s="162"/>
      <c r="CF772" s="230"/>
      <c r="CG772" s="230"/>
      <c r="CH772" s="162"/>
      <c r="CI772" s="162"/>
      <c r="CJ772" s="162"/>
      <c r="CK772" s="162"/>
      <c r="CL772" s="162"/>
      <c r="CM772" s="230"/>
      <c r="CN772" s="230"/>
      <c r="CO772" s="162"/>
      <c r="CP772" s="162"/>
      <c r="CQ772" s="162"/>
      <c r="CR772" s="162"/>
      <c r="CS772" s="162"/>
      <c r="CT772" s="230"/>
      <c r="CU772" s="230"/>
      <c r="CV772" s="162"/>
      <c r="CW772" s="162"/>
      <c r="CX772" s="162"/>
      <c r="CY772" s="162"/>
      <c r="CZ772" s="162"/>
      <c r="DA772" s="230"/>
      <c r="DB772" s="230"/>
      <c r="DC772" s="162"/>
      <c r="DD772" s="162"/>
      <c r="DE772" s="162"/>
      <c r="DF772" s="162"/>
      <c r="DG772" s="162"/>
      <c r="DH772" s="230"/>
      <c r="DI772" s="230"/>
      <c r="DJ772" s="162"/>
      <c r="DK772" s="162"/>
      <c r="DL772" s="147"/>
      <c r="DM772" s="147"/>
      <c r="DN772" s="147"/>
      <c r="DO772" s="147"/>
      <c r="DP772" s="147"/>
      <c r="DQ772" s="147"/>
      <c r="DR772" s="147"/>
      <c r="DS772" s="147"/>
      <c r="DT772" s="147"/>
      <c r="DU772" s="147"/>
      <c r="DV772" s="147"/>
      <c r="DW772" s="147"/>
      <c r="DX772" s="147"/>
      <c r="DY772" s="147"/>
      <c r="DZ772" s="147"/>
      <c r="EA772" s="147"/>
      <c r="EB772" s="147"/>
      <c r="EC772" s="147"/>
      <c r="ED772" s="147"/>
      <c r="EE772" s="147"/>
      <c r="EF772" s="147"/>
      <c r="EG772" s="147"/>
      <c r="EH772" s="147"/>
    </row>
    <row r="773" spans="1:138" x14ac:dyDescent="0.25">
      <c r="A773" s="147"/>
      <c r="B773" s="147"/>
      <c r="C773" s="160"/>
      <c r="D773" s="160"/>
      <c r="E773" s="169"/>
      <c r="F773" s="229"/>
      <c r="G773" s="165"/>
      <c r="H773" s="165"/>
      <c r="I773" s="163"/>
      <c r="J773" s="163"/>
      <c r="K773" s="162"/>
      <c r="L773" s="162"/>
      <c r="M773" s="162"/>
      <c r="N773" s="230"/>
      <c r="O773" s="230"/>
      <c r="P773" s="162"/>
      <c r="Q773" s="162"/>
      <c r="R773" s="162"/>
      <c r="S773" s="162"/>
      <c r="T773" s="162"/>
      <c r="U773" s="230"/>
      <c r="V773" s="230"/>
      <c r="W773" s="162"/>
      <c r="X773" s="162"/>
      <c r="Y773" s="162"/>
      <c r="Z773" s="162"/>
      <c r="AA773" s="162"/>
      <c r="AB773" s="230"/>
      <c r="AC773" s="230"/>
      <c r="AD773" s="162"/>
      <c r="AE773" s="162"/>
      <c r="AF773" s="162"/>
      <c r="AG773" s="162"/>
      <c r="AH773" s="162"/>
      <c r="AI773" s="230"/>
      <c r="AJ773" s="230"/>
      <c r="AK773" s="162"/>
      <c r="AL773" s="162"/>
      <c r="AM773" s="162"/>
      <c r="AN773" s="162"/>
      <c r="AO773" s="162"/>
      <c r="AP773" s="230"/>
      <c r="AQ773" s="230"/>
      <c r="AR773" s="162"/>
      <c r="AS773" s="162"/>
      <c r="AT773" s="162"/>
      <c r="AU773" s="162"/>
      <c r="AV773" s="162"/>
      <c r="AW773" s="230"/>
      <c r="AX773" s="230"/>
      <c r="AY773" s="162"/>
      <c r="AZ773" s="162"/>
      <c r="BA773" s="162"/>
      <c r="BB773" s="162"/>
      <c r="BC773" s="162"/>
      <c r="BD773" s="230"/>
      <c r="BE773" s="230"/>
      <c r="BF773" s="162"/>
      <c r="BG773" s="162"/>
      <c r="BH773" s="162"/>
      <c r="BI773" s="162"/>
      <c r="BJ773" s="162"/>
      <c r="BK773" s="230"/>
      <c r="BL773" s="230"/>
      <c r="BM773" s="162"/>
      <c r="BN773" s="162"/>
      <c r="BO773" s="162"/>
      <c r="BP773" s="162"/>
      <c r="BQ773" s="162"/>
      <c r="BR773" s="230"/>
      <c r="BS773" s="230"/>
      <c r="BT773" s="162"/>
      <c r="BU773" s="162"/>
      <c r="BV773" s="162"/>
      <c r="BW773" s="162"/>
      <c r="BX773" s="162"/>
      <c r="BY773" s="230"/>
      <c r="BZ773" s="230"/>
      <c r="CA773" s="162"/>
      <c r="CB773" s="162"/>
      <c r="CC773" s="162"/>
      <c r="CD773" s="162"/>
      <c r="CE773" s="162"/>
      <c r="CF773" s="230"/>
      <c r="CG773" s="230"/>
      <c r="CH773" s="162"/>
      <c r="CI773" s="162"/>
      <c r="CJ773" s="162"/>
      <c r="CK773" s="162"/>
      <c r="CL773" s="162"/>
      <c r="CM773" s="230"/>
      <c r="CN773" s="230"/>
      <c r="CO773" s="162"/>
      <c r="CP773" s="162"/>
      <c r="CQ773" s="162"/>
      <c r="CR773" s="162"/>
      <c r="CS773" s="162"/>
      <c r="CT773" s="230"/>
      <c r="CU773" s="230"/>
      <c r="CV773" s="162"/>
      <c r="CW773" s="162"/>
      <c r="CX773" s="162"/>
      <c r="CY773" s="162"/>
      <c r="CZ773" s="162"/>
      <c r="DA773" s="230"/>
      <c r="DB773" s="230"/>
      <c r="DC773" s="162"/>
      <c r="DD773" s="162"/>
      <c r="DE773" s="162"/>
      <c r="DF773" s="162"/>
      <c r="DG773" s="162"/>
      <c r="DH773" s="230"/>
      <c r="DI773" s="230"/>
      <c r="DJ773" s="162"/>
      <c r="DK773" s="162"/>
      <c r="DL773" s="147"/>
      <c r="DM773" s="147"/>
      <c r="DN773" s="147"/>
      <c r="DO773" s="147"/>
      <c r="DP773" s="147"/>
      <c r="DQ773" s="147"/>
      <c r="DR773" s="147"/>
      <c r="DS773" s="147"/>
      <c r="DT773" s="147"/>
      <c r="DU773" s="147"/>
      <c r="DV773" s="147"/>
      <c r="DW773" s="147"/>
      <c r="DX773" s="147"/>
      <c r="DY773" s="147"/>
      <c r="DZ773" s="147"/>
      <c r="EA773" s="147"/>
      <c r="EB773" s="147"/>
      <c r="EC773" s="147"/>
      <c r="ED773" s="147"/>
      <c r="EE773" s="147"/>
      <c r="EF773" s="147"/>
      <c r="EG773" s="147"/>
      <c r="EH773" s="147"/>
    </row>
    <row r="774" spans="1:138" x14ac:dyDescent="0.25">
      <c r="A774" s="147"/>
      <c r="B774" s="147"/>
      <c r="C774" s="160"/>
      <c r="D774" s="160"/>
      <c r="E774" s="169"/>
      <c r="F774" s="229"/>
      <c r="G774" s="165"/>
      <c r="H774" s="165"/>
      <c r="I774" s="163"/>
      <c r="J774" s="163"/>
      <c r="K774" s="162"/>
      <c r="L774" s="162"/>
      <c r="M774" s="162"/>
      <c r="N774" s="230"/>
      <c r="O774" s="230"/>
      <c r="P774" s="162"/>
      <c r="Q774" s="162"/>
      <c r="R774" s="162"/>
      <c r="S774" s="162"/>
      <c r="T774" s="162"/>
      <c r="U774" s="230"/>
      <c r="V774" s="230"/>
      <c r="W774" s="162"/>
      <c r="X774" s="162"/>
      <c r="Y774" s="162"/>
      <c r="Z774" s="162"/>
      <c r="AA774" s="162"/>
      <c r="AB774" s="230"/>
      <c r="AC774" s="230"/>
      <c r="AD774" s="162"/>
      <c r="AE774" s="162"/>
      <c r="AF774" s="162"/>
      <c r="AG774" s="162"/>
      <c r="AH774" s="162"/>
      <c r="AI774" s="230"/>
      <c r="AJ774" s="230"/>
      <c r="AK774" s="162"/>
      <c r="AL774" s="162"/>
      <c r="AM774" s="162"/>
      <c r="AN774" s="162"/>
      <c r="AO774" s="162"/>
      <c r="AP774" s="230"/>
      <c r="AQ774" s="230"/>
      <c r="AR774" s="162"/>
      <c r="AS774" s="162"/>
      <c r="AT774" s="162"/>
      <c r="AU774" s="162"/>
      <c r="AV774" s="162"/>
      <c r="AW774" s="230"/>
      <c r="AX774" s="230"/>
      <c r="AY774" s="162"/>
      <c r="AZ774" s="162"/>
      <c r="BA774" s="162"/>
      <c r="BB774" s="162"/>
      <c r="BC774" s="162"/>
      <c r="BD774" s="230"/>
      <c r="BE774" s="230"/>
      <c r="BF774" s="162"/>
      <c r="BG774" s="162"/>
      <c r="BH774" s="162"/>
      <c r="BI774" s="162"/>
      <c r="BJ774" s="162"/>
      <c r="BK774" s="230"/>
      <c r="BL774" s="230"/>
      <c r="BM774" s="162"/>
      <c r="BN774" s="162"/>
      <c r="BO774" s="162"/>
      <c r="BP774" s="162"/>
      <c r="BQ774" s="162"/>
      <c r="BR774" s="230"/>
      <c r="BS774" s="230"/>
      <c r="BT774" s="162"/>
      <c r="BU774" s="162"/>
      <c r="BV774" s="162"/>
      <c r="BW774" s="162"/>
      <c r="BX774" s="162"/>
      <c r="BY774" s="230"/>
      <c r="BZ774" s="230"/>
      <c r="CA774" s="162"/>
      <c r="CB774" s="162"/>
      <c r="CC774" s="162"/>
      <c r="CD774" s="162"/>
      <c r="CE774" s="162"/>
      <c r="CF774" s="230"/>
      <c r="CG774" s="230"/>
      <c r="CH774" s="162"/>
      <c r="CI774" s="162"/>
      <c r="CJ774" s="162"/>
      <c r="CK774" s="162"/>
      <c r="CL774" s="162"/>
      <c r="CM774" s="230"/>
      <c r="CN774" s="230"/>
      <c r="CO774" s="162"/>
      <c r="CP774" s="162"/>
      <c r="CQ774" s="162"/>
      <c r="CR774" s="162"/>
      <c r="CS774" s="162"/>
      <c r="CT774" s="230"/>
      <c r="CU774" s="230"/>
      <c r="CV774" s="162"/>
      <c r="CW774" s="162"/>
      <c r="CX774" s="162"/>
      <c r="CY774" s="162"/>
      <c r="CZ774" s="162"/>
      <c r="DA774" s="230"/>
      <c r="DB774" s="230"/>
      <c r="DC774" s="162"/>
      <c r="DD774" s="162"/>
      <c r="DE774" s="162"/>
      <c r="DF774" s="162"/>
      <c r="DG774" s="162"/>
      <c r="DH774" s="230"/>
      <c r="DI774" s="230"/>
      <c r="DJ774" s="162"/>
      <c r="DK774" s="162"/>
      <c r="DL774" s="147"/>
      <c r="DM774" s="147"/>
      <c r="DN774" s="147"/>
      <c r="DO774" s="147"/>
      <c r="DP774" s="147"/>
      <c r="DQ774" s="147"/>
      <c r="DR774" s="147"/>
      <c r="DS774" s="147"/>
      <c r="DT774" s="147"/>
      <c r="DU774" s="147"/>
      <c r="DV774" s="147"/>
      <c r="DW774" s="147"/>
      <c r="DX774" s="147"/>
      <c r="DY774" s="147"/>
      <c r="DZ774" s="147"/>
      <c r="EA774" s="147"/>
      <c r="EB774" s="147"/>
      <c r="EC774" s="147"/>
      <c r="ED774" s="147"/>
      <c r="EE774" s="147"/>
      <c r="EF774" s="147"/>
      <c r="EG774" s="147"/>
      <c r="EH774" s="147"/>
    </row>
    <row r="775" spans="1:138" x14ac:dyDescent="0.25">
      <c r="A775" s="147"/>
      <c r="B775" s="147"/>
      <c r="C775" s="160"/>
      <c r="D775" s="160"/>
      <c r="E775" s="169"/>
      <c r="F775" s="229"/>
      <c r="G775" s="165"/>
      <c r="H775" s="165"/>
      <c r="I775" s="163"/>
      <c r="J775" s="163"/>
      <c r="K775" s="162"/>
      <c r="L775" s="162"/>
      <c r="M775" s="162"/>
      <c r="N775" s="230"/>
      <c r="O775" s="230"/>
      <c r="P775" s="162"/>
      <c r="Q775" s="162"/>
      <c r="R775" s="162"/>
      <c r="S775" s="162"/>
      <c r="T775" s="162"/>
      <c r="U775" s="230"/>
      <c r="V775" s="230"/>
      <c r="W775" s="162"/>
      <c r="X775" s="162"/>
      <c r="Y775" s="162"/>
      <c r="Z775" s="162"/>
      <c r="AA775" s="162"/>
      <c r="AB775" s="230"/>
      <c r="AC775" s="230"/>
      <c r="AD775" s="162"/>
      <c r="AE775" s="162"/>
      <c r="AF775" s="162"/>
      <c r="AG775" s="162"/>
      <c r="AH775" s="162"/>
      <c r="AI775" s="230"/>
      <c r="AJ775" s="230"/>
      <c r="AK775" s="162"/>
      <c r="AL775" s="162"/>
      <c r="AM775" s="162"/>
      <c r="AN775" s="162"/>
      <c r="AO775" s="162"/>
      <c r="AP775" s="230"/>
      <c r="AQ775" s="230"/>
      <c r="AR775" s="162"/>
      <c r="AS775" s="162"/>
      <c r="AT775" s="162"/>
      <c r="AU775" s="162"/>
      <c r="AV775" s="162"/>
      <c r="AW775" s="230"/>
      <c r="AX775" s="230"/>
      <c r="AY775" s="162"/>
      <c r="AZ775" s="162"/>
      <c r="BA775" s="162"/>
      <c r="BB775" s="162"/>
      <c r="BC775" s="162"/>
      <c r="BD775" s="230"/>
      <c r="BE775" s="230"/>
      <c r="BF775" s="162"/>
      <c r="BG775" s="162"/>
      <c r="BH775" s="162"/>
      <c r="BI775" s="162"/>
      <c r="BJ775" s="162"/>
      <c r="BK775" s="230"/>
      <c r="BL775" s="230"/>
      <c r="BM775" s="162"/>
      <c r="BN775" s="162"/>
      <c r="BO775" s="162"/>
      <c r="BP775" s="162"/>
      <c r="BQ775" s="162"/>
      <c r="BR775" s="230"/>
      <c r="BS775" s="230"/>
      <c r="BT775" s="162"/>
      <c r="BU775" s="162"/>
      <c r="BV775" s="162"/>
      <c r="BW775" s="162"/>
      <c r="BX775" s="162"/>
      <c r="BY775" s="230"/>
      <c r="BZ775" s="230"/>
      <c r="CA775" s="162"/>
      <c r="CB775" s="162"/>
      <c r="CC775" s="162"/>
      <c r="CD775" s="162"/>
      <c r="CE775" s="162"/>
      <c r="CF775" s="230"/>
      <c r="CG775" s="230"/>
      <c r="CH775" s="162"/>
      <c r="CI775" s="162"/>
      <c r="CJ775" s="162"/>
      <c r="CK775" s="162"/>
      <c r="CL775" s="162"/>
      <c r="CM775" s="230"/>
      <c r="CN775" s="230"/>
      <c r="CO775" s="162"/>
      <c r="CP775" s="162"/>
      <c r="CQ775" s="162"/>
      <c r="CR775" s="162"/>
      <c r="CS775" s="162"/>
      <c r="CT775" s="230"/>
      <c r="CU775" s="230"/>
      <c r="CV775" s="162"/>
      <c r="CW775" s="162"/>
      <c r="CX775" s="162"/>
      <c r="CY775" s="162"/>
      <c r="CZ775" s="162"/>
      <c r="DA775" s="230"/>
      <c r="DB775" s="230"/>
      <c r="DC775" s="162"/>
      <c r="DD775" s="162"/>
      <c r="DE775" s="162"/>
      <c r="DF775" s="162"/>
      <c r="DG775" s="162"/>
      <c r="DH775" s="230"/>
      <c r="DI775" s="230"/>
      <c r="DJ775" s="162"/>
      <c r="DK775" s="162"/>
      <c r="DL775" s="147"/>
      <c r="DM775" s="147"/>
      <c r="DN775" s="147"/>
      <c r="DO775" s="147"/>
      <c r="DP775" s="147"/>
      <c r="DQ775" s="147"/>
      <c r="DR775" s="147"/>
      <c r="DS775" s="147"/>
      <c r="DT775" s="147"/>
      <c r="DU775" s="147"/>
      <c r="DV775" s="147"/>
      <c r="DW775" s="147"/>
      <c r="DX775" s="147"/>
      <c r="DY775" s="147"/>
      <c r="DZ775" s="147"/>
      <c r="EA775" s="147"/>
      <c r="EB775" s="147"/>
      <c r="EC775" s="147"/>
      <c r="ED775" s="147"/>
      <c r="EE775" s="147"/>
      <c r="EF775" s="147"/>
      <c r="EG775" s="147"/>
      <c r="EH775" s="147"/>
    </row>
    <row r="776" spans="1:138" x14ac:dyDescent="0.25">
      <c r="A776" s="147"/>
      <c r="B776" s="147"/>
      <c r="C776" s="160"/>
      <c r="D776" s="160"/>
      <c r="E776" s="169"/>
      <c r="F776" s="229"/>
      <c r="G776" s="165"/>
      <c r="H776" s="165"/>
      <c r="I776" s="163"/>
      <c r="J776" s="163"/>
      <c r="K776" s="162"/>
      <c r="L776" s="162"/>
      <c r="M776" s="162"/>
      <c r="N776" s="230"/>
      <c r="O776" s="230"/>
      <c r="P776" s="162"/>
      <c r="Q776" s="162"/>
      <c r="R776" s="162"/>
      <c r="S776" s="162"/>
      <c r="T776" s="162"/>
      <c r="U776" s="230"/>
      <c r="V776" s="230"/>
      <c r="W776" s="162"/>
      <c r="X776" s="162"/>
      <c r="Y776" s="162"/>
      <c r="Z776" s="162"/>
      <c r="AA776" s="162"/>
      <c r="AB776" s="230"/>
      <c r="AC776" s="230"/>
      <c r="AD776" s="162"/>
      <c r="AE776" s="162"/>
      <c r="AF776" s="162"/>
      <c r="AG776" s="162"/>
      <c r="AH776" s="162"/>
      <c r="AI776" s="230"/>
      <c r="AJ776" s="230"/>
      <c r="AK776" s="162"/>
      <c r="AL776" s="162"/>
      <c r="AM776" s="162"/>
      <c r="AN776" s="162"/>
      <c r="AO776" s="162"/>
      <c r="AP776" s="230"/>
      <c r="AQ776" s="230"/>
      <c r="AR776" s="162"/>
      <c r="AS776" s="162"/>
      <c r="AT776" s="162"/>
      <c r="AU776" s="162"/>
      <c r="AV776" s="162"/>
      <c r="AW776" s="230"/>
      <c r="AX776" s="230"/>
      <c r="AY776" s="162"/>
      <c r="AZ776" s="162"/>
      <c r="BA776" s="162"/>
      <c r="BB776" s="162"/>
      <c r="BC776" s="162"/>
      <c r="BD776" s="230"/>
      <c r="BE776" s="230"/>
      <c r="BF776" s="162"/>
      <c r="BG776" s="162"/>
      <c r="BH776" s="162"/>
      <c r="BI776" s="162"/>
      <c r="BJ776" s="162"/>
      <c r="BK776" s="230"/>
      <c r="BL776" s="230"/>
      <c r="BM776" s="162"/>
      <c r="BN776" s="162"/>
      <c r="BO776" s="162"/>
      <c r="BP776" s="162"/>
      <c r="BQ776" s="162"/>
      <c r="BR776" s="230"/>
      <c r="BS776" s="230"/>
      <c r="BT776" s="162"/>
      <c r="BU776" s="162"/>
      <c r="BV776" s="162"/>
      <c r="BW776" s="162"/>
      <c r="BX776" s="162"/>
      <c r="BY776" s="230"/>
      <c r="BZ776" s="230"/>
      <c r="CA776" s="162"/>
      <c r="CB776" s="162"/>
      <c r="CC776" s="162"/>
      <c r="CD776" s="162"/>
      <c r="CE776" s="162"/>
      <c r="CF776" s="230"/>
      <c r="CG776" s="230"/>
      <c r="CH776" s="162"/>
      <c r="CI776" s="162"/>
      <c r="CJ776" s="162"/>
      <c r="CK776" s="162"/>
      <c r="CL776" s="162"/>
      <c r="CM776" s="230"/>
      <c r="CN776" s="230"/>
      <c r="CO776" s="162"/>
      <c r="CP776" s="162"/>
      <c r="CQ776" s="162"/>
      <c r="CR776" s="162"/>
      <c r="CS776" s="162"/>
      <c r="CT776" s="230"/>
      <c r="CU776" s="230"/>
      <c r="CV776" s="162"/>
      <c r="CW776" s="162"/>
      <c r="CX776" s="162"/>
      <c r="CY776" s="162"/>
      <c r="CZ776" s="162"/>
      <c r="DA776" s="230"/>
      <c r="DB776" s="230"/>
      <c r="DC776" s="162"/>
      <c r="DD776" s="162"/>
      <c r="DE776" s="162"/>
      <c r="DF776" s="162"/>
      <c r="DG776" s="162"/>
      <c r="DH776" s="230"/>
      <c r="DI776" s="230"/>
      <c r="DJ776" s="162"/>
      <c r="DK776" s="162"/>
      <c r="DL776" s="147"/>
      <c r="DM776" s="147"/>
      <c r="DN776" s="147"/>
      <c r="DO776" s="147"/>
      <c r="DP776" s="147"/>
      <c r="DQ776" s="147"/>
      <c r="DR776" s="147"/>
      <c r="DS776" s="147"/>
      <c r="DT776" s="147"/>
      <c r="DU776" s="147"/>
      <c r="DV776" s="147"/>
      <c r="DW776" s="147"/>
      <c r="DX776" s="147"/>
      <c r="DY776" s="147"/>
      <c r="DZ776" s="147"/>
      <c r="EA776" s="147"/>
      <c r="EB776" s="147"/>
      <c r="EC776" s="147"/>
      <c r="ED776" s="147"/>
      <c r="EE776" s="147"/>
      <c r="EF776" s="147"/>
      <c r="EG776" s="147"/>
      <c r="EH776" s="147"/>
    </row>
    <row r="777" spans="1:138" x14ac:dyDescent="0.25">
      <c r="A777" s="147"/>
      <c r="B777" s="147"/>
      <c r="C777" s="160"/>
      <c r="D777" s="160"/>
      <c r="E777" s="169"/>
      <c r="F777" s="229"/>
      <c r="G777" s="165"/>
      <c r="H777" s="165"/>
      <c r="I777" s="163"/>
      <c r="J777" s="163"/>
      <c r="K777" s="162"/>
      <c r="L777" s="162"/>
      <c r="M777" s="162"/>
      <c r="N777" s="230"/>
      <c r="O777" s="230"/>
      <c r="P777" s="162"/>
      <c r="Q777" s="162"/>
      <c r="R777" s="162"/>
      <c r="S777" s="162"/>
      <c r="T777" s="162"/>
      <c r="U777" s="230"/>
      <c r="V777" s="230"/>
      <c r="W777" s="162"/>
      <c r="X777" s="162"/>
      <c r="Y777" s="162"/>
      <c r="Z777" s="162"/>
      <c r="AA777" s="162"/>
      <c r="AB777" s="230"/>
      <c r="AC777" s="230"/>
      <c r="AD777" s="162"/>
      <c r="AE777" s="162"/>
      <c r="AF777" s="162"/>
      <c r="AG777" s="162"/>
      <c r="AH777" s="162"/>
      <c r="AI777" s="230"/>
      <c r="AJ777" s="230"/>
      <c r="AK777" s="162"/>
      <c r="AL777" s="162"/>
      <c r="AM777" s="162"/>
      <c r="AN777" s="162"/>
      <c r="AO777" s="162"/>
      <c r="AP777" s="230"/>
      <c r="AQ777" s="230"/>
      <c r="AR777" s="162"/>
      <c r="AS777" s="162"/>
      <c r="AT777" s="162"/>
      <c r="AU777" s="162"/>
      <c r="AV777" s="162"/>
      <c r="AW777" s="230"/>
      <c r="AX777" s="230"/>
      <c r="AY777" s="162"/>
      <c r="AZ777" s="162"/>
      <c r="BA777" s="162"/>
      <c r="BB777" s="162"/>
      <c r="BC777" s="162"/>
      <c r="BD777" s="230"/>
      <c r="BE777" s="230"/>
      <c r="BF777" s="162"/>
      <c r="BG777" s="162"/>
      <c r="BH777" s="162"/>
      <c r="BI777" s="162"/>
      <c r="BJ777" s="162"/>
      <c r="BK777" s="230"/>
      <c r="BL777" s="230"/>
      <c r="BM777" s="162"/>
      <c r="BN777" s="162"/>
      <c r="BO777" s="162"/>
      <c r="BP777" s="162"/>
      <c r="BQ777" s="162"/>
      <c r="BR777" s="230"/>
      <c r="BS777" s="230"/>
      <c r="BT777" s="162"/>
      <c r="BU777" s="162"/>
      <c r="BV777" s="162"/>
      <c r="BW777" s="162"/>
      <c r="BX777" s="162"/>
      <c r="BY777" s="230"/>
      <c r="BZ777" s="230"/>
      <c r="CA777" s="162"/>
      <c r="CB777" s="162"/>
      <c r="CC777" s="162"/>
      <c r="CD777" s="162"/>
      <c r="CE777" s="162"/>
      <c r="CF777" s="230"/>
      <c r="CG777" s="230"/>
      <c r="CH777" s="162"/>
      <c r="CI777" s="162"/>
      <c r="CJ777" s="162"/>
      <c r="CK777" s="162"/>
      <c r="CL777" s="162"/>
      <c r="CM777" s="230"/>
      <c r="CN777" s="230"/>
      <c r="CO777" s="162"/>
      <c r="CP777" s="162"/>
      <c r="CQ777" s="162"/>
      <c r="CR777" s="162"/>
      <c r="CS777" s="162"/>
      <c r="CT777" s="230"/>
      <c r="CU777" s="230"/>
      <c r="CV777" s="162"/>
      <c r="CW777" s="162"/>
      <c r="CX777" s="162"/>
      <c r="CY777" s="162"/>
      <c r="CZ777" s="162"/>
      <c r="DA777" s="230"/>
      <c r="DB777" s="230"/>
      <c r="DC777" s="162"/>
      <c r="DD777" s="162"/>
      <c r="DE777" s="162"/>
      <c r="DF777" s="162"/>
      <c r="DG777" s="162"/>
      <c r="DH777" s="230"/>
      <c r="DI777" s="230"/>
      <c r="DJ777" s="162"/>
      <c r="DK777" s="162"/>
      <c r="DL777" s="147"/>
      <c r="DM777" s="147"/>
      <c r="DN777" s="147"/>
      <c r="DO777" s="147"/>
      <c r="DP777" s="147"/>
      <c r="DQ777" s="147"/>
      <c r="DR777" s="147"/>
      <c r="DS777" s="147"/>
      <c r="DT777" s="147"/>
      <c r="DU777" s="147"/>
      <c r="DV777" s="147"/>
      <c r="DW777" s="147"/>
      <c r="DX777" s="147"/>
      <c r="DY777" s="147"/>
      <c r="DZ777" s="147"/>
      <c r="EA777" s="147"/>
      <c r="EB777" s="147"/>
      <c r="EC777" s="147"/>
      <c r="ED777" s="147"/>
      <c r="EE777" s="147"/>
      <c r="EF777" s="147"/>
      <c r="EG777" s="147"/>
      <c r="EH777" s="147"/>
    </row>
    <row r="778" spans="1:138" x14ac:dyDescent="0.25">
      <c r="A778" s="147"/>
      <c r="B778" s="147"/>
      <c r="C778" s="160"/>
      <c r="D778" s="160"/>
      <c r="E778" s="169"/>
      <c r="F778" s="229"/>
      <c r="G778" s="165"/>
      <c r="H778" s="165"/>
      <c r="I778" s="163"/>
      <c r="J778" s="163"/>
      <c r="K778" s="162"/>
      <c r="L778" s="162"/>
      <c r="M778" s="162"/>
      <c r="N778" s="230"/>
      <c r="O778" s="230"/>
      <c r="P778" s="162"/>
      <c r="Q778" s="162"/>
      <c r="R778" s="162"/>
      <c r="S778" s="162"/>
      <c r="T778" s="162"/>
      <c r="U778" s="230"/>
      <c r="V778" s="230"/>
      <c r="W778" s="162"/>
      <c r="X778" s="162"/>
      <c r="Y778" s="162"/>
      <c r="Z778" s="162"/>
      <c r="AA778" s="162"/>
      <c r="AB778" s="230"/>
      <c r="AC778" s="230"/>
      <c r="AD778" s="162"/>
      <c r="AE778" s="162"/>
      <c r="AF778" s="162"/>
      <c r="AG778" s="162"/>
      <c r="AH778" s="162"/>
      <c r="AI778" s="230"/>
      <c r="AJ778" s="230"/>
      <c r="AK778" s="162"/>
      <c r="AL778" s="162"/>
      <c r="AM778" s="162"/>
      <c r="AN778" s="162"/>
      <c r="AO778" s="162"/>
      <c r="AP778" s="230"/>
      <c r="AQ778" s="230"/>
      <c r="AR778" s="162"/>
      <c r="AS778" s="162"/>
      <c r="AT778" s="162"/>
      <c r="AU778" s="162"/>
      <c r="AV778" s="162"/>
      <c r="AW778" s="230"/>
      <c r="AX778" s="230"/>
      <c r="AY778" s="162"/>
      <c r="AZ778" s="162"/>
      <c r="BA778" s="162"/>
      <c r="BB778" s="162"/>
      <c r="BC778" s="162"/>
      <c r="BD778" s="230"/>
      <c r="BE778" s="230"/>
      <c r="BF778" s="162"/>
      <c r="BG778" s="162"/>
      <c r="BH778" s="162"/>
      <c r="BI778" s="162"/>
      <c r="BJ778" s="162"/>
      <c r="BK778" s="230"/>
      <c r="BL778" s="230"/>
      <c r="BM778" s="162"/>
      <c r="BN778" s="162"/>
      <c r="BO778" s="162"/>
      <c r="BP778" s="162"/>
      <c r="BQ778" s="162"/>
      <c r="BR778" s="230"/>
      <c r="BS778" s="230"/>
      <c r="BT778" s="162"/>
      <c r="BU778" s="162"/>
      <c r="BV778" s="162"/>
      <c r="BW778" s="162"/>
      <c r="BX778" s="162"/>
      <c r="BY778" s="230"/>
      <c r="BZ778" s="230"/>
      <c r="CA778" s="162"/>
      <c r="CB778" s="162"/>
      <c r="CC778" s="162"/>
      <c r="CD778" s="162"/>
      <c r="CE778" s="162"/>
      <c r="CF778" s="230"/>
      <c r="CG778" s="230"/>
      <c r="CH778" s="162"/>
      <c r="CI778" s="162"/>
      <c r="CJ778" s="162"/>
      <c r="CK778" s="162"/>
      <c r="CL778" s="162"/>
      <c r="CM778" s="230"/>
      <c r="CN778" s="230"/>
      <c r="CO778" s="162"/>
      <c r="CP778" s="162"/>
      <c r="CQ778" s="162"/>
      <c r="CR778" s="162"/>
      <c r="CS778" s="162"/>
      <c r="CT778" s="230"/>
      <c r="CU778" s="230"/>
      <c r="CV778" s="162"/>
      <c r="CW778" s="162"/>
      <c r="CX778" s="162"/>
      <c r="CY778" s="162"/>
      <c r="CZ778" s="162"/>
      <c r="DA778" s="230"/>
      <c r="DB778" s="230"/>
      <c r="DC778" s="162"/>
      <c r="DD778" s="162"/>
      <c r="DE778" s="162"/>
      <c r="DF778" s="162"/>
      <c r="DG778" s="162"/>
      <c r="DH778" s="230"/>
      <c r="DI778" s="230"/>
      <c r="DJ778" s="162"/>
      <c r="DK778" s="162"/>
      <c r="DL778" s="147"/>
      <c r="DM778" s="147"/>
      <c r="DN778" s="147"/>
      <c r="DO778" s="147"/>
      <c r="DP778" s="147"/>
      <c r="DQ778" s="147"/>
      <c r="DR778" s="147"/>
      <c r="DS778" s="147"/>
      <c r="DT778" s="147"/>
      <c r="DU778" s="147"/>
      <c r="DV778" s="147"/>
      <c r="DW778" s="147"/>
      <c r="DX778" s="147"/>
      <c r="DY778" s="147"/>
      <c r="DZ778" s="147"/>
      <c r="EA778" s="147"/>
      <c r="EB778" s="147"/>
      <c r="EC778" s="147"/>
      <c r="ED778" s="147"/>
      <c r="EE778" s="147"/>
      <c r="EF778" s="147"/>
      <c r="EG778" s="147"/>
      <c r="EH778" s="147"/>
    </row>
    <row r="779" spans="1:138" x14ac:dyDescent="0.25">
      <c r="A779" s="147"/>
      <c r="B779" s="147"/>
      <c r="C779" s="160"/>
      <c r="D779" s="160"/>
      <c r="E779" s="169"/>
      <c r="F779" s="229"/>
      <c r="G779" s="165"/>
      <c r="H779" s="165"/>
      <c r="I779" s="163"/>
      <c r="J779" s="163"/>
      <c r="K779" s="162"/>
      <c r="L779" s="162"/>
      <c r="M779" s="162"/>
      <c r="N779" s="230"/>
      <c r="O779" s="230"/>
      <c r="P779" s="162"/>
      <c r="Q779" s="162"/>
      <c r="R779" s="162"/>
      <c r="S779" s="162"/>
      <c r="T779" s="162"/>
      <c r="U779" s="230"/>
      <c r="V779" s="230"/>
      <c r="W779" s="162"/>
      <c r="X779" s="162"/>
      <c r="Y779" s="162"/>
      <c r="Z779" s="162"/>
      <c r="AA779" s="162"/>
      <c r="AB779" s="230"/>
      <c r="AC779" s="230"/>
      <c r="AD779" s="162"/>
      <c r="AE779" s="162"/>
      <c r="AF779" s="162"/>
      <c r="AG779" s="162"/>
      <c r="AH779" s="162"/>
      <c r="AI779" s="230"/>
      <c r="AJ779" s="230"/>
      <c r="AK779" s="162"/>
      <c r="AL779" s="162"/>
      <c r="AM779" s="162"/>
      <c r="AN779" s="162"/>
      <c r="AO779" s="162"/>
      <c r="AP779" s="230"/>
      <c r="AQ779" s="230"/>
      <c r="AR779" s="162"/>
      <c r="AS779" s="162"/>
      <c r="AT779" s="162"/>
      <c r="AU779" s="162"/>
      <c r="AV779" s="162"/>
      <c r="AW779" s="230"/>
      <c r="AX779" s="230"/>
      <c r="AY779" s="162"/>
      <c r="AZ779" s="162"/>
      <c r="BA779" s="162"/>
      <c r="BB779" s="162"/>
      <c r="BC779" s="162"/>
      <c r="BD779" s="230"/>
      <c r="BE779" s="230"/>
      <c r="BF779" s="162"/>
      <c r="BG779" s="162"/>
      <c r="BH779" s="162"/>
      <c r="BI779" s="162"/>
      <c r="BJ779" s="162"/>
      <c r="BK779" s="230"/>
      <c r="BL779" s="230"/>
      <c r="BM779" s="162"/>
      <c r="BN779" s="162"/>
      <c r="BO779" s="162"/>
      <c r="BP779" s="162"/>
      <c r="BQ779" s="162"/>
      <c r="BR779" s="230"/>
      <c r="BS779" s="230"/>
      <c r="BT779" s="162"/>
      <c r="BU779" s="162"/>
      <c r="BV779" s="162"/>
      <c r="BW779" s="162"/>
      <c r="BX779" s="162"/>
      <c r="BY779" s="230"/>
      <c r="BZ779" s="230"/>
      <c r="CA779" s="162"/>
      <c r="CB779" s="162"/>
      <c r="CC779" s="162"/>
      <c r="CD779" s="162"/>
      <c r="CE779" s="162"/>
      <c r="CF779" s="230"/>
      <c r="CG779" s="230"/>
      <c r="CH779" s="162"/>
      <c r="CI779" s="162"/>
      <c r="CJ779" s="162"/>
      <c r="CK779" s="162"/>
      <c r="CL779" s="162"/>
      <c r="CM779" s="230"/>
      <c r="CN779" s="230"/>
      <c r="CO779" s="162"/>
      <c r="CP779" s="162"/>
      <c r="CQ779" s="162"/>
      <c r="CR779" s="162"/>
      <c r="CS779" s="162"/>
      <c r="CT779" s="230"/>
      <c r="CU779" s="230"/>
      <c r="CV779" s="162"/>
      <c r="CW779" s="162"/>
      <c r="CX779" s="162"/>
      <c r="CY779" s="162"/>
      <c r="CZ779" s="162"/>
      <c r="DA779" s="230"/>
      <c r="DB779" s="230"/>
      <c r="DC779" s="162"/>
      <c r="DD779" s="162"/>
      <c r="DE779" s="162"/>
      <c r="DF779" s="162"/>
      <c r="DG779" s="162"/>
      <c r="DH779" s="230"/>
      <c r="DI779" s="230"/>
      <c r="DJ779" s="162"/>
      <c r="DK779" s="162"/>
      <c r="DL779" s="147"/>
      <c r="DM779" s="147"/>
      <c r="DN779" s="147"/>
      <c r="DO779" s="147"/>
      <c r="DP779" s="147"/>
      <c r="DQ779" s="147"/>
      <c r="DR779" s="147"/>
      <c r="DS779" s="147"/>
      <c r="DT779" s="147"/>
      <c r="DU779" s="147"/>
      <c r="DV779" s="147"/>
      <c r="DW779" s="147"/>
      <c r="DX779" s="147"/>
      <c r="DY779" s="147"/>
      <c r="DZ779" s="147"/>
      <c r="EA779" s="147"/>
      <c r="EB779" s="147"/>
      <c r="EC779" s="147"/>
      <c r="ED779" s="147"/>
      <c r="EE779" s="147"/>
      <c r="EF779" s="147"/>
      <c r="EG779" s="147"/>
      <c r="EH779" s="147"/>
    </row>
    <row r="780" spans="1:138" x14ac:dyDescent="0.25">
      <c r="A780" s="147"/>
      <c r="B780" s="147"/>
      <c r="C780" s="160"/>
      <c r="D780" s="160"/>
      <c r="E780" s="169"/>
      <c r="F780" s="229"/>
      <c r="G780" s="165"/>
      <c r="H780" s="165"/>
      <c r="I780" s="163"/>
      <c r="J780" s="163"/>
      <c r="K780" s="162"/>
      <c r="L780" s="162"/>
      <c r="M780" s="162"/>
      <c r="N780" s="230"/>
      <c r="O780" s="230"/>
      <c r="P780" s="162"/>
      <c r="Q780" s="162"/>
      <c r="R780" s="162"/>
      <c r="S780" s="162"/>
      <c r="T780" s="162"/>
      <c r="U780" s="230"/>
      <c r="V780" s="230"/>
      <c r="W780" s="162"/>
      <c r="X780" s="162"/>
      <c r="Y780" s="162"/>
      <c r="Z780" s="162"/>
      <c r="AA780" s="162"/>
      <c r="AB780" s="230"/>
      <c r="AC780" s="230"/>
      <c r="AD780" s="162"/>
      <c r="AE780" s="162"/>
      <c r="AF780" s="162"/>
      <c r="AG780" s="162"/>
      <c r="AH780" s="162"/>
      <c r="AI780" s="230"/>
      <c r="AJ780" s="230"/>
      <c r="AK780" s="162"/>
      <c r="AL780" s="162"/>
      <c r="AM780" s="162"/>
      <c r="AN780" s="162"/>
      <c r="AO780" s="162"/>
      <c r="AP780" s="230"/>
      <c r="AQ780" s="230"/>
      <c r="AR780" s="162"/>
      <c r="AS780" s="162"/>
      <c r="AT780" s="162"/>
      <c r="AU780" s="162"/>
      <c r="AV780" s="162"/>
      <c r="AW780" s="230"/>
      <c r="AX780" s="230"/>
      <c r="AY780" s="162"/>
      <c r="AZ780" s="162"/>
      <c r="BA780" s="162"/>
      <c r="BB780" s="162"/>
      <c r="BC780" s="162"/>
      <c r="BD780" s="230"/>
      <c r="BE780" s="230"/>
      <c r="BF780" s="162"/>
      <c r="BG780" s="162"/>
      <c r="BH780" s="162"/>
      <c r="BI780" s="162"/>
      <c r="BJ780" s="162"/>
      <c r="BK780" s="230"/>
      <c r="BL780" s="230"/>
      <c r="BM780" s="162"/>
      <c r="BN780" s="162"/>
      <c r="BO780" s="162"/>
      <c r="BP780" s="162"/>
      <c r="BQ780" s="162"/>
      <c r="BR780" s="230"/>
      <c r="BS780" s="230"/>
      <c r="BT780" s="162"/>
      <c r="BU780" s="162"/>
      <c r="BV780" s="162"/>
      <c r="BW780" s="162"/>
      <c r="BX780" s="162"/>
      <c r="BY780" s="230"/>
      <c r="BZ780" s="230"/>
      <c r="CA780" s="162"/>
      <c r="CB780" s="162"/>
      <c r="CC780" s="162"/>
      <c r="CD780" s="162"/>
      <c r="CE780" s="162"/>
      <c r="CF780" s="230"/>
      <c r="CG780" s="230"/>
      <c r="CH780" s="162"/>
      <c r="CI780" s="162"/>
      <c r="CJ780" s="162"/>
      <c r="CK780" s="162"/>
      <c r="CL780" s="162"/>
      <c r="CM780" s="230"/>
      <c r="CN780" s="230"/>
      <c r="CO780" s="162"/>
      <c r="CP780" s="162"/>
      <c r="CQ780" s="162"/>
      <c r="CR780" s="162"/>
      <c r="CS780" s="162"/>
      <c r="CT780" s="230"/>
      <c r="CU780" s="230"/>
      <c r="CV780" s="162"/>
      <c r="CW780" s="162"/>
      <c r="CX780" s="162"/>
      <c r="CY780" s="162"/>
      <c r="CZ780" s="162"/>
      <c r="DA780" s="230"/>
      <c r="DB780" s="230"/>
      <c r="DC780" s="162"/>
      <c r="DD780" s="162"/>
      <c r="DE780" s="162"/>
      <c r="DF780" s="162"/>
      <c r="DG780" s="162"/>
      <c r="DH780" s="230"/>
      <c r="DI780" s="230"/>
      <c r="DJ780" s="162"/>
      <c r="DK780" s="162"/>
      <c r="DL780" s="147"/>
      <c r="DM780" s="147"/>
      <c r="DN780" s="147"/>
      <c r="DO780" s="147"/>
      <c r="DP780" s="147"/>
      <c r="DQ780" s="147"/>
      <c r="DR780" s="147"/>
      <c r="DS780" s="147"/>
      <c r="DT780" s="147"/>
      <c r="DU780" s="147"/>
      <c r="DV780" s="147"/>
      <c r="DW780" s="147"/>
      <c r="DX780" s="147"/>
      <c r="DY780" s="147"/>
      <c r="DZ780" s="147"/>
      <c r="EA780" s="147"/>
      <c r="EB780" s="147"/>
      <c r="EC780" s="147"/>
      <c r="ED780" s="147"/>
      <c r="EE780" s="147"/>
      <c r="EF780" s="147"/>
      <c r="EG780" s="147"/>
      <c r="EH780" s="147"/>
    </row>
    <row r="781" spans="1:138" x14ac:dyDescent="0.25">
      <c r="A781" s="147"/>
      <c r="B781" s="147"/>
      <c r="C781" s="160"/>
      <c r="D781" s="160"/>
      <c r="E781" s="169"/>
      <c r="F781" s="229"/>
      <c r="G781" s="165"/>
      <c r="H781" s="165"/>
      <c r="I781" s="163"/>
      <c r="J781" s="163"/>
      <c r="K781" s="162"/>
      <c r="L781" s="162"/>
      <c r="M781" s="162"/>
      <c r="N781" s="230"/>
      <c r="O781" s="230"/>
      <c r="P781" s="162"/>
      <c r="Q781" s="162"/>
      <c r="R781" s="162"/>
      <c r="S781" s="162"/>
      <c r="T781" s="162"/>
      <c r="U781" s="230"/>
      <c r="V781" s="230"/>
      <c r="W781" s="162"/>
      <c r="X781" s="162"/>
      <c r="Y781" s="162"/>
      <c r="Z781" s="162"/>
      <c r="AA781" s="162"/>
      <c r="AB781" s="230"/>
      <c r="AC781" s="230"/>
      <c r="AD781" s="162"/>
      <c r="AE781" s="162"/>
      <c r="AF781" s="162"/>
      <c r="AG781" s="162"/>
      <c r="AH781" s="162"/>
      <c r="AI781" s="230"/>
      <c r="AJ781" s="230"/>
      <c r="AK781" s="162"/>
      <c r="AL781" s="162"/>
      <c r="AM781" s="162"/>
      <c r="AN781" s="162"/>
      <c r="AO781" s="162"/>
      <c r="AP781" s="230"/>
      <c r="AQ781" s="230"/>
      <c r="AR781" s="162"/>
      <c r="AS781" s="162"/>
      <c r="AT781" s="162"/>
      <c r="AU781" s="162"/>
      <c r="AV781" s="162"/>
      <c r="AW781" s="230"/>
      <c r="AX781" s="230"/>
      <c r="AY781" s="162"/>
      <c r="AZ781" s="162"/>
      <c r="BA781" s="162"/>
      <c r="BB781" s="162"/>
      <c r="BC781" s="162"/>
      <c r="BD781" s="230"/>
      <c r="BE781" s="230"/>
      <c r="BF781" s="162"/>
      <c r="BG781" s="162"/>
      <c r="BH781" s="162"/>
      <c r="BI781" s="162"/>
      <c r="BJ781" s="162"/>
      <c r="BK781" s="230"/>
      <c r="BL781" s="230"/>
      <c r="BM781" s="162"/>
      <c r="BN781" s="162"/>
      <c r="BO781" s="162"/>
      <c r="BP781" s="162"/>
      <c r="BQ781" s="162"/>
      <c r="BR781" s="230"/>
      <c r="BS781" s="230"/>
      <c r="BT781" s="162"/>
      <c r="BU781" s="162"/>
      <c r="BV781" s="162"/>
      <c r="BW781" s="162"/>
      <c r="BX781" s="162"/>
      <c r="BY781" s="230"/>
      <c r="BZ781" s="230"/>
      <c r="CA781" s="162"/>
      <c r="CB781" s="162"/>
      <c r="CC781" s="162"/>
      <c r="CD781" s="162"/>
      <c r="CE781" s="162"/>
      <c r="CF781" s="230"/>
      <c r="CG781" s="230"/>
      <c r="CH781" s="162"/>
      <c r="CI781" s="162"/>
      <c r="CJ781" s="162"/>
      <c r="CK781" s="162"/>
      <c r="CL781" s="162"/>
      <c r="CM781" s="230"/>
      <c r="CN781" s="230"/>
      <c r="CO781" s="162"/>
      <c r="CP781" s="162"/>
      <c r="CQ781" s="162"/>
      <c r="CR781" s="162"/>
      <c r="CS781" s="162"/>
      <c r="CT781" s="230"/>
      <c r="CU781" s="230"/>
      <c r="CV781" s="162"/>
      <c r="CW781" s="162"/>
      <c r="CX781" s="162"/>
      <c r="CY781" s="162"/>
      <c r="CZ781" s="162"/>
      <c r="DA781" s="230"/>
      <c r="DB781" s="230"/>
      <c r="DC781" s="162"/>
      <c r="DD781" s="162"/>
      <c r="DE781" s="162"/>
      <c r="DF781" s="162"/>
      <c r="DG781" s="162"/>
      <c r="DH781" s="230"/>
      <c r="DI781" s="230"/>
      <c r="DJ781" s="162"/>
      <c r="DK781" s="162"/>
      <c r="DL781" s="147"/>
      <c r="DM781" s="147"/>
      <c r="DN781" s="147"/>
      <c r="DO781" s="147"/>
      <c r="DP781" s="147"/>
      <c r="DQ781" s="147"/>
      <c r="DR781" s="147"/>
      <c r="DS781" s="147"/>
      <c r="DT781" s="147"/>
      <c r="DU781" s="147"/>
      <c r="DV781" s="147"/>
      <c r="DW781" s="147"/>
      <c r="DX781" s="147"/>
      <c r="DY781" s="147"/>
      <c r="DZ781" s="147"/>
      <c r="EA781" s="147"/>
      <c r="EB781" s="147"/>
      <c r="EC781" s="147"/>
      <c r="ED781" s="147"/>
      <c r="EE781" s="147"/>
      <c r="EF781" s="147"/>
      <c r="EG781" s="147"/>
      <c r="EH781" s="147"/>
    </row>
    <row r="782" spans="1:138" x14ac:dyDescent="0.25">
      <c r="A782" s="147"/>
      <c r="B782" s="147"/>
      <c r="C782" s="160"/>
      <c r="D782" s="160"/>
      <c r="E782" s="169"/>
      <c r="F782" s="229"/>
      <c r="G782" s="165"/>
      <c r="H782" s="165"/>
      <c r="I782" s="163"/>
      <c r="J782" s="163"/>
      <c r="K782" s="162"/>
      <c r="L782" s="162"/>
      <c r="M782" s="162"/>
      <c r="N782" s="230"/>
      <c r="O782" s="230"/>
      <c r="P782" s="162"/>
      <c r="Q782" s="162"/>
      <c r="R782" s="162"/>
      <c r="S782" s="162"/>
      <c r="T782" s="162"/>
      <c r="U782" s="230"/>
      <c r="V782" s="230"/>
      <c r="W782" s="162"/>
      <c r="X782" s="162"/>
      <c r="Y782" s="162"/>
      <c r="Z782" s="162"/>
      <c r="AA782" s="162"/>
      <c r="AB782" s="230"/>
      <c r="AC782" s="230"/>
      <c r="AD782" s="162"/>
      <c r="AE782" s="162"/>
      <c r="AF782" s="162"/>
      <c r="AG782" s="162"/>
      <c r="AH782" s="162"/>
      <c r="AI782" s="230"/>
      <c r="AJ782" s="230"/>
      <c r="AK782" s="162"/>
      <c r="AL782" s="162"/>
      <c r="AM782" s="162"/>
      <c r="AN782" s="162"/>
      <c r="AO782" s="162"/>
      <c r="AP782" s="230"/>
      <c r="AQ782" s="230"/>
      <c r="AR782" s="162"/>
      <c r="AS782" s="162"/>
      <c r="AT782" s="162"/>
      <c r="AU782" s="162"/>
      <c r="AV782" s="162"/>
      <c r="AW782" s="230"/>
      <c r="AX782" s="230"/>
      <c r="AY782" s="162"/>
      <c r="AZ782" s="162"/>
      <c r="BA782" s="162"/>
      <c r="BB782" s="162"/>
      <c r="BC782" s="162"/>
      <c r="BD782" s="230"/>
      <c r="BE782" s="230"/>
      <c r="BF782" s="162"/>
      <c r="BG782" s="162"/>
      <c r="BH782" s="162"/>
      <c r="BI782" s="162"/>
      <c r="BJ782" s="162"/>
      <c r="BK782" s="230"/>
      <c r="BL782" s="230"/>
      <c r="BM782" s="162"/>
      <c r="BN782" s="162"/>
      <c r="BO782" s="162"/>
      <c r="BP782" s="162"/>
      <c r="BQ782" s="162"/>
      <c r="BR782" s="230"/>
      <c r="BS782" s="230"/>
      <c r="BT782" s="162"/>
      <c r="BU782" s="162"/>
      <c r="BV782" s="162"/>
      <c r="BW782" s="162"/>
      <c r="BX782" s="162"/>
      <c r="BY782" s="230"/>
      <c r="BZ782" s="230"/>
      <c r="CA782" s="162"/>
      <c r="CB782" s="162"/>
      <c r="CC782" s="162"/>
      <c r="CD782" s="162"/>
      <c r="CE782" s="162"/>
      <c r="CF782" s="230"/>
      <c r="CG782" s="230"/>
      <c r="CH782" s="162"/>
      <c r="CI782" s="162"/>
      <c r="CJ782" s="162"/>
      <c r="CK782" s="162"/>
      <c r="CL782" s="162"/>
      <c r="CM782" s="230"/>
      <c r="CN782" s="230"/>
      <c r="CO782" s="162"/>
      <c r="CP782" s="162"/>
      <c r="CQ782" s="162"/>
      <c r="CR782" s="162"/>
      <c r="CS782" s="162"/>
      <c r="CT782" s="230"/>
      <c r="CU782" s="230"/>
      <c r="CV782" s="162"/>
      <c r="CW782" s="162"/>
      <c r="CX782" s="162"/>
      <c r="CY782" s="162"/>
      <c r="CZ782" s="162"/>
      <c r="DA782" s="230"/>
      <c r="DB782" s="230"/>
      <c r="DC782" s="162"/>
      <c r="DD782" s="162"/>
      <c r="DE782" s="162"/>
      <c r="DF782" s="162"/>
      <c r="DG782" s="162"/>
      <c r="DH782" s="230"/>
      <c r="DI782" s="230"/>
      <c r="DJ782" s="162"/>
      <c r="DK782" s="162"/>
      <c r="DL782" s="147"/>
      <c r="DM782" s="147"/>
      <c r="DN782" s="147"/>
      <c r="DO782" s="147"/>
      <c r="DP782" s="147"/>
      <c r="DQ782" s="147"/>
      <c r="DR782" s="147"/>
      <c r="DS782" s="147"/>
      <c r="DT782" s="147"/>
      <c r="DU782" s="147"/>
      <c r="DV782" s="147"/>
      <c r="DW782" s="147"/>
      <c r="DX782" s="147"/>
      <c r="DY782" s="147"/>
      <c r="DZ782" s="147"/>
      <c r="EA782" s="147"/>
      <c r="EB782" s="147"/>
      <c r="EC782" s="147"/>
      <c r="ED782" s="147"/>
      <c r="EE782" s="147"/>
      <c r="EF782" s="147"/>
      <c r="EG782" s="147"/>
      <c r="EH782" s="147"/>
    </row>
    <row r="783" spans="1:138" x14ac:dyDescent="0.25">
      <c r="A783" s="147"/>
      <c r="B783" s="147"/>
      <c r="C783" s="160"/>
      <c r="D783" s="160"/>
      <c r="E783" s="169"/>
      <c r="F783" s="229"/>
      <c r="G783" s="165"/>
      <c r="H783" s="165"/>
      <c r="I783" s="163"/>
      <c r="J783" s="163"/>
      <c r="K783" s="162"/>
      <c r="L783" s="162"/>
      <c r="M783" s="162"/>
      <c r="N783" s="230"/>
      <c r="O783" s="230"/>
      <c r="P783" s="162"/>
      <c r="Q783" s="162"/>
      <c r="R783" s="162"/>
      <c r="S783" s="162"/>
      <c r="T783" s="162"/>
      <c r="U783" s="230"/>
      <c r="V783" s="230"/>
      <c r="W783" s="162"/>
      <c r="X783" s="162"/>
      <c r="Y783" s="162"/>
      <c r="Z783" s="162"/>
      <c r="AA783" s="162"/>
      <c r="AB783" s="230"/>
      <c r="AC783" s="230"/>
      <c r="AD783" s="162"/>
      <c r="AE783" s="162"/>
      <c r="AF783" s="162"/>
      <c r="AG783" s="162"/>
      <c r="AH783" s="162"/>
      <c r="AI783" s="230"/>
      <c r="AJ783" s="230"/>
      <c r="AK783" s="162"/>
      <c r="AL783" s="162"/>
      <c r="AM783" s="162"/>
      <c r="AN783" s="162"/>
      <c r="AO783" s="162"/>
      <c r="AP783" s="230"/>
      <c r="AQ783" s="230"/>
      <c r="AR783" s="162"/>
      <c r="AS783" s="162"/>
      <c r="AT783" s="162"/>
      <c r="AU783" s="162"/>
      <c r="AV783" s="162"/>
      <c r="AW783" s="230"/>
      <c r="AX783" s="230"/>
      <c r="AY783" s="162"/>
      <c r="AZ783" s="162"/>
      <c r="BA783" s="162"/>
      <c r="BB783" s="162"/>
      <c r="BC783" s="162"/>
      <c r="BD783" s="230"/>
      <c r="BE783" s="230"/>
      <c r="BF783" s="162"/>
      <c r="BG783" s="162"/>
      <c r="BH783" s="162"/>
      <c r="BI783" s="162"/>
      <c r="BJ783" s="162"/>
      <c r="BK783" s="230"/>
      <c r="BL783" s="230"/>
      <c r="BM783" s="162"/>
      <c r="BN783" s="162"/>
      <c r="BO783" s="162"/>
      <c r="BP783" s="162"/>
      <c r="BQ783" s="162"/>
      <c r="BR783" s="230"/>
      <c r="BS783" s="230"/>
      <c r="BT783" s="162"/>
      <c r="BU783" s="162"/>
      <c r="BV783" s="162"/>
      <c r="BW783" s="162"/>
      <c r="BX783" s="162"/>
      <c r="BY783" s="230"/>
      <c r="BZ783" s="230"/>
      <c r="CA783" s="162"/>
      <c r="CB783" s="162"/>
      <c r="CC783" s="162"/>
      <c r="CD783" s="162"/>
      <c r="CE783" s="162"/>
      <c r="CF783" s="230"/>
      <c r="CG783" s="230"/>
      <c r="CH783" s="162"/>
      <c r="CI783" s="162"/>
      <c r="CJ783" s="162"/>
      <c r="CK783" s="162"/>
      <c r="CL783" s="162"/>
      <c r="CM783" s="230"/>
      <c r="CN783" s="230"/>
      <c r="CO783" s="162"/>
      <c r="CP783" s="162"/>
      <c r="CQ783" s="162"/>
      <c r="CR783" s="162"/>
      <c r="CS783" s="162"/>
      <c r="CT783" s="230"/>
      <c r="CU783" s="230"/>
      <c r="CV783" s="162"/>
      <c r="CW783" s="162"/>
      <c r="CX783" s="162"/>
      <c r="CY783" s="162"/>
      <c r="CZ783" s="162"/>
      <c r="DA783" s="230"/>
      <c r="DB783" s="230"/>
      <c r="DC783" s="162"/>
      <c r="DD783" s="162"/>
      <c r="DE783" s="162"/>
      <c r="DF783" s="162"/>
      <c r="DG783" s="162"/>
      <c r="DH783" s="230"/>
      <c r="DI783" s="230"/>
      <c r="DJ783" s="162"/>
      <c r="DK783" s="162"/>
      <c r="DL783" s="147"/>
      <c r="DM783" s="147"/>
      <c r="DN783" s="147"/>
      <c r="DO783" s="147"/>
      <c r="DP783" s="147"/>
      <c r="DQ783" s="147"/>
      <c r="DR783" s="147"/>
      <c r="DS783" s="147"/>
      <c r="DT783" s="147"/>
      <c r="DU783" s="147"/>
      <c r="DV783" s="147"/>
      <c r="DW783" s="147"/>
      <c r="DX783" s="147"/>
      <c r="DY783" s="147"/>
      <c r="DZ783" s="147"/>
      <c r="EA783" s="147"/>
      <c r="EB783" s="147"/>
      <c r="EC783" s="147"/>
      <c r="ED783" s="147"/>
      <c r="EE783" s="147"/>
      <c r="EF783" s="147"/>
      <c r="EG783" s="147"/>
      <c r="EH783" s="147"/>
    </row>
    <row r="784" spans="1:138" x14ac:dyDescent="0.25">
      <c r="A784" s="147"/>
      <c r="B784" s="147"/>
      <c r="C784" s="160"/>
      <c r="D784" s="160"/>
      <c r="E784" s="169"/>
      <c r="F784" s="229"/>
      <c r="G784" s="165"/>
      <c r="H784" s="165"/>
      <c r="I784" s="163"/>
      <c r="J784" s="163"/>
      <c r="K784" s="162"/>
      <c r="L784" s="162"/>
      <c r="M784" s="162"/>
      <c r="N784" s="230"/>
      <c r="O784" s="230"/>
      <c r="P784" s="162"/>
      <c r="Q784" s="162"/>
      <c r="R784" s="162"/>
      <c r="S784" s="162"/>
      <c r="T784" s="162"/>
      <c r="U784" s="230"/>
      <c r="V784" s="230"/>
      <c r="W784" s="162"/>
      <c r="X784" s="162"/>
      <c r="Y784" s="162"/>
      <c r="Z784" s="162"/>
      <c r="AA784" s="162"/>
      <c r="AB784" s="230"/>
      <c r="AC784" s="230"/>
      <c r="AD784" s="162"/>
      <c r="AE784" s="162"/>
      <c r="AF784" s="162"/>
      <c r="AG784" s="162"/>
      <c r="AH784" s="162"/>
      <c r="AI784" s="230"/>
      <c r="AJ784" s="230"/>
      <c r="AK784" s="162"/>
      <c r="AL784" s="162"/>
      <c r="AM784" s="162"/>
      <c r="AN784" s="162"/>
      <c r="AO784" s="162"/>
      <c r="AP784" s="230"/>
      <c r="AQ784" s="230"/>
      <c r="AR784" s="162"/>
      <c r="AS784" s="162"/>
      <c r="AT784" s="162"/>
      <c r="AU784" s="162"/>
      <c r="AV784" s="162"/>
      <c r="AW784" s="230"/>
      <c r="AX784" s="230"/>
      <c r="AY784" s="162"/>
      <c r="AZ784" s="162"/>
      <c r="BA784" s="162"/>
      <c r="BB784" s="162"/>
      <c r="BC784" s="162"/>
      <c r="BD784" s="230"/>
      <c r="BE784" s="230"/>
      <c r="BF784" s="162"/>
      <c r="BG784" s="162"/>
      <c r="BH784" s="162"/>
      <c r="BI784" s="162"/>
      <c r="BJ784" s="162"/>
      <c r="BK784" s="230"/>
      <c r="BL784" s="230"/>
      <c r="BM784" s="162"/>
      <c r="BN784" s="162"/>
      <c r="BO784" s="162"/>
      <c r="BP784" s="162"/>
      <c r="BQ784" s="162"/>
      <c r="BR784" s="230"/>
      <c r="BS784" s="230"/>
      <c r="BT784" s="162"/>
      <c r="BU784" s="162"/>
      <c r="BV784" s="162"/>
      <c r="BW784" s="162"/>
      <c r="BX784" s="162"/>
      <c r="BY784" s="230"/>
      <c r="BZ784" s="230"/>
      <c r="CA784" s="162"/>
      <c r="CB784" s="162"/>
      <c r="CC784" s="162"/>
      <c r="CD784" s="162"/>
      <c r="CE784" s="162"/>
      <c r="CF784" s="230"/>
      <c r="CG784" s="230"/>
      <c r="CH784" s="162"/>
      <c r="CI784" s="162"/>
      <c r="CJ784" s="162"/>
      <c r="CK784" s="162"/>
      <c r="CL784" s="162"/>
      <c r="CM784" s="230"/>
      <c r="CN784" s="230"/>
      <c r="CO784" s="162"/>
      <c r="CP784" s="162"/>
      <c r="CQ784" s="162"/>
      <c r="CR784" s="162"/>
      <c r="CS784" s="162"/>
      <c r="CT784" s="230"/>
      <c r="CU784" s="230"/>
      <c r="CV784" s="162"/>
      <c r="CW784" s="162"/>
      <c r="CX784" s="162"/>
      <c r="CY784" s="162"/>
      <c r="CZ784" s="162"/>
      <c r="DA784" s="230"/>
      <c r="DB784" s="230"/>
      <c r="DC784" s="162"/>
      <c r="DD784" s="162"/>
      <c r="DE784" s="162"/>
      <c r="DF784" s="162"/>
      <c r="DG784" s="162"/>
      <c r="DH784" s="230"/>
      <c r="DI784" s="230"/>
      <c r="DJ784" s="162"/>
      <c r="DK784" s="162"/>
      <c r="DL784" s="147"/>
      <c r="DM784" s="147"/>
      <c r="DN784" s="147"/>
      <c r="DO784" s="147"/>
      <c r="DP784" s="147"/>
      <c r="DQ784" s="147"/>
      <c r="DR784" s="147"/>
      <c r="DS784" s="147"/>
      <c r="DT784" s="147"/>
      <c r="DU784" s="147"/>
      <c r="DV784" s="147"/>
      <c r="DW784" s="147"/>
      <c r="DX784" s="147"/>
      <c r="DY784" s="147"/>
      <c r="DZ784" s="147"/>
      <c r="EA784" s="147"/>
      <c r="EB784" s="147"/>
      <c r="EC784" s="147"/>
      <c r="ED784" s="147"/>
      <c r="EE784" s="147"/>
      <c r="EF784" s="147"/>
      <c r="EG784" s="147"/>
      <c r="EH784" s="147"/>
    </row>
    <row r="785" spans="1:138" x14ac:dyDescent="0.25">
      <c r="A785" s="147"/>
      <c r="B785" s="147"/>
      <c r="C785" s="160"/>
      <c r="D785" s="160"/>
      <c r="E785" s="169"/>
      <c r="F785" s="229"/>
      <c r="G785" s="165"/>
      <c r="H785" s="165"/>
      <c r="I785" s="163"/>
      <c r="J785" s="163"/>
      <c r="K785" s="162"/>
      <c r="L785" s="162"/>
      <c r="M785" s="162"/>
      <c r="N785" s="230"/>
      <c r="O785" s="230"/>
      <c r="P785" s="162"/>
      <c r="Q785" s="162"/>
      <c r="R785" s="162"/>
      <c r="S785" s="162"/>
      <c r="T785" s="162"/>
      <c r="U785" s="230"/>
      <c r="V785" s="230"/>
      <c r="W785" s="162"/>
      <c r="X785" s="162"/>
      <c r="Y785" s="162"/>
      <c r="Z785" s="162"/>
      <c r="AA785" s="162"/>
      <c r="AB785" s="230"/>
      <c r="AC785" s="230"/>
      <c r="AD785" s="162"/>
      <c r="AE785" s="162"/>
      <c r="AF785" s="162"/>
      <c r="AG785" s="162"/>
      <c r="AH785" s="162"/>
      <c r="AI785" s="230"/>
      <c r="AJ785" s="230"/>
      <c r="AK785" s="162"/>
      <c r="AL785" s="162"/>
      <c r="AM785" s="162"/>
      <c r="AN785" s="162"/>
      <c r="AO785" s="162"/>
      <c r="AP785" s="230"/>
      <c r="AQ785" s="230"/>
      <c r="AR785" s="162"/>
      <c r="AS785" s="162"/>
      <c r="AT785" s="162"/>
      <c r="AU785" s="162"/>
      <c r="AV785" s="162"/>
      <c r="AW785" s="230"/>
      <c r="AX785" s="230"/>
      <c r="AY785" s="162"/>
      <c r="AZ785" s="162"/>
      <c r="BA785" s="162"/>
      <c r="BB785" s="162"/>
      <c r="BC785" s="162"/>
      <c r="BD785" s="230"/>
      <c r="BE785" s="230"/>
      <c r="BF785" s="162"/>
      <c r="BG785" s="162"/>
      <c r="BH785" s="162"/>
      <c r="BI785" s="162"/>
      <c r="BJ785" s="162"/>
      <c r="BK785" s="230"/>
      <c r="BL785" s="230"/>
      <c r="BM785" s="162"/>
      <c r="BN785" s="162"/>
      <c r="BO785" s="162"/>
      <c r="BP785" s="162"/>
      <c r="BQ785" s="162"/>
      <c r="BR785" s="230"/>
      <c r="BS785" s="230"/>
      <c r="BT785" s="162"/>
      <c r="BU785" s="162"/>
      <c r="BV785" s="162"/>
      <c r="BW785" s="162"/>
      <c r="BX785" s="162"/>
      <c r="BY785" s="230"/>
      <c r="BZ785" s="230"/>
      <c r="CA785" s="162"/>
      <c r="CB785" s="162"/>
      <c r="CC785" s="162"/>
      <c r="CD785" s="162"/>
      <c r="CE785" s="162"/>
      <c r="CF785" s="230"/>
      <c r="CG785" s="230"/>
      <c r="CH785" s="162"/>
      <c r="CI785" s="162"/>
      <c r="CJ785" s="162"/>
      <c r="CK785" s="162"/>
      <c r="CL785" s="162"/>
      <c r="CM785" s="230"/>
      <c r="CN785" s="230"/>
      <c r="CO785" s="162"/>
      <c r="CP785" s="162"/>
      <c r="CQ785" s="162"/>
      <c r="CR785" s="162"/>
      <c r="CS785" s="162"/>
      <c r="CT785" s="230"/>
      <c r="CU785" s="230"/>
      <c r="CV785" s="162"/>
      <c r="CW785" s="162"/>
      <c r="CX785" s="162"/>
      <c r="CY785" s="162"/>
      <c r="CZ785" s="162"/>
      <c r="DA785" s="230"/>
      <c r="DB785" s="230"/>
      <c r="DC785" s="162"/>
      <c r="DD785" s="162"/>
      <c r="DE785" s="162"/>
      <c r="DF785" s="162"/>
      <c r="DG785" s="162"/>
      <c r="DH785" s="230"/>
      <c r="DI785" s="230"/>
      <c r="DJ785" s="162"/>
      <c r="DK785" s="162"/>
      <c r="DL785" s="147"/>
      <c r="DM785" s="147"/>
      <c r="DN785" s="147"/>
      <c r="DO785" s="147"/>
      <c r="DP785" s="147"/>
      <c r="DQ785" s="147"/>
      <c r="DR785" s="147"/>
      <c r="DS785" s="147"/>
      <c r="DT785" s="147"/>
      <c r="DU785" s="147"/>
      <c r="DV785" s="147"/>
      <c r="DW785" s="147"/>
      <c r="DX785" s="147"/>
      <c r="DY785" s="147"/>
      <c r="DZ785" s="147"/>
      <c r="EA785" s="147"/>
      <c r="EB785" s="147"/>
      <c r="EC785" s="147"/>
      <c r="ED785" s="147"/>
      <c r="EE785" s="147"/>
      <c r="EF785" s="147"/>
      <c r="EG785" s="147"/>
      <c r="EH785" s="147"/>
    </row>
    <row r="786" spans="1:138" x14ac:dyDescent="0.25">
      <c r="A786" s="147"/>
      <c r="B786" s="147"/>
      <c r="C786" s="160"/>
      <c r="D786" s="160"/>
      <c r="E786" s="169"/>
      <c r="F786" s="229"/>
      <c r="G786" s="165"/>
      <c r="H786" s="165"/>
      <c r="I786" s="163"/>
      <c r="J786" s="163"/>
      <c r="K786" s="162"/>
      <c r="L786" s="162"/>
      <c r="M786" s="162"/>
      <c r="N786" s="230"/>
      <c r="O786" s="230"/>
      <c r="P786" s="162"/>
      <c r="Q786" s="162"/>
      <c r="R786" s="162"/>
      <c r="S786" s="162"/>
      <c r="T786" s="162"/>
      <c r="U786" s="230"/>
      <c r="V786" s="230"/>
      <c r="W786" s="162"/>
      <c r="X786" s="162"/>
      <c r="Y786" s="162"/>
      <c r="Z786" s="162"/>
      <c r="AA786" s="162"/>
      <c r="AB786" s="230"/>
      <c r="AC786" s="230"/>
      <c r="AD786" s="162"/>
      <c r="AE786" s="162"/>
      <c r="AF786" s="162"/>
      <c r="AG786" s="162"/>
      <c r="AH786" s="162"/>
      <c r="AI786" s="230"/>
      <c r="AJ786" s="230"/>
      <c r="AK786" s="162"/>
      <c r="AL786" s="162"/>
      <c r="AM786" s="162"/>
      <c r="AN786" s="162"/>
      <c r="AO786" s="162"/>
      <c r="AP786" s="230"/>
      <c r="AQ786" s="230"/>
      <c r="AR786" s="162"/>
      <c r="AS786" s="162"/>
      <c r="AT786" s="162"/>
      <c r="AU786" s="162"/>
      <c r="AV786" s="162"/>
      <c r="AW786" s="230"/>
      <c r="AX786" s="230"/>
      <c r="AY786" s="162"/>
      <c r="AZ786" s="162"/>
      <c r="BA786" s="162"/>
      <c r="BB786" s="162"/>
      <c r="BC786" s="162"/>
      <c r="BD786" s="230"/>
      <c r="BE786" s="230"/>
      <c r="BF786" s="162"/>
      <c r="BG786" s="162"/>
      <c r="BH786" s="162"/>
      <c r="BI786" s="162"/>
      <c r="BJ786" s="162"/>
      <c r="BK786" s="230"/>
      <c r="BL786" s="230"/>
      <c r="BM786" s="162"/>
      <c r="BN786" s="162"/>
      <c r="BO786" s="162"/>
      <c r="BP786" s="162"/>
      <c r="BQ786" s="162"/>
      <c r="BR786" s="230"/>
      <c r="BS786" s="230"/>
      <c r="BT786" s="162"/>
      <c r="BU786" s="162"/>
      <c r="BV786" s="162"/>
      <c r="BW786" s="162"/>
      <c r="BX786" s="162"/>
      <c r="BY786" s="230"/>
      <c r="BZ786" s="230"/>
      <c r="CA786" s="162"/>
      <c r="CB786" s="162"/>
      <c r="CC786" s="162"/>
      <c r="CD786" s="162"/>
      <c r="CE786" s="162"/>
      <c r="CF786" s="230"/>
      <c r="CG786" s="230"/>
      <c r="CH786" s="162"/>
      <c r="CI786" s="162"/>
      <c r="CJ786" s="162"/>
      <c r="CK786" s="162"/>
      <c r="CL786" s="162"/>
      <c r="CM786" s="230"/>
      <c r="CN786" s="230"/>
      <c r="CO786" s="162"/>
      <c r="CP786" s="162"/>
      <c r="CQ786" s="162"/>
      <c r="CR786" s="162"/>
      <c r="CS786" s="162"/>
      <c r="CT786" s="230"/>
      <c r="CU786" s="230"/>
      <c r="CV786" s="162"/>
      <c r="CW786" s="162"/>
      <c r="CX786" s="162"/>
      <c r="CY786" s="162"/>
      <c r="CZ786" s="162"/>
      <c r="DA786" s="230"/>
      <c r="DB786" s="230"/>
      <c r="DC786" s="162"/>
      <c r="DD786" s="162"/>
      <c r="DE786" s="162"/>
      <c r="DF786" s="162"/>
      <c r="DG786" s="162"/>
      <c r="DH786" s="230"/>
      <c r="DI786" s="230"/>
      <c r="DJ786" s="162"/>
      <c r="DK786" s="162"/>
      <c r="DL786" s="147"/>
      <c r="DM786" s="147"/>
      <c r="DN786" s="147"/>
      <c r="DO786" s="147"/>
      <c r="DP786" s="147"/>
      <c r="DQ786" s="147"/>
      <c r="DR786" s="147"/>
      <c r="DS786" s="147"/>
      <c r="DT786" s="147"/>
      <c r="DU786" s="147"/>
      <c r="DV786" s="147"/>
      <c r="DW786" s="147"/>
      <c r="DX786" s="147"/>
      <c r="DY786" s="147"/>
      <c r="DZ786" s="147"/>
      <c r="EA786" s="147"/>
      <c r="EB786" s="147"/>
      <c r="EC786" s="147"/>
      <c r="ED786" s="147"/>
      <c r="EE786" s="147"/>
      <c r="EF786" s="147"/>
      <c r="EG786" s="147"/>
      <c r="EH786" s="147"/>
    </row>
    <row r="787" spans="1:138" x14ac:dyDescent="0.25">
      <c r="A787" s="147"/>
      <c r="B787" s="147"/>
      <c r="C787" s="160"/>
      <c r="D787" s="160"/>
      <c r="E787" s="169"/>
      <c r="F787" s="229"/>
      <c r="G787" s="165"/>
      <c r="H787" s="165"/>
      <c r="I787" s="163"/>
      <c r="J787" s="163"/>
      <c r="K787" s="162"/>
      <c r="L787" s="162"/>
      <c r="M787" s="162"/>
      <c r="N787" s="230"/>
      <c r="O787" s="230"/>
      <c r="P787" s="162"/>
      <c r="Q787" s="162"/>
      <c r="R787" s="162"/>
      <c r="S787" s="162"/>
      <c r="T787" s="162"/>
      <c r="U787" s="230"/>
      <c r="V787" s="230"/>
      <c r="W787" s="162"/>
      <c r="X787" s="162"/>
      <c r="Y787" s="162"/>
      <c r="Z787" s="162"/>
      <c r="AA787" s="162"/>
      <c r="AB787" s="230"/>
      <c r="AC787" s="230"/>
      <c r="AD787" s="162"/>
      <c r="AE787" s="162"/>
      <c r="AF787" s="162"/>
      <c r="AG787" s="162"/>
      <c r="AH787" s="162"/>
      <c r="AI787" s="230"/>
      <c r="AJ787" s="230"/>
      <c r="AK787" s="162"/>
      <c r="AL787" s="162"/>
      <c r="AM787" s="162"/>
      <c r="AN787" s="162"/>
      <c r="AO787" s="162"/>
      <c r="AP787" s="230"/>
      <c r="AQ787" s="230"/>
      <c r="AR787" s="162"/>
      <c r="AS787" s="162"/>
      <c r="AT787" s="162"/>
      <c r="AU787" s="162"/>
      <c r="AV787" s="162"/>
      <c r="AW787" s="230"/>
      <c r="AX787" s="230"/>
      <c r="AY787" s="162"/>
      <c r="AZ787" s="162"/>
      <c r="BA787" s="162"/>
      <c r="BB787" s="162"/>
      <c r="BC787" s="162"/>
      <c r="BD787" s="230"/>
      <c r="BE787" s="230"/>
      <c r="BF787" s="162"/>
      <c r="BG787" s="162"/>
      <c r="BH787" s="162"/>
      <c r="BI787" s="162"/>
      <c r="BJ787" s="162"/>
      <c r="BK787" s="230"/>
      <c r="BL787" s="230"/>
      <c r="BM787" s="162"/>
      <c r="BN787" s="162"/>
      <c r="BO787" s="162"/>
      <c r="BP787" s="162"/>
      <c r="BQ787" s="162"/>
      <c r="BR787" s="230"/>
      <c r="BS787" s="230"/>
      <c r="BT787" s="162"/>
      <c r="BU787" s="162"/>
      <c r="BV787" s="162"/>
      <c r="BW787" s="162"/>
      <c r="BX787" s="162"/>
      <c r="BY787" s="230"/>
      <c r="BZ787" s="230"/>
      <c r="CA787" s="162"/>
      <c r="CB787" s="162"/>
      <c r="CC787" s="162"/>
      <c r="CD787" s="162"/>
      <c r="CE787" s="162"/>
      <c r="CF787" s="230"/>
      <c r="CG787" s="230"/>
      <c r="CH787" s="162"/>
      <c r="CI787" s="162"/>
      <c r="CJ787" s="162"/>
      <c r="CK787" s="162"/>
      <c r="CL787" s="162"/>
      <c r="CM787" s="230"/>
      <c r="CN787" s="230"/>
      <c r="CO787" s="162"/>
      <c r="CP787" s="162"/>
      <c r="CQ787" s="162"/>
      <c r="CR787" s="162"/>
      <c r="CS787" s="162"/>
      <c r="CT787" s="230"/>
      <c r="CU787" s="230"/>
      <c r="CV787" s="162"/>
      <c r="CW787" s="162"/>
      <c r="CX787" s="162"/>
      <c r="CY787" s="162"/>
      <c r="CZ787" s="162"/>
      <c r="DA787" s="230"/>
      <c r="DB787" s="230"/>
      <c r="DC787" s="162"/>
      <c r="DD787" s="162"/>
      <c r="DE787" s="162"/>
      <c r="DF787" s="162"/>
      <c r="DG787" s="162"/>
      <c r="DH787" s="230"/>
      <c r="DI787" s="230"/>
      <c r="DJ787" s="162"/>
      <c r="DK787" s="162"/>
      <c r="DL787" s="147"/>
      <c r="DM787" s="147"/>
      <c r="DN787" s="147"/>
      <c r="DO787" s="147"/>
      <c r="DP787" s="147"/>
      <c r="DQ787" s="147"/>
      <c r="DR787" s="147"/>
      <c r="DS787" s="147"/>
      <c r="DT787" s="147"/>
      <c r="DU787" s="147"/>
      <c r="DV787" s="147"/>
      <c r="DW787" s="147"/>
      <c r="DX787" s="147"/>
      <c r="DY787" s="147"/>
      <c r="DZ787" s="147"/>
      <c r="EA787" s="147"/>
      <c r="EB787" s="147"/>
      <c r="EC787" s="147"/>
      <c r="ED787" s="147"/>
      <c r="EE787" s="147"/>
      <c r="EF787" s="147"/>
      <c r="EG787" s="147"/>
      <c r="EH787" s="147"/>
    </row>
    <row r="788" spans="1:138" x14ac:dyDescent="0.25">
      <c r="A788" s="147"/>
      <c r="B788" s="147"/>
      <c r="C788" s="160"/>
      <c r="D788" s="160"/>
      <c r="E788" s="169"/>
      <c r="F788" s="229"/>
      <c r="G788" s="165"/>
      <c r="H788" s="165"/>
      <c r="I788" s="163"/>
      <c r="J788" s="163"/>
      <c r="K788" s="162"/>
      <c r="L788" s="162"/>
      <c r="M788" s="162"/>
      <c r="N788" s="230"/>
      <c r="O788" s="230"/>
      <c r="P788" s="162"/>
      <c r="Q788" s="162"/>
      <c r="R788" s="162"/>
      <c r="S788" s="162"/>
      <c r="T788" s="162"/>
      <c r="U788" s="230"/>
      <c r="V788" s="230"/>
      <c r="W788" s="162"/>
      <c r="X788" s="162"/>
      <c r="Y788" s="162"/>
      <c r="Z788" s="162"/>
      <c r="AA788" s="162"/>
      <c r="AB788" s="230"/>
      <c r="AC788" s="230"/>
      <c r="AD788" s="162"/>
      <c r="AE788" s="162"/>
      <c r="AF788" s="162"/>
      <c r="AG788" s="162"/>
      <c r="AH788" s="162"/>
      <c r="AI788" s="230"/>
      <c r="AJ788" s="230"/>
      <c r="AK788" s="162"/>
      <c r="AL788" s="162"/>
      <c r="AM788" s="162"/>
      <c r="AN788" s="162"/>
      <c r="AO788" s="162"/>
      <c r="AP788" s="230"/>
      <c r="AQ788" s="230"/>
      <c r="AR788" s="162"/>
      <c r="AS788" s="162"/>
      <c r="AT788" s="162"/>
      <c r="AU788" s="162"/>
      <c r="AV788" s="162"/>
      <c r="AW788" s="230"/>
      <c r="AX788" s="230"/>
      <c r="AY788" s="162"/>
      <c r="AZ788" s="162"/>
      <c r="BA788" s="162"/>
      <c r="BB788" s="162"/>
      <c r="BC788" s="162"/>
      <c r="BD788" s="230"/>
      <c r="BE788" s="230"/>
      <c r="BF788" s="162"/>
      <c r="BG788" s="162"/>
      <c r="BH788" s="162"/>
      <c r="BI788" s="162"/>
      <c r="BJ788" s="162"/>
      <c r="BK788" s="230"/>
      <c r="BL788" s="230"/>
      <c r="BM788" s="162"/>
      <c r="BN788" s="162"/>
      <c r="BO788" s="162"/>
      <c r="BP788" s="162"/>
      <c r="BQ788" s="162"/>
      <c r="BR788" s="230"/>
      <c r="BS788" s="230"/>
      <c r="BT788" s="162"/>
      <c r="BU788" s="162"/>
      <c r="BV788" s="162"/>
      <c r="BW788" s="162"/>
      <c r="BX788" s="162"/>
      <c r="BY788" s="230"/>
      <c r="BZ788" s="230"/>
      <c r="CA788" s="162"/>
      <c r="CB788" s="162"/>
      <c r="CC788" s="162"/>
      <c r="CD788" s="162"/>
      <c r="CE788" s="162"/>
      <c r="CF788" s="230"/>
      <c r="CG788" s="230"/>
      <c r="CH788" s="162"/>
      <c r="CI788" s="162"/>
      <c r="CJ788" s="162"/>
      <c r="CK788" s="162"/>
      <c r="CL788" s="162"/>
      <c r="CM788" s="230"/>
      <c r="CN788" s="230"/>
      <c r="CO788" s="162"/>
      <c r="CP788" s="162"/>
      <c r="CQ788" s="162"/>
      <c r="CR788" s="162"/>
      <c r="CS788" s="162"/>
      <c r="CT788" s="230"/>
      <c r="CU788" s="230"/>
      <c r="CV788" s="162"/>
      <c r="CW788" s="162"/>
      <c r="CX788" s="162"/>
      <c r="CY788" s="162"/>
      <c r="CZ788" s="162"/>
      <c r="DA788" s="230"/>
      <c r="DB788" s="230"/>
      <c r="DC788" s="162"/>
      <c r="DD788" s="162"/>
      <c r="DE788" s="162"/>
      <c r="DF788" s="162"/>
      <c r="DG788" s="162"/>
      <c r="DH788" s="230"/>
      <c r="DI788" s="230"/>
      <c r="DJ788" s="162"/>
      <c r="DK788" s="162"/>
      <c r="DL788" s="147"/>
      <c r="DM788" s="147"/>
      <c r="DN788" s="147"/>
      <c r="DO788" s="147"/>
      <c r="DP788" s="147"/>
      <c r="DQ788" s="147"/>
      <c r="DR788" s="147"/>
      <c r="DS788" s="147"/>
      <c r="DT788" s="147"/>
      <c r="DU788" s="147"/>
      <c r="DV788" s="147"/>
      <c r="DW788" s="147"/>
      <c r="DX788" s="147"/>
      <c r="DY788" s="147"/>
      <c r="DZ788" s="147"/>
      <c r="EA788" s="147"/>
      <c r="EB788" s="147"/>
      <c r="EC788" s="147"/>
      <c r="ED788" s="147"/>
      <c r="EE788" s="147"/>
      <c r="EF788" s="147"/>
      <c r="EG788" s="147"/>
      <c r="EH788" s="147"/>
    </row>
    <row r="789" spans="1:138" x14ac:dyDescent="0.25">
      <c r="A789" s="147"/>
      <c r="B789" s="147"/>
      <c r="C789" s="160"/>
      <c r="D789" s="160"/>
      <c r="E789" s="169"/>
      <c r="F789" s="229"/>
      <c r="G789" s="165"/>
      <c r="H789" s="165"/>
      <c r="I789" s="163"/>
      <c r="J789" s="163"/>
      <c r="K789" s="162"/>
      <c r="L789" s="162"/>
      <c r="M789" s="162"/>
      <c r="N789" s="230"/>
      <c r="O789" s="230"/>
      <c r="P789" s="162"/>
      <c r="Q789" s="162"/>
      <c r="R789" s="162"/>
      <c r="S789" s="162"/>
      <c r="T789" s="162"/>
      <c r="U789" s="230"/>
      <c r="V789" s="230"/>
      <c r="W789" s="162"/>
      <c r="X789" s="162"/>
      <c r="Y789" s="162"/>
      <c r="Z789" s="162"/>
      <c r="AA789" s="162"/>
      <c r="AB789" s="230"/>
      <c r="AC789" s="230"/>
      <c r="AD789" s="162"/>
      <c r="AE789" s="162"/>
      <c r="AF789" s="162"/>
      <c r="AG789" s="162"/>
      <c r="AH789" s="162"/>
      <c r="AI789" s="230"/>
      <c r="AJ789" s="230"/>
      <c r="AK789" s="162"/>
      <c r="AL789" s="162"/>
      <c r="AM789" s="162"/>
      <c r="AN789" s="162"/>
      <c r="AO789" s="162"/>
      <c r="AP789" s="230"/>
      <c r="AQ789" s="230"/>
      <c r="AR789" s="162"/>
      <c r="AS789" s="162"/>
      <c r="AT789" s="162"/>
      <c r="AU789" s="162"/>
      <c r="AV789" s="162"/>
      <c r="AW789" s="230"/>
      <c r="AX789" s="230"/>
      <c r="AY789" s="162"/>
      <c r="AZ789" s="162"/>
      <c r="BA789" s="162"/>
      <c r="BB789" s="162"/>
      <c r="BC789" s="162"/>
      <c r="BD789" s="230"/>
      <c r="BE789" s="230"/>
      <c r="BF789" s="162"/>
      <c r="BG789" s="162"/>
      <c r="BH789" s="162"/>
      <c r="BI789" s="162"/>
      <c r="BJ789" s="162"/>
      <c r="BK789" s="230"/>
      <c r="BL789" s="230"/>
      <c r="BM789" s="162"/>
      <c r="BN789" s="162"/>
      <c r="BO789" s="162"/>
      <c r="BP789" s="162"/>
      <c r="BQ789" s="162"/>
      <c r="BR789" s="230"/>
      <c r="BS789" s="230"/>
      <c r="BT789" s="162"/>
      <c r="BU789" s="162"/>
      <c r="BV789" s="162"/>
      <c r="BW789" s="162"/>
      <c r="BX789" s="162"/>
      <c r="BY789" s="230"/>
      <c r="BZ789" s="230"/>
      <c r="CA789" s="162"/>
      <c r="CB789" s="162"/>
      <c r="CC789" s="162"/>
      <c r="CD789" s="162"/>
      <c r="CE789" s="162"/>
      <c r="CF789" s="230"/>
      <c r="CG789" s="230"/>
      <c r="CH789" s="162"/>
      <c r="CI789" s="162"/>
      <c r="CJ789" s="162"/>
      <c r="CK789" s="162"/>
      <c r="CL789" s="162"/>
      <c r="CM789" s="230"/>
      <c r="CN789" s="230"/>
      <c r="CO789" s="162"/>
      <c r="CP789" s="162"/>
      <c r="CQ789" s="162"/>
      <c r="CR789" s="162"/>
      <c r="CS789" s="162"/>
      <c r="CT789" s="230"/>
      <c r="CU789" s="230"/>
      <c r="CV789" s="162"/>
      <c r="CW789" s="162"/>
      <c r="CX789" s="162"/>
      <c r="CY789" s="162"/>
      <c r="CZ789" s="162"/>
      <c r="DA789" s="230"/>
      <c r="DB789" s="230"/>
      <c r="DC789" s="162"/>
      <c r="DD789" s="162"/>
      <c r="DE789" s="162"/>
      <c r="DF789" s="162"/>
      <c r="DG789" s="162"/>
      <c r="DH789" s="230"/>
      <c r="DI789" s="230"/>
      <c r="DJ789" s="162"/>
      <c r="DK789" s="162"/>
      <c r="DL789" s="147"/>
      <c r="DM789" s="147"/>
      <c r="DN789" s="147"/>
      <c r="DO789" s="147"/>
      <c r="DP789" s="147"/>
      <c r="DQ789" s="147"/>
      <c r="DR789" s="147"/>
      <c r="DS789" s="147"/>
      <c r="DT789" s="147"/>
      <c r="DU789" s="147"/>
      <c r="DV789" s="147"/>
      <c r="DW789" s="147"/>
      <c r="DX789" s="147"/>
      <c r="DY789" s="147"/>
      <c r="DZ789" s="147"/>
      <c r="EA789" s="147"/>
      <c r="EB789" s="147"/>
      <c r="EC789" s="147"/>
      <c r="ED789" s="147"/>
      <c r="EE789" s="147"/>
      <c r="EF789" s="147"/>
      <c r="EG789" s="147"/>
      <c r="EH789" s="147"/>
    </row>
    <row r="790" spans="1:138" x14ac:dyDescent="0.25">
      <c r="A790" s="147"/>
      <c r="B790" s="147"/>
      <c r="C790" s="160"/>
      <c r="D790" s="160"/>
      <c r="E790" s="169"/>
      <c r="F790" s="229"/>
      <c r="G790" s="165"/>
      <c r="H790" s="165"/>
      <c r="I790" s="163"/>
      <c r="J790" s="163"/>
      <c r="K790" s="162"/>
      <c r="L790" s="162"/>
      <c r="M790" s="162"/>
      <c r="N790" s="230"/>
      <c r="O790" s="230"/>
      <c r="P790" s="162"/>
      <c r="Q790" s="162"/>
      <c r="R790" s="162"/>
      <c r="S790" s="162"/>
      <c r="T790" s="162"/>
      <c r="U790" s="230"/>
      <c r="V790" s="230"/>
      <c r="W790" s="162"/>
      <c r="X790" s="162"/>
      <c r="Y790" s="162"/>
      <c r="Z790" s="162"/>
      <c r="AA790" s="162"/>
      <c r="AB790" s="230"/>
      <c r="AC790" s="230"/>
      <c r="AD790" s="162"/>
      <c r="AE790" s="162"/>
      <c r="AF790" s="162"/>
      <c r="AG790" s="162"/>
      <c r="AH790" s="162"/>
      <c r="AI790" s="230"/>
      <c r="AJ790" s="230"/>
      <c r="AK790" s="162"/>
      <c r="AL790" s="162"/>
      <c r="AM790" s="162"/>
      <c r="AN790" s="162"/>
      <c r="AO790" s="162"/>
      <c r="AP790" s="230"/>
      <c r="AQ790" s="230"/>
      <c r="AR790" s="162"/>
      <c r="AS790" s="162"/>
      <c r="AT790" s="162"/>
      <c r="AU790" s="162"/>
      <c r="AV790" s="162"/>
      <c r="AW790" s="230"/>
      <c r="AX790" s="230"/>
      <c r="AY790" s="162"/>
      <c r="AZ790" s="162"/>
      <c r="BA790" s="162"/>
      <c r="BB790" s="162"/>
      <c r="BC790" s="162"/>
      <c r="BD790" s="230"/>
      <c r="BE790" s="230"/>
      <c r="BF790" s="162"/>
      <c r="BG790" s="162"/>
      <c r="BH790" s="162"/>
      <c r="BI790" s="162"/>
      <c r="BJ790" s="162"/>
      <c r="BK790" s="230"/>
      <c r="BL790" s="230"/>
      <c r="BM790" s="162"/>
      <c r="BN790" s="162"/>
      <c r="BO790" s="162"/>
      <c r="BP790" s="162"/>
      <c r="BQ790" s="162"/>
      <c r="BR790" s="230"/>
      <c r="BS790" s="230"/>
      <c r="BT790" s="162"/>
      <c r="BU790" s="162"/>
      <c r="BV790" s="162"/>
      <c r="BW790" s="162"/>
      <c r="BX790" s="162"/>
      <c r="BY790" s="230"/>
      <c r="BZ790" s="230"/>
      <c r="CA790" s="162"/>
      <c r="CB790" s="162"/>
      <c r="CC790" s="162"/>
      <c r="CD790" s="162"/>
      <c r="CE790" s="162"/>
      <c r="CF790" s="230"/>
      <c r="CG790" s="230"/>
      <c r="CH790" s="162"/>
      <c r="CI790" s="162"/>
      <c r="CJ790" s="162"/>
      <c r="CK790" s="162"/>
      <c r="CL790" s="162"/>
      <c r="CM790" s="230"/>
      <c r="CN790" s="230"/>
      <c r="CO790" s="162"/>
      <c r="CP790" s="162"/>
      <c r="CQ790" s="162"/>
      <c r="CR790" s="162"/>
      <c r="CS790" s="162"/>
      <c r="CT790" s="230"/>
      <c r="CU790" s="230"/>
      <c r="CV790" s="162"/>
      <c r="CW790" s="162"/>
      <c r="CX790" s="162"/>
      <c r="CY790" s="162"/>
      <c r="CZ790" s="162"/>
      <c r="DA790" s="230"/>
      <c r="DB790" s="230"/>
      <c r="DC790" s="162"/>
      <c r="DD790" s="162"/>
      <c r="DE790" s="162"/>
      <c r="DF790" s="162"/>
      <c r="DG790" s="162"/>
      <c r="DH790" s="230"/>
      <c r="DI790" s="230"/>
      <c r="DJ790" s="162"/>
      <c r="DK790" s="162"/>
      <c r="DL790" s="147"/>
      <c r="DM790" s="147"/>
      <c r="DN790" s="147"/>
      <c r="DO790" s="147"/>
      <c r="DP790" s="147"/>
      <c r="DQ790" s="147"/>
      <c r="DR790" s="147"/>
      <c r="DS790" s="147"/>
      <c r="DT790" s="147"/>
      <c r="DU790" s="147"/>
      <c r="DV790" s="147"/>
      <c r="DW790" s="147"/>
      <c r="DX790" s="147"/>
      <c r="DY790" s="147"/>
      <c r="DZ790" s="147"/>
      <c r="EA790" s="147"/>
      <c r="EB790" s="147"/>
      <c r="EC790" s="147"/>
      <c r="ED790" s="147"/>
      <c r="EE790" s="147"/>
      <c r="EF790" s="147"/>
      <c r="EG790" s="147"/>
      <c r="EH790" s="147"/>
    </row>
    <row r="791" spans="1:138" x14ac:dyDescent="0.25">
      <c r="A791" s="147"/>
      <c r="B791" s="147"/>
      <c r="C791" s="160"/>
      <c r="D791" s="160"/>
      <c r="E791" s="169"/>
      <c r="F791" s="229"/>
      <c r="G791" s="165"/>
      <c r="H791" s="165"/>
      <c r="I791" s="163"/>
      <c r="J791" s="163"/>
      <c r="K791" s="162"/>
      <c r="L791" s="162"/>
      <c r="M791" s="162"/>
      <c r="N791" s="230"/>
      <c r="O791" s="230"/>
      <c r="P791" s="162"/>
      <c r="Q791" s="162"/>
      <c r="R791" s="162"/>
      <c r="S791" s="162"/>
      <c r="T791" s="162"/>
      <c r="U791" s="230"/>
      <c r="V791" s="230"/>
      <c r="W791" s="162"/>
      <c r="X791" s="162"/>
      <c r="Y791" s="162"/>
      <c r="Z791" s="162"/>
      <c r="AA791" s="162"/>
      <c r="AB791" s="230"/>
      <c r="AC791" s="230"/>
      <c r="AD791" s="162"/>
      <c r="AE791" s="162"/>
      <c r="AF791" s="162"/>
      <c r="AG791" s="162"/>
      <c r="AH791" s="162"/>
      <c r="AI791" s="230"/>
      <c r="AJ791" s="230"/>
      <c r="AK791" s="162"/>
      <c r="AL791" s="162"/>
      <c r="AM791" s="162"/>
      <c r="AN791" s="162"/>
      <c r="AO791" s="162"/>
      <c r="AP791" s="230"/>
      <c r="AQ791" s="230"/>
      <c r="AR791" s="162"/>
      <c r="AS791" s="162"/>
      <c r="AT791" s="162"/>
      <c r="AU791" s="162"/>
      <c r="AV791" s="162"/>
      <c r="AW791" s="230"/>
      <c r="AX791" s="230"/>
      <c r="AY791" s="162"/>
      <c r="AZ791" s="162"/>
      <c r="BA791" s="162"/>
      <c r="BB791" s="162"/>
      <c r="BC791" s="162"/>
      <c r="BD791" s="230"/>
      <c r="BE791" s="230"/>
      <c r="BF791" s="162"/>
      <c r="BG791" s="162"/>
      <c r="BH791" s="162"/>
      <c r="BI791" s="162"/>
      <c r="BJ791" s="162"/>
      <c r="BK791" s="230"/>
      <c r="BL791" s="230"/>
      <c r="BM791" s="162"/>
      <c r="BN791" s="162"/>
      <c r="BO791" s="162"/>
      <c r="BP791" s="162"/>
      <c r="BQ791" s="162"/>
      <c r="BR791" s="230"/>
      <c r="BS791" s="230"/>
      <c r="BT791" s="162"/>
      <c r="BU791" s="162"/>
      <c r="BV791" s="162"/>
      <c r="BW791" s="162"/>
      <c r="BX791" s="162"/>
      <c r="BY791" s="230"/>
      <c r="BZ791" s="230"/>
      <c r="CA791" s="162"/>
      <c r="CB791" s="162"/>
      <c r="CC791" s="162"/>
      <c r="CD791" s="162"/>
      <c r="CE791" s="162"/>
      <c r="CF791" s="230"/>
      <c r="CG791" s="230"/>
      <c r="CH791" s="162"/>
      <c r="CI791" s="162"/>
      <c r="CJ791" s="162"/>
      <c r="CK791" s="162"/>
      <c r="CL791" s="162"/>
      <c r="CM791" s="230"/>
      <c r="CN791" s="230"/>
      <c r="CO791" s="162"/>
      <c r="CP791" s="162"/>
      <c r="CQ791" s="162"/>
      <c r="CR791" s="162"/>
      <c r="CS791" s="162"/>
      <c r="CT791" s="230"/>
      <c r="CU791" s="230"/>
      <c r="CV791" s="162"/>
      <c r="CW791" s="162"/>
      <c r="CX791" s="162"/>
      <c r="CY791" s="162"/>
      <c r="CZ791" s="162"/>
      <c r="DA791" s="230"/>
      <c r="DB791" s="230"/>
      <c r="DC791" s="162"/>
      <c r="DD791" s="162"/>
      <c r="DE791" s="162"/>
      <c r="DF791" s="162"/>
      <c r="DG791" s="162"/>
      <c r="DH791" s="230"/>
      <c r="DI791" s="230"/>
      <c r="DJ791" s="162"/>
      <c r="DK791" s="162"/>
      <c r="DL791" s="147"/>
      <c r="DM791" s="147"/>
      <c r="DN791" s="147"/>
      <c r="DO791" s="147"/>
      <c r="DP791" s="147"/>
      <c r="DQ791" s="147"/>
      <c r="DR791" s="147"/>
      <c r="DS791" s="147"/>
      <c r="DT791" s="147"/>
      <c r="DU791" s="147"/>
      <c r="DV791" s="147"/>
      <c r="DW791" s="147"/>
      <c r="DX791" s="147"/>
      <c r="DY791" s="147"/>
      <c r="DZ791" s="147"/>
      <c r="EA791" s="147"/>
      <c r="EB791" s="147"/>
      <c r="EC791" s="147"/>
      <c r="ED791" s="147"/>
      <c r="EE791" s="147"/>
      <c r="EF791" s="147"/>
      <c r="EG791" s="147"/>
      <c r="EH791" s="147"/>
    </row>
    <row r="792" spans="1:138" x14ac:dyDescent="0.25">
      <c r="A792" s="147"/>
      <c r="B792" s="147"/>
      <c r="C792" s="160"/>
      <c r="D792" s="160"/>
      <c r="E792" s="169"/>
      <c r="F792" s="229"/>
      <c r="G792" s="165"/>
      <c r="H792" s="165"/>
      <c r="I792" s="163"/>
      <c r="J792" s="163"/>
      <c r="K792" s="162"/>
      <c r="L792" s="162"/>
      <c r="M792" s="162"/>
      <c r="N792" s="230"/>
      <c r="O792" s="230"/>
      <c r="P792" s="162"/>
      <c r="Q792" s="162"/>
      <c r="R792" s="162"/>
      <c r="S792" s="162"/>
      <c r="T792" s="162"/>
      <c r="U792" s="230"/>
      <c r="V792" s="230"/>
      <c r="W792" s="162"/>
      <c r="X792" s="162"/>
      <c r="Y792" s="162"/>
      <c r="Z792" s="162"/>
      <c r="AA792" s="162"/>
      <c r="AB792" s="230"/>
      <c r="AC792" s="230"/>
      <c r="AD792" s="162"/>
      <c r="AE792" s="162"/>
      <c r="AF792" s="162"/>
      <c r="AG792" s="162"/>
      <c r="AH792" s="162"/>
      <c r="AI792" s="230"/>
      <c r="AJ792" s="230"/>
      <c r="AK792" s="162"/>
      <c r="AL792" s="162"/>
      <c r="AM792" s="162"/>
      <c r="AN792" s="162"/>
      <c r="AO792" s="162"/>
      <c r="AP792" s="230"/>
      <c r="AQ792" s="230"/>
      <c r="AR792" s="162"/>
      <c r="AS792" s="162"/>
      <c r="AT792" s="162"/>
      <c r="AU792" s="162"/>
      <c r="AV792" s="162"/>
      <c r="AW792" s="230"/>
      <c r="AX792" s="230"/>
      <c r="AY792" s="162"/>
      <c r="AZ792" s="162"/>
      <c r="BA792" s="162"/>
      <c r="BB792" s="162"/>
      <c r="BC792" s="162"/>
      <c r="BD792" s="230"/>
      <c r="BE792" s="230"/>
      <c r="BF792" s="162"/>
      <c r="BG792" s="162"/>
      <c r="BH792" s="162"/>
      <c r="BI792" s="162"/>
      <c r="BJ792" s="162"/>
      <c r="BK792" s="230"/>
      <c r="BL792" s="230"/>
      <c r="BM792" s="162"/>
      <c r="BN792" s="162"/>
      <c r="BO792" s="162"/>
      <c r="BP792" s="162"/>
      <c r="BQ792" s="162"/>
      <c r="BR792" s="230"/>
      <c r="BS792" s="230"/>
      <c r="BT792" s="162"/>
      <c r="BU792" s="162"/>
      <c r="BV792" s="162"/>
      <c r="BW792" s="162"/>
      <c r="BX792" s="162"/>
      <c r="BY792" s="230"/>
      <c r="BZ792" s="230"/>
      <c r="CA792" s="162"/>
      <c r="CB792" s="162"/>
      <c r="CC792" s="162"/>
      <c r="CD792" s="162"/>
      <c r="CE792" s="162"/>
      <c r="CF792" s="230"/>
      <c r="CG792" s="230"/>
      <c r="CH792" s="162"/>
      <c r="CI792" s="162"/>
      <c r="CJ792" s="162"/>
      <c r="CK792" s="162"/>
      <c r="CL792" s="162"/>
      <c r="CM792" s="230"/>
      <c r="CN792" s="230"/>
      <c r="CO792" s="162"/>
      <c r="CP792" s="162"/>
      <c r="CQ792" s="162"/>
      <c r="CR792" s="162"/>
      <c r="CS792" s="162"/>
      <c r="CT792" s="230"/>
      <c r="CU792" s="230"/>
      <c r="CV792" s="162"/>
      <c r="CW792" s="162"/>
      <c r="CX792" s="162"/>
      <c r="CY792" s="162"/>
      <c r="CZ792" s="162"/>
      <c r="DA792" s="230"/>
      <c r="DB792" s="230"/>
      <c r="DC792" s="162"/>
      <c r="DD792" s="162"/>
      <c r="DE792" s="162"/>
      <c r="DF792" s="162"/>
      <c r="DG792" s="162"/>
      <c r="DH792" s="230"/>
      <c r="DI792" s="230"/>
      <c r="DJ792" s="162"/>
      <c r="DK792" s="162"/>
      <c r="DL792" s="147"/>
      <c r="DM792" s="147"/>
      <c r="DN792" s="147"/>
      <c r="DO792" s="147"/>
      <c r="DP792" s="147"/>
      <c r="DQ792" s="147"/>
      <c r="DR792" s="147"/>
      <c r="DS792" s="147"/>
      <c r="DT792" s="147"/>
      <c r="DU792" s="147"/>
      <c r="DV792" s="147"/>
      <c r="DW792" s="147"/>
      <c r="DX792" s="147"/>
      <c r="DY792" s="147"/>
      <c r="DZ792" s="147"/>
      <c r="EA792" s="147"/>
      <c r="EB792" s="147"/>
      <c r="EC792" s="147"/>
      <c r="ED792" s="147"/>
      <c r="EE792" s="147"/>
      <c r="EF792" s="147"/>
      <c r="EG792" s="147"/>
      <c r="EH792" s="147"/>
    </row>
    <row r="793" spans="1:138" x14ac:dyDescent="0.25">
      <c r="A793" s="147"/>
      <c r="B793" s="147"/>
      <c r="C793" s="160"/>
      <c r="D793" s="160"/>
      <c r="E793" s="169"/>
      <c r="F793" s="229"/>
      <c r="G793" s="165"/>
      <c r="H793" s="165"/>
      <c r="I793" s="163"/>
      <c r="J793" s="163"/>
      <c r="K793" s="162"/>
      <c r="L793" s="162"/>
      <c r="M793" s="162"/>
      <c r="N793" s="230"/>
      <c r="O793" s="230"/>
      <c r="P793" s="162"/>
      <c r="Q793" s="162"/>
      <c r="R793" s="162"/>
      <c r="S793" s="162"/>
      <c r="T793" s="162"/>
      <c r="U793" s="230"/>
      <c r="V793" s="230"/>
      <c r="W793" s="162"/>
      <c r="X793" s="162"/>
      <c r="Y793" s="162"/>
      <c r="Z793" s="162"/>
      <c r="AA793" s="162"/>
      <c r="AB793" s="230"/>
      <c r="AC793" s="230"/>
      <c r="AD793" s="162"/>
      <c r="AE793" s="162"/>
      <c r="AF793" s="162"/>
      <c r="AG793" s="162"/>
      <c r="AH793" s="162"/>
      <c r="AI793" s="230"/>
      <c r="AJ793" s="230"/>
      <c r="AK793" s="162"/>
      <c r="AL793" s="162"/>
      <c r="AM793" s="162"/>
      <c r="AN793" s="162"/>
      <c r="AO793" s="162"/>
      <c r="AP793" s="230"/>
      <c r="AQ793" s="230"/>
      <c r="AR793" s="162"/>
      <c r="AS793" s="162"/>
      <c r="AT793" s="162"/>
      <c r="AU793" s="162"/>
      <c r="AV793" s="162"/>
      <c r="AW793" s="230"/>
      <c r="AX793" s="230"/>
      <c r="AY793" s="162"/>
      <c r="AZ793" s="162"/>
      <c r="BA793" s="162"/>
      <c r="BB793" s="162"/>
      <c r="BC793" s="162"/>
      <c r="BD793" s="230"/>
      <c r="BE793" s="230"/>
      <c r="BF793" s="162"/>
      <c r="BG793" s="162"/>
      <c r="BH793" s="162"/>
      <c r="BI793" s="162"/>
      <c r="BJ793" s="162"/>
      <c r="BK793" s="230"/>
      <c r="BL793" s="230"/>
      <c r="BM793" s="162"/>
      <c r="BN793" s="162"/>
      <c r="BO793" s="162"/>
      <c r="BP793" s="162"/>
      <c r="BQ793" s="162"/>
      <c r="BR793" s="230"/>
      <c r="BS793" s="230"/>
      <c r="BT793" s="162"/>
      <c r="BU793" s="162"/>
      <c r="BV793" s="162"/>
      <c r="BW793" s="162"/>
      <c r="BX793" s="162"/>
      <c r="BY793" s="230"/>
      <c r="BZ793" s="230"/>
      <c r="CA793" s="162"/>
      <c r="CB793" s="162"/>
      <c r="CC793" s="162"/>
      <c r="CD793" s="162"/>
      <c r="CE793" s="162"/>
      <c r="CF793" s="230"/>
      <c r="CG793" s="230"/>
      <c r="CH793" s="162"/>
      <c r="CI793" s="162"/>
      <c r="CJ793" s="162"/>
      <c r="CK793" s="162"/>
      <c r="CL793" s="162"/>
      <c r="CM793" s="230"/>
      <c r="CN793" s="230"/>
      <c r="CO793" s="162"/>
      <c r="CP793" s="162"/>
      <c r="CQ793" s="162"/>
      <c r="CR793" s="162"/>
      <c r="CS793" s="162"/>
      <c r="CT793" s="230"/>
      <c r="CU793" s="230"/>
      <c r="CV793" s="162"/>
      <c r="CW793" s="162"/>
      <c r="CX793" s="162"/>
      <c r="CY793" s="162"/>
      <c r="CZ793" s="162"/>
      <c r="DA793" s="230"/>
      <c r="DB793" s="230"/>
      <c r="DC793" s="162"/>
      <c r="DD793" s="162"/>
      <c r="DE793" s="162"/>
      <c r="DF793" s="162"/>
      <c r="DG793" s="162"/>
      <c r="DH793" s="230"/>
      <c r="DI793" s="230"/>
      <c r="DJ793" s="162"/>
      <c r="DK793" s="162"/>
      <c r="DL793" s="147"/>
      <c r="DM793" s="147"/>
      <c r="DN793" s="147"/>
      <c r="DO793" s="147"/>
      <c r="DP793" s="147"/>
      <c r="DQ793" s="147"/>
      <c r="DR793" s="147"/>
      <c r="DS793" s="147"/>
      <c r="DT793" s="147"/>
      <c r="DU793" s="147"/>
      <c r="DV793" s="147"/>
      <c r="DW793" s="147"/>
      <c r="DX793" s="147"/>
      <c r="DY793" s="147"/>
      <c r="DZ793" s="147"/>
      <c r="EA793" s="147"/>
      <c r="EB793" s="147"/>
      <c r="EC793" s="147"/>
      <c r="ED793" s="147"/>
      <c r="EE793" s="147"/>
      <c r="EF793" s="147"/>
      <c r="EG793" s="147"/>
      <c r="EH793" s="147"/>
    </row>
    <row r="794" spans="1:138" x14ac:dyDescent="0.25">
      <c r="A794" s="147"/>
      <c r="B794" s="147"/>
      <c r="C794" s="160"/>
      <c r="D794" s="160"/>
      <c r="E794" s="169"/>
      <c r="F794" s="229"/>
      <c r="G794" s="165"/>
      <c r="H794" s="165"/>
      <c r="I794" s="163"/>
      <c r="J794" s="163"/>
      <c r="K794" s="162"/>
      <c r="L794" s="162"/>
      <c r="M794" s="162"/>
      <c r="N794" s="230"/>
      <c r="O794" s="230"/>
      <c r="P794" s="162"/>
      <c r="Q794" s="162"/>
      <c r="R794" s="162"/>
      <c r="S794" s="162"/>
      <c r="T794" s="162"/>
      <c r="U794" s="230"/>
      <c r="V794" s="230"/>
      <c r="W794" s="162"/>
      <c r="X794" s="162"/>
      <c r="Y794" s="162"/>
      <c r="Z794" s="162"/>
      <c r="AA794" s="162"/>
      <c r="AB794" s="230"/>
      <c r="AC794" s="230"/>
      <c r="AD794" s="162"/>
      <c r="AE794" s="162"/>
      <c r="AF794" s="162"/>
      <c r="AG794" s="162"/>
      <c r="AH794" s="162"/>
      <c r="AI794" s="230"/>
      <c r="AJ794" s="230"/>
      <c r="AK794" s="162"/>
      <c r="AL794" s="162"/>
      <c r="AM794" s="162"/>
      <c r="AN794" s="162"/>
      <c r="AO794" s="162"/>
      <c r="AP794" s="230"/>
      <c r="AQ794" s="230"/>
      <c r="AR794" s="162"/>
      <c r="AS794" s="162"/>
      <c r="AT794" s="162"/>
      <c r="AU794" s="162"/>
      <c r="AV794" s="162"/>
      <c r="AW794" s="230"/>
      <c r="AX794" s="230"/>
      <c r="AY794" s="162"/>
      <c r="AZ794" s="162"/>
      <c r="BA794" s="162"/>
      <c r="BB794" s="162"/>
      <c r="BC794" s="162"/>
      <c r="BD794" s="230"/>
      <c r="BE794" s="230"/>
      <c r="BF794" s="162"/>
      <c r="BG794" s="162"/>
      <c r="BH794" s="162"/>
      <c r="BI794" s="162"/>
      <c r="BJ794" s="162"/>
      <c r="BK794" s="230"/>
      <c r="BL794" s="230"/>
      <c r="BM794" s="162"/>
      <c r="BN794" s="162"/>
      <c r="BO794" s="162"/>
      <c r="BP794" s="162"/>
      <c r="BQ794" s="162"/>
      <c r="BR794" s="230"/>
      <c r="BS794" s="230"/>
      <c r="BT794" s="162"/>
      <c r="BU794" s="162"/>
      <c r="BV794" s="162"/>
      <c r="BW794" s="162"/>
      <c r="BX794" s="162"/>
      <c r="BY794" s="230"/>
      <c r="BZ794" s="230"/>
      <c r="CA794" s="162"/>
      <c r="CB794" s="162"/>
      <c r="CC794" s="162"/>
      <c r="CD794" s="162"/>
      <c r="CE794" s="162"/>
      <c r="CF794" s="230"/>
      <c r="CG794" s="230"/>
      <c r="CH794" s="162"/>
      <c r="CI794" s="162"/>
      <c r="CJ794" s="162"/>
      <c r="CK794" s="162"/>
      <c r="CL794" s="162"/>
      <c r="CM794" s="230"/>
      <c r="CN794" s="230"/>
      <c r="CO794" s="162"/>
      <c r="CP794" s="162"/>
      <c r="CQ794" s="162"/>
      <c r="CR794" s="162"/>
      <c r="CS794" s="162"/>
      <c r="CT794" s="230"/>
      <c r="CU794" s="230"/>
      <c r="CV794" s="162"/>
      <c r="CW794" s="162"/>
      <c r="CX794" s="162"/>
      <c r="CY794" s="162"/>
      <c r="CZ794" s="162"/>
      <c r="DA794" s="230"/>
      <c r="DB794" s="230"/>
      <c r="DC794" s="162"/>
      <c r="DD794" s="162"/>
      <c r="DE794" s="162"/>
      <c r="DF794" s="162"/>
      <c r="DG794" s="162"/>
      <c r="DH794" s="230"/>
      <c r="DI794" s="230"/>
      <c r="DJ794" s="162"/>
      <c r="DK794" s="162"/>
      <c r="DL794" s="147"/>
      <c r="DM794" s="147"/>
      <c r="DN794" s="147"/>
      <c r="DO794" s="147"/>
      <c r="DP794" s="147"/>
      <c r="DQ794" s="147"/>
      <c r="DR794" s="147"/>
      <c r="DS794" s="147"/>
      <c r="DT794" s="147"/>
      <c r="DU794" s="147"/>
      <c r="DV794" s="147"/>
      <c r="DW794" s="147"/>
      <c r="DX794" s="147"/>
      <c r="DY794" s="147"/>
      <c r="DZ794" s="147"/>
      <c r="EA794" s="147"/>
      <c r="EB794" s="147"/>
      <c r="EC794" s="147"/>
      <c r="ED794" s="147"/>
      <c r="EE794" s="147"/>
      <c r="EF794" s="147"/>
      <c r="EG794" s="147"/>
      <c r="EH794" s="147"/>
    </row>
    <row r="795" spans="1:138" x14ac:dyDescent="0.25">
      <c r="A795" s="147"/>
      <c r="B795" s="147"/>
      <c r="C795" s="160"/>
      <c r="D795" s="160"/>
      <c r="E795" s="169"/>
      <c r="F795" s="229"/>
      <c r="G795" s="165"/>
      <c r="H795" s="165"/>
      <c r="I795" s="163"/>
      <c r="J795" s="163"/>
      <c r="K795" s="162"/>
      <c r="L795" s="162"/>
      <c r="M795" s="162"/>
      <c r="N795" s="230"/>
      <c r="O795" s="230"/>
      <c r="P795" s="162"/>
      <c r="Q795" s="162"/>
      <c r="R795" s="162"/>
      <c r="S795" s="162"/>
      <c r="T795" s="162"/>
      <c r="U795" s="230"/>
      <c r="V795" s="230"/>
      <c r="W795" s="162"/>
      <c r="X795" s="162"/>
      <c r="Y795" s="162"/>
      <c r="Z795" s="162"/>
      <c r="AA795" s="162"/>
      <c r="AB795" s="230"/>
      <c r="AC795" s="230"/>
      <c r="AD795" s="162"/>
      <c r="AE795" s="162"/>
      <c r="AF795" s="162"/>
      <c r="AG795" s="162"/>
      <c r="AH795" s="162"/>
      <c r="AI795" s="230"/>
      <c r="AJ795" s="230"/>
      <c r="AK795" s="162"/>
      <c r="AL795" s="162"/>
      <c r="AM795" s="162"/>
      <c r="AN795" s="162"/>
      <c r="AO795" s="162"/>
      <c r="AP795" s="230"/>
      <c r="AQ795" s="230"/>
      <c r="AR795" s="162"/>
      <c r="AS795" s="162"/>
      <c r="AT795" s="162"/>
      <c r="AU795" s="162"/>
      <c r="AV795" s="162"/>
      <c r="AW795" s="230"/>
      <c r="AX795" s="230"/>
      <c r="AY795" s="162"/>
      <c r="AZ795" s="162"/>
      <c r="BA795" s="162"/>
      <c r="BB795" s="162"/>
      <c r="BC795" s="162"/>
      <c r="BD795" s="230"/>
      <c r="BE795" s="230"/>
      <c r="BF795" s="162"/>
      <c r="BG795" s="162"/>
      <c r="BH795" s="162"/>
      <c r="BI795" s="162"/>
      <c r="BJ795" s="162"/>
      <c r="BK795" s="230"/>
      <c r="BL795" s="230"/>
      <c r="BM795" s="162"/>
      <c r="BN795" s="162"/>
      <c r="BO795" s="162"/>
      <c r="BP795" s="162"/>
      <c r="BQ795" s="162"/>
      <c r="BR795" s="230"/>
      <c r="BS795" s="230"/>
      <c r="BT795" s="162"/>
      <c r="BU795" s="162"/>
      <c r="BV795" s="162"/>
      <c r="BW795" s="162"/>
      <c r="BX795" s="162"/>
      <c r="BY795" s="230"/>
      <c r="BZ795" s="230"/>
      <c r="CA795" s="162"/>
      <c r="CB795" s="162"/>
      <c r="CC795" s="162"/>
      <c r="CD795" s="162"/>
      <c r="CE795" s="162"/>
      <c r="CF795" s="230"/>
      <c r="CG795" s="230"/>
      <c r="CH795" s="162"/>
      <c r="CI795" s="162"/>
      <c r="CJ795" s="162"/>
      <c r="CK795" s="162"/>
      <c r="CL795" s="162"/>
      <c r="CM795" s="230"/>
      <c r="CN795" s="230"/>
      <c r="CO795" s="162"/>
      <c r="CP795" s="162"/>
      <c r="CQ795" s="162"/>
      <c r="CR795" s="162"/>
      <c r="CS795" s="162"/>
      <c r="CT795" s="230"/>
      <c r="CU795" s="230"/>
      <c r="CV795" s="162"/>
      <c r="CW795" s="162"/>
      <c r="CX795" s="162"/>
      <c r="CY795" s="162"/>
      <c r="CZ795" s="162"/>
      <c r="DA795" s="230"/>
      <c r="DB795" s="230"/>
      <c r="DC795" s="162"/>
      <c r="DD795" s="162"/>
      <c r="DE795" s="162"/>
      <c r="DF795" s="162"/>
      <c r="DG795" s="162"/>
      <c r="DH795" s="230"/>
      <c r="DI795" s="230"/>
      <c r="DJ795" s="162"/>
      <c r="DK795" s="162"/>
      <c r="DL795" s="147"/>
      <c r="DM795" s="147"/>
      <c r="DN795" s="147"/>
      <c r="DO795" s="147"/>
      <c r="DP795" s="147"/>
      <c r="DQ795" s="147"/>
      <c r="DR795" s="147"/>
      <c r="DS795" s="147"/>
      <c r="DT795" s="147"/>
      <c r="DU795" s="147"/>
      <c r="DV795" s="147"/>
      <c r="DW795" s="147"/>
      <c r="DX795" s="147"/>
      <c r="DY795" s="147"/>
      <c r="DZ795" s="147"/>
      <c r="EA795" s="147"/>
      <c r="EB795" s="147"/>
      <c r="EC795" s="147"/>
      <c r="ED795" s="147"/>
      <c r="EE795" s="147"/>
      <c r="EF795" s="147"/>
      <c r="EG795" s="147"/>
      <c r="EH795" s="147"/>
    </row>
    <row r="796" spans="1:138" x14ac:dyDescent="0.25">
      <c r="A796" s="147"/>
      <c r="B796" s="147"/>
      <c r="C796" s="160"/>
      <c r="D796" s="160"/>
      <c r="E796" s="169"/>
      <c r="F796" s="229"/>
      <c r="G796" s="165"/>
      <c r="H796" s="165"/>
      <c r="I796" s="163"/>
      <c r="J796" s="163"/>
      <c r="K796" s="162"/>
      <c r="L796" s="162"/>
      <c r="M796" s="162"/>
      <c r="N796" s="230"/>
      <c r="O796" s="230"/>
      <c r="P796" s="162"/>
      <c r="Q796" s="162"/>
      <c r="R796" s="162"/>
      <c r="S796" s="162"/>
      <c r="T796" s="162"/>
      <c r="U796" s="230"/>
      <c r="V796" s="230"/>
      <c r="W796" s="162"/>
      <c r="X796" s="162"/>
      <c r="Y796" s="162"/>
      <c r="Z796" s="162"/>
      <c r="AA796" s="162"/>
      <c r="AB796" s="230"/>
      <c r="AC796" s="230"/>
      <c r="AD796" s="162"/>
      <c r="AE796" s="162"/>
      <c r="AF796" s="162"/>
      <c r="AG796" s="162"/>
      <c r="AH796" s="162"/>
      <c r="AI796" s="230"/>
      <c r="AJ796" s="230"/>
      <c r="AK796" s="162"/>
      <c r="AL796" s="162"/>
      <c r="AM796" s="162"/>
      <c r="AN796" s="162"/>
      <c r="AO796" s="162"/>
      <c r="AP796" s="230"/>
      <c r="AQ796" s="230"/>
      <c r="AR796" s="162"/>
      <c r="AS796" s="162"/>
      <c r="AT796" s="162"/>
      <c r="AU796" s="162"/>
      <c r="AV796" s="162"/>
      <c r="AW796" s="230"/>
      <c r="AX796" s="230"/>
      <c r="AY796" s="162"/>
      <c r="AZ796" s="162"/>
      <c r="BA796" s="162"/>
      <c r="BB796" s="162"/>
      <c r="BC796" s="162"/>
      <c r="BD796" s="230"/>
      <c r="BE796" s="230"/>
      <c r="BF796" s="162"/>
      <c r="BG796" s="162"/>
      <c r="BH796" s="162"/>
      <c r="BI796" s="162"/>
      <c r="BJ796" s="162"/>
      <c r="BK796" s="230"/>
      <c r="BL796" s="230"/>
      <c r="BM796" s="162"/>
      <c r="BN796" s="162"/>
      <c r="BO796" s="162"/>
      <c r="BP796" s="162"/>
      <c r="BQ796" s="162"/>
      <c r="BR796" s="230"/>
      <c r="BS796" s="230"/>
      <c r="BT796" s="162"/>
      <c r="BU796" s="162"/>
      <c r="BV796" s="162"/>
      <c r="BW796" s="162"/>
      <c r="BX796" s="162"/>
      <c r="BY796" s="230"/>
      <c r="BZ796" s="230"/>
      <c r="CA796" s="162"/>
      <c r="CB796" s="162"/>
      <c r="CC796" s="162"/>
      <c r="CD796" s="162"/>
      <c r="CE796" s="162"/>
      <c r="CF796" s="230"/>
      <c r="CG796" s="230"/>
      <c r="CH796" s="162"/>
      <c r="CI796" s="162"/>
      <c r="CJ796" s="162"/>
      <c r="CK796" s="162"/>
      <c r="CL796" s="162"/>
      <c r="CM796" s="230"/>
      <c r="CN796" s="230"/>
      <c r="CO796" s="162"/>
      <c r="CP796" s="162"/>
      <c r="CQ796" s="162"/>
      <c r="CR796" s="162"/>
      <c r="CS796" s="162"/>
      <c r="CT796" s="230"/>
      <c r="CU796" s="230"/>
      <c r="CV796" s="162"/>
      <c r="CW796" s="162"/>
      <c r="CX796" s="162"/>
      <c r="CY796" s="162"/>
      <c r="CZ796" s="162"/>
      <c r="DA796" s="230"/>
      <c r="DB796" s="230"/>
      <c r="DC796" s="162"/>
      <c r="DD796" s="162"/>
      <c r="DE796" s="162"/>
      <c r="DF796" s="162"/>
      <c r="DG796" s="162"/>
      <c r="DH796" s="230"/>
      <c r="DI796" s="230"/>
      <c r="DJ796" s="162"/>
      <c r="DK796" s="162"/>
      <c r="DL796" s="147"/>
      <c r="DM796" s="147"/>
      <c r="DN796" s="147"/>
      <c r="DO796" s="147"/>
      <c r="DP796" s="147"/>
      <c r="DQ796" s="147"/>
      <c r="DR796" s="147"/>
      <c r="DS796" s="147"/>
      <c r="DT796" s="147"/>
      <c r="DU796" s="147"/>
      <c r="DV796" s="147"/>
      <c r="DW796" s="147"/>
      <c r="DX796" s="147"/>
      <c r="DY796" s="147"/>
      <c r="DZ796" s="147"/>
      <c r="EA796" s="147"/>
      <c r="EB796" s="147"/>
      <c r="EC796" s="147"/>
      <c r="ED796" s="147"/>
      <c r="EE796" s="147"/>
      <c r="EF796" s="147"/>
      <c r="EG796" s="147"/>
      <c r="EH796" s="147"/>
    </row>
    <row r="797" spans="1:138" x14ac:dyDescent="0.25">
      <c r="A797" s="147"/>
      <c r="B797" s="147"/>
      <c r="C797" s="160"/>
      <c r="D797" s="160"/>
      <c r="E797" s="169"/>
      <c r="F797" s="229"/>
      <c r="G797" s="165"/>
      <c r="H797" s="165"/>
      <c r="I797" s="163"/>
      <c r="J797" s="163"/>
      <c r="K797" s="162"/>
      <c r="L797" s="162"/>
      <c r="M797" s="162"/>
      <c r="N797" s="230"/>
      <c r="O797" s="230"/>
      <c r="P797" s="162"/>
      <c r="Q797" s="162"/>
      <c r="R797" s="162"/>
      <c r="S797" s="162"/>
      <c r="T797" s="162"/>
      <c r="U797" s="230"/>
      <c r="V797" s="230"/>
      <c r="W797" s="162"/>
      <c r="X797" s="162"/>
      <c r="Y797" s="162"/>
      <c r="Z797" s="162"/>
      <c r="AA797" s="162"/>
      <c r="AB797" s="230"/>
      <c r="AC797" s="230"/>
      <c r="AD797" s="162"/>
      <c r="AE797" s="162"/>
      <c r="AF797" s="162"/>
      <c r="AG797" s="162"/>
      <c r="AH797" s="162"/>
      <c r="AI797" s="230"/>
      <c r="AJ797" s="230"/>
      <c r="AK797" s="162"/>
      <c r="AL797" s="162"/>
      <c r="AM797" s="162"/>
      <c r="AN797" s="162"/>
      <c r="AO797" s="162"/>
      <c r="AP797" s="230"/>
      <c r="AQ797" s="230"/>
      <c r="AR797" s="162"/>
      <c r="AS797" s="162"/>
      <c r="AT797" s="162"/>
      <c r="AU797" s="162"/>
      <c r="AV797" s="162"/>
      <c r="AW797" s="230"/>
      <c r="AX797" s="230"/>
      <c r="AY797" s="162"/>
      <c r="AZ797" s="162"/>
      <c r="BA797" s="162"/>
      <c r="BB797" s="162"/>
      <c r="BC797" s="162"/>
      <c r="BD797" s="230"/>
      <c r="BE797" s="230"/>
      <c r="BF797" s="162"/>
      <c r="BG797" s="162"/>
      <c r="BH797" s="162"/>
      <c r="BI797" s="162"/>
      <c r="BJ797" s="162"/>
      <c r="BK797" s="230"/>
      <c r="BL797" s="230"/>
      <c r="BM797" s="162"/>
      <c r="BN797" s="162"/>
      <c r="BO797" s="162"/>
      <c r="BP797" s="162"/>
      <c r="BQ797" s="162"/>
      <c r="BR797" s="230"/>
      <c r="BS797" s="230"/>
      <c r="BT797" s="162"/>
      <c r="BU797" s="162"/>
      <c r="BV797" s="162"/>
      <c r="BW797" s="162"/>
      <c r="BX797" s="162"/>
      <c r="BY797" s="230"/>
      <c r="BZ797" s="230"/>
      <c r="CA797" s="162"/>
      <c r="CB797" s="162"/>
      <c r="CC797" s="162"/>
      <c r="CD797" s="162"/>
      <c r="CE797" s="162"/>
      <c r="CF797" s="230"/>
      <c r="CG797" s="230"/>
      <c r="CH797" s="162"/>
      <c r="CI797" s="162"/>
      <c r="CJ797" s="162"/>
      <c r="CK797" s="162"/>
      <c r="CL797" s="162"/>
      <c r="CM797" s="230"/>
      <c r="CN797" s="230"/>
      <c r="CO797" s="162"/>
      <c r="CP797" s="162"/>
      <c r="CQ797" s="162"/>
      <c r="CR797" s="162"/>
      <c r="CS797" s="162"/>
      <c r="CT797" s="230"/>
      <c r="CU797" s="230"/>
      <c r="CV797" s="162"/>
      <c r="CW797" s="162"/>
      <c r="CX797" s="162"/>
      <c r="CY797" s="162"/>
      <c r="CZ797" s="162"/>
      <c r="DA797" s="230"/>
      <c r="DB797" s="230"/>
      <c r="DC797" s="162"/>
      <c r="DD797" s="162"/>
      <c r="DE797" s="162"/>
      <c r="DF797" s="162"/>
      <c r="DG797" s="162"/>
      <c r="DH797" s="230"/>
      <c r="DI797" s="230"/>
      <c r="DJ797" s="162"/>
      <c r="DK797" s="162"/>
      <c r="DL797" s="147"/>
      <c r="DM797" s="147"/>
      <c r="DN797" s="147"/>
      <c r="DO797" s="147"/>
      <c r="DP797" s="147"/>
      <c r="DQ797" s="147"/>
      <c r="DR797" s="147"/>
      <c r="DS797" s="147"/>
      <c r="DT797" s="147"/>
      <c r="DU797" s="147"/>
      <c r="DV797" s="147"/>
      <c r="DW797" s="147"/>
      <c r="DX797" s="147"/>
      <c r="DY797" s="147"/>
      <c r="DZ797" s="147"/>
      <c r="EA797" s="147"/>
      <c r="EB797" s="147"/>
      <c r="EC797" s="147"/>
      <c r="ED797" s="147"/>
      <c r="EE797" s="147"/>
      <c r="EF797" s="147"/>
      <c r="EG797" s="147"/>
      <c r="EH797" s="147"/>
    </row>
    <row r="798" spans="1:138" x14ac:dyDescent="0.25">
      <c r="A798" s="147"/>
      <c r="B798" s="147"/>
      <c r="C798" s="160"/>
      <c r="D798" s="160"/>
      <c r="E798" s="169"/>
      <c r="F798" s="229"/>
      <c r="G798" s="165"/>
      <c r="H798" s="165"/>
      <c r="I798" s="163"/>
      <c r="J798" s="163"/>
      <c r="K798" s="162"/>
      <c r="L798" s="162"/>
      <c r="M798" s="162"/>
      <c r="N798" s="230"/>
      <c r="O798" s="230"/>
      <c r="P798" s="162"/>
      <c r="Q798" s="162"/>
      <c r="R798" s="162"/>
      <c r="S798" s="162"/>
      <c r="T798" s="162"/>
      <c r="U798" s="230"/>
      <c r="V798" s="230"/>
      <c r="W798" s="162"/>
      <c r="X798" s="162"/>
      <c r="Y798" s="162"/>
      <c r="Z798" s="162"/>
      <c r="AA798" s="162"/>
      <c r="AB798" s="230"/>
      <c r="AC798" s="230"/>
      <c r="AD798" s="162"/>
      <c r="AE798" s="162"/>
      <c r="AF798" s="162"/>
      <c r="AG798" s="162"/>
      <c r="AH798" s="162"/>
      <c r="AI798" s="230"/>
      <c r="AJ798" s="230"/>
      <c r="AK798" s="162"/>
      <c r="AL798" s="162"/>
      <c r="AM798" s="162"/>
      <c r="AN798" s="162"/>
      <c r="AO798" s="162"/>
      <c r="AP798" s="230"/>
      <c r="AQ798" s="230"/>
      <c r="AR798" s="162"/>
      <c r="AS798" s="162"/>
      <c r="AT798" s="162"/>
      <c r="AU798" s="162"/>
      <c r="AV798" s="162"/>
      <c r="AW798" s="230"/>
      <c r="AX798" s="230"/>
      <c r="AY798" s="162"/>
      <c r="AZ798" s="162"/>
      <c r="BA798" s="162"/>
      <c r="BB798" s="162"/>
      <c r="BC798" s="162"/>
      <c r="BD798" s="230"/>
      <c r="BE798" s="230"/>
      <c r="BF798" s="162"/>
      <c r="BG798" s="162"/>
      <c r="BH798" s="162"/>
      <c r="BI798" s="162"/>
      <c r="BJ798" s="162"/>
      <c r="BK798" s="230"/>
      <c r="BL798" s="230"/>
      <c r="BM798" s="162"/>
      <c r="BN798" s="162"/>
      <c r="BO798" s="162"/>
      <c r="BP798" s="162"/>
      <c r="BQ798" s="162"/>
      <c r="BR798" s="230"/>
      <c r="BS798" s="230"/>
      <c r="BT798" s="162"/>
      <c r="BU798" s="162"/>
      <c r="BV798" s="162"/>
      <c r="BW798" s="162"/>
      <c r="BX798" s="162"/>
      <c r="BY798" s="230"/>
      <c r="BZ798" s="230"/>
      <c r="CA798" s="162"/>
      <c r="CB798" s="162"/>
      <c r="CC798" s="162"/>
      <c r="CD798" s="162"/>
      <c r="CE798" s="162"/>
      <c r="CF798" s="230"/>
      <c r="CG798" s="230"/>
      <c r="CH798" s="162"/>
      <c r="CI798" s="162"/>
      <c r="CJ798" s="162"/>
      <c r="CK798" s="162"/>
      <c r="CL798" s="162"/>
      <c r="CM798" s="230"/>
      <c r="CN798" s="230"/>
      <c r="CO798" s="162"/>
      <c r="CP798" s="162"/>
      <c r="CQ798" s="162"/>
      <c r="CR798" s="162"/>
      <c r="CS798" s="162"/>
      <c r="CT798" s="230"/>
      <c r="CU798" s="230"/>
      <c r="CV798" s="162"/>
      <c r="CW798" s="162"/>
      <c r="CX798" s="162"/>
      <c r="CY798" s="162"/>
      <c r="CZ798" s="162"/>
      <c r="DA798" s="230"/>
      <c r="DB798" s="230"/>
      <c r="DC798" s="162"/>
      <c r="DD798" s="162"/>
      <c r="DE798" s="162"/>
      <c r="DF798" s="162"/>
      <c r="DG798" s="162"/>
      <c r="DH798" s="230"/>
      <c r="DI798" s="230"/>
      <c r="DJ798" s="162"/>
      <c r="DK798" s="162"/>
      <c r="DL798" s="147"/>
      <c r="DM798" s="147"/>
      <c r="DN798" s="147"/>
      <c r="DO798" s="147"/>
      <c r="DP798" s="147"/>
      <c r="DQ798" s="147"/>
      <c r="DR798" s="147"/>
      <c r="DS798" s="147"/>
      <c r="DT798" s="147"/>
      <c r="DU798" s="147"/>
      <c r="DV798" s="147"/>
      <c r="DW798" s="147"/>
      <c r="DX798" s="147"/>
      <c r="DY798" s="147"/>
      <c r="DZ798" s="147"/>
      <c r="EA798" s="147"/>
      <c r="EB798" s="147"/>
      <c r="EC798" s="147"/>
      <c r="ED798" s="147"/>
      <c r="EE798" s="147"/>
      <c r="EF798" s="147"/>
      <c r="EG798" s="147"/>
      <c r="EH798" s="147"/>
    </row>
    <row r="799" spans="1:138" x14ac:dyDescent="0.25">
      <c r="A799" s="147"/>
      <c r="B799" s="147"/>
      <c r="C799" s="160"/>
      <c r="D799" s="160"/>
      <c r="E799" s="169"/>
      <c r="F799" s="229"/>
      <c r="G799" s="165"/>
      <c r="H799" s="165"/>
      <c r="I799" s="163"/>
      <c r="J799" s="163"/>
      <c r="K799" s="162"/>
      <c r="L799" s="162"/>
      <c r="M799" s="162"/>
      <c r="N799" s="230"/>
      <c r="O799" s="230"/>
      <c r="P799" s="162"/>
      <c r="Q799" s="162"/>
      <c r="R799" s="162"/>
      <c r="S799" s="162"/>
      <c r="T799" s="162"/>
      <c r="U799" s="230"/>
      <c r="V799" s="230"/>
      <c r="W799" s="162"/>
      <c r="X799" s="162"/>
      <c r="Y799" s="162"/>
      <c r="Z799" s="162"/>
      <c r="AA799" s="162"/>
      <c r="AB799" s="230"/>
      <c r="AC799" s="230"/>
      <c r="AD799" s="162"/>
      <c r="AE799" s="162"/>
      <c r="AF799" s="162"/>
      <c r="AG799" s="162"/>
      <c r="AH799" s="162"/>
      <c r="AI799" s="230"/>
      <c r="AJ799" s="230"/>
      <c r="AK799" s="162"/>
      <c r="AL799" s="162"/>
      <c r="AM799" s="162"/>
      <c r="AN799" s="162"/>
      <c r="AO799" s="162"/>
      <c r="AP799" s="230"/>
      <c r="AQ799" s="230"/>
      <c r="AR799" s="162"/>
      <c r="AS799" s="162"/>
      <c r="AT799" s="162"/>
      <c r="AU799" s="162"/>
      <c r="AV799" s="162"/>
      <c r="AW799" s="230"/>
      <c r="AX799" s="230"/>
      <c r="AY799" s="162"/>
      <c r="AZ799" s="162"/>
      <c r="BA799" s="162"/>
      <c r="BB799" s="162"/>
      <c r="BC799" s="162"/>
      <c r="BD799" s="230"/>
      <c r="BE799" s="230"/>
      <c r="BF799" s="162"/>
      <c r="BG799" s="162"/>
      <c r="BH799" s="162"/>
      <c r="BI799" s="162"/>
      <c r="BJ799" s="162"/>
      <c r="BK799" s="230"/>
      <c r="BL799" s="230"/>
      <c r="BM799" s="162"/>
      <c r="BN799" s="162"/>
      <c r="BO799" s="162"/>
      <c r="BP799" s="162"/>
      <c r="BQ799" s="162"/>
      <c r="BR799" s="230"/>
      <c r="BS799" s="230"/>
      <c r="BT799" s="162"/>
      <c r="BU799" s="162"/>
      <c r="BV799" s="162"/>
      <c r="BW799" s="162"/>
      <c r="BX799" s="162"/>
      <c r="BY799" s="230"/>
      <c r="BZ799" s="230"/>
      <c r="CA799" s="162"/>
      <c r="CB799" s="162"/>
      <c r="CC799" s="162"/>
      <c r="CD799" s="162"/>
      <c r="CE799" s="162"/>
      <c r="CF799" s="230"/>
      <c r="CG799" s="230"/>
      <c r="CH799" s="162"/>
      <c r="CI799" s="162"/>
      <c r="CJ799" s="162"/>
      <c r="CK799" s="162"/>
      <c r="CL799" s="162"/>
      <c r="CM799" s="230"/>
      <c r="CN799" s="230"/>
      <c r="CO799" s="162"/>
      <c r="CP799" s="162"/>
      <c r="CQ799" s="162"/>
      <c r="CR799" s="162"/>
      <c r="CS799" s="162"/>
      <c r="CT799" s="230"/>
      <c r="CU799" s="230"/>
      <c r="CV799" s="162"/>
      <c r="CW799" s="162"/>
      <c r="CX799" s="162"/>
      <c r="CY799" s="162"/>
      <c r="CZ799" s="162"/>
      <c r="DA799" s="230"/>
      <c r="DB799" s="230"/>
      <c r="DC799" s="162"/>
      <c r="DD799" s="162"/>
      <c r="DE799" s="162"/>
      <c r="DF799" s="162"/>
      <c r="DG799" s="162"/>
      <c r="DH799" s="230"/>
      <c r="DI799" s="230"/>
      <c r="DJ799" s="162"/>
      <c r="DK799" s="162"/>
      <c r="DL799" s="147"/>
      <c r="DM799" s="147"/>
      <c r="DN799" s="147"/>
      <c r="DO799" s="147"/>
      <c r="DP799" s="147"/>
      <c r="DQ799" s="147"/>
      <c r="DR799" s="147"/>
      <c r="DS799" s="147"/>
      <c r="DT799" s="147"/>
      <c r="DU799" s="147"/>
      <c r="DV799" s="147"/>
      <c r="DW799" s="147"/>
      <c r="DX799" s="147"/>
      <c r="DY799" s="147"/>
      <c r="DZ799" s="147"/>
      <c r="EA799" s="147"/>
      <c r="EB799" s="147"/>
      <c r="EC799" s="147"/>
      <c r="ED799" s="147"/>
      <c r="EE799" s="147"/>
      <c r="EF799" s="147"/>
      <c r="EG799" s="147"/>
      <c r="EH799" s="147"/>
    </row>
    <row r="800" spans="1:138" x14ac:dyDescent="0.25">
      <c r="A800" s="147"/>
      <c r="B800" s="147"/>
      <c r="C800" s="160"/>
      <c r="D800" s="160"/>
      <c r="E800" s="169"/>
      <c r="F800" s="229"/>
      <c r="G800" s="165"/>
      <c r="H800" s="165"/>
      <c r="I800" s="163"/>
      <c r="J800" s="163"/>
      <c r="K800" s="162"/>
      <c r="L800" s="162"/>
      <c r="M800" s="162"/>
      <c r="N800" s="230"/>
      <c r="O800" s="230"/>
      <c r="P800" s="162"/>
      <c r="Q800" s="162"/>
      <c r="R800" s="162"/>
      <c r="S800" s="162"/>
      <c r="T800" s="162"/>
      <c r="U800" s="230"/>
      <c r="V800" s="230"/>
      <c r="W800" s="162"/>
      <c r="X800" s="162"/>
      <c r="Y800" s="162"/>
      <c r="Z800" s="162"/>
      <c r="AA800" s="162"/>
      <c r="AB800" s="230"/>
      <c r="AC800" s="230"/>
      <c r="AD800" s="162"/>
      <c r="AE800" s="162"/>
      <c r="AF800" s="162"/>
      <c r="AG800" s="162"/>
      <c r="AH800" s="162"/>
      <c r="AI800" s="230"/>
      <c r="AJ800" s="230"/>
      <c r="AK800" s="162"/>
      <c r="AL800" s="162"/>
      <c r="AM800" s="162"/>
      <c r="AN800" s="162"/>
      <c r="AO800" s="162"/>
      <c r="AP800" s="230"/>
      <c r="AQ800" s="230"/>
      <c r="AR800" s="162"/>
      <c r="AS800" s="162"/>
      <c r="AT800" s="162"/>
      <c r="AU800" s="162"/>
      <c r="AV800" s="162"/>
      <c r="AW800" s="230"/>
      <c r="AX800" s="230"/>
      <c r="AY800" s="162"/>
      <c r="AZ800" s="162"/>
      <c r="BA800" s="162"/>
      <c r="BB800" s="162"/>
      <c r="BC800" s="162"/>
      <c r="BD800" s="230"/>
      <c r="BE800" s="230"/>
      <c r="BF800" s="162"/>
      <c r="BG800" s="162"/>
      <c r="BH800" s="162"/>
      <c r="BI800" s="162"/>
      <c r="BJ800" s="162"/>
      <c r="BK800" s="230"/>
      <c r="BL800" s="230"/>
      <c r="BM800" s="162"/>
      <c r="BN800" s="162"/>
      <c r="BO800" s="162"/>
      <c r="BP800" s="162"/>
      <c r="BQ800" s="162"/>
      <c r="BR800" s="230"/>
      <c r="BS800" s="230"/>
      <c r="BT800" s="162"/>
      <c r="BU800" s="162"/>
      <c r="BV800" s="162"/>
      <c r="BW800" s="162"/>
      <c r="BX800" s="162"/>
      <c r="BY800" s="230"/>
      <c r="BZ800" s="230"/>
      <c r="CA800" s="162"/>
      <c r="CB800" s="162"/>
      <c r="CC800" s="162"/>
      <c r="CD800" s="162"/>
      <c r="CE800" s="162"/>
      <c r="CF800" s="230"/>
      <c r="CG800" s="230"/>
      <c r="CH800" s="162"/>
      <c r="CI800" s="162"/>
      <c r="CJ800" s="162"/>
      <c r="CK800" s="162"/>
      <c r="CL800" s="162"/>
      <c r="CM800" s="230"/>
      <c r="CN800" s="230"/>
      <c r="CO800" s="162"/>
      <c r="CP800" s="162"/>
      <c r="CQ800" s="162"/>
      <c r="CR800" s="162"/>
      <c r="CS800" s="162"/>
      <c r="CT800" s="230"/>
      <c r="CU800" s="230"/>
      <c r="CV800" s="162"/>
      <c r="CW800" s="162"/>
      <c r="CX800" s="162"/>
      <c r="CY800" s="162"/>
      <c r="CZ800" s="162"/>
      <c r="DA800" s="230"/>
      <c r="DB800" s="230"/>
      <c r="DC800" s="162"/>
      <c r="DD800" s="162"/>
      <c r="DE800" s="162"/>
      <c r="DF800" s="162"/>
      <c r="DG800" s="162"/>
      <c r="DH800" s="230"/>
      <c r="DI800" s="230"/>
      <c r="DJ800" s="162"/>
      <c r="DK800" s="162"/>
      <c r="DL800" s="147"/>
      <c r="DM800" s="147"/>
      <c r="DN800" s="147"/>
      <c r="DO800" s="147"/>
      <c r="DP800" s="147"/>
      <c r="DQ800" s="147"/>
      <c r="DR800" s="147"/>
      <c r="DS800" s="147"/>
      <c r="DT800" s="147"/>
      <c r="DU800" s="147"/>
      <c r="DV800" s="147"/>
      <c r="DW800" s="147"/>
      <c r="DX800" s="147"/>
      <c r="DY800" s="147"/>
      <c r="DZ800" s="147"/>
      <c r="EA800" s="147"/>
      <c r="EB800" s="147"/>
      <c r="EC800" s="147"/>
      <c r="ED800" s="147"/>
      <c r="EE800" s="147"/>
      <c r="EF800" s="147"/>
      <c r="EG800" s="147"/>
      <c r="EH800" s="147"/>
    </row>
    <row r="801" spans="1:138" x14ac:dyDescent="0.25">
      <c r="A801" s="147"/>
      <c r="B801" s="147"/>
      <c r="C801" s="160"/>
      <c r="D801" s="160"/>
      <c r="E801" s="169"/>
      <c r="F801" s="229"/>
      <c r="G801" s="165"/>
      <c r="H801" s="165"/>
      <c r="I801" s="163"/>
      <c r="J801" s="163"/>
      <c r="K801" s="162"/>
      <c r="L801" s="162"/>
      <c r="M801" s="162"/>
      <c r="N801" s="230"/>
      <c r="O801" s="230"/>
      <c r="P801" s="162"/>
      <c r="Q801" s="162"/>
      <c r="R801" s="162"/>
      <c r="S801" s="162"/>
      <c r="T801" s="162"/>
      <c r="U801" s="230"/>
      <c r="V801" s="230"/>
      <c r="W801" s="162"/>
      <c r="X801" s="162"/>
      <c r="Y801" s="162"/>
      <c r="Z801" s="162"/>
      <c r="AA801" s="162"/>
      <c r="AB801" s="230"/>
      <c r="AC801" s="230"/>
      <c r="AD801" s="162"/>
      <c r="AE801" s="162"/>
      <c r="AF801" s="162"/>
      <c r="AG801" s="162"/>
      <c r="AH801" s="162"/>
      <c r="AI801" s="230"/>
      <c r="AJ801" s="230"/>
      <c r="AK801" s="162"/>
      <c r="AL801" s="162"/>
      <c r="AM801" s="162"/>
      <c r="AN801" s="162"/>
      <c r="AO801" s="162"/>
      <c r="AP801" s="230"/>
      <c r="AQ801" s="230"/>
      <c r="AR801" s="162"/>
      <c r="AS801" s="162"/>
      <c r="AT801" s="162"/>
      <c r="AU801" s="162"/>
      <c r="AV801" s="162"/>
      <c r="AW801" s="230"/>
      <c r="AX801" s="230"/>
      <c r="AY801" s="162"/>
      <c r="AZ801" s="162"/>
      <c r="BA801" s="162"/>
      <c r="BB801" s="162"/>
      <c r="BC801" s="162"/>
      <c r="BD801" s="230"/>
      <c r="BE801" s="230"/>
      <c r="BF801" s="162"/>
      <c r="BG801" s="162"/>
      <c r="BH801" s="162"/>
      <c r="BI801" s="162"/>
      <c r="BJ801" s="162"/>
      <c r="BK801" s="230"/>
      <c r="BL801" s="230"/>
      <c r="BM801" s="162"/>
      <c r="BN801" s="162"/>
      <c r="BO801" s="162"/>
      <c r="BP801" s="162"/>
      <c r="BQ801" s="162"/>
      <c r="BR801" s="230"/>
      <c r="BS801" s="230"/>
      <c r="BT801" s="162"/>
      <c r="BU801" s="162"/>
      <c r="BV801" s="162"/>
      <c r="BW801" s="162"/>
      <c r="BX801" s="162"/>
      <c r="BY801" s="230"/>
      <c r="BZ801" s="230"/>
      <c r="CA801" s="162"/>
      <c r="CB801" s="162"/>
      <c r="CC801" s="162"/>
      <c r="CD801" s="162"/>
      <c r="CE801" s="162"/>
      <c r="CF801" s="230"/>
      <c r="CG801" s="230"/>
      <c r="CH801" s="162"/>
      <c r="CI801" s="162"/>
      <c r="CJ801" s="162"/>
      <c r="CK801" s="162"/>
      <c r="CL801" s="162"/>
      <c r="CM801" s="230"/>
      <c r="CN801" s="230"/>
      <c r="CO801" s="162"/>
      <c r="CP801" s="162"/>
      <c r="CQ801" s="162"/>
      <c r="CR801" s="162"/>
      <c r="CS801" s="162"/>
      <c r="CT801" s="230"/>
      <c r="CU801" s="230"/>
      <c r="CV801" s="162"/>
      <c r="CW801" s="162"/>
      <c r="CX801" s="162"/>
      <c r="CY801" s="162"/>
      <c r="CZ801" s="162"/>
      <c r="DA801" s="230"/>
      <c r="DB801" s="230"/>
      <c r="DC801" s="162"/>
      <c r="DD801" s="162"/>
      <c r="DE801" s="162"/>
      <c r="DF801" s="162"/>
      <c r="DG801" s="162"/>
      <c r="DH801" s="230"/>
      <c r="DI801" s="230"/>
      <c r="DJ801" s="162"/>
      <c r="DK801" s="162"/>
      <c r="DL801" s="147"/>
      <c r="DM801" s="147"/>
      <c r="DN801" s="147"/>
      <c r="DO801" s="147"/>
      <c r="DP801" s="147"/>
      <c r="DQ801" s="147"/>
      <c r="DR801" s="147"/>
      <c r="DS801" s="147"/>
      <c r="DT801" s="147"/>
      <c r="DU801" s="147"/>
      <c r="DV801" s="147"/>
      <c r="DW801" s="147"/>
      <c r="DX801" s="147"/>
      <c r="DY801" s="147"/>
      <c r="DZ801" s="147"/>
      <c r="EA801" s="147"/>
      <c r="EB801" s="147"/>
      <c r="EC801" s="147"/>
      <c r="ED801" s="147"/>
      <c r="EE801" s="147"/>
      <c r="EF801" s="147"/>
      <c r="EG801" s="147"/>
      <c r="EH801" s="147"/>
    </row>
    <row r="802" spans="1:138" x14ac:dyDescent="0.25">
      <c r="A802" s="147"/>
      <c r="B802" s="147"/>
      <c r="C802" s="160"/>
      <c r="D802" s="160"/>
      <c r="E802" s="169"/>
      <c r="F802" s="229"/>
      <c r="G802" s="165"/>
      <c r="H802" s="165"/>
      <c r="I802" s="163"/>
      <c r="J802" s="163"/>
      <c r="K802" s="162"/>
      <c r="L802" s="162"/>
      <c r="M802" s="162"/>
      <c r="N802" s="230"/>
      <c r="O802" s="230"/>
      <c r="P802" s="162"/>
      <c r="Q802" s="162"/>
      <c r="R802" s="162"/>
      <c r="S802" s="162"/>
      <c r="T802" s="162"/>
      <c r="U802" s="230"/>
      <c r="V802" s="230"/>
      <c r="W802" s="162"/>
      <c r="X802" s="162"/>
      <c r="Y802" s="162"/>
      <c r="Z802" s="162"/>
      <c r="AA802" s="162"/>
      <c r="AB802" s="230"/>
      <c r="AC802" s="230"/>
      <c r="AD802" s="162"/>
      <c r="AE802" s="162"/>
      <c r="AF802" s="162"/>
      <c r="AG802" s="162"/>
      <c r="AH802" s="162"/>
      <c r="AI802" s="230"/>
      <c r="AJ802" s="230"/>
      <c r="AK802" s="162"/>
      <c r="AL802" s="162"/>
      <c r="AM802" s="162"/>
      <c r="AN802" s="162"/>
      <c r="AO802" s="162"/>
      <c r="AP802" s="230"/>
      <c r="AQ802" s="230"/>
      <c r="AR802" s="162"/>
      <c r="AS802" s="162"/>
      <c r="AT802" s="162"/>
      <c r="AU802" s="162"/>
      <c r="AV802" s="162"/>
      <c r="AW802" s="230"/>
      <c r="AX802" s="230"/>
      <c r="AY802" s="162"/>
      <c r="AZ802" s="162"/>
      <c r="BA802" s="162"/>
      <c r="BB802" s="162"/>
      <c r="BC802" s="162"/>
      <c r="BD802" s="230"/>
      <c r="BE802" s="230"/>
      <c r="BF802" s="162"/>
      <c r="BG802" s="162"/>
      <c r="BH802" s="162"/>
      <c r="BI802" s="162"/>
      <c r="BJ802" s="162"/>
      <c r="BK802" s="230"/>
      <c r="BL802" s="230"/>
      <c r="BM802" s="162"/>
      <c r="BN802" s="162"/>
      <c r="BO802" s="162"/>
      <c r="BP802" s="162"/>
      <c r="BQ802" s="162"/>
      <c r="BR802" s="230"/>
      <c r="BS802" s="230"/>
      <c r="BT802" s="162"/>
      <c r="BU802" s="162"/>
      <c r="BV802" s="162"/>
      <c r="BW802" s="162"/>
      <c r="BX802" s="162"/>
      <c r="BY802" s="230"/>
      <c r="BZ802" s="230"/>
      <c r="CA802" s="162"/>
      <c r="CB802" s="162"/>
      <c r="CC802" s="162"/>
      <c r="CD802" s="162"/>
      <c r="CE802" s="162"/>
      <c r="CF802" s="230"/>
      <c r="CG802" s="230"/>
      <c r="CH802" s="162"/>
      <c r="CI802" s="162"/>
      <c r="CJ802" s="162"/>
      <c r="CK802" s="162"/>
      <c r="CL802" s="162"/>
      <c r="CM802" s="230"/>
      <c r="CN802" s="230"/>
      <c r="CO802" s="162"/>
      <c r="CP802" s="162"/>
      <c r="CQ802" s="162"/>
      <c r="CR802" s="162"/>
      <c r="CS802" s="162"/>
      <c r="CT802" s="230"/>
      <c r="CU802" s="230"/>
      <c r="CV802" s="162"/>
      <c r="CW802" s="162"/>
      <c r="CX802" s="162"/>
      <c r="CY802" s="162"/>
      <c r="CZ802" s="162"/>
      <c r="DA802" s="230"/>
      <c r="DB802" s="230"/>
      <c r="DC802" s="162"/>
      <c r="DD802" s="162"/>
      <c r="DE802" s="162"/>
      <c r="DF802" s="162"/>
      <c r="DG802" s="162"/>
      <c r="DH802" s="230"/>
      <c r="DI802" s="230"/>
      <c r="DJ802" s="162"/>
      <c r="DK802" s="162"/>
      <c r="DL802" s="147"/>
      <c r="DM802" s="147"/>
      <c r="DN802" s="147"/>
      <c r="DO802" s="147"/>
      <c r="DP802" s="147"/>
      <c r="DQ802" s="147"/>
      <c r="DR802" s="147"/>
      <c r="DS802" s="147"/>
      <c r="DT802" s="147"/>
      <c r="DU802" s="147"/>
      <c r="DV802" s="147"/>
      <c r="DW802" s="147"/>
      <c r="DX802" s="147"/>
      <c r="DY802" s="147"/>
      <c r="DZ802" s="147"/>
      <c r="EA802" s="147"/>
      <c r="EB802" s="147"/>
      <c r="EC802" s="147"/>
      <c r="ED802" s="147"/>
      <c r="EE802" s="147"/>
      <c r="EF802" s="147"/>
      <c r="EG802" s="147"/>
      <c r="EH802" s="147"/>
    </row>
    <row r="803" spans="1:138" x14ac:dyDescent="0.25">
      <c r="A803" s="147"/>
      <c r="B803" s="147"/>
      <c r="C803" s="160"/>
      <c r="D803" s="160"/>
      <c r="E803" s="169"/>
      <c r="F803" s="229"/>
      <c r="G803" s="165"/>
      <c r="H803" s="165"/>
      <c r="I803" s="163"/>
      <c r="J803" s="163"/>
      <c r="K803" s="162"/>
      <c r="L803" s="162"/>
      <c r="M803" s="162"/>
      <c r="N803" s="230"/>
      <c r="O803" s="230"/>
      <c r="P803" s="162"/>
      <c r="Q803" s="162"/>
      <c r="R803" s="162"/>
      <c r="S803" s="162"/>
      <c r="T803" s="162"/>
      <c r="U803" s="230"/>
      <c r="V803" s="230"/>
      <c r="W803" s="162"/>
      <c r="X803" s="162"/>
      <c r="Y803" s="162"/>
      <c r="Z803" s="162"/>
      <c r="AA803" s="162"/>
      <c r="AB803" s="230"/>
      <c r="AC803" s="230"/>
      <c r="AD803" s="162"/>
      <c r="AE803" s="162"/>
      <c r="AF803" s="162"/>
      <c r="AG803" s="162"/>
      <c r="AH803" s="162"/>
      <c r="AI803" s="230"/>
      <c r="AJ803" s="230"/>
      <c r="AK803" s="162"/>
      <c r="AL803" s="162"/>
      <c r="AM803" s="162"/>
      <c r="AN803" s="162"/>
      <c r="AO803" s="162"/>
      <c r="AP803" s="230"/>
      <c r="AQ803" s="230"/>
      <c r="AR803" s="162"/>
      <c r="AS803" s="162"/>
      <c r="AT803" s="162"/>
      <c r="AU803" s="162"/>
      <c r="AV803" s="162"/>
      <c r="AW803" s="230"/>
      <c r="AX803" s="230"/>
      <c r="AY803" s="162"/>
      <c r="AZ803" s="162"/>
      <c r="BA803" s="162"/>
      <c r="BB803" s="162"/>
      <c r="BC803" s="162"/>
      <c r="BD803" s="230"/>
      <c r="BE803" s="230"/>
      <c r="BF803" s="162"/>
      <c r="BG803" s="162"/>
      <c r="BH803" s="162"/>
      <c r="BI803" s="162"/>
      <c r="BJ803" s="162"/>
      <c r="BK803" s="230"/>
      <c r="BL803" s="230"/>
      <c r="BM803" s="162"/>
      <c r="BN803" s="162"/>
      <c r="BO803" s="162"/>
      <c r="BP803" s="162"/>
      <c r="BQ803" s="162"/>
      <c r="BR803" s="230"/>
      <c r="BS803" s="230"/>
      <c r="BT803" s="162"/>
      <c r="BU803" s="162"/>
      <c r="BV803" s="162"/>
      <c r="BW803" s="162"/>
      <c r="BX803" s="162"/>
      <c r="BY803" s="230"/>
      <c r="BZ803" s="230"/>
      <c r="CA803" s="162"/>
      <c r="CB803" s="162"/>
      <c r="CC803" s="162"/>
      <c r="CD803" s="162"/>
      <c r="CE803" s="162"/>
      <c r="CF803" s="230"/>
      <c r="CG803" s="230"/>
      <c r="CH803" s="162"/>
      <c r="CI803" s="162"/>
      <c r="CJ803" s="162"/>
      <c r="CK803" s="162"/>
      <c r="CL803" s="162"/>
      <c r="CM803" s="230"/>
      <c r="CN803" s="230"/>
      <c r="CO803" s="162"/>
      <c r="CP803" s="162"/>
      <c r="CQ803" s="162"/>
      <c r="CR803" s="162"/>
      <c r="CS803" s="162"/>
      <c r="CT803" s="230"/>
      <c r="CU803" s="230"/>
      <c r="CV803" s="162"/>
      <c r="CW803" s="162"/>
      <c r="CX803" s="162"/>
      <c r="CY803" s="162"/>
      <c r="CZ803" s="162"/>
      <c r="DA803" s="230"/>
      <c r="DB803" s="230"/>
      <c r="DC803" s="162"/>
      <c r="DD803" s="162"/>
      <c r="DE803" s="162"/>
      <c r="DF803" s="162"/>
      <c r="DG803" s="162"/>
      <c r="DH803" s="230"/>
      <c r="DI803" s="230"/>
      <c r="DJ803" s="162"/>
      <c r="DK803" s="162"/>
      <c r="DL803" s="147"/>
      <c r="DM803" s="147"/>
      <c r="DN803" s="147"/>
      <c r="DO803" s="147"/>
      <c r="DP803" s="147"/>
      <c r="DQ803" s="147"/>
      <c r="DR803" s="147"/>
      <c r="DS803" s="147"/>
      <c r="DT803" s="147"/>
      <c r="DU803" s="147"/>
      <c r="DV803" s="147"/>
      <c r="DW803" s="147"/>
      <c r="DX803" s="147"/>
      <c r="DY803" s="147"/>
      <c r="DZ803" s="147"/>
      <c r="EA803" s="147"/>
      <c r="EB803" s="147"/>
      <c r="EC803" s="147"/>
      <c r="ED803" s="147"/>
      <c r="EE803" s="147"/>
      <c r="EF803" s="147"/>
      <c r="EG803" s="147"/>
      <c r="EH803" s="147"/>
    </row>
    <row r="804" spans="1:138" x14ac:dyDescent="0.25">
      <c r="A804" s="147"/>
      <c r="B804" s="147"/>
      <c r="C804" s="160"/>
      <c r="D804" s="160"/>
      <c r="E804" s="169"/>
      <c r="F804" s="229"/>
      <c r="G804" s="165"/>
      <c r="H804" s="165"/>
      <c r="I804" s="163"/>
      <c r="J804" s="163"/>
      <c r="K804" s="162"/>
      <c r="L804" s="162"/>
      <c r="M804" s="162"/>
      <c r="N804" s="230"/>
      <c r="O804" s="230"/>
      <c r="P804" s="162"/>
      <c r="Q804" s="162"/>
      <c r="R804" s="162"/>
      <c r="S804" s="162"/>
      <c r="T804" s="162"/>
      <c r="U804" s="230"/>
      <c r="V804" s="230"/>
      <c r="W804" s="162"/>
      <c r="X804" s="162"/>
      <c r="Y804" s="162"/>
      <c r="Z804" s="162"/>
      <c r="AA804" s="162"/>
      <c r="AB804" s="230"/>
      <c r="AC804" s="230"/>
      <c r="AD804" s="162"/>
      <c r="AE804" s="162"/>
      <c r="AF804" s="162"/>
      <c r="AG804" s="162"/>
      <c r="AH804" s="162"/>
      <c r="AI804" s="230"/>
      <c r="AJ804" s="230"/>
      <c r="AK804" s="162"/>
      <c r="AL804" s="162"/>
      <c r="AM804" s="162"/>
      <c r="AN804" s="162"/>
      <c r="AO804" s="162"/>
      <c r="AP804" s="230"/>
      <c r="AQ804" s="230"/>
      <c r="AR804" s="162"/>
      <c r="AS804" s="162"/>
      <c r="AT804" s="162"/>
      <c r="AU804" s="162"/>
      <c r="AV804" s="162"/>
      <c r="AW804" s="230"/>
      <c r="AX804" s="230"/>
      <c r="AY804" s="162"/>
      <c r="AZ804" s="162"/>
      <c r="BA804" s="162"/>
      <c r="BB804" s="162"/>
      <c r="BC804" s="162"/>
      <c r="BD804" s="230"/>
      <c r="BE804" s="230"/>
      <c r="BF804" s="162"/>
      <c r="BG804" s="162"/>
      <c r="BH804" s="162"/>
      <c r="BI804" s="162"/>
      <c r="BJ804" s="162"/>
      <c r="BK804" s="230"/>
      <c r="BL804" s="230"/>
      <c r="BM804" s="162"/>
      <c r="BN804" s="162"/>
      <c r="BO804" s="162"/>
      <c r="BP804" s="162"/>
      <c r="BQ804" s="162"/>
      <c r="BR804" s="230"/>
      <c r="BS804" s="230"/>
      <c r="BT804" s="162"/>
      <c r="BU804" s="162"/>
      <c r="BV804" s="162"/>
      <c r="BW804" s="162"/>
      <c r="BX804" s="162"/>
      <c r="BY804" s="230"/>
      <c r="BZ804" s="230"/>
      <c r="CA804" s="162"/>
      <c r="CB804" s="162"/>
      <c r="CC804" s="162"/>
      <c r="CD804" s="162"/>
      <c r="CE804" s="162"/>
      <c r="CF804" s="230"/>
      <c r="CG804" s="230"/>
      <c r="CH804" s="162"/>
      <c r="CI804" s="162"/>
      <c r="CJ804" s="162"/>
      <c r="CK804" s="162"/>
      <c r="CL804" s="162"/>
      <c r="CM804" s="230"/>
      <c r="CN804" s="230"/>
      <c r="CO804" s="162"/>
      <c r="CP804" s="162"/>
      <c r="CQ804" s="162"/>
      <c r="CR804" s="162"/>
      <c r="CS804" s="162"/>
      <c r="CT804" s="230"/>
      <c r="CU804" s="230"/>
      <c r="CV804" s="162"/>
      <c r="CW804" s="162"/>
      <c r="CX804" s="162"/>
      <c r="CY804" s="162"/>
      <c r="CZ804" s="162"/>
      <c r="DA804" s="230"/>
      <c r="DB804" s="230"/>
      <c r="DC804" s="162"/>
      <c r="DD804" s="162"/>
      <c r="DE804" s="162"/>
      <c r="DF804" s="162"/>
      <c r="DG804" s="162"/>
      <c r="DH804" s="230"/>
      <c r="DI804" s="230"/>
      <c r="DJ804" s="162"/>
      <c r="DK804" s="162"/>
      <c r="DL804" s="147"/>
      <c r="DM804" s="147"/>
      <c r="DN804" s="147"/>
      <c r="DO804" s="147"/>
      <c r="DP804" s="147"/>
      <c r="DQ804" s="147"/>
      <c r="DR804" s="147"/>
      <c r="DS804" s="147"/>
      <c r="DT804" s="147"/>
      <c r="DU804" s="147"/>
      <c r="DV804" s="147"/>
      <c r="DW804" s="147"/>
      <c r="DX804" s="147"/>
      <c r="DY804" s="147"/>
      <c r="DZ804" s="147"/>
      <c r="EA804" s="147"/>
      <c r="EB804" s="147"/>
      <c r="EC804" s="147"/>
      <c r="ED804" s="147"/>
      <c r="EE804" s="147"/>
      <c r="EF804" s="147"/>
      <c r="EG804" s="147"/>
      <c r="EH804" s="147"/>
    </row>
    <row r="805" spans="1:138" x14ac:dyDescent="0.25">
      <c r="A805" s="147"/>
      <c r="B805" s="147"/>
      <c r="C805" s="160"/>
      <c r="D805" s="160"/>
      <c r="E805" s="169"/>
      <c r="F805" s="229"/>
      <c r="G805" s="165"/>
      <c r="H805" s="165"/>
      <c r="I805" s="163"/>
      <c r="J805" s="163"/>
      <c r="K805" s="162"/>
      <c r="L805" s="162"/>
      <c r="M805" s="162"/>
      <c r="N805" s="230"/>
      <c r="O805" s="230"/>
      <c r="P805" s="162"/>
      <c r="Q805" s="162"/>
      <c r="R805" s="162"/>
      <c r="S805" s="162"/>
      <c r="T805" s="162"/>
      <c r="U805" s="230"/>
      <c r="V805" s="230"/>
      <c r="W805" s="162"/>
      <c r="X805" s="162"/>
      <c r="Y805" s="162"/>
      <c r="Z805" s="162"/>
      <c r="AA805" s="162"/>
      <c r="AB805" s="230"/>
      <c r="AC805" s="230"/>
      <c r="AD805" s="162"/>
      <c r="AE805" s="162"/>
      <c r="AF805" s="162"/>
      <c r="AG805" s="162"/>
      <c r="AH805" s="162"/>
      <c r="AI805" s="230"/>
      <c r="AJ805" s="230"/>
      <c r="AK805" s="162"/>
      <c r="AL805" s="162"/>
      <c r="AM805" s="162"/>
      <c r="AN805" s="162"/>
      <c r="AO805" s="162"/>
      <c r="AP805" s="230"/>
      <c r="AQ805" s="230"/>
      <c r="AR805" s="162"/>
      <c r="AS805" s="162"/>
      <c r="AT805" s="162"/>
      <c r="AU805" s="162"/>
      <c r="AV805" s="162"/>
      <c r="AW805" s="230"/>
      <c r="AX805" s="230"/>
      <c r="AY805" s="162"/>
      <c r="AZ805" s="162"/>
      <c r="BA805" s="162"/>
      <c r="BB805" s="162"/>
      <c r="BC805" s="162"/>
      <c r="BD805" s="230"/>
      <c r="BE805" s="230"/>
      <c r="BF805" s="162"/>
      <c r="BG805" s="162"/>
      <c r="BH805" s="162"/>
      <c r="BI805" s="162"/>
      <c r="BJ805" s="162"/>
      <c r="BK805" s="230"/>
      <c r="BL805" s="230"/>
      <c r="BM805" s="162"/>
      <c r="BN805" s="162"/>
      <c r="BO805" s="162"/>
      <c r="BP805" s="162"/>
      <c r="BQ805" s="162"/>
      <c r="BR805" s="230"/>
      <c r="BS805" s="230"/>
      <c r="BT805" s="162"/>
      <c r="BU805" s="162"/>
      <c r="BV805" s="162"/>
      <c r="BW805" s="162"/>
      <c r="BX805" s="162"/>
      <c r="BY805" s="230"/>
      <c r="BZ805" s="230"/>
      <c r="CA805" s="162"/>
      <c r="CB805" s="162"/>
      <c r="CC805" s="162"/>
      <c r="CD805" s="162"/>
      <c r="CE805" s="162"/>
      <c r="CF805" s="230"/>
      <c r="CG805" s="230"/>
      <c r="CH805" s="162"/>
      <c r="CI805" s="162"/>
      <c r="CJ805" s="162"/>
      <c r="CK805" s="162"/>
      <c r="CL805" s="162"/>
      <c r="CM805" s="230"/>
      <c r="CN805" s="230"/>
      <c r="CO805" s="162"/>
      <c r="CP805" s="162"/>
      <c r="CQ805" s="162"/>
      <c r="CR805" s="162"/>
      <c r="CS805" s="162"/>
      <c r="CT805" s="230"/>
      <c r="CU805" s="230"/>
      <c r="CV805" s="162"/>
      <c r="CW805" s="162"/>
      <c r="CX805" s="162"/>
      <c r="CY805" s="162"/>
      <c r="CZ805" s="162"/>
      <c r="DA805" s="230"/>
      <c r="DB805" s="230"/>
      <c r="DC805" s="162"/>
      <c r="DD805" s="162"/>
      <c r="DE805" s="162"/>
      <c r="DF805" s="162"/>
      <c r="DG805" s="162"/>
      <c r="DH805" s="230"/>
      <c r="DI805" s="230"/>
      <c r="DJ805" s="162"/>
      <c r="DK805" s="162"/>
      <c r="DL805" s="147"/>
      <c r="DM805" s="147"/>
      <c r="DN805" s="147"/>
      <c r="DO805" s="147"/>
      <c r="DP805" s="147"/>
      <c r="DQ805" s="147"/>
      <c r="DR805" s="147"/>
      <c r="DS805" s="147"/>
      <c r="DT805" s="147"/>
      <c r="DU805" s="147"/>
      <c r="DV805" s="147"/>
      <c r="DW805" s="147"/>
      <c r="DX805" s="147"/>
      <c r="DY805" s="147"/>
      <c r="DZ805" s="147"/>
      <c r="EA805" s="147"/>
      <c r="EB805" s="147"/>
      <c r="EC805" s="147"/>
      <c r="ED805" s="147"/>
      <c r="EE805" s="147"/>
      <c r="EF805" s="147"/>
      <c r="EG805" s="147"/>
      <c r="EH805" s="147"/>
    </row>
    <row r="806" spans="1:138" x14ac:dyDescent="0.25">
      <c r="A806" s="147"/>
      <c r="B806" s="147"/>
      <c r="C806" s="160"/>
      <c r="D806" s="160"/>
      <c r="E806" s="169"/>
      <c r="F806" s="229"/>
      <c r="G806" s="165"/>
      <c r="H806" s="165"/>
      <c r="I806" s="163"/>
      <c r="J806" s="163"/>
      <c r="K806" s="162"/>
      <c r="L806" s="162"/>
      <c r="M806" s="162"/>
      <c r="N806" s="230"/>
      <c r="O806" s="230"/>
      <c r="P806" s="162"/>
      <c r="Q806" s="162"/>
      <c r="R806" s="162"/>
      <c r="S806" s="162"/>
      <c r="T806" s="162"/>
      <c r="U806" s="230"/>
      <c r="V806" s="230"/>
      <c r="W806" s="162"/>
      <c r="X806" s="162"/>
      <c r="Y806" s="162"/>
      <c r="Z806" s="162"/>
      <c r="AA806" s="162"/>
      <c r="AB806" s="230"/>
      <c r="AC806" s="230"/>
      <c r="AD806" s="162"/>
      <c r="AE806" s="162"/>
      <c r="AF806" s="162"/>
      <c r="AG806" s="162"/>
      <c r="AH806" s="162"/>
      <c r="AI806" s="230"/>
      <c r="AJ806" s="230"/>
      <c r="AK806" s="162"/>
      <c r="AL806" s="162"/>
      <c r="AM806" s="162"/>
      <c r="AN806" s="162"/>
      <c r="AO806" s="162"/>
      <c r="AP806" s="230"/>
      <c r="AQ806" s="230"/>
      <c r="AR806" s="162"/>
      <c r="AS806" s="162"/>
      <c r="AT806" s="162"/>
      <c r="AU806" s="162"/>
      <c r="AV806" s="162"/>
      <c r="AW806" s="230"/>
      <c r="AX806" s="230"/>
      <c r="AY806" s="162"/>
      <c r="AZ806" s="162"/>
      <c r="BA806" s="162"/>
      <c r="BB806" s="162"/>
      <c r="BC806" s="162"/>
      <c r="BD806" s="230"/>
      <c r="BE806" s="230"/>
      <c r="BF806" s="162"/>
      <c r="BG806" s="162"/>
      <c r="BH806" s="162"/>
      <c r="BI806" s="162"/>
      <c r="BJ806" s="162"/>
      <c r="BK806" s="230"/>
      <c r="BL806" s="230"/>
      <c r="BM806" s="162"/>
      <c r="BN806" s="162"/>
      <c r="BO806" s="162"/>
      <c r="BP806" s="162"/>
      <c r="BQ806" s="162"/>
      <c r="BR806" s="230"/>
      <c r="BS806" s="230"/>
      <c r="BT806" s="162"/>
      <c r="BU806" s="162"/>
      <c r="BV806" s="162"/>
      <c r="BW806" s="162"/>
      <c r="BX806" s="162"/>
      <c r="BY806" s="230"/>
      <c r="BZ806" s="230"/>
      <c r="CA806" s="162"/>
      <c r="CB806" s="162"/>
      <c r="CC806" s="162"/>
      <c r="CD806" s="162"/>
      <c r="CE806" s="162"/>
      <c r="CF806" s="230"/>
      <c r="CG806" s="230"/>
      <c r="CH806" s="162"/>
      <c r="CI806" s="162"/>
      <c r="CJ806" s="162"/>
      <c r="CK806" s="162"/>
      <c r="CL806" s="162"/>
      <c r="CM806" s="230"/>
      <c r="CN806" s="230"/>
      <c r="CO806" s="162"/>
      <c r="CP806" s="162"/>
      <c r="CQ806" s="162"/>
      <c r="CR806" s="162"/>
      <c r="CS806" s="162"/>
      <c r="CT806" s="230"/>
      <c r="CU806" s="230"/>
      <c r="CV806" s="162"/>
      <c r="CW806" s="162"/>
      <c r="CX806" s="162"/>
      <c r="CY806" s="162"/>
      <c r="CZ806" s="162"/>
      <c r="DA806" s="230"/>
      <c r="DB806" s="230"/>
      <c r="DC806" s="162"/>
      <c r="DD806" s="162"/>
      <c r="DE806" s="162"/>
      <c r="DF806" s="162"/>
      <c r="DG806" s="162"/>
      <c r="DH806" s="230"/>
      <c r="DI806" s="230"/>
      <c r="DJ806" s="162"/>
      <c r="DK806" s="162"/>
      <c r="DL806" s="147"/>
      <c r="DM806" s="147"/>
      <c r="DN806" s="147"/>
      <c r="DO806" s="147"/>
      <c r="DP806" s="147"/>
      <c r="DQ806" s="147"/>
      <c r="DR806" s="147"/>
      <c r="DS806" s="147"/>
      <c r="DT806" s="147"/>
      <c r="DU806" s="147"/>
      <c r="DV806" s="147"/>
      <c r="DW806" s="147"/>
      <c r="DX806" s="147"/>
      <c r="DY806" s="147"/>
      <c r="DZ806" s="147"/>
      <c r="EA806" s="147"/>
      <c r="EB806" s="147"/>
      <c r="EC806" s="147"/>
      <c r="ED806" s="147"/>
      <c r="EE806" s="147"/>
      <c r="EF806" s="147"/>
      <c r="EG806" s="147"/>
      <c r="EH806" s="147"/>
    </row>
    <row r="807" spans="1:138" x14ac:dyDescent="0.25">
      <c r="A807" s="147"/>
      <c r="B807" s="147"/>
      <c r="C807" s="160"/>
      <c r="D807" s="160"/>
      <c r="E807" s="169"/>
      <c r="F807" s="229"/>
      <c r="G807" s="165"/>
      <c r="H807" s="165"/>
      <c r="I807" s="163"/>
      <c r="J807" s="163"/>
      <c r="K807" s="162"/>
      <c r="L807" s="162"/>
      <c r="M807" s="162"/>
      <c r="N807" s="230"/>
      <c r="O807" s="230"/>
      <c r="P807" s="162"/>
      <c r="Q807" s="162"/>
      <c r="R807" s="162"/>
      <c r="S807" s="162"/>
      <c r="T807" s="162"/>
      <c r="U807" s="230"/>
      <c r="V807" s="230"/>
      <c r="W807" s="162"/>
      <c r="X807" s="162"/>
      <c r="Y807" s="162"/>
      <c r="Z807" s="162"/>
      <c r="AA807" s="162"/>
      <c r="AB807" s="230"/>
      <c r="AC807" s="230"/>
      <c r="AD807" s="162"/>
      <c r="AE807" s="162"/>
      <c r="AF807" s="162"/>
      <c r="AG807" s="162"/>
      <c r="AH807" s="162"/>
      <c r="AI807" s="230"/>
      <c r="AJ807" s="230"/>
      <c r="AK807" s="162"/>
      <c r="AL807" s="162"/>
      <c r="AM807" s="162"/>
      <c r="AN807" s="162"/>
      <c r="AO807" s="162"/>
      <c r="AP807" s="230"/>
      <c r="AQ807" s="230"/>
      <c r="AR807" s="162"/>
      <c r="AS807" s="162"/>
      <c r="AT807" s="162"/>
      <c r="AU807" s="162"/>
      <c r="AV807" s="162"/>
      <c r="AW807" s="230"/>
      <c r="AX807" s="230"/>
      <c r="AY807" s="162"/>
      <c r="AZ807" s="162"/>
      <c r="BA807" s="162"/>
      <c r="BB807" s="162"/>
      <c r="BC807" s="162"/>
      <c r="BD807" s="230"/>
      <c r="BE807" s="230"/>
      <c r="BF807" s="162"/>
      <c r="BG807" s="162"/>
      <c r="BH807" s="162"/>
      <c r="BI807" s="162"/>
      <c r="BJ807" s="162"/>
      <c r="BK807" s="230"/>
      <c r="BL807" s="230"/>
      <c r="BM807" s="162"/>
      <c r="BN807" s="162"/>
      <c r="BO807" s="162"/>
      <c r="BP807" s="162"/>
      <c r="BQ807" s="162"/>
      <c r="BR807" s="230"/>
      <c r="BS807" s="230"/>
      <c r="BT807" s="162"/>
      <c r="BU807" s="162"/>
      <c r="BV807" s="162"/>
      <c r="BW807" s="162"/>
      <c r="BX807" s="162"/>
      <c r="BY807" s="230"/>
      <c r="BZ807" s="230"/>
      <c r="CA807" s="162"/>
      <c r="CB807" s="162"/>
      <c r="CC807" s="162"/>
      <c r="CD807" s="162"/>
      <c r="CE807" s="162"/>
      <c r="CF807" s="230"/>
      <c r="CG807" s="230"/>
      <c r="CH807" s="162"/>
      <c r="CI807" s="162"/>
      <c r="CJ807" s="162"/>
      <c r="CK807" s="162"/>
      <c r="CL807" s="162"/>
      <c r="CM807" s="230"/>
      <c r="CN807" s="230"/>
      <c r="CO807" s="162"/>
      <c r="CP807" s="162"/>
      <c r="CQ807" s="162"/>
      <c r="CR807" s="162"/>
      <c r="CS807" s="162"/>
      <c r="CT807" s="230"/>
      <c r="CU807" s="230"/>
      <c r="CV807" s="162"/>
      <c r="CW807" s="162"/>
      <c r="CX807" s="162"/>
      <c r="CY807" s="162"/>
      <c r="CZ807" s="162"/>
      <c r="DA807" s="230"/>
      <c r="DB807" s="230"/>
      <c r="DC807" s="162"/>
      <c r="DD807" s="162"/>
      <c r="DE807" s="162"/>
      <c r="DF807" s="162"/>
      <c r="DG807" s="162"/>
      <c r="DH807" s="230"/>
      <c r="DI807" s="230"/>
      <c r="DJ807" s="162"/>
      <c r="DK807" s="162"/>
      <c r="DL807" s="147"/>
      <c r="DM807" s="147"/>
      <c r="DN807" s="147"/>
      <c r="DO807" s="147"/>
      <c r="DP807" s="147"/>
      <c r="DQ807" s="147"/>
      <c r="DR807" s="147"/>
      <c r="DS807" s="147"/>
      <c r="DT807" s="147"/>
      <c r="DU807" s="147"/>
      <c r="DV807" s="147"/>
      <c r="DW807" s="147"/>
      <c r="DX807" s="147"/>
      <c r="DY807" s="147"/>
      <c r="DZ807" s="147"/>
      <c r="EA807" s="147"/>
      <c r="EB807" s="147"/>
      <c r="EC807" s="147"/>
      <c r="ED807" s="147"/>
      <c r="EE807" s="147"/>
      <c r="EF807" s="147"/>
      <c r="EG807" s="147"/>
      <c r="EH807" s="147"/>
    </row>
    <row r="808" spans="1:138" x14ac:dyDescent="0.25">
      <c r="A808" s="147"/>
      <c r="B808" s="147"/>
      <c r="C808" s="160"/>
      <c r="D808" s="160"/>
      <c r="E808" s="169"/>
      <c r="F808" s="229"/>
      <c r="G808" s="165"/>
      <c r="H808" s="165"/>
      <c r="I808" s="163"/>
      <c r="J808" s="163"/>
      <c r="K808" s="162"/>
      <c r="L808" s="162"/>
      <c r="M808" s="162"/>
      <c r="N808" s="230"/>
      <c r="O808" s="230"/>
      <c r="P808" s="162"/>
      <c r="Q808" s="162"/>
      <c r="R808" s="162"/>
      <c r="S808" s="162"/>
      <c r="T808" s="162"/>
      <c r="U808" s="230"/>
      <c r="V808" s="230"/>
      <c r="W808" s="162"/>
      <c r="X808" s="162"/>
      <c r="Y808" s="162"/>
      <c r="Z808" s="162"/>
      <c r="AA808" s="162"/>
      <c r="AB808" s="230"/>
      <c r="AC808" s="230"/>
      <c r="AD808" s="162"/>
      <c r="AE808" s="162"/>
      <c r="AF808" s="162"/>
      <c r="AG808" s="162"/>
      <c r="AH808" s="162"/>
      <c r="AI808" s="230"/>
      <c r="AJ808" s="230"/>
      <c r="AK808" s="162"/>
      <c r="AL808" s="162"/>
      <c r="AM808" s="162"/>
      <c r="AN808" s="162"/>
      <c r="AO808" s="162"/>
      <c r="AP808" s="230"/>
      <c r="AQ808" s="230"/>
      <c r="AR808" s="162"/>
      <c r="AS808" s="162"/>
      <c r="AT808" s="162"/>
      <c r="AU808" s="162"/>
      <c r="AV808" s="162"/>
      <c r="AW808" s="230"/>
      <c r="AX808" s="230"/>
      <c r="AY808" s="162"/>
      <c r="AZ808" s="162"/>
      <c r="BA808" s="162"/>
      <c r="BB808" s="162"/>
      <c r="BC808" s="162"/>
      <c r="BD808" s="230"/>
      <c r="BE808" s="230"/>
      <c r="BF808" s="162"/>
      <c r="BG808" s="162"/>
      <c r="BH808" s="162"/>
      <c r="BI808" s="162"/>
      <c r="BJ808" s="162"/>
      <c r="BK808" s="230"/>
      <c r="BL808" s="230"/>
      <c r="BM808" s="162"/>
      <c r="BN808" s="162"/>
      <c r="BO808" s="162"/>
      <c r="BP808" s="162"/>
      <c r="BQ808" s="162"/>
      <c r="BR808" s="230"/>
      <c r="BS808" s="230"/>
      <c r="BT808" s="162"/>
      <c r="BU808" s="162"/>
      <c r="BV808" s="162"/>
      <c r="BW808" s="162"/>
      <c r="BX808" s="162"/>
      <c r="BY808" s="230"/>
      <c r="BZ808" s="230"/>
      <c r="CA808" s="162"/>
      <c r="CB808" s="162"/>
      <c r="CC808" s="162"/>
      <c r="CD808" s="162"/>
      <c r="CE808" s="162"/>
      <c r="CF808" s="230"/>
      <c r="CG808" s="230"/>
      <c r="CH808" s="162"/>
      <c r="CI808" s="162"/>
      <c r="CJ808" s="162"/>
      <c r="CK808" s="162"/>
      <c r="CL808" s="162"/>
      <c r="CM808" s="230"/>
      <c r="CN808" s="230"/>
      <c r="CO808" s="162"/>
      <c r="CP808" s="162"/>
      <c r="CQ808" s="162"/>
      <c r="CR808" s="162"/>
      <c r="CS808" s="162"/>
      <c r="CT808" s="230"/>
      <c r="CU808" s="230"/>
      <c r="CV808" s="162"/>
      <c r="CW808" s="162"/>
      <c r="CX808" s="162"/>
      <c r="CY808" s="162"/>
      <c r="CZ808" s="162"/>
      <c r="DA808" s="230"/>
      <c r="DB808" s="230"/>
      <c r="DC808" s="162"/>
      <c r="DD808" s="162"/>
      <c r="DE808" s="162"/>
      <c r="DF808" s="162"/>
      <c r="DG808" s="162"/>
      <c r="DH808" s="230"/>
      <c r="DI808" s="230"/>
      <c r="DJ808" s="162"/>
      <c r="DK808" s="162"/>
      <c r="DL808" s="147"/>
      <c r="DM808" s="147"/>
      <c r="DN808" s="147"/>
      <c r="DO808" s="147"/>
      <c r="DP808" s="147"/>
      <c r="DQ808" s="147"/>
      <c r="DR808" s="147"/>
      <c r="DS808" s="147"/>
      <c r="DT808" s="147"/>
      <c r="DU808" s="147"/>
      <c r="DV808" s="147"/>
      <c r="DW808" s="147"/>
      <c r="DX808" s="147"/>
      <c r="DY808" s="147"/>
      <c r="DZ808" s="147"/>
      <c r="EA808" s="147"/>
      <c r="EB808" s="147"/>
      <c r="EC808" s="147"/>
      <c r="ED808" s="147"/>
      <c r="EE808" s="147"/>
      <c r="EF808" s="147"/>
      <c r="EG808" s="147"/>
      <c r="EH808" s="147"/>
    </row>
    <row r="809" spans="1:138" x14ac:dyDescent="0.25">
      <c r="A809" s="147"/>
      <c r="B809" s="147"/>
      <c r="C809" s="160"/>
      <c r="D809" s="160"/>
      <c r="E809" s="169"/>
      <c r="F809" s="229"/>
      <c r="G809" s="165"/>
      <c r="H809" s="165"/>
      <c r="I809" s="163"/>
      <c r="J809" s="163"/>
      <c r="K809" s="162"/>
      <c r="L809" s="162"/>
      <c r="M809" s="162"/>
      <c r="N809" s="230"/>
      <c r="O809" s="230"/>
      <c r="P809" s="162"/>
      <c r="Q809" s="162"/>
      <c r="R809" s="162"/>
      <c r="S809" s="162"/>
      <c r="T809" s="162"/>
      <c r="U809" s="230"/>
      <c r="V809" s="230"/>
      <c r="W809" s="162"/>
      <c r="X809" s="162"/>
      <c r="Y809" s="162"/>
      <c r="Z809" s="162"/>
      <c r="AA809" s="162"/>
      <c r="AB809" s="230"/>
      <c r="AC809" s="230"/>
      <c r="AD809" s="162"/>
      <c r="AE809" s="162"/>
      <c r="AF809" s="162"/>
      <c r="AG809" s="162"/>
      <c r="AH809" s="162"/>
      <c r="AI809" s="230"/>
      <c r="AJ809" s="230"/>
      <c r="AK809" s="162"/>
      <c r="AL809" s="162"/>
      <c r="AM809" s="162"/>
      <c r="AN809" s="162"/>
      <c r="AO809" s="162"/>
      <c r="AP809" s="230"/>
      <c r="AQ809" s="230"/>
      <c r="AR809" s="162"/>
      <c r="AS809" s="162"/>
      <c r="AT809" s="162"/>
      <c r="AU809" s="162"/>
      <c r="AV809" s="162"/>
      <c r="AW809" s="230"/>
      <c r="AX809" s="230"/>
      <c r="AY809" s="162"/>
      <c r="AZ809" s="162"/>
      <c r="BA809" s="162"/>
      <c r="BB809" s="162"/>
      <c r="BC809" s="162"/>
      <c r="BD809" s="230"/>
      <c r="BE809" s="230"/>
      <c r="BF809" s="162"/>
      <c r="BG809" s="162"/>
      <c r="BH809" s="162"/>
      <c r="BI809" s="162"/>
      <c r="BJ809" s="162"/>
      <c r="BK809" s="230"/>
      <c r="BL809" s="230"/>
      <c r="BM809" s="162"/>
      <c r="BN809" s="162"/>
      <c r="BO809" s="162"/>
      <c r="BP809" s="162"/>
      <c r="BQ809" s="162"/>
      <c r="BR809" s="230"/>
      <c r="BS809" s="230"/>
      <c r="BT809" s="162"/>
      <c r="BU809" s="162"/>
      <c r="BV809" s="162"/>
      <c r="BW809" s="162"/>
      <c r="BX809" s="162"/>
      <c r="BY809" s="230"/>
      <c r="BZ809" s="230"/>
      <c r="CA809" s="162"/>
      <c r="CB809" s="162"/>
      <c r="CC809" s="162"/>
      <c r="CD809" s="162"/>
      <c r="CE809" s="162"/>
      <c r="CF809" s="230"/>
      <c r="CG809" s="230"/>
      <c r="CH809" s="162"/>
      <c r="CI809" s="162"/>
      <c r="CJ809" s="162"/>
      <c r="CK809" s="162"/>
      <c r="CL809" s="162"/>
      <c r="CM809" s="230"/>
      <c r="CN809" s="230"/>
      <c r="CO809" s="162"/>
      <c r="CP809" s="162"/>
      <c r="CQ809" s="162"/>
      <c r="CR809" s="162"/>
      <c r="CS809" s="162"/>
      <c r="CT809" s="230"/>
      <c r="CU809" s="230"/>
      <c r="CV809" s="162"/>
      <c r="CW809" s="162"/>
      <c r="CX809" s="162"/>
      <c r="CY809" s="162"/>
      <c r="CZ809" s="162"/>
      <c r="DA809" s="230"/>
      <c r="DB809" s="230"/>
      <c r="DC809" s="162"/>
      <c r="DD809" s="162"/>
      <c r="DE809" s="162"/>
      <c r="DF809" s="162"/>
      <c r="DG809" s="162"/>
      <c r="DH809" s="230"/>
      <c r="DI809" s="230"/>
      <c r="DJ809" s="162"/>
      <c r="DK809" s="162"/>
      <c r="DL809" s="147"/>
      <c r="DM809" s="147"/>
      <c r="DN809" s="147"/>
      <c r="DO809" s="147"/>
      <c r="DP809" s="147"/>
      <c r="DQ809" s="147"/>
      <c r="DR809" s="147"/>
      <c r="DS809" s="147"/>
      <c r="DT809" s="147"/>
      <c r="DU809" s="147"/>
      <c r="DV809" s="147"/>
      <c r="DW809" s="147"/>
      <c r="DX809" s="147"/>
      <c r="DY809" s="147"/>
      <c r="DZ809" s="147"/>
      <c r="EA809" s="147"/>
      <c r="EB809" s="147"/>
      <c r="EC809" s="147"/>
      <c r="ED809" s="147"/>
      <c r="EE809" s="147"/>
      <c r="EF809" s="147"/>
      <c r="EG809" s="147"/>
      <c r="EH809" s="147"/>
    </row>
    <row r="810" spans="1:138" x14ac:dyDescent="0.25">
      <c r="A810" s="147"/>
      <c r="B810" s="147"/>
      <c r="C810" s="160"/>
      <c r="D810" s="160"/>
      <c r="E810" s="169"/>
      <c r="F810" s="229"/>
      <c r="G810" s="165"/>
      <c r="H810" s="165"/>
      <c r="I810" s="163"/>
      <c r="J810" s="163"/>
      <c r="K810" s="162"/>
      <c r="L810" s="162"/>
      <c r="M810" s="162"/>
      <c r="N810" s="230"/>
      <c r="O810" s="230"/>
      <c r="P810" s="162"/>
      <c r="Q810" s="162"/>
      <c r="R810" s="162"/>
      <c r="S810" s="162"/>
      <c r="T810" s="162"/>
      <c r="U810" s="230"/>
      <c r="V810" s="230"/>
      <c r="W810" s="162"/>
      <c r="X810" s="162"/>
      <c r="Y810" s="162"/>
      <c r="Z810" s="162"/>
      <c r="AA810" s="162"/>
      <c r="AB810" s="230"/>
      <c r="AC810" s="230"/>
      <c r="AD810" s="162"/>
      <c r="AE810" s="162"/>
      <c r="AF810" s="162"/>
      <c r="AG810" s="162"/>
      <c r="AH810" s="162"/>
      <c r="AI810" s="230"/>
      <c r="AJ810" s="230"/>
      <c r="AK810" s="162"/>
      <c r="AL810" s="162"/>
      <c r="AM810" s="162"/>
      <c r="AN810" s="162"/>
      <c r="AO810" s="162"/>
      <c r="AP810" s="230"/>
      <c r="AQ810" s="230"/>
      <c r="AR810" s="162"/>
      <c r="AS810" s="162"/>
      <c r="AT810" s="162"/>
      <c r="AU810" s="162"/>
      <c r="AV810" s="162"/>
      <c r="AW810" s="230"/>
      <c r="AX810" s="230"/>
      <c r="AY810" s="162"/>
      <c r="AZ810" s="162"/>
      <c r="BA810" s="162"/>
      <c r="BB810" s="162"/>
      <c r="BC810" s="162"/>
      <c r="BD810" s="230"/>
      <c r="BE810" s="230"/>
      <c r="BF810" s="162"/>
      <c r="BG810" s="162"/>
      <c r="BH810" s="162"/>
      <c r="BI810" s="162"/>
      <c r="BJ810" s="162"/>
      <c r="BK810" s="230"/>
      <c r="BL810" s="230"/>
      <c r="BM810" s="162"/>
      <c r="BN810" s="162"/>
      <c r="BO810" s="162"/>
      <c r="BP810" s="162"/>
      <c r="BQ810" s="162"/>
      <c r="BR810" s="230"/>
      <c r="BS810" s="230"/>
      <c r="BT810" s="162"/>
      <c r="BU810" s="162"/>
      <c r="BV810" s="162"/>
      <c r="BW810" s="162"/>
      <c r="BX810" s="162"/>
      <c r="BY810" s="230"/>
      <c r="BZ810" s="230"/>
      <c r="CA810" s="162"/>
      <c r="CB810" s="162"/>
      <c r="CC810" s="162"/>
      <c r="CD810" s="162"/>
      <c r="CE810" s="162"/>
      <c r="CF810" s="230"/>
      <c r="CG810" s="230"/>
      <c r="CH810" s="162"/>
      <c r="CI810" s="162"/>
      <c r="CJ810" s="162"/>
      <c r="CK810" s="162"/>
      <c r="CL810" s="162"/>
      <c r="CM810" s="230"/>
      <c r="CN810" s="230"/>
      <c r="CO810" s="162"/>
      <c r="CP810" s="162"/>
      <c r="CQ810" s="162"/>
      <c r="CR810" s="162"/>
      <c r="CS810" s="162"/>
      <c r="CT810" s="230"/>
      <c r="CU810" s="230"/>
      <c r="CV810" s="162"/>
      <c r="CW810" s="162"/>
      <c r="CX810" s="162"/>
      <c r="CY810" s="162"/>
      <c r="CZ810" s="162"/>
      <c r="DA810" s="230"/>
      <c r="DB810" s="230"/>
      <c r="DC810" s="162"/>
      <c r="DD810" s="162"/>
      <c r="DE810" s="162"/>
      <c r="DF810" s="162"/>
      <c r="DG810" s="162"/>
      <c r="DH810" s="230"/>
      <c r="DI810" s="230"/>
      <c r="DJ810" s="162"/>
      <c r="DK810" s="162"/>
      <c r="DL810" s="147"/>
      <c r="DM810" s="147"/>
      <c r="DN810" s="147"/>
      <c r="DO810" s="147"/>
      <c r="DP810" s="147"/>
      <c r="DQ810" s="147"/>
      <c r="DR810" s="147"/>
      <c r="DS810" s="147"/>
      <c r="DT810" s="147"/>
      <c r="DU810" s="147"/>
      <c r="DV810" s="147"/>
      <c r="DW810" s="147"/>
      <c r="DX810" s="147"/>
      <c r="DY810" s="147"/>
      <c r="DZ810" s="147"/>
      <c r="EA810" s="147"/>
      <c r="EB810" s="147"/>
      <c r="EC810" s="147"/>
      <c r="ED810" s="147"/>
      <c r="EE810" s="147"/>
      <c r="EF810" s="147"/>
      <c r="EG810" s="147"/>
      <c r="EH810" s="147"/>
    </row>
    <row r="811" spans="1:138" x14ac:dyDescent="0.25">
      <c r="A811" s="147"/>
      <c r="B811" s="147"/>
      <c r="C811" s="160"/>
      <c r="D811" s="160"/>
      <c r="E811" s="169"/>
      <c r="F811" s="229"/>
      <c r="G811" s="165"/>
      <c r="H811" s="165"/>
      <c r="I811" s="163"/>
      <c r="J811" s="163"/>
      <c r="K811" s="162"/>
      <c r="L811" s="162"/>
      <c r="M811" s="162"/>
      <c r="N811" s="230"/>
      <c r="O811" s="230"/>
      <c r="P811" s="162"/>
      <c r="Q811" s="162"/>
      <c r="R811" s="162"/>
      <c r="S811" s="162"/>
      <c r="T811" s="162"/>
      <c r="U811" s="230"/>
      <c r="V811" s="230"/>
      <c r="W811" s="162"/>
      <c r="X811" s="162"/>
      <c r="Y811" s="162"/>
      <c r="Z811" s="162"/>
      <c r="AA811" s="162"/>
      <c r="AB811" s="230"/>
      <c r="AC811" s="230"/>
      <c r="AD811" s="162"/>
      <c r="AE811" s="162"/>
      <c r="AF811" s="162"/>
      <c r="AG811" s="162"/>
      <c r="AH811" s="162"/>
      <c r="AI811" s="230"/>
      <c r="AJ811" s="230"/>
      <c r="AK811" s="162"/>
      <c r="AL811" s="162"/>
      <c r="AM811" s="162"/>
      <c r="AN811" s="162"/>
      <c r="AO811" s="162"/>
      <c r="AP811" s="230"/>
      <c r="AQ811" s="230"/>
      <c r="AR811" s="162"/>
      <c r="AS811" s="162"/>
      <c r="AT811" s="162"/>
      <c r="AU811" s="162"/>
      <c r="AV811" s="162"/>
      <c r="AW811" s="230"/>
      <c r="AX811" s="230"/>
      <c r="AY811" s="162"/>
      <c r="AZ811" s="162"/>
      <c r="BA811" s="162"/>
      <c r="BB811" s="162"/>
      <c r="BC811" s="162"/>
      <c r="BD811" s="230"/>
      <c r="BE811" s="230"/>
      <c r="BF811" s="162"/>
      <c r="BG811" s="162"/>
      <c r="BH811" s="162"/>
      <c r="BI811" s="162"/>
      <c r="BJ811" s="162"/>
      <c r="BK811" s="230"/>
      <c r="BL811" s="230"/>
      <c r="BM811" s="162"/>
      <c r="BN811" s="162"/>
      <c r="BO811" s="162"/>
      <c r="BP811" s="162"/>
      <c r="BQ811" s="162"/>
      <c r="BR811" s="230"/>
      <c r="BS811" s="230"/>
      <c r="BT811" s="162"/>
      <c r="BU811" s="162"/>
      <c r="BV811" s="162"/>
      <c r="BW811" s="162"/>
      <c r="BX811" s="162"/>
      <c r="BY811" s="230"/>
      <c r="BZ811" s="230"/>
      <c r="CA811" s="162"/>
      <c r="CB811" s="162"/>
      <c r="CC811" s="162"/>
      <c r="CD811" s="162"/>
      <c r="CE811" s="162"/>
      <c r="CF811" s="230"/>
      <c r="CG811" s="230"/>
      <c r="CH811" s="162"/>
      <c r="CI811" s="162"/>
      <c r="CJ811" s="162"/>
      <c r="CK811" s="162"/>
      <c r="CL811" s="162"/>
      <c r="CM811" s="230"/>
      <c r="CN811" s="230"/>
      <c r="CO811" s="162"/>
      <c r="CP811" s="162"/>
      <c r="CQ811" s="162"/>
      <c r="CR811" s="162"/>
      <c r="CS811" s="162"/>
      <c r="CT811" s="230"/>
      <c r="CU811" s="230"/>
      <c r="CV811" s="162"/>
      <c r="CW811" s="162"/>
      <c r="CX811" s="162"/>
      <c r="CY811" s="162"/>
      <c r="CZ811" s="162"/>
      <c r="DA811" s="230"/>
      <c r="DB811" s="230"/>
      <c r="DC811" s="162"/>
      <c r="DD811" s="162"/>
      <c r="DE811" s="162"/>
      <c r="DF811" s="162"/>
      <c r="DG811" s="162"/>
      <c r="DH811" s="230"/>
      <c r="DI811" s="230"/>
      <c r="DJ811" s="162"/>
      <c r="DK811" s="162"/>
      <c r="DL811" s="147"/>
      <c r="DM811" s="147"/>
      <c r="DN811" s="147"/>
      <c r="DO811" s="147"/>
      <c r="DP811" s="147"/>
      <c r="DQ811" s="147"/>
      <c r="DR811" s="147"/>
      <c r="DS811" s="147"/>
      <c r="DT811" s="147"/>
      <c r="DU811" s="147"/>
      <c r="DV811" s="147"/>
      <c r="DW811" s="147"/>
      <c r="DX811" s="147"/>
      <c r="DY811" s="147"/>
      <c r="DZ811" s="147"/>
      <c r="EA811" s="147"/>
      <c r="EB811" s="147"/>
      <c r="EC811" s="147"/>
      <c r="ED811" s="147"/>
      <c r="EE811" s="147"/>
      <c r="EF811" s="147"/>
      <c r="EG811" s="147"/>
      <c r="EH811" s="147"/>
    </row>
    <row r="812" spans="1:138" x14ac:dyDescent="0.25">
      <c r="A812" s="147"/>
      <c r="B812" s="147"/>
      <c r="C812" s="160"/>
      <c r="D812" s="160"/>
      <c r="E812" s="169"/>
      <c r="F812" s="229"/>
      <c r="G812" s="165"/>
      <c r="H812" s="165"/>
      <c r="I812" s="163"/>
      <c r="J812" s="163"/>
      <c r="K812" s="162"/>
      <c r="L812" s="162"/>
      <c r="M812" s="162"/>
      <c r="N812" s="230"/>
      <c r="O812" s="230"/>
      <c r="P812" s="162"/>
      <c r="Q812" s="162"/>
      <c r="R812" s="162"/>
      <c r="S812" s="162"/>
      <c r="T812" s="162"/>
      <c r="U812" s="230"/>
      <c r="V812" s="230"/>
      <c r="W812" s="162"/>
      <c r="X812" s="162"/>
      <c r="Y812" s="162"/>
      <c r="Z812" s="162"/>
      <c r="AA812" s="162"/>
      <c r="AB812" s="230"/>
      <c r="AC812" s="230"/>
      <c r="AD812" s="162"/>
      <c r="AE812" s="162"/>
      <c r="AF812" s="162"/>
      <c r="AG812" s="162"/>
      <c r="AH812" s="162"/>
      <c r="AI812" s="230"/>
      <c r="AJ812" s="230"/>
      <c r="AK812" s="162"/>
      <c r="AL812" s="162"/>
      <c r="AM812" s="162"/>
      <c r="AN812" s="162"/>
      <c r="AO812" s="162"/>
      <c r="AP812" s="230"/>
      <c r="AQ812" s="230"/>
      <c r="AR812" s="162"/>
      <c r="AS812" s="162"/>
      <c r="AT812" s="162"/>
      <c r="AU812" s="162"/>
      <c r="AV812" s="162"/>
      <c r="AW812" s="230"/>
      <c r="AX812" s="230"/>
      <c r="AY812" s="162"/>
      <c r="AZ812" s="162"/>
      <c r="BA812" s="162"/>
      <c r="BB812" s="162"/>
      <c r="BC812" s="162"/>
      <c r="BD812" s="230"/>
      <c r="BE812" s="230"/>
      <c r="BF812" s="162"/>
      <c r="BG812" s="162"/>
      <c r="BH812" s="162"/>
      <c r="BI812" s="162"/>
      <c r="BJ812" s="162"/>
      <c r="BK812" s="230"/>
      <c r="BL812" s="230"/>
      <c r="BM812" s="162"/>
      <c r="BN812" s="162"/>
      <c r="BO812" s="162"/>
      <c r="BP812" s="162"/>
      <c r="BQ812" s="162"/>
      <c r="BR812" s="230"/>
      <c r="BS812" s="230"/>
      <c r="BT812" s="162"/>
      <c r="BU812" s="162"/>
      <c r="BV812" s="162"/>
      <c r="BW812" s="162"/>
      <c r="BX812" s="162"/>
      <c r="BY812" s="230"/>
      <c r="BZ812" s="230"/>
      <c r="CA812" s="162"/>
      <c r="CB812" s="162"/>
      <c r="CC812" s="162"/>
      <c r="CD812" s="162"/>
      <c r="CE812" s="162"/>
      <c r="CF812" s="230"/>
      <c r="CG812" s="230"/>
      <c r="CH812" s="162"/>
      <c r="CI812" s="162"/>
      <c r="CJ812" s="162"/>
      <c r="CK812" s="162"/>
      <c r="CL812" s="162"/>
      <c r="CM812" s="230"/>
      <c r="CN812" s="230"/>
      <c r="CO812" s="162"/>
      <c r="CP812" s="162"/>
      <c r="CQ812" s="162"/>
      <c r="CR812" s="162"/>
      <c r="CS812" s="162"/>
      <c r="CT812" s="230"/>
      <c r="CU812" s="230"/>
      <c r="CV812" s="162"/>
      <c r="CW812" s="162"/>
      <c r="CX812" s="162"/>
      <c r="CY812" s="162"/>
      <c r="CZ812" s="162"/>
      <c r="DA812" s="230"/>
      <c r="DB812" s="230"/>
      <c r="DC812" s="162"/>
      <c r="DD812" s="162"/>
      <c r="DE812" s="162"/>
      <c r="DF812" s="162"/>
      <c r="DG812" s="162"/>
      <c r="DH812" s="230"/>
      <c r="DI812" s="230"/>
      <c r="DJ812" s="162"/>
      <c r="DK812" s="162"/>
      <c r="DL812" s="147"/>
      <c r="DM812" s="147"/>
      <c r="DN812" s="147"/>
      <c r="DO812" s="147"/>
      <c r="DP812" s="147"/>
      <c r="DQ812" s="147"/>
      <c r="DR812" s="147"/>
      <c r="DS812" s="147"/>
      <c r="DT812" s="147"/>
      <c r="DU812" s="147"/>
      <c r="DV812" s="147"/>
      <c r="DW812" s="147"/>
      <c r="DX812" s="147"/>
      <c r="DY812" s="147"/>
      <c r="DZ812" s="147"/>
      <c r="EA812" s="147"/>
      <c r="EB812" s="147"/>
      <c r="EC812" s="147"/>
      <c r="ED812" s="147"/>
      <c r="EE812" s="147"/>
      <c r="EF812" s="147"/>
      <c r="EG812" s="147"/>
      <c r="EH812" s="147"/>
    </row>
    <row r="813" spans="1:138" x14ac:dyDescent="0.25">
      <c r="A813" s="147"/>
      <c r="B813" s="147"/>
      <c r="C813" s="160"/>
      <c r="D813" s="160"/>
      <c r="E813" s="169"/>
      <c r="F813" s="229"/>
      <c r="G813" s="165"/>
      <c r="H813" s="165"/>
      <c r="I813" s="163"/>
      <c r="J813" s="163"/>
      <c r="K813" s="162"/>
      <c r="L813" s="162"/>
      <c r="M813" s="162"/>
      <c r="N813" s="230"/>
      <c r="O813" s="230"/>
      <c r="P813" s="162"/>
      <c r="Q813" s="162"/>
      <c r="R813" s="162"/>
      <c r="S813" s="162"/>
      <c r="T813" s="162"/>
      <c r="U813" s="230"/>
      <c r="V813" s="230"/>
      <c r="W813" s="162"/>
      <c r="X813" s="162"/>
      <c r="Y813" s="162"/>
      <c r="Z813" s="162"/>
      <c r="AA813" s="162"/>
      <c r="AB813" s="230"/>
      <c r="AC813" s="230"/>
      <c r="AD813" s="162"/>
      <c r="AE813" s="162"/>
      <c r="AF813" s="162"/>
      <c r="AG813" s="162"/>
      <c r="AH813" s="162"/>
      <c r="AI813" s="230"/>
      <c r="AJ813" s="230"/>
      <c r="AK813" s="162"/>
      <c r="AL813" s="162"/>
      <c r="AM813" s="162"/>
      <c r="AN813" s="162"/>
      <c r="AO813" s="162"/>
      <c r="AP813" s="230"/>
      <c r="AQ813" s="230"/>
      <c r="AR813" s="162"/>
      <c r="AS813" s="162"/>
      <c r="AT813" s="162"/>
      <c r="AU813" s="162"/>
      <c r="AV813" s="162"/>
      <c r="AW813" s="230"/>
      <c r="AX813" s="230"/>
      <c r="AY813" s="162"/>
      <c r="AZ813" s="162"/>
      <c r="BA813" s="162"/>
      <c r="BB813" s="162"/>
      <c r="BC813" s="162"/>
      <c r="BD813" s="230"/>
      <c r="BE813" s="230"/>
      <c r="BF813" s="162"/>
      <c r="BG813" s="162"/>
      <c r="BH813" s="162"/>
      <c r="BI813" s="162"/>
      <c r="BJ813" s="162"/>
      <c r="BK813" s="230"/>
      <c r="BL813" s="230"/>
      <c r="BM813" s="162"/>
      <c r="BN813" s="162"/>
      <c r="BO813" s="162"/>
      <c r="BP813" s="162"/>
      <c r="BQ813" s="162"/>
      <c r="BR813" s="230"/>
      <c r="BS813" s="230"/>
      <c r="BT813" s="162"/>
      <c r="BU813" s="162"/>
      <c r="BV813" s="162"/>
      <c r="BW813" s="162"/>
      <c r="BX813" s="162"/>
      <c r="BY813" s="230"/>
      <c r="BZ813" s="230"/>
      <c r="CA813" s="162"/>
      <c r="CB813" s="162"/>
      <c r="CC813" s="162"/>
      <c r="CD813" s="162"/>
      <c r="CE813" s="162"/>
      <c r="CF813" s="230"/>
      <c r="CG813" s="230"/>
      <c r="CH813" s="162"/>
      <c r="CI813" s="162"/>
      <c r="CJ813" s="162"/>
      <c r="CK813" s="162"/>
      <c r="CL813" s="162"/>
      <c r="CM813" s="230"/>
      <c r="CN813" s="230"/>
      <c r="CO813" s="162"/>
      <c r="CP813" s="162"/>
      <c r="CQ813" s="162"/>
      <c r="CR813" s="162"/>
      <c r="CS813" s="162"/>
      <c r="CT813" s="230"/>
      <c r="CU813" s="230"/>
      <c r="CV813" s="162"/>
      <c r="CW813" s="162"/>
      <c r="CX813" s="162"/>
      <c r="CY813" s="162"/>
      <c r="CZ813" s="162"/>
      <c r="DA813" s="230"/>
      <c r="DB813" s="230"/>
      <c r="DC813" s="162"/>
      <c r="DD813" s="162"/>
      <c r="DE813" s="162"/>
      <c r="DF813" s="162"/>
      <c r="DG813" s="162"/>
      <c r="DH813" s="230"/>
      <c r="DI813" s="230"/>
      <c r="DJ813" s="162"/>
      <c r="DK813" s="162"/>
      <c r="DL813" s="147"/>
      <c r="DM813" s="147"/>
      <c r="DN813" s="147"/>
      <c r="DO813" s="147"/>
      <c r="DP813" s="147"/>
      <c r="DQ813" s="147"/>
      <c r="DR813" s="147"/>
      <c r="DS813" s="147"/>
      <c r="DT813" s="147"/>
      <c r="DU813" s="147"/>
      <c r="DV813" s="147"/>
      <c r="DW813" s="147"/>
      <c r="DX813" s="147"/>
      <c r="DY813" s="147"/>
      <c r="DZ813" s="147"/>
      <c r="EA813" s="147"/>
      <c r="EB813" s="147"/>
      <c r="EC813" s="147"/>
      <c r="ED813" s="147"/>
      <c r="EE813" s="147"/>
      <c r="EF813" s="147"/>
      <c r="EG813" s="147"/>
      <c r="EH813" s="147"/>
    </row>
    <row r="814" spans="1:138" x14ac:dyDescent="0.25">
      <c r="A814" s="147"/>
      <c r="B814" s="147"/>
      <c r="C814" s="160"/>
      <c r="D814" s="160"/>
      <c r="E814" s="169"/>
      <c r="F814" s="229"/>
      <c r="G814" s="165"/>
      <c r="H814" s="165"/>
      <c r="I814" s="163"/>
      <c r="J814" s="163"/>
      <c r="K814" s="162"/>
      <c r="L814" s="162"/>
      <c r="M814" s="162"/>
      <c r="N814" s="230"/>
      <c r="O814" s="230"/>
      <c r="P814" s="162"/>
      <c r="Q814" s="162"/>
      <c r="R814" s="162"/>
      <c r="S814" s="162"/>
      <c r="T814" s="162"/>
      <c r="U814" s="230"/>
      <c r="V814" s="230"/>
      <c r="W814" s="162"/>
      <c r="X814" s="162"/>
      <c r="Y814" s="162"/>
      <c r="Z814" s="162"/>
      <c r="AA814" s="162"/>
      <c r="AB814" s="230"/>
      <c r="AC814" s="230"/>
      <c r="AD814" s="162"/>
      <c r="AE814" s="162"/>
      <c r="AF814" s="162"/>
      <c r="AG814" s="162"/>
      <c r="AH814" s="162"/>
      <c r="AI814" s="230"/>
      <c r="AJ814" s="230"/>
      <c r="AK814" s="162"/>
      <c r="AL814" s="162"/>
      <c r="AM814" s="162"/>
      <c r="AN814" s="162"/>
      <c r="AO814" s="162"/>
      <c r="AP814" s="230"/>
      <c r="AQ814" s="230"/>
      <c r="AR814" s="162"/>
      <c r="AS814" s="162"/>
      <c r="AT814" s="162"/>
      <c r="AU814" s="162"/>
      <c r="AV814" s="162"/>
      <c r="AW814" s="230"/>
      <c r="AX814" s="230"/>
      <c r="AY814" s="162"/>
      <c r="AZ814" s="162"/>
      <c r="BA814" s="162"/>
      <c r="BB814" s="162"/>
      <c r="BC814" s="162"/>
      <c r="BD814" s="230"/>
      <c r="BE814" s="230"/>
      <c r="BF814" s="162"/>
      <c r="BG814" s="162"/>
      <c r="BH814" s="162"/>
      <c r="BI814" s="162"/>
      <c r="BJ814" s="162"/>
      <c r="BK814" s="230"/>
      <c r="BL814" s="230"/>
      <c r="BM814" s="162"/>
      <c r="BN814" s="162"/>
      <c r="BO814" s="162"/>
      <c r="BP814" s="162"/>
      <c r="BQ814" s="162"/>
      <c r="BR814" s="230"/>
      <c r="BS814" s="230"/>
      <c r="BT814" s="162"/>
      <c r="BU814" s="162"/>
      <c r="BV814" s="162"/>
      <c r="BW814" s="162"/>
      <c r="BX814" s="162"/>
      <c r="BY814" s="230"/>
      <c r="BZ814" s="230"/>
      <c r="CA814" s="162"/>
      <c r="CB814" s="162"/>
      <c r="CC814" s="162"/>
      <c r="CD814" s="162"/>
      <c r="CE814" s="162"/>
      <c r="CF814" s="230"/>
      <c r="CG814" s="230"/>
      <c r="CH814" s="162"/>
      <c r="CI814" s="162"/>
      <c r="CJ814" s="162"/>
      <c r="CK814" s="162"/>
      <c r="CL814" s="162"/>
      <c r="CM814" s="230"/>
      <c r="CN814" s="230"/>
      <c r="CO814" s="162"/>
      <c r="CP814" s="162"/>
      <c r="CQ814" s="162"/>
      <c r="CR814" s="162"/>
      <c r="CS814" s="162"/>
      <c r="CT814" s="230"/>
      <c r="CU814" s="230"/>
      <c r="CV814" s="162"/>
      <c r="CW814" s="162"/>
      <c r="CX814" s="162"/>
      <c r="CY814" s="162"/>
      <c r="CZ814" s="162"/>
      <c r="DA814" s="230"/>
      <c r="DB814" s="230"/>
      <c r="DC814" s="162"/>
      <c r="DD814" s="162"/>
      <c r="DE814" s="162"/>
      <c r="DF814" s="162"/>
      <c r="DG814" s="162"/>
      <c r="DH814" s="230"/>
      <c r="DI814" s="230"/>
      <c r="DJ814" s="162"/>
      <c r="DK814" s="162"/>
      <c r="DL814" s="147"/>
      <c r="DM814" s="147"/>
      <c r="DN814" s="147"/>
      <c r="DO814" s="147"/>
      <c r="DP814" s="147"/>
      <c r="DQ814" s="147"/>
      <c r="DR814" s="147"/>
      <c r="DS814" s="147"/>
      <c r="DT814" s="147"/>
      <c r="DU814" s="147"/>
      <c r="DV814" s="147"/>
      <c r="DW814" s="147"/>
      <c r="DX814" s="147"/>
      <c r="DY814" s="147"/>
      <c r="DZ814" s="147"/>
      <c r="EA814" s="147"/>
      <c r="EB814" s="147"/>
      <c r="EC814" s="147"/>
      <c r="ED814" s="147"/>
      <c r="EE814" s="147"/>
      <c r="EF814" s="147"/>
      <c r="EG814" s="147"/>
      <c r="EH814" s="147"/>
    </row>
    <row r="815" spans="1:138" x14ac:dyDescent="0.25">
      <c r="A815" s="147"/>
      <c r="B815" s="147"/>
      <c r="C815" s="160"/>
      <c r="D815" s="160"/>
      <c r="E815" s="169"/>
      <c r="F815" s="229"/>
      <c r="G815" s="165"/>
      <c r="H815" s="165"/>
      <c r="I815" s="163"/>
      <c r="J815" s="163"/>
      <c r="K815" s="162"/>
      <c r="L815" s="162"/>
      <c r="M815" s="162"/>
      <c r="N815" s="230"/>
      <c r="O815" s="230"/>
      <c r="P815" s="162"/>
      <c r="Q815" s="162"/>
      <c r="R815" s="162"/>
      <c r="S815" s="162"/>
      <c r="T815" s="162"/>
      <c r="U815" s="230"/>
      <c r="V815" s="230"/>
      <c r="W815" s="162"/>
      <c r="X815" s="162"/>
      <c r="Y815" s="162"/>
      <c r="Z815" s="162"/>
      <c r="AA815" s="162"/>
      <c r="AB815" s="230"/>
      <c r="AC815" s="230"/>
      <c r="AD815" s="162"/>
      <c r="AE815" s="162"/>
      <c r="AF815" s="162"/>
      <c r="AG815" s="162"/>
      <c r="AH815" s="162"/>
      <c r="AI815" s="230"/>
      <c r="AJ815" s="230"/>
      <c r="AK815" s="162"/>
      <c r="AL815" s="162"/>
      <c r="AM815" s="162"/>
      <c r="AN815" s="162"/>
      <c r="AO815" s="162"/>
      <c r="AP815" s="230"/>
      <c r="AQ815" s="230"/>
      <c r="AR815" s="162"/>
      <c r="AS815" s="162"/>
      <c r="AT815" s="162"/>
      <c r="AU815" s="162"/>
      <c r="AV815" s="162"/>
      <c r="AW815" s="230"/>
      <c r="AX815" s="230"/>
      <c r="AY815" s="162"/>
      <c r="AZ815" s="162"/>
      <c r="BA815" s="162"/>
      <c r="BB815" s="162"/>
      <c r="BC815" s="162"/>
      <c r="BD815" s="230"/>
      <c r="BE815" s="230"/>
      <c r="BF815" s="162"/>
      <c r="BG815" s="162"/>
      <c r="BH815" s="162"/>
      <c r="BI815" s="162"/>
      <c r="BJ815" s="162"/>
      <c r="BK815" s="230"/>
      <c r="BL815" s="230"/>
      <c r="BM815" s="162"/>
      <c r="BN815" s="162"/>
      <c r="BO815" s="162"/>
      <c r="BP815" s="162"/>
      <c r="BQ815" s="162"/>
      <c r="BR815" s="230"/>
      <c r="BS815" s="230"/>
      <c r="BT815" s="162"/>
      <c r="BU815" s="162"/>
      <c r="BV815" s="162"/>
      <c r="BW815" s="162"/>
      <c r="BX815" s="162"/>
      <c r="BY815" s="230"/>
      <c r="BZ815" s="230"/>
      <c r="CA815" s="162"/>
      <c r="CB815" s="162"/>
      <c r="CC815" s="162"/>
      <c r="CD815" s="162"/>
      <c r="CE815" s="162"/>
      <c r="CF815" s="230"/>
      <c r="CG815" s="230"/>
      <c r="CH815" s="162"/>
      <c r="CI815" s="162"/>
      <c r="CJ815" s="162"/>
      <c r="CK815" s="162"/>
      <c r="CL815" s="162"/>
      <c r="CM815" s="230"/>
      <c r="CN815" s="230"/>
      <c r="CO815" s="162"/>
      <c r="CP815" s="162"/>
      <c r="CQ815" s="162"/>
      <c r="CR815" s="162"/>
      <c r="CS815" s="162"/>
      <c r="CT815" s="230"/>
      <c r="CU815" s="230"/>
      <c r="CV815" s="162"/>
      <c r="CW815" s="162"/>
      <c r="CX815" s="162"/>
      <c r="CY815" s="162"/>
      <c r="CZ815" s="162"/>
      <c r="DA815" s="230"/>
      <c r="DB815" s="230"/>
      <c r="DC815" s="162"/>
      <c r="DD815" s="162"/>
      <c r="DE815" s="162"/>
      <c r="DF815" s="162"/>
      <c r="DG815" s="162"/>
      <c r="DH815" s="230"/>
      <c r="DI815" s="230"/>
      <c r="DJ815" s="162"/>
      <c r="DK815" s="162"/>
      <c r="DL815" s="147"/>
      <c r="DM815" s="147"/>
      <c r="DN815" s="147"/>
      <c r="DO815" s="147"/>
      <c r="DP815" s="147"/>
      <c r="DQ815" s="147"/>
      <c r="DR815" s="147"/>
      <c r="DS815" s="147"/>
      <c r="DT815" s="147"/>
      <c r="DU815" s="147"/>
      <c r="DV815" s="147"/>
      <c r="DW815" s="147"/>
      <c r="DX815" s="147"/>
      <c r="DY815" s="147"/>
      <c r="DZ815" s="147"/>
      <c r="EA815" s="147"/>
      <c r="EB815" s="147"/>
      <c r="EC815" s="147"/>
      <c r="ED815" s="147"/>
      <c r="EE815" s="147"/>
      <c r="EF815" s="147"/>
      <c r="EG815" s="147"/>
      <c r="EH815" s="147"/>
    </row>
    <row r="816" spans="1:138" x14ac:dyDescent="0.25">
      <c r="A816" s="147"/>
      <c r="B816" s="147"/>
      <c r="C816" s="160"/>
      <c r="D816" s="160"/>
      <c r="E816" s="169"/>
      <c r="F816" s="229"/>
      <c r="G816" s="165"/>
      <c r="H816" s="165"/>
      <c r="I816" s="163"/>
      <c r="J816" s="163"/>
      <c r="K816" s="162"/>
      <c r="L816" s="162"/>
      <c r="M816" s="162"/>
      <c r="N816" s="230"/>
      <c r="O816" s="230"/>
      <c r="P816" s="162"/>
      <c r="Q816" s="162"/>
      <c r="R816" s="162"/>
      <c r="S816" s="162"/>
      <c r="T816" s="162"/>
      <c r="U816" s="230"/>
      <c r="V816" s="230"/>
      <c r="W816" s="162"/>
      <c r="X816" s="162"/>
      <c r="Y816" s="162"/>
      <c r="Z816" s="162"/>
      <c r="AA816" s="162"/>
      <c r="AB816" s="230"/>
      <c r="AC816" s="230"/>
      <c r="AD816" s="162"/>
      <c r="AE816" s="162"/>
      <c r="AF816" s="162"/>
      <c r="AG816" s="162"/>
      <c r="AH816" s="162"/>
      <c r="AI816" s="230"/>
      <c r="AJ816" s="230"/>
      <c r="AK816" s="162"/>
      <c r="AL816" s="162"/>
      <c r="AM816" s="162"/>
      <c r="AN816" s="162"/>
      <c r="AO816" s="162"/>
      <c r="AP816" s="230"/>
      <c r="AQ816" s="230"/>
      <c r="AR816" s="162"/>
      <c r="AS816" s="162"/>
      <c r="AT816" s="162"/>
      <c r="AU816" s="162"/>
      <c r="AV816" s="162"/>
      <c r="AW816" s="230"/>
      <c r="AX816" s="230"/>
      <c r="AY816" s="162"/>
      <c r="AZ816" s="162"/>
      <c r="BA816" s="162"/>
      <c r="BB816" s="162"/>
      <c r="BC816" s="162"/>
      <c r="BD816" s="230"/>
      <c r="BE816" s="230"/>
      <c r="BF816" s="162"/>
      <c r="BG816" s="162"/>
      <c r="BH816" s="162"/>
      <c r="BI816" s="162"/>
      <c r="BJ816" s="162"/>
      <c r="BK816" s="230"/>
      <c r="BL816" s="230"/>
      <c r="BM816" s="162"/>
      <c r="BN816" s="162"/>
      <c r="BO816" s="162"/>
      <c r="BP816" s="162"/>
      <c r="BQ816" s="162"/>
      <c r="BR816" s="230"/>
      <c r="BS816" s="230"/>
      <c r="BT816" s="162"/>
      <c r="BU816" s="162"/>
      <c r="BV816" s="162"/>
      <c r="BW816" s="162"/>
      <c r="BX816" s="162"/>
      <c r="BY816" s="230"/>
      <c r="BZ816" s="230"/>
      <c r="CA816" s="162"/>
      <c r="CB816" s="162"/>
      <c r="CC816" s="162"/>
      <c r="CD816" s="162"/>
      <c r="CE816" s="162"/>
      <c r="CF816" s="230"/>
      <c r="CG816" s="230"/>
      <c r="CH816" s="162"/>
      <c r="CI816" s="162"/>
      <c r="CJ816" s="162"/>
      <c r="CK816" s="162"/>
      <c r="CL816" s="162"/>
      <c r="CM816" s="230"/>
      <c r="CN816" s="230"/>
      <c r="CO816" s="162"/>
      <c r="CP816" s="162"/>
      <c r="CQ816" s="162"/>
      <c r="CR816" s="162"/>
      <c r="CS816" s="162"/>
      <c r="CT816" s="230"/>
      <c r="CU816" s="230"/>
      <c r="CV816" s="162"/>
      <c r="CW816" s="162"/>
      <c r="CX816" s="162"/>
      <c r="CY816" s="162"/>
      <c r="CZ816" s="162"/>
      <c r="DA816" s="230"/>
      <c r="DB816" s="230"/>
      <c r="DC816" s="162"/>
      <c r="DD816" s="162"/>
      <c r="DE816" s="162"/>
      <c r="DF816" s="162"/>
      <c r="DG816" s="162"/>
      <c r="DH816" s="230"/>
      <c r="DI816" s="230"/>
      <c r="DJ816" s="162"/>
      <c r="DK816" s="162"/>
      <c r="DL816" s="147"/>
      <c r="DM816" s="147"/>
      <c r="DN816" s="147"/>
      <c r="DO816" s="147"/>
      <c r="DP816" s="147"/>
      <c r="DQ816" s="147"/>
      <c r="DR816" s="147"/>
      <c r="DS816" s="147"/>
      <c r="DT816" s="147"/>
      <c r="DU816" s="147"/>
      <c r="DV816" s="147"/>
      <c r="DW816" s="147"/>
      <c r="DX816" s="147"/>
      <c r="DY816" s="147"/>
      <c r="DZ816" s="147"/>
      <c r="EA816" s="147"/>
      <c r="EB816" s="147"/>
      <c r="EC816" s="147"/>
      <c r="ED816" s="147"/>
      <c r="EE816" s="147"/>
      <c r="EF816" s="147"/>
      <c r="EG816" s="147"/>
      <c r="EH816" s="147"/>
    </row>
    <row r="817" spans="1:138" x14ac:dyDescent="0.25">
      <c r="A817" s="147"/>
      <c r="B817" s="147"/>
      <c r="C817" s="160"/>
      <c r="D817" s="160"/>
      <c r="E817" s="169"/>
      <c r="F817" s="229"/>
      <c r="G817" s="165"/>
      <c r="H817" s="165"/>
      <c r="I817" s="163"/>
      <c r="J817" s="163"/>
      <c r="K817" s="162"/>
      <c r="L817" s="162"/>
      <c r="M817" s="162"/>
      <c r="N817" s="230"/>
      <c r="O817" s="230"/>
      <c r="P817" s="162"/>
      <c r="Q817" s="162"/>
      <c r="R817" s="162"/>
      <c r="S817" s="162"/>
      <c r="T817" s="162"/>
      <c r="U817" s="230"/>
      <c r="V817" s="230"/>
      <c r="W817" s="162"/>
      <c r="X817" s="162"/>
      <c r="Y817" s="162"/>
      <c r="Z817" s="162"/>
      <c r="AA817" s="162"/>
      <c r="AB817" s="230"/>
      <c r="AC817" s="230"/>
      <c r="AD817" s="162"/>
      <c r="AE817" s="162"/>
      <c r="AF817" s="162"/>
      <c r="AG817" s="162"/>
      <c r="AH817" s="162"/>
      <c r="AI817" s="230"/>
      <c r="AJ817" s="230"/>
      <c r="AK817" s="162"/>
      <c r="AL817" s="162"/>
      <c r="AM817" s="162"/>
      <c r="AN817" s="162"/>
      <c r="AO817" s="162"/>
      <c r="AP817" s="230"/>
      <c r="AQ817" s="230"/>
      <c r="AR817" s="162"/>
      <c r="AS817" s="162"/>
      <c r="AT817" s="162"/>
      <c r="AU817" s="162"/>
      <c r="AV817" s="162"/>
      <c r="AW817" s="230"/>
      <c r="AX817" s="230"/>
      <c r="AY817" s="162"/>
      <c r="AZ817" s="162"/>
      <c r="BA817" s="162"/>
      <c r="BB817" s="162"/>
      <c r="BC817" s="162"/>
      <c r="BD817" s="230"/>
      <c r="BE817" s="230"/>
      <c r="BF817" s="162"/>
      <c r="BG817" s="162"/>
      <c r="BH817" s="162"/>
      <c r="BI817" s="162"/>
      <c r="BJ817" s="162"/>
      <c r="BK817" s="230"/>
      <c r="BL817" s="230"/>
      <c r="BM817" s="162"/>
      <c r="BN817" s="162"/>
      <c r="BO817" s="162"/>
      <c r="BP817" s="162"/>
      <c r="BQ817" s="162"/>
      <c r="BR817" s="230"/>
      <c r="BS817" s="230"/>
      <c r="BT817" s="162"/>
      <c r="BU817" s="162"/>
      <c r="BV817" s="162"/>
      <c r="BW817" s="162"/>
      <c r="BX817" s="162"/>
      <c r="BY817" s="230"/>
      <c r="BZ817" s="230"/>
      <c r="CA817" s="162"/>
      <c r="CB817" s="162"/>
      <c r="CC817" s="162"/>
      <c r="CD817" s="162"/>
      <c r="CE817" s="162"/>
      <c r="CF817" s="230"/>
      <c r="CG817" s="230"/>
      <c r="CH817" s="162"/>
      <c r="CI817" s="162"/>
      <c r="CJ817" s="162"/>
      <c r="CK817" s="162"/>
      <c r="CL817" s="162"/>
      <c r="CM817" s="230"/>
      <c r="CN817" s="230"/>
      <c r="CO817" s="162"/>
      <c r="CP817" s="162"/>
      <c r="CQ817" s="162"/>
      <c r="CR817" s="162"/>
      <c r="CS817" s="162"/>
      <c r="CT817" s="230"/>
      <c r="CU817" s="230"/>
      <c r="CV817" s="162"/>
      <c r="CW817" s="162"/>
      <c r="CX817" s="162"/>
      <c r="CY817" s="162"/>
      <c r="CZ817" s="162"/>
      <c r="DA817" s="230"/>
      <c r="DB817" s="230"/>
      <c r="DC817" s="162"/>
      <c r="DD817" s="162"/>
      <c r="DE817" s="162"/>
      <c r="DF817" s="162"/>
      <c r="DG817" s="162"/>
      <c r="DH817" s="230"/>
      <c r="DI817" s="230"/>
      <c r="DJ817" s="162"/>
      <c r="DK817" s="162"/>
      <c r="DL817" s="147"/>
      <c r="DM817" s="147"/>
      <c r="DN817" s="147"/>
      <c r="DO817" s="147"/>
      <c r="DP817" s="147"/>
      <c r="DQ817" s="147"/>
      <c r="DR817" s="147"/>
      <c r="DS817" s="147"/>
      <c r="DT817" s="147"/>
      <c r="DU817" s="147"/>
      <c r="DV817" s="147"/>
      <c r="DW817" s="147"/>
      <c r="DX817" s="147"/>
      <c r="DY817" s="147"/>
      <c r="DZ817" s="147"/>
      <c r="EA817" s="147"/>
      <c r="EB817" s="147"/>
      <c r="EC817" s="147"/>
      <c r="ED817" s="147"/>
      <c r="EE817" s="147"/>
      <c r="EF817" s="147"/>
      <c r="EG817" s="147"/>
      <c r="EH817" s="147"/>
    </row>
    <row r="818" spans="1:138" x14ac:dyDescent="0.25">
      <c r="A818" s="147"/>
      <c r="B818" s="147"/>
      <c r="C818" s="160"/>
      <c r="D818" s="160"/>
      <c r="E818" s="169"/>
      <c r="F818" s="229"/>
      <c r="G818" s="165"/>
      <c r="H818" s="165"/>
      <c r="I818" s="163"/>
      <c r="J818" s="163"/>
      <c r="K818" s="162"/>
      <c r="L818" s="162"/>
      <c r="M818" s="162"/>
      <c r="N818" s="230"/>
      <c r="O818" s="230"/>
      <c r="P818" s="162"/>
      <c r="Q818" s="162"/>
      <c r="R818" s="162"/>
      <c r="S818" s="162"/>
      <c r="T818" s="162"/>
      <c r="U818" s="230"/>
      <c r="V818" s="230"/>
      <c r="W818" s="162"/>
      <c r="X818" s="162"/>
      <c r="Y818" s="162"/>
      <c r="Z818" s="162"/>
      <c r="AA818" s="162"/>
      <c r="AB818" s="230"/>
      <c r="AC818" s="230"/>
      <c r="AD818" s="162"/>
      <c r="AE818" s="162"/>
      <c r="AF818" s="162"/>
      <c r="AG818" s="162"/>
      <c r="AH818" s="162"/>
      <c r="AI818" s="230"/>
      <c r="AJ818" s="230"/>
      <c r="AK818" s="162"/>
      <c r="AL818" s="162"/>
      <c r="AM818" s="162"/>
      <c r="AN818" s="162"/>
      <c r="AO818" s="162"/>
      <c r="AP818" s="230"/>
      <c r="AQ818" s="230"/>
      <c r="AR818" s="162"/>
      <c r="AS818" s="162"/>
      <c r="AT818" s="162"/>
      <c r="AU818" s="162"/>
      <c r="AV818" s="162"/>
      <c r="AW818" s="230"/>
      <c r="AX818" s="230"/>
      <c r="AY818" s="162"/>
      <c r="AZ818" s="162"/>
      <c r="BA818" s="162"/>
      <c r="BB818" s="162"/>
      <c r="BC818" s="162"/>
      <c r="BD818" s="230"/>
      <c r="BE818" s="230"/>
      <c r="BF818" s="162"/>
      <c r="BG818" s="162"/>
      <c r="BH818" s="162"/>
      <c r="BI818" s="162"/>
      <c r="BJ818" s="162"/>
      <c r="BK818" s="230"/>
      <c r="BL818" s="230"/>
      <c r="BM818" s="162"/>
      <c r="BN818" s="162"/>
      <c r="BO818" s="162"/>
      <c r="BP818" s="162"/>
      <c r="BQ818" s="162"/>
      <c r="BR818" s="230"/>
      <c r="BS818" s="230"/>
      <c r="BT818" s="162"/>
      <c r="BU818" s="162"/>
      <c r="BV818" s="162"/>
      <c r="BW818" s="162"/>
      <c r="BX818" s="162"/>
      <c r="BY818" s="230"/>
      <c r="BZ818" s="230"/>
      <c r="CA818" s="162"/>
      <c r="CB818" s="162"/>
      <c r="CC818" s="162"/>
      <c r="CD818" s="162"/>
      <c r="CE818" s="162"/>
      <c r="CF818" s="230"/>
      <c r="CG818" s="230"/>
      <c r="CH818" s="162"/>
      <c r="CI818" s="162"/>
      <c r="CJ818" s="162"/>
      <c r="CK818" s="162"/>
      <c r="CL818" s="162"/>
      <c r="CM818" s="230"/>
      <c r="CN818" s="230"/>
      <c r="CO818" s="162"/>
      <c r="CP818" s="162"/>
      <c r="CQ818" s="162"/>
      <c r="CR818" s="162"/>
      <c r="CS818" s="162"/>
      <c r="CT818" s="230"/>
      <c r="CU818" s="230"/>
      <c r="CV818" s="162"/>
      <c r="CW818" s="162"/>
      <c r="CX818" s="162"/>
      <c r="CY818" s="162"/>
      <c r="CZ818" s="162"/>
      <c r="DA818" s="230"/>
      <c r="DB818" s="230"/>
      <c r="DC818" s="162"/>
      <c r="DD818" s="162"/>
      <c r="DE818" s="162"/>
      <c r="DF818" s="162"/>
      <c r="DG818" s="162"/>
      <c r="DH818" s="230"/>
      <c r="DI818" s="230"/>
      <c r="DJ818" s="162"/>
      <c r="DK818" s="162"/>
      <c r="DL818" s="147"/>
      <c r="DM818" s="147"/>
      <c r="DN818" s="147"/>
      <c r="DO818" s="147"/>
      <c r="DP818" s="147"/>
      <c r="DQ818" s="147"/>
      <c r="DR818" s="147"/>
      <c r="DS818" s="147"/>
      <c r="DT818" s="147"/>
      <c r="DU818" s="147"/>
      <c r="DV818" s="147"/>
      <c r="DW818" s="147"/>
      <c r="DX818" s="147"/>
      <c r="DY818" s="147"/>
      <c r="DZ818" s="147"/>
      <c r="EA818" s="147"/>
      <c r="EB818" s="147"/>
      <c r="EC818" s="147"/>
      <c r="ED818" s="147"/>
      <c r="EE818" s="147"/>
      <c r="EF818" s="147"/>
      <c r="EG818" s="147"/>
      <c r="EH818" s="147"/>
    </row>
    <row r="819" spans="1:138" x14ac:dyDescent="0.25">
      <c r="A819" s="147"/>
      <c r="B819" s="147"/>
      <c r="C819" s="160"/>
      <c r="D819" s="160"/>
      <c r="E819" s="169"/>
      <c r="F819" s="229"/>
      <c r="G819" s="165"/>
      <c r="H819" s="165"/>
      <c r="I819" s="163"/>
      <c r="J819" s="163"/>
      <c r="K819" s="162"/>
      <c r="L819" s="162"/>
      <c r="M819" s="162"/>
      <c r="N819" s="230"/>
      <c r="O819" s="230"/>
      <c r="P819" s="162"/>
      <c r="Q819" s="162"/>
      <c r="R819" s="162"/>
      <c r="S819" s="162"/>
      <c r="T819" s="162"/>
      <c r="U819" s="230"/>
      <c r="V819" s="230"/>
      <c r="W819" s="162"/>
      <c r="X819" s="162"/>
      <c r="Y819" s="162"/>
      <c r="Z819" s="162"/>
      <c r="AA819" s="162"/>
      <c r="AB819" s="230"/>
      <c r="AC819" s="230"/>
      <c r="AD819" s="162"/>
      <c r="AE819" s="162"/>
      <c r="AF819" s="162"/>
      <c r="AG819" s="162"/>
      <c r="AH819" s="162"/>
      <c r="AI819" s="230"/>
      <c r="AJ819" s="230"/>
      <c r="AK819" s="162"/>
      <c r="AL819" s="162"/>
      <c r="AM819" s="162"/>
      <c r="AN819" s="162"/>
      <c r="AO819" s="162"/>
      <c r="AP819" s="230"/>
      <c r="AQ819" s="230"/>
      <c r="AR819" s="162"/>
      <c r="AS819" s="162"/>
      <c r="AT819" s="162"/>
      <c r="AU819" s="162"/>
      <c r="AV819" s="162"/>
      <c r="AW819" s="230"/>
      <c r="AX819" s="230"/>
      <c r="AY819" s="162"/>
      <c r="AZ819" s="162"/>
      <c r="BA819" s="162"/>
      <c r="BB819" s="162"/>
      <c r="BC819" s="162"/>
      <c r="BD819" s="230"/>
      <c r="BE819" s="230"/>
      <c r="BF819" s="162"/>
      <c r="BG819" s="162"/>
      <c r="BH819" s="162"/>
      <c r="BI819" s="162"/>
      <c r="BJ819" s="162"/>
      <c r="BK819" s="230"/>
      <c r="BL819" s="230"/>
      <c r="BM819" s="162"/>
      <c r="BN819" s="162"/>
      <c r="BO819" s="162"/>
      <c r="BP819" s="162"/>
      <c r="BQ819" s="162"/>
      <c r="BR819" s="230"/>
      <c r="BS819" s="230"/>
      <c r="BT819" s="162"/>
      <c r="BU819" s="162"/>
      <c r="BV819" s="162"/>
      <c r="BW819" s="162"/>
      <c r="BX819" s="162"/>
      <c r="BY819" s="230"/>
      <c r="BZ819" s="230"/>
      <c r="CA819" s="162"/>
      <c r="CB819" s="162"/>
      <c r="CC819" s="162"/>
      <c r="CD819" s="162"/>
      <c r="CE819" s="162"/>
      <c r="CF819" s="230"/>
      <c r="CG819" s="230"/>
      <c r="CH819" s="162"/>
      <c r="CI819" s="162"/>
      <c r="CJ819" s="162"/>
      <c r="CK819" s="162"/>
      <c r="CL819" s="162"/>
      <c r="CM819" s="230"/>
      <c r="CN819" s="230"/>
      <c r="CO819" s="162"/>
      <c r="CP819" s="162"/>
      <c r="CQ819" s="162"/>
      <c r="CR819" s="162"/>
      <c r="CS819" s="162"/>
      <c r="CT819" s="230"/>
      <c r="CU819" s="230"/>
      <c r="CV819" s="162"/>
      <c r="CW819" s="162"/>
      <c r="CX819" s="162"/>
      <c r="CY819" s="162"/>
      <c r="CZ819" s="162"/>
      <c r="DA819" s="230"/>
      <c r="DB819" s="230"/>
      <c r="DC819" s="162"/>
      <c r="DD819" s="162"/>
      <c r="DE819" s="162"/>
      <c r="DF819" s="162"/>
      <c r="DG819" s="162"/>
      <c r="DH819" s="230"/>
      <c r="DI819" s="230"/>
      <c r="DJ819" s="162"/>
      <c r="DK819" s="162"/>
      <c r="DL819" s="147"/>
      <c r="DM819" s="147"/>
      <c r="DN819" s="147"/>
      <c r="DO819" s="147"/>
      <c r="DP819" s="147"/>
      <c r="DQ819" s="147"/>
      <c r="DR819" s="147"/>
      <c r="DS819" s="147"/>
      <c r="DT819" s="147"/>
      <c r="DU819" s="147"/>
      <c r="DV819" s="147"/>
      <c r="DW819" s="147"/>
      <c r="DX819" s="147"/>
      <c r="DY819" s="147"/>
      <c r="DZ819" s="147"/>
      <c r="EA819" s="147"/>
      <c r="EB819" s="147"/>
      <c r="EC819" s="147"/>
      <c r="ED819" s="147"/>
      <c r="EE819" s="147"/>
      <c r="EF819" s="147"/>
      <c r="EG819" s="147"/>
      <c r="EH819" s="147"/>
    </row>
    <row r="820" spans="1:138" x14ac:dyDescent="0.25">
      <c r="A820" s="147"/>
      <c r="B820" s="147"/>
      <c r="C820" s="160"/>
      <c r="D820" s="160"/>
      <c r="E820" s="169"/>
      <c r="F820" s="229"/>
      <c r="G820" s="165"/>
      <c r="H820" s="165"/>
      <c r="I820" s="163"/>
      <c r="J820" s="163"/>
      <c r="K820" s="162"/>
      <c r="L820" s="162"/>
      <c r="M820" s="162"/>
      <c r="N820" s="230"/>
      <c r="O820" s="230"/>
      <c r="P820" s="162"/>
      <c r="Q820" s="162"/>
      <c r="R820" s="162"/>
      <c r="S820" s="162"/>
      <c r="T820" s="162"/>
      <c r="U820" s="230"/>
      <c r="V820" s="230"/>
      <c r="W820" s="162"/>
      <c r="X820" s="162"/>
      <c r="Y820" s="162"/>
      <c r="Z820" s="162"/>
      <c r="AA820" s="162"/>
      <c r="AB820" s="230"/>
      <c r="AC820" s="230"/>
      <c r="AD820" s="162"/>
      <c r="AE820" s="162"/>
      <c r="AF820" s="162"/>
      <c r="AG820" s="162"/>
      <c r="AH820" s="162"/>
      <c r="AI820" s="230"/>
      <c r="AJ820" s="230"/>
      <c r="AK820" s="162"/>
      <c r="AL820" s="162"/>
      <c r="AM820" s="162"/>
      <c r="AN820" s="162"/>
      <c r="AO820" s="162"/>
      <c r="AP820" s="230"/>
      <c r="AQ820" s="230"/>
      <c r="AR820" s="162"/>
      <c r="AS820" s="162"/>
      <c r="AT820" s="162"/>
      <c r="AU820" s="162"/>
      <c r="AV820" s="162"/>
      <c r="AW820" s="230"/>
      <c r="AX820" s="230"/>
      <c r="AY820" s="162"/>
      <c r="AZ820" s="162"/>
      <c r="BA820" s="162"/>
      <c r="BB820" s="162"/>
      <c r="BC820" s="162"/>
      <c r="BD820" s="230"/>
      <c r="BE820" s="230"/>
      <c r="BF820" s="162"/>
      <c r="BG820" s="162"/>
      <c r="BH820" s="162"/>
      <c r="BI820" s="162"/>
      <c r="BJ820" s="162"/>
      <c r="BK820" s="230"/>
      <c r="BL820" s="230"/>
      <c r="BM820" s="162"/>
      <c r="BN820" s="162"/>
      <c r="BO820" s="162"/>
      <c r="BP820" s="162"/>
      <c r="BQ820" s="162"/>
      <c r="BR820" s="230"/>
      <c r="BS820" s="230"/>
      <c r="BT820" s="162"/>
      <c r="BU820" s="162"/>
      <c r="BV820" s="162"/>
      <c r="BW820" s="162"/>
      <c r="BX820" s="162"/>
      <c r="BY820" s="230"/>
      <c r="BZ820" s="230"/>
      <c r="CA820" s="162"/>
      <c r="CB820" s="162"/>
      <c r="CC820" s="162"/>
      <c r="CD820" s="162"/>
      <c r="CE820" s="162"/>
      <c r="CF820" s="230"/>
      <c r="CG820" s="230"/>
      <c r="CH820" s="162"/>
      <c r="CI820" s="162"/>
      <c r="CJ820" s="162"/>
      <c r="CK820" s="162"/>
      <c r="CL820" s="162"/>
      <c r="CM820" s="230"/>
      <c r="CN820" s="230"/>
      <c r="CO820" s="162"/>
      <c r="CP820" s="162"/>
      <c r="CQ820" s="162"/>
      <c r="CR820" s="162"/>
      <c r="CS820" s="162"/>
      <c r="CT820" s="230"/>
      <c r="CU820" s="230"/>
      <c r="CV820" s="162"/>
      <c r="CW820" s="162"/>
      <c r="CX820" s="162"/>
      <c r="CY820" s="162"/>
      <c r="CZ820" s="162"/>
      <c r="DA820" s="230"/>
      <c r="DB820" s="230"/>
      <c r="DC820" s="162"/>
      <c r="DD820" s="162"/>
      <c r="DE820" s="162"/>
      <c r="DF820" s="162"/>
      <c r="DG820" s="162"/>
      <c r="DH820" s="230"/>
      <c r="DI820" s="230"/>
      <c r="DJ820" s="162"/>
      <c r="DK820" s="162"/>
      <c r="DL820" s="147"/>
      <c r="DM820" s="147"/>
      <c r="DN820" s="147"/>
      <c r="DO820" s="147"/>
      <c r="DP820" s="147"/>
      <c r="DQ820" s="147"/>
      <c r="DR820" s="147"/>
      <c r="DS820" s="147"/>
      <c r="DT820" s="147"/>
      <c r="DU820" s="147"/>
      <c r="DV820" s="147"/>
      <c r="DW820" s="147"/>
      <c r="DX820" s="147"/>
      <c r="DY820" s="147"/>
      <c r="DZ820" s="147"/>
      <c r="EA820" s="147"/>
      <c r="EB820" s="147"/>
      <c r="EC820" s="147"/>
      <c r="ED820" s="147"/>
      <c r="EE820" s="147"/>
      <c r="EF820" s="147"/>
      <c r="EG820" s="147"/>
      <c r="EH820" s="147"/>
    </row>
    <row r="821" spans="1:138" x14ac:dyDescent="0.25">
      <c r="A821" s="147"/>
      <c r="B821" s="147"/>
      <c r="C821" s="160"/>
      <c r="D821" s="160"/>
      <c r="E821" s="169"/>
      <c r="F821" s="229"/>
      <c r="G821" s="165"/>
      <c r="H821" s="165"/>
      <c r="I821" s="163"/>
      <c r="J821" s="163"/>
      <c r="K821" s="162"/>
      <c r="L821" s="162"/>
      <c r="M821" s="162"/>
      <c r="N821" s="230"/>
      <c r="O821" s="230"/>
      <c r="P821" s="162"/>
      <c r="Q821" s="162"/>
      <c r="R821" s="162"/>
      <c r="S821" s="162"/>
      <c r="T821" s="162"/>
      <c r="U821" s="230"/>
      <c r="V821" s="230"/>
      <c r="W821" s="162"/>
      <c r="X821" s="162"/>
      <c r="Y821" s="162"/>
      <c r="Z821" s="162"/>
      <c r="AA821" s="162"/>
      <c r="AB821" s="230"/>
      <c r="AC821" s="230"/>
      <c r="AD821" s="162"/>
      <c r="AE821" s="162"/>
      <c r="AF821" s="162"/>
      <c r="AG821" s="162"/>
      <c r="AH821" s="162"/>
      <c r="AI821" s="230"/>
      <c r="AJ821" s="230"/>
      <c r="AK821" s="162"/>
      <c r="AL821" s="162"/>
      <c r="AM821" s="162"/>
      <c r="AN821" s="162"/>
      <c r="AO821" s="162"/>
      <c r="AP821" s="230"/>
      <c r="AQ821" s="230"/>
      <c r="AR821" s="162"/>
      <c r="AS821" s="162"/>
      <c r="AT821" s="162"/>
      <c r="AU821" s="162"/>
      <c r="AV821" s="162"/>
      <c r="AW821" s="230"/>
      <c r="AX821" s="230"/>
      <c r="AY821" s="162"/>
      <c r="AZ821" s="162"/>
      <c r="BA821" s="162"/>
      <c r="BB821" s="162"/>
      <c r="BC821" s="162"/>
      <c r="BD821" s="230"/>
      <c r="BE821" s="230"/>
      <c r="BF821" s="162"/>
      <c r="BG821" s="162"/>
      <c r="BH821" s="162"/>
      <c r="BI821" s="162"/>
      <c r="BJ821" s="162"/>
      <c r="BK821" s="230"/>
      <c r="BL821" s="230"/>
      <c r="BM821" s="162"/>
      <c r="BN821" s="162"/>
      <c r="BO821" s="162"/>
      <c r="BP821" s="162"/>
      <c r="BQ821" s="162"/>
      <c r="BR821" s="230"/>
      <c r="BS821" s="230"/>
      <c r="BT821" s="162"/>
      <c r="BU821" s="162"/>
      <c r="BV821" s="162"/>
      <c r="BW821" s="162"/>
      <c r="BX821" s="162"/>
      <c r="BY821" s="230"/>
      <c r="BZ821" s="230"/>
      <c r="CA821" s="162"/>
      <c r="CB821" s="162"/>
      <c r="CC821" s="162"/>
      <c r="CD821" s="162"/>
      <c r="CE821" s="162"/>
      <c r="CF821" s="230"/>
      <c r="CG821" s="230"/>
      <c r="CH821" s="162"/>
      <c r="CI821" s="162"/>
      <c r="CJ821" s="162"/>
      <c r="CK821" s="162"/>
      <c r="CL821" s="162"/>
      <c r="CM821" s="230"/>
      <c r="CN821" s="230"/>
      <c r="CO821" s="162"/>
      <c r="CP821" s="162"/>
      <c r="CQ821" s="162"/>
      <c r="CR821" s="162"/>
      <c r="CS821" s="162"/>
      <c r="CT821" s="230"/>
      <c r="CU821" s="230"/>
      <c r="CV821" s="162"/>
      <c r="CW821" s="162"/>
      <c r="CX821" s="162"/>
      <c r="CY821" s="162"/>
      <c r="CZ821" s="162"/>
      <c r="DA821" s="230"/>
      <c r="DB821" s="230"/>
      <c r="DC821" s="162"/>
      <c r="DD821" s="162"/>
      <c r="DE821" s="162"/>
      <c r="DF821" s="162"/>
      <c r="DG821" s="162"/>
      <c r="DH821" s="230"/>
      <c r="DI821" s="230"/>
      <c r="DJ821" s="162"/>
      <c r="DK821" s="162"/>
      <c r="DL821" s="147"/>
      <c r="DM821" s="147"/>
      <c r="DN821" s="147"/>
      <c r="DO821" s="147"/>
      <c r="DP821" s="147"/>
      <c r="DQ821" s="147"/>
      <c r="DR821" s="147"/>
      <c r="DS821" s="147"/>
      <c r="DT821" s="147"/>
      <c r="DU821" s="147"/>
      <c r="DV821" s="147"/>
      <c r="DW821" s="147"/>
      <c r="DX821" s="147"/>
      <c r="DY821" s="147"/>
      <c r="DZ821" s="147"/>
      <c r="EA821" s="147"/>
      <c r="EB821" s="147"/>
      <c r="EC821" s="147"/>
      <c r="ED821" s="147"/>
      <c r="EE821" s="147"/>
      <c r="EF821" s="147"/>
      <c r="EG821" s="147"/>
      <c r="EH821" s="147"/>
    </row>
    <row r="822" spans="1:138" x14ac:dyDescent="0.25">
      <c r="A822" s="147"/>
      <c r="B822" s="147"/>
      <c r="C822" s="160"/>
      <c r="D822" s="160"/>
      <c r="E822" s="169"/>
      <c r="F822" s="229"/>
      <c r="G822" s="165"/>
      <c r="H822" s="165"/>
      <c r="I822" s="163"/>
      <c r="J822" s="163"/>
      <c r="K822" s="162"/>
      <c r="L822" s="162"/>
      <c r="M822" s="162"/>
      <c r="N822" s="230"/>
      <c r="O822" s="230"/>
      <c r="P822" s="162"/>
      <c r="Q822" s="162"/>
      <c r="R822" s="162"/>
      <c r="S822" s="162"/>
      <c r="T822" s="162"/>
      <c r="U822" s="230"/>
      <c r="V822" s="230"/>
      <c r="W822" s="162"/>
      <c r="X822" s="162"/>
      <c r="Y822" s="162"/>
      <c r="Z822" s="162"/>
      <c r="AA822" s="162"/>
      <c r="AB822" s="230"/>
      <c r="AC822" s="230"/>
      <c r="AD822" s="162"/>
      <c r="AE822" s="162"/>
      <c r="AF822" s="162"/>
      <c r="AG822" s="162"/>
      <c r="AH822" s="162"/>
      <c r="AI822" s="230"/>
      <c r="AJ822" s="230"/>
      <c r="AK822" s="162"/>
      <c r="AL822" s="162"/>
      <c r="AM822" s="162"/>
      <c r="AN822" s="162"/>
      <c r="AO822" s="162"/>
      <c r="AP822" s="230"/>
      <c r="AQ822" s="230"/>
      <c r="AR822" s="162"/>
      <c r="AS822" s="162"/>
      <c r="AT822" s="162"/>
      <c r="AU822" s="162"/>
      <c r="AV822" s="162"/>
      <c r="AW822" s="230"/>
      <c r="AX822" s="230"/>
      <c r="AY822" s="162"/>
      <c r="AZ822" s="162"/>
      <c r="BA822" s="162"/>
      <c r="BB822" s="162"/>
      <c r="BC822" s="162"/>
      <c r="BD822" s="230"/>
      <c r="BE822" s="230"/>
      <c r="BF822" s="162"/>
      <c r="BG822" s="162"/>
      <c r="BH822" s="162"/>
      <c r="BI822" s="162"/>
      <c r="BJ822" s="162"/>
      <c r="BK822" s="230"/>
      <c r="BL822" s="230"/>
      <c r="BM822" s="162"/>
      <c r="BN822" s="162"/>
      <c r="BO822" s="162"/>
      <c r="BP822" s="162"/>
      <c r="BQ822" s="162"/>
      <c r="BR822" s="230"/>
      <c r="BS822" s="230"/>
      <c r="BT822" s="162"/>
      <c r="BU822" s="162"/>
      <c r="BV822" s="162"/>
      <c r="BW822" s="162"/>
      <c r="BX822" s="162"/>
      <c r="BY822" s="230"/>
      <c r="BZ822" s="230"/>
      <c r="CA822" s="162"/>
      <c r="CB822" s="162"/>
      <c r="CC822" s="162"/>
      <c r="CD822" s="162"/>
      <c r="CE822" s="162"/>
      <c r="CF822" s="230"/>
      <c r="CG822" s="230"/>
      <c r="CH822" s="162"/>
      <c r="CI822" s="162"/>
      <c r="CJ822" s="162"/>
      <c r="CK822" s="162"/>
      <c r="CL822" s="162"/>
      <c r="CM822" s="230"/>
      <c r="CN822" s="230"/>
      <c r="CO822" s="162"/>
      <c r="CP822" s="162"/>
      <c r="CQ822" s="162"/>
      <c r="CR822" s="162"/>
      <c r="CS822" s="162"/>
      <c r="CT822" s="230"/>
      <c r="CU822" s="230"/>
      <c r="CV822" s="162"/>
      <c r="CW822" s="162"/>
      <c r="CX822" s="162"/>
      <c r="CY822" s="162"/>
      <c r="CZ822" s="162"/>
      <c r="DA822" s="230"/>
      <c r="DB822" s="230"/>
      <c r="DC822" s="162"/>
      <c r="DD822" s="162"/>
      <c r="DE822" s="162"/>
      <c r="DF822" s="162"/>
      <c r="DG822" s="162"/>
      <c r="DH822" s="230"/>
      <c r="DI822" s="230"/>
      <c r="DJ822" s="162"/>
      <c r="DK822" s="162"/>
      <c r="DL822" s="147"/>
      <c r="DM822" s="147"/>
      <c r="DN822" s="147"/>
      <c r="DO822" s="147"/>
      <c r="DP822" s="147"/>
      <c r="DQ822" s="147"/>
      <c r="DR822" s="147"/>
      <c r="DS822" s="147"/>
      <c r="DT822" s="147"/>
      <c r="DU822" s="147"/>
      <c r="DV822" s="147"/>
      <c r="DW822" s="147"/>
      <c r="DX822" s="147"/>
      <c r="DY822" s="147"/>
      <c r="DZ822" s="147"/>
      <c r="EA822" s="147"/>
      <c r="EB822" s="147"/>
      <c r="EC822" s="147"/>
      <c r="ED822" s="147"/>
      <c r="EE822" s="147"/>
      <c r="EF822" s="147"/>
      <c r="EG822" s="147"/>
      <c r="EH822" s="147"/>
    </row>
    <row r="823" spans="1:138" x14ac:dyDescent="0.25">
      <c r="A823" s="147"/>
      <c r="B823" s="147"/>
      <c r="C823" s="160"/>
      <c r="D823" s="160"/>
      <c r="E823" s="169"/>
      <c r="F823" s="229"/>
      <c r="G823" s="165"/>
      <c r="H823" s="165"/>
      <c r="I823" s="163"/>
      <c r="J823" s="163"/>
      <c r="K823" s="162"/>
      <c r="L823" s="162"/>
      <c r="M823" s="162"/>
      <c r="N823" s="230"/>
      <c r="O823" s="230"/>
      <c r="P823" s="162"/>
      <c r="Q823" s="162"/>
      <c r="R823" s="162"/>
      <c r="S823" s="162"/>
      <c r="T823" s="162"/>
      <c r="U823" s="230"/>
      <c r="V823" s="230"/>
      <c r="W823" s="162"/>
      <c r="X823" s="162"/>
      <c r="Y823" s="162"/>
      <c r="Z823" s="162"/>
      <c r="AA823" s="162"/>
      <c r="AB823" s="230"/>
      <c r="AC823" s="230"/>
      <c r="AD823" s="162"/>
      <c r="AE823" s="162"/>
      <c r="AF823" s="162"/>
      <c r="AG823" s="162"/>
      <c r="AH823" s="162"/>
      <c r="AI823" s="230"/>
      <c r="AJ823" s="230"/>
      <c r="AK823" s="162"/>
      <c r="AL823" s="162"/>
      <c r="AM823" s="162"/>
      <c r="AN823" s="162"/>
      <c r="AO823" s="162"/>
      <c r="AP823" s="230"/>
      <c r="AQ823" s="230"/>
      <c r="AR823" s="162"/>
      <c r="AS823" s="162"/>
      <c r="AT823" s="162"/>
      <c r="AU823" s="162"/>
      <c r="AV823" s="162"/>
      <c r="AW823" s="230"/>
      <c r="AX823" s="230"/>
      <c r="AY823" s="162"/>
      <c r="AZ823" s="162"/>
      <c r="BA823" s="162"/>
      <c r="BB823" s="162"/>
      <c r="BC823" s="162"/>
      <c r="BD823" s="230"/>
      <c r="BE823" s="230"/>
      <c r="BF823" s="162"/>
      <c r="BG823" s="162"/>
      <c r="BH823" s="162"/>
      <c r="BI823" s="162"/>
      <c r="BJ823" s="162"/>
      <c r="BK823" s="230"/>
      <c r="BL823" s="230"/>
      <c r="BM823" s="162"/>
      <c r="BN823" s="162"/>
      <c r="BO823" s="162"/>
      <c r="BP823" s="162"/>
      <c r="BQ823" s="162"/>
      <c r="BR823" s="230"/>
      <c r="BS823" s="230"/>
      <c r="BT823" s="162"/>
      <c r="BU823" s="162"/>
      <c r="BV823" s="162"/>
      <c r="BW823" s="162"/>
      <c r="BX823" s="162"/>
      <c r="BY823" s="230"/>
      <c r="BZ823" s="230"/>
      <c r="CA823" s="162"/>
      <c r="CB823" s="162"/>
      <c r="CC823" s="162"/>
      <c r="CD823" s="162"/>
      <c r="CE823" s="162"/>
      <c r="CF823" s="230"/>
      <c r="CG823" s="230"/>
      <c r="CH823" s="162"/>
      <c r="CI823" s="162"/>
      <c r="CJ823" s="162"/>
      <c r="CK823" s="162"/>
      <c r="CL823" s="162"/>
      <c r="CM823" s="230"/>
      <c r="CN823" s="230"/>
      <c r="CO823" s="162"/>
      <c r="CP823" s="162"/>
      <c r="CQ823" s="162"/>
      <c r="CR823" s="162"/>
      <c r="CS823" s="162"/>
      <c r="CT823" s="230"/>
      <c r="CU823" s="230"/>
      <c r="CV823" s="162"/>
      <c r="CW823" s="162"/>
      <c r="CX823" s="162"/>
      <c r="CY823" s="162"/>
      <c r="CZ823" s="162"/>
      <c r="DA823" s="230"/>
      <c r="DB823" s="230"/>
      <c r="DC823" s="162"/>
      <c r="DD823" s="162"/>
      <c r="DE823" s="162"/>
      <c r="DF823" s="162"/>
      <c r="DG823" s="162"/>
      <c r="DH823" s="230"/>
      <c r="DI823" s="230"/>
      <c r="DJ823" s="162"/>
      <c r="DK823" s="162"/>
      <c r="DL823" s="147"/>
      <c r="DM823" s="147"/>
      <c r="DN823" s="147"/>
      <c r="DO823" s="147"/>
      <c r="DP823" s="147"/>
      <c r="DQ823" s="147"/>
      <c r="DR823" s="147"/>
      <c r="DS823" s="147"/>
      <c r="DT823" s="147"/>
      <c r="DU823" s="147"/>
      <c r="DV823" s="147"/>
      <c r="DW823" s="147"/>
      <c r="DX823" s="147"/>
      <c r="DY823" s="147"/>
      <c r="DZ823" s="147"/>
      <c r="EA823" s="147"/>
      <c r="EB823" s="147"/>
      <c r="EC823" s="147"/>
      <c r="ED823" s="147"/>
      <c r="EE823" s="147"/>
      <c r="EF823" s="147"/>
      <c r="EG823" s="147"/>
      <c r="EH823" s="147"/>
    </row>
    <row r="824" spans="1:138" x14ac:dyDescent="0.25">
      <c r="A824" s="147"/>
      <c r="B824" s="147"/>
      <c r="C824" s="160"/>
      <c r="D824" s="160"/>
      <c r="E824" s="169"/>
      <c r="F824" s="229"/>
      <c r="G824" s="165"/>
      <c r="H824" s="165"/>
      <c r="I824" s="163"/>
      <c r="J824" s="163"/>
      <c r="K824" s="162"/>
      <c r="L824" s="162"/>
      <c r="M824" s="162"/>
      <c r="N824" s="230"/>
      <c r="O824" s="230"/>
      <c r="P824" s="162"/>
      <c r="Q824" s="162"/>
      <c r="R824" s="162"/>
      <c r="S824" s="162"/>
      <c r="T824" s="162"/>
      <c r="U824" s="230"/>
      <c r="V824" s="230"/>
      <c r="W824" s="162"/>
      <c r="X824" s="162"/>
      <c r="Y824" s="162"/>
      <c r="Z824" s="162"/>
      <c r="AA824" s="162"/>
      <c r="AB824" s="230"/>
      <c r="AC824" s="230"/>
      <c r="AD824" s="162"/>
      <c r="AE824" s="162"/>
      <c r="AF824" s="162"/>
      <c r="AG824" s="162"/>
      <c r="AH824" s="162"/>
      <c r="AI824" s="230"/>
      <c r="AJ824" s="230"/>
      <c r="AK824" s="162"/>
      <c r="AL824" s="162"/>
      <c r="AM824" s="162"/>
      <c r="AN824" s="162"/>
      <c r="AO824" s="162"/>
      <c r="AP824" s="230"/>
      <c r="AQ824" s="230"/>
      <c r="AR824" s="162"/>
      <c r="AS824" s="162"/>
      <c r="AT824" s="162"/>
      <c r="AU824" s="162"/>
      <c r="AV824" s="162"/>
      <c r="AW824" s="230"/>
      <c r="AX824" s="230"/>
      <c r="AY824" s="162"/>
      <c r="AZ824" s="162"/>
      <c r="BA824" s="162"/>
      <c r="BB824" s="162"/>
      <c r="BC824" s="162"/>
      <c r="BD824" s="230"/>
      <c r="BE824" s="230"/>
      <c r="BF824" s="162"/>
      <c r="BG824" s="162"/>
      <c r="BH824" s="162"/>
      <c r="BI824" s="162"/>
      <c r="BJ824" s="162"/>
      <c r="BK824" s="230"/>
      <c r="BL824" s="230"/>
      <c r="BM824" s="162"/>
      <c r="BN824" s="162"/>
      <c r="BO824" s="162"/>
      <c r="BP824" s="162"/>
      <c r="BQ824" s="162"/>
      <c r="BR824" s="230"/>
      <c r="BS824" s="230"/>
      <c r="BT824" s="162"/>
      <c r="BU824" s="162"/>
      <c r="BV824" s="162"/>
      <c r="BW824" s="162"/>
      <c r="BX824" s="162"/>
      <c r="BY824" s="230"/>
      <c r="BZ824" s="230"/>
      <c r="CA824" s="162"/>
      <c r="CB824" s="162"/>
      <c r="CC824" s="162"/>
      <c r="CD824" s="162"/>
      <c r="CE824" s="162"/>
      <c r="CF824" s="230"/>
      <c r="CG824" s="230"/>
      <c r="CH824" s="162"/>
      <c r="CI824" s="162"/>
      <c r="CJ824" s="162"/>
      <c r="CK824" s="162"/>
      <c r="CL824" s="162"/>
      <c r="CM824" s="230"/>
      <c r="CN824" s="230"/>
      <c r="CO824" s="162"/>
      <c r="CP824" s="162"/>
      <c r="CQ824" s="162"/>
      <c r="CR824" s="162"/>
      <c r="CS824" s="162"/>
      <c r="CT824" s="230"/>
      <c r="CU824" s="230"/>
      <c r="CV824" s="162"/>
      <c r="CW824" s="162"/>
      <c r="CX824" s="162"/>
      <c r="CY824" s="162"/>
      <c r="CZ824" s="162"/>
      <c r="DA824" s="230"/>
      <c r="DB824" s="230"/>
      <c r="DC824" s="162"/>
      <c r="DD824" s="162"/>
      <c r="DE824" s="162"/>
      <c r="DF824" s="162"/>
      <c r="DG824" s="162"/>
      <c r="DH824" s="230"/>
      <c r="DI824" s="230"/>
      <c r="DJ824" s="162"/>
      <c r="DK824" s="162"/>
      <c r="DL824" s="147"/>
      <c r="DM824" s="147"/>
      <c r="DN824" s="147"/>
      <c r="DO824" s="147"/>
      <c r="DP824" s="147"/>
      <c r="DQ824" s="147"/>
      <c r="DR824" s="147"/>
      <c r="DS824" s="147"/>
      <c r="DT824" s="147"/>
      <c r="DU824" s="147"/>
      <c r="DV824" s="147"/>
      <c r="DW824" s="147"/>
      <c r="DX824" s="147"/>
      <c r="DY824" s="147"/>
      <c r="DZ824" s="147"/>
      <c r="EA824" s="147"/>
      <c r="EB824" s="147"/>
      <c r="EC824" s="147"/>
      <c r="ED824" s="147"/>
      <c r="EE824" s="147"/>
      <c r="EF824" s="147"/>
      <c r="EG824" s="147"/>
      <c r="EH824" s="147"/>
    </row>
    <row r="825" spans="1:138" x14ac:dyDescent="0.25">
      <c r="A825" s="147"/>
      <c r="B825" s="147"/>
      <c r="C825" s="160"/>
      <c r="D825" s="160"/>
      <c r="E825" s="169"/>
      <c r="F825" s="229"/>
      <c r="G825" s="165"/>
      <c r="H825" s="165"/>
      <c r="I825" s="163"/>
      <c r="J825" s="163"/>
      <c r="K825" s="162"/>
      <c r="L825" s="162"/>
      <c r="M825" s="162"/>
      <c r="N825" s="230"/>
      <c r="O825" s="230"/>
      <c r="P825" s="162"/>
      <c r="Q825" s="162"/>
      <c r="R825" s="162"/>
      <c r="S825" s="162"/>
      <c r="T825" s="162"/>
      <c r="U825" s="230"/>
      <c r="V825" s="230"/>
      <c r="W825" s="162"/>
      <c r="X825" s="162"/>
      <c r="Y825" s="162"/>
      <c r="Z825" s="162"/>
      <c r="AA825" s="162"/>
      <c r="AB825" s="230"/>
      <c r="AC825" s="230"/>
      <c r="AD825" s="162"/>
      <c r="AE825" s="162"/>
      <c r="AF825" s="162"/>
      <c r="AG825" s="162"/>
      <c r="AH825" s="162"/>
      <c r="AI825" s="230"/>
      <c r="AJ825" s="230"/>
      <c r="AK825" s="162"/>
      <c r="AL825" s="162"/>
      <c r="AM825" s="162"/>
      <c r="AN825" s="162"/>
      <c r="AO825" s="162"/>
      <c r="AP825" s="230"/>
      <c r="AQ825" s="230"/>
      <c r="AR825" s="162"/>
      <c r="AS825" s="162"/>
      <c r="AT825" s="162"/>
      <c r="AU825" s="162"/>
      <c r="AV825" s="162"/>
      <c r="AW825" s="230"/>
      <c r="AX825" s="230"/>
      <c r="AY825" s="162"/>
      <c r="AZ825" s="162"/>
      <c r="BA825" s="162"/>
      <c r="BB825" s="162"/>
      <c r="BC825" s="162"/>
      <c r="BD825" s="230"/>
      <c r="BE825" s="230"/>
      <c r="BF825" s="162"/>
      <c r="BG825" s="162"/>
      <c r="BH825" s="162"/>
      <c r="BI825" s="162"/>
      <c r="BJ825" s="162"/>
      <c r="BK825" s="230"/>
      <c r="BL825" s="230"/>
      <c r="BM825" s="162"/>
      <c r="BN825" s="162"/>
      <c r="BO825" s="162"/>
      <c r="BP825" s="162"/>
      <c r="BQ825" s="162"/>
      <c r="BR825" s="230"/>
      <c r="BS825" s="230"/>
      <c r="BT825" s="162"/>
      <c r="BU825" s="162"/>
      <c r="BV825" s="162"/>
      <c r="BW825" s="162"/>
      <c r="BX825" s="162"/>
      <c r="BY825" s="230"/>
      <c r="BZ825" s="230"/>
      <c r="CA825" s="162"/>
      <c r="CB825" s="162"/>
      <c r="CC825" s="162"/>
      <c r="CD825" s="162"/>
      <c r="CE825" s="162"/>
      <c r="CF825" s="230"/>
      <c r="CG825" s="230"/>
      <c r="CH825" s="162"/>
      <c r="CI825" s="162"/>
      <c r="CJ825" s="162"/>
      <c r="CK825" s="162"/>
      <c r="CL825" s="162"/>
      <c r="CM825" s="230"/>
      <c r="CN825" s="230"/>
      <c r="CO825" s="162"/>
      <c r="CP825" s="162"/>
      <c r="CQ825" s="162"/>
      <c r="CR825" s="162"/>
      <c r="CS825" s="162"/>
      <c r="CT825" s="230"/>
      <c r="CU825" s="230"/>
      <c r="CV825" s="162"/>
      <c r="CW825" s="162"/>
      <c r="CX825" s="162"/>
      <c r="CY825" s="162"/>
      <c r="CZ825" s="162"/>
      <c r="DA825" s="230"/>
      <c r="DB825" s="230"/>
      <c r="DC825" s="162"/>
      <c r="DD825" s="162"/>
      <c r="DE825" s="162"/>
      <c r="DF825" s="162"/>
      <c r="DG825" s="162"/>
      <c r="DH825" s="230"/>
      <c r="DI825" s="230"/>
      <c r="DJ825" s="162"/>
      <c r="DK825" s="162"/>
      <c r="DL825" s="147"/>
      <c r="DM825" s="147"/>
      <c r="DN825" s="147"/>
      <c r="DO825" s="147"/>
      <c r="DP825" s="147"/>
      <c r="DQ825" s="147"/>
      <c r="DR825" s="147"/>
      <c r="DS825" s="147"/>
      <c r="DT825" s="147"/>
      <c r="DU825" s="147"/>
      <c r="DV825" s="147"/>
      <c r="DW825" s="147"/>
      <c r="DX825" s="147"/>
      <c r="DY825" s="147"/>
      <c r="DZ825" s="147"/>
      <c r="EA825" s="147"/>
      <c r="EB825" s="147"/>
      <c r="EC825" s="147"/>
      <c r="ED825" s="147"/>
      <c r="EE825" s="147"/>
      <c r="EF825" s="147"/>
      <c r="EG825" s="147"/>
      <c r="EH825" s="147"/>
    </row>
    <row r="826" spans="1:138" x14ac:dyDescent="0.25">
      <c r="A826" s="147"/>
      <c r="B826" s="147"/>
      <c r="C826" s="160"/>
      <c r="D826" s="160"/>
      <c r="E826" s="169"/>
      <c r="F826" s="229"/>
      <c r="G826" s="165"/>
      <c r="H826" s="165"/>
      <c r="I826" s="163"/>
      <c r="J826" s="163"/>
      <c r="K826" s="162"/>
      <c r="L826" s="162"/>
      <c r="M826" s="162"/>
      <c r="N826" s="230"/>
      <c r="O826" s="230"/>
      <c r="P826" s="162"/>
      <c r="Q826" s="162"/>
      <c r="R826" s="162"/>
      <c r="S826" s="162"/>
      <c r="T826" s="162"/>
      <c r="U826" s="230"/>
      <c r="V826" s="230"/>
      <c r="W826" s="162"/>
      <c r="X826" s="162"/>
      <c r="Y826" s="162"/>
      <c r="Z826" s="162"/>
      <c r="AA826" s="162"/>
      <c r="AB826" s="230"/>
      <c r="AC826" s="230"/>
      <c r="AD826" s="162"/>
      <c r="AE826" s="162"/>
      <c r="AF826" s="162"/>
      <c r="AG826" s="162"/>
      <c r="AH826" s="162"/>
      <c r="AI826" s="230"/>
      <c r="AJ826" s="230"/>
      <c r="AK826" s="162"/>
      <c r="AL826" s="162"/>
      <c r="AM826" s="162"/>
      <c r="AN826" s="162"/>
      <c r="AO826" s="162"/>
      <c r="AP826" s="230"/>
      <c r="AQ826" s="230"/>
      <c r="AR826" s="162"/>
      <c r="AS826" s="162"/>
      <c r="AT826" s="162"/>
      <c r="AU826" s="162"/>
      <c r="AV826" s="162"/>
      <c r="AW826" s="230"/>
      <c r="AX826" s="230"/>
      <c r="AY826" s="162"/>
      <c r="AZ826" s="162"/>
      <c r="BA826" s="162"/>
      <c r="BB826" s="162"/>
      <c r="BC826" s="162"/>
      <c r="BD826" s="230"/>
      <c r="BE826" s="230"/>
      <c r="BF826" s="162"/>
      <c r="BG826" s="162"/>
      <c r="BH826" s="162"/>
      <c r="BI826" s="162"/>
      <c r="BJ826" s="162"/>
      <c r="BK826" s="230"/>
      <c r="BL826" s="230"/>
      <c r="BM826" s="162"/>
      <c r="BN826" s="162"/>
      <c r="BO826" s="162"/>
      <c r="BP826" s="162"/>
      <c r="BQ826" s="162"/>
      <c r="BR826" s="230"/>
      <c r="BS826" s="230"/>
      <c r="BT826" s="162"/>
      <c r="BU826" s="162"/>
      <c r="BV826" s="162"/>
      <c r="BW826" s="162"/>
      <c r="BX826" s="162"/>
      <c r="BY826" s="230"/>
      <c r="BZ826" s="230"/>
      <c r="CA826" s="162"/>
      <c r="CB826" s="162"/>
      <c r="CC826" s="162"/>
      <c r="CD826" s="162"/>
      <c r="CE826" s="162"/>
      <c r="CF826" s="230"/>
      <c r="CG826" s="230"/>
      <c r="CH826" s="162"/>
      <c r="CI826" s="162"/>
      <c r="CJ826" s="162"/>
      <c r="CK826" s="162"/>
      <c r="CL826" s="162"/>
      <c r="CM826" s="230"/>
      <c r="CN826" s="230"/>
      <c r="CO826" s="162"/>
      <c r="CP826" s="162"/>
      <c r="CQ826" s="162"/>
      <c r="CR826" s="162"/>
      <c r="CS826" s="162"/>
      <c r="CT826" s="230"/>
      <c r="CU826" s="230"/>
      <c r="CV826" s="162"/>
      <c r="CW826" s="162"/>
      <c r="CX826" s="162"/>
      <c r="CY826" s="162"/>
      <c r="CZ826" s="162"/>
      <c r="DA826" s="230"/>
      <c r="DB826" s="230"/>
      <c r="DC826" s="162"/>
      <c r="DD826" s="162"/>
      <c r="DE826" s="162"/>
      <c r="DF826" s="162"/>
      <c r="DG826" s="162"/>
      <c r="DH826" s="230"/>
      <c r="DI826" s="230"/>
      <c r="DJ826" s="162"/>
      <c r="DK826" s="162"/>
      <c r="DL826" s="147"/>
      <c r="DM826" s="147"/>
      <c r="DN826" s="147"/>
      <c r="DO826" s="147"/>
      <c r="DP826" s="147"/>
      <c r="DQ826" s="147"/>
      <c r="DR826" s="147"/>
      <c r="DS826" s="147"/>
      <c r="DT826" s="147"/>
      <c r="DU826" s="147"/>
      <c r="DV826" s="147"/>
      <c r="DW826" s="147"/>
      <c r="DX826" s="147"/>
      <c r="DY826" s="147"/>
      <c r="DZ826" s="147"/>
      <c r="EA826" s="147"/>
      <c r="EB826" s="147"/>
      <c r="EC826" s="147"/>
      <c r="ED826" s="147"/>
      <c r="EE826" s="147"/>
      <c r="EF826" s="147"/>
      <c r="EG826" s="147"/>
      <c r="EH826" s="147"/>
    </row>
    <row r="827" spans="1:138" x14ac:dyDescent="0.25">
      <c r="A827" s="147"/>
      <c r="B827" s="147"/>
      <c r="C827" s="160"/>
      <c r="D827" s="160"/>
      <c r="E827" s="169"/>
      <c r="F827" s="229"/>
      <c r="G827" s="165"/>
      <c r="H827" s="165"/>
      <c r="I827" s="163"/>
      <c r="J827" s="163"/>
      <c r="K827" s="162"/>
      <c r="L827" s="162"/>
      <c r="M827" s="162"/>
      <c r="N827" s="230"/>
      <c r="O827" s="230"/>
      <c r="P827" s="162"/>
      <c r="Q827" s="162"/>
      <c r="R827" s="162"/>
      <c r="S827" s="162"/>
      <c r="T827" s="162"/>
      <c r="U827" s="230"/>
      <c r="V827" s="230"/>
      <c r="W827" s="162"/>
      <c r="X827" s="162"/>
      <c r="Y827" s="162"/>
      <c r="Z827" s="162"/>
      <c r="AA827" s="162"/>
      <c r="AB827" s="230"/>
      <c r="AC827" s="230"/>
      <c r="AD827" s="162"/>
      <c r="AE827" s="162"/>
      <c r="AF827" s="162"/>
      <c r="AG827" s="162"/>
      <c r="AH827" s="162"/>
      <c r="AI827" s="230"/>
      <c r="AJ827" s="230"/>
      <c r="AK827" s="162"/>
      <c r="AL827" s="162"/>
      <c r="AM827" s="162"/>
      <c r="AN827" s="162"/>
      <c r="AO827" s="162"/>
      <c r="AP827" s="230"/>
      <c r="AQ827" s="230"/>
      <c r="AR827" s="162"/>
      <c r="AS827" s="162"/>
      <c r="AT827" s="162"/>
      <c r="AU827" s="162"/>
      <c r="AV827" s="162"/>
      <c r="AW827" s="230"/>
      <c r="AX827" s="230"/>
      <c r="AY827" s="162"/>
      <c r="AZ827" s="162"/>
      <c r="BA827" s="162"/>
      <c r="BB827" s="162"/>
      <c r="BC827" s="162"/>
      <c r="BD827" s="230"/>
      <c r="BE827" s="230"/>
      <c r="BF827" s="162"/>
      <c r="BG827" s="162"/>
      <c r="BH827" s="162"/>
      <c r="BI827" s="162"/>
      <c r="BJ827" s="162"/>
      <c r="BK827" s="230"/>
      <c r="BL827" s="230"/>
      <c r="BM827" s="162"/>
      <c r="BN827" s="162"/>
      <c r="BO827" s="162"/>
      <c r="BP827" s="162"/>
      <c r="BQ827" s="162"/>
      <c r="BR827" s="230"/>
      <c r="BS827" s="230"/>
      <c r="BT827" s="162"/>
      <c r="BU827" s="162"/>
      <c r="BV827" s="162"/>
      <c r="BW827" s="162"/>
      <c r="BX827" s="162"/>
      <c r="BY827" s="230"/>
      <c r="BZ827" s="230"/>
      <c r="CA827" s="162"/>
      <c r="CB827" s="162"/>
      <c r="CC827" s="162"/>
      <c r="CD827" s="162"/>
      <c r="CE827" s="162"/>
      <c r="CF827" s="230"/>
      <c r="CG827" s="230"/>
      <c r="CH827" s="162"/>
      <c r="CI827" s="162"/>
      <c r="CJ827" s="162"/>
      <c r="CK827" s="162"/>
      <c r="CL827" s="162"/>
      <c r="CM827" s="230"/>
      <c r="CN827" s="230"/>
      <c r="CO827" s="162"/>
      <c r="CP827" s="162"/>
      <c r="CQ827" s="162"/>
      <c r="CR827" s="162"/>
      <c r="CS827" s="162"/>
      <c r="CT827" s="230"/>
      <c r="CU827" s="230"/>
      <c r="CV827" s="162"/>
      <c r="CW827" s="162"/>
      <c r="CX827" s="162"/>
      <c r="CY827" s="162"/>
      <c r="CZ827" s="162"/>
      <c r="DA827" s="230"/>
      <c r="DB827" s="230"/>
      <c r="DC827" s="162"/>
      <c r="DD827" s="162"/>
      <c r="DE827" s="162"/>
      <c r="DF827" s="162"/>
      <c r="DG827" s="162"/>
      <c r="DH827" s="230"/>
      <c r="DI827" s="230"/>
      <c r="DJ827" s="162"/>
      <c r="DK827" s="162"/>
      <c r="DL827" s="147"/>
      <c r="DM827" s="147"/>
      <c r="DN827" s="147"/>
      <c r="DO827" s="147"/>
      <c r="DP827" s="147"/>
      <c r="DQ827" s="147"/>
      <c r="DR827" s="147"/>
      <c r="DS827" s="147"/>
      <c r="DT827" s="147"/>
      <c r="DU827" s="147"/>
      <c r="DV827" s="147"/>
      <c r="DW827" s="147"/>
      <c r="DX827" s="147"/>
      <c r="DY827" s="147"/>
      <c r="DZ827" s="147"/>
      <c r="EA827" s="147"/>
      <c r="EB827" s="147"/>
      <c r="EC827" s="147"/>
      <c r="ED827" s="147"/>
      <c r="EE827" s="147"/>
      <c r="EF827" s="147"/>
      <c r="EG827" s="147"/>
      <c r="EH827" s="147"/>
    </row>
    <row r="828" spans="1:138" x14ac:dyDescent="0.25">
      <c r="A828" s="147"/>
      <c r="B828" s="147"/>
      <c r="C828" s="160"/>
      <c r="D828" s="160"/>
      <c r="E828" s="169"/>
      <c r="F828" s="229"/>
      <c r="G828" s="165"/>
      <c r="H828" s="165"/>
      <c r="I828" s="163"/>
      <c r="J828" s="163"/>
      <c r="K828" s="162"/>
      <c r="L828" s="162"/>
      <c r="M828" s="162"/>
      <c r="N828" s="230"/>
      <c r="O828" s="230"/>
      <c r="P828" s="162"/>
      <c r="Q828" s="162"/>
      <c r="R828" s="162"/>
      <c r="S828" s="162"/>
      <c r="T828" s="162"/>
      <c r="U828" s="230"/>
      <c r="V828" s="230"/>
      <c r="W828" s="162"/>
      <c r="X828" s="162"/>
      <c r="Y828" s="162"/>
      <c r="Z828" s="162"/>
      <c r="AA828" s="162"/>
      <c r="AB828" s="230"/>
      <c r="AC828" s="230"/>
      <c r="AD828" s="162"/>
      <c r="AE828" s="162"/>
      <c r="AF828" s="162"/>
      <c r="AG828" s="162"/>
      <c r="AH828" s="162"/>
      <c r="AI828" s="230"/>
      <c r="AJ828" s="230"/>
      <c r="AK828" s="162"/>
      <c r="AL828" s="162"/>
      <c r="AM828" s="162"/>
      <c r="AN828" s="162"/>
      <c r="AO828" s="162"/>
      <c r="AP828" s="230"/>
      <c r="AQ828" s="230"/>
      <c r="AR828" s="162"/>
      <c r="AS828" s="162"/>
      <c r="AT828" s="162"/>
      <c r="AU828" s="162"/>
      <c r="AV828" s="162"/>
      <c r="AW828" s="230"/>
      <c r="AX828" s="230"/>
      <c r="AY828" s="162"/>
      <c r="AZ828" s="162"/>
      <c r="BA828" s="162"/>
      <c r="BB828" s="162"/>
      <c r="BC828" s="162"/>
      <c r="BD828" s="230"/>
      <c r="BE828" s="230"/>
      <c r="BF828" s="162"/>
      <c r="BG828" s="162"/>
      <c r="BH828" s="162"/>
      <c r="BI828" s="162"/>
      <c r="BJ828" s="162"/>
      <c r="BK828" s="230"/>
      <c r="BL828" s="230"/>
      <c r="BM828" s="162"/>
      <c r="BN828" s="162"/>
      <c r="BO828" s="162"/>
      <c r="BP828" s="162"/>
      <c r="BQ828" s="162"/>
      <c r="BR828" s="230"/>
      <c r="BS828" s="230"/>
      <c r="BT828" s="162"/>
      <c r="BU828" s="162"/>
      <c r="BV828" s="162"/>
      <c r="BW828" s="162"/>
      <c r="BX828" s="162"/>
      <c r="BY828" s="230"/>
      <c r="BZ828" s="230"/>
      <c r="CA828" s="162"/>
      <c r="CB828" s="162"/>
      <c r="CC828" s="162"/>
      <c r="CD828" s="162"/>
      <c r="CE828" s="162"/>
      <c r="CF828" s="230"/>
      <c r="CG828" s="230"/>
      <c r="CH828" s="162"/>
      <c r="CI828" s="162"/>
      <c r="CJ828" s="162"/>
      <c r="CK828" s="162"/>
      <c r="CL828" s="162"/>
      <c r="CM828" s="230"/>
      <c r="CN828" s="230"/>
      <c r="CO828" s="162"/>
      <c r="CP828" s="162"/>
      <c r="CQ828" s="162"/>
      <c r="CR828" s="162"/>
      <c r="CS828" s="162"/>
      <c r="CT828" s="230"/>
      <c r="CU828" s="230"/>
      <c r="CV828" s="162"/>
      <c r="CW828" s="162"/>
      <c r="CX828" s="162"/>
      <c r="CY828" s="162"/>
      <c r="CZ828" s="162"/>
      <c r="DA828" s="230"/>
      <c r="DB828" s="230"/>
      <c r="DC828" s="162"/>
      <c r="DD828" s="162"/>
      <c r="DE828" s="162"/>
      <c r="DF828" s="162"/>
      <c r="DG828" s="162"/>
      <c r="DH828" s="230"/>
      <c r="DI828" s="230"/>
      <c r="DJ828" s="162"/>
      <c r="DK828" s="162"/>
      <c r="DL828" s="147"/>
      <c r="DM828" s="147"/>
      <c r="DN828" s="147"/>
      <c r="DO828" s="147"/>
      <c r="DP828" s="147"/>
      <c r="DQ828" s="147"/>
      <c r="DR828" s="147"/>
      <c r="DS828" s="147"/>
      <c r="DT828" s="147"/>
      <c r="DU828" s="147"/>
      <c r="DV828" s="147"/>
      <c r="DW828" s="147"/>
      <c r="DX828" s="147"/>
      <c r="DY828" s="147"/>
      <c r="DZ828" s="147"/>
      <c r="EA828" s="147"/>
      <c r="EB828" s="147"/>
      <c r="EC828" s="147"/>
      <c r="ED828" s="147"/>
      <c r="EE828" s="147"/>
      <c r="EF828" s="147"/>
      <c r="EG828" s="147"/>
      <c r="EH828" s="147"/>
    </row>
    <row r="829" spans="1:138" x14ac:dyDescent="0.25">
      <c r="A829" s="147"/>
      <c r="B829" s="147"/>
      <c r="C829" s="160"/>
      <c r="D829" s="160"/>
      <c r="E829" s="169"/>
      <c r="F829" s="229"/>
      <c r="G829" s="165"/>
      <c r="H829" s="165"/>
      <c r="I829" s="163"/>
      <c r="J829" s="163"/>
      <c r="K829" s="162"/>
      <c r="L829" s="162"/>
      <c r="M829" s="162"/>
      <c r="N829" s="230"/>
      <c r="O829" s="230"/>
      <c r="P829" s="162"/>
      <c r="Q829" s="162"/>
      <c r="R829" s="162"/>
      <c r="S829" s="162"/>
      <c r="T829" s="162"/>
      <c r="U829" s="230"/>
      <c r="V829" s="230"/>
      <c r="W829" s="162"/>
      <c r="X829" s="162"/>
      <c r="Y829" s="162"/>
      <c r="Z829" s="162"/>
      <c r="AA829" s="162"/>
      <c r="AB829" s="230"/>
      <c r="AC829" s="230"/>
      <c r="AD829" s="162"/>
      <c r="AE829" s="162"/>
      <c r="AF829" s="162"/>
      <c r="AG829" s="162"/>
      <c r="AH829" s="162"/>
      <c r="AI829" s="230"/>
      <c r="AJ829" s="230"/>
      <c r="AK829" s="162"/>
      <c r="AL829" s="162"/>
      <c r="AM829" s="162"/>
      <c r="AN829" s="162"/>
      <c r="AO829" s="162"/>
      <c r="AP829" s="230"/>
      <c r="AQ829" s="230"/>
      <c r="AR829" s="162"/>
      <c r="AS829" s="162"/>
      <c r="AT829" s="162"/>
      <c r="AU829" s="162"/>
      <c r="AV829" s="162"/>
      <c r="AW829" s="230"/>
      <c r="AX829" s="230"/>
      <c r="AY829" s="162"/>
      <c r="AZ829" s="162"/>
      <c r="BA829" s="162"/>
      <c r="BB829" s="162"/>
      <c r="BC829" s="162"/>
      <c r="BD829" s="230"/>
      <c r="BE829" s="230"/>
      <c r="BF829" s="162"/>
      <c r="BG829" s="162"/>
      <c r="BH829" s="162"/>
      <c r="BI829" s="162"/>
      <c r="BJ829" s="162"/>
      <c r="BK829" s="230"/>
      <c r="BL829" s="230"/>
      <c r="BM829" s="162"/>
      <c r="BN829" s="162"/>
      <c r="BO829" s="162"/>
      <c r="BP829" s="162"/>
      <c r="BQ829" s="162"/>
      <c r="BR829" s="230"/>
      <c r="BS829" s="230"/>
      <c r="BT829" s="162"/>
      <c r="BU829" s="162"/>
      <c r="BV829" s="162"/>
      <c r="BW829" s="162"/>
      <c r="BX829" s="162"/>
      <c r="BY829" s="230"/>
      <c r="BZ829" s="230"/>
      <c r="CA829" s="162"/>
      <c r="CB829" s="162"/>
      <c r="CC829" s="162"/>
      <c r="CD829" s="162"/>
      <c r="CE829" s="162"/>
      <c r="CF829" s="230"/>
      <c r="CG829" s="230"/>
      <c r="CH829" s="162"/>
      <c r="CI829" s="162"/>
      <c r="CJ829" s="162"/>
      <c r="CK829" s="162"/>
      <c r="CL829" s="162"/>
      <c r="CM829" s="230"/>
      <c r="CN829" s="230"/>
      <c r="CO829" s="162"/>
      <c r="CP829" s="162"/>
      <c r="CQ829" s="162"/>
      <c r="CR829" s="162"/>
      <c r="CS829" s="162"/>
      <c r="CT829" s="230"/>
      <c r="CU829" s="230"/>
      <c r="CV829" s="162"/>
      <c r="CW829" s="162"/>
      <c r="CX829" s="162"/>
      <c r="CY829" s="162"/>
      <c r="CZ829" s="162"/>
      <c r="DA829" s="230"/>
      <c r="DB829" s="230"/>
      <c r="DC829" s="162"/>
      <c r="DD829" s="162"/>
      <c r="DE829" s="162"/>
      <c r="DF829" s="162"/>
      <c r="DG829" s="162"/>
      <c r="DH829" s="230"/>
      <c r="DI829" s="230"/>
      <c r="DJ829" s="162"/>
      <c r="DK829" s="162"/>
      <c r="DL829" s="147"/>
      <c r="DM829" s="147"/>
      <c r="DN829" s="147"/>
      <c r="DO829" s="147"/>
      <c r="DP829" s="147"/>
      <c r="DQ829" s="147"/>
      <c r="DR829" s="147"/>
      <c r="DS829" s="147"/>
      <c r="DT829" s="147"/>
      <c r="DU829" s="147"/>
      <c r="DV829" s="147"/>
      <c r="DW829" s="147"/>
      <c r="DX829" s="147"/>
      <c r="DY829" s="147"/>
      <c r="DZ829" s="147"/>
      <c r="EA829" s="147"/>
      <c r="EB829" s="147"/>
      <c r="EC829" s="147"/>
      <c r="ED829" s="147"/>
      <c r="EE829" s="147"/>
      <c r="EF829" s="147"/>
      <c r="EG829" s="147"/>
      <c r="EH829" s="147"/>
    </row>
    <row r="830" spans="1:138" x14ac:dyDescent="0.25">
      <c r="A830" s="147"/>
      <c r="B830" s="147"/>
      <c r="C830" s="160"/>
      <c r="D830" s="160"/>
      <c r="E830" s="169"/>
      <c r="F830" s="229"/>
      <c r="G830" s="165"/>
      <c r="H830" s="165"/>
      <c r="I830" s="163"/>
      <c r="J830" s="163"/>
      <c r="K830" s="162"/>
      <c r="L830" s="162"/>
      <c r="M830" s="162"/>
      <c r="N830" s="230"/>
      <c r="O830" s="230"/>
      <c r="P830" s="162"/>
      <c r="Q830" s="162"/>
      <c r="R830" s="162"/>
      <c r="S830" s="162"/>
      <c r="T830" s="162"/>
      <c r="U830" s="230"/>
      <c r="V830" s="230"/>
      <c r="W830" s="162"/>
      <c r="X830" s="162"/>
      <c r="Y830" s="162"/>
      <c r="Z830" s="162"/>
      <c r="AA830" s="162"/>
      <c r="AB830" s="230"/>
      <c r="AC830" s="230"/>
      <c r="AD830" s="162"/>
      <c r="AE830" s="162"/>
      <c r="AF830" s="162"/>
      <c r="AG830" s="162"/>
      <c r="AH830" s="162"/>
      <c r="AI830" s="230"/>
      <c r="AJ830" s="230"/>
      <c r="AK830" s="162"/>
      <c r="AL830" s="162"/>
      <c r="AM830" s="162"/>
      <c r="AN830" s="162"/>
      <c r="AO830" s="162"/>
      <c r="AP830" s="230"/>
      <c r="AQ830" s="230"/>
      <c r="AR830" s="162"/>
      <c r="AS830" s="162"/>
      <c r="AT830" s="162"/>
      <c r="AU830" s="162"/>
      <c r="AV830" s="162"/>
      <c r="AW830" s="230"/>
      <c r="AX830" s="230"/>
      <c r="AY830" s="162"/>
      <c r="AZ830" s="162"/>
      <c r="BA830" s="162"/>
      <c r="BB830" s="162"/>
      <c r="BC830" s="162"/>
      <c r="BD830" s="230"/>
      <c r="BE830" s="230"/>
      <c r="BF830" s="162"/>
      <c r="BG830" s="162"/>
      <c r="BH830" s="162"/>
      <c r="BI830" s="162"/>
      <c r="BJ830" s="162"/>
      <c r="BK830" s="230"/>
      <c r="BL830" s="230"/>
      <c r="BM830" s="162"/>
      <c r="BN830" s="162"/>
      <c r="BO830" s="162"/>
      <c r="BP830" s="162"/>
      <c r="BQ830" s="162"/>
      <c r="BR830" s="230"/>
      <c r="BS830" s="230"/>
      <c r="BT830" s="162"/>
      <c r="BU830" s="162"/>
      <c r="BV830" s="162"/>
      <c r="BW830" s="162"/>
      <c r="BX830" s="162"/>
      <c r="BY830" s="230"/>
      <c r="BZ830" s="230"/>
      <c r="CA830" s="162"/>
      <c r="CB830" s="162"/>
      <c r="CC830" s="162"/>
      <c r="CD830" s="162"/>
      <c r="CE830" s="162"/>
      <c r="CF830" s="230"/>
      <c r="CG830" s="230"/>
      <c r="CH830" s="162"/>
      <c r="CI830" s="162"/>
      <c r="CJ830" s="162"/>
      <c r="CK830" s="162"/>
      <c r="CL830" s="162"/>
      <c r="CM830" s="230"/>
      <c r="CN830" s="230"/>
      <c r="CO830" s="162"/>
      <c r="CP830" s="162"/>
      <c r="CQ830" s="162"/>
      <c r="CR830" s="162"/>
      <c r="CS830" s="162"/>
      <c r="CT830" s="230"/>
      <c r="CU830" s="230"/>
      <c r="CV830" s="162"/>
      <c r="CW830" s="162"/>
      <c r="CX830" s="162"/>
      <c r="CY830" s="162"/>
      <c r="CZ830" s="162"/>
      <c r="DA830" s="230"/>
      <c r="DB830" s="230"/>
      <c r="DC830" s="162"/>
      <c r="DD830" s="162"/>
      <c r="DE830" s="162"/>
      <c r="DF830" s="162"/>
      <c r="DG830" s="162"/>
      <c r="DH830" s="230"/>
      <c r="DI830" s="230"/>
      <c r="DJ830" s="162"/>
      <c r="DK830" s="162"/>
      <c r="DL830" s="147"/>
      <c r="DM830" s="147"/>
      <c r="DN830" s="147"/>
      <c r="DO830" s="147"/>
      <c r="DP830" s="147"/>
      <c r="DQ830" s="147"/>
      <c r="DR830" s="147"/>
      <c r="DS830" s="147"/>
      <c r="DT830" s="147"/>
      <c r="DU830" s="147"/>
      <c r="DV830" s="147"/>
      <c r="DW830" s="147"/>
      <c r="DX830" s="147"/>
      <c r="DY830" s="147"/>
      <c r="DZ830" s="147"/>
      <c r="EA830" s="147"/>
      <c r="EB830" s="147"/>
      <c r="EC830" s="147"/>
      <c r="ED830" s="147"/>
      <c r="EE830" s="147"/>
      <c r="EF830" s="147"/>
      <c r="EG830" s="147"/>
      <c r="EH830" s="147"/>
    </row>
    <row r="831" spans="1:138" x14ac:dyDescent="0.25">
      <c r="A831" s="147"/>
      <c r="B831" s="147"/>
      <c r="C831" s="160"/>
      <c r="D831" s="160"/>
      <c r="E831" s="169"/>
      <c r="F831" s="229"/>
      <c r="G831" s="165"/>
      <c r="H831" s="165"/>
      <c r="I831" s="163"/>
      <c r="J831" s="163"/>
      <c r="K831" s="162"/>
      <c r="L831" s="162"/>
      <c r="M831" s="162"/>
      <c r="N831" s="230"/>
      <c r="O831" s="230"/>
      <c r="P831" s="162"/>
      <c r="Q831" s="162"/>
      <c r="R831" s="162"/>
      <c r="S831" s="162"/>
      <c r="T831" s="162"/>
      <c r="U831" s="230"/>
      <c r="V831" s="230"/>
      <c r="W831" s="162"/>
      <c r="X831" s="162"/>
      <c r="Y831" s="162"/>
      <c r="Z831" s="162"/>
      <c r="AA831" s="162"/>
      <c r="AB831" s="230"/>
      <c r="AC831" s="230"/>
      <c r="AD831" s="162"/>
      <c r="AE831" s="162"/>
      <c r="AF831" s="162"/>
      <c r="AG831" s="162"/>
      <c r="AH831" s="162"/>
      <c r="AI831" s="230"/>
      <c r="AJ831" s="230"/>
      <c r="AK831" s="162"/>
      <c r="AL831" s="162"/>
      <c r="AM831" s="162"/>
      <c r="AN831" s="162"/>
      <c r="AO831" s="162"/>
      <c r="AP831" s="230"/>
      <c r="AQ831" s="230"/>
      <c r="AR831" s="162"/>
      <c r="AS831" s="162"/>
      <c r="AT831" s="162"/>
      <c r="AU831" s="162"/>
      <c r="AV831" s="162"/>
      <c r="AW831" s="230"/>
      <c r="AX831" s="230"/>
      <c r="AY831" s="162"/>
      <c r="AZ831" s="162"/>
      <c r="BA831" s="162"/>
      <c r="BB831" s="162"/>
      <c r="BC831" s="162"/>
      <c r="BD831" s="230"/>
      <c r="BE831" s="230"/>
      <c r="BF831" s="162"/>
      <c r="BG831" s="162"/>
      <c r="BH831" s="162"/>
      <c r="BI831" s="162"/>
      <c r="BJ831" s="162"/>
      <c r="BK831" s="230"/>
      <c r="BL831" s="230"/>
      <c r="BM831" s="162"/>
      <c r="BN831" s="162"/>
      <c r="BO831" s="162"/>
      <c r="BP831" s="162"/>
      <c r="BQ831" s="162"/>
      <c r="BR831" s="230"/>
      <c r="BS831" s="230"/>
      <c r="BT831" s="162"/>
      <c r="BU831" s="162"/>
      <c r="BV831" s="162"/>
      <c r="BW831" s="162"/>
      <c r="BX831" s="162"/>
      <c r="BY831" s="230"/>
      <c r="BZ831" s="230"/>
      <c r="CA831" s="162"/>
      <c r="CB831" s="162"/>
      <c r="CC831" s="162"/>
      <c r="CD831" s="162"/>
      <c r="CE831" s="162"/>
      <c r="CF831" s="230"/>
      <c r="CG831" s="230"/>
      <c r="CH831" s="162"/>
      <c r="CI831" s="162"/>
      <c r="CJ831" s="162"/>
      <c r="CK831" s="162"/>
      <c r="CL831" s="162"/>
      <c r="CM831" s="230"/>
      <c r="CN831" s="230"/>
      <c r="CO831" s="162"/>
      <c r="CP831" s="162"/>
      <c r="CQ831" s="162"/>
      <c r="CR831" s="162"/>
      <c r="CS831" s="162"/>
      <c r="CT831" s="230"/>
      <c r="CU831" s="230"/>
      <c r="CV831" s="162"/>
      <c r="CW831" s="162"/>
      <c r="CX831" s="162"/>
      <c r="CY831" s="162"/>
      <c r="CZ831" s="162"/>
      <c r="DA831" s="230"/>
      <c r="DB831" s="230"/>
      <c r="DC831" s="162"/>
      <c r="DD831" s="162"/>
      <c r="DE831" s="162"/>
      <c r="DF831" s="162"/>
      <c r="DG831" s="162"/>
      <c r="DH831" s="230"/>
      <c r="DI831" s="230"/>
      <c r="DJ831" s="162"/>
      <c r="DK831" s="162"/>
      <c r="DL831" s="147"/>
      <c r="DM831" s="147"/>
      <c r="DN831" s="147"/>
      <c r="DO831" s="147"/>
      <c r="DP831" s="147"/>
      <c r="DQ831" s="147"/>
      <c r="DR831" s="147"/>
      <c r="DS831" s="147"/>
      <c r="DT831" s="147"/>
      <c r="DU831" s="147"/>
      <c r="DV831" s="147"/>
      <c r="DW831" s="147"/>
      <c r="DX831" s="147"/>
      <c r="DY831" s="147"/>
      <c r="DZ831" s="147"/>
      <c r="EA831" s="147"/>
      <c r="EB831" s="147"/>
      <c r="EC831" s="147"/>
      <c r="ED831" s="147"/>
      <c r="EE831" s="147"/>
      <c r="EF831" s="147"/>
      <c r="EG831" s="147"/>
      <c r="EH831" s="147"/>
    </row>
    <row r="832" spans="1:138" x14ac:dyDescent="0.25">
      <c r="A832" s="147"/>
      <c r="B832" s="147"/>
      <c r="C832" s="160"/>
      <c r="D832" s="160"/>
      <c r="E832" s="169"/>
      <c r="F832" s="229"/>
      <c r="G832" s="165"/>
      <c r="H832" s="165"/>
      <c r="I832" s="163"/>
      <c r="J832" s="163"/>
      <c r="K832" s="162"/>
      <c r="L832" s="162"/>
      <c r="M832" s="162"/>
      <c r="N832" s="230"/>
      <c r="O832" s="230"/>
      <c r="P832" s="162"/>
      <c r="Q832" s="162"/>
      <c r="R832" s="162"/>
      <c r="S832" s="162"/>
      <c r="T832" s="162"/>
      <c r="U832" s="230"/>
      <c r="V832" s="230"/>
      <c r="W832" s="162"/>
      <c r="X832" s="162"/>
      <c r="Y832" s="162"/>
      <c r="Z832" s="162"/>
      <c r="AA832" s="162"/>
      <c r="AB832" s="230"/>
      <c r="AC832" s="230"/>
      <c r="AD832" s="162"/>
      <c r="AE832" s="162"/>
      <c r="AF832" s="162"/>
      <c r="AG832" s="162"/>
      <c r="AH832" s="162"/>
      <c r="AI832" s="230"/>
      <c r="AJ832" s="230"/>
      <c r="AK832" s="162"/>
      <c r="AL832" s="162"/>
      <c r="AM832" s="162"/>
      <c r="AN832" s="162"/>
      <c r="AO832" s="162"/>
      <c r="AP832" s="230"/>
      <c r="AQ832" s="230"/>
      <c r="AR832" s="162"/>
      <c r="AS832" s="162"/>
      <c r="AT832" s="162"/>
      <c r="AU832" s="162"/>
      <c r="AV832" s="162"/>
      <c r="AW832" s="230"/>
      <c r="AX832" s="230"/>
      <c r="AY832" s="162"/>
      <c r="AZ832" s="162"/>
      <c r="BA832" s="162"/>
      <c r="BB832" s="162"/>
      <c r="BC832" s="162"/>
      <c r="BD832" s="230"/>
      <c r="BE832" s="230"/>
      <c r="BF832" s="162"/>
      <c r="BG832" s="162"/>
      <c r="BH832" s="162"/>
      <c r="BI832" s="162"/>
      <c r="BJ832" s="162"/>
      <c r="BK832" s="230"/>
      <c r="BL832" s="230"/>
      <c r="BM832" s="162"/>
      <c r="BN832" s="162"/>
      <c r="BO832" s="162"/>
      <c r="BP832" s="162"/>
      <c r="BQ832" s="162"/>
      <c r="BR832" s="230"/>
      <c r="BS832" s="230"/>
      <c r="BT832" s="162"/>
      <c r="BU832" s="162"/>
      <c r="BV832" s="162"/>
      <c r="BW832" s="162"/>
      <c r="BX832" s="162"/>
      <c r="BY832" s="230"/>
      <c r="BZ832" s="230"/>
      <c r="CA832" s="162"/>
      <c r="CB832" s="162"/>
      <c r="CC832" s="162"/>
      <c r="CD832" s="162"/>
      <c r="CE832" s="162"/>
      <c r="CF832" s="230"/>
      <c r="CG832" s="230"/>
      <c r="CH832" s="162"/>
      <c r="CI832" s="162"/>
      <c r="CJ832" s="162"/>
      <c r="CK832" s="162"/>
      <c r="CL832" s="162"/>
      <c r="CM832" s="230"/>
      <c r="CN832" s="230"/>
      <c r="CO832" s="162"/>
      <c r="CP832" s="162"/>
      <c r="CQ832" s="162"/>
      <c r="CR832" s="162"/>
      <c r="CS832" s="162"/>
      <c r="CT832" s="230"/>
      <c r="CU832" s="230"/>
      <c r="CV832" s="162"/>
      <c r="CW832" s="162"/>
      <c r="CX832" s="162"/>
      <c r="CY832" s="162"/>
      <c r="CZ832" s="162"/>
      <c r="DA832" s="230"/>
      <c r="DB832" s="230"/>
      <c r="DC832" s="162"/>
      <c r="DD832" s="162"/>
      <c r="DE832" s="162"/>
      <c r="DF832" s="162"/>
      <c r="DG832" s="162"/>
      <c r="DH832" s="230"/>
      <c r="DI832" s="230"/>
      <c r="DJ832" s="162"/>
      <c r="DK832" s="162"/>
      <c r="DL832" s="147"/>
      <c r="DM832" s="147"/>
      <c r="DN832" s="147"/>
      <c r="DO832" s="147"/>
      <c r="DP832" s="147"/>
      <c r="DQ832" s="147"/>
      <c r="DR832" s="147"/>
      <c r="DS832" s="147"/>
      <c r="DT832" s="147"/>
      <c r="DU832" s="147"/>
      <c r="DV832" s="147"/>
      <c r="DW832" s="147"/>
      <c r="DX832" s="147"/>
      <c r="DY832" s="147"/>
      <c r="DZ832" s="147"/>
      <c r="EA832" s="147"/>
      <c r="EB832" s="147"/>
      <c r="EC832" s="147"/>
      <c r="ED832" s="147"/>
      <c r="EE832" s="147"/>
      <c r="EF832" s="147"/>
      <c r="EG832" s="147"/>
      <c r="EH832" s="147"/>
    </row>
    <row r="833" spans="1:138" x14ac:dyDescent="0.25">
      <c r="A833" s="147"/>
      <c r="B833" s="147"/>
      <c r="C833" s="160"/>
      <c r="D833" s="160"/>
      <c r="E833" s="169"/>
      <c r="F833" s="229"/>
      <c r="G833" s="165"/>
      <c r="H833" s="165"/>
      <c r="I833" s="163"/>
      <c r="J833" s="163"/>
      <c r="K833" s="162"/>
      <c r="L833" s="162"/>
      <c r="M833" s="162"/>
      <c r="N833" s="230"/>
      <c r="O833" s="230"/>
      <c r="P833" s="162"/>
      <c r="Q833" s="162"/>
      <c r="R833" s="162"/>
      <c r="S833" s="162"/>
      <c r="T833" s="162"/>
      <c r="U833" s="230"/>
      <c r="V833" s="230"/>
      <c r="W833" s="162"/>
      <c r="X833" s="162"/>
      <c r="Y833" s="162"/>
      <c r="Z833" s="162"/>
      <c r="AA833" s="162"/>
      <c r="AB833" s="230"/>
      <c r="AC833" s="230"/>
      <c r="AD833" s="162"/>
      <c r="AE833" s="162"/>
      <c r="AF833" s="162"/>
      <c r="AG833" s="162"/>
      <c r="AH833" s="162"/>
      <c r="AI833" s="230"/>
      <c r="AJ833" s="230"/>
      <c r="AK833" s="162"/>
      <c r="AL833" s="162"/>
      <c r="AM833" s="162"/>
      <c r="AN833" s="162"/>
      <c r="AO833" s="162"/>
      <c r="AP833" s="230"/>
      <c r="AQ833" s="230"/>
      <c r="AR833" s="162"/>
      <c r="AS833" s="162"/>
      <c r="AT833" s="162"/>
      <c r="AU833" s="162"/>
      <c r="AV833" s="162"/>
      <c r="AW833" s="230"/>
      <c r="AX833" s="230"/>
      <c r="AY833" s="162"/>
      <c r="AZ833" s="162"/>
      <c r="BA833" s="162"/>
      <c r="BB833" s="162"/>
      <c r="BC833" s="162"/>
      <c r="BD833" s="230"/>
      <c r="BE833" s="230"/>
      <c r="BF833" s="162"/>
      <c r="BG833" s="162"/>
      <c r="BH833" s="162"/>
      <c r="BI833" s="162"/>
      <c r="BJ833" s="162"/>
      <c r="BK833" s="230"/>
      <c r="BL833" s="230"/>
      <c r="BM833" s="162"/>
      <c r="BN833" s="162"/>
      <c r="BO833" s="162"/>
      <c r="BP833" s="162"/>
      <c r="BQ833" s="162"/>
      <c r="BR833" s="230"/>
      <c r="BS833" s="230"/>
      <c r="BT833" s="162"/>
      <c r="BU833" s="162"/>
      <c r="BV833" s="162"/>
      <c r="BW833" s="162"/>
      <c r="BX833" s="162"/>
      <c r="BY833" s="230"/>
      <c r="BZ833" s="230"/>
      <c r="CA833" s="162"/>
      <c r="CB833" s="162"/>
      <c r="CC833" s="162"/>
      <c r="CD833" s="162"/>
      <c r="CE833" s="162"/>
      <c r="CF833" s="230"/>
      <c r="CG833" s="230"/>
      <c r="CH833" s="162"/>
      <c r="CI833" s="162"/>
      <c r="CJ833" s="162"/>
      <c r="CK833" s="162"/>
      <c r="CL833" s="162"/>
      <c r="CM833" s="230"/>
      <c r="CN833" s="230"/>
      <c r="CO833" s="162"/>
      <c r="CP833" s="162"/>
      <c r="CQ833" s="162"/>
      <c r="CR833" s="162"/>
      <c r="CS833" s="162"/>
      <c r="CT833" s="230"/>
      <c r="CU833" s="230"/>
      <c r="CV833" s="162"/>
      <c r="CW833" s="162"/>
      <c r="CX833" s="162"/>
      <c r="CY833" s="162"/>
      <c r="CZ833" s="162"/>
      <c r="DA833" s="230"/>
      <c r="DB833" s="230"/>
      <c r="DC833" s="162"/>
      <c r="DD833" s="162"/>
      <c r="DE833" s="162"/>
      <c r="DF833" s="162"/>
      <c r="DG833" s="162"/>
      <c r="DH833" s="230"/>
      <c r="DI833" s="230"/>
      <c r="DJ833" s="162"/>
      <c r="DK833" s="162"/>
      <c r="DL833" s="147"/>
      <c r="DM833" s="147"/>
      <c r="DN833" s="147"/>
      <c r="DO833" s="147"/>
      <c r="DP833" s="147"/>
      <c r="DQ833" s="147"/>
      <c r="DR833" s="147"/>
      <c r="DS833" s="147"/>
      <c r="DT833" s="147"/>
      <c r="DU833" s="147"/>
      <c r="DV833" s="147"/>
      <c r="DW833" s="147"/>
      <c r="DX833" s="147"/>
      <c r="DY833" s="147"/>
      <c r="DZ833" s="147"/>
      <c r="EA833" s="147"/>
      <c r="EB833" s="147"/>
      <c r="EC833" s="147"/>
      <c r="ED833" s="147"/>
      <c r="EE833" s="147"/>
      <c r="EF833" s="147"/>
      <c r="EG833" s="147"/>
      <c r="EH833" s="147"/>
    </row>
    <row r="834" spans="1:138" x14ac:dyDescent="0.25">
      <c r="A834" s="147"/>
      <c r="B834" s="147"/>
      <c r="C834" s="160"/>
      <c r="D834" s="160"/>
      <c r="E834" s="169"/>
      <c r="F834" s="229"/>
      <c r="G834" s="165"/>
      <c r="H834" s="165"/>
      <c r="I834" s="163"/>
      <c r="J834" s="163"/>
      <c r="K834" s="162"/>
      <c r="L834" s="162"/>
      <c r="M834" s="162"/>
      <c r="N834" s="230"/>
      <c r="O834" s="230"/>
      <c r="P834" s="162"/>
      <c r="Q834" s="162"/>
      <c r="R834" s="162"/>
      <c r="S834" s="162"/>
      <c r="T834" s="162"/>
      <c r="U834" s="230"/>
      <c r="V834" s="230"/>
      <c r="W834" s="162"/>
      <c r="X834" s="162"/>
      <c r="Y834" s="162"/>
      <c r="Z834" s="162"/>
      <c r="AA834" s="162"/>
      <c r="AB834" s="230"/>
      <c r="AC834" s="230"/>
      <c r="AD834" s="162"/>
      <c r="AE834" s="162"/>
      <c r="AF834" s="162"/>
      <c r="AG834" s="162"/>
      <c r="AH834" s="162"/>
      <c r="AI834" s="230"/>
      <c r="AJ834" s="230"/>
      <c r="AK834" s="162"/>
      <c r="AL834" s="162"/>
      <c r="AM834" s="162"/>
      <c r="AN834" s="162"/>
      <c r="AO834" s="162"/>
      <c r="AP834" s="230"/>
      <c r="AQ834" s="230"/>
      <c r="AR834" s="162"/>
      <c r="AS834" s="162"/>
      <c r="AT834" s="162"/>
      <c r="AU834" s="162"/>
      <c r="AV834" s="162"/>
      <c r="AW834" s="230"/>
      <c r="AX834" s="230"/>
      <c r="AY834" s="162"/>
      <c r="AZ834" s="162"/>
      <c r="BA834" s="162"/>
      <c r="BB834" s="162"/>
      <c r="BC834" s="162"/>
      <c r="BD834" s="230"/>
      <c r="BE834" s="230"/>
      <c r="BF834" s="162"/>
      <c r="BG834" s="162"/>
      <c r="BH834" s="162"/>
      <c r="BI834" s="162"/>
      <c r="BJ834" s="162"/>
      <c r="BK834" s="230"/>
      <c r="BL834" s="230"/>
      <c r="BM834" s="162"/>
      <c r="BN834" s="162"/>
      <c r="BO834" s="162"/>
      <c r="BP834" s="162"/>
      <c r="BQ834" s="162"/>
      <c r="BR834" s="230"/>
      <c r="BS834" s="230"/>
      <c r="BT834" s="162"/>
      <c r="BU834" s="162"/>
      <c r="BV834" s="162"/>
      <c r="BW834" s="162"/>
      <c r="BX834" s="162"/>
      <c r="BY834" s="230"/>
      <c r="BZ834" s="230"/>
      <c r="CA834" s="162"/>
      <c r="CB834" s="162"/>
      <c r="CC834" s="162"/>
      <c r="CD834" s="162"/>
      <c r="CE834" s="162"/>
      <c r="CF834" s="230"/>
      <c r="CG834" s="230"/>
      <c r="CH834" s="162"/>
      <c r="CI834" s="162"/>
      <c r="CJ834" s="162"/>
      <c r="CK834" s="162"/>
      <c r="CL834" s="162"/>
      <c r="CM834" s="230"/>
      <c r="CN834" s="230"/>
      <c r="CO834" s="162"/>
      <c r="CP834" s="162"/>
      <c r="CQ834" s="162"/>
      <c r="CR834" s="162"/>
      <c r="CS834" s="162"/>
      <c r="CT834" s="230"/>
      <c r="CU834" s="230"/>
      <c r="CV834" s="162"/>
      <c r="CW834" s="162"/>
      <c r="CX834" s="162"/>
      <c r="CY834" s="162"/>
      <c r="CZ834" s="162"/>
      <c r="DA834" s="230"/>
      <c r="DB834" s="230"/>
      <c r="DC834" s="162"/>
      <c r="DD834" s="162"/>
      <c r="DE834" s="162"/>
      <c r="DF834" s="162"/>
      <c r="DG834" s="162"/>
      <c r="DH834" s="230"/>
      <c r="DI834" s="230"/>
      <c r="DJ834" s="162"/>
      <c r="DK834" s="162"/>
      <c r="DL834" s="147"/>
      <c r="DM834" s="147"/>
      <c r="DN834" s="147"/>
      <c r="DO834" s="147"/>
      <c r="DP834" s="147"/>
      <c r="DQ834" s="147"/>
      <c r="DR834" s="147"/>
      <c r="DS834" s="147"/>
      <c r="DT834" s="147"/>
      <c r="DU834" s="147"/>
      <c r="DV834" s="147"/>
      <c r="DW834" s="147"/>
      <c r="DX834" s="147"/>
      <c r="DY834" s="147"/>
      <c r="DZ834" s="147"/>
      <c r="EA834" s="147"/>
      <c r="EB834" s="147"/>
      <c r="EC834" s="147"/>
      <c r="ED834" s="147"/>
      <c r="EE834" s="147"/>
      <c r="EF834" s="147"/>
      <c r="EG834" s="147"/>
      <c r="EH834" s="147"/>
    </row>
    <row r="835" spans="1:138" x14ac:dyDescent="0.25">
      <c r="A835" s="147"/>
      <c r="B835" s="147"/>
      <c r="C835" s="160"/>
      <c r="D835" s="160"/>
      <c r="E835" s="169"/>
      <c r="F835" s="229"/>
      <c r="G835" s="165"/>
      <c r="H835" s="165"/>
      <c r="I835" s="163"/>
      <c r="J835" s="163"/>
      <c r="K835" s="162"/>
      <c r="L835" s="162"/>
      <c r="M835" s="162"/>
      <c r="N835" s="230"/>
      <c r="O835" s="230"/>
      <c r="P835" s="162"/>
      <c r="Q835" s="162"/>
      <c r="R835" s="162"/>
      <c r="S835" s="162"/>
      <c r="T835" s="162"/>
      <c r="U835" s="230"/>
      <c r="V835" s="230"/>
      <c r="W835" s="162"/>
      <c r="X835" s="162"/>
      <c r="Y835" s="162"/>
      <c r="Z835" s="162"/>
      <c r="AA835" s="162"/>
      <c r="AB835" s="230"/>
      <c r="AC835" s="230"/>
      <c r="AD835" s="162"/>
      <c r="AE835" s="162"/>
      <c r="AF835" s="162"/>
      <c r="AG835" s="162"/>
      <c r="AH835" s="162"/>
      <c r="AI835" s="230"/>
      <c r="AJ835" s="230"/>
      <c r="AK835" s="162"/>
      <c r="AL835" s="162"/>
      <c r="AM835" s="162"/>
      <c r="AN835" s="162"/>
      <c r="AO835" s="162"/>
      <c r="AP835" s="230"/>
      <c r="AQ835" s="230"/>
      <c r="AR835" s="162"/>
      <c r="AS835" s="162"/>
      <c r="AT835" s="162"/>
      <c r="AU835" s="162"/>
      <c r="AV835" s="162"/>
      <c r="AW835" s="230"/>
      <c r="AX835" s="230"/>
      <c r="AY835" s="162"/>
      <c r="AZ835" s="162"/>
      <c r="BA835" s="162"/>
      <c r="BB835" s="162"/>
      <c r="BC835" s="162"/>
      <c r="BD835" s="230"/>
      <c r="BE835" s="230"/>
      <c r="BF835" s="162"/>
      <c r="BG835" s="162"/>
      <c r="BH835" s="162"/>
      <c r="BI835" s="162"/>
      <c r="BJ835" s="162"/>
      <c r="BK835" s="230"/>
      <c r="BL835" s="230"/>
      <c r="BM835" s="162"/>
      <c r="BN835" s="162"/>
      <c r="BO835" s="162"/>
      <c r="BP835" s="162"/>
      <c r="BQ835" s="162"/>
      <c r="BR835" s="230"/>
      <c r="BS835" s="230"/>
      <c r="BT835" s="162"/>
      <c r="BU835" s="162"/>
      <c r="BV835" s="162"/>
      <c r="BW835" s="162"/>
      <c r="BX835" s="162"/>
      <c r="BY835" s="230"/>
      <c r="BZ835" s="230"/>
      <c r="CA835" s="162"/>
      <c r="CB835" s="162"/>
      <c r="CC835" s="162"/>
      <c r="CD835" s="162"/>
      <c r="CE835" s="162"/>
      <c r="CF835" s="230"/>
      <c r="CG835" s="230"/>
      <c r="CH835" s="162"/>
      <c r="CI835" s="162"/>
      <c r="CJ835" s="162"/>
      <c r="CK835" s="162"/>
      <c r="CL835" s="162"/>
      <c r="CM835" s="230"/>
      <c r="CN835" s="230"/>
      <c r="CO835" s="162"/>
      <c r="CP835" s="162"/>
      <c r="CQ835" s="162"/>
      <c r="CR835" s="162"/>
      <c r="CS835" s="162"/>
      <c r="CT835" s="230"/>
      <c r="CU835" s="230"/>
      <c r="CV835" s="162"/>
      <c r="CW835" s="162"/>
      <c r="CX835" s="162"/>
      <c r="CY835" s="162"/>
      <c r="CZ835" s="162"/>
      <c r="DA835" s="230"/>
      <c r="DB835" s="230"/>
      <c r="DC835" s="162"/>
      <c r="DD835" s="162"/>
      <c r="DE835" s="162"/>
      <c r="DF835" s="162"/>
      <c r="DG835" s="162"/>
      <c r="DH835" s="230"/>
      <c r="DI835" s="230"/>
      <c r="DJ835" s="162"/>
      <c r="DK835" s="162"/>
      <c r="DL835" s="147"/>
      <c r="DM835" s="147"/>
      <c r="DN835" s="147"/>
      <c r="DO835" s="147"/>
      <c r="DP835" s="147"/>
      <c r="DQ835" s="147"/>
      <c r="DR835" s="147"/>
      <c r="DS835" s="147"/>
      <c r="DT835" s="147"/>
      <c r="DU835" s="147"/>
      <c r="DV835" s="147"/>
      <c r="DW835" s="147"/>
      <c r="DX835" s="147"/>
      <c r="DY835" s="147"/>
      <c r="DZ835" s="147"/>
      <c r="EA835" s="147"/>
      <c r="EB835" s="147"/>
      <c r="EC835" s="147"/>
      <c r="ED835" s="147"/>
      <c r="EE835" s="147"/>
      <c r="EF835" s="147"/>
      <c r="EG835" s="147"/>
      <c r="EH835" s="147"/>
    </row>
    <row r="836" spans="1:138" x14ac:dyDescent="0.25">
      <c r="A836" s="147"/>
      <c r="B836" s="147"/>
      <c r="C836" s="160"/>
      <c r="D836" s="160"/>
      <c r="E836" s="169"/>
      <c r="F836" s="229"/>
      <c r="G836" s="165"/>
      <c r="H836" s="165"/>
      <c r="I836" s="163"/>
      <c r="J836" s="163"/>
      <c r="K836" s="162"/>
      <c r="L836" s="162"/>
      <c r="M836" s="162"/>
      <c r="N836" s="230"/>
      <c r="O836" s="230"/>
      <c r="P836" s="162"/>
      <c r="Q836" s="162"/>
      <c r="R836" s="162"/>
      <c r="S836" s="162"/>
      <c r="T836" s="162"/>
      <c r="U836" s="230"/>
      <c r="V836" s="230"/>
      <c r="W836" s="162"/>
      <c r="X836" s="162"/>
      <c r="Y836" s="162"/>
      <c r="Z836" s="162"/>
      <c r="AA836" s="162"/>
      <c r="AB836" s="230"/>
      <c r="AC836" s="230"/>
      <c r="AD836" s="162"/>
      <c r="AE836" s="162"/>
      <c r="AF836" s="162"/>
      <c r="AG836" s="162"/>
      <c r="AH836" s="162"/>
      <c r="AI836" s="230"/>
      <c r="AJ836" s="230"/>
      <c r="AK836" s="162"/>
      <c r="AL836" s="162"/>
      <c r="AM836" s="162"/>
      <c r="AN836" s="162"/>
      <c r="AO836" s="162"/>
      <c r="AP836" s="230"/>
      <c r="AQ836" s="230"/>
      <c r="AR836" s="162"/>
      <c r="AS836" s="162"/>
      <c r="AT836" s="162"/>
      <c r="AU836" s="162"/>
      <c r="AV836" s="162"/>
      <c r="AW836" s="230"/>
      <c r="AX836" s="230"/>
      <c r="AY836" s="162"/>
      <c r="AZ836" s="162"/>
      <c r="BA836" s="162"/>
      <c r="BB836" s="162"/>
      <c r="BC836" s="162"/>
      <c r="BD836" s="230"/>
      <c r="BE836" s="230"/>
      <c r="BF836" s="162"/>
      <c r="BG836" s="162"/>
      <c r="BH836" s="162"/>
      <c r="BI836" s="162"/>
      <c r="BJ836" s="162"/>
      <c r="BK836" s="230"/>
      <c r="BL836" s="230"/>
      <c r="BM836" s="162"/>
      <c r="BN836" s="162"/>
      <c r="BO836" s="162"/>
      <c r="BP836" s="162"/>
      <c r="BQ836" s="162"/>
      <c r="BR836" s="230"/>
      <c r="BS836" s="230"/>
      <c r="BT836" s="162"/>
      <c r="BU836" s="162"/>
      <c r="BV836" s="162"/>
      <c r="BW836" s="162"/>
      <c r="BX836" s="162"/>
      <c r="BY836" s="230"/>
      <c r="BZ836" s="230"/>
      <c r="CA836" s="162"/>
      <c r="CB836" s="162"/>
      <c r="CC836" s="162"/>
      <c r="CD836" s="162"/>
      <c r="CE836" s="162"/>
      <c r="CF836" s="230"/>
      <c r="CG836" s="230"/>
      <c r="CH836" s="162"/>
      <c r="CI836" s="162"/>
      <c r="CJ836" s="162"/>
      <c r="CK836" s="162"/>
      <c r="CL836" s="162"/>
      <c r="CM836" s="230"/>
      <c r="CN836" s="230"/>
      <c r="CO836" s="162"/>
      <c r="CP836" s="162"/>
      <c r="CQ836" s="162"/>
      <c r="CR836" s="162"/>
      <c r="CS836" s="162"/>
      <c r="CT836" s="230"/>
      <c r="CU836" s="230"/>
      <c r="CV836" s="162"/>
      <c r="CW836" s="162"/>
      <c r="CX836" s="162"/>
      <c r="CY836" s="162"/>
      <c r="CZ836" s="162"/>
      <c r="DA836" s="230"/>
      <c r="DB836" s="230"/>
      <c r="DC836" s="162"/>
      <c r="DD836" s="162"/>
      <c r="DE836" s="162"/>
      <c r="DF836" s="162"/>
      <c r="DG836" s="162"/>
      <c r="DH836" s="230"/>
      <c r="DI836" s="230"/>
      <c r="DJ836" s="162"/>
      <c r="DK836" s="162"/>
      <c r="DL836" s="147"/>
      <c r="DM836" s="147"/>
      <c r="DN836" s="147"/>
      <c r="DO836" s="147"/>
      <c r="DP836" s="147"/>
      <c r="DQ836" s="147"/>
      <c r="DR836" s="147"/>
      <c r="DS836" s="147"/>
      <c r="DT836" s="147"/>
      <c r="DU836" s="147"/>
      <c r="DV836" s="147"/>
      <c r="DW836" s="147"/>
      <c r="DX836" s="147"/>
      <c r="DY836" s="147"/>
      <c r="DZ836" s="147"/>
      <c r="EA836" s="147"/>
      <c r="EB836" s="147"/>
      <c r="EC836" s="147"/>
      <c r="ED836" s="147"/>
      <c r="EE836" s="147"/>
      <c r="EF836" s="147"/>
      <c r="EG836" s="147"/>
      <c r="EH836" s="147"/>
    </row>
    <row r="837" spans="1:138" x14ac:dyDescent="0.25">
      <c r="A837" s="147"/>
      <c r="B837" s="147"/>
      <c r="C837" s="160"/>
      <c r="D837" s="160"/>
      <c r="E837" s="169"/>
      <c r="F837" s="229"/>
      <c r="G837" s="165"/>
      <c r="H837" s="165"/>
      <c r="I837" s="163"/>
      <c r="J837" s="163"/>
      <c r="K837" s="162"/>
      <c r="L837" s="162"/>
      <c r="M837" s="162"/>
      <c r="N837" s="230"/>
      <c r="O837" s="230"/>
      <c r="P837" s="162"/>
      <c r="Q837" s="162"/>
      <c r="R837" s="162"/>
      <c r="S837" s="162"/>
      <c r="T837" s="162"/>
      <c r="U837" s="230"/>
      <c r="V837" s="230"/>
      <c r="W837" s="162"/>
      <c r="X837" s="162"/>
      <c r="Y837" s="162"/>
      <c r="Z837" s="162"/>
      <c r="AA837" s="162"/>
      <c r="AB837" s="230"/>
      <c r="AC837" s="230"/>
      <c r="AD837" s="162"/>
      <c r="AE837" s="162"/>
      <c r="AF837" s="162"/>
      <c r="AG837" s="162"/>
      <c r="AH837" s="162"/>
      <c r="AI837" s="230"/>
      <c r="AJ837" s="230"/>
      <c r="AK837" s="162"/>
      <c r="AL837" s="162"/>
      <c r="AM837" s="162"/>
      <c r="AN837" s="162"/>
      <c r="AO837" s="162"/>
      <c r="AP837" s="230"/>
      <c r="AQ837" s="230"/>
      <c r="AR837" s="162"/>
      <c r="AS837" s="162"/>
      <c r="AT837" s="162"/>
      <c r="AU837" s="162"/>
      <c r="AV837" s="162"/>
      <c r="AW837" s="230"/>
      <c r="AX837" s="230"/>
      <c r="AY837" s="162"/>
      <c r="AZ837" s="162"/>
      <c r="BA837" s="162"/>
      <c r="BB837" s="162"/>
      <c r="BC837" s="162"/>
      <c r="BD837" s="230"/>
      <c r="BE837" s="230"/>
      <c r="BF837" s="162"/>
      <c r="BG837" s="162"/>
      <c r="BH837" s="162"/>
      <c r="BI837" s="162"/>
      <c r="BJ837" s="162"/>
      <c r="BK837" s="230"/>
      <c r="BL837" s="230"/>
      <c r="BM837" s="162"/>
      <c r="BN837" s="162"/>
      <c r="BO837" s="162"/>
      <c r="BP837" s="162"/>
      <c r="BQ837" s="162"/>
      <c r="BR837" s="230"/>
      <c r="BS837" s="230"/>
      <c r="BT837" s="162"/>
      <c r="BU837" s="162"/>
      <c r="BV837" s="162"/>
      <c r="BW837" s="162"/>
      <c r="BX837" s="162"/>
      <c r="BY837" s="230"/>
      <c r="BZ837" s="230"/>
      <c r="CA837" s="162"/>
      <c r="CB837" s="162"/>
      <c r="CC837" s="162"/>
      <c r="CD837" s="162"/>
      <c r="CE837" s="162"/>
      <c r="CF837" s="230"/>
      <c r="CG837" s="230"/>
      <c r="CH837" s="162"/>
      <c r="CI837" s="162"/>
      <c r="CJ837" s="162"/>
      <c r="CK837" s="162"/>
      <c r="CL837" s="162"/>
      <c r="CM837" s="230"/>
      <c r="CN837" s="230"/>
      <c r="CO837" s="162"/>
      <c r="CP837" s="162"/>
      <c r="CQ837" s="162"/>
      <c r="CR837" s="162"/>
      <c r="CS837" s="162"/>
      <c r="CT837" s="230"/>
      <c r="CU837" s="230"/>
      <c r="CV837" s="162"/>
      <c r="CW837" s="162"/>
      <c r="CX837" s="162"/>
      <c r="CY837" s="162"/>
      <c r="CZ837" s="162"/>
      <c r="DA837" s="230"/>
      <c r="DB837" s="230"/>
      <c r="DC837" s="162"/>
      <c r="DD837" s="162"/>
      <c r="DE837" s="162"/>
      <c r="DF837" s="162"/>
      <c r="DG837" s="162"/>
      <c r="DH837" s="230"/>
      <c r="DI837" s="230"/>
      <c r="DJ837" s="162"/>
      <c r="DK837" s="162"/>
      <c r="DL837" s="147"/>
      <c r="DM837" s="147"/>
      <c r="DN837" s="147"/>
      <c r="DO837" s="147"/>
      <c r="DP837" s="147"/>
      <c r="DQ837" s="147"/>
      <c r="DR837" s="147"/>
      <c r="DS837" s="147"/>
      <c r="DT837" s="147"/>
      <c r="DU837" s="147"/>
      <c r="DV837" s="147"/>
      <c r="DW837" s="147"/>
      <c r="DX837" s="147"/>
      <c r="DY837" s="147"/>
      <c r="DZ837" s="147"/>
      <c r="EA837" s="147"/>
      <c r="EB837" s="147"/>
      <c r="EC837" s="147"/>
      <c r="ED837" s="147"/>
      <c r="EE837" s="147"/>
      <c r="EF837" s="147"/>
      <c r="EG837" s="147"/>
      <c r="EH837" s="147"/>
    </row>
    <row r="838" spans="1:138" x14ac:dyDescent="0.25">
      <c r="A838" s="147"/>
      <c r="B838" s="147"/>
      <c r="C838" s="160"/>
      <c r="D838" s="160"/>
      <c r="E838" s="169"/>
      <c r="F838" s="229"/>
      <c r="G838" s="165"/>
      <c r="H838" s="165"/>
      <c r="I838" s="163"/>
      <c r="J838" s="163"/>
      <c r="K838" s="162"/>
      <c r="L838" s="162"/>
      <c r="M838" s="162"/>
      <c r="N838" s="230"/>
      <c r="O838" s="230"/>
      <c r="P838" s="162"/>
      <c r="Q838" s="162"/>
      <c r="R838" s="162"/>
      <c r="S838" s="162"/>
      <c r="T838" s="162"/>
      <c r="U838" s="230"/>
      <c r="V838" s="230"/>
      <c r="W838" s="162"/>
      <c r="X838" s="162"/>
      <c r="Y838" s="162"/>
      <c r="Z838" s="162"/>
      <c r="AA838" s="162"/>
      <c r="AB838" s="230"/>
      <c r="AC838" s="230"/>
      <c r="AD838" s="162"/>
      <c r="AE838" s="162"/>
      <c r="AF838" s="162"/>
      <c r="AG838" s="162"/>
      <c r="AH838" s="162"/>
      <c r="AI838" s="230"/>
      <c r="AJ838" s="230"/>
      <c r="AK838" s="162"/>
      <c r="AL838" s="162"/>
      <c r="AM838" s="162"/>
      <c r="AN838" s="162"/>
      <c r="AO838" s="162"/>
      <c r="AP838" s="230"/>
      <c r="AQ838" s="230"/>
      <c r="AR838" s="162"/>
      <c r="AS838" s="162"/>
      <c r="AT838" s="162"/>
      <c r="AU838" s="162"/>
      <c r="AV838" s="162"/>
      <c r="AW838" s="230"/>
      <c r="AX838" s="230"/>
      <c r="AY838" s="162"/>
      <c r="AZ838" s="162"/>
      <c r="BA838" s="162"/>
      <c r="BB838" s="162"/>
      <c r="BC838" s="162"/>
      <c r="BD838" s="230"/>
      <c r="BE838" s="230"/>
      <c r="BF838" s="162"/>
      <c r="BG838" s="162"/>
      <c r="BH838" s="162"/>
      <c r="BI838" s="162"/>
      <c r="BJ838" s="162"/>
      <c r="BK838" s="230"/>
      <c r="BL838" s="230"/>
      <c r="BM838" s="162"/>
      <c r="BN838" s="162"/>
      <c r="BO838" s="162"/>
      <c r="BP838" s="162"/>
      <c r="BQ838" s="162"/>
      <c r="BR838" s="230"/>
      <c r="BS838" s="230"/>
      <c r="BT838" s="162"/>
      <c r="BU838" s="162"/>
      <c r="BV838" s="162"/>
      <c r="BW838" s="162"/>
      <c r="BX838" s="162"/>
      <c r="BY838" s="230"/>
      <c r="BZ838" s="230"/>
      <c r="CA838" s="162"/>
      <c r="CB838" s="162"/>
      <c r="CC838" s="162"/>
      <c r="CD838" s="162"/>
      <c r="CE838" s="162"/>
      <c r="CF838" s="230"/>
      <c r="CG838" s="230"/>
      <c r="CH838" s="162"/>
      <c r="CI838" s="162"/>
      <c r="CJ838" s="162"/>
      <c r="CK838" s="162"/>
      <c r="CL838" s="162"/>
      <c r="CM838" s="230"/>
      <c r="CN838" s="230"/>
      <c r="CO838" s="162"/>
      <c r="CP838" s="162"/>
      <c r="CQ838" s="162"/>
      <c r="CR838" s="162"/>
      <c r="CS838" s="162"/>
      <c r="CT838" s="230"/>
      <c r="CU838" s="230"/>
      <c r="CV838" s="162"/>
      <c r="CW838" s="162"/>
      <c r="CX838" s="162"/>
      <c r="CY838" s="162"/>
      <c r="CZ838" s="162"/>
      <c r="DA838" s="230"/>
      <c r="DB838" s="230"/>
      <c r="DC838" s="162"/>
      <c r="DD838" s="162"/>
      <c r="DE838" s="162"/>
      <c r="DF838" s="162"/>
      <c r="DG838" s="162"/>
      <c r="DH838" s="230"/>
      <c r="DI838" s="230"/>
      <c r="DJ838" s="162"/>
      <c r="DK838" s="162"/>
      <c r="DL838" s="147"/>
      <c r="DM838" s="147"/>
      <c r="DN838" s="147"/>
      <c r="DO838" s="147"/>
      <c r="DP838" s="147"/>
      <c r="DQ838" s="147"/>
      <c r="DR838" s="147"/>
      <c r="DS838" s="147"/>
      <c r="DT838" s="147"/>
      <c r="DU838" s="147"/>
      <c r="DV838" s="147"/>
      <c r="DW838" s="147"/>
      <c r="DX838" s="147"/>
      <c r="DY838" s="147"/>
      <c r="DZ838" s="147"/>
      <c r="EA838" s="147"/>
      <c r="EB838" s="147"/>
      <c r="EC838" s="147"/>
      <c r="ED838" s="147"/>
      <c r="EE838" s="147"/>
      <c r="EF838" s="147"/>
      <c r="EG838" s="147"/>
      <c r="EH838" s="147"/>
    </row>
    <row r="839" spans="1:138" x14ac:dyDescent="0.25">
      <c r="A839" s="147"/>
      <c r="B839" s="147"/>
      <c r="C839" s="160"/>
      <c r="D839" s="160"/>
      <c r="E839" s="169"/>
      <c r="F839" s="229"/>
      <c r="G839" s="165"/>
      <c r="H839" s="165"/>
      <c r="I839" s="163"/>
      <c r="J839" s="163"/>
      <c r="K839" s="162"/>
      <c r="L839" s="162"/>
      <c r="M839" s="162"/>
      <c r="N839" s="230"/>
      <c r="O839" s="230"/>
      <c r="P839" s="162"/>
      <c r="Q839" s="162"/>
      <c r="R839" s="162"/>
      <c r="S839" s="162"/>
      <c r="T839" s="162"/>
      <c r="U839" s="230"/>
      <c r="V839" s="230"/>
      <c r="W839" s="162"/>
      <c r="X839" s="162"/>
      <c r="Y839" s="162"/>
      <c r="Z839" s="162"/>
      <c r="AA839" s="162"/>
      <c r="AB839" s="230"/>
      <c r="AC839" s="230"/>
      <c r="AD839" s="162"/>
      <c r="AE839" s="162"/>
      <c r="AF839" s="162"/>
      <c r="AG839" s="162"/>
      <c r="AH839" s="162"/>
      <c r="AI839" s="230"/>
      <c r="AJ839" s="230"/>
      <c r="AK839" s="162"/>
      <c r="AL839" s="162"/>
      <c r="AM839" s="162"/>
      <c r="AN839" s="162"/>
      <c r="AO839" s="162"/>
      <c r="AP839" s="230"/>
      <c r="AQ839" s="230"/>
      <c r="AR839" s="162"/>
      <c r="AS839" s="162"/>
      <c r="AT839" s="162"/>
      <c r="AU839" s="162"/>
      <c r="AV839" s="162"/>
      <c r="AW839" s="230"/>
      <c r="AX839" s="230"/>
      <c r="AY839" s="162"/>
      <c r="AZ839" s="162"/>
      <c r="BA839" s="162"/>
      <c r="BB839" s="162"/>
      <c r="BC839" s="162"/>
      <c r="BD839" s="230"/>
      <c r="BE839" s="230"/>
      <c r="BF839" s="162"/>
      <c r="BG839" s="162"/>
      <c r="BH839" s="162"/>
      <c r="BI839" s="162"/>
      <c r="BJ839" s="162"/>
      <c r="BK839" s="230"/>
      <c r="BL839" s="230"/>
      <c r="BM839" s="162"/>
      <c r="BN839" s="162"/>
      <c r="BO839" s="162"/>
      <c r="BP839" s="162"/>
      <c r="BQ839" s="162"/>
      <c r="BR839" s="230"/>
      <c r="BS839" s="230"/>
      <c r="BT839" s="162"/>
      <c r="BU839" s="162"/>
      <c r="BV839" s="162"/>
      <c r="BW839" s="162"/>
      <c r="BX839" s="162"/>
      <c r="BY839" s="230"/>
      <c r="BZ839" s="230"/>
      <c r="CA839" s="162"/>
      <c r="CB839" s="162"/>
      <c r="CC839" s="162"/>
      <c r="CD839" s="162"/>
      <c r="CE839" s="162"/>
      <c r="CF839" s="230"/>
      <c r="CG839" s="230"/>
      <c r="CH839" s="162"/>
      <c r="CI839" s="162"/>
      <c r="CJ839" s="162"/>
      <c r="CK839" s="162"/>
      <c r="CL839" s="162"/>
      <c r="CM839" s="230"/>
      <c r="CN839" s="230"/>
      <c r="CO839" s="162"/>
      <c r="CP839" s="162"/>
      <c r="CQ839" s="162"/>
      <c r="CR839" s="162"/>
      <c r="CS839" s="162"/>
      <c r="CT839" s="230"/>
      <c r="CU839" s="230"/>
      <c r="CV839" s="162"/>
      <c r="CW839" s="162"/>
      <c r="CX839" s="162"/>
      <c r="CY839" s="162"/>
      <c r="CZ839" s="162"/>
      <c r="DA839" s="230"/>
      <c r="DB839" s="230"/>
      <c r="DC839" s="162"/>
      <c r="DD839" s="162"/>
      <c r="DE839" s="162"/>
      <c r="DF839" s="162"/>
      <c r="DG839" s="162"/>
      <c r="DH839" s="230"/>
      <c r="DI839" s="230"/>
      <c r="DJ839" s="162"/>
      <c r="DK839" s="162"/>
      <c r="DL839" s="147"/>
      <c r="DM839" s="147"/>
      <c r="DN839" s="147"/>
      <c r="DO839" s="147"/>
      <c r="DP839" s="147"/>
      <c r="DQ839" s="147"/>
      <c r="DR839" s="147"/>
      <c r="DS839" s="147"/>
      <c r="DT839" s="147"/>
      <c r="DU839" s="147"/>
      <c r="DV839" s="147"/>
      <c r="DW839" s="147"/>
      <c r="DX839" s="147"/>
      <c r="DY839" s="147"/>
      <c r="DZ839" s="147"/>
      <c r="EA839" s="147"/>
      <c r="EB839" s="147"/>
      <c r="EC839" s="147"/>
      <c r="ED839" s="147"/>
      <c r="EE839" s="147"/>
      <c r="EF839" s="147"/>
      <c r="EG839" s="147"/>
      <c r="EH839" s="147"/>
    </row>
    <row r="840" spans="1:138" x14ac:dyDescent="0.25">
      <c r="A840" s="147"/>
      <c r="B840" s="147"/>
      <c r="C840" s="160"/>
      <c r="D840" s="160"/>
      <c r="E840" s="169"/>
      <c r="F840" s="229"/>
      <c r="G840" s="165"/>
      <c r="H840" s="165"/>
      <c r="I840" s="163"/>
      <c r="J840" s="163"/>
      <c r="K840" s="162"/>
      <c r="L840" s="162"/>
      <c r="M840" s="162"/>
      <c r="N840" s="230"/>
      <c r="O840" s="230"/>
      <c r="P840" s="162"/>
      <c r="Q840" s="162"/>
      <c r="R840" s="162"/>
      <c r="S840" s="162"/>
      <c r="T840" s="162"/>
      <c r="U840" s="230"/>
      <c r="V840" s="230"/>
      <c r="W840" s="162"/>
      <c r="X840" s="162"/>
      <c r="Y840" s="162"/>
      <c r="Z840" s="162"/>
      <c r="AA840" s="162"/>
      <c r="AB840" s="230"/>
      <c r="AC840" s="230"/>
      <c r="AD840" s="162"/>
      <c r="AE840" s="162"/>
      <c r="AF840" s="162"/>
      <c r="AG840" s="162"/>
      <c r="AH840" s="162"/>
      <c r="AI840" s="230"/>
      <c r="AJ840" s="230"/>
      <c r="AK840" s="162"/>
      <c r="AL840" s="162"/>
      <c r="AM840" s="162"/>
      <c r="AN840" s="162"/>
      <c r="AO840" s="162"/>
      <c r="AP840" s="230"/>
      <c r="AQ840" s="230"/>
      <c r="AR840" s="162"/>
      <c r="AS840" s="162"/>
      <c r="AT840" s="162"/>
      <c r="AU840" s="162"/>
      <c r="AV840" s="162"/>
      <c r="AW840" s="230"/>
      <c r="AX840" s="230"/>
      <c r="AY840" s="162"/>
      <c r="AZ840" s="162"/>
      <c r="BA840" s="162"/>
      <c r="BB840" s="162"/>
      <c r="BC840" s="162"/>
      <c r="BD840" s="230"/>
      <c r="BE840" s="230"/>
      <c r="BF840" s="162"/>
      <c r="BG840" s="162"/>
      <c r="BH840" s="162"/>
      <c r="BI840" s="162"/>
      <c r="BJ840" s="162"/>
      <c r="BK840" s="230"/>
      <c r="BL840" s="230"/>
      <c r="BM840" s="162"/>
      <c r="BN840" s="162"/>
      <c r="BO840" s="162"/>
      <c r="BP840" s="162"/>
      <c r="BQ840" s="162"/>
      <c r="BR840" s="230"/>
      <c r="BS840" s="230"/>
      <c r="BT840" s="162"/>
      <c r="BU840" s="162"/>
      <c r="BV840" s="162"/>
      <c r="BW840" s="162"/>
      <c r="BX840" s="162"/>
      <c r="BY840" s="230"/>
      <c r="BZ840" s="230"/>
      <c r="CA840" s="162"/>
      <c r="CB840" s="162"/>
      <c r="CC840" s="162"/>
      <c r="CD840" s="162"/>
      <c r="CE840" s="162"/>
      <c r="CF840" s="230"/>
      <c r="CG840" s="230"/>
      <c r="CH840" s="162"/>
      <c r="CI840" s="162"/>
      <c r="CJ840" s="162"/>
      <c r="CK840" s="162"/>
      <c r="CL840" s="162"/>
      <c r="CM840" s="230"/>
      <c r="CN840" s="230"/>
      <c r="CO840" s="162"/>
      <c r="CP840" s="162"/>
      <c r="CQ840" s="162"/>
      <c r="CR840" s="162"/>
      <c r="CS840" s="162"/>
      <c r="CT840" s="230"/>
      <c r="CU840" s="230"/>
      <c r="CV840" s="162"/>
      <c r="CW840" s="162"/>
      <c r="CX840" s="162"/>
      <c r="CY840" s="162"/>
      <c r="CZ840" s="162"/>
      <c r="DA840" s="230"/>
      <c r="DB840" s="230"/>
      <c r="DC840" s="162"/>
      <c r="DD840" s="162"/>
      <c r="DE840" s="162"/>
      <c r="DF840" s="162"/>
      <c r="DG840" s="162"/>
      <c r="DH840" s="230"/>
      <c r="DI840" s="230"/>
      <c r="DJ840" s="162"/>
      <c r="DK840" s="162"/>
      <c r="DL840" s="147"/>
      <c r="DM840" s="147"/>
      <c r="DN840" s="147"/>
      <c r="DO840" s="147"/>
      <c r="DP840" s="147"/>
      <c r="DQ840" s="147"/>
      <c r="DR840" s="147"/>
      <c r="DS840" s="147"/>
      <c r="DT840" s="147"/>
      <c r="DU840" s="147"/>
      <c r="DV840" s="147"/>
      <c r="DW840" s="147"/>
      <c r="DX840" s="147"/>
      <c r="DY840" s="147"/>
      <c r="DZ840" s="147"/>
      <c r="EA840" s="147"/>
      <c r="EB840" s="147"/>
      <c r="EC840" s="147"/>
      <c r="ED840" s="147"/>
      <c r="EE840" s="147"/>
      <c r="EF840" s="147"/>
      <c r="EG840" s="147"/>
      <c r="EH840" s="147"/>
    </row>
    <row r="841" spans="1:138" x14ac:dyDescent="0.25">
      <c r="A841" s="147"/>
      <c r="B841" s="147"/>
      <c r="C841" s="160"/>
      <c r="D841" s="160"/>
      <c r="E841" s="169"/>
      <c r="F841" s="229"/>
      <c r="G841" s="165"/>
      <c r="H841" s="165"/>
      <c r="I841" s="163"/>
      <c r="J841" s="163"/>
      <c r="K841" s="162"/>
      <c r="L841" s="162"/>
      <c r="M841" s="162"/>
      <c r="N841" s="230"/>
      <c r="O841" s="230"/>
      <c r="P841" s="162"/>
      <c r="Q841" s="162"/>
      <c r="R841" s="162"/>
      <c r="S841" s="162"/>
      <c r="T841" s="162"/>
      <c r="U841" s="230"/>
      <c r="V841" s="230"/>
      <c r="W841" s="162"/>
      <c r="X841" s="162"/>
      <c r="Y841" s="162"/>
      <c r="Z841" s="162"/>
      <c r="AA841" s="162"/>
      <c r="AB841" s="230"/>
      <c r="AC841" s="230"/>
      <c r="AD841" s="162"/>
      <c r="AE841" s="162"/>
      <c r="AF841" s="162"/>
      <c r="AG841" s="162"/>
      <c r="AH841" s="162"/>
      <c r="AI841" s="230"/>
      <c r="AJ841" s="230"/>
      <c r="AK841" s="162"/>
      <c r="AL841" s="162"/>
      <c r="AM841" s="162"/>
      <c r="AN841" s="162"/>
      <c r="AO841" s="162"/>
      <c r="AP841" s="230"/>
      <c r="AQ841" s="230"/>
      <c r="AR841" s="162"/>
      <c r="AS841" s="162"/>
      <c r="AT841" s="162"/>
      <c r="AU841" s="162"/>
      <c r="AV841" s="162"/>
      <c r="AW841" s="230"/>
      <c r="AX841" s="230"/>
      <c r="AY841" s="162"/>
      <c r="AZ841" s="162"/>
      <c r="BA841" s="162"/>
      <c r="BB841" s="162"/>
      <c r="BC841" s="162"/>
      <c r="BD841" s="230"/>
      <c r="BE841" s="230"/>
      <c r="BF841" s="162"/>
      <c r="BG841" s="162"/>
      <c r="BH841" s="162"/>
      <c r="BI841" s="162"/>
      <c r="BJ841" s="162"/>
      <c r="BK841" s="230"/>
      <c r="BL841" s="230"/>
      <c r="BM841" s="162"/>
      <c r="BN841" s="162"/>
      <c r="BO841" s="162"/>
      <c r="BP841" s="162"/>
      <c r="BQ841" s="162"/>
      <c r="BR841" s="230"/>
      <c r="BS841" s="230"/>
      <c r="BT841" s="162"/>
      <c r="BU841" s="162"/>
      <c r="BV841" s="162"/>
      <c r="BW841" s="162"/>
      <c r="BX841" s="162"/>
      <c r="BY841" s="230"/>
      <c r="BZ841" s="230"/>
      <c r="CA841" s="162"/>
      <c r="CB841" s="162"/>
      <c r="CC841" s="162"/>
      <c r="CD841" s="162"/>
      <c r="CE841" s="162"/>
      <c r="CF841" s="230"/>
      <c r="CG841" s="230"/>
      <c r="CH841" s="162"/>
      <c r="CI841" s="162"/>
      <c r="CJ841" s="162"/>
      <c r="CK841" s="162"/>
      <c r="CL841" s="162"/>
      <c r="CM841" s="230"/>
      <c r="CN841" s="230"/>
      <c r="CO841" s="162"/>
      <c r="CP841" s="162"/>
      <c r="CQ841" s="162"/>
      <c r="CR841" s="162"/>
      <c r="CS841" s="162"/>
      <c r="CT841" s="230"/>
      <c r="CU841" s="230"/>
      <c r="CV841" s="162"/>
      <c r="CW841" s="162"/>
      <c r="CX841" s="162"/>
      <c r="CY841" s="162"/>
      <c r="CZ841" s="162"/>
      <c r="DA841" s="230"/>
      <c r="DB841" s="230"/>
      <c r="DC841" s="162"/>
      <c r="DD841" s="162"/>
      <c r="DE841" s="162"/>
      <c r="DF841" s="162"/>
      <c r="DG841" s="162"/>
      <c r="DH841" s="230"/>
      <c r="DI841" s="230"/>
      <c r="DJ841" s="162"/>
      <c r="DK841" s="162"/>
      <c r="DL841" s="147"/>
      <c r="DM841" s="147"/>
      <c r="DN841" s="147"/>
      <c r="DO841" s="147"/>
      <c r="DP841" s="147"/>
      <c r="DQ841" s="147"/>
      <c r="DR841" s="147"/>
      <c r="DS841" s="147"/>
      <c r="DT841" s="147"/>
      <c r="DU841" s="147"/>
      <c r="DV841" s="147"/>
      <c r="DW841" s="147"/>
      <c r="DX841" s="147"/>
      <c r="DY841" s="147"/>
      <c r="DZ841" s="147"/>
      <c r="EA841" s="147"/>
      <c r="EB841" s="147"/>
      <c r="EC841" s="147"/>
      <c r="ED841" s="147"/>
      <c r="EE841" s="147"/>
      <c r="EF841" s="147"/>
      <c r="EG841" s="147"/>
      <c r="EH841" s="147"/>
    </row>
    <row r="842" spans="1:138" x14ac:dyDescent="0.25">
      <c r="A842" s="147"/>
      <c r="B842" s="147"/>
      <c r="C842" s="160"/>
      <c r="D842" s="160"/>
      <c r="E842" s="169"/>
      <c r="F842" s="229"/>
      <c r="G842" s="165"/>
      <c r="H842" s="165"/>
      <c r="I842" s="163"/>
      <c r="J842" s="163"/>
      <c r="K842" s="162"/>
      <c r="L842" s="162"/>
      <c r="M842" s="162"/>
      <c r="N842" s="230"/>
      <c r="O842" s="230"/>
      <c r="P842" s="162"/>
      <c r="Q842" s="162"/>
      <c r="R842" s="162"/>
      <c r="S842" s="162"/>
      <c r="T842" s="162"/>
      <c r="U842" s="230"/>
      <c r="V842" s="230"/>
      <c r="W842" s="162"/>
      <c r="X842" s="162"/>
      <c r="Y842" s="162"/>
      <c r="Z842" s="162"/>
      <c r="AA842" s="162"/>
      <c r="AB842" s="230"/>
      <c r="AC842" s="230"/>
      <c r="AD842" s="162"/>
      <c r="AE842" s="162"/>
      <c r="AF842" s="162"/>
      <c r="AG842" s="162"/>
      <c r="AH842" s="162"/>
      <c r="AI842" s="230"/>
      <c r="AJ842" s="230"/>
      <c r="AK842" s="162"/>
      <c r="AL842" s="162"/>
      <c r="AM842" s="162"/>
      <c r="AN842" s="162"/>
      <c r="AO842" s="162"/>
      <c r="AP842" s="230"/>
      <c r="AQ842" s="230"/>
      <c r="AR842" s="162"/>
      <c r="AS842" s="162"/>
      <c r="AT842" s="162"/>
      <c r="AU842" s="162"/>
      <c r="AV842" s="162"/>
      <c r="AW842" s="230"/>
      <c r="AX842" s="230"/>
      <c r="AY842" s="162"/>
      <c r="AZ842" s="162"/>
      <c r="BA842" s="162"/>
      <c r="BB842" s="162"/>
      <c r="BC842" s="162"/>
      <c r="BD842" s="230"/>
      <c r="BE842" s="230"/>
      <c r="BF842" s="162"/>
      <c r="BG842" s="162"/>
      <c r="BH842" s="162"/>
      <c r="BI842" s="162"/>
      <c r="BJ842" s="162"/>
      <c r="BK842" s="230"/>
      <c r="BL842" s="230"/>
      <c r="BM842" s="162"/>
      <c r="BN842" s="162"/>
      <c r="BO842" s="162"/>
      <c r="BP842" s="162"/>
      <c r="BQ842" s="162"/>
      <c r="BR842" s="230"/>
      <c r="BS842" s="230"/>
      <c r="BT842" s="162"/>
      <c r="BU842" s="162"/>
      <c r="BV842" s="162"/>
      <c r="BW842" s="162"/>
      <c r="BX842" s="162"/>
      <c r="BY842" s="230"/>
      <c r="BZ842" s="230"/>
      <c r="CA842" s="162"/>
      <c r="CB842" s="162"/>
      <c r="CC842" s="162"/>
      <c r="CD842" s="162"/>
      <c r="CE842" s="162"/>
      <c r="CF842" s="230"/>
      <c r="CG842" s="230"/>
      <c r="CH842" s="162"/>
      <c r="CI842" s="162"/>
      <c r="CJ842" s="162"/>
      <c r="CK842" s="162"/>
      <c r="CL842" s="162"/>
      <c r="CM842" s="230"/>
      <c r="CN842" s="230"/>
      <c r="CO842" s="162"/>
      <c r="CP842" s="162"/>
      <c r="CQ842" s="162"/>
      <c r="CR842" s="162"/>
      <c r="CS842" s="162"/>
      <c r="CT842" s="230"/>
      <c r="CU842" s="230"/>
      <c r="CV842" s="162"/>
      <c r="CW842" s="162"/>
      <c r="CX842" s="162"/>
      <c r="CY842" s="162"/>
      <c r="CZ842" s="162"/>
      <c r="DA842" s="230"/>
      <c r="DB842" s="230"/>
      <c r="DC842" s="162"/>
      <c r="DD842" s="162"/>
      <c r="DE842" s="162"/>
      <c r="DF842" s="162"/>
      <c r="DG842" s="162"/>
      <c r="DH842" s="230"/>
      <c r="DI842" s="230"/>
      <c r="DJ842" s="162"/>
      <c r="DK842" s="162"/>
      <c r="DL842" s="147"/>
      <c r="DM842" s="147"/>
      <c r="DN842" s="147"/>
      <c r="DO842" s="147"/>
      <c r="DP842" s="147"/>
      <c r="DQ842" s="147"/>
      <c r="DR842" s="147"/>
      <c r="DS842" s="147"/>
      <c r="DT842" s="147"/>
      <c r="DU842" s="147"/>
      <c r="DV842" s="147"/>
      <c r="DW842" s="147"/>
      <c r="DX842" s="147"/>
      <c r="DY842" s="147"/>
      <c r="DZ842" s="147"/>
      <c r="EA842" s="147"/>
      <c r="EB842" s="147"/>
      <c r="EC842" s="147"/>
      <c r="ED842" s="147"/>
      <c r="EE842" s="147"/>
      <c r="EF842" s="147"/>
      <c r="EG842" s="147"/>
      <c r="EH842" s="147"/>
    </row>
    <row r="843" spans="1:138" x14ac:dyDescent="0.25">
      <c r="A843" s="147"/>
      <c r="B843" s="147"/>
      <c r="C843" s="160"/>
      <c r="D843" s="160"/>
      <c r="E843" s="169"/>
      <c r="F843" s="229"/>
      <c r="G843" s="165"/>
      <c r="H843" s="165"/>
      <c r="I843" s="163"/>
      <c r="J843" s="163"/>
      <c r="K843" s="162"/>
      <c r="L843" s="162"/>
      <c r="M843" s="162"/>
      <c r="N843" s="230"/>
      <c r="O843" s="230"/>
      <c r="P843" s="162"/>
      <c r="Q843" s="162"/>
      <c r="R843" s="162"/>
      <c r="S843" s="162"/>
      <c r="T843" s="162"/>
      <c r="U843" s="230"/>
      <c r="V843" s="230"/>
      <c r="W843" s="162"/>
      <c r="X843" s="162"/>
      <c r="Y843" s="162"/>
      <c r="Z843" s="162"/>
      <c r="AA843" s="162"/>
      <c r="AB843" s="230"/>
      <c r="AC843" s="230"/>
      <c r="AD843" s="162"/>
      <c r="AE843" s="162"/>
      <c r="AF843" s="162"/>
      <c r="AG843" s="162"/>
      <c r="AH843" s="162"/>
      <c r="AI843" s="230"/>
      <c r="AJ843" s="230"/>
      <c r="AK843" s="162"/>
      <c r="AL843" s="162"/>
      <c r="AM843" s="162"/>
      <c r="AN843" s="162"/>
      <c r="AO843" s="162"/>
      <c r="AP843" s="230"/>
      <c r="AQ843" s="230"/>
      <c r="AR843" s="162"/>
      <c r="AS843" s="162"/>
      <c r="AT843" s="162"/>
      <c r="AU843" s="162"/>
      <c r="AV843" s="162"/>
      <c r="AW843" s="230"/>
      <c r="AX843" s="230"/>
      <c r="AY843" s="162"/>
      <c r="AZ843" s="162"/>
      <c r="BA843" s="162"/>
      <c r="BB843" s="162"/>
      <c r="BC843" s="162"/>
      <c r="BD843" s="230"/>
      <c r="BE843" s="230"/>
      <c r="BF843" s="162"/>
      <c r="BG843" s="162"/>
      <c r="BH843" s="162"/>
      <c r="BI843" s="162"/>
      <c r="BJ843" s="162"/>
      <c r="BK843" s="230"/>
      <c r="BL843" s="230"/>
      <c r="BM843" s="162"/>
      <c r="BN843" s="162"/>
      <c r="BO843" s="162"/>
      <c r="BP843" s="162"/>
      <c r="BQ843" s="162"/>
      <c r="BR843" s="230"/>
      <c r="BS843" s="230"/>
      <c r="BT843" s="162"/>
      <c r="BU843" s="162"/>
      <c r="BV843" s="162"/>
      <c r="BW843" s="162"/>
      <c r="BX843" s="162"/>
      <c r="BY843" s="230"/>
      <c r="BZ843" s="230"/>
      <c r="CA843" s="162"/>
      <c r="CB843" s="162"/>
      <c r="CC843" s="162"/>
      <c r="CD843" s="162"/>
      <c r="CE843" s="162"/>
      <c r="CF843" s="230"/>
      <c r="CG843" s="230"/>
      <c r="CH843" s="162"/>
      <c r="CI843" s="162"/>
      <c r="CJ843" s="162"/>
      <c r="CK843" s="162"/>
      <c r="CL843" s="162"/>
      <c r="CM843" s="230"/>
      <c r="CN843" s="230"/>
      <c r="CO843" s="162"/>
      <c r="CP843" s="162"/>
      <c r="CQ843" s="162"/>
      <c r="CR843" s="162"/>
      <c r="CS843" s="162"/>
      <c r="CT843" s="230"/>
      <c r="CU843" s="230"/>
      <c r="CV843" s="162"/>
      <c r="CW843" s="162"/>
      <c r="CX843" s="162"/>
      <c r="CY843" s="162"/>
      <c r="CZ843" s="162"/>
      <c r="DA843" s="230"/>
      <c r="DB843" s="230"/>
      <c r="DC843" s="162"/>
      <c r="DD843" s="162"/>
      <c r="DE843" s="162"/>
      <c r="DF843" s="162"/>
      <c r="DG843" s="162"/>
      <c r="DH843" s="230"/>
      <c r="DI843" s="230"/>
      <c r="DJ843" s="162"/>
      <c r="DK843" s="162"/>
      <c r="DL843" s="147"/>
      <c r="DM843" s="147"/>
      <c r="DN843" s="147"/>
      <c r="DO843" s="147"/>
      <c r="DP843" s="147"/>
      <c r="DQ843" s="147"/>
      <c r="DR843" s="147"/>
      <c r="DS843" s="147"/>
      <c r="DT843" s="147"/>
      <c r="DU843" s="147"/>
      <c r="DV843" s="147"/>
      <c r="DW843" s="147"/>
      <c r="DX843" s="147"/>
      <c r="DY843" s="147"/>
      <c r="DZ843" s="147"/>
      <c r="EA843" s="147"/>
      <c r="EB843" s="147"/>
      <c r="EC843" s="147"/>
      <c r="ED843" s="147"/>
      <c r="EE843" s="147"/>
      <c r="EF843" s="147"/>
      <c r="EG843" s="147"/>
      <c r="EH843" s="147"/>
    </row>
    <row r="844" spans="1:138" x14ac:dyDescent="0.25">
      <c r="A844" s="147"/>
      <c r="B844" s="147"/>
      <c r="C844" s="160"/>
      <c r="D844" s="160"/>
      <c r="E844" s="169"/>
      <c r="F844" s="229"/>
      <c r="G844" s="165"/>
      <c r="H844" s="165"/>
      <c r="I844" s="163"/>
      <c r="J844" s="163"/>
      <c r="K844" s="162"/>
      <c r="L844" s="162"/>
      <c r="M844" s="162"/>
      <c r="N844" s="230"/>
      <c r="O844" s="230"/>
      <c r="P844" s="162"/>
      <c r="Q844" s="162"/>
      <c r="R844" s="162"/>
      <c r="S844" s="162"/>
      <c r="T844" s="162"/>
      <c r="U844" s="230"/>
      <c r="V844" s="230"/>
      <c r="W844" s="162"/>
      <c r="X844" s="162"/>
      <c r="Y844" s="162"/>
      <c r="Z844" s="162"/>
      <c r="AA844" s="162"/>
      <c r="AB844" s="230"/>
      <c r="AC844" s="230"/>
      <c r="AD844" s="162"/>
      <c r="AE844" s="162"/>
      <c r="AF844" s="162"/>
      <c r="AG844" s="162"/>
      <c r="AH844" s="162"/>
      <c r="AI844" s="230"/>
      <c r="AJ844" s="230"/>
      <c r="AK844" s="162"/>
      <c r="AL844" s="162"/>
      <c r="AM844" s="162"/>
      <c r="AN844" s="162"/>
      <c r="AO844" s="162"/>
      <c r="AP844" s="230"/>
      <c r="AQ844" s="230"/>
      <c r="AR844" s="162"/>
      <c r="AS844" s="162"/>
      <c r="AT844" s="162"/>
      <c r="AU844" s="162"/>
      <c r="AV844" s="162"/>
      <c r="AW844" s="230"/>
      <c r="AX844" s="230"/>
      <c r="AY844" s="162"/>
      <c r="AZ844" s="162"/>
      <c r="BA844" s="162"/>
      <c r="BB844" s="162"/>
      <c r="BC844" s="162"/>
      <c r="BD844" s="230"/>
      <c r="BE844" s="230"/>
      <c r="BF844" s="162"/>
      <c r="BG844" s="162"/>
      <c r="BH844" s="162"/>
      <c r="BI844" s="162"/>
      <c r="BJ844" s="162"/>
      <c r="BK844" s="230"/>
      <c r="BL844" s="230"/>
      <c r="BM844" s="162"/>
      <c r="BN844" s="162"/>
      <c r="BO844" s="162"/>
      <c r="BP844" s="162"/>
      <c r="BQ844" s="162"/>
      <c r="BR844" s="230"/>
      <c r="BS844" s="230"/>
      <c r="BT844" s="162"/>
      <c r="BU844" s="162"/>
      <c r="BV844" s="162"/>
      <c r="BW844" s="162"/>
      <c r="BX844" s="162"/>
      <c r="BY844" s="230"/>
      <c r="BZ844" s="230"/>
      <c r="CA844" s="162"/>
      <c r="CB844" s="162"/>
      <c r="CC844" s="162"/>
      <c r="CD844" s="162"/>
      <c r="CE844" s="162"/>
      <c r="CF844" s="230"/>
      <c r="CG844" s="230"/>
      <c r="CH844" s="162"/>
      <c r="CI844" s="162"/>
      <c r="CJ844" s="162"/>
      <c r="CK844" s="162"/>
      <c r="CL844" s="162"/>
      <c r="CM844" s="230"/>
      <c r="CN844" s="230"/>
      <c r="CO844" s="162"/>
      <c r="CP844" s="162"/>
      <c r="CQ844" s="162"/>
      <c r="CR844" s="162"/>
      <c r="CS844" s="162"/>
      <c r="CT844" s="230"/>
      <c r="CU844" s="230"/>
      <c r="CV844" s="162"/>
      <c r="CW844" s="162"/>
      <c r="CX844" s="162"/>
      <c r="CY844" s="162"/>
      <c r="CZ844" s="162"/>
      <c r="DA844" s="230"/>
      <c r="DB844" s="230"/>
      <c r="DC844" s="162"/>
      <c r="DD844" s="162"/>
      <c r="DE844" s="162"/>
      <c r="DF844" s="162"/>
      <c r="DG844" s="162"/>
      <c r="DH844" s="230"/>
      <c r="DI844" s="230"/>
      <c r="DJ844" s="162"/>
      <c r="DK844" s="162"/>
      <c r="DL844" s="147"/>
      <c r="DM844" s="147"/>
      <c r="DN844" s="147"/>
      <c r="DO844" s="147"/>
      <c r="DP844" s="147"/>
      <c r="DQ844" s="147"/>
      <c r="DR844" s="147"/>
      <c r="DS844" s="147"/>
      <c r="DT844" s="147"/>
      <c r="DU844" s="147"/>
      <c r="DV844" s="147"/>
      <c r="DW844" s="147"/>
      <c r="DX844" s="147"/>
      <c r="DY844" s="147"/>
      <c r="DZ844" s="147"/>
      <c r="EA844" s="147"/>
      <c r="EB844" s="147"/>
      <c r="EC844" s="147"/>
      <c r="ED844" s="147"/>
      <c r="EE844" s="147"/>
      <c r="EF844" s="147"/>
      <c r="EG844" s="147"/>
      <c r="EH844" s="147"/>
    </row>
    <row r="845" spans="1:138" x14ac:dyDescent="0.25">
      <c r="A845" s="147"/>
      <c r="B845" s="147"/>
      <c r="C845" s="160"/>
      <c r="D845" s="160"/>
      <c r="E845" s="169"/>
      <c r="F845" s="229"/>
      <c r="G845" s="165"/>
      <c r="H845" s="165"/>
      <c r="I845" s="163"/>
      <c r="J845" s="163"/>
      <c r="K845" s="162"/>
      <c r="L845" s="162"/>
      <c r="M845" s="162"/>
      <c r="N845" s="230"/>
      <c r="O845" s="230"/>
      <c r="P845" s="162"/>
      <c r="Q845" s="162"/>
      <c r="R845" s="162"/>
      <c r="S845" s="162"/>
      <c r="T845" s="162"/>
      <c r="U845" s="230"/>
      <c r="V845" s="230"/>
      <c r="W845" s="162"/>
      <c r="X845" s="162"/>
      <c r="Y845" s="162"/>
      <c r="Z845" s="162"/>
      <c r="AA845" s="162"/>
      <c r="AB845" s="230"/>
      <c r="AC845" s="230"/>
      <c r="AD845" s="162"/>
      <c r="AE845" s="162"/>
      <c r="AF845" s="162"/>
      <c r="AG845" s="162"/>
      <c r="AH845" s="162"/>
      <c r="AI845" s="230"/>
      <c r="AJ845" s="230"/>
      <c r="AK845" s="162"/>
      <c r="AL845" s="162"/>
      <c r="AM845" s="162"/>
      <c r="AN845" s="162"/>
      <c r="AO845" s="162"/>
      <c r="AP845" s="230"/>
      <c r="AQ845" s="230"/>
      <c r="AR845" s="162"/>
      <c r="AS845" s="162"/>
      <c r="AT845" s="162"/>
      <c r="AU845" s="162"/>
      <c r="AV845" s="162"/>
      <c r="AW845" s="230"/>
      <c r="AX845" s="230"/>
      <c r="AY845" s="162"/>
      <c r="AZ845" s="162"/>
      <c r="BA845" s="162"/>
      <c r="BB845" s="162"/>
      <c r="BC845" s="162"/>
      <c r="BD845" s="230"/>
      <c r="BE845" s="230"/>
      <c r="BF845" s="162"/>
      <c r="BG845" s="162"/>
      <c r="BH845" s="162"/>
      <c r="BI845" s="162"/>
      <c r="BJ845" s="162"/>
      <c r="BK845" s="230"/>
      <c r="BL845" s="230"/>
      <c r="BM845" s="162"/>
      <c r="BN845" s="162"/>
      <c r="BO845" s="162"/>
      <c r="BP845" s="162"/>
      <c r="BQ845" s="162"/>
      <c r="BR845" s="230"/>
      <c r="BS845" s="230"/>
      <c r="BT845" s="162"/>
      <c r="BU845" s="162"/>
      <c r="BV845" s="162"/>
      <c r="BW845" s="162"/>
      <c r="BX845" s="162"/>
      <c r="BY845" s="230"/>
      <c r="BZ845" s="230"/>
      <c r="CA845" s="162"/>
      <c r="CB845" s="162"/>
      <c r="CC845" s="162"/>
      <c r="CD845" s="162"/>
      <c r="CE845" s="162"/>
      <c r="CF845" s="230"/>
      <c r="CG845" s="230"/>
      <c r="CH845" s="162"/>
      <c r="CI845" s="162"/>
      <c r="CJ845" s="162"/>
      <c r="CK845" s="162"/>
      <c r="CL845" s="162"/>
      <c r="CM845" s="230"/>
      <c r="CN845" s="230"/>
      <c r="CO845" s="162"/>
      <c r="CP845" s="162"/>
      <c r="CQ845" s="162"/>
      <c r="CR845" s="162"/>
      <c r="CS845" s="162"/>
      <c r="CT845" s="230"/>
      <c r="CU845" s="230"/>
      <c r="CV845" s="162"/>
      <c r="CW845" s="162"/>
      <c r="CX845" s="162"/>
      <c r="CY845" s="162"/>
      <c r="CZ845" s="162"/>
      <c r="DA845" s="230"/>
      <c r="DB845" s="230"/>
      <c r="DC845" s="162"/>
      <c r="DD845" s="162"/>
      <c r="DE845" s="162"/>
      <c r="DF845" s="162"/>
      <c r="DG845" s="162"/>
      <c r="DH845" s="230"/>
      <c r="DI845" s="230"/>
      <c r="DJ845" s="162"/>
      <c r="DK845" s="162"/>
      <c r="DL845" s="147"/>
      <c r="DM845" s="147"/>
      <c r="DN845" s="147"/>
      <c r="DO845" s="147"/>
      <c r="DP845" s="147"/>
      <c r="DQ845" s="147"/>
      <c r="DR845" s="147"/>
      <c r="DS845" s="147"/>
      <c r="DT845" s="147"/>
      <c r="DU845" s="147"/>
      <c r="DV845" s="147"/>
      <c r="DW845" s="147"/>
      <c r="DX845" s="147"/>
      <c r="DY845" s="147"/>
      <c r="DZ845" s="147"/>
      <c r="EA845" s="147"/>
      <c r="EB845" s="147"/>
      <c r="EC845" s="147"/>
      <c r="ED845" s="147"/>
      <c r="EE845" s="147"/>
      <c r="EF845" s="147"/>
      <c r="EG845" s="147"/>
      <c r="EH845" s="147"/>
    </row>
    <row r="846" spans="1:138" x14ac:dyDescent="0.25">
      <c r="A846" s="147"/>
      <c r="B846" s="147"/>
      <c r="C846" s="160"/>
      <c r="D846" s="160"/>
      <c r="E846" s="169"/>
      <c r="F846" s="229"/>
      <c r="G846" s="165"/>
      <c r="H846" s="165"/>
      <c r="I846" s="163"/>
      <c r="J846" s="163"/>
      <c r="K846" s="162"/>
      <c r="L846" s="162"/>
      <c r="M846" s="162"/>
      <c r="N846" s="230"/>
      <c r="O846" s="230"/>
      <c r="P846" s="162"/>
      <c r="Q846" s="162"/>
      <c r="R846" s="162"/>
      <c r="S846" s="162"/>
      <c r="T846" s="162"/>
      <c r="U846" s="230"/>
      <c r="V846" s="230"/>
      <c r="W846" s="162"/>
      <c r="X846" s="162"/>
      <c r="Y846" s="162"/>
      <c r="Z846" s="162"/>
      <c r="AA846" s="162"/>
      <c r="AB846" s="230"/>
      <c r="AC846" s="230"/>
      <c r="AD846" s="162"/>
      <c r="AE846" s="162"/>
      <c r="AF846" s="162"/>
      <c r="AG846" s="162"/>
      <c r="AH846" s="162"/>
      <c r="AI846" s="230"/>
      <c r="AJ846" s="230"/>
      <c r="AK846" s="162"/>
      <c r="AL846" s="162"/>
      <c r="AM846" s="162"/>
      <c r="AN846" s="162"/>
      <c r="AO846" s="162"/>
      <c r="AP846" s="230"/>
      <c r="AQ846" s="230"/>
      <c r="AR846" s="162"/>
      <c r="AS846" s="162"/>
      <c r="AT846" s="162"/>
      <c r="AU846" s="162"/>
      <c r="AV846" s="162"/>
      <c r="AW846" s="230"/>
      <c r="AX846" s="230"/>
      <c r="AY846" s="162"/>
      <c r="AZ846" s="162"/>
      <c r="BA846" s="162"/>
      <c r="BB846" s="162"/>
      <c r="BC846" s="162"/>
      <c r="BD846" s="230"/>
      <c r="BE846" s="230"/>
      <c r="BF846" s="162"/>
      <c r="BG846" s="162"/>
      <c r="BH846" s="162"/>
      <c r="BI846" s="162"/>
      <c r="BJ846" s="162"/>
      <c r="BK846" s="230"/>
      <c r="BL846" s="230"/>
      <c r="BM846" s="162"/>
      <c r="BN846" s="162"/>
      <c r="BO846" s="162"/>
      <c r="BP846" s="162"/>
      <c r="BQ846" s="162"/>
      <c r="BR846" s="230"/>
      <c r="BS846" s="230"/>
      <c r="BT846" s="162"/>
      <c r="BU846" s="162"/>
      <c r="BV846" s="162"/>
      <c r="BW846" s="162"/>
      <c r="BX846" s="162"/>
      <c r="BY846" s="230"/>
      <c r="BZ846" s="230"/>
      <c r="CA846" s="162"/>
      <c r="CB846" s="162"/>
      <c r="CC846" s="162"/>
      <c r="CD846" s="162"/>
      <c r="CE846" s="162"/>
      <c r="CF846" s="230"/>
      <c r="CG846" s="230"/>
      <c r="CH846" s="162"/>
      <c r="CI846" s="162"/>
      <c r="CJ846" s="162"/>
      <c r="CK846" s="162"/>
      <c r="CL846" s="162"/>
      <c r="CM846" s="230"/>
      <c r="CN846" s="230"/>
      <c r="CO846" s="162"/>
      <c r="CP846" s="162"/>
      <c r="CQ846" s="162"/>
      <c r="CR846" s="162"/>
      <c r="CS846" s="162"/>
      <c r="CT846" s="230"/>
      <c r="CU846" s="230"/>
      <c r="CV846" s="162"/>
      <c r="CW846" s="162"/>
      <c r="CX846" s="162"/>
      <c r="CY846" s="162"/>
      <c r="CZ846" s="162"/>
      <c r="DA846" s="230"/>
      <c r="DB846" s="230"/>
      <c r="DC846" s="162"/>
      <c r="DD846" s="162"/>
      <c r="DE846" s="162"/>
      <c r="DF846" s="162"/>
      <c r="DG846" s="162"/>
      <c r="DH846" s="230"/>
      <c r="DI846" s="230"/>
      <c r="DJ846" s="162"/>
      <c r="DK846" s="162"/>
      <c r="DL846" s="147"/>
      <c r="DM846" s="147"/>
      <c r="DN846" s="147"/>
      <c r="DO846" s="147"/>
      <c r="DP846" s="147"/>
      <c r="DQ846" s="147"/>
      <c r="DR846" s="147"/>
      <c r="DS846" s="147"/>
      <c r="DT846" s="147"/>
      <c r="DU846" s="147"/>
      <c r="DV846" s="147"/>
      <c r="DW846" s="147"/>
      <c r="DX846" s="147"/>
      <c r="DY846" s="147"/>
      <c r="DZ846" s="147"/>
      <c r="EA846" s="147"/>
      <c r="EB846" s="147"/>
      <c r="EC846" s="147"/>
      <c r="ED846" s="147"/>
      <c r="EE846" s="147"/>
      <c r="EF846" s="147"/>
      <c r="EG846" s="147"/>
      <c r="EH846" s="147"/>
    </row>
    <row r="847" spans="1:138" x14ac:dyDescent="0.25">
      <c r="A847" s="147"/>
      <c r="B847" s="147"/>
      <c r="C847" s="160"/>
      <c r="D847" s="160"/>
      <c r="E847" s="169"/>
      <c r="F847" s="229"/>
      <c r="G847" s="165"/>
      <c r="H847" s="165"/>
      <c r="I847" s="163"/>
      <c r="J847" s="163"/>
      <c r="K847" s="162"/>
      <c r="L847" s="162"/>
      <c r="M847" s="162"/>
      <c r="N847" s="230"/>
      <c r="O847" s="230"/>
      <c r="P847" s="162"/>
      <c r="Q847" s="162"/>
      <c r="R847" s="162"/>
      <c r="S847" s="162"/>
      <c r="T847" s="162"/>
      <c r="U847" s="230"/>
      <c r="V847" s="230"/>
      <c r="W847" s="162"/>
      <c r="X847" s="162"/>
      <c r="Y847" s="162"/>
      <c r="Z847" s="162"/>
      <c r="AA847" s="162"/>
      <c r="AB847" s="230"/>
      <c r="AC847" s="230"/>
      <c r="AD847" s="162"/>
      <c r="AE847" s="162"/>
      <c r="AF847" s="162"/>
      <c r="AG847" s="162"/>
      <c r="AH847" s="162"/>
      <c r="AI847" s="230"/>
      <c r="AJ847" s="230"/>
      <c r="AK847" s="162"/>
      <c r="AL847" s="162"/>
      <c r="AM847" s="162"/>
      <c r="AN847" s="162"/>
      <c r="AO847" s="162"/>
      <c r="AP847" s="230"/>
      <c r="AQ847" s="230"/>
      <c r="AR847" s="162"/>
      <c r="AS847" s="162"/>
      <c r="AT847" s="162"/>
      <c r="AU847" s="162"/>
      <c r="AV847" s="162"/>
      <c r="AW847" s="230"/>
      <c r="AX847" s="230"/>
      <c r="AY847" s="162"/>
      <c r="AZ847" s="162"/>
      <c r="BA847" s="162"/>
      <c r="BB847" s="162"/>
      <c r="BC847" s="162"/>
      <c r="BD847" s="230"/>
      <c r="BE847" s="230"/>
      <c r="BF847" s="162"/>
      <c r="BG847" s="162"/>
      <c r="BH847" s="162"/>
      <c r="BI847" s="162"/>
      <c r="BJ847" s="162"/>
      <c r="BK847" s="230"/>
      <c r="BL847" s="230"/>
      <c r="BM847" s="162"/>
      <c r="BN847" s="162"/>
      <c r="BO847" s="162"/>
      <c r="BP847" s="162"/>
      <c r="BQ847" s="162"/>
      <c r="BR847" s="230"/>
      <c r="BS847" s="230"/>
      <c r="BT847" s="162"/>
      <c r="BU847" s="162"/>
      <c r="BV847" s="162"/>
      <c r="BW847" s="162"/>
      <c r="BX847" s="162"/>
      <c r="BY847" s="230"/>
      <c r="BZ847" s="230"/>
      <c r="CA847" s="162"/>
      <c r="CB847" s="162"/>
      <c r="CC847" s="162"/>
      <c r="CD847" s="162"/>
      <c r="CE847" s="162"/>
      <c r="CF847" s="230"/>
      <c r="CG847" s="230"/>
      <c r="CH847" s="162"/>
      <c r="CI847" s="162"/>
      <c r="CJ847" s="162"/>
      <c r="CK847" s="162"/>
      <c r="CL847" s="162"/>
      <c r="CM847" s="230"/>
      <c r="CN847" s="230"/>
      <c r="CO847" s="162"/>
      <c r="CP847" s="162"/>
      <c r="CQ847" s="162"/>
      <c r="CR847" s="162"/>
      <c r="CS847" s="162"/>
      <c r="CT847" s="230"/>
      <c r="CU847" s="230"/>
      <c r="CV847" s="162"/>
      <c r="CW847" s="162"/>
      <c r="CX847" s="162"/>
      <c r="CY847" s="162"/>
      <c r="CZ847" s="162"/>
      <c r="DA847" s="230"/>
      <c r="DB847" s="230"/>
      <c r="DC847" s="162"/>
      <c r="DD847" s="162"/>
      <c r="DE847" s="162"/>
      <c r="DF847" s="162"/>
      <c r="DG847" s="162"/>
      <c r="DH847" s="230"/>
      <c r="DI847" s="230"/>
      <c r="DJ847" s="162"/>
      <c r="DK847" s="162"/>
      <c r="DL847" s="147"/>
      <c r="DM847" s="147"/>
      <c r="DN847" s="147"/>
      <c r="DO847" s="147"/>
      <c r="DP847" s="147"/>
      <c r="DQ847" s="147"/>
      <c r="DR847" s="147"/>
      <c r="DS847" s="147"/>
      <c r="DT847" s="147"/>
      <c r="DU847" s="147"/>
      <c r="DV847" s="147"/>
      <c r="DW847" s="147"/>
      <c r="DX847" s="147"/>
      <c r="DY847" s="147"/>
      <c r="DZ847" s="147"/>
      <c r="EA847" s="147"/>
      <c r="EB847" s="147"/>
      <c r="EC847" s="147"/>
      <c r="ED847" s="147"/>
      <c r="EE847" s="147"/>
      <c r="EF847" s="147"/>
      <c r="EG847" s="147"/>
      <c r="EH847" s="147"/>
    </row>
    <row r="848" spans="1:138" x14ac:dyDescent="0.25">
      <c r="A848" s="147"/>
      <c r="B848" s="147"/>
      <c r="C848" s="160"/>
      <c r="D848" s="160"/>
      <c r="E848" s="169"/>
      <c r="F848" s="229"/>
      <c r="G848" s="165"/>
      <c r="H848" s="165"/>
      <c r="I848" s="163"/>
      <c r="J848" s="163"/>
      <c r="K848" s="162"/>
      <c r="L848" s="162"/>
      <c r="M848" s="162"/>
      <c r="N848" s="230"/>
      <c r="O848" s="230"/>
      <c r="P848" s="162"/>
      <c r="Q848" s="162"/>
      <c r="R848" s="162"/>
      <c r="S848" s="162"/>
      <c r="T848" s="162"/>
      <c r="U848" s="230"/>
      <c r="V848" s="230"/>
      <c r="W848" s="162"/>
      <c r="X848" s="162"/>
      <c r="Y848" s="162"/>
      <c r="Z848" s="162"/>
      <c r="AA848" s="162"/>
      <c r="AB848" s="230"/>
      <c r="AC848" s="230"/>
      <c r="AD848" s="162"/>
      <c r="AE848" s="162"/>
      <c r="AF848" s="162"/>
      <c r="AG848" s="162"/>
      <c r="AH848" s="162"/>
      <c r="AI848" s="230"/>
      <c r="AJ848" s="230"/>
      <c r="AK848" s="162"/>
      <c r="AL848" s="162"/>
      <c r="AM848" s="162"/>
      <c r="AN848" s="162"/>
      <c r="AO848" s="162"/>
      <c r="AP848" s="230"/>
      <c r="AQ848" s="230"/>
      <c r="AR848" s="162"/>
      <c r="AS848" s="162"/>
      <c r="AT848" s="162"/>
      <c r="AU848" s="162"/>
      <c r="AV848" s="162"/>
      <c r="AW848" s="230"/>
      <c r="AX848" s="230"/>
      <c r="AY848" s="162"/>
      <c r="AZ848" s="162"/>
      <c r="BA848" s="162"/>
      <c r="BB848" s="162"/>
      <c r="BC848" s="162"/>
      <c r="BD848" s="230"/>
      <c r="BE848" s="230"/>
      <c r="BF848" s="162"/>
      <c r="BG848" s="162"/>
      <c r="BH848" s="162"/>
      <c r="BI848" s="162"/>
      <c r="BJ848" s="162"/>
      <c r="BK848" s="230"/>
      <c r="BL848" s="230"/>
      <c r="BM848" s="162"/>
      <c r="BN848" s="162"/>
      <c r="BO848" s="162"/>
      <c r="BP848" s="162"/>
      <c r="BQ848" s="162"/>
      <c r="BR848" s="230"/>
      <c r="BS848" s="230"/>
      <c r="BT848" s="162"/>
      <c r="BU848" s="162"/>
      <c r="BV848" s="162"/>
      <c r="BW848" s="162"/>
      <c r="BX848" s="162"/>
      <c r="BY848" s="230"/>
      <c r="BZ848" s="230"/>
      <c r="CA848" s="162"/>
      <c r="CB848" s="162"/>
      <c r="CC848" s="162"/>
      <c r="CD848" s="162"/>
      <c r="CE848" s="162"/>
      <c r="CF848" s="230"/>
      <c r="CG848" s="230"/>
      <c r="CH848" s="162"/>
      <c r="CI848" s="162"/>
      <c r="CJ848" s="162"/>
      <c r="CK848" s="162"/>
      <c r="CL848" s="162"/>
      <c r="CM848" s="230"/>
      <c r="CN848" s="230"/>
      <c r="CO848" s="162"/>
      <c r="CP848" s="162"/>
      <c r="CQ848" s="162"/>
      <c r="CR848" s="162"/>
      <c r="CS848" s="162"/>
      <c r="CT848" s="230"/>
      <c r="CU848" s="230"/>
      <c r="CV848" s="162"/>
      <c r="CW848" s="162"/>
      <c r="CX848" s="162"/>
      <c r="CY848" s="162"/>
      <c r="CZ848" s="162"/>
      <c r="DA848" s="230"/>
      <c r="DB848" s="230"/>
      <c r="DC848" s="162"/>
      <c r="DD848" s="162"/>
      <c r="DE848" s="162"/>
      <c r="DF848" s="162"/>
      <c r="DG848" s="162"/>
      <c r="DH848" s="230"/>
      <c r="DI848" s="230"/>
      <c r="DJ848" s="162"/>
      <c r="DK848" s="162"/>
      <c r="DL848" s="147"/>
      <c r="DM848" s="147"/>
      <c r="DN848" s="147"/>
      <c r="DO848" s="147"/>
      <c r="DP848" s="147"/>
      <c r="DQ848" s="147"/>
      <c r="DR848" s="147"/>
      <c r="DS848" s="147"/>
      <c r="DT848" s="147"/>
      <c r="DU848" s="147"/>
      <c r="DV848" s="147"/>
      <c r="DW848" s="147"/>
      <c r="DX848" s="147"/>
      <c r="DY848" s="147"/>
      <c r="DZ848" s="147"/>
      <c r="EA848" s="147"/>
      <c r="EB848" s="147"/>
      <c r="EC848" s="147"/>
      <c r="ED848" s="147"/>
      <c r="EE848" s="147"/>
      <c r="EF848" s="147"/>
      <c r="EG848" s="147"/>
      <c r="EH848" s="147"/>
    </row>
    <row r="849" spans="1:138" x14ac:dyDescent="0.25">
      <c r="A849" s="147"/>
      <c r="B849" s="147"/>
      <c r="C849" s="160"/>
      <c r="D849" s="160"/>
      <c r="E849" s="169"/>
      <c r="F849" s="229"/>
      <c r="G849" s="165"/>
      <c r="H849" s="165"/>
      <c r="I849" s="163"/>
      <c r="J849" s="163"/>
      <c r="K849" s="162"/>
      <c r="L849" s="162"/>
      <c r="M849" s="162"/>
      <c r="N849" s="230"/>
      <c r="O849" s="230"/>
      <c r="P849" s="162"/>
      <c r="Q849" s="162"/>
      <c r="R849" s="162"/>
      <c r="S849" s="162"/>
      <c r="T849" s="162"/>
      <c r="U849" s="230"/>
      <c r="V849" s="230"/>
      <c r="W849" s="162"/>
      <c r="X849" s="162"/>
      <c r="Y849" s="162"/>
      <c r="Z849" s="162"/>
      <c r="AA849" s="162"/>
      <c r="AB849" s="230"/>
      <c r="AC849" s="230"/>
      <c r="AD849" s="162"/>
      <c r="AE849" s="162"/>
      <c r="AF849" s="162"/>
      <c r="AG849" s="162"/>
      <c r="AH849" s="162"/>
      <c r="AI849" s="230"/>
      <c r="AJ849" s="230"/>
      <c r="AK849" s="162"/>
      <c r="AL849" s="162"/>
      <c r="AM849" s="162"/>
      <c r="AN849" s="162"/>
      <c r="AO849" s="162"/>
      <c r="AP849" s="230"/>
      <c r="AQ849" s="230"/>
      <c r="AR849" s="162"/>
      <c r="AS849" s="162"/>
      <c r="AT849" s="162"/>
      <c r="AU849" s="162"/>
      <c r="AV849" s="162"/>
      <c r="AW849" s="230"/>
      <c r="AX849" s="230"/>
      <c r="AY849" s="162"/>
      <c r="AZ849" s="162"/>
      <c r="BA849" s="162"/>
      <c r="BB849" s="162"/>
      <c r="BC849" s="162"/>
      <c r="BD849" s="230"/>
      <c r="BE849" s="230"/>
      <c r="BF849" s="162"/>
      <c r="BG849" s="162"/>
      <c r="BH849" s="162"/>
      <c r="BI849" s="162"/>
      <c r="BJ849" s="162"/>
      <c r="BK849" s="230"/>
      <c r="BL849" s="230"/>
      <c r="BM849" s="162"/>
      <c r="BN849" s="162"/>
      <c r="BO849" s="162"/>
      <c r="BP849" s="162"/>
      <c r="BQ849" s="162"/>
      <c r="BR849" s="230"/>
      <c r="BS849" s="230"/>
      <c r="BT849" s="162"/>
      <c r="BU849" s="162"/>
      <c r="BV849" s="162"/>
      <c r="BW849" s="162"/>
      <c r="BX849" s="162"/>
      <c r="BY849" s="230"/>
      <c r="BZ849" s="230"/>
      <c r="CA849" s="162"/>
      <c r="CB849" s="162"/>
      <c r="CC849" s="162"/>
      <c r="CD849" s="162"/>
      <c r="CE849" s="162"/>
      <c r="CF849" s="230"/>
      <c r="CG849" s="230"/>
      <c r="CH849" s="162"/>
      <c r="CI849" s="162"/>
      <c r="CJ849" s="162"/>
      <c r="CK849" s="162"/>
      <c r="CL849" s="162"/>
      <c r="CM849" s="230"/>
      <c r="CN849" s="230"/>
      <c r="CO849" s="162"/>
      <c r="CP849" s="162"/>
      <c r="CQ849" s="162"/>
      <c r="CR849" s="162"/>
      <c r="CS849" s="162"/>
      <c r="CT849" s="230"/>
      <c r="CU849" s="230"/>
      <c r="CV849" s="162"/>
      <c r="CW849" s="162"/>
      <c r="CX849" s="162"/>
      <c r="CY849" s="162"/>
      <c r="CZ849" s="162"/>
      <c r="DA849" s="230"/>
      <c r="DB849" s="230"/>
      <c r="DC849" s="162"/>
      <c r="DD849" s="162"/>
      <c r="DE849" s="162"/>
      <c r="DF849" s="162"/>
      <c r="DG849" s="162"/>
      <c r="DH849" s="230"/>
      <c r="DI849" s="230"/>
      <c r="DJ849" s="162"/>
      <c r="DK849" s="162"/>
      <c r="DL849" s="147"/>
      <c r="DM849" s="147"/>
      <c r="DN849" s="147"/>
      <c r="DO849" s="147"/>
      <c r="DP849" s="147"/>
      <c r="DQ849" s="147"/>
      <c r="DR849" s="147"/>
      <c r="DS849" s="147"/>
      <c r="DT849" s="147"/>
      <c r="DU849" s="147"/>
      <c r="DV849" s="147"/>
      <c r="DW849" s="147"/>
      <c r="DX849" s="147"/>
      <c r="DY849" s="147"/>
      <c r="DZ849" s="147"/>
      <c r="EA849" s="147"/>
      <c r="EB849" s="147"/>
      <c r="EC849" s="147"/>
      <c r="ED849" s="147"/>
      <c r="EE849" s="147"/>
      <c r="EF849" s="147"/>
      <c r="EG849" s="147"/>
      <c r="EH849" s="147"/>
    </row>
    <row r="850" spans="1:138" x14ac:dyDescent="0.25">
      <c r="A850" s="147"/>
      <c r="B850" s="147"/>
      <c r="C850" s="160"/>
      <c r="D850" s="160"/>
      <c r="E850" s="169"/>
      <c r="F850" s="229"/>
      <c r="G850" s="165"/>
      <c r="H850" s="165"/>
      <c r="I850" s="163"/>
      <c r="J850" s="163"/>
      <c r="K850" s="162"/>
      <c r="L850" s="162"/>
      <c r="M850" s="162"/>
      <c r="N850" s="230"/>
      <c r="O850" s="230"/>
      <c r="P850" s="162"/>
      <c r="Q850" s="162"/>
      <c r="R850" s="162"/>
      <c r="S850" s="162"/>
      <c r="T850" s="162"/>
      <c r="U850" s="230"/>
      <c r="V850" s="230"/>
      <c r="W850" s="162"/>
      <c r="X850" s="162"/>
      <c r="Y850" s="162"/>
      <c r="Z850" s="162"/>
      <c r="AA850" s="162"/>
      <c r="AB850" s="230"/>
      <c r="AC850" s="230"/>
      <c r="AD850" s="162"/>
      <c r="AE850" s="162"/>
      <c r="AF850" s="162"/>
      <c r="AG850" s="162"/>
      <c r="AH850" s="162"/>
      <c r="AI850" s="230"/>
      <c r="AJ850" s="230"/>
      <c r="AK850" s="162"/>
      <c r="AL850" s="162"/>
      <c r="AM850" s="162"/>
      <c r="AN850" s="162"/>
      <c r="AO850" s="162"/>
      <c r="AP850" s="230"/>
      <c r="AQ850" s="230"/>
      <c r="AR850" s="162"/>
      <c r="AS850" s="162"/>
      <c r="AT850" s="162"/>
      <c r="AU850" s="162"/>
      <c r="AV850" s="162"/>
      <c r="AW850" s="230"/>
      <c r="AX850" s="230"/>
      <c r="AY850" s="162"/>
      <c r="AZ850" s="162"/>
      <c r="BA850" s="162"/>
      <c r="BB850" s="162"/>
      <c r="BC850" s="162"/>
      <c r="BD850" s="230"/>
      <c r="BE850" s="230"/>
      <c r="BF850" s="162"/>
      <c r="BG850" s="162"/>
      <c r="BH850" s="162"/>
      <c r="BI850" s="162"/>
      <c r="BJ850" s="162"/>
      <c r="BK850" s="230"/>
      <c r="BL850" s="230"/>
      <c r="BM850" s="162"/>
      <c r="BN850" s="162"/>
      <c r="BO850" s="162"/>
      <c r="BP850" s="162"/>
      <c r="BQ850" s="162"/>
      <c r="BR850" s="230"/>
      <c r="BS850" s="230"/>
      <c r="BT850" s="162"/>
      <c r="BU850" s="162"/>
      <c r="BV850" s="162"/>
      <c r="BW850" s="162"/>
      <c r="BX850" s="162"/>
      <c r="BY850" s="230"/>
      <c r="BZ850" s="230"/>
      <c r="CA850" s="162"/>
      <c r="CB850" s="162"/>
      <c r="CC850" s="162"/>
      <c r="CD850" s="162"/>
      <c r="CE850" s="162"/>
      <c r="CF850" s="230"/>
      <c r="CG850" s="230"/>
      <c r="CH850" s="162"/>
      <c r="CI850" s="162"/>
      <c r="CJ850" s="162"/>
      <c r="CK850" s="162"/>
      <c r="CL850" s="162"/>
      <c r="CM850" s="230"/>
      <c r="CN850" s="230"/>
      <c r="CO850" s="162"/>
      <c r="CP850" s="162"/>
      <c r="CQ850" s="162"/>
      <c r="CR850" s="162"/>
      <c r="CS850" s="162"/>
      <c r="CT850" s="230"/>
      <c r="CU850" s="230"/>
      <c r="CV850" s="162"/>
      <c r="CW850" s="162"/>
      <c r="CX850" s="162"/>
      <c r="CY850" s="162"/>
      <c r="CZ850" s="162"/>
      <c r="DA850" s="230"/>
      <c r="DB850" s="230"/>
      <c r="DC850" s="162"/>
      <c r="DD850" s="162"/>
      <c r="DE850" s="162"/>
      <c r="DF850" s="162"/>
      <c r="DG850" s="162"/>
      <c r="DH850" s="230"/>
      <c r="DI850" s="230"/>
      <c r="DJ850" s="162"/>
      <c r="DK850" s="162"/>
      <c r="DL850" s="147"/>
      <c r="DM850" s="147"/>
      <c r="DN850" s="147"/>
      <c r="DO850" s="147"/>
      <c r="DP850" s="147"/>
      <c r="DQ850" s="147"/>
      <c r="DR850" s="147"/>
      <c r="DS850" s="147"/>
      <c r="DT850" s="147"/>
      <c r="DU850" s="147"/>
      <c r="DV850" s="147"/>
      <c r="DW850" s="147"/>
      <c r="DX850" s="147"/>
      <c r="DY850" s="147"/>
      <c r="DZ850" s="147"/>
      <c r="EA850" s="147"/>
      <c r="EB850" s="147"/>
      <c r="EC850" s="147"/>
      <c r="ED850" s="147"/>
      <c r="EE850" s="147"/>
      <c r="EF850" s="147"/>
      <c r="EG850" s="147"/>
      <c r="EH850" s="147"/>
    </row>
    <row r="851" spans="1:138" x14ac:dyDescent="0.25">
      <c r="A851" s="147"/>
      <c r="B851" s="147"/>
      <c r="C851" s="160"/>
      <c r="D851" s="160"/>
      <c r="E851" s="169"/>
      <c r="F851" s="229"/>
      <c r="G851" s="165"/>
      <c r="H851" s="165"/>
      <c r="I851" s="163"/>
      <c r="J851" s="163"/>
      <c r="K851" s="162"/>
      <c r="L851" s="162"/>
      <c r="M851" s="162"/>
      <c r="N851" s="230"/>
      <c r="O851" s="230"/>
      <c r="P851" s="162"/>
      <c r="Q851" s="162"/>
      <c r="R851" s="162"/>
      <c r="S851" s="162"/>
      <c r="T851" s="162"/>
      <c r="U851" s="230"/>
      <c r="V851" s="230"/>
      <c r="W851" s="162"/>
      <c r="X851" s="162"/>
      <c r="Y851" s="162"/>
      <c r="Z851" s="162"/>
      <c r="AA851" s="162"/>
      <c r="AB851" s="230"/>
      <c r="AC851" s="230"/>
      <c r="AD851" s="162"/>
      <c r="AE851" s="162"/>
      <c r="AF851" s="162"/>
      <c r="AG851" s="162"/>
      <c r="AH851" s="162"/>
      <c r="AI851" s="230"/>
      <c r="AJ851" s="230"/>
      <c r="AK851" s="162"/>
      <c r="AL851" s="162"/>
      <c r="AM851" s="162"/>
      <c r="AN851" s="162"/>
      <c r="AO851" s="162"/>
      <c r="AP851" s="230"/>
      <c r="AQ851" s="230"/>
      <c r="AR851" s="162"/>
      <c r="AS851" s="162"/>
      <c r="AT851" s="162"/>
      <c r="AU851" s="162"/>
      <c r="AV851" s="162"/>
      <c r="AW851" s="230"/>
      <c r="AX851" s="230"/>
      <c r="AY851" s="162"/>
      <c r="AZ851" s="162"/>
      <c r="BA851" s="162"/>
      <c r="BB851" s="162"/>
      <c r="BC851" s="162"/>
      <c r="BD851" s="230"/>
      <c r="BE851" s="230"/>
      <c r="BF851" s="162"/>
      <c r="BG851" s="162"/>
      <c r="BH851" s="162"/>
      <c r="BI851" s="162"/>
      <c r="BJ851" s="162"/>
      <c r="BK851" s="230"/>
      <c r="BL851" s="230"/>
      <c r="BM851" s="162"/>
      <c r="BN851" s="162"/>
      <c r="BO851" s="162"/>
      <c r="BP851" s="162"/>
      <c r="BQ851" s="162"/>
      <c r="BR851" s="230"/>
      <c r="BS851" s="230"/>
      <c r="BT851" s="162"/>
      <c r="BU851" s="162"/>
      <c r="BV851" s="162"/>
      <c r="BW851" s="162"/>
      <c r="BX851" s="162"/>
      <c r="BY851" s="230"/>
      <c r="BZ851" s="230"/>
      <c r="CA851" s="162"/>
      <c r="CB851" s="162"/>
      <c r="CC851" s="162"/>
      <c r="CD851" s="162"/>
      <c r="CE851" s="162"/>
      <c r="CF851" s="230"/>
      <c r="CG851" s="230"/>
      <c r="CH851" s="162"/>
      <c r="CI851" s="162"/>
      <c r="CJ851" s="162"/>
      <c r="CK851" s="162"/>
      <c r="CL851" s="162"/>
      <c r="CM851" s="230"/>
      <c r="CN851" s="230"/>
      <c r="CO851" s="162"/>
      <c r="CP851" s="162"/>
      <c r="CQ851" s="162"/>
      <c r="CR851" s="162"/>
      <c r="CS851" s="162"/>
      <c r="CT851" s="230"/>
      <c r="CU851" s="230"/>
      <c r="CV851" s="162"/>
      <c r="CW851" s="162"/>
      <c r="CX851" s="162"/>
      <c r="CY851" s="162"/>
      <c r="CZ851" s="162"/>
      <c r="DA851" s="230"/>
      <c r="DB851" s="230"/>
      <c r="DC851" s="162"/>
      <c r="DD851" s="162"/>
      <c r="DE851" s="162"/>
      <c r="DF851" s="162"/>
      <c r="DG851" s="162"/>
      <c r="DH851" s="230"/>
      <c r="DI851" s="230"/>
      <c r="DJ851" s="162"/>
      <c r="DK851" s="162"/>
      <c r="DL851" s="147"/>
      <c r="DM851" s="147"/>
      <c r="DN851" s="147"/>
      <c r="DO851" s="147"/>
      <c r="DP851" s="147"/>
      <c r="DQ851" s="147"/>
      <c r="DR851" s="147"/>
      <c r="DS851" s="147"/>
      <c r="DT851" s="147"/>
      <c r="DU851" s="147"/>
      <c r="DV851" s="147"/>
      <c r="DW851" s="147"/>
      <c r="DX851" s="147"/>
      <c r="DY851" s="147"/>
      <c r="DZ851" s="147"/>
      <c r="EA851" s="147"/>
      <c r="EB851" s="147"/>
      <c r="EC851" s="147"/>
      <c r="ED851" s="147"/>
      <c r="EE851" s="147"/>
      <c r="EF851" s="147"/>
      <c r="EG851" s="147"/>
      <c r="EH851" s="147"/>
    </row>
    <row r="852" spans="1:138" x14ac:dyDescent="0.25">
      <c r="A852" s="147"/>
      <c r="B852" s="147"/>
      <c r="C852" s="160"/>
      <c r="D852" s="160"/>
      <c r="E852" s="169"/>
      <c r="F852" s="229"/>
      <c r="G852" s="165"/>
      <c r="H852" s="165"/>
      <c r="I852" s="163"/>
      <c r="J852" s="163"/>
      <c r="K852" s="162"/>
      <c r="L852" s="162"/>
      <c r="M852" s="162"/>
      <c r="N852" s="230"/>
      <c r="O852" s="230"/>
      <c r="P852" s="162"/>
      <c r="Q852" s="162"/>
      <c r="R852" s="162"/>
      <c r="S852" s="162"/>
      <c r="T852" s="162"/>
      <c r="U852" s="230"/>
      <c r="V852" s="230"/>
      <c r="W852" s="162"/>
      <c r="X852" s="162"/>
      <c r="Y852" s="162"/>
      <c r="Z852" s="162"/>
      <c r="AA852" s="162"/>
      <c r="AB852" s="230"/>
      <c r="AC852" s="230"/>
      <c r="AD852" s="162"/>
      <c r="AE852" s="162"/>
      <c r="AF852" s="162"/>
      <c r="AG852" s="162"/>
      <c r="AH852" s="162"/>
      <c r="AI852" s="230"/>
      <c r="AJ852" s="230"/>
      <c r="AK852" s="162"/>
      <c r="AL852" s="162"/>
      <c r="AM852" s="162"/>
      <c r="AN852" s="162"/>
      <c r="AO852" s="162"/>
      <c r="AP852" s="230"/>
      <c r="AQ852" s="230"/>
      <c r="AR852" s="162"/>
      <c r="AS852" s="162"/>
      <c r="AT852" s="162"/>
      <c r="AU852" s="162"/>
      <c r="AV852" s="162"/>
      <c r="AW852" s="230"/>
      <c r="AX852" s="230"/>
      <c r="AY852" s="162"/>
      <c r="AZ852" s="162"/>
      <c r="BA852" s="162"/>
      <c r="BB852" s="162"/>
      <c r="BC852" s="162"/>
      <c r="BD852" s="230"/>
      <c r="BE852" s="230"/>
      <c r="BF852" s="162"/>
      <c r="BG852" s="162"/>
      <c r="BH852" s="162"/>
      <c r="BI852" s="162"/>
      <c r="BJ852" s="162"/>
      <c r="BK852" s="230"/>
      <c r="BL852" s="230"/>
      <c r="BM852" s="162"/>
      <c r="BN852" s="162"/>
      <c r="BO852" s="162"/>
      <c r="BP852" s="162"/>
      <c r="BQ852" s="162"/>
      <c r="BR852" s="230"/>
      <c r="BS852" s="230"/>
      <c r="BT852" s="162"/>
      <c r="BU852" s="162"/>
      <c r="BV852" s="162"/>
      <c r="BW852" s="162"/>
      <c r="BX852" s="162"/>
      <c r="BY852" s="230"/>
      <c r="BZ852" s="230"/>
      <c r="CA852" s="162"/>
      <c r="CB852" s="162"/>
      <c r="CC852" s="162"/>
      <c r="CD852" s="162"/>
      <c r="CE852" s="162"/>
      <c r="CF852" s="230"/>
      <c r="CG852" s="230"/>
      <c r="CH852" s="162"/>
      <c r="CI852" s="162"/>
      <c r="CJ852" s="162"/>
      <c r="CK852" s="162"/>
      <c r="CL852" s="162"/>
      <c r="CM852" s="230"/>
      <c r="CN852" s="230"/>
      <c r="CO852" s="162"/>
      <c r="CP852" s="162"/>
      <c r="CQ852" s="162"/>
      <c r="CR852" s="162"/>
      <c r="CS852" s="162"/>
      <c r="CT852" s="230"/>
      <c r="CU852" s="230"/>
      <c r="CV852" s="162"/>
      <c r="CW852" s="162"/>
      <c r="CX852" s="162"/>
      <c r="CY852" s="162"/>
      <c r="CZ852" s="162"/>
      <c r="DA852" s="230"/>
      <c r="DB852" s="230"/>
      <c r="DC852" s="162"/>
      <c r="DD852" s="162"/>
      <c r="DE852" s="162"/>
      <c r="DF852" s="162"/>
      <c r="DG852" s="162"/>
      <c r="DH852" s="230"/>
      <c r="DI852" s="230"/>
      <c r="DJ852" s="162"/>
      <c r="DK852" s="162"/>
      <c r="DL852" s="147"/>
      <c r="DM852" s="147"/>
      <c r="DN852" s="147"/>
      <c r="DO852" s="147"/>
      <c r="DP852" s="147"/>
      <c r="DQ852" s="147"/>
      <c r="DR852" s="147"/>
      <c r="DS852" s="147"/>
      <c r="DT852" s="147"/>
      <c r="DU852" s="147"/>
      <c r="DV852" s="147"/>
      <c r="DW852" s="147"/>
      <c r="DX852" s="147"/>
      <c r="DY852" s="147"/>
      <c r="DZ852" s="147"/>
      <c r="EA852" s="147"/>
      <c r="EB852" s="147"/>
      <c r="EC852" s="147"/>
      <c r="ED852" s="147"/>
      <c r="EE852" s="147"/>
      <c r="EF852" s="147"/>
      <c r="EG852" s="147"/>
      <c r="EH852" s="147"/>
    </row>
    <row r="853" spans="1:138" x14ac:dyDescent="0.25">
      <c r="A853" s="147"/>
      <c r="B853" s="147"/>
      <c r="C853" s="160"/>
      <c r="D853" s="160"/>
      <c r="E853" s="169"/>
      <c r="F853" s="229"/>
      <c r="G853" s="165"/>
      <c r="H853" s="165"/>
      <c r="I853" s="163"/>
      <c r="J853" s="163"/>
      <c r="K853" s="162"/>
      <c r="L853" s="162"/>
      <c r="M853" s="162"/>
      <c r="N853" s="230"/>
      <c r="O853" s="230"/>
      <c r="P853" s="162"/>
      <c r="Q853" s="162"/>
      <c r="R853" s="162"/>
      <c r="S853" s="162"/>
      <c r="T853" s="162"/>
      <c r="U853" s="230"/>
      <c r="V853" s="230"/>
      <c r="W853" s="162"/>
      <c r="X853" s="162"/>
      <c r="Y853" s="162"/>
      <c r="Z853" s="162"/>
      <c r="AA853" s="162"/>
      <c r="AB853" s="230"/>
      <c r="AC853" s="230"/>
      <c r="AD853" s="162"/>
      <c r="AE853" s="162"/>
      <c r="AF853" s="162"/>
      <c r="AG853" s="162"/>
      <c r="AH853" s="162"/>
      <c r="AI853" s="230"/>
      <c r="AJ853" s="230"/>
      <c r="AK853" s="162"/>
      <c r="AL853" s="162"/>
      <c r="AM853" s="162"/>
      <c r="AN853" s="162"/>
      <c r="AO853" s="162"/>
      <c r="AP853" s="230"/>
      <c r="AQ853" s="230"/>
      <c r="AR853" s="162"/>
      <c r="AS853" s="162"/>
      <c r="AT853" s="162"/>
      <c r="AU853" s="162"/>
      <c r="AV853" s="162"/>
      <c r="AW853" s="230"/>
      <c r="AX853" s="230"/>
      <c r="AY853" s="162"/>
      <c r="AZ853" s="162"/>
      <c r="BA853" s="162"/>
      <c r="BB853" s="162"/>
      <c r="BC853" s="162"/>
      <c r="BD853" s="230"/>
      <c r="BE853" s="230"/>
      <c r="BF853" s="162"/>
      <c r="BG853" s="162"/>
      <c r="BH853" s="162"/>
      <c r="BI853" s="162"/>
      <c r="BJ853" s="162"/>
      <c r="BK853" s="230"/>
      <c r="BL853" s="230"/>
      <c r="BM853" s="162"/>
      <c r="BN853" s="162"/>
      <c r="BO853" s="162"/>
      <c r="BP853" s="162"/>
      <c r="BQ853" s="162"/>
      <c r="BR853" s="230"/>
      <c r="BS853" s="230"/>
      <c r="BT853" s="162"/>
      <c r="BU853" s="162"/>
      <c r="BV853" s="162"/>
      <c r="BW853" s="162"/>
      <c r="BX853" s="162"/>
      <c r="BY853" s="230"/>
      <c r="BZ853" s="230"/>
      <c r="CA853" s="162"/>
      <c r="CB853" s="162"/>
      <c r="CC853" s="162"/>
      <c r="CD853" s="162"/>
      <c r="CE853" s="162"/>
      <c r="CF853" s="230"/>
      <c r="CG853" s="230"/>
      <c r="CH853" s="162"/>
      <c r="CI853" s="162"/>
      <c r="CJ853" s="162"/>
      <c r="CK853" s="162"/>
      <c r="CL853" s="162"/>
      <c r="CM853" s="230"/>
      <c r="CN853" s="230"/>
      <c r="CO853" s="162"/>
      <c r="CP853" s="162"/>
      <c r="CQ853" s="162"/>
      <c r="CR853" s="162"/>
      <c r="CS853" s="162"/>
      <c r="CT853" s="230"/>
      <c r="CU853" s="230"/>
      <c r="CV853" s="162"/>
      <c r="CW853" s="162"/>
      <c r="CX853" s="162"/>
      <c r="CY853" s="162"/>
      <c r="CZ853" s="162"/>
      <c r="DA853" s="230"/>
      <c r="DB853" s="230"/>
      <c r="DC853" s="162"/>
      <c r="DD853" s="162"/>
      <c r="DE853" s="162"/>
      <c r="DF853" s="162"/>
      <c r="DG853" s="162"/>
      <c r="DH853" s="230"/>
      <c r="DI853" s="230"/>
      <c r="DJ853" s="162"/>
      <c r="DK853" s="162"/>
      <c r="DL853" s="147"/>
      <c r="DM853" s="147"/>
      <c r="DN853" s="147"/>
      <c r="DO853" s="147"/>
      <c r="DP853" s="147"/>
      <c r="DQ853" s="147"/>
      <c r="DR853" s="147"/>
      <c r="DS853" s="147"/>
      <c r="DT853" s="147"/>
      <c r="DU853" s="147"/>
      <c r="DV853" s="147"/>
      <c r="DW853" s="147"/>
      <c r="DX853" s="147"/>
      <c r="DY853" s="147"/>
      <c r="DZ853" s="147"/>
      <c r="EA853" s="147"/>
      <c r="EB853" s="147"/>
      <c r="EC853" s="147"/>
      <c r="ED853" s="147"/>
      <c r="EE853" s="147"/>
      <c r="EF853" s="147"/>
      <c r="EG853" s="147"/>
      <c r="EH853" s="147"/>
    </row>
    <row r="854" spans="1:138" x14ac:dyDescent="0.25">
      <c r="A854" s="147"/>
      <c r="B854" s="147"/>
      <c r="C854" s="160"/>
      <c r="D854" s="160"/>
      <c r="E854" s="169"/>
      <c r="F854" s="229"/>
      <c r="G854" s="165"/>
      <c r="H854" s="165"/>
      <c r="I854" s="163"/>
      <c r="J854" s="163"/>
      <c r="K854" s="162"/>
      <c r="L854" s="162"/>
      <c r="M854" s="162"/>
      <c r="N854" s="230"/>
      <c r="O854" s="230"/>
      <c r="P854" s="162"/>
      <c r="Q854" s="162"/>
      <c r="R854" s="162"/>
      <c r="S854" s="162"/>
      <c r="T854" s="162"/>
      <c r="U854" s="230"/>
      <c r="V854" s="230"/>
      <c r="W854" s="162"/>
      <c r="X854" s="162"/>
      <c r="Y854" s="162"/>
      <c r="Z854" s="162"/>
      <c r="AA854" s="162"/>
      <c r="AB854" s="230"/>
      <c r="AC854" s="230"/>
      <c r="AD854" s="162"/>
      <c r="AE854" s="162"/>
      <c r="AF854" s="162"/>
      <c r="AG854" s="162"/>
      <c r="AH854" s="162"/>
      <c r="AI854" s="230"/>
      <c r="AJ854" s="230"/>
      <c r="AK854" s="162"/>
      <c r="AL854" s="162"/>
      <c r="AM854" s="162"/>
      <c r="AN854" s="162"/>
      <c r="AO854" s="162"/>
      <c r="AP854" s="230"/>
      <c r="AQ854" s="230"/>
      <c r="AR854" s="162"/>
      <c r="AS854" s="162"/>
      <c r="AT854" s="162"/>
      <c r="AU854" s="162"/>
      <c r="AV854" s="162"/>
      <c r="AW854" s="230"/>
      <c r="AX854" s="230"/>
      <c r="AY854" s="162"/>
      <c r="AZ854" s="162"/>
      <c r="BA854" s="162"/>
      <c r="BB854" s="162"/>
      <c r="BC854" s="162"/>
      <c r="BD854" s="230"/>
      <c r="BE854" s="230"/>
      <c r="BF854" s="162"/>
      <c r="BG854" s="162"/>
      <c r="BH854" s="162"/>
      <c r="BI854" s="162"/>
      <c r="BJ854" s="162"/>
      <c r="BK854" s="230"/>
      <c r="BL854" s="230"/>
      <c r="BM854" s="162"/>
      <c r="BN854" s="162"/>
      <c r="BO854" s="162"/>
      <c r="BP854" s="162"/>
      <c r="BQ854" s="162"/>
      <c r="BR854" s="230"/>
      <c r="BS854" s="230"/>
      <c r="BT854" s="162"/>
      <c r="BU854" s="162"/>
      <c r="BV854" s="162"/>
      <c r="BW854" s="162"/>
      <c r="BX854" s="162"/>
      <c r="BY854" s="230"/>
      <c r="BZ854" s="230"/>
      <c r="CA854" s="162"/>
      <c r="CB854" s="162"/>
      <c r="CC854" s="162"/>
      <c r="CD854" s="162"/>
      <c r="CE854" s="162"/>
      <c r="CF854" s="230"/>
      <c r="CG854" s="230"/>
      <c r="CH854" s="162"/>
      <c r="CI854" s="162"/>
      <c r="CJ854" s="162"/>
      <c r="CK854" s="162"/>
      <c r="CL854" s="162"/>
      <c r="CM854" s="230"/>
      <c r="CN854" s="230"/>
      <c r="CO854" s="162"/>
      <c r="CP854" s="162"/>
      <c r="CQ854" s="162"/>
      <c r="CR854" s="162"/>
      <c r="CS854" s="162"/>
      <c r="CT854" s="230"/>
      <c r="CU854" s="230"/>
      <c r="CV854" s="162"/>
      <c r="CW854" s="162"/>
      <c r="CX854" s="162"/>
      <c r="CY854" s="162"/>
      <c r="CZ854" s="162"/>
      <c r="DA854" s="230"/>
      <c r="DB854" s="230"/>
      <c r="DC854" s="162"/>
      <c r="DD854" s="162"/>
      <c r="DE854" s="162"/>
      <c r="DF854" s="162"/>
      <c r="DG854" s="162"/>
      <c r="DH854" s="230"/>
      <c r="DI854" s="230"/>
      <c r="DJ854" s="162"/>
      <c r="DK854" s="162"/>
      <c r="DL854" s="147"/>
      <c r="DM854" s="147"/>
      <c r="DN854" s="147"/>
      <c r="DO854" s="147"/>
      <c r="DP854" s="147"/>
      <c r="DQ854" s="147"/>
      <c r="DR854" s="147"/>
      <c r="DS854" s="147"/>
      <c r="DT854" s="147"/>
      <c r="DU854" s="147"/>
      <c r="DV854" s="147"/>
      <c r="DW854" s="147"/>
      <c r="DX854" s="147"/>
      <c r="DY854" s="147"/>
      <c r="DZ854" s="147"/>
      <c r="EA854" s="147"/>
      <c r="EB854" s="147"/>
      <c r="EC854" s="147"/>
      <c r="ED854" s="147"/>
      <c r="EE854" s="147"/>
      <c r="EF854" s="147"/>
      <c r="EG854" s="147"/>
      <c r="EH854" s="147"/>
    </row>
    <row r="855" spans="1:138" x14ac:dyDescent="0.25">
      <c r="A855" s="147"/>
      <c r="B855" s="147"/>
      <c r="C855" s="160"/>
      <c r="D855" s="160"/>
      <c r="E855" s="169"/>
      <c r="F855" s="229"/>
      <c r="G855" s="165"/>
      <c r="H855" s="165"/>
      <c r="I855" s="163"/>
      <c r="J855" s="163"/>
      <c r="K855" s="162"/>
      <c r="L855" s="162"/>
      <c r="M855" s="162"/>
      <c r="N855" s="230"/>
      <c r="O855" s="230"/>
      <c r="P855" s="162"/>
      <c r="Q855" s="162"/>
      <c r="R855" s="162"/>
      <c r="S855" s="162"/>
      <c r="T855" s="162"/>
      <c r="U855" s="230"/>
      <c r="V855" s="230"/>
      <c r="W855" s="162"/>
      <c r="X855" s="162"/>
      <c r="Y855" s="162"/>
      <c r="Z855" s="162"/>
      <c r="AA855" s="162"/>
      <c r="AB855" s="230"/>
      <c r="AC855" s="230"/>
      <c r="AD855" s="162"/>
      <c r="AE855" s="162"/>
      <c r="AF855" s="162"/>
      <c r="AG855" s="162"/>
      <c r="AH855" s="162"/>
      <c r="AI855" s="230"/>
      <c r="AJ855" s="230"/>
      <c r="AK855" s="162"/>
      <c r="AL855" s="162"/>
      <c r="AM855" s="162"/>
      <c r="AN855" s="162"/>
      <c r="AO855" s="162"/>
      <c r="AP855" s="230"/>
      <c r="AQ855" s="230"/>
      <c r="AR855" s="162"/>
      <c r="AS855" s="162"/>
      <c r="AT855" s="162"/>
      <c r="AU855" s="162"/>
      <c r="AV855" s="162"/>
      <c r="AW855" s="230"/>
      <c r="AX855" s="230"/>
      <c r="AY855" s="162"/>
      <c r="AZ855" s="162"/>
      <c r="BA855" s="162"/>
      <c r="BB855" s="162"/>
      <c r="BC855" s="162"/>
      <c r="BD855" s="230"/>
      <c r="BE855" s="230"/>
      <c r="BF855" s="162"/>
      <c r="BG855" s="162"/>
      <c r="BH855" s="162"/>
      <c r="BI855" s="162"/>
      <c r="BJ855" s="162"/>
      <c r="BK855" s="230"/>
      <c r="BL855" s="230"/>
      <c r="BM855" s="162"/>
      <c r="BN855" s="162"/>
      <c r="BO855" s="162"/>
      <c r="BP855" s="162"/>
      <c r="BQ855" s="162"/>
      <c r="BR855" s="230"/>
      <c r="BS855" s="230"/>
      <c r="BT855" s="162"/>
      <c r="BU855" s="162"/>
      <c r="BV855" s="162"/>
      <c r="BW855" s="162"/>
      <c r="BX855" s="162"/>
      <c r="BY855" s="230"/>
      <c r="BZ855" s="230"/>
      <c r="CA855" s="162"/>
      <c r="CB855" s="162"/>
      <c r="CC855" s="162"/>
      <c r="CD855" s="162"/>
      <c r="CE855" s="162"/>
      <c r="CF855" s="230"/>
      <c r="CG855" s="230"/>
      <c r="CH855" s="162"/>
      <c r="CI855" s="162"/>
      <c r="CJ855" s="162"/>
      <c r="CK855" s="162"/>
      <c r="CL855" s="162"/>
      <c r="CM855" s="230"/>
      <c r="CN855" s="230"/>
      <c r="CO855" s="162"/>
      <c r="CP855" s="162"/>
      <c r="CQ855" s="162"/>
      <c r="CR855" s="162"/>
      <c r="CS855" s="162"/>
      <c r="CT855" s="230"/>
      <c r="CU855" s="230"/>
      <c r="CV855" s="162"/>
      <c r="CW855" s="162"/>
      <c r="CX855" s="162"/>
      <c r="CY855" s="162"/>
      <c r="CZ855" s="162"/>
      <c r="DA855" s="230"/>
      <c r="DB855" s="230"/>
      <c r="DC855" s="162"/>
      <c r="DD855" s="162"/>
      <c r="DE855" s="162"/>
      <c r="DF855" s="162"/>
      <c r="DG855" s="162"/>
      <c r="DH855" s="230"/>
      <c r="DI855" s="230"/>
      <c r="DJ855" s="162"/>
      <c r="DK855" s="162"/>
      <c r="DL855" s="147"/>
      <c r="DM855" s="147"/>
      <c r="DN855" s="147"/>
      <c r="DO855" s="147"/>
      <c r="DP855" s="147"/>
      <c r="DQ855" s="147"/>
      <c r="DR855" s="147"/>
      <c r="DS855" s="147"/>
      <c r="DT855" s="147"/>
      <c r="DU855" s="147"/>
      <c r="DV855" s="147"/>
      <c r="DW855" s="147"/>
      <c r="DX855" s="147"/>
      <c r="DY855" s="147"/>
      <c r="DZ855" s="147"/>
      <c r="EA855" s="147"/>
      <c r="EB855" s="147"/>
      <c r="EC855" s="147"/>
      <c r="ED855" s="147"/>
      <c r="EE855" s="147"/>
      <c r="EF855" s="147"/>
      <c r="EG855" s="147"/>
      <c r="EH855" s="147"/>
    </row>
    <row r="856" spans="1:138" x14ac:dyDescent="0.25">
      <c r="A856" s="147"/>
      <c r="B856" s="147"/>
      <c r="C856" s="160"/>
      <c r="D856" s="160"/>
      <c r="E856" s="169"/>
      <c r="F856" s="229"/>
      <c r="G856" s="165"/>
      <c r="H856" s="165"/>
      <c r="I856" s="163"/>
      <c r="J856" s="163"/>
      <c r="K856" s="162"/>
      <c r="L856" s="162"/>
      <c r="M856" s="162"/>
      <c r="N856" s="230"/>
      <c r="O856" s="230"/>
      <c r="P856" s="162"/>
      <c r="Q856" s="162"/>
      <c r="R856" s="162"/>
      <c r="S856" s="162"/>
      <c r="T856" s="162"/>
      <c r="U856" s="230"/>
      <c r="V856" s="230"/>
      <c r="W856" s="162"/>
      <c r="X856" s="162"/>
      <c r="Y856" s="162"/>
      <c r="Z856" s="162"/>
      <c r="AA856" s="162"/>
      <c r="AB856" s="230"/>
      <c r="AC856" s="230"/>
      <c r="AD856" s="162"/>
      <c r="AE856" s="162"/>
      <c r="AF856" s="162"/>
      <c r="AG856" s="162"/>
      <c r="AH856" s="162"/>
      <c r="AI856" s="230"/>
      <c r="AJ856" s="230"/>
      <c r="AK856" s="162"/>
      <c r="AL856" s="162"/>
      <c r="AM856" s="162"/>
      <c r="AN856" s="162"/>
      <c r="AO856" s="162"/>
      <c r="AP856" s="230"/>
      <c r="AQ856" s="230"/>
      <c r="AR856" s="162"/>
      <c r="AS856" s="162"/>
      <c r="AT856" s="162"/>
      <c r="AU856" s="162"/>
      <c r="AV856" s="162"/>
      <c r="AW856" s="230"/>
      <c r="AX856" s="230"/>
      <c r="AY856" s="162"/>
      <c r="AZ856" s="162"/>
      <c r="BA856" s="162"/>
      <c r="BB856" s="162"/>
      <c r="BC856" s="162"/>
      <c r="BD856" s="230"/>
      <c r="BE856" s="230"/>
      <c r="BF856" s="162"/>
      <c r="BG856" s="162"/>
      <c r="BH856" s="162"/>
      <c r="BI856" s="162"/>
      <c r="BJ856" s="162"/>
      <c r="BK856" s="230"/>
      <c r="BL856" s="230"/>
      <c r="BM856" s="162"/>
      <c r="BN856" s="162"/>
      <c r="BO856" s="162"/>
      <c r="BP856" s="162"/>
      <c r="BQ856" s="162"/>
      <c r="BR856" s="230"/>
      <c r="BS856" s="230"/>
      <c r="BT856" s="162"/>
      <c r="BU856" s="162"/>
      <c r="BV856" s="162"/>
      <c r="BW856" s="162"/>
      <c r="BX856" s="162"/>
      <c r="BY856" s="230"/>
      <c r="BZ856" s="230"/>
      <c r="CA856" s="162"/>
      <c r="CB856" s="162"/>
      <c r="CC856" s="162"/>
      <c r="CD856" s="162"/>
      <c r="CE856" s="162"/>
      <c r="CF856" s="230"/>
      <c r="CG856" s="230"/>
      <c r="CH856" s="162"/>
      <c r="CI856" s="162"/>
      <c r="CJ856" s="162"/>
      <c r="CK856" s="162"/>
      <c r="CL856" s="162"/>
      <c r="CM856" s="230"/>
      <c r="CN856" s="230"/>
      <c r="CO856" s="162"/>
      <c r="CP856" s="162"/>
      <c r="CQ856" s="162"/>
      <c r="CR856" s="162"/>
      <c r="CS856" s="162"/>
      <c r="CT856" s="230"/>
      <c r="CU856" s="230"/>
      <c r="CV856" s="162"/>
      <c r="CW856" s="162"/>
      <c r="CX856" s="162"/>
      <c r="CY856" s="162"/>
      <c r="CZ856" s="162"/>
      <c r="DA856" s="230"/>
      <c r="DB856" s="230"/>
      <c r="DC856" s="162"/>
      <c r="DD856" s="162"/>
      <c r="DE856" s="162"/>
      <c r="DF856" s="162"/>
      <c r="DG856" s="162"/>
      <c r="DH856" s="230"/>
      <c r="DI856" s="230"/>
      <c r="DJ856" s="162"/>
      <c r="DK856" s="162"/>
      <c r="DL856" s="147"/>
      <c r="DM856" s="147"/>
      <c r="DN856" s="147"/>
      <c r="DO856" s="147"/>
      <c r="DP856" s="147"/>
      <c r="DQ856" s="147"/>
      <c r="DR856" s="147"/>
      <c r="DS856" s="147"/>
      <c r="DT856" s="147"/>
      <c r="DU856" s="147"/>
      <c r="DV856" s="147"/>
      <c r="DW856" s="147"/>
      <c r="DX856" s="147"/>
      <c r="DY856" s="147"/>
      <c r="DZ856" s="147"/>
      <c r="EA856" s="147"/>
      <c r="EB856" s="147"/>
      <c r="EC856" s="147"/>
      <c r="ED856" s="147"/>
      <c r="EE856" s="147"/>
      <c r="EF856" s="147"/>
      <c r="EG856" s="147"/>
      <c r="EH856" s="147"/>
    </row>
    <row r="857" spans="1:138" x14ac:dyDescent="0.25">
      <c r="A857" s="147"/>
      <c r="B857" s="147"/>
      <c r="C857" s="160"/>
      <c r="D857" s="160"/>
      <c r="E857" s="169"/>
      <c r="F857" s="229"/>
      <c r="G857" s="165"/>
      <c r="H857" s="165"/>
      <c r="I857" s="163"/>
      <c r="J857" s="163"/>
      <c r="K857" s="162"/>
      <c r="L857" s="162"/>
      <c r="M857" s="162"/>
      <c r="N857" s="230"/>
      <c r="O857" s="230"/>
      <c r="P857" s="162"/>
      <c r="Q857" s="162"/>
      <c r="R857" s="162"/>
      <c r="S857" s="162"/>
      <c r="T857" s="162"/>
      <c r="U857" s="230"/>
      <c r="V857" s="230"/>
      <c r="W857" s="162"/>
      <c r="X857" s="162"/>
      <c r="Y857" s="162"/>
      <c r="Z857" s="162"/>
      <c r="AA857" s="162"/>
      <c r="AB857" s="230"/>
      <c r="AC857" s="230"/>
      <c r="AD857" s="162"/>
      <c r="AE857" s="162"/>
      <c r="AF857" s="162"/>
      <c r="AG857" s="162"/>
      <c r="AH857" s="162"/>
      <c r="AI857" s="230"/>
      <c r="AJ857" s="230"/>
      <c r="AK857" s="162"/>
      <c r="AL857" s="162"/>
      <c r="AM857" s="162"/>
      <c r="AN857" s="162"/>
      <c r="AO857" s="162"/>
      <c r="AP857" s="230"/>
      <c r="AQ857" s="230"/>
      <c r="AR857" s="162"/>
      <c r="AS857" s="162"/>
      <c r="AT857" s="162"/>
      <c r="AU857" s="162"/>
      <c r="AV857" s="162"/>
      <c r="AW857" s="230"/>
      <c r="AX857" s="230"/>
      <c r="AY857" s="162"/>
      <c r="AZ857" s="162"/>
      <c r="BA857" s="162"/>
      <c r="BB857" s="162"/>
      <c r="BC857" s="162"/>
      <c r="BD857" s="230"/>
      <c r="BE857" s="230"/>
      <c r="BF857" s="162"/>
      <c r="BG857" s="162"/>
      <c r="BH857" s="162"/>
      <c r="BI857" s="162"/>
      <c r="BJ857" s="162"/>
      <c r="BK857" s="230"/>
      <c r="BL857" s="230"/>
      <c r="BM857" s="162"/>
      <c r="BN857" s="162"/>
      <c r="BO857" s="162"/>
      <c r="BP857" s="162"/>
      <c r="BQ857" s="162"/>
      <c r="BR857" s="230"/>
      <c r="BS857" s="230"/>
      <c r="BT857" s="162"/>
      <c r="BU857" s="162"/>
      <c r="BV857" s="162"/>
      <c r="BW857" s="162"/>
      <c r="BX857" s="162"/>
      <c r="BY857" s="230"/>
      <c r="BZ857" s="230"/>
      <c r="CA857" s="162"/>
      <c r="CB857" s="162"/>
      <c r="CC857" s="162"/>
      <c r="CD857" s="162"/>
      <c r="CE857" s="162"/>
      <c r="CF857" s="230"/>
      <c r="CG857" s="230"/>
      <c r="CH857" s="162"/>
      <c r="CI857" s="162"/>
      <c r="CJ857" s="162"/>
      <c r="CK857" s="162"/>
      <c r="CL857" s="162"/>
      <c r="CM857" s="230"/>
      <c r="CN857" s="230"/>
      <c r="CO857" s="162"/>
      <c r="CP857" s="162"/>
      <c r="CQ857" s="162"/>
      <c r="CR857" s="162"/>
      <c r="CS857" s="162"/>
      <c r="CT857" s="230"/>
      <c r="CU857" s="230"/>
      <c r="CV857" s="162"/>
      <c r="CW857" s="162"/>
      <c r="CX857" s="162"/>
      <c r="CY857" s="162"/>
      <c r="CZ857" s="162"/>
      <c r="DA857" s="230"/>
      <c r="DB857" s="230"/>
      <c r="DC857" s="162"/>
      <c r="DD857" s="162"/>
      <c r="DE857" s="162"/>
      <c r="DF857" s="162"/>
      <c r="DG857" s="162"/>
      <c r="DH857" s="230"/>
      <c r="DI857" s="230"/>
      <c r="DJ857" s="162"/>
      <c r="DK857" s="162"/>
      <c r="DL857" s="147"/>
      <c r="DM857" s="147"/>
      <c r="DN857" s="147"/>
      <c r="DO857" s="147"/>
      <c r="DP857" s="147"/>
      <c r="DQ857" s="147"/>
      <c r="DR857" s="147"/>
      <c r="DS857" s="147"/>
      <c r="DT857" s="147"/>
      <c r="DU857" s="147"/>
      <c r="DV857" s="147"/>
      <c r="DW857" s="147"/>
      <c r="DX857" s="147"/>
      <c r="DY857" s="147"/>
      <c r="DZ857" s="147"/>
      <c r="EA857" s="147"/>
      <c r="EB857" s="147"/>
      <c r="EC857" s="147"/>
      <c r="ED857" s="147"/>
      <c r="EE857" s="147"/>
      <c r="EF857" s="147"/>
      <c r="EG857" s="147"/>
      <c r="EH857" s="147"/>
    </row>
    <row r="858" spans="1:138" x14ac:dyDescent="0.25">
      <c r="A858" s="147"/>
      <c r="B858" s="147"/>
      <c r="C858" s="160"/>
      <c r="D858" s="160"/>
      <c r="E858" s="169"/>
      <c r="F858" s="229"/>
      <c r="G858" s="165"/>
      <c r="H858" s="165"/>
      <c r="I858" s="163"/>
      <c r="J858" s="163"/>
      <c r="K858" s="162"/>
      <c r="L858" s="162"/>
      <c r="M858" s="162"/>
      <c r="N858" s="230"/>
      <c r="O858" s="230"/>
      <c r="P858" s="162"/>
      <c r="Q858" s="162"/>
      <c r="R858" s="162"/>
      <c r="S858" s="162"/>
      <c r="T858" s="162"/>
      <c r="U858" s="230"/>
      <c r="V858" s="230"/>
      <c r="W858" s="162"/>
      <c r="X858" s="162"/>
      <c r="Y858" s="162"/>
      <c r="Z858" s="162"/>
      <c r="AA858" s="162"/>
      <c r="AB858" s="230"/>
      <c r="AC858" s="230"/>
      <c r="AD858" s="162"/>
      <c r="AE858" s="162"/>
      <c r="AF858" s="162"/>
      <c r="AG858" s="162"/>
      <c r="AH858" s="162"/>
      <c r="AI858" s="230"/>
      <c r="AJ858" s="230"/>
      <c r="AK858" s="162"/>
      <c r="AL858" s="162"/>
      <c r="AM858" s="162"/>
      <c r="AN858" s="162"/>
      <c r="AO858" s="162"/>
      <c r="AP858" s="230"/>
      <c r="AQ858" s="230"/>
      <c r="AR858" s="162"/>
      <c r="AS858" s="162"/>
      <c r="AT858" s="162"/>
      <c r="AU858" s="162"/>
      <c r="AV858" s="162"/>
      <c r="AW858" s="230"/>
      <c r="AX858" s="230"/>
      <c r="AY858" s="162"/>
      <c r="AZ858" s="162"/>
      <c r="BA858" s="162"/>
      <c r="BB858" s="162"/>
      <c r="BC858" s="162"/>
      <c r="BD858" s="230"/>
      <c r="BE858" s="230"/>
      <c r="BF858" s="162"/>
      <c r="BG858" s="162"/>
      <c r="BH858" s="162"/>
      <c r="BI858" s="162"/>
      <c r="BJ858" s="162"/>
      <c r="BK858" s="230"/>
      <c r="BL858" s="230"/>
      <c r="BM858" s="162"/>
      <c r="BN858" s="162"/>
      <c r="BO858" s="162"/>
      <c r="BP858" s="162"/>
      <c r="BQ858" s="162"/>
      <c r="BR858" s="230"/>
      <c r="BS858" s="230"/>
      <c r="BT858" s="162"/>
      <c r="BU858" s="162"/>
      <c r="BV858" s="162"/>
      <c r="BW858" s="162"/>
      <c r="BX858" s="162"/>
      <c r="BY858" s="230"/>
      <c r="BZ858" s="230"/>
      <c r="CA858" s="162"/>
      <c r="CB858" s="162"/>
      <c r="CC858" s="162"/>
      <c r="CD858" s="162"/>
      <c r="CE858" s="162"/>
      <c r="CF858" s="230"/>
      <c r="CG858" s="230"/>
      <c r="CH858" s="162"/>
      <c r="CI858" s="162"/>
      <c r="CJ858" s="162"/>
      <c r="CK858" s="162"/>
      <c r="CL858" s="162"/>
      <c r="CM858" s="230"/>
      <c r="CN858" s="230"/>
      <c r="CO858" s="162"/>
      <c r="CP858" s="162"/>
      <c r="CQ858" s="162"/>
      <c r="CR858" s="162"/>
      <c r="CS858" s="162"/>
      <c r="CT858" s="230"/>
      <c r="CU858" s="230"/>
      <c r="CV858" s="162"/>
      <c r="CW858" s="162"/>
      <c r="CX858" s="162"/>
      <c r="CY858" s="162"/>
      <c r="CZ858" s="162"/>
      <c r="DA858" s="230"/>
      <c r="DB858" s="230"/>
      <c r="DC858" s="162"/>
      <c r="DD858" s="162"/>
      <c r="DE858" s="162"/>
      <c r="DF858" s="162"/>
      <c r="DG858" s="162"/>
      <c r="DH858" s="230"/>
      <c r="DI858" s="230"/>
      <c r="DJ858" s="162"/>
      <c r="DK858" s="162"/>
      <c r="DL858" s="147"/>
      <c r="DM858" s="147"/>
      <c r="DN858" s="147"/>
      <c r="DO858" s="147"/>
      <c r="DP858" s="147"/>
      <c r="DQ858" s="147"/>
      <c r="DR858" s="147"/>
      <c r="DS858" s="147"/>
      <c r="DT858" s="147"/>
      <c r="DU858" s="147"/>
      <c r="DV858" s="147"/>
      <c r="DW858" s="147"/>
      <c r="DX858" s="147"/>
      <c r="DY858" s="147"/>
      <c r="DZ858" s="147"/>
      <c r="EA858" s="147"/>
      <c r="EB858" s="147"/>
      <c r="EC858" s="147"/>
      <c r="ED858" s="147"/>
      <c r="EE858" s="147"/>
      <c r="EF858" s="147"/>
      <c r="EG858" s="147"/>
      <c r="EH858" s="147"/>
    </row>
    <row r="859" spans="1:138" x14ac:dyDescent="0.25">
      <c r="A859" s="147"/>
      <c r="B859" s="147"/>
      <c r="C859" s="160"/>
      <c r="D859" s="160"/>
      <c r="E859" s="169"/>
      <c r="F859" s="229"/>
      <c r="G859" s="165"/>
      <c r="H859" s="165"/>
      <c r="I859" s="163"/>
      <c r="J859" s="163"/>
      <c r="K859" s="162"/>
      <c r="L859" s="162"/>
      <c r="M859" s="162"/>
      <c r="N859" s="230"/>
      <c r="O859" s="230"/>
      <c r="P859" s="162"/>
      <c r="Q859" s="162"/>
      <c r="R859" s="162"/>
      <c r="S859" s="162"/>
      <c r="T859" s="162"/>
      <c r="U859" s="230"/>
      <c r="V859" s="230"/>
      <c r="W859" s="162"/>
      <c r="X859" s="162"/>
      <c r="Y859" s="162"/>
      <c r="Z859" s="162"/>
      <c r="AA859" s="162"/>
      <c r="AB859" s="230"/>
      <c r="AC859" s="230"/>
      <c r="AD859" s="162"/>
      <c r="AE859" s="162"/>
      <c r="AF859" s="162"/>
      <c r="AG859" s="162"/>
      <c r="AH859" s="162"/>
      <c r="AI859" s="230"/>
      <c r="AJ859" s="230"/>
      <c r="AK859" s="162"/>
      <c r="AL859" s="162"/>
      <c r="AM859" s="162"/>
      <c r="AN859" s="162"/>
      <c r="AO859" s="162"/>
      <c r="AP859" s="230"/>
      <c r="AQ859" s="230"/>
      <c r="AR859" s="162"/>
      <c r="AS859" s="162"/>
      <c r="AT859" s="162"/>
      <c r="AU859" s="162"/>
      <c r="AV859" s="162"/>
      <c r="AW859" s="230"/>
      <c r="AX859" s="230"/>
      <c r="AY859" s="162"/>
      <c r="AZ859" s="162"/>
      <c r="BA859" s="162"/>
      <c r="BB859" s="162"/>
      <c r="BC859" s="162"/>
      <c r="BD859" s="230"/>
      <c r="BE859" s="230"/>
      <c r="BF859" s="162"/>
      <c r="BG859" s="162"/>
      <c r="BH859" s="162"/>
      <c r="BI859" s="162"/>
      <c r="BJ859" s="162"/>
      <c r="BK859" s="230"/>
      <c r="BL859" s="230"/>
      <c r="BM859" s="162"/>
      <c r="BN859" s="162"/>
      <c r="BO859" s="162"/>
      <c r="BP859" s="162"/>
      <c r="BQ859" s="162"/>
      <c r="BR859" s="230"/>
      <c r="BS859" s="230"/>
      <c r="BT859" s="162"/>
      <c r="BU859" s="162"/>
      <c r="BV859" s="162"/>
      <c r="BW859" s="162"/>
      <c r="BX859" s="162"/>
      <c r="BY859" s="230"/>
      <c r="BZ859" s="230"/>
      <c r="CA859" s="162"/>
      <c r="CB859" s="162"/>
      <c r="CC859" s="162"/>
      <c r="CD859" s="162"/>
      <c r="CE859" s="162"/>
      <c r="CF859" s="230"/>
      <c r="CG859" s="230"/>
      <c r="CH859" s="162"/>
      <c r="CI859" s="162"/>
      <c r="CJ859" s="162"/>
      <c r="CK859" s="162"/>
      <c r="CL859" s="162"/>
      <c r="CM859" s="230"/>
      <c r="CN859" s="230"/>
      <c r="CO859" s="162"/>
      <c r="CP859" s="162"/>
      <c r="CQ859" s="162"/>
      <c r="CR859" s="162"/>
      <c r="CS859" s="162"/>
      <c r="CT859" s="230"/>
      <c r="CU859" s="230"/>
      <c r="CV859" s="162"/>
      <c r="CW859" s="162"/>
      <c r="CX859" s="162"/>
      <c r="CY859" s="162"/>
      <c r="CZ859" s="162"/>
      <c r="DA859" s="230"/>
      <c r="DB859" s="230"/>
      <c r="DC859" s="162"/>
      <c r="DD859" s="162"/>
      <c r="DE859" s="162"/>
      <c r="DF859" s="162"/>
      <c r="DG859" s="162"/>
      <c r="DH859" s="230"/>
      <c r="DI859" s="230"/>
      <c r="DJ859" s="162"/>
      <c r="DK859" s="162"/>
      <c r="DL859" s="147"/>
      <c r="DM859" s="147"/>
      <c r="DN859" s="147"/>
      <c r="DO859" s="147"/>
      <c r="DP859" s="147"/>
      <c r="DQ859" s="147"/>
      <c r="DR859" s="147"/>
      <c r="DS859" s="147"/>
      <c r="DT859" s="147"/>
      <c r="DU859" s="147"/>
      <c r="DV859" s="147"/>
      <c r="DW859" s="147"/>
      <c r="DX859" s="147"/>
      <c r="DY859" s="147"/>
      <c r="DZ859" s="147"/>
      <c r="EA859" s="147"/>
      <c r="EB859" s="147"/>
      <c r="EC859" s="147"/>
      <c r="ED859" s="147"/>
      <c r="EE859" s="147"/>
      <c r="EF859" s="147"/>
      <c r="EG859" s="147"/>
      <c r="EH859" s="147"/>
    </row>
    <row r="860" spans="1:138" x14ac:dyDescent="0.25">
      <c r="A860" s="147"/>
      <c r="B860" s="147"/>
      <c r="C860" s="160"/>
      <c r="D860" s="160"/>
      <c r="E860" s="169"/>
      <c r="F860" s="229"/>
      <c r="G860" s="165"/>
      <c r="H860" s="165"/>
      <c r="I860" s="163"/>
      <c r="J860" s="163"/>
      <c r="K860" s="162"/>
      <c r="L860" s="162"/>
      <c r="M860" s="162"/>
      <c r="N860" s="230"/>
      <c r="O860" s="230"/>
      <c r="P860" s="162"/>
      <c r="Q860" s="162"/>
      <c r="R860" s="162"/>
      <c r="S860" s="162"/>
      <c r="T860" s="162"/>
      <c r="U860" s="230"/>
      <c r="V860" s="230"/>
      <c r="W860" s="162"/>
      <c r="X860" s="162"/>
      <c r="Y860" s="162"/>
      <c r="Z860" s="162"/>
      <c r="AA860" s="162"/>
      <c r="AB860" s="230"/>
      <c r="AC860" s="230"/>
      <c r="AD860" s="162"/>
      <c r="AE860" s="162"/>
      <c r="AF860" s="162"/>
      <c r="AG860" s="162"/>
      <c r="AH860" s="162"/>
      <c r="AI860" s="230"/>
      <c r="AJ860" s="230"/>
      <c r="AK860" s="162"/>
      <c r="AL860" s="162"/>
      <c r="AM860" s="162"/>
      <c r="AN860" s="162"/>
      <c r="AO860" s="162"/>
      <c r="AP860" s="230"/>
      <c r="AQ860" s="230"/>
      <c r="AR860" s="162"/>
      <c r="AS860" s="162"/>
      <c r="AT860" s="162"/>
      <c r="AU860" s="162"/>
      <c r="AV860" s="162"/>
      <c r="AW860" s="230"/>
      <c r="AX860" s="230"/>
      <c r="AY860" s="162"/>
      <c r="AZ860" s="162"/>
      <c r="BA860" s="162"/>
      <c r="BB860" s="162"/>
      <c r="BC860" s="162"/>
      <c r="BD860" s="230"/>
      <c r="BE860" s="230"/>
      <c r="BF860" s="162"/>
      <c r="BG860" s="162"/>
      <c r="BH860" s="162"/>
      <c r="BI860" s="162"/>
      <c r="BJ860" s="162"/>
      <c r="BK860" s="230"/>
      <c r="BL860" s="230"/>
      <c r="BM860" s="162"/>
      <c r="BN860" s="162"/>
      <c r="BO860" s="162"/>
      <c r="BP860" s="162"/>
      <c r="BQ860" s="162"/>
      <c r="BR860" s="230"/>
      <c r="BS860" s="230"/>
      <c r="BT860" s="162"/>
      <c r="BU860" s="162"/>
      <c r="BV860" s="162"/>
      <c r="BW860" s="162"/>
      <c r="BX860" s="162"/>
      <c r="BY860" s="230"/>
      <c r="BZ860" s="230"/>
      <c r="CA860" s="162"/>
      <c r="CB860" s="162"/>
      <c r="CC860" s="162"/>
      <c r="CD860" s="162"/>
      <c r="CE860" s="162"/>
      <c r="CF860" s="230"/>
      <c r="CG860" s="230"/>
      <c r="CH860" s="162"/>
      <c r="CI860" s="162"/>
      <c r="CJ860" s="162"/>
      <c r="CK860" s="162"/>
      <c r="CL860" s="162"/>
      <c r="CM860" s="230"/>
      <c r="CN860" s="230"/>
      <c r="CO860" s="162"/>
      <c r="CP860" s="162"/>
      <c r="CQ860" s="162"/>
      <c r="CR860" s="162"/>
      <c r="CS860" s="162"/>
      <c r="CT860" s="230"/>
      <c r="CU860" s="230"/>
      <c r="CV860" s="162"/>
      <c r="CW860" s="162"/>
      <c r="CX860" s="162"/>
      <c r="CY860" s="162"/>
      <c r="CZ860" s="162"/>
      <c r="DA860" s="230"/>
      <c r="DB860" s="230"/>
      <c r="DC860" s="162"/>
      <c r="DD860" s="162"/>
      <c r="DE860" s="162"/>
      <c r="DF860" s="162"/>
      <c r="DG860" s="162"/>
      <c r="DH860" s="230"/>
      <c r="DI860" s="230"/>
      <c r="DJ860" s="162"/>
      <c r="DK860" s="162"/>
      <c r="DL860" s="147"/>
      <c r="DM860" s="147"/>
      <c r="DN860" s="147"/>
      <c r="DO860" s="147"/>
      <c r="DP860" s="147"/>
      <c r="DQ860" s="147"/>
      <c r="DR860" s="147"/>
      <c r="DS860" s="147"/>
      <c r="DT860" s="147"/>
      <c r="DU860" s="147"/>
      <c r="DV860" s="147"/>
      <c r="DW860" s="147"/>
      <c r="DX860" s="147"/>
      <c r="DY860" s="147"/>
      <c r="DZ860" s="147"/>
      <c r="EA860" s="147"/>
      <c r="EB860" s="147"/>
      <c r="EC860" s="147"/>
      <c r="ED860" s="147"/>
      <c r="EE860" s="147"/>
      <c r="EF860" s="147"/>
      <c r="EG860" s="147"/>
      <c r="EH860" s="147"/>
    </row>
    <row r="861" spans="1:138" x14ac:dyDescent="0.25">
      <c r="A861" s="147"/>
      <c r="B861" s="147"/>
      <c r="C861" s="160"/>
      <c r="D861" s="160"/>
      <c r="E861" s="169"/>
      <c r="F861" s="229"/>
      <c r="G861" s="165"/>
      <c r="H861" s="165"/>
      <c r="I861" s="163"/>
      <c r="J861" s="163"/>
      <c r="K861" s="162"/>
      <c r="L861" s="162"/>
      <c r="M861" s="162"/>
      <c r="N861" s="230"/>
      <c r="O861" s="230"/>
      <c r="P861" s="162"/>
      <c r="Q861" s="162"/>
      <c r="R861" s="162"/>
      <c r="S861" s="162"/>
      <c r="T861" s="162"/>
      <c r="U861" s="230"/>
      <c r="V861" s="230"/>
      <c r="W861" s="162"/>
      <c r="X861" s="162"/>
      <c r="Y861" s="162"/>
      <c r="Z861" s="162"/>
      <c r="AA861" s="162"/>
      <c r="AB861" s="230"/>
      <c r="AC861" s="230"/>
      <c r="AD861" s="162"/>
      <c r="AE861" s="162"/>
      <c r="AF861" s="162"/>
      <c r="AG861" s="162"/>
      <c r="AH861" s="162"/>
      <c r="AI861" s="230"/>
      <c r="AJ861" s="230"/>
      <c r="AK861" s="162"/>
      <c r="AL861" s="162"/>
      <c r="AM861" s="162"/>
      <c r="AN861" s="162"/>
      <c r="AO861" s="162"/>
      <c r="AP861" s="230"/>
      <c r="AQ861" s="230"/>
      <c r="AR861" s="162"/>
      <c r="AS861" s="162"/>
      <c r="AT861" s="162"/>
      <c r="AU861" s="162"/>
      <c r="AV861" s="162"/>
      <c r="AW861" s="230"/>
      <c r="AX861" s="230"/>
      <c r="AY861" s="162"/>
      <c r="AZ861" s="162"/>
      <c r="BA861" s="162"/>
      <c r="BB861" s="162"/>
      <c r="BC861" s="162"/>
      <c r="BD861" s="230"/>
      <c r="BE861" s="230"/>
      <c r="BF861" s="162"/>
      <c r="BG861" s="162"/>
      <c r="BH861" s="162"/>
      <c r="BI861" s="162"/>
      <c r="BJ861" s="162"/>
      <c r="BK861" s="230"/>
      <c r="BL861" s="230"/>
      <c r="BM861" s="162"/>
      <c r="BN861" s="162"/>
      <c r="BO861" s="162"/>
      <c r="BP861" s="162"/>
      <c r="BQ861" s="162"/>
      <c r="BR861" s="230"/>
      <c r="BS861" s="230"/>
      <c r="BT861" s="162"/>
      <c r="BU861" s="162"/>
      <c r="BV861" s="162"/>
      <c r="BW861" s="162"/>
      <c r="BX861" s="162"/>
      <c r="BY861" s="230"/>
      <c r="BZ861" s="230"/>
      <c r="CA861" s="162"/>
      <c r="CB861" s="162"/>
      <c r="CC861" s="162"/>
      <c r="CD861" s="162"/>
      <c r="CE861" s="162"/>
      <c r="CF861" s="230"/>
      <c r="CG861" s="230"/>
      <c r="CH861" s="162"/>
      <c r="CI861" s="162"/>
      <c r="CJ861" s="162"/>
      <c r="CK861" s="162"/>
      <c r="CL861" s="162"/>
      <c r="CM861" s="230"/>
      <c r="CN861" s="230"/>
      <c r="CO861" s="162"/>
      <c r="CP861" s="162"/>
      <c r="CQ861" s="162"/>
      <c r="CR861" s="162"/>
      <c r="CS861" s="162"/>
      <c r="CT861" s="230"/>
      <c r="CU861" s="230"/>
      <c r="CV861" s="162"/>
      <c r="CW861" s="162"/>
      <c r="CX861" s="162"/>
      <c r="CY861" s="162"/>
      <c r="CZ861" s="162"/>
      <c r="DA861" s="230"/>
      <c r="DB861" s="230"/>
      <c r="DC861" s="162"/>
      <c r="DD861" s="162"/>
      <c r="DE861" s="162"/>
      <c r="DF861" s="162"/>
      <c r="DG861" s="162"/>
      <c r="DH861" s="230"/>
      <c r="DI861" s="230"/>
      <c r="DJ861" s="162"/>
      <c r="DK861" s="162"/>
      <c r="DL861" s="147"/>
      <c r="DM861" s="147"/>
      <c r="DN861" s="147"/>
      <c r="DO861" s="147"/>
      <c r="DP861" s="147"/>
      <c r="DQ861" s="147"/>
      <c r="DR861" s="147"/>
      <c r="DS861" s="147"/>
      <c r="DT861" s="147"/>
      <c r="DU861" s="147"/>
      <c r="DV861" s="147"/>
      <c r="DW861" s="147"/>
      <c r="DX861" s="147"/>
      <c r="DY861" s="147"/>
      <c r="DZ861" s="147"/>
      <c r="EA861" s="147"/>
      <c r="EB861" s="147"/>
      <c r="EC861" s="147"/>
      <c r="ED861" s="147"/>
      <c r="EE861" s="147"/>
      <c r="EF861" s="147"/>
      <c r="EG861" s="147"/>
      <c r="EH861" s="147"/>
    </row>
    <row r="862" spans="1:138" x14ac:dyDescent="0.25">
      <c r="A862" s="147"/>
      <c r="B862" s="147"/>
      <c r="C862" s="160"/>
      <c r="D862" s="160"/>
      <c r="E862" s="169"/>
      <c r="F862" s="229"/>
      <c r="G862" s="165"/>
      <c r="H862" s="165"/>
      <c r="I862" s="163"/>
      <c r="J862" s="163"/>
      <c r="K862" s="162"/>
      <c r="L862" s="162"/>
      <c r="M862" s="162"/>
      <c r="N862" s="230"/>
      <c r="O862" s="230"/>
      <c r="P862" s="162"/>
      <c r="Q862" s="162"/>
      <c r="R862" s="162"/>
      <c r="S862" s="162"/>
      <c r="T862" s="162"/>
      <c r="U862" s="230"/>
      <c r="V862" s="230"/>
      <c r="W862" s="162"/>
      <c r="X862" s="162"/>
      <c r="Y862" s="162"/>
      <c r="Z862" s="162"/>
      <c r="AA862" s="162"/>
      <c r="AB862" s="230"/>
      <c r="AC862" s="230"/>
      <c r="AD862" s="162"/>
      <c r="AE862" s="162"/>
      <c r="AF862" s="162"/>
      <c r="AG862" s="162"/>
      <c r="AH862" s="162"/>
      <c r="AI862" s="230"/>
      <c r="AJ862" s="230"/>
      <c r="AK862" s="162"/>
      <c r="AL862" s="162"/>
      <c r="AM862" s="162"/>
      <c r="AN862" s="162"/>
      <c r="AO862" s="162"/>
      <c r="AP862" s="230"/>
      <c r="AQ862" s="230"/>
      <c r="AR862" s="162"/>
      <c r="AS862" s="162"/>
      <c r="AT862" s="162"/>
      <c r="AU862" s="162"/>
      <c r="AV862" s="162"/>
      <c r="AW862" s="230"/>
      <c r="AX862" s="230"/>
      <c r="AY862" s="162"/>
      <c r="AZ862" s="162"/>
      <c r="BA862" s="162"/>
      <c r="BB862" s="162"/>
      <c r="BC862" s="162"/>
      <c r="BD862" s="230"/>
      <c r="BE862" s="230"/>
      <c r="BF862" s="162"/>
      <c r="BG862" s="162"/>
      <c r="BH862" s="162"/>
      <c r="BI862" s="162"/>
      <c r="BJ862" s="162"/>
      <c r="BK862" s="230"/>
      <c r="BL862" s="230"/>
      <c r="BM862" s="162"/>
      <c r="BN862" s="162"/>
      <c r="BO862" s="162"/>
      <c r="BP862" s="162"/>
      <c r="BQ862" s="162"/>
      <c r="BR862" s="230"/>
      <c r="BS862" s="230"/>
      <c r="BT862" s="162"/>
      <c r="BU862" s="162"/>
      <c r="BV862" s="162"/>
      <c r="BW862" s="162"/>
      <c r="BX862" s="162"/>
      <c r="BY862" s="230"/>
      <c r="BZ862" s="230"/>
      <c r="CA862" s="162"/>
      <c r="CB862" s="162"/>
      <c r="CC862" s="162"/>
      <c r="CD862" s="162"/>
      <c r="CE862" s="162"/>
      <c r="CF862" s="230"/>
      <c r="CG862" s="230"/>
      <c r="CH862" s="162"/>
      <c r="CI862" s="162"/>
      <c r="CJ862" s="162"/>
      <c r="CK862" s="162"/>
      <c r="CL862" s="162"/>
      <c r="CM862" s="230"/>
      <c r="CN862" s="230"/>
      <c r="CO862" s="162"/>
      <c r="CP862" s="162"/>
      <c r="CQ862" s="162"/>
      <c r="CR862" s="162"/>
      <c r="CS862" s="162"/>
      <c r="CT862" s="230"/>
      <c r="CU862" s="230"/>
      <c r="CV862" s="162"/>
      <c r="CW862" s="162"/>
      <c r="CX862" s="162"/>
      <c r="CY862" s="162"/>
      <c r="CZ862" s="162"/>
      <c r="DA862" s="230"/>
      <c r="DB862" s="230"/>
      <c r="DC862" s="162"/>
      <c r="DD862" s="162"/>
      <c r="DE862" s="162"/>
      <c r="DF862" s="162"/>
      <c r="DG862" s="162"/>
      <c r="DH862" s="230"/>
      <c r="DI862" s="230"/>
      <c r="DJ862" s="162"/>
      <c r="DK862" s="162"/>
      <c r="DL862" s="147"/>
      <c r="DM862" s="147"/>
      <c r="DN862" s="147"/>
      <c r="DO862" s="147"/>
      <c r="DP862" s="147"/>
      <c r="DQ862" s="147"/>
      <c r="DR862" s="147"/>
      <c r="DS862" s="147"/>
      <c r="DT862" s="147"/>
      <c r="DU862" s="147"/>
      <c r="DV862" s="147"/>
      <c r="DW862" s="147"/>
      <c r="DX862" s="147"/>
      <c r="DY862" s="147"/>
      <c r="DZ862" s="147"/>
      <c r="EA862" s="147"/>
      <c r="EB862" s="147"/>
      <c r="EC862" s="147"/>
      <c r="ED862" s="147"/>
      <c r="EE862" s="147"/>
      <c r="EF862" s="147"/>
      <c r="EG862" s="147"/>
      <c r="EH862" s="147"/>
    </row>
    <row r="863" spans="1:138" x14ac:dyDescent="0.25">
      <c r="A863" s="147"/>
      <c r="B863" s="147"/>
      <c r="C863" s="160"/>
      <c r="D863" s="160"/>
      <c r="E863" s="169"/>
      <c r="F863" s="229"/>
      <c r="G863" s="165"/>
      <c r="H863" s="165"/>
      <c r="I863" s="163"/>
      <c r="J863" s="163"/>
      <c r="K863" s="162"/>
      <c r="L863" s="162"/>
      <c r="M863" s="162"/>
      <c r="N863" s="230"/>
      <c r="O863" s="230"/>
      <c r="P863" s="162"/>
      <c r="Q863" s="162"/>
      <c r="R863" s="162"/>
      <c r="S863" s="162"/>
      <c r="T863" s="162"/>
      <c r="U863" s="230"/>
      <c r="V863" s="230"/>
      <c r="W863" s="162"/>
      <c r="X863" s="162"/>
      <c r="Y863" s="162"/>
      <c r="Z863" s="162"/>
      <c r="AA863" s="162"/>
      <c r="AB863" s="230"/>
      <c r="AC863" s="230"/>
      <c r="AD863" s="162"/>
      <c r="AE863" s="162"/>
      <c r="AF863" s="162"/>
      <c r="AG863" s="162"/>
      <c r="AH863" s="162"/>
      <c r="AI863" s="230"/>
      <c r="AJ863" s="230"/>
      <c r="AK863" s="162"/>
      <c r="AL863" s="162"/>
      <c r="AM863" s="162"/>
      <c r="AN863" s="162"/>
      <c r="AO863" s="162"/>
      <c r="AP863" s="230"/>
      <c r="AQ863" s="230"/>
      <c r="AR863" s="162"/>
      <c r="AS863" s="162"/>
      <c r="AT863" s="162"/>
      <c r="AU863" s="162"/>
      <c r="AV863" s="162"/>
      <c r="AW863" s="230"/>
      <c r="AX863" s="230"/>
      <c r="AY863" s="162"/>
      <c r="AZ863" s="162"/>
      <c r="BA863" s="162"/>
      <c r="BB863" s="162"/>
      <c r="BC863" s="162"/>
      <c r="BD863" s="230"/>
      <c r="BE863" s="230"/>
      <c r="BF863" s="162"/>
      <c r="BG863" s="162"/>
      <c r="BH863" s="162"/>
      <c r="BI863" s="162"/>
      <c r="BJ863" s="162"/>
      <c r="BK863" s="230"/>
      <c r="BL863" s="230"/>
      <c r="BM863" s="162"/>
      <c r="BN863" s="162"/>
      <c r="BO863" s="162"/>
      <c r="BP863" s="162"/>
      <c r="BQ863" s="162"/>
      <c r="BR863" s="230"/>
      <c r="BS863" s="230"/>
      <c r="BT863" s="162"/>
      <c r="BU863" s="162"/>
      <c r="BV863" s="162"/>
      <c r="BW863" s="162"/>
      <c r="BX863" s="162"/>
      <c r="BY863" s="230"/>
      <c r="BZ863" s="230"/>
      <c r="CA863" s="162"/>
      <c r="CB863" s="162"/>
      <c r="CC863" s="162"/>
      <c r="CD863" s="162"/>
      <c r="CE863" s="162"/>
      <c r="CF863" s="230"/>
      <c r="CG863" s="230"/>
      <c r="CH863" s="162"/>
      <c r="CI863" s="162"/>
      <c r="CJ863" s="162"/>
      <c r="CK863" s="162"/>
      <c r="CL863" s="162"/>
      <c r="CM863" s="230"/>
      <c r="CN863" s="230"/>
      <c r="CO863" s="162"/>
      <c r="CP863" s="162"/>
      <c r="CQ863" s="162"/>
      <c r="CR863" s="162"/>
      <c r="CS863" s="162"/>
      <c r="CT863" s="230"/>
      <c r="CU863" s="230"/>
      <c r="CV863" s="162"/>
      <c r="CW863" s="162"/>
      <c r="CX863" s="162"/>
      <c r="CY863" s="162"/>
      <c r="CZ863" s="162"/>
      <c r="DA863" s="230"/>
      <c r="DB863" s="230"/>
      <c r="DC863" s="162"/>
      <c r="DD863" s="162"/>
      <c r="DE863" s="162"/>
      <c r="DF863" s="162"/>
      <c r="DG863" s="162"/>
      <c r="DH863" s="230"/>
      <c r="DI863" s="230"/>
      <c r="DJ863" s="162"/>
      <c r="DK863" s="162"/>
      <c r="DL863" s="147"/>
      <c r="DM863" s="147"/>
      <c r="DN863" s="147"/>
      <c r="DO863" s="147"/>
      <c r="DP863" s="147"/>
      <c r="DQ863" s="147"/>
      <c r="DR863" s="147"/>
      <c r="DS863" s="147"/>
      <c r="DT863" s="147"/>
      <c r="DU863" s="147"/>
      <c r="DV863" s="147"/>
      <c r="DW863" s="147"/>
      <c r="DX863" s="147"/>
      <c r="DY863" s="147"/>
      <c r="DZ863" s="147"/>
      <c r="EA863" s="147"/>
      <c r="EB863" s="147"/>
      <c r="EC863" s="147"/>
      <c r="ED863" s="147"/>
      <c r="EE863" s="147"/>
      <c r="EF863" s="147"/>
      <c r="EG863" s="147"/>
      <c r="EH863" s="147"/>
    </row>
    <row r="864" spans="1:138" x14ac:dyDescent="0.25">
      <c r="A864" s="147"/>
      <c r="B864" s="147"/>
      <c r="C864" s="160"/>
      <c r="D864" s="160"/>
      <c r="E864" s="169"/>
      <c r="F864" s="229"/>
      <c r="G864" s="165"/>
      <c r="H864" s="165"/>
      <c r="I864" s="163"/>
      <c r="J864" s="163"/>
      <c r="K864" s="162"/>
      <c r="L864" s="162"/>
      <c r="M864" s="162"/>
      <c r="N864" s="230"/>
      <c r="O864" s="230"/>
      <c r="P864" s="162"/>
      <c r="Q864" s="162"/>
      <c r="R864" s="162"/>
      <c r="S864" s="162"/>
      <c r="T864" s="162"/>
      <c r="U864" s="230"/>
      <c r="V864" s="230"/>
      <c r="W864" s="162"/>
      <c r="X864" s="162"/>
      <c r="Y864" s="162"/>
      <c r="Z864" s="162"/>
      <c r="AA864" s="162"/>
      <c r="AB864" s="230"/>
      <c r="AC864" s="230"/>
      <c r="AD864" s="162"/>
      <c r="AE864" s="162"/>
      <c r="AF864" s="162"/>
      <c r="AG864" s="162"/>
      <c r="AH864" s="162"/>
      <c r="AI864" s="230"/>
      <c r="AJ864" s="230"/>
      <c r="AK864" s="162"/>
      <c r="AL864" s="162"/>
      <c r="AM864" s="162"/>
      <c r="AN864" s="162"/>
      <c r="AO864" s="162"/>
      <c r="AP864" s="230"/>
      <c r="AQ864" s="230"/>
      <c r="AR864" s="162"/>
      <c r="AS864" s="162"/>
      <c r="AT864" s="162"/>
      <c r="AU864" s="162"/>
      <c r="AV864" s="162"/>
      <c r="AW864" s="230"/>
      <c r="AX864" s="230"/>
      <c r="AY864" s="162"/>
      <c r="AZ864" s="162"/>
      <c r="BA864" s="162"/>
      <c r="BB864" s="162"/>
      <c r="BC864" s="162"/>
      <c r="BD864" s="230"/>
      <c r="BE864" s="230"/>
      <c r="BF864" s="162"/>
      <c r="BG864" s="162"/>
      <c r="BH864" s="162"/>
      <c r="BI864" s="162"/>
      <c r="BJ864" s="162"/>
      <c r="BK864" s="230"/>
      <c r="BL864" s="230"/>
      <c r="BM864" s="162"/>
      <c r="BN864" s="162"/>
      <c r="BO864" s="162"/>
      <c r="BP864" s="162"/>
      <c r="BQ864" s="162"/>
      <c r="BR864" s="230"/>
      <c r="BS864" s="230"/>
      <c r="BT864" s="162"/>
      <c r="BU864" s="162"/>
      <c r="BV864" s="162"/>
      <c r="BW864" s="162"/>
      <c r="BX864" s="162"/>
      <c r="BY864" s="230"/>
      <c r="BZ864" s="230"/>
      <c r="CA864" s="162"/>
      <c r="CB864" s="162"/>
      <c r="CC864" s="162"/>
      <c r="CD864" s="162"/>
      <c r="CE864" s="162"/>
      <c r="CF864" s="230"/>
      <c r="CG864" s="230"/>
      <c r="CH864" s="162"/>
      <c r="CI864" s="162"/>
      <c r="CJ864" s="162"/>
      <c r="CK864" s="162"/>
      <c r="CL864" s="162"/>
      <c r="CM864" s="230"/>
      <c r="CN864" s="230"/>
      <c r="CO864" s="162"/>
      <c r="CP864" s="162"/>
      <c r="CQ864" s="162"/>
      <c r="CR864" s="162"/>
      <c r="CS864" s="162"/>
      <c r="CT864" s="230"/>
      <c r="CU864" s="230"/>
      <c r="CV864" s="162"/>
      <c r="CW864" s="162"/>
      <c r="CX864" s="162"/>
      <c r="CY864" s="162"/>
      <c r="CZ864" s="162"/>
      <c r="DA864" s="230"/>
      <c r="DB864" s="230"/>
      <c r="DC864" s="162"/>
      <c r="DD864" s="162"/>
      <c r="DE864" s="162"/>
      <c r="DF864" s="162"/>
      <c r="DG864" s="162"/>
      <c r="DH864" s="230"/>
      <c r="DI864" s="230"/>
      <c r="DJ864" s="162"/>
      <c r="DK864" s="162"/>
      <c r="DL864" s="147"/>
      <c r="DM864" s="147"/>
      <c r="DN864" s="147"/>
      <c r="DO864" s="147"/>
      <c r="DP864" s="147"/>
      <c r="DQ864" s="147"/>
      <c r="DR864" s="147"/>
      <c r="DS864" s="147"/>
      <c r="DT864" s="147"/>
      <c r="DU864" s="147"/>
      <c r="DV864" s="147"/>
      <c r="DW864" s="147"/>
      <c r="DX864" s="147"/>
      <c r="DY864" s="147"/>
      <c r="DZ864" s="147"/>
      <c r="EA864" s="147"/>
      <c r="EB864" s="147"/>
      <c r="EC864" s="147"/>
      <c r="ED864" s="147"/>
      <c r="EE864" s="147"/>
      <c r="EF864" s="147"/>
      <c r="EG864" s="147"/>
      <c r="EH864" s="147"/>
    </row>
    <row r="865" spans="1:138" x14ac:dyDescent="0.25">
      <c r="A865" s="147"/>
      <c r="B865" s="147"/>
      <c r="C865" s="160"/>
      <c r="D865" s="160"/>
      <c r="E865" s="169"/>
      <c r="F865" s="229"/>
      <c r="G865" s="165"/>
      <c r="H865" s="165"/>
      <c r="I865" s="163"/>
      <c r="J865" s="163"/>
      <c r="K865" s="162"/>
      <c r="L865" s="162"/>
      <c r="M865" s="162"/>
      <c r="N865" s="230"/>
      <c r="O865" s="230"/>
      <c r="P865" s="162"/>
      <c r="Q865" s="162"/>
      <c r="R865" s="162"/>
      <c r="S865" s="162"/>
      <c r="T865" s="162"/>
      <c r="U865" s="230"/>
      <c r="V865" s="230"/>
      <c r="W865" s="162"/>
      <c r="X865" s="162"/>
      <c r="Y865" s="162"/>
      <c r="Z865" s="162"/>
      <c r="AA865" s="162"/>
      <c r="AB865" s="230"/>
      <c r="AC865" s="230"/>
      <c r="AD865" s="162"/>
      <c r="AE865" s="162"/>
      <c r="AF865" s="162"/>
      <c r="AG865" s="162"/>
      <c r="AH865" s="162"/>
      <c r="AI865" s="230"/>
      <c r="AJ865" s="230"/>
      <c r="AK865" s="162"/>
      <c r="AL865" s="162"/>
      <c r="AM865" s="162"/>
      <c r="AN865" s="162"/>
      <c r="AO865" s="162"/>
      <c r="AP865" s="230"/>
      <c r="AQ865" s="230"/>
      <c r="AR865" s="162"/>
      <c r="AS865" s="162"/>
      <c r="AT865" s="162"/>
      <c r="AU865" s="162"/>
      <c r="AV865" s="162"/>
      <c r="AW865" s="230"/>
      <c r="AX865" s="230"/>
      <c r="AY865" s="162"/>
      <c r="AZ865" s="162"/>
      <c r="BA865" s="162"/>
      <c r="BB865" s="162"/>
      <c r="BC865" s="162"/>
      <c r="BD865" s="230"/>
      <c r="BE865" s="230"/>
      <c r="BF865" s="162"/>
      <c r="BG865" s="162"/>
      <c r="BH865" s="162"/>
      <c r="BI865" s="162"/>
      <c r="BJ865" s="162"/>
      <c r="BK865" s="230"/>
      <c r="BL865" s="230"/>
      <c r="BM865" s="162"/>
      <c r="BN865" s="162"/>
      <c r="BO865" s="162"/>
      <c r="BP865" s="162"/>
      <c r="BQ865" s="162"/>
      <c r="BR865" s="230"/>
      <c r="BS865" s="230"/>
      <c r="BT865" s="162"/>
      <c r="BU865" s="162"/>
      <c r="BV865" s="162"/>
      <c r="BW865" s="162"/>
      <c r="BX865" s="162"/>
      <c r="BY865" s="230"/>
      <c r="BZ865" s="230"/>
      <c r="CA865" s="162"/>
      <c r="CB865" s="162"/>
      <c r="CC865" s="162"/>
      <c r="CD865" s="162"/>
      <c r="CE865" s="162"/>
      <c r="CF865" s="230"/>
      <c r="CG865" s="230"/>
      <c r="CH865" s="162"/>
      <c r="CI865" s="162"/>
      <c r="CJ865" s="162"/>
      <c r="CK865" s="162"/>
      <c r="CL865" s="162"/>
      <c r="CM865" s="230"/>
      <c r="CN865" s="230"/>
      <c r="CO865" s="162"/>
      <c r="CP865" s="162"/>
      <c r="CQ865" s="162"/>
      <c r="CR865" s="162"/>
      <c r="CS865" s="162"/>
      <c r="CT865" s="230"/>
      <c r="CU865" s="230"/>
      <c r="CV865" s="162"/>
      <c r="CW865" s="162"/>
      <c r="CX865" s="162"/>
      <c r="CY865" s="162"/>
      <c r="CZ865" s="162"/>
      <c r="DA865" s="230"/>
      <c r="DB865" s="230"/>
      <c r="DC865" s="162"/>
      <c r="DD865" s="162"/>
      <c r="DE865" s="162"/>
      <c r="DF865" s="162"/>
      <c r="DG865" s="162"/>
      <c r="DH865" s="230"/>
      <c r="DI865" s="230"/>
      <c r="DJ865" s="162"/>
      <c r="DK865" s="162"/>
      <c r="DL865" s="147"/>
      <c r="DM865" s="147"/>
      <c r="DN865" s="147"/>
      <c r="DO865" s="147"/>
      <c r="DP865" s="147"/>
      <c r="DQ865" s="147"/>
      <c r="DR865" s="147"/>
      <c r="DS865" s="147"/>
      <c r="DT865" s="147"/>
      <c r="DU865" s="147"/>
      <c r="DV865" s="147"/>
      <c r="DW865" s="147"/>
      <c r="DX865" s="147"/>
      <c r="DY865" s="147"/>
      <c r="DZ865" s="147"/>
      <c r="EA865" s="147"/>
      <c r="EB865" s="147"/>
      <c r="EC865" s="147"/>
      <c r="ED865" s="147"/>
      <c r="EE865" s="147"/>
      <c r="EF865" s="147"/>
      <c r="EG865" s="147"/>
      <c r="EH865" s="147"/>
    </row>
    <row r="866" spans="1:138" x14ac:dyDescent="0.25">
      <c r="A866" s="147"/>
      <c r="B866" s="147"/>
      <c r="C866" s="160"/>
      <c r="D866" s="160"/>
      <c r="E866" s="169"/>
      <c r="F866" s="229"/>
      <c r="G866" s="165"/>
      <c r="H866" s="165"/>
      <c r="I866" s="163"/>
      <c r="J866" s="163"/>
      <c r="K866" s="162"/>
      <c r="L866" s="162"/>
      <c r="M866" s="162"/>
      <c r="N866" s="230"/>
      <c r="O866" s="230"/>
      <c r="P866" s="162"/>
      <c r="Q866" s="162"/>
      <c r="R866" s="162"/>
      <c r="S866" s="162"/>
      <c r="T866" s="162"/>
      <c r="U866" s="230"/>
      <c r="V866" s="230"/>
      <c r="W866" s="162"/>
      <c r="X866" s="162"/>
      <c r="Y866" s="162"/>
      <c r="Z866" s="162"/>
      <c r="AA866" s="162"/>
      <c r="AB866" s="230"/>
      <c r="AC866" s="230"/>
      <c r="AD866" s="162"/>
      <c r="AE866" s="162"/>
      <c r="AF866" s="162"/>
      <c r="AG866" s="162"/>
      <c r="AH866" s="162"/>
      <c r="AI866" s="230"/>
      <c r="AJ866" s="230"/>
      <c r="AK866" s="162"/>
      <c r="AL866" s="162"/>
      <c r="AM866" s="162"/>
      <c r="AN866" s="162"/>
      <c r="AO866" s="162"/>
      <c r="AP866" s="230"/>
      <c r="AQ866" s="230"/>
      <c r="AR866" s="162"/>
      <c r="AS866" s="162"/>
      <c r="AT866" s="162"/>
      <c r="AU866" s="162"/>
      <c r="AV866" s="162"/>
      <c r="AW866" s="230"/>
      <c r="AX866" s="230"/>
      <c r="AY866" s="162"/>
      <c r="AZ866" s="162"/>
      <c r="BA866" s="162"/>
      <c r="BB866" s="162"/>
      <c r="BC866" s="162"/>
      <c r="BD866" s="230"/>
      <c r="BE866" s="230"/>
      <c r="BF866" s="162"/>
      <c r="BG866" s="162"/>
      <c r="BH866" s="162"/>
      <c r="BI866" s="162"/>
      <c r="BJ866" s="162"/>
      <c r="BK866" s="230"/>
      <c r="BL866" s="230"/>
      <c r="BM866" s="162"/>
      <c r="BN866" s="162"/>
      <c r="BO866" s="162"/>
      <c r="BP866" s="162"/>
      <c r="BQ866" s="162"/>
      <c r="BR866" s="230"/>
      <c r="BS866" s="230"/>
      <c r="BT866" s="162"/>
      <c r="BU866" s="162"/>
      <c r="BV866" s="162"/>
      <c r="BW866" s="162"/>
      <c r="BX866" s="162"/>
      <c r="BY866" s="230"/>
      <c r="BZ866" s="230"/>
      <c r="CA866" s="162"/>
      <c r="CB866" s="162"/>
      <c r="CC866" s="162"/>
      <c r="CD866" s="162"/>
      <c r="CE866" s="162"/>
      <c r="CF866" s="230"/>
      <c r="CG866" s="230"/>
      <c r="CH866" s="162"/>
      <c r="CI866" s="162"/>
      <c r="CJ866" s="162"/>
      <c r="CK866" s="162"/>
      <c r="CL866" s="162"/>
      <c r="CM866" s="230"/>
      <c r="CN866" s="230"/>
      <c r="CO866" s="162"/>
      <c r="CP866" s="162"/>
      <c r="CQ866" s="162"/>
      <c r="CR866" s="162"/>
      <c r="CS866" s="162"/>
      <c r="CT866" s="230"/>
      <c r="CU866" s="230"/>
      <c r="CV866" s="162"/>
      <c r="CW866" s="162"/>
      <c r="CX866" s="162"/>
      <c r="CY866" s="162"/>
      <c r="CZ866" s="162"/>
      <c r="DA866" s="230"/>
      <c r="DB866" s="230"/>
      <c r="DC866" s="162"/>
      <c r="DD866" s="162"/>
      <c r="DE866" s="162"/>
      <c r="DF866" s="162"/>
      <c r="DG866" s="162"/>
      <c r="DH866" s="230"/>
      <c r="DI866" s="230"/>
      <c r="DJ866" s="162"/>
      <c r="DK866" s="162"/>
      <c r="DL866" s="147"/>
      <c r="DM866" s="147"/>
      <c r="DN866" s="147"/>
      <c r="DO866" s="147"/>
      <c r="DP866" s="147"/>
      <c r="DQ866" s="147"/>
      <c r="DR866" s="147"/>
      <c r="DS866" s="147"/>
      <c r="DT866" s="147"/>
      <c r="DU866" s="147"/>
      <c r="DV866" s="147"/>
      <c r="DW866" s="147"/>
      <c r="DX866" s="147"/>
      <c r="DY866" s="147"/>
      <c r="DZ866" s="147"/>
      <c r="EA866" s="147"/>
      <c r="EB866" s="147"/>
      <c r="EC866" s="147"/>
      <c r="ED866" s="147"/>
      <c r="EE866" s="147"/>
      <c r="EF866" s="147"/>
      <c r="EG866" s="147"/>
      <c r="EH866" s="147"/>
    </row>
    <row r="867" spans="1:138" x14ac:dyDescent="0.25">
      <c r="A867" s="147"/>
      <c r="B867" s="147"/>
      <c r="C867" s="160"/>
      <c r="D867" s="160"/>
      <c r="E867" s="169"/>
      <c r="F867" s="229"/>
      <c r="G867" s="165"/>
      <c r="H867" s="165"/>
      <c r="I867" s="163"/>
      <c r="J867" s="163"/>
      <c r="K867" s="162"/>
      <c r="L867" s="162"/>
      <c r="M867" s="162"/>
      <c r="N867" s="230"/>
      <c r="O867" s="230"/>
      <c r="P867" s="162"/>
      <c r="Q867" s="162"/>
      <c r="R867" s="162"/>
      <c r="S867" s="162"/>
      <c r="T867" s="162"/>
      <c r="U867" s="230"/>
      <c r="V867" s="230"/>
      <c r="W867" s="162"/>
      <c r="X867" s="162"/>
      <c r="Y867" s="162"/>
      <c r="Z867" s="162"/>
      <c r="AA867" s="162"/>
      <c r="AB867" s="230"/>
      <c r="AC867" s="230"/>
      <c r="AD867" s="162"/>
      <c r="AE867" s="162"/>
      <c r="AF867" s="162"/>
      <c r="AG867" s="162"/>
      <c r="AH867" s="162"/>
      <c r="AI867" s="230"/>
      <c r="AJ867" s="230"/>
      <c r="AK867" s="162"/>
      <c r="AL867" s="162"/>
      <c r="AM867" s="162"/>
      <c r="AN867" s="162"/>
      <c r="AO867" s="162"/>
      <c r="AP867" s="230"/>
      <c r="AQ867" s="230"/>
      <c r="AR867" s="162"/>
      <c r="AS867" s="162"/>
      <c r="AT867" s="162"/>
      <c r="AU867" s="162"/>
      <c r="AV867" s="162"/>
      <c r="AW867" s="230"/>
      <c r="AX867" s="230"/>
      <c r="AY867" s="162"/>
      <c r="AZ867" s="162"/>
      <c r="BA867" s="162"/>
      <c r="BB867" s="162"/>
      <c r="BC867" s="162"/>
      <c r="BD867" s="230"/>
      <c r="BE867" s="230"/>
      <c r="BF867" s="162"/>
      <c r="BG867" s="162"/>
      <c r="BH867" s="162"/>
      <c r="BI867" s="162"/>
      <c r="BJ867" s="162"/>
      <c r="BK867" s="230"/>
      <c r="BL867" s="230"/>
      <c r="BM867" s="162"/>
      <c r="BN867" s="162"/>
      <c r="BO867" s="162"/>
      <c r="BP867" s="162"/>
      <c r="BQ867" s="162"/>
      <c r="BR867" s="230"/>
      <c r="BS867" s="230"/>
      <c r="BT867" s="162"/>
      <c r="BU867" s="162"/>
      <c r="BV867" s="162"/>
      <c r="BW867" s="162"/>
      <c r="BX867" s="162"/>
      <c r="BY867" s="230"/>
      <c r="BZ867" s="230"/>
      <c r="CA867" s="162"/>
      <c r="CB867" s="162"/>
      <c r="CC867" s="162"/>
      <c r="CD867" s="162"/>
      <c r="CE867" s="162"/>
      <c r="CF867" s="230"/>
      <c r="CG867" s="230"/>
      <c r="CH867" s="162"/>
      <c r="CI867" s="162"/>
      <c r="CJ867" s="162"/>
      <c r="CK867" s="162"/>
      <c r="CL867" s="162"/>
      <c r="CM867" s="230"/>
      <c r="CN867" s="230"/>
      <c r="CO867" s="162"/>
      <c r="CP867" s="162"/>
      <c r="CQ867" s="162"/>
      <c r="CR867" s="162"/>
      <c r="CS867" s="162"/>
      <c r="CT867" s="230"/>
      <c r="CU867" s="230"/>
      <c r="CV867" s="162"/>
      <c r="CW867" s="162"/>
      <c r="CX867" s="162"/>
      <c r="CY867" s="162"/>
      <c r="CZ867" s="162"/>
      <c r="DA867" s="230"/>
      <c r="DB867" s="230"/>
      <c r="DC867" s="162"/>
      <c r="DD867" s="162"/>
      <c r="DE867" s="162"/>
      <c r="DF867" s="162"/>
      <c r="DG867" s="162"/>
      <c r="DH867" s="230"/>
      <c r="DI867" s="230"/>
      <c r="DJ867" s="162"/>
      <c r="DK867" s="162"/>
      <c r="DL867" s="147"/>
      <c r="DM867" s="147"/>
      <c r="DN867" s="147"/>
      <c r="DO867" s="147"/>
      <c r="DP867" s="147"/>
      <c r="DQ867" s="147"/>
      <c r="DR867" s="147"/>
      <c r="DS867" s="147"/>
      <c r="DT867" s="147"/>
      <c r="DU867" s="147"/>
      <c r="DV867" s="147"/>
      <c r="DW867" s="147"/>
      <c r="DX867" s="147"/>
      <c r="DY867" s="147"/>
      <c r="DZ867" s="147"/>
      <c r="EA867" s="147"/>
      <c r="EB867" s="147"/>
      <c r="EC867" s="147"/>
      <c r="ED867" s="147"/>
      <c r="EE867" s="147"/>
      <c r="EF867" s="147"/>
      <c r="EG867" s="147"/>
      <c r="EH867" s="147"/>
    </row>
    <row r="868" spans="1:138" x14ac:dyDescent="0.25">
      <c r="A868" s="147"/>
      <c r="B868" s="147"/>
      <c r="C868" s="160"/>
      <c r="D868" s="160"/>
      <c r="E868" s="169"/>
      <c r="F868" s="229"/>
      <c r="G868" s="165"/>
      <c r="H868" s="165"/>
      <c r="I868" s="163"/>
      <c r="J868" s="163"/>
      <c r="K868" s="162"/>
      <c r="L868" s="162"/>
      <c r="M868" s="162"/>
      <c r="N868" s="230"/>
      <c r="O868" s="230"/>
      <c r="P868" s="162"/>
      <c r="Q868" s="162"/>
      <c r="R868" s="162"/>
      <c r="S868" s="162"/>
      <c r="T868" s="162"/>
      <c r="U868" s="230"/>
      <c r="V868" s="230"/>
      <c r="W868" s="162"/>
      <c r="X868" s="162"/>
      <c r="Y868" s="162"/>
      <c r="Z868" s="162"/>
      <c r="AA868" s="162"/>
      <c r="AB868" s="230"/>
      <c r="AC868" s="230"/>
      <c r="AD868" s="162"/>
      <c r="AE868" s="162"/>
      <c r="AF868" s="162"/>
      <c r="AG868" s="162"/>
      <c r="AH868" s="162"/>
      <c r="AI868" s="230"/>
      <c r="AJ868" s="230"/>
      <c r="AK868" s="162"/>
      <c r="AL868" s="162"/>
      <c r="AM868" s="162"/>
      <c r="AN868" s="162"/>
      <c r="AO868" s="162"/>
      <c r="AP868" s="230"/>
      <c r="AQ868" s="230"/>
      <c r="AR868" s="162"/>
      <c r="AS868" s="162"/>
      <c r="AT868" s="162"/>
      <c r="AU868" s="162"/>
      <c r="AV868" s="162"/>
      <c r="AW868" s="230"/>
      <c r="AX868" s="230"/>
      <c r="AY868" s="162"/>
      <c r="AZ868" s="162"/>
      <c r="BA868" s="162"/>
      <c r="BB868" s="162"/>
      <c r="BC868" s="162"/>
      <c r="BD868" s="230"/>
      <c r="BE868" s="230"/>
      <c r="BF868" s="162"/>
      <c r="BG868" s="162"/>
      <c r="BH868" s="162"/>
      <c r="BI868" s="162"/>
      <c r="BJ868" s="162"/>
      <c r="BK868" s="230"/>
      <c r="BL868" s="230"/>
      <c r="BM868" s="162"/>
      <c r="BN868" s="162"/>
      <c r="BO868" s="162"/>
      <c r="BP868" s="162"/>
      <c r="BQ868" s="162"/>
      <c r="BR868" s="230"/>
      <c r="BS868" s="230"/>
      <c r="BT868" s="162"/>
      <c r="BU868" s="162"/>
      <c r="BV868" s="162"/>
      <c r="BW868" s="162"/>
      <c r="BX868" s="162"/>
      <c r="BY868" s="230"/>
      <c r="BZ868" s="230"/>
      <c r="CA868" s="162"/>
      <c r="CB868" s="162"/>
      <c r="CC868" s="162"/>
      <c r="CD868" s="162"/>
      <c r="CE868" s="162"/>
      <c r="CF868" s="230"/>
      <c r="CG868" s="230"/>
      <c r="CH868" s="162"/>
      <c r="CI868" s="162"/>
      <c r="CJ868" s="162"/>
      <c r="CK868" s="162"/>
      <c r="CL868" s="162"/>
      <c r="CM868" s="230"/>
      <c r="CN868" s="230"/>
      <c r="CO868" s="162"/>
      <c r="CP868" s="162"/>
      <c r="CQ868" s="162"/>
      <c r="CR868" s="162"/>
      <c r="CS868" s="162"/>
      <c r="CT868" s="230"/>
      <c r="CU868" s="230"/>
      <c r="CV868" s="162"/>
      <c r="CW868" s="162"/>
      <c r="CX868" s="162"/>
      <c r="CY868" s="162"/>
      <c r="CZ868" s="162"/>
      <c r="DA868" s="230"/>
      <c r="DB868" s="230"/>
      <c r="DC868" s="162"/>
      <c r="DD868" s="162"/>
      <c r="DE868" s="162"/>
      <c r="DF868" s="162"/>
      <c r="DG868" s="162"/>
      <c r="DH868" s="230"/>
      <c r="DI868" s="230"/>
      <c r="DJ868" s="162"/>
      <c r="DK868" s="162"/>
      <c r="DL868" s="147"/>
      <c r="DM868" s="147"/>
      <c r="DN868" s="147"/>
      <c r="DO868" s="147"/>
      <c r="DP868" s="147"/>
      <c r="DQ868" s="147"/>
      <c r="DR868" s="147"/>
      <c r="DS868" s="147"/>
      <c r="DT868" s="147"/>
      <c r="DU868" s="147"/>
      <c r="DV868" s="147"/>
      <c r="DW868" s="147"/>
      <c r="DX868" s="147"/>
      <c r="DY868" s="147"/>
      <c r="DZ868" s="147"/>
      <c r="EA868" s="147"/>
      <c r="EB868" s="147"/>
      <c r="EC868" s="147"/>
      <c r="ED868" s="147"/>
      <c r="EE868" s="147"/>
      <c r="EF868" s="147"/>
      <c r="EG868" s="147"/>
      <c r="EH868" s="147"/>
    </row>
    <row r="869" spans="1:138" x14ac:dyDescent="0.25">
      <c r="A869" s="147"/>
      <c r="B869" s="147"/>
      <c r="C869" s="160"/>
      <c r="D869" s="160"/>
      <c r="E869" s="169"/>
      <c r="F869" s="229"/>
      <c r="G869" s="165"/>
      <c r="H869" s="165"/>
      <c r="I869" s="163"/>
      <c r="J869" s="163"/>
      <c r="K869" s="162"/>
      <c r="L869" s="162"/>
      <c r="M869" s="162"/>
      <c r="N869" s="230"/>
      <c r="O869" s="230"/>
      <c r="P869" s="162"/>
      <c r="Q869" s="162"/>
      <c r="R869" s="162"/>
      <c r="S869" s="162"/>
      <c r="T869" s="162"/>
      <c r="U869" s="230"/>
      <c r="V869" s="230"/>
      <c r="W869" s="162"/>
      <c r="X869" s="162"/>
      <c r="Y869" s="162"/>
      <c r="Z869" s="162"/>
      <c r="AA869" s="162"/>
      <c r="AB869" s="230"/>
      <c r="AC869" s="230"/>
      <c r="AD869" s="162"/>
      <c r="AE869" s="162"/>
      <c r="AF869" s="162"/>
      <c r="AG869" s="162"/>
      <c r="AH869" s="162"/>
      <c r="AI869" s="230"/>
      <c r="AJ869" s="230"/>
      <c r="AK869" s="162"/>
      <c r="AL869" s="162"/>
      <c r="AM869" s="162"/>
      <c r="AN869" s="162"/>
      <c r="AO869" s="162"/>
      <c r="AP869" s="230"/>
      <c r="AQ869" s="230"/>
      <c r="AR869" s="162"/>
      <c r="AS869" s="162"/>
      <c r="AT869" s="162"/>
      <c r="AU869" s="162"/>
      <c r="AV869" s="162"/>
      <c r="AW869" s="230"/>
      <c r="AX869" s="230"/>
      <c r="AY869" s="162"/>
      <c r="AZ869" s="162"/>
      <c r="BA869" s="162"/>
      <c r="BB869" s="162"/>
      <c r="BC869" s="162"/>
      <c r="BD869" s="230"/>
      <c r="BE869" s="230"/>
      <c r="BF869" s="162"/>
      <c r="BG869" s="162"/>
      <c r="BH869" s="162"/>
      <c r="BI869" s="162"/>
      <c r="BJ869" s="162"/>
      <c r="BK869" s="230"/>
      <c r="BL869" s="230"/>
      <c r="BM869" s="162"/>
      <c r="BN869" s="162"/>
      <c r="BO869" s="162"/>
      <c r="BP869" s="162"/>
      <c r="BQ869" s="162"/>
      <c r="BR869" s="230"/>
      <c r="BS869" s="230"/>
      <c r="BT869" s="162"/>
      <c r="BU869" s="162"/>
      <c r="BV869" s="162"/>
      <c r="BW869" s="162"/>
      <c r="BX869" s="162"/>
      <c r="BY869" s="230"/>
      <c r="BZ869" s="230"/>
      <c r="CA869" s="162"/>
      <c r="CB869" s="162"/>
      <c r="CC869" s="162"/>
      <c r="CD869" s="162"/>
      <c r="CE869" s="162"/>
      <c r="CF869" s="230"/>
      <c r="CG869" s="230"/>
      <c r="CH869" s="162"/>
      <c r="CI869" s="162"/>
      <c r="CJ869" s="162"/>
      <c r="CK869" s="162"/>
      <c r="CL869" s="162"/>
      <c r="CM869" s="230"/>
      <c r="CN869" s="230"/>
      <c r="CO869" s="162"/>
      <c r="CP869" s="162"/>
      <c r="CQ869" s="162"/>
      <c r="CR869" s="162"/>
      <c r="CS869" s="162"/>
      <c r="CT869" s="230"/>
      <c r="CU869" s="230"/>
      <c r="CV869" s="162"/>
      <c r="CW869" s="162"/>
      <c r="CX869" s="162"/>
      <c r="CY869" s="162"/>
      <c r="CZ869" s="162"/>
      <c r="DA869" s="230"/>
      <c r="DB869" s="230"/>
      <c r="DC869" s="162"/>
      <c r="DD869" s="162"/>
      <c r="DE869" s="162"/>
      <c r="DF869" s="162"/>
      <c r="DG869" s="162"/>
      <c r="DH869" s="230"/>
      <c r="DI869" s="230"/>
      <c r="DJ869" s="162"/>
      <c r="DK869" s="162"/>
      <c r="DL869" s="147"/>
      <c r="DM869" s="147"/>
      <c r="DN869" s="147"/>
      <c r="DO869" s="147"/>
      <c r="DP869" s="147"/>
      <c r="DQ869" s="147"/>
      <c r="DR869" s="147"/>
      <c r="DS869" s="147"/>
      <c r="DT869" s="147"/>
      <c r="DU869" s="147"/>
      <c r="DV869" s="147"/>
      <c r="DW869" s="147"/>
      <c r="DX869" s="147"/>
      <c r="DY869" s="147"/>
      <c r="DZ869" s="147"/>
      <c r="EA869" s="147"/>
      <c r="EB869" s="147"/>
      <c r="EC869" s="147"/>
      <c r="ED869" s="147"/>
      <c r="EE869" s="147"/>
      <c r="EF869" s="147"/>
      <c r="EG869" s="147"/>
      <c r="EH869" s="147"/>
    </row>
    <row r="870" spans="1:138" x14ac:dyDescent="0.25">
      <c r="A870" s="147"/>
      <c r="B870" s="147"/>
      <c r="C870" s="160"/>
      <c r="D870" s="160"/>
      <c r="E870" s="169"/>
      <c r="F870" s="229"/>
      <c r="G870" s="165"/>
      <c r="H870" s="165"/>
      <c r="I870" s="163"/>
      <c r="J870" s="163"/>
      <c r="K870" s="162"/>
      <c r="L870" s="162"/>
      <c r="M870" s="162"/>
      <c r="N870" s="230"/>
      <c r="O870" s="230"/>
      <c r="P870" s="162"/>
      <c r="Q870" s="162"/>
      <c r="R870" s="162"/>
      <c r="S870" s="162"/>
      <c r="T870" s="162"/>
      <c r="U870" s="230"/>
      <c r="V870" s="230"/>
      <c r="W870" s="162"/>
      <c r="X870" s="162"/>
      <c r="Y870" s="162"/>
      <c r="Z870" s="162"/>
      <c r="AA870" s="162"/>
      <c r="AB870" s="230"/>
      <c r="AC870" s="230"/>
      <c r="AD870" s="162"/>
      <c r="AE870" s="162"/>
      <c r="AF870" s="162"/>
      <c r="AG870" s="162"/>
      <c r="AH870" s="162"/>
      <c r="AI870" s="230"/>
      <c r="AJ870" s="230"/>
      <c r="AK870" s="162"/>
      <c r="AL870" s="162"/>
      <c r="AM870" s="162"/>
      <c r="AN870" s="162"/>
      <c r="AO870" s="162"/>
      <c r="AP870" s="230"/>
      <c r="AQ870" s="230"/>
      <c r="AR870" s="162"/>
      <c r="AS870" s="162"/>
      <c r="AT870" s="162"/>
      <c r="AU870" s="162"/>
      <c r="AV870" s="162"/>
      <c r="AW870" s="230"/>
      <c r="AX870" s="230"/>
      <c r="AY870" s="162"/>
      <c r="AZ870" s="162"/>
      <c r="BA870" s="162"/>
      <c r="BB870" s="162"/>
      <c r="BC870" s="162"/>
      <c r="BD870" s="230"/>
      <c r="BE870" s="230"/>
      <c r="BF870" s="162"/>
      <c r="BG870" s="162"/>
      <c r="BH870" s="162"/>
      <c r="BI870" s="162"/>
      <c r="BJ870" s="162"/>
      <c r="BK870" s="230"/>
      <c r="BL870" s="230"/>
      <c r="BM870" s="162"/>
      <c r="BN870" s="162"/>
      <c r="BO870" s="162"/>
      <c r="BP870" s="162"/>
      <c r="BQ870" s="162"/>
      <c r="BR870" s="230"/>
      <c r="BS870" s="230"/>
      <c r="BT870" s="162"/>
      <c r="BU870" s="162"/>
      <c r="BV870" s="162"/>
      <c r="BW870" s="162"/>
      <c r="BX870" s="162"/>
      <c r="BY870" s="230"/>
      <c r="BZ870" s="230"/>
      <c r="CA870" s="162"/>
      <c r="CB870" s="162"/>
      <c r="CC870" s="162"/>
      <c r="CD870" s="162"/>
      <c r="CE870" s="162"/>
      <c r="CF870" s="230"/>
      <c r="CG870" s="230"/>
      <c r="CH870" s="162"/>
      <c r="CI870" s="162"/>
      <c r="CJ870" s="162"/>
      <c r="CK870" s="162"/>
      <c r="CL870" s="162"/>
      <c r="CM870" s="230"/>
      <c r="CN870" s="230"/>
      <c r="CO870" s="162"/>
      <c r="CP870" s="162"/>
      <c r="CQ870" s="162"/>
      <c r="CR870" s="162"/>
      <c r="CS870" s="162"/>
      <c r="CT870" s="230"/>
      <c r="CU870" s="230"/>
      <c r="CV870" s="162"/>
      <c r="CW870" s="162"/>
      <c r="CX870" s="162"/>
      <c r="CY870" s="162"/>
      <c r="CZ870" s="162"/>
      <c r="DA870" s="230"/>
      <c r="DB870" s="230"/>
      <c r="DC870" s="162"/>
      <c r="DD870" s="162"/>
      <c r="DE870" s="162"/>
      <c r="DF870" s="162"/>
      <c r="DG870" s="162"/>
      <c r="DH870" s="230"/>
      <c r="DI870" s="230"/>
      <c r="DJ870" s="162"/>
      <c r="DK870" s="162"/>
      <c r="DL870" s="147"/>
      <c r="DM870" s="147"/>
      <c r="DN870" s="147"/>
      <c r="DO870" s="147"/>
      <c r="DP870" s="147"/>
      <c r="DQ870" s="147"/>
      <c r="DR870" s="147"/>
      <c r="DS870" s="147"/>
      <c r="DT870" s="147"/>
      <c r="DU870" s="147"/>
      <c r="DV870" s="147"/>
      <c r="DW870" s="147"/>
      <c r="DX870" s="147"/>
      <c r="DY870" s="147"/>
      <c r="DZ870" s="147"/>
      <c r="EA870" s="147"/>
      <c r="EB870" s="147"/>
      <c r="EC870" s="147"/>
      <c r="ED870" s="147"/>
      <c r="EE870" s="147"/>
      <c r="EF870" s="147"/>
      <c r="EG870" s="147"/>
      <c r="EH870" s="147"/>
    </row>
    <row r="871" spans="1:138" x14ac:dyDescent="0.25">
      <c r="A871" s="147"/>
      <c r="B871" s="147"/>
      <c r="C871" s="160"/>
      <c r="D871" s="160"/>
      <c r="E871" s="169"/>
      <c r="F871" s="229"/>
      <c r="G871" s="165"/>
      <c r="H871" s="165"/>
      <c r="I871" s="163"/>
      <c r="J871" s="163"/>
      <c r="K871" s="162"/>
      <c r="L871" s="162"/>
      <c r="M871" s="162"/>
      <c r="N871" s="230"/>
      <c r="O871" s="230"/>
      <c r="P871" s="162"/>
      <c r="Q871" s="162"/>
      <c r="R871" s="162"/>
      <c r="S871" s="162"/>
      <c r="T871" s="162"/>
      <c r="U871" s="230"/>
      <c r="V871" s="230"/>
      <c r="W871" s="162"/>
      <c r="X871" s="162"/>
      <c r="Y871" s="162"/>
      <c r="Z871" s="162"/>
      <c r="AA871" s="162"/>
      <c r="AB871" s="230"/>
      <c r="AC871" s="230"/>
      <c r="AD871" s="162"/>
      <c r="AE871" s="162"/>
      <c r="AF871" s="162"/>
      <c r="AG871" s="162"/>
      <c r="AH871" s="162"/>
      <c r="AI871" s="230"/>
      <c r="AJ871" s="230"/>
      <c r="AK871" s="162"/>
      <c r="AL871" s="162"/>
      <c r="AM871" s="162"/>
      <c r="AN871" s="162"/>
      <c r="AO871" s="162"/>
      <c r="AP871" s="230"/>
      <c r="AQ871" s="230"/>
      <c r="AR871" s="162"/>
      <c r="AS871" s="162"/>
      <c r="AT871" s="162"/>
      <c r="AU871" s="162"/>
      <c r="AV871" s="162"/>
      <c r="AW871" s="230"/>
      <c r="AX871" s="230"/>
      <c r="AY871" s="162"/>
      <c r="AZ871" s="162"/>
      <c r="BA871" s="162"/>
      <c r="BB871" s="162"/>
      <c r="BC871" s="162"/>
      <c r="BD871" s="230"/>
      <c r="BE871" s="230"/>
      <c r="BF871" s="162"/>
      <c r="BG871" s="162"/>
      <c r="BH871" s="162"/>
      <c r="BI871" s="162"/>
      <c r="BJ871" s="162"/>
      <c r="BK871" s="230"/>
      <c r="BL871" s="230"/>
      <c r="BM871" s="162"/>
      <c r="BN871" s="162"/>
      <c r="BO871" s="162"/>
      <c r="BP871" s="162"/>
      <c r="BQ871" s="162"/>
      <c r="BR871" s="230"/>
      <c r="BS871" s="230"/>
      <c r="BT871" s="162"/>
      <c r="BU871" s="162"/>
      <c r="BV871" s="162"/>
      <c r="BW871" s="162"/>
      <c r="BX871" s="162"/>
      <c r="BY871" s="230"/>
      <c r="BZ871" s="230"/>
      <c r="CA871" s="162"/>
      <c r="CB871" s="162"/>
      <c r="CC871" s="162"/>
      <c r="CD871" s="162"/>
      <c r="CE871" s="162"/>
      <c r="CF871" s="230"/>
      <c r="CG871" s="230"/>
      <c r="CH871" s="162"/>
      <c r="CI871" s="162"/>
      <c r="CJ871" s="162"/>
      <c r="CK871" s="162"/>
      <c r="CL871" s="162"/>
      <c r="CM871" s="230"/>
      <c r="CN871" s="230"/>
      <c r="CO871" s="162"/>
      <c r="CP871" s="162"/>
      <c r="CQ871" s="162"/>
      <c r="CR871" s="162"/>
      <c r="CS871" s="162"/>
      <c r="CT871" s="230"/>
      <c r="CU871" s="230"/>
      <c r="CV871" s="162"/>
      <c r="CW871" s="162"/>
      <c r="CX871" s="162"/>
      <c r="CY871" s="162"/>
      <c r="CZ871" s="162"/>
      <c r="DA871" s="230"/>
      <c r="DB871" s="230"/>
      <c r="DC871" s="162"/>
      <c r="DD871" s="162"/>
      <c r="DE871" s="162"/>
      <c r="DF871" s="162"/>
      <c r="DG871" s="162"/>
      <c r="DH871" s="230"/>
      <c r="DI871" s="230"/>
      <c r="DJ871" s="162"/>
      <c r="DK871" s="162"/>
      <c r="DL871" s="147"/>
      <c r="DM871" s="147"/>
      <c r="DN871" s="147"/>
      <c r="DO871" s="147"/>
      <c r="DP871" s="147"/>
      <c r="DQ871" s="147"/>
      <c r="DR871" s="147"/>
      <c r="DS871" s="147"/>
      <c r="DT871" s="147"/>
      <c r="DU871" s="147"/>
      <c r="DV871" s="147"/>
      <c r="DW871" s="147"/>
      <c r="DX871" s="147"/>
      <c r="DY871" s="147"/>
      <c r="DZ871" s="147"/>
      <c r="EA871" s="147"/>
      <c r="EB871" s="147"/>
      <c r="EC871" s="147"/>
      <c r="ED871" s="147"/>
      <c r="EE871" s="147"/>
      <c r="EF871" s="147"/>
      <c r="EG871" s="147"/>
      <c r="EH871" s="147"/>
    </row>
    <row r="872" spans="1:138" x14ac:dyDescent="0.25">
      <c r="A872" s="147"/>
      <c r="B872" s="147"/>
      <c r="C872" s="160"/>
      <c r="D872" s="160"/>
      <c r="E872" s="169"/>
      <c r="F872" s="229"/>
      <c r="G872" s="165"/>
      <c r="H872" s="165"/>
      <c r="I872" s="163"/>
      <c r="J872" s="163"/>
      <c r="K872" s="162"/>
      <c r="L872" s="162"/>
      <c r="M872" s="162"/>
      <c r="N872" s="230"/>
      <c r="O872" s="230"/>
      <c r="P872" s="162"/>
      <c r="Q872" s="162"/>
      <c r="R872" s="162"/>
      <c r="S872" s="162"/>
      <c r="T872" s="162"/>
      <c r="U872" s="230"/>
      <c r="V872" s="230"/>
      <c r="W872" s="162"/>
      <c r="X872" s="162"/>
      <c r="Y872" s="162"/>
      <c r="Z872" s="162"/>
      <c r="AA872" s="162"/>
      <c r="AB872" s="230"/>
      <c r="AC872" s="230"/>
      <c r="AD872" s="162"/>
      <c r="AE872" s="162"/>
      <c r="AF872" s="162"/>
      <c r="AG872" s="162"/>
      <c r="AH872" s="162"/>
      <c r="AI872" s="230"/>
      <c r="AJ872" s="230"/>
      <c r="AK872" s="162"/>
      <c r="AL872" s="162"/>
      <c r="AM872" s="162"/>
      <c r="AN872" s="162"/>
      <c r="AO872" s="162"/>
      <c r="AP872" s="230"/>
      <c r="AQ872" s="230"/>
      <c r="AR872" s="162"/>
      <c r="AS872" s="162"/>
      <c r="AT872" s="162"/>
      <c r="AU872" s="162"/>
      <c r="AV872" s="162"/>
      <c r="AW872" s="230"/>
      <c r="AX872" s="230"/>
      <c r="AY872" s="162"/>
      <c r="AZ872" s="162"/>
      <c r="BA872" s="162"/>
      <c r="BB872" s="162"/>
      <c r="BC872" s="162"/>
      <c r="BD872" s="230"/>
      <c r="BE872" s="230"/>
      <c r="BF872" s="162"/>
      <c r="BG872" s="162"/>
      <c r="BH872" s="162"/>
      <c r="BI872" s="162"/>
      <c r="BJ872" s="162"/>
      <c r="BK872" s="230"/>
      <c r="BL872" s="230"/>
      <c r="BM872" s="162"/>
      <c r="BN872" s="162"/>
      <c r="BO872" s="162"/>
      <c r="BP872" s="162"/>
      <c r="BQ872" s="162"/>
      <c r="BR872" s="230"/>
      <c r="BS872" s="230"/>
      <c r="BT872" s="162"/>
      <c r="BU872" s="162"/>
      <c r="BV872" s="162"/>
      <c r="BW872" s="162"/>
      <c r="BX872" s="162"/>
      <c r="BY872" s="230"/>
      <c r="BZ872" s="230"/>
      <c r="CA872" s="162"/>
      <c r="CB872" s="162"/>
      <c r="CC872" s="162"/>
      <c r="CD872" s="162"/>
      <c r="CE872" s="162"/>
      <c r="CF872" s="230"/>
      <c r="CG872" s="230"/>
      <c r="CH872" s="162"/>
      <c r="CI872" s="162"/>
      <c r="CJ872" s="162"/>
      <c r="CK872" s="162"/>
      <c r="CL872" s="162"/>
      <c r="CM872" s="230"/>
      <c r="CN872" s="230"/>
      <c r="CO872" s="162"/>
      <c r="CP872" s="162"/>
      <c r="CQ872" s="162"/>
      <c r="CR872" s="162"/>
      <c r="CS872" s="162"/>
      <c r="CT872" s="230"/>
      <c r="CU872" s="230"/>
      <c r="CV872" s="162"/>
      <c r="CW872" s="162"/>
      <c r="CX872" s="162"/>
      <c r="CY872" s="162"/>
      <c r="CZ872" s="162"/>
      <c r="DA872" s="230"/>
      <c r="DB872" s="230"/>
      <c r="DC872" s="162"/>
      <c r="DD872" s="162"/>
      <c r="DE872" s="162"/>
      <c r="DF872" s="162"/>
      <c r="DG872" s="162"/>
      <c r="DH872" s="230"/>
      <c r="DI872" s="230"/>
      <c r="DJ872" s="162"/>
      <c r="DK872" s="162"/>
      <c r="DL872" s="147"/>
      <c r="DM872" s="147"/>
      <c r="DN872" s="147"/>
      <c r="DO872" s="147"/>
      <c r="DP872" s="147"/>
      <c r="DQ872" s="147"/>
      <c r="DR872" s="147"/>
      <c r="DS872" s="147"/>
      <c r="DT872" s="147"/>
      <c r="DU872" s="147"/>
      <c r="DV872" s="147"/>
      <c r="DW872" s="147"/>
      <c r="DX872" s="147"/>
      <c r="DY872" s="147"/>
      <c r="DZ872" s="147"/>
      <c r="EA872" s="147"/>
      <c r="EB872" s="147"/>
      <c r="EC872" s="147"/>
      <c r="ED872" s="147"/>
      <c r="EE872" s="147"/>
      <c r="EF872" s="147"/>
      <c r="EG872" s="147"/>
      <c r="EH872" s="147"/>
    </row>
    <row r="873" spans="1:138" x14ac:dyDescent="0.25">
      <c r="A873" s="147"/>
      <c r="B873" s="147"/>
      <c r="C873" s="160"/>
      <c r="D873" s="160"/>
      <c r="E873" s="169"/>
      <c r="F873" s="229"/>
      <c r="G873" s="165"/>
      <c r="H873" s="165"/>
      <c r="I873" s="163"/>
      <c r="J873" s="163"/>
      <c r="K873" s="162"/>
      <c r="L873" s="162"/>
      <c r="M873" s="162"/>
      <c r="N873" s="230"/>
      <c r="O873" s="230"/>
      <c r="P873" s="162"/>
      <c r="Q873" s="162"/>
      <c r="R873" s="162"/>
      <c r="S873" s="162"/>
      <c r="T873" s="162"/>
      <c r="U873" s="230"/>
      <c r="V873" s="230"/>
      <c r="W873" s="162"/>
      <c r="X873" s="162"/>
      <c r="Y873" s="162"/>
      <c r="Z873" s="162"/>
      <c r="AA873" s="162"/>
      <c r="AB873" s="230"/>
      <c r="AC873" s="230"/>
      <c r="AD873" s="162"/>
      <c r="AE873" s="162"/>
      <c r="AF873" s="162"/>
      <c r="AG873" s="162"/>
      <c r="AH873" s="162"/>
      <c r="AI873" s="230"/>
      <c r="AJ873" s="230"/>
      <c r="AK873" s="162"/>
      <c r="AL873" s="162"/>
      <c r="AM873" s="162"/>
      <c r="AN873" s="162"/>
      <c r="AO873" s="162"/>
      <c r="AP873" s="230"/>
      <c r="AQ873" s="230"/>
      <c r="AR873" s="162"/>
      <c r="AS873" s="162"/>
      <c r="AT873" s="162"/>
      <c r="AU873" s="162"/>
      <c r="AV873" s="162"/>
      <c r="AW873" s="230"/>
      <c r="AX873" s="230"/>
      <c r="AY873" s="162"/>
      <c r="AZ873" s="162"/>
      <c r="BA873" s="162"/>
      <c r="BB873" s="162"/>
      <c r="BC873" s="162"/>
      <c r="BD873" s="230"/>
      <c r="BE873" s="230"/>
      <c r="BF873" s="162"/>
      <c r="BG873" s="162"/>
      <c r="BH873" s="162"/>
      <c r="BI873" s="162"/>
      <c r="BJ873" s="162"/>
      <c r="BK873" s="230"/>
      <c r="BL873" s="230"/>
      <c r="BM873" s="162"/>
      <c r="BN873" s="162"/>
      <c r="BO873" s="162"/>
      <c r="BP873" s="162"/>
      <c r="BQ873" s="162"/>
      <c r="BR873" s="230"/>
      <c r="BS873" s="230"/>
      <c r="BT873" s="162"/>
      <c r="BU873" s="162"/>
      <c r="BV873" s="162"/>
      <c r="BW873" s="162"/>
      <c r="BX873" s="162"/>
      <c r="BY873" s="230"/>
      <c r="BZ873" s="230"/>
      <c r="CA873" s="162"/>
      <c r="CB873" s="162"/>
      <c r="CC873" s="162"/>
      <c r="CD873" s="162"/>
      <c r="CE873" s="162"/>
      <c r="CF873" s="230"/>
      <c r="CG873" s="230"/>
      <c r="CH873" s="162"/>
      <c r="CI873" s="162"/>
      <c r="CJ873" s="162"/>
      <c r="CK873" s="162"/>
      <c r="CL873" s="162"/>
      <c r="CM873" s="230"/>
      <c r="CN873" s="230"/>
      <c r="CO873" s="162"/>
      <c r="CP873" s="162"/>
      <c r="CQ873" s="162"/>
      <c r="CR873" s="162"/>
      <c r="CS873" s="162"/>
      <c r="CT873" s="230"/>
      <c r="CU873" s="230"/>
      <c r="CV873" s="162"/>
      <c r="CW873" s="162"/>
      <c r="CX873" s="162"/>
      <c r="CY873" s="162"/>
      <c r="CZ873" s="162"/>
      <c r="DA873" s="230"/>
      <c r="DB873" s="230"/>
      <c r="DC873" s="162"/>
      <c r="DD873" s="162"/>
      <c r="DE873" s="162"/>
      <c r="DF873" s="162"/>
      <c r="DG873" s="162"/>
      <c r="DH873" s="230"/>
      <c r="DI873" s="230"/>
      <c r="DJ873" s="162"/>
      <c r="DK873" s="162"/>
      <c r="DL873" s="147"/>
      <c r="DM873" s="147"/>
      <c r="DN873" s="147"/>
      <c r="DO873" s="147"/>
      <c r="DP873" s="147"/>
      <c r="DQ873" s="147"/>
      <c r="DR873" s="147"/>
      <c r="DS873" s="147"/>
      <c r="DT873" s="147"/>
      <c r="DU873" s="147"/>
      <c r="DV873" s="147"/>
      <c r="DW873" s="147"/>
      <c r="DX873" s="147"/>
      <c r="DY873" s="147"/>
      <c r="DZ873" s="147"/>
      <c r="EA873" s="147"/>
      <c r="EB873" s="147"/>
      <c r="EC873" s="147"/>
      <c r="ED873" s="147"/>
      <c r="EE873" s="147"/>
      <c r="EF873" s="147"/>
      <c r="EG873" s="147"/>
      <c r="EH873" s="147"/>
    </row>
    <row r="874" spans="1:138" x14ac:dyDescent="0.25">
      <c r="A874" s="147"/>
      <c r="B874" s="147"/>
      <c r="C874" s="160"/>
      <c r="D874" s="160"/>
      <c r="E874" s="169"/>
      <c r="F874" s="229"/>
      <c r="G874" s="165"/>
      <c r="H874" s="165"/>
      <c r="I874" s="163"/>
      <c r="J874" s="163"/>
      <c r="K874" s="162"/>
      <c r="L874" s="162"/>
      <c r="M874" s="162"/>
      <c r="N874" s="230"/>
      <c r="O874" s="230"/>
      <c r="P874" s="162"/>
      <c r="Q874" s="162"/>
      <c r="R874" s="162"/>
      <c r="S874" s="162"/>
      <c r="T874" s="162"/>
      <c r="U874" s="230"/>
      <c r="V874" s="230"/>
      <c r="W874" s="162"/>
      <c r="X874" s="162"/>
      <c r="Y874" s="162"/>
      <c r="Z874" s="162"/>
      <c r="AA874" s="162"/>
      <c r="AB874" s="230"/>
      <c r="AC874" s="230"/>
      <c r="AD874" s="162"/>
      <c r="AE874" s="162"/>
      <c r="AF874" s="162"/>
      <c r="AG874" s="162"/>
      <c r="AH874" s="162"/>
      <c r="AI874" s="230"/>
      <c r="AJ874" s="230"/>
      <c r="AK874" s="162"/>
      <c r="AL874" s="162"/>
      <c r="AM874" s="162"/>
      <c r="AN874" s="162"/>
      <c r="AO874" s="162"/>
      <c r="AP874" s="230"/>
      <c r="AQ874" s="230"/>
      <c r="AR874" s="162"/>
      <c r="AS874" s="162"/>
      <c r="AT874" s="162"/>
      <c r="AU874" s="162"/>
      <c r="AV874" s="162"/>
      <c r="AW874" s="230"/>
      <c r="AX874" s="230"/>
      <c r="AY874" s="162"/>
      <c r="AZ874" s="162"/>
      <c r="BA874" s="162"/>
      <c r="BB874" s="162"/>
      <c r="BC874" s="162"/>
      <c r="BD874" s="230"/>
      <c r="BE874" s="230"/>
      <c r="BF874" s="162"/>
      <c r="BG874" s="162"/>
      <c r="BH874" s="162"/>
      <c r="BI874" s="162"/>
      <c r="BJ874" s="162"/>
      <c r="BK874" s="230"/>
      <c r="BL874" s="230"/>
      <c r="BM874" s="162"/>
      <c r="BN874" s="162"/>
      <c r="BO874" s="162"/>
      <c r="BP874" s="162"/>
      <c r="BQ874" s="162"/>
      <c r="BR874" s="230"/>
      <c r="BS874" s="230"/>
      <c r="BT874" s="162"/>
      <c r="BU874" s="162"/>
      <c r="BV874" s="162"/>
      <c r="BW874" s="162"/>
      <c r="BX874" s="162"/>
      <c r="BY874" s="230"/>
      <c r="BZ874" s="230"/>
      <c r="CA874" s="162"/>
      <c r="CB874" s="162"/>
      <c r="CC874" s="162"/>
      <c r="CD874" s="162"/>
      <c r="CE874" s="162"/>
      <c r="CF874" s="230"/>
      <c r="CG874" s="230"/>
      <c r="CH874" s="162"/>
      <c r="CI874" s="162"/>
      <c r="CJ874" s="162"/>
      <c r="CK874" s="162"/>
      <c r="CL874" s="162"/>
      <c r="CM874" s="230"/>
      <c r="CN874" s="230"/>
      <c r="CO874" s="162"/>
      <c r="CP874" s="162"/>
      <c r="CQ874" s="162"/>
      <c r="CR874" s="162"/>
      <c r="CS874" s="162"/>
      <c r="CT874" s="230"/>
      <c r="CU874" s="230"/>
      <c r="CV874" s="162"/>
      <c r="CW874" s="162"/>
      <c r="CX874" s="162"/>
      <c r="CY874" s="162"/>
      <c r="CZ874" s="162"/>
      <c r="DA874" s="230"/>
      <c r="DB874" s="230"/>
      <c r="DC874" s="162"/>
      <c r="DD874" s="162"/>
      <c r="DE874" s="162"/>
      <c r="DF874" s="162"/>
      <c r="DG874" s="162"/>
      <c r="DH874" s="230"/>
      <c r="DI874" s="230"/>
      <c r="DJ874" s="162"/>
      <c r="DK874" s="162"/>
      <c r="DL874" s="147"/>
      <c r="DM874" s="147"/>
      <c r="DN874" s="147"/>
      <c r="DO874" s="147"/>
      <c r="DP874" s="147"/>
      <c r="DQ874" s="147"/>
      <c r="DR874" s="147"/>
      <c r="DS874" s="147"/>
      <c r="DT874" s="147"/>
      <c r="DU874" s="147"/>
      <c r="DV874" s="147"/>
      <c r="DW874" s="147"/>
      <c r="DX874" s="147"/>
      <c r="DY874" s="147"/>
      <c r="DZ874" s="147"/>
      <c r="EA874" s="147"/>
      <c r="EB874" s="147"/>
      <c r="EC874" s="147"/>
      <c r="ED874" s="147"/>
      <c r="EE874" s="147"/>
      <c r="EF874" s="147"/>
      <c r="EG874" s="147"/>
      <c r="EH874" s="147"/>
    </row>
    <row r="875" spans="1:138" x14ac:dyDescent="0.25">
      <c r="A875" s="147"/>
      <c r="B875" s="147"/>
      <c r="C875" s="160"/>
      <c r="D875" s="160"/>
      <c r="E875" s="169"/>
      <c r="F875" s="229"/>
      <c r="G875" s="165"/>
      <c r="H875" s="165"/>
      <c r="I875" s="163"/>
      <c r="J875" s="163"/>
      <c r="K875" s="162"/>
      <c r="L875" s="162"/>
      <c r="M875" s="162"/>
      <c r="N875" s="230"/>
      <c r="O875" s="230"/>
      <c r="P875" s="162"/>
      <c r="Q875" s="162"/>
      <c r="R875" s="162"/>
      <c r="S875" s="162"/>
      <c r="T875" s="162"/>
      <c r="U875" s="230"/>
      <c r="V875" s="230"/>
      <c r="W875" s="162"/>
      <c r="X875" s="162"/>
      <c r="Y875" s="162"/>
      <c r="Z875" s="162"/>
      <c r="AA875" s="162"/>
      <c r="AB875" s="230"/>
      <c r="AC875" s="230"/>
      <c r="AD875" s="162"/>
      <c r="AE875" s="162"/>
      <c r="AF875" s="162"/>
      <c r="AG875" s="162"/>
      <c r="AH875" s="162"/>
      <c r="AI875" s="230"/>
      <c r="AJ875" s="230"/>
      <c r="AK875" s="162"/>
      <c r="AL875" s="162"/>
      <c r="AM875" s="162"/>
      <c r="AN875" s="162"/>
      <c r="AO875" s="162"/>
      <c r="AP875" s="230"/>
      <c r="AQ875" s="230"/>
      <c r="AR875" s="162"/>
      <c r="AS875" s="162"/>
      <c r="AT875" s="162"/>
      <c r="AU875" s="162"/>
      <c r="AV875" s="162"/>
      <c r="AW875" s="230"/>
      <c r="AX875" s="230"/>
      <c r="AY875" s="162"/>
      <c r="AZ875" s="162"/>
      <c r="BA875" s="162"/>
      <c r="BB875" s="162"/>
      <c r="BC875" s="162"/>
      <c r="BD875" s="230"/>
      <c r="BE875" s="230"/>
      <c r="BF875" s="162"/>
      <c r="BG875" s="162"/>
      <c r="BH875" s="162"/>
      <c r="BI875" s="162"/>
      <c r="BJ875" s="162"/>
      <c r="BK875" s="230"/>
      <c r="BL875" s="230"/>
      <c r="BM875" s="162"/>
      <c r="BN875" s="162"/>
      <c r="BO875" s="162"/>
      <c r="BP875" s="162"/>
      <c r="BQ875" s="162"/>
      <c r="BR875" s="230"/>
      <c r="BS875" s="230"/>
      <c r="BT875" s="162"/>
      <c r="BU875" s="162"/>
      <c r="BV875" s="162"/>
      <c r="BW875" s="162"/>
      <c r="BX875" s="162"/>
      <c r="BY875" s="230"/>
      <c r="BZ875" s="230"/>
      <c r="CA875" s="162"/>
      <c r="CB875" s="162"/>
      <c r="CC875" s="162"/>
      <c r="CD875" s="162"/>
      <c r="CE875" s="162"/>
      <c r="CF875" s="230"/>
      <c r="CG875" s="230"/>
      <c r="CH875" s="162"/>
      <c r="CI875" s="162"/>
      <c r="CJ875" s="162"/>
      <c r="CK875" s="162"/>
      <c r="CL875" s="162"/>
      <c r="CM875" s="230"/>
      <c r="CN875" s="230"/>
      <c r="CO875" s="162"/>
      <c r="CP875" s="162"/>
      <c r="CQ875" s="162"/>
      <c r="CR875" s="162"/>
      <c r="CS875" s="162"/>
      <c r="CT875" s="230"/>
      <c r="CU875" s="230"/>
      <c r="CV875" s="162"/>
      <c r="CW875" s="162"/>
      <c r="CX875" s="162"/>
      <c r="CY875" s="162"/>
      <c r="CZ875" s="162"/>
      <c r="DA875" s="230"/>
      <c r="DB875" s="230"/>
      <c r="DC875" s="162"/>
      <c r="DD875" s="162"/>
      <c r="DE875" s="162"/>
      <c r="DF875" s="162"/>
      <c r="DG875" s="162"/>
      <c r="DH875" s="230"/>
      <c r="DI875" s="230"/>
      <c r="DJ875" s="162"/>
      <c r="DK875" s="162"/>
      <c r="DL875" s="147"/>
      <c r="DM875" s="147"/>
      <c r="DN875" s="147"/>
      <c r="DO875" s="147"/>
      <c r="DP875" s="147"/>
      <c r="DQ875" s="147"/>
      <c r="DR875" s="147"/>
      <c r="DS875" s="147"/>
      <c r="DT875" s="147"/>
      <c r="DU875" s="147"/>
      <c r="DV875" s="147"/>
      <c r="DW875" s="147"/>
      <c r="DX875" s="147"/>
      <c r="DY875" s="147"/>
      <c r="DZ875" s="147"/>
      <c r="EA875" s="147"/>
      <c r="EB875" s="147"/>
      <c r="EC875" s="147"/>
      <c r="ED875" s="147"/>
      <c r="EE875" s="147"/>
      <c r="EF875" s="147"/>
      <c r="EG875" s="147"/>
      <c r="EH875" s="147"/>
    </row>
    <row r="876" spans="1:138" x14ac:dyDescent="0.25">
      <c r="A876" s="147"/>
      <c r="B876" s="147"/>
      <c r="C876" s="160"/>
      <c r="D876" s="160"/>
      <c r="E876" s="169"/>
      <c r="F876" s="229"/>
      <c r="G876" s="165"/>
      <c r="H876" s="165"/>
      <c r="I876" s="163"/>
      <c r="J876" s="163"/>
      <c r="K876" s="162"/>
      <c r="L876" s="162"/>
      <c r="M876" s="162"/>
      <c r="N876" s="230"/>
      <c r="O876" s="230"/>
      <c r="P876" s="162"/>
      <c r="Q876" s="162"/>
      <c r="R876" s="162"/>
      <c r="S876" s="162"/>
      <c r="T876" s="162"/>
      <c r="U876" s="230"/>
      <c r="V876" s="230"/>
      <c r="W876" s="162"/>
      <c r="X876" s="162"/>
      <c r="Y876" s="162"/>
      <c r="Z876" s="162"/>
      <c r="AA876" s="162"/>
      <c r="AB876" s="230"/>
      <c r="AC876" s="230"/>
      <c r="AD876" s="162"/>
      <c r="AE876" s="162"/>
      <c r="AF876" s="162"/>
      <c r="AG876" s="162"/>
      <c r="AH876" s="162"/>
      <c r="AI876" s="230"/>
      <c r="AJ876" s="230"/>
      <c r="AK876" s="162"/>
      <c r="AL876" s="162"/>
      <c r="AM876" s="162"/>
      <c r="AN876" s="162"/>
      <c r="AO876" s="162"/>
      <c r="AP876" s="230"/>
      <c r="AQ876" s="230"/>
      <c r="AR876" s="162"/>
      <c r="AS876" s="162"/>
      <c r="AT876" s="162"/>
      <c r="AU876" s="162"/>
      <c r="AV876" s="162"/>
      <c r="AW876" s="230"/>
      <c r="AX876" s="230"/>
      <c r="AY876" s="162"/>
      <c r="AZ876" s="162"/>
      <c r="BA876" s="162"/>
      <c r="BB876" s="162"/>
      <c r="BC876" s="162"/>
      <c r="BD876" s="230"/>
      <c r="BE876" s="230"/>
      <c r="BF876" s="162"/>
      <c r="BG876" s="162"/>
      <c r="BH876" s="162"/>
      <c r="BI876" s="162"/>
      <c r="BJ876" s="162"/>
      <c r="BK876" s="230"/>
      <c r="BL876" s="230"/>
      <c r="BM876" s="162"/>
      <c r="BN876" s="162"/>
      <c r="BO876" s="162"/>
      <c r="BP876" s="162"/>
      <c r="BQ876" s="162"/>
      <c r="BR876" s="230"/>
      <c r="BS876" s="230"/>
      <c r="BT876" s="162"/>
      <c r="BU876" s="162"/>
      <c r="BV876" s="162"/>
      <c r="BW876" s="162"/>
      <c r="BX876" s="162"/>
      <c r="BY876" s="230"/>
      <c r="BZ876" s="230"/>
      <c r="CA876" s="162"/>
      <c r="CB876" s="162"/>
      <c r="CC876" s="162"/>
      <c r="CD876" s="162"/>
      <c r="CE876" s="162"/>
      <c r="CF876" s="230"/>
      <c r="CG876" s="230"/>
      <c r="CH876" s="162"/>
      <c r="CI876" s="162"/>
      <c r="CJ876" s="162"/>
      <c r="CK876" s="162"/>
      <c r="CL876" s="162"/>
      <c r="CM876" s="230"/>
      <c r="CN876" s="230"/>
      <c r="CO876" s="162"/>
      <c r="CP876" s="162"/>
      <c r="CQ876" s="162"/>
      <c r="CR876" s="162"/>
      <c r="CS876" s="162"/>
      <c r="CT876" s="230"/>
      <c r="CU876" s="230"/>
      <c r="CV876" s="162"/>
      <c r="CW876" s="162"/>
      <c r="CX876" s="162"/>
      <c r="CY876" s="162"/>
      <c r="CZ876" s="162"/>
      <c r="DA876" s="230"/>
      <c r="DB876" s="230"/>
      <c r="DC876" s="162"/>
      <c r="DD876" s="162"/>
      <c r="DE876" s="162"/>
      <c r="DF876" s="162"/>
      <c r="DG876" s="162"/>
      <c r="DH876" s="230"/>
      <c r="DI876" s="230"/>
      <c r="DJ876" s="162"/>
      <c r="DK876" s="162"/>
      <c r="DL876" s="147"/>
      <c r="DM876" s="147"/>
      <c r="DN876" s="147"/>
      <c r="DO876" s="147"/>
      <c r="DP876" s="147"/>
      <c r="DQ876" s="147"/>
      <c r="DR876" s="147"/>
      <c r="DS876" s="147"/>
      <c r="DT876" s="147"/>
      <c r="DU876" s="147"/>
      <c r="DV876" s="147"/>
      <c r="DW876" s="147"/>
      <c r="DX876" s="147"/>
      <c r="DY876" s="147"/>
      <c r="DZ876" s="147"/>
      <c r="EA876" s="147"/>
      <c r="EB876" s="147"/>
      <c r="EC876" s="147"/>
      <c r="ED876" s="147"/>
      <c r="EE876" s="147"/>
      <c r="EF876" s="147"/>
      <c r="EG876" s="147"/>
      <c r="EH876" s="147"/>
    </row>
    <row r="877" spans="1:138" x14ac:dyDescent="0.25">
      <c r="A877" s="147"/>
      <c r="B877" s="147"/>
      <c r="C877" s="160"/>
      <c r="D877" s="160"/>
      <c r="E877" s="169"/>
      <c r="F877" s="229"/>
      <c r="G877" s="165"/>
      <c r="H877" s="165"/>
      <c r="I877" s="163"/>
      <c r="J877" s="163"/>
      <c r="K877" s="162"/>
      <c r="L877" s="162"/>
      <c r="M877" s="162"/>
      <c r="N877" s="230"/>
      <c r="O877" s="230"/>
      <c r="P877" s="162"/>
      <c r="Q877" s="162"/>
      <c r="R877" s="162"/>
      <c r="S877" s="162"/>
      <c r="T877" s="162"/>
      <c r="U877" s="230"/>
      <c r="V877" s="230"/>
      <c r="W877" s="162"/>
      <c r="X877" s="162"/>
      <c r="Y877" s="162"/>
      <c r="Z877" s="162"/>
      <c r="AA877" s="162"/>
      <c r="AB877" s="230"/>
      <c r="AC877" s="230"/>
      <c r="AD877" s="162"/>
      <c r="AE877" s="162"/>
      <c r="AF877" s="162"/>
      <c r="AG877" s="162"/>
      <c r="AH877" s="162"/>
      <c r="AI877" s="230"/>
      <c r="AJ877" s="230"/>
      <c r="AK877" s="162"/>
      <c r="AL877" s="162"/>
      <c r="AM877" s="162"/>
      <c r="AN877" s="162"/>
      <c r="AO877" s="162"/>
      <c r="AP877" s="230"/>
      <c r="AQ877" s="230"/>
      <c r="AR877" s="162"/>
      <c r="AS877" s="162"/>
      <c r="AT877" s="162"/>
      <c r="AU877" s="162"/>
      <c r="AV877" s="162"/>
      <c r="AW877" s="230"/>
      <c r="AX877" s="230"/>
      <c r="AY877" s="162"/>
      <c r="AZ877" s="162"/>
      <c r="BA877" s="162"/>
      <c r="BB877" s="162"/>
      <c r="BC877" s="162"/>
      <c r="BD877" s="230"/>
      <c r="BE877" s="230"/>
      <c r="BF877" s="162"/>
      <c r="BG877" s="162"/>
      <c r="BH877" s="162"/>
      <c r="BI877" s="162"/>
      <c r="BJ877" s="162"/>
      <c r="BK877" s="230"/>
      <c r="BL877" s="230"/>
      <c r="BM877" s="162"/>
      <c r="BN877" s="162"/>
      <c r="BO877" s="162"/>
      <c r="BP877" s="162"/>
      <c r="BQ877" s="162"/>
      <c r="BR877" s="230"/>
      <c r="BS877" s="230"/>
      <c r="BT877" s="162"/>
      <c r="BU877" s="162"/>
      <c r="BV877" s="162"/>
      <c r="BW877" s="162"/>
      <c r="BX877" s="162"/>
      <c r="BY877" s="230"/>
      <c r="BZ877" s="230"/>
      <c r="CA877" s="162"/>
      <c r="CB877" s="162"/>
      <c r="CC877" s="162"/>
      <c r="CD877" s="162"/>
      <c r="CE877" s="162"/>
      <c r="CF877" s="230"/>
      <c r="CG877" s="230"/>
      <c r="CH877" s="162"/>
      <c r="CI877" s="162"/>
      <c r="CJ877" s="162"/>
      <c r="CK877" s="162"/>
      <c r="CL877" s="162"/>
      <c r="CM877" s="230"/>
      <c r="CN877" s="230"/>
      <c r="CO877" s="162"/>
      <c r="CP877" s="162"/>
      <c r="CQ877" s="162"/>
      <c r="CR877" s="162"/>
      <c r="CS877" s="162"/>
      <c r="CT877" s="230"/>
      <c r="CU877" s="230"/>
      <c r="CV877" s="162"/>
      <c r="CW877" s="162"/>
      <c r="CX877" s="162"/>
      <c r="CY877" s="162"/>
      <c r="CZ877" s="162"/>
      <c r="DA877" s="230"/>
      <c r="DB877" s="230"/>
      <c r="DC877" s="162"/>
      <c r="DD877" s="162"/>
      <c r="DE877" s="162"/>
      <c r="DF877" s="162"/>
      <c r="DG877" s="162"/>
      <c r="DH877" s="230"/>
      <c r="DI877" s="230"/>
      <c r="DJ877" s="162"/>
      <c r="DK877" s="162"/>
      <c r="DL877" s="147"/>
      <c r="DM877" s="147"/>
      <c r="DN877" s="147"/>
      <c r="DO877" s="147"/>
      <c r="DP877" s="147"/>
      <c r="DQ877" s="147"/>
      <c r="DR877" s="147"/>
      <c r="DS877" s="147"/>
      <c r="DT877" s="147"/>
      <c r="DU877" s="147"/>
      <c r="DV877" s="147"/>
      <c r="DW877" s="147"/>
      <c r="DX877" s="147"/>
      <c r="DY877" s="147"/>
      <c r="DZ877" s="147"/>
      <c r="EA877" s="147"/>
      <c r="EB877" s="147"/>
      <c r="EC877" s="147"/>
      <c r="ED877" s="147"/>
      <c r="EE877" s="147"/>
      <c r="EF877" s="147"/>
      <c r="EG877" s="147"/>
      <c r="EH877" s="147"/>
    </row>
    <row r="878" spans="1:138" x14ac:dyDescent="0.25">
      <c r="A878" s="147"/>
      <c r="B878" s="147"/>
      <c r="C878" s="160"/>
      <c r="D878" s="160"/>
      <c r="E878" s="169"/>
      <c r="F878" s="229"/>
      <c r="G878" s="165"/>
      <c r="H878" s="165"/>
      <c r="I878" s="163"/>
      <c r="J878" s="163"/>
      <c r="K878" s="162"/>
      <c r="L878" s="162"/>
      <c r="M878" s="162"/>
      <c r="N878" s="230"/>
      <c r="O878" s="230"/>
      <c r="P878" s="162"/>
      <c r="Q878" s="162"/>
      <c r="R878" s="162"/>
      <c r="S878" s="162"/>
      <c r="T878" s="162"/>
      <c r="U878" s="230"/>
      <c r="V878" s="230"/>
      <c r="W878" s="162"/>
      <c r="X878" s="162"/>
      <c r="Y878" s="162"/>
      <c r="Z878" s="162"/>
      <c r="AA878" s="162"/>
      <c r="AB878" s="230"/>
      <c r="AC878" s="230"/>
      <c r="AD878" s="162"/>
      <c r="AE878" s="162"/>
      <c r="AF878" s="162"/>
      <c r="AG878" s="162"/>
      <c r="AH878" s="162"/>
      <c r="AI878" s="230"/>
      <c r="AJ878" s="230"/>
      <c r="AK878" s="162"/>
      <c r="AL878" s="162"/>
      <c r="AM878" s="162"/>
      <c r="AN878" s="162"/>
      <c r="AO878" s="162"/>
      <c r="AP878" s="230"/>
      <c r="AQ878" s="230"/>
      <c r="AR878" s="162"/>
      <c r="AS878" s="162"/>
      <c r="AT878" s="162"/>
      <c r="AU878" s="162"/>
      <c r="AV878" s="162"/>
      <c r="AW878" s="230"/>
      <c r="AX878" s="230"/>
      <c r="AY878" s="162"/>
      <c r="AZ878" s="162"/>
      <c r="BA878" s="162"/>
      <c r="BB878" s="162"/>
      <c r="BC878" s="162"/>
      <c r="BD878" s="230"/>
      <c r="BE878" s="230"/>
      <c r="BF878" s="162"/>
      <c r="BG878" s="162"/>
      <c r="BH878" s="162"/>
      <c r="BI878" s="162"/>
      <c r="BJ878" s="162"/>
      <c r="BK878" s="230"/>
      <c r="BL878" s="230"/>
      <c r="BM878" s="162"/>
      <c r="BN878" s="162"/>
      <c r="BO878" s="162"/>
      <c r="BP878" s="162"/>
      <c r="BQ878" s="162"/>
      <c r="BR878" s="230"/>
      <c r="BS878" s="230"/>
      <c r="BT878" s="162"/>
      <c r="BU878" s="162"/>
      <c r="BV878" s="162"/>
      <c r="BW878" s="162"/>
      <c r="BX878" s="162"/>
      <c r="BY878" s="230"/>
      <c r="BZ878" s="230"/>
      <c r="CA878" s="162"/>
      <c r="CB878" s="162"/>
      <c r="CC878" s="162"/>
      <c r="CD878" s="162"/>
      <c r="CE878" s="162"/>
      <c r="CF878" s="230"/>
      <c r="CG878" s="230"/>
      <c r="CH878" s="162"/>
      <c r="CI878" s="162"/>
      <c r="CJ878" s="162"/>
      <c r="CK878" s="162"/>
      <c r="CL878" s="162"/>
      <c r="CM878" s="230"/>
      <c r="CN878" s="230"/>
      <c r="CO878" s="162"/>
      <c r="CP878" s="162"/>
      <c r="CQ878" s="162"/>
      <c r="CR878" s="162"/>
      <c r="CS878" s="162"/>
      <c r="CT878" s="230"/>
      <c r="CU878" s="230"/>
      <c r="CV878" s="162"/>
      <c r="CW878" s="162"/>
      <c r="CX878" s="162"/>
      <c r="CY878" s="162"/>
      <c r="CZ878" s="162"/>
      <c r="DA878" s="230"/>
      <c r="DB878" s="230"/>
      <c r="DC878" s="162"/>
      <c r="DD878" s="162"/>
      <c r="DE878" s="162"/>
      <c r="DF878" s="162"/>
      <c r="DG878" s="162"/>
      <c r="DH878" s="230"/>
      <c r="DI878" s="230"/>
      <c r="DJ878" s="162"/>
      <c r="DK878" s="162"/>
      <c r="DL878" s="147"/>
      <c r="DM878" s="147"/>
      <c r="DN878" s="147"/>
      <c r="DO878" s="147"/>
      <c r="DP878" s="147"/>
      <c r="DQ878" s="147"/>
      <c r="DR878" s="147"/>
      <c r="DS878" s="147"/>
      <c r="DT878" s="147"/>
      <c r="DU878" s="147"/>
      <c r="DV878" s="147"/>
      <c r="DW878" s="147"/>
      <c r="DX878" s="147"/>
      <c r="DY878" s="147"/>
      <c r="DZ878" s="147"/>
      <c r="EA878" s="147"/>
      <c r="EB878" s="147"/>
      <c r="EC878" s="147"/>
      <c r="ED878" s="147"/>
      <c r="EE878" s="147"/>
      <c r="EF878" s="147"/>
      <c r="EG878" s="147"/>
      <c r="EH878" s="147"/>
    </row>
    <row r="879" spans="1:138" x14ac:dyDescent="0.25">
      <c r="A879" s="147"/>
      <c r="B879" s="147"/>
      <c r="C879" s="160"/>
      <c r="D879" s="160"/>
      <c r="E879" s="169"/>
      <c r="F879" s="229"/>
      <c r="G879" s="165"/>
      <c r="H879" s="165"/>
      <c r="I879" s="163"/>
      <c r="J879" s="163"/>
      <c r="K879" s="162"/>
      <c r="L879" s="162"/>
      <c r="M879" s="162"/>
      <c r="N879" s="230"/>
      <c r="O879" s="230"/>
      <c r="P879" s="162"/>
      <c r="Q879" s="162"/>
      <c r="R879" s="162"/>
      <c r="S879" s="162"/>
      <c r="T879" s="162"/>
      <c r="U879" s="230"/>
      <c r="V879" s="230"/>
      <c r="W879" s="162"/>
      <c r="X879" s="162"/>
      <c r="Y879" s="162"/>
      <c r="Z879" s="162"/>
      <c r="AA879" s="162"/>
      <c r="AB879" s="230"/>
      <c r="AC879" s="230"/>
      <c r="AD879" s="162"/>
      <c r="AE879" s="162"/>
      <c r="AF879" s="162"/>
      <c r="AG879" s="162"/>
      <c r="AH879" s="162"/>
      <c r="AI879" s="230"/>
      <c r="AJ879" s="230"/>
      <c r="AK879" s="162"/>
      <c r="AL879" s="162"/>
      <c r="AM879" s="162"/>
      <c r="AN879" s="162"/>
      <c r="AO879" s="162"/>
      <c r="AP879" s="230"/>
      <c r="AQ879" s="230"/>
      <c r="AR879" s="162"/>
      <c r="AS879" s="162"/>
      <c r="AT879" s="162"/>
      <c r="AU879" s="162"/>
      <c r="AV879" s="162"/>
      <c r="AW879" s="230"/>
      <c r="AX879" s="230"/>
      <c r="AY879" s="162"/>
      <c r="AZ879" s="162"/>
      <c r="BA879" s="162"/>
      <c r="BB879" s="162"/>
      <c r="BC879" s="162"/>
      <c r="BD879" s="230"/>
      <c r="BE879" s="230"/>
      <c r="BF879" s="162"/>
      <c r="BG879" s="162"/>
      <c r="BH879" s="162"/>
      <c r="BI879" s="162"/>
      <c r="BJ879" s="162"/>
      <c r="BK879" s="230"/>
      <c r="BL879" s="230"/>
      <c r="BM879" s="162"/>
      <c r="BN879" s="162"/>
      <c r="BO879" s="162"/>
      <c r="BP879" s="162"/>
      <c r="BQ879" s="162"/>
      <c r="BR879" s="230"/>
      <c r="BS879" s="230"/>
      <c r="BT879" s="162"/>
      <c r="BU879" s="162"/>
      <c r="BV879" s="162"/>
      <c r="BW879" s="162"/>
      <c r="BX879" s="162"/>
      <c r="BY879" s="230"/>
      <c r="BZ879" s="230"/>
      <c r="CA879" s="162"/>
      <c r="CB879" s="162"/>
      <c r="CC879" s="162"/>
      <c r="CD879" s="162"/>
      <c r="CE879" s="162"/>
      <c r="CF879" s="230"/>
      <c r="CG879" s="230"/>
      <c r="CH879" s="162"/>
      <c r="CI879" s="162"/>
      <c r="CJ879" s="162"/>
      <c r="CK879" s="162"/>
      <c r="CL879" s="162"/>
      <c r="CM879" s="230"/>
      <c r="CN879" s="230"/>
      <c r="CO879" s="162"/>
      <c r="CP879" s="162"/>
      <c r="CQ879" s="162"/>
      <c r="CR879" s="162"/>
      <c r="CS879" s="162"/>
      <c r="CT879" s="230"/>
      <c r="CU879" s="230"/>
      <c r="CV879" s="162"/>
      <c r="CW879" s="162"/>
      <c r="CX879" s="162"/>
      <c r="CY879" s="162"/>
      <c r="CZ879" s="162"/>
      <c r="DA879" s="230"/>
      <c r="DB879" s="230"/>
      <c r="DC879" s="162"/>
      <c r="DD879" s="162"/>
      <c r="DE879" s="162"/>
      <c r="DF879" s="162"/>
      <c r="DG879" s="162"/>
      <c r="DH879" s="230"/>
      <c r="DI879" s="230"/>
      <c r="DJ879" s="162"/>
      <c r="DK879" s="162"/>
      <c r="DL879" s="147"/>
      <c r="DM879" s="147"/>
      <c r="DN879" s="147"/>
      <c r="DO879" s="147"/>
      <c r="DP879" s="147"/>
      <c r="DQ879" s="147"/>
      <c r="DR879" s="147"/>
      <c r="DS879" s="147"/>
      <c r="DT879" s="147"/>
      <c r="DU879" s="147"/>
      <c r="DV879" s="147"/>
      <c r="DW879" s="147"/>
      <c r="DX879" s="147"/>
      <c r="DY879" s="147"/>
      <c r="DZ879" s="147"/>
      <c r="EA879" s="147"/>
      <c r="EB879" s="147"/>
      <c r="EC879" s="147"/>
      <c r="ED879" s="147"/>
      <c r="EE879" s="147"/>
      <c r="EF879" s="147"/>
      <c r="EG879" s="147"/>
      <c r="EH879" s="147"/>
    </row>
    <row r="880" spans="1:138" x14ac:dyDescent="0.25">
      <c r="A880" s="147"/>
      <c r="B880" s="147"/>
      <c r="C880" s="160"/>
      <c r="D880" s="160"/>
      <c r="E880" s="169"/>
      <c r="F880" s="229"/>
      <c r="G880" s="165"/>
      <c r="H880" s="165"/>
      <c r="I880" s="163"/>
      <c r="J880" s="163"/>
      <c r="K880" s="162"/>
      <c r="L880" s="162"/>
      <c r="M880" s="162"/>
      <c r="N880" s="230"/>
      <c r="O880" s="230"/>
      <c r="P880" s="162"/>
      <c r="Q880" s="162"/>
      <c r="R880" s="162"/>
      <c r="S880" s="162"/>
      <c r="T880" s="162"/>
      <c r="U880" s="230"/>
      <c r="V880" s="230"/>
      <c r="W880" s="162"/>
      <c r="X880" s="162"/>
      <c r="Y880" s="162"/>
      <c r="Z880" s="162"/>
      <c r="AA880" s="162"/>
      <c r="AB880" s="230"/>
      <c r="AC880" s="230"/>
      <c r="AD880" s="162"/>
      <c r="AE880" s="162"/>
      <c r="AF880" s="162"/>
      <c r="AG880" s="162"/>
      <c r="AH880" s="162"/>
      <c r="AI880" s="230"/>
      <c r="AJ880" s="230"/>
      <c r="AK880" s="162"/>
      <c r="AL880" s="162"/>
      <c r="AM880" s="162"/>
      <c r="AN880" s="162"/>
      <c r="AO880" s="162"/>
      <c r="AP880" s="230"/>
      <c r="AQ880" s="230"/>
      <c r="AR880" s="162"/>
      <c r="AS880" s="162"/>
      <c r="AT880" s="162"/>
      <c r="AU880" s="162"/>
      <c r="AV880" s="162"/>
      <c r="AW880" s="230"/>
      <c r="AX880" s="230"/>
      <c r="AY880" s="162"/>
      <c r="AZ880" s="162"/>
      <c r="BA880" s="162"/>
      <c r="BB880" s="162"/>
      <c r="BC880" s="162"/>
      <c r="BD880" s="230"/>
      <c r="BE880" s="230"/>
      <c r="BF880" s="162"/>
      <c r="BG880" s="162"/>
      <c r="BH880" s="162"/>
      <c r="BI880" s="162"/>
      <c r="BJ880" s="162"/>
      <c r="BK880" s="230"/>
      <c r="BL880" s="230"/>
      <c r="BM880" s="162"/>
      <c r="BN880" s="162"/>
      <c r="BO880" s="162"/>
      <c r="BP880" s="162"/>
      <c r="BQ880" s="162"/>
      <c r="BR880" s="230"/>
      <c r="BS880" s="230"/>
      <c r="BT880" s="162"/>
      <c r="BU880" s="162"/>
      <c r="BV880" s="162"/>
      <c r="BW880" s="162"/>
      <c r="BX880" s="162"/>
      <c r="BY880" s="230"/>
      <c r="BZ880" s="230"/>
      <c r="CA880" s="162"/>
      <c r="CB880" s="162"/>
      <c r="CC880" s="162"/>
      <c r="CD880" s="162"/>
      <c r="CE880" s="162"/>
      <c r="CF880" s="230"/>
      <c r="CG880" s="230"/>
      <c r="CH880" s="162"/>
      <c r="CI880" s="162"/>
      <c r="CJ880" s="162"/>
      <c r="CK880" s="162"/>
      <c r="CL880" s="162"/>
      <c r="CM880" s="230"/>
      <c r="CN880" s="230"/>
      <c r="CO880" s="162"/>
      <c r="CP880" s="162"/>
      <c r="CQ880" s="162"/>
      <c r="CR880" s="162"/>
      <c r="CS880" s="162"/>
      <c r="CT880" s="230"/>
      <c r="CU880" s="230"/>
      <c r="CV880" s="162"/>
      <c r="CW880" s="162"/>
      <c r="CX880" s="162"/>
      <c r="CY880" s="162"/>
      <c r="CZ880" s="162"/>
      <c r="DA880" s="230"/>
      <c r="DB880" s="230"/>
      <c r="DC880" s="162"/>
      <c r="DD880" s="162"/>
      <c r="DE880" s="162"/>
      <c r="DF880" s="162"/>
      <c r="DG880" s="162"/>
      <c r="DH880" s="230"/>
      <c r="DI880" s="230"/>
      <c r="DJ880" s="162"/>
      <c r="DK880" s="162"/>
      <c r="DL880" s="147"/>
      <c r="DM880" s="147"/>
      <c r="DN880" s="147"/>
      <c r="DO880" s="147"/>
      <c r="DP880" s="147"/>
      <c r="DQ880" s="147"/>
      <c r="DR880" s="147"/>
      <c r="DS880" s="147"/>
      <c r="DT880" s="147"/>
      <c r="DU880" s="147"/>
      <c r="DV880" s="147"/>
      <c r="DW880" s="147"/>
      <c r="DX880" s="147"/>
      <c r="DY880" s="147"/>
      <c r="DZ880" s="147"/>
      <c r="EA880" s="147"/>
      <c r="EB880" s="147"/>
      <c r="EC880" s="147"/>
      <c r="ED880" s="147"/>
      <c r="EE880" s="147"/>
      <c r="EF880" s="147"/>
      <c r="EG880" s="147"/>
      <c r="EH880" s="147"/>
    </row>
    <row r="881" spans="1:138" x14ac:dyDescent="0.25">
      <c r="A881" s="147"/>
      <c r="B881" s="147"/>
      <c r="C881" s="160"/>
      <c r="D881" s="160"/>
      <c r="E881" s="169"/>
      <c r="F881" s="229"/>
      <c r="G881" s="165"/>
      <c r="H881" s="165"/>
      <c r="I881" s="163"/>
      <c r="J881" s="163"/>
      <c r="K881" s="162"/>
      <c r="L881" s="162"/>
      <c r="M881" s="162"/>
      <c r="N881" s="230"/>
      <c r="O881" s="230"/>
      <c r="P881" s="162"/>
      <c r="Q881" s="162"/>
      <c r="R881" s="162"/>
      <c r="S881" s="162"/>
      <c r="T881" s="162"/>
      <c r="U881" s="230"/>
      <c r="V881" s="230"/>
      <c r="W881" s="162"/>
      <c r="X881" s="162"/>
      <c r="Y881" s="162"/>
      <c r="Z881" s="162"/>
      <c r="AA881" s="162"/>
      <c r="AB881" s="230"/>
      <c r="AC881" s="230"/>
      <c r="AD881" s="162"/>
      <c r="AE881" s="162"/>
      <c r="AF881" s="162"/>
      <c r="AG881" s="162"/>
      <c r="AH881" s="162"/>
      <c r="AI881" s="230"/>
      <c r="AJ881" s="230"/>
      <c r="AK881" s="162"/>
      <c r="AL881" s="162"/>
      <c r="AM881" s="162"/>
      <c r="AN881" s="162"/>
      <c r="AO881" s="162"/>
      <c r="AP881" s="230"/>
      <c r="AQ881" s="230"/>
      <c r="AR881" s="162"/>
      <c r="AS881" s="162"/>
      <c r="AT881" s="162"/>
      <c r="AU881" s="162"/>
      <c r="AV881" s="162"/>
      <c r="AW881" s="230"/>
      <c r="AX881" s="230"/>
      <c r="AY881" s="162"/>
      <c r="AZ881" s="162"/>
      <c r="BA881" s="162"/>
      <c r="BB881" s="162"/>
      <c r="BC881" s="162"/>
      <c r="BD881" s="230"/>
      <c r="BE881" s="230"/>
      <c r="BF881" s="162"/>
      <c r="BG881" s="162"/>
      <c r="BH881" s="162"/>
      <c r="BI881" s="162"/>
      <c r="BJ881" s="162"/>
      <c r="BK881" s="230"/>
      <c r="BL881" s="230"/>
      <c r="BM881" s="162"/>
      <c r="BN881" s="162"/>
      <c r="BO881" s="162"/>
      <c r="BP881" s="162"/>
      <c r="BQ881" s="162"/>
      <c r="BR881" s="230"/>
      <c r="BS881" s="230"/>
      <c r="BT881" s="162"/>
      <c r="BU881" s="162"/>
      <c r="BV881" s="162"/>
      <c r="BW881" s="162"/>
      <c r="BX881" s="162"/>
      <c r="BY881" s="230"/>
      <c r="BZ881" s="230"/>
      <c r="CA881" s="162"/>
      <c r="CB881" s="162"/>
      <c r="CC881" s="162"/>
      <c r="CD881" s="162"/>
      <c r="CE881" s="162"/>
      <c r="CF881" s="230"/>
      <c r="CG881" s="230"/>
      <c r="CH881" s="162"/>
      <c r="CI881" s="162"/>
      <c r="CJ881" s="162"/>
      <c r="CK881" s="162"/>
      <c r="CL881" s="162"/>
      <c r="CM881" s="230"/>
      <c r="CN881" s="230"/>
      <c r="CO881" s="162"/>
      <c r="CP881" s="162"/>
      <c r="CQ881" s="162"/>
      <c r="CR881" s="162"/>
      <c r="CS881" s="162"/>
      <c r="CT881" s="230"/>
      <c r="CU881" s="230"/>
      <c r="CV881" s="162"/>
      <c r="CW881" s="162"/>
      <c r="CX881" s="162"/>
      <c r="CY881" s="162"/>
      <c r="CZ881" s="162"/>
      <c r="DA881" s="230"/>
      <c r="DB881" s="230"/>
      <c r="DC881" s="162"/>
      <c r="DD881" s="162"/>
      <c r="DE881" s="162"/>
      <c r="DF881" s="162"/>
      <c r="DG881" s="162"/>
      <c r="DH881" s="230"/>
      <c r="DI881" s="230"/>
      <c r="DJ881" s="162"/>
      <c r="DK881" s="162"/>
      <c r="DL881" s="147"/>
      <c r="DM881" s="147"/>
      <c r="DN881" s="147"/>
      <c r="DO881" s="147"/>
      <c r="DP881" s="147"/>
      <c r="DQ881" s="147"/>
      <c r="DR881" s="147"/>
      <c r="DS881" s="147"/>
      <c r="DT881" s="147"/>
      <c r="DU881" s="147"/>
      <c r="DV881" s="147"/>
      <c r="DW881" s="147"/>
      <c r="DX881" s="147"/>
      <c r="DY881" s="147"/>
      <c r="DZ881" s="147"/>
      <c r="EA881" s="147"/>
      <c r="EB881" s="147"/>
      <c r="EC881" s="147"/>
      <c r="ED881" s="147"/>
      <c r="EE881" s="147"/>
      <c r="EF881" s="147"/>
      <c r="EG881" s="147"/>
      <c r="EH881" s="147"/>
    </row>
    <row r="882" spans="1:138" x14ac:dyDescent="0.25">
      <c r="A882" s="147"/>
      <c r="B882" s="147"/>
      <c r="C882" s="160"/>
      <c r="D882" s="160"/>
      <c r="E882" s="169"/>
      <c r="F882" s="229"/>
      <c r="G882" s="165"/>
      <c r="H882" s="165"/>
      <c r="I882" s="163"/>
      <c r="J882" s="163"/>
      <c r="K882" s="162"/>
      <c r="L882" s="162"/>
      <c r="M882" s="162"/>
      <c r="N882" s="230"/>
      <c r="O882" s="230"/>
      <c r="P882" s="162"/>
      <c r="Q882" s="162"/>
      <c r="R882" s="162"/>
      <c r="S882" s="162"/>
      <c r="T882" s="162"/>
      <c r="U882" s="230"/>
      <c r="V882" s="230"/>
      <c r="W882" s="162"/>
      <c r="X882" s="162"/>
      <c r="Y882" s="162"/>
      <c r="Z882" s="162"/>
      <c r="AA882" s="162"/>
      <c r="AB882" s="230"/>
      <c r="AC882" s="230"/>
      <c r="AD882" s="162"/>
      <c r="AE882" s="162"/>
      <c r="AF882" s="162"/>
      <c r="AG882" s="162"/>
      <c r="AH882" s="162"/>
      <c r="AI882" s="230"/>
      <c r="AJ882" s="230"/>
      <c r="AK882" s="162"/>
      <c r="AL882" s="162"/>
      <c r="AM882" s="162"/>
      <c r="AN882" s="162"/>
      <c r="AO882" s="162"/>
      <c r="AP882" s="230"/>
      <c r="AQ882" s="230"/>
      <c r="AR882" s="162"/>
      <c r="AS882" s="162"/>
      <c r="AT882" s="162"/>
      <c r="AU882" s="162"/>
      <c r="AV882" s="162"/>
      <c r="AW882" s="230"/>
      <c r="AX882" s="230"/>
      <c r="AY882" s="162"/>
      <c r="AZ882" s="162"/>
      <c r="BA882" s="162"/>
      <c r="BB882" s="162"/>
      <c r="BC882" s="162"/>
      <c r="BD882" s="230"/>
      <c r="BE882" s="230"/>
      <c r="BF882" s="162"/>
      <c r="BG882" s="162"/>
      <c r="BH882" s="162"/>
      <c r="BI882" s="162"/>
      <c r="BJ882" s="162"/>
      <c r="BK882" s="230"/>
      <c r="BL882" s="230"/>
      <c r="BM882" s="162"/>
      <c r="BN882" s="162"/>
      <c r="BO882" s="162"/>
      <c r="BP882" s="162"/>
      <c r="BQ882" s="162"/>
      <c r="BR882" s="230"/>
      <c r="BS882" s="230"/>
      <c r="BT882" s="162"/>
      <c r="BU882" s="162"/>
      <c r="BV882" s="162"/>
      <c r="BW882" s="162"/>
      <c r="BX882" s="162"/>
      <c r="BY882" s="230"/>
      <c r="BZ882" s="230"/>
      <c r="CA882" s="162"/>
      <c r="CB882" s="162"/>
      <c r="CC882" s="162"/>
      <c r="CD882" s="162"/>
      <c r="CE882" s="162"/>
      <c r="CF882" s="230"/>
      <c r="CG882" s="230"/>
      <c r="CH882" s="162"/>
      <c r="CI882" s="162"/>
      <c r="CJ882" s="162"/>
      <c r="CK882" s="162"/>
      <c r="CL882" s="162"/>
      <c r="CM882" s="230"/>
      <c r="CN882" s="230"/>
      <c r="CO882" s="162"/>
      <c r="CP882" s="162"/>
      <c r="CQ882" s="162"/>
      <c r="CR882" s="162"/>
      <c r="CS882" s="162"/>
      <c r="CT882" s="230"/>
      <c r="CU882" s="230"/>
      <c r="CV882" s="162"/>
      <c r="CW882" s="162"/>
      <c r="CX882" s="162"/>
      <c r="CY882" s="162"/>
      <c r="CZ882" s="162"/>
      <c r="DA882" s="230"/>
      <c r="DB882" s="230"/>
      <c r="DC882" s="162"/>
      <c r="DD882" s="162"/>
      <c r="DE882" s="162"/>
      <c r="DF882" s="162"/>
      <c r="DG882" s="162"/>
      <c r="DH882" s="230"/>
      <c r="DI882" s="230"/>
      <c r="DJ882" s="162"/>
      <c r="DK882" s="162"/>
      <c r="DL882" s="147"/>
      <c r="DM882" s="147"/>
      <c r="DN882" s="147"/>
      <c r="DO882" s="147"/>
      <c r="DP882" s="147"/>
      <c r="DQ882" s="147"/>
      <c r="DR882" s="147"/>
      <c r="DS882" s="147"/>
      <c r="DT882" s="147"/>
      <c r="DU882" s="147"/>
      <c r="DV882" s="147"/>
      <c r="DW882" s="147"/>
      <c r="DX882" s="147"/>
      <c r="DY882" s="147"/>
      <c r="DZ882" s="147"/>
      <c r="EA882" s="147"/>
      <c r="EB882" s="147"/>
      <c r="EC882" s="147"/>
      <c r="ED882" s="147"/>
      <c r="EE882" s="147"/>
      <c r="EF882" s="147"/>
      <c r="EG882" s="147"/>
      <c r="EH882" s="147"/>
    </row>
    <row r="883" spans="1:138" x14ac:dyDescent="0.25">
      <c r="A883" s="147"/>
      <c r="B883" s="147"/>
      <c r="C883" s="160"/>
      <c r="D883" s="160"/>
      <c r="E883" s="169"/>
      <c r="F883" s="229"/>
      <c r="G883" s="165"/>
      <c r="H883" s="165"/>
      <c r="I883" s="163"/>
      <c r="J883" s="163"/>
      <c r="K883" s="162"/>
      <c r="L883" s="162"/>
      <c r="M883" s="162"/>
      <c r="N883" s="230"/>
      <c r="O883" s="230"/>
      <c r="P883" s="162"/>
      <c r="Q883" s="162"/>
      <c r="R883" s="162"/>
      <c r="S883" s="162"/>
      <c r="T883" s="162"/>
      <c r="U883" s="230"/>
      <c r="V883" s="230"/>
      <c r="W883" s="162"/>
      <c r="X883" s="162"/>
      <c r="Y883" s="162"/>
      <c r="Z883" s="162"/>
      <c r="AA883" s="162"/>
      <c r="AB883" s="230"/>
      <c r="AC883" s="230"/>
      <c r="AD883" s="162"/>
      <c r="AE883" s="162"/>
      <c r="AF883" s="162"/>
      <c r="AG883" s="162"/>
      <c r="AH883" s="162"/>
      <c r="AI883" s="230"/>
      <c r="AJ883" s="230"/>
      <c r="AK883" s="162"/>
      <c r="AL883" s="162"/>
      <c r="AM883" s="162"/>
      <c r="AN883" s="162"/>
      <c r="AO883" s="162"/>
      <c r="AP883" s="230"/>
      <c r="AQ883" s="230"/>
      <c r="AR883" s="162"/>
      <c r="AS883" s="162"/>
      <c r="AT883" s="162"/>
      <c r="AU883" s="162"/>
      <c r="AV883" s="162"/>
      <c r="AW883" s="230"/>
      <c r="AX883" s="230"/>
      <c r="AY883" s="162"/>
      <c r="AZ883" s="162"/>
      <c r="BA883" s="162"/>
      <c r="BB883" s="162"/>
      <c r="BC883" s="162"/>
      <c r="BD883" s="230"/>
      <c r="BE883" s="230"/>
      <c r="BF883" s="162"/>
      <c r="BG883" s="162"/>
      <c r="BH883" s="162"/>
      <c r="BI883" s="162"/>
      <c r="BJ883" s="162"/>
      <c r="BK883" s="230"/>
      <c r="BL883" s="230"/>
      <c r="BM883" s="162"/>
      <c r="BN883" s="162"/>
      <c r="BO883" s="162"/>
      <c r="BP883" s="162"/>
      <c r="BQ883" s="162"/>
      <c r="BR883" s="230"/>
      <c r="BS883" s="230"/>
      <c r="BT883" s="162"/>
      <c r="BU883" s="162"/>
      <c r="BV883" s="162"/>
      <c r="BW883" s="162"/>
      <c r="BX883" s="162"/>
      <c r="BY883" s="230"/>
      <c r="BZ883" s="230"/>
      <c r="CA883" s="162"/>
      <c r="CB883" s="162"/>
      <c r="CC883" s="162"/>
      <c r="CD883" s="162"/>
      <c r="CE883" s="162"/>
      <c r="CF883" s="230"/>
      <c r="CG883" s="230"/>
      <c r="CH883" s="162"/>
      <c r="CI883" s="162"/>
      <c r="CJ883" s="162"/>
      <c r="CK883" s="162"/>
      <c r="CL883" s="162"/>
      <c r="CM883" s="230"/>
      <c r="CN883" s="230"/>
      <c r="CO883" s="162"/>
      <c r="CP883" s="162"/>
      <c r="CQ883" s="162"/>
      <c r="CR883" s="162"/>
      <c r="CS883" s="162"/>
      <c r="CT883" s="230"/>
      <c r="CU883" s="230"/>
      <c r="CV883" s="162"/>
      <c r="CW883" s="162"/>
      <c r="CX883" s="162"/>
      <c r="CY883" s="162"/>
      <c r="CZ883" s="162"/>
      <c r="DA883" s="230"/>
      <c r="DB883" s="230"/>
      <c r="DC883" s="162"/>
      <c r="DD883" s="162"/>
      <c r="DE883" s="162"/>
      <c r="DF883" s="162"/>
      <c r="DG883" s="162"/>
      <c r="DH883" s="230"/>
      <c r="DI883" s="230"/>
      <c r="DJ883" s="162"/>
      <c r="DK883" s="162"/>
      <c r="DL883" s="147"/>
      <c r="DM883" s="147"/>
      <c r="DN883" s="147"/>
      <c r="DO883" s="147"/>
      <c r="DP883" s="147"/>
      <c r="DQ883" s="147"/>
      <c r="DR883" s="147"/>
      <c r="DS883" s="147"/>
      <c r="DT883" s="147"/>
      <c r="DU883" s="147"/>
      <c r="DV883" s="147"/>
      <c r="DW883" s="147"/>
      <c r="DX883" s="147"/>
      <c r="DY883" s="147"/>
      <c r="DZ883" s="147"/>
      <c r="EA883" s="147"/>
      <c r="EB883" s="147"/>
      <c r="EC883" s="147"/>
      <c r="ED883" s="147"/>
      <c r="EE883" s="147"/>
      <c r="EF883" s="147"/>
      <c r="EG883" s="147"/>
      <c r="EH883" s="147"/>
    </row>
    <row r="884" spans="1:138" x14ac:dyDescent="0.25">
      <c r="A884" s="147"/>
      <c r="B884" s="147"/>
      <c r="C884" s="160"/>
      <c r="D884" s="160"/>
      <c r="E884" s="169"/>
      <c r="F884" s="229"/>
      <c r="G884" s="165"/>
      <c r="H884" s="165"/>
      <c r="I884" s="163"/>
      <c r="J884" s="163"/>
      <c r="K884" s="162"/>
      <c r="L884" s="162"/>
      <c r="M884" s="162"/>
      <c r="N884" s="230"/>
      <c r="O884" s="230"/>
      <c r="P884" s="162"/>
      <c r="Q884" s="162"/>
      <c r="R884" s="162"/>
      <c r="S884" s="162"/>
      <c r="T884" s="162"/>
      <c r="U884" s="230"/>
      <c r="V884" s="230"/>
      <c r="W884" s="162"/>
      <c r="X884" s="162"/>
      <c r="Y884" s="162"/>
      <c r="Z884" s="162"/>
      <c r="AA884" s="162"/>
      <c r="AB884" s="230"/>
      <c r="AC884" s="230"/>
      <c r="AD884" s="162"/>
      <c r="AE884" s="162"/>
      <c r="AF884" s="162"/>
      <c r="AG884" s="162"/>
      <c r="AH884" s="162"/>
      <c r="AI884" s="230"/>
      <c r="AJ884" s="230"/>
      <c r="AK884" s="162"/>
      <c r="AL884" s="162"/>
      <c r="AM884" s="162"/>
      <c r="AN884" s="162"/>
      <c r="AO884" s="162"/>
      <c r="AP884" s="230"/>
      <c r="AQ884" s="230"/>
      <c r="AR884" s="162"/>
      <c r="AS884" s="162"/>
      <c r="AT884" s="162"/>
      <c r="AU884" s="162"/>
      <c r="AV884" s="162"/>
      <c r="AW884" s="230"/>
      <c r="AX884" s="230"/>
      <c r="AY884" s="162"/>
      <c r="AZ884" s="162"/>
      <c r="BA884" s="162"/>
      <c r="BB884" s="162"/>
      <c r="BC884" s="162"/>
      <c r="BD884" s="230"/>
      <c r="BE884" s="230"/>
      <c r="BF884" s="162"/>
      <c r="BG884" s="162"/>
      <c r="BH884" s="162"/>
      <c r="BI884" s="162"/>
      <c r="BJ884" s="162"/>
      <c r="BK884" s="230"/>
      <c r="BL884" s="230"/>
      <c r="BM884" s="162"/>
      <c r="BN884" s="162"/>
      <c r="BO884" s="162"/>
      <c r="BP884" s="162"/>
      <c r="BQ884" s="162"/>
      <c r="BR884" s="230"/>
      <c r="BS884" s="230"/>
      <c r="BT884" s="162"/>
      <c r="BU884" s="162"/>
      <c r="BV884" s="162"/>
      <c r="BW884" s="162"/>
      <c r="BX884" s="162"/>
      <c r="BY884" s="230"/>
      <c r="BZ884" s="230"/>
      <c r="CA884" s="162"/>
      <c r="CB884" s="162"/>
      <c r="CC884" s="162"/>
      <c r="CD884" s="162"/>
      <c r="CE884" s="162"/>
      <c r="CF884" s="230"/>
      <c r="CG884" s="230"/>
      <c r="CH884" s="162"/>
      <c r="CI884" s="162"/>
      <c r="CJ884" s="162"/>
      <c r="CK884" s="162"/>
      <c r="CL884" s="162"/>
      <c r="CM884" s="230"/>
      <c r="CN884" s="230"/>
      <c r="CO884" s="162"/>
      <c r="CP884" s="162"/>
      <c r="CQ884" s="162"/>
      <c r="CR884" s="162"/>
      <c r="CS884" s="162"/>
      <c r="CT884" s="230"/>
      <c r="CU884" s="230"/>
      <c r="CV884" s="162"/>
      <c r="CW884" s="162"/>
      <c r="CX884" s="162"/>
      <c r="CY884" s="162"/>
      <c r="CZ884" s="162"/>
      <c r="DA884" s="230"/>
      <c r="DB884" s="230"/>
      <c r="DC884" s="162"/>
      <c r="DD884" s="162"/>
      <c r="DE884" s="162"/>
      <c r="DF884" s="162"/>
      <c r="DG884" s="162"/>
      <c r="DH884" s="230"/>
      <c r="DI884" s="230"/>
      <c r="DJ884" s="162"/>
      <c r="DK884" s="162"/>
      <c r="DL884" s="147"/>
      <c r="DM884" s="147"/>
      <c r="DN884" s="147"/>
      <c r="DO884" s="147"/>
      <c r="DP884" s="147"/>
      <c r="DQ884" s="147"/>
      <c r="DR884" s="147"/>
      <c r="DS884" s="147"/>
      <c r="DT884" s="147"/>
      <c r="DU884" s="147"/>
      <c r="DV884" s="147"/>
      <c r="DW884" s="147"/>
      <c r="DX884" s="147"/>
      <c r="DY884" s="147"/>
      <c r="DZ884" s="147"/>
      <c r="EA884" s="147"/>
      <c r="EB884" s="147"/>
      <c r="EC884" s="147"/>
      <c r="ED884" s="147"/>
      <c r="EE884" s="147"/>
      <c r="EF884" s="147"/>
      <c r="EG884" s="147"/>
      <c r="EH884" s="147"/>
    </row>
    <row r="885" spans="1:138" x14ac:dyDescent="0.25">
      <c r="A885" s="147"/>
      <c r="B885" s="147"/>
      <c r="C885" s="160"/>
      <c r="D885" s="160"/>
      <c r="E885" s="169"/>
      <c r="F885" s="229"/>
      <c r="G885" s="165"/>
      <c r="H885" s="165"/>
      <c r="I885" s="163"/>
      <c r="J885" s="163"/>
      <c r="K885" s="162"/>
      <c r="L885" s="162"/>
      <c r="M885" s="162"/>
      <c r="N885" s="230"/>
      <c r="O885" s="230"/>
      <c r="P885" s="162"/>
      <c r="Q885" s="162"/>
      <c r="R885" s="162"/>
      <c r="S885" s="162"/>
      <c r="T885" s="162"/>
      <c r="U885" s="230"/>
      <c r="V885" s="230"/>
      <c r="W885" s="162"/>
      <c r="X885" s="162"/>
      <c r="Y885" s="162"/>
      <c r="Z885" s="162"/>
      <c r="AA885" s="162"/>
      <c r="AB885" s="230"/>
      <c r="AC885" s="230"/>
      <c r="AD885" s="162"/>
      <c r="AE885" s="162"/>
      <c r="AF885" s="162"/>
      <c r="AG885" s="162"/>
      <c r="AH885" s="162"/>
      <c r="AI885" s="230"/>
      <c r="AJ885" s="230"/>
      <c r="AK885" s="162"/>
      <c r="AL885" s="162"/>
      <c r="AM885" s="162"/>
      <c r="AN885" s="162"/>
      <c r="AO885" s="162"/>
      <c r="AP885" s="230"/>
      <c r="AQ885" s="230"/>
      <c r="AR885" s="162"/>
      <c r="AS885" s="162"/>
      <c r="AT885" s="162"/>
      <c r="AU885" s="162"/>
      <c r="AV885" s="162"/>
      <c r="AW885" s="230"/>
      <c r="AX885" s="230"/>
      <c r="AY885" s="162"/>
      <c r="AZ885" s="162"/>
      <c r="BA885" s="162"/>
      <c r="BB885" s="162"/>
      <c r="BC885" s="162"/>
      <c r="BD885" s="230"/>
      <c r="BE885" s="230"/>
      <c r="BF885" s="162"/>
      <c r="BG885" s="162"/>
      <c r="BH885" s="162"/>
      <c r="BI885" s="162"/>
      <c r="BJ885" s="162"/>
      <c r="BK885" s="230"/>
      <c r="BL885" s="230"/>
      <c r="BM885" s="162"/>
      <c r="BN885" s="162"/>
      <c r="BO885" s="162"/>
      <c r="BP885" s="162"/>
      <c r="BQ885" s="162"/>
      <c r="BR885" s="230"/>
      <c r="BS885" s="230"/>
      <c r="BT885" s="162"/>
      <c r="BU885" s="162"/>
      <c r="BV885" s="162"/>
      <c r="BW885" s="162"/>
      <c r="BX885" s="162"/>
      <c r="BY885" s="230"/>
      <c r="BZ885" s="230"/>
      <c r="CA885" s="162"/>
      <c r="CB885" s="162"/>
      <c r="CC885" s="162"/>
      <c r="CD885" s="162"/>
      <c r="CE885" s="162"/>
      <c r="CF885" s="230"/>
      <c r="CG885" s="230"/>
      <c r="CH885" s="162"/>
      <c r="CI885" s="162"/>
      <c r="CJ885" s="162"/>
      <c r="CK885" s="162"/>
      <c r="CL885" s="162"/>
      <c r="CM885" s="230"/>
      <c r="CN885" s="230"/>
      <c r="CO885" s="162"/>
      <c r="CP885" s="162"/>
      <c r="CQ885" s="162"/>
      <c r="CR885" s="162"/>
      <c r="CS885" s="162"/>
      <c r="CT885" s="230"/>
      <c r="CU885" s="230"/>
      <c r="CV885" s="162"/>
      <c r="CW885" s="162"/>
      <c r="CX885" s="162"/>
      <c r="CY885" s="162"/>
      <c r="CZ885" s="162"/>
      <c r="DA885" s="230"/>
      <c r="DB885" s="230"/>
      <c r="DC885" s="162"/>
      <c r="DD885" s="162"/>
      <c r="DE885" s="162"/>
      <c r="DF885" s="162"/>
      <c r="DG885" s="162"/>
      <c r="DH885" s="230"/>
      <c r="DI885" s="230"/>
      <c r="DJ885" s="162"/>
      <c r="DK885" s="162"/>
      <c r="DL885" s="147"/>
      <c r="DM885" s="147"/>
      <c r="DN885" s="147"/>
      <c r="DO885" s="147"/>
      <c r="DP885" s="147"/>
      <c r="DQ885" s="147"/>
      <c r="DR885" s="147"/>
      <c r="DS885" s="147"/>
      <c r="DT885" s="147"/>
      <c r="DU885" s="147"/>
      <c r="DV885" s="147"/>
      <c r="DW885" s="147"/>
      <c r="DX885" s="147"/>
      <c r="DY885" s="147"/>
      <c r="DZ885" s="147"/>
      <c r="EA885" s="147"/>
      <c r="EB885" s="147"/>
      <c r="EC885" s="147"/>
      <c r="ED885" s="147"/>
      <c r="EE885" s="147"/>
      <c r="EF885" s="147"/>
      <c r="EG885" s="147"/>
      <c r="EH885" s="147"/>
    </row>
    <row r="886" spans="1:138" x14ac:dyDescent="0.25">
      <c r="A886" s="147"/>
      <c r="B886" s="147"/>
      <c r="C886" s="160"/>
      <c r="D886" s="160"/>
      <c r="E886" s="169"/>
      <c r="F886" s="229"/>
      <c r="G886" s="165"/>
      <c r="H886" s="165"/>
      <c r="I886" s="163"/>
      <c r="J886" s="163"/>
      <c r="K886" s="162"/>
      <c r="L886" s="162"/>
      <c r="M886" s="162"/>
      <c r="N886" s="230"/>
      <c r="O886" s="230"/>
      <c r="P886" s="162"/>
      <c r="Q886" s="162"/>
      <c r="R886" s="162"/>
      <c r="S886" s="162"/>
      <c r="T886" s="162"/>
      <c r="U886" s="230"/>
      <c r="V886" s="230"/>
      <c r="W886" s="162"/>
      <c r="X886" s="162"/>
      <c r="Y886" s="162"/>
      <c r="Z886" s="162"/>
      <c r="AA886" s="162"/>
      <c r="AB886" s="230"/>
      <c r="AC886" s="230"/>
      <c r="AD886" s="162"/>
      <c r="AE886" s="162"/>
      <c r="AF886" s="162"/>
      <c r="AG886" s="162"/>
      <c r="AH886" s="162"/>
      <c r="AI886" s="230"/>
      <c r="AJ886" s="230"/>
      <c r="AK886" s="162"/>
      <c r="AL886" s="162"/>
      <c r="AM886" s="162"/>
      <c r="AN886" s="162"/>
      <c r="AO886" s="162"/>
      <c r="AP886" s="230"/>
      <c r="AQ886" s="230"/>
      <c r="AR886" s="162"/>
      <c r="AS886" s="162"/>
      <c r="AT886" s="162"/>
      <c r="AU886" s="162"/>
      <c r="AV886" s="162"/>
      <c r="AW886" s="230"/>
      <c r="AX886" s="230"/>
      <c r="AY886" s="162"/>
      <c r="AZ886" s="162"/>
      <c r="BA886" s="162"/>
      <c r="BB886" s="162"/>
      <c r="BC886" s="162"/>
      <c r="BD886" s="230"/>
      <c r="BE886" s="230"/>
      <c r="BF886" s="162"/>
      <c r="BG886" s="162"/>
      <c r="BH886" s="162"/>
      <c r="BI886" s="162"/>
      <c r="BJ886" s="162"/>
      <c r="BK886" s="230"/>
      <c r="BL886" s="230"/>
      <c r="BM886" s="162"/>
      <c r="BN886" s="162"/>
      <c r="BO886" s="162"/>
      <c r="BP886" s="162"/>
      <c r="BQ886" s="162"/>
      <c r="BR886" s="230"/>
      <c r="BS886" s="230"/>
      <c r="BT886" s="162"/>
      <c r="BU886" s="162"/>
      <c r="BV886" s="162"/>
      <c r="BW886" s="162"/>
      <c r="BX886" s="162"/>
      <c r="BY886" s="230"/>
      <c r="BZ886" s="230"/>
      <c r="CA886" s="162"/>
      <c r="CB886" s="162"/>
      <c r="CC886" s="162"/>
      <c r="CD886" s="162"/>
      <c r="CE886" s="162"/>
      <c r="CF886" s="230"/>
      <c r="CG886" s="230"/>
      <c r="CH886" s="162"/>
      <c r="CI886" s="162"/>
      <c r="CJ886" s="162"/>
      <c r="CK886" s="162"/>
      <c r="CL886" s="162"/>
      <c r="CM886" s="230"/>
      <c r="CN886" s="230"/>
      <c r="CO886" s="162"/>
      <c r="CP886" s="162"/>
      <c r="CQ886" s="162"/>
      <c r="CR886" s="162"/>
      <c r="CS886" s="162"/>
      <c r="CT886" s="230"/>
      <c r="CU886" s="230"/>
      <c r="CV886" s="162"/>
      <c r="CW886" s="162"/>
      <c r="CX886" s="162"/>
      <c r="CY886" s="162"/>
      <c r="CZ886" s="162"/>
      <c r="DA886" s="230"/>
      <c r="DB886" s="230"/>
      <c r="DC886" s="162"/>
      <c r="DD886" s="162"/>
      <c r="DE886" s="162"/>
      <c r="DF886" s="162"/>
      <c r="DG886" s="162"/>
      <c r="DH886" s="230"/>
      <c r="DI886" s="230"/>
      <c r="DJ886" s="162"/>
      <c r="DK886" s="162"/>
      <c r="DL886" s="147"/>
      <c r="DM886" s="147"/>
      <c r="DN886" s="147"/>
      <c r="DO886" s="147"/>
      <c r="DP886" s="147"/>
      <c r="DQ886" s="147"/>
      <c r="DR886" s="147"/>
      <c r="DS886" s="147"/>
      <c r="DT886" s="147"/>
      <c r="DU886" s="147"/>
      <c r="DV886" s="147"/>
      <c r="DW886" s="147"/>
      <c r="DX886" s="147"/>
      <c r="DY886" s="147"/>
      <c r="DZ886" s="147"/>
      <c r="EA886" s="147"/>
      <c r="EB886" s="147"/>
      <c r="EC886" s="147"/>
      <c r="ED886" s="147"/>
      <c r="EE886" s="147"/>
      <c r="EF886" s="147"/>
      <c r="EG886" s="147"/>
      <c r="EH886" s="147"/>
    </row>
    <row r="887" spans="1:138" x14ac:dyDescent="0.25">
      <c r="A887" s="147"/>
      <c r="B887" s="147"/>
      <c r="C887" s="160"/>
      <c r="D887" s="160"/>
      <c r="E887" s="169"/>
      <c r="F887" s="229"/>
      <c r="G887" s="165"/>
      <c r="H887" s="165"/>
      <c r="I887" s="163"/>
      <c r="J887" s="163"/>
      <c r="K887" s="162"/>
      <c r="L887" s="162"/>
      <c r="M887" s="162"/>
      <c r="N887" s="230"/>
      <c r="O887" s="230"/>
      <c r="P887" s="162"/>
      <c r="Q887" s="162"/>
      <c r="R887" s="162"/>
      <c r="S887" s="162"/>
      <c r="T887" s="162"/>
      <c r="U887" s="230"/>
      <c r="V887" s="230"/>
      <c r="W887" s="162"/>
      <c r="X887" s="162"/>
      <c r="Y887" s="162"/>
      <c r="Z887" s="162"/>
      <c r="AA887" s="162"/>
      <c r="AB887" s="230"/>
      <c r="AC887" s="230"/>
      <c r="AD887" s="162"/>
      <c r="AE887" s="162"/>
      <c r="AF887" s="162"/>
      <c r="AG887" s="162"/>
      <c r="AH887" s="162"/>
      <c r="AI887" s="230"/>
      <c r="AJ887" s="230"/>
      <c r="AK887" s="162"/>
      <c r="AL887" s="162"/>
      <c r="AM887" s="162"/>
      <c r="AN887" s="162"/>
      <c r="AO887" s="162"/>
      <c r="AP887" s="230"/>
      <c r="AQ887" s="230"/>
      <c r="AR887" s="162"/>
      <c r="AS887" s="162"/>
      <c r="AT887" s="162"/>
      <c r="AU887" s="162"/>
      <c r="AV887" s="162"/>
      <c r="AW887" s="230"/>
      <c r="AX887" s="230"/>
      <c r="AY887" s="162"/>
      <c r="AZ887" s="162"/>
      <c r="BA887" s="162"/>
      <c r="BB887" s="162"/>
      <c r="BC887" s="162"/>
      <c r="BD887" s="230"/>
      <c r="BE887" s="230"/>
      <c r="BF887" s="162"/>
      <c r="BG887" s="162"/>
      <c r="BH887" s="162"/>
      <c r="BI887" s="162"/>
      <c r="BJ887" s="162"/>
      <c r="BK887" s="230"/>
      <c r="BL887" s="230"/>
      <c r="BM887" s="162"/>
      <c r="BN887" s="162"/>
      <c r="BO887" s="162"/>
      <c r="BP887" s="162"/>
      <c r="BQ887" s="162"/>
      <c r="BR887" s="230"/>
      <c r="BS887" s="230"/>
      <c r="BT887" s="162"/>
      <c r="BU887" s="162"/>
      <c r="BV887" s="162"/>
      <c r="BW887" s="162"/>
      <c r="BX887" s="162"/>
      <c r="BY887" s="230"/>
      <c r="BZ887" s="230"/>
      <c r="CA887" s="162"/>
      <c r="CB887" s="162"/>
      <c r="CC887" s="162"/>
      <c r="CD887" s="162"/>
      <c r="CE887" s="162"/>
      <c r="CF887" s="230"/>
      <c r="CG887" s="230"/>
      <c r="CH887" s="162"/>
      <c r="CI887" s="162"/>
      <c r="CJ887" s="162"/>
      <c r="CK887" s="162"/>
      <c r="CL887" s="162"/>
      <c r="CM887" s="230"/>
      <c r="CN887" s="230"/>
      <c r="CO887" s="162"/>
      <c r="CP887" s="162"/>
      <c r="CQ887" s="162"/>
      <c r="CR887" s="162"/>
      <c r="CS887" s="162"/>
      <c r="CT887" s="230"/>
      <c r="CU887" s="230"/>
      <c r="CV887" s="162"/>
      <c r="CW887" s="162"/>
      <c r="CX887" s="162"/>
      <c r="CY887" s="162"/>
      <c r="CZ887" s="162"/>
      <c r="DA887" s="230"/>
      <c r="DB887" s="230"/>
      <c r="DC887" s="162"/>
      <c r="DD887" s="162"/>
      <c r="DE887" s="162"/>
      <c r="DF887" s="162"/>
      <c r="DG887" s="162"/>
      <c r="DH887" s="230"/>
      <c r="DI887" s="230"/>
      <c r="DJ887" s="162"/>
      <c r="DK887" s="162"/>
      <c r="DL887" s="147"/>
      <c r="DM887" s="147"/>
      <c r="DN887" s="147"/>
      <c r="DO887" s="147"/>
      <c r="DP887" s="147"/>
      <c r="DQ887" s="147"/>
      <c r="DR887" s="147"/>
      <c r="DS887" s="147"/>
      <c r="DT887" s="147"/>
      <c r="DU887" s="147"/>
      <c r="DV887" s="147"/>
      <c r="DW887" s="147"/>
      <c r="DX887" s="147"/>
      <c r="DY887" s="147"/>
      <c r="DZ887" s="147"/>
      <c r="EA887" s="147"/>
      <c r="EB887" s="147"/>
      <c r="EC887" s="147"/>
      <c r="ED887" s="147"/>
      <c r="EE887" s="147"/>
      <c r="EF887" s="147"/>
      <c r="EG887" s="147"/>
      <c r="EH887" s="147"/>
    </row>
    <row r="888" spans="1:138" x14ac:dyDescent="0.25">
      <c r="A888" s="147"/>
      <c r="B888" s="147"/>
      <c r="C888" s="160"/>
      <c r="D888" s="160"/>
      <c r="E888" s="169"/>
      <c r="F888" s="229"/>
      <c r="G888" s="165"/>
      <c r="H888" s="165"/>
      <c r="I888" s="163"/>
      <c r="J888" s="163"/>
      <c r="K888" s="162"/>
      <c r="L888" s="162"/>
      <c r="M888" s="162"/>
      <c r="N888" s="230"/>
      <c r="O888" s="230"/>
      <c r="P888" s="162"/>
      <c r="Q888" s="162"/>
      <c r="R888" s="162"/>
      <c r="S888" s="162"/>
      <c r="T888" s="162"/>
      <c r="U888" s="230"/>
      <c r="V888" s="230"/>
      <c r="W888" s="162"/>
      <c r="X888" s="162"/>
      <c r="Y888" s="162"/>
      <c r="Z888" s="162"/>
      <c r="AA888" s="162"/>
      <c r="AB888" s="230"/>
      <c r="AC888" s="230"/>
      <c r="AD888" s="162"/>
      <c r="AE888" s="162"/>
      <c r="AF888" s="162"/>
      <c r="AG888" s="162"/>
      <c r="AH888" s="162"/>
      <c r="AI888" s="230"/>
      <c r="AJ888" s="230"/>
      <c r="AK888" s="162"/>
      <c r="AL888" s="162"/>
      <c r="AM888" s="162"/>
      <c r="AN888" s="162"/>
      <c r="AO888" s="162"/>
      <c r="AP888" s="230"/>
      <c r="AQ888" s="230"/>
      <c r="AR888" s="162"/>
      <c r="AS888" s="162"/>
      <c r="AT888" s="162"/>
      <c r="AU888" s="162"/>
      <c r="AV888" s="162"/>
      <c r="AW888" s="230"/>
      <c r="AX888" s="230"/>
      <c r="AY888" s="162"/>
      <c r="AZ888" s="162"/>
      <c r="BA888" s="162"/>
      <c r="BB888" s="162"/>
      <c r="BC888" s="162"/>
      <c r="BD888" s="230"/>
      <c r="BE888" s="230"/>
      <c r="BF888" s="162"/>
      <c r="BG888" s="162"/>
      <c r="BH888" s="162"/>
      <c r="BI888" s="162"/>
      <c r="BJ888" s="162"/>
      <c r="BK888" s="230"/>
      <c r="BL888" s="230"/>
      <c r="BM888" s="162"/>
      <c r="BN888" s="162"/>
      <c r="BO888" s="162"/>
      <c r="BP888" s="162"/>
      <c r="BQ888" s="162"/>
      <c r="BR888" s="230"/>
      <c r="BS888" s="230"/>
      <c r="BT888" s="162"/>
      <c r="BU888" s="162"/>
      <c r="BV888" s="162"/>
      <c r="BW888" s="162"/>
      <c r="BX888" s="162"/>
      <c r="BY888" s="230"/>
      <c r="BZ888" s="230"/>
      <c r="CA888" s="162"/>
      <c r="CB888" s="162"/>
      <c r="CC888" s="162"/>
      <c r="CD888" s="162"/>
      <c r="CE888" s="162"/>
      <c r="CF888" s="230"/>
      <c r="CG888" s="230"/>
      <c r="CH888" s="162"/>
      <c r="CI888" s="162"/>
      <c r="CJ888" s="162"/>
      <c r="CK888" s="162"/>
      <c r="CL888" s="162"/>
      <c r="CM888" s="230"/>
      <c r="CN888" s="230"/>
      <c r="CO888" s="162"/>
      <c r="CP888" s="162"/>
      <c r="CQ888" s="162"/>
      <c r="CR888" s="162"/>
      <c r="CS888" s="162"/>
      <c r="CT888" s="230"/>
      <c r="CU888" s="230"/>
      <c r="CV888" s="162"/>
      <c r="CW888" s="162"/>
      <c r="CX888" s="162"/>
      <c r="CY888" s="162"/>
      <c r="CZ888" s="162"/>
      <c r="DA888" s="230"/>
      <c r="DB888" s="230"/>
      <c r="DC888" s="162"/>
      <c r="DD888" s="162"/>
      <c r="DE888" s="162"/>
      <c r="DF888" s="162"/>
      <c r="DG888" s="162"/>
      <c r="DH888" s="230"/>
      <c r="DI888" s="230"/>
      <c r="DJ888" s="162"/>
      <c r="DK888" s="162"/>
      <c r="DL888" s="147"/>
      <c r="DM888" s="147"/>
      <c r="DN888" s="147"/>
      <c r="DO888" s="147"/>
      <c r="DP888" s="147"/>
      <c r="DQ888" s="147"/>
      <c r="DR888" s="147"/>
      <c r="DS888" s="147"/>
      <c r="DT888" s="147"/>
      <c r="DU888" s="147"/>
      <c r="DV888" s="147"/>
      <c r="DW888" s="147"/>
      <c r="DX888" s="147"/>
      <c r="DY888" s="147"/>
      <c r="DZ888" s="147"/>
      <c r="EA888" s="147"/>
      <c r="EB888" s="147"/>
      <c r="EC888" s="147"/>
      <c r="ED888" s="147"/>
      <c r="EE888" s="147"/>
      <c r="EF888" s="147"/>
      <c r="EG888" s="147"/>
      <c r="EH888" s="147"/>
    </row>
    <row r="889" spans="1:138" x14ac:dyDescent="0.25">
      <c r="A889" s="147"/>
      <c r="B889" s="147"/>
      <c r="C889" s="160"/>
      <c r="D889" s="160"/>
      <c r="E889" s="169"/>
      <c r="F889" s="229"/>
      <c r="G889" s="165"/>
      <c r="H889" s="165"/>
      <c r="I889" s="163"/>
      <c r="J889" s="163"/>
      <c r="K889" s="162"/>
      <c r="L889" s="162"/>
      <c r="M889" s="162"/>
      <c r="N889" s="230"/>
      <c r="O889" s="230"/>
      <c r="P889" s="162"/>
      <c r="Q889" s="162"/>
      <c r="R889" s="162"/>
      <c r="S889" s="162"/>
      <c r="T889" s="162"/>
      <c r="U889" s="230"/>
      <c r="V889" s="230"/>
      <c r="W889" s="162"/>
      <c r="X889" s="162"/>
      <c r="Y889" s="162"/>
      <c r="Z889" s="162"/>
      <c r="AA889" s="162"/>
      <c r="AB889" s="230"/>
      <c r="AC889" s="230"/>
      <c r="AD889" s="162"/>
      <c r="AE889" s="162"/>
      <c r="AF889" s="162"/>
      <c r="AG889" s="162"/>
      <c r="AH889" s="162"/>
      <c r="AI889" s="230"/>
      <c r="AJ889" s="230"/>
      <c r="AK889" s="162"/>
      <c r="AL889" s="162"/>
      <c r="AM889" s="162"/>
      <c r="AN889" s="162"/>
      <c r="AO889" s="162"/>
      <c r="AP889" s="230"/>
      <c r="AQ889" s="230"/>
      <c r="AR889" s="162"/>
      <c r="AS889" s="162"/>
      <c r="AT889" s="162"/>
      <c r="AU889" s="162"/>
      <c r="AV889" s="162"/>
      <c r="AW889" s="230"/>
      <c r="AX889" s="230"/>
      <c r="AY889" s="162"/>
      <c r="AZ889" s="162"/>
      <c r="BA889" s="162"/>
      <c r="BB889" s="162"/>
      <c r="BC889" s="162"/>
      <c r="BD889" s="230"/>
      <c r="BE889" s="230"/>
      <c r="BF889" s="162"/>
      <c r="BG889" s="162"/>
      <c r="BH889" s="162"/>
      <c r="BI889" s="162"/>
      <c r="BJ889" s="162"/>
      <c r="BK889" s="230"/>
      <c r="BL889" s="230"/>
      <c r="BM889" s="162"/>
      <c r="BN889" s="162"/>
      <c r="BO889" s="162"/>
      <c r="BP889" s="162"/>
      <c r="BQ889" s="162"/>
      <c r="BR889" s="230"/>
      <c r="BS889" s="230"/>
      <c r="BT889" s="162"/>
      <c r="BU889" s="162"/>
      <c r="BV889" s="162"/>
      <c r="BW889" s="162"/>
      <c r="BX889" s="162"/>
      <c r="BY889" s="230"/>
      <c r="BZ889" s="230"/>
      <c r="CA889" s="162"/>
      <c r="CB889" s="162"/>
      <c r="CC889" s="162"/>
      <c r="CD889" s="162"/>
      <c r="CE889" s="162"/>
      <c r="CF889" s="230"/>
      <c r="CG889" s="230"/>
      <c r="CH889" s="162"/>
      <c r="CI889" s="162"/>
      <c r="CJ889" s="162"/>
      <c r="CK889" s="162"/>
      <c r="CL889" s="162"/>
      <c r="CM889" s="230"/>
      <c r="CN889" s="230"/>
      <c r="CO889" s="162"/>
      <c r="CP889" s="162"/>
      <c r="CQ889" s="162"/>
      <c r="CR889" s="162"/>
      <c r="CS889" s="162"/>
      <c r="CT889" s="230"/>
      <c r="CU889" s="230"/>
      <c r="CV889" s="162"/>
      <c r="CW889" s="162"/>
      <c r="CX889" s="162"/>
      <c r="CY889" s="162"/>
      <c r="CZ889" s="162"/>
      <c r="DA889" s="230"/>
      <c r="DB889" s="230"/>
      <c r="DC889" s="162"/>
      <c r="DD889" s="162"/>
      <c r="DE889" s="162"/>
      <c r="DF889" s="162"/>
      <c r="DG889" s="162"/>
      <c r="DH889" s="230"/>
      <c r="DI889" s="230"/>
      <c r="DJ889" s="162"/>
      <c r="DK889" s="162"/>
      <c r="DL889" s="147"/>
      <c r="DM889" s="147"/>
      <c r="DN889" s="147"/>
      <c r="DO889" s="147"/>
      <c r="DP889" s="147"/>
      <c r="DQ889" s="147"/>
      <c r="DR889" s="147"/>
      <c r="DS889" s="147"/>
      <c r="DT889" s="147"/>
      <c r="DU889" s="147"/>
      <c r="DV889" s="147"/>
      <c r="DW889" s="147"/>
      <c r="DX889" s="147"/>
      <c r="DY889" s="147"/>
      <c r="DZ889" s="147"/>
      <c r="EA889" s="147"/>
      <c r="EB889" s="147"/>
      <c r="EC889" s="147"/>
      <c r="ED889" s="147"/>
      <c r="EE889" s="147"/>
      <c r="EF889" s="147"/>
      <c r="EG889" s="147"/>
      <c r="EH889" s="147"/>
    </row>
    <row r="890" spans="1:138" x14ac:dyDescent="0.25">
      <c r="A890" s="147"/>
      <c r="B890" s="147"/>
      <c r="C890" s="160"/>
      <c r="D890" s="160"/>
      <c r="E890" s="169"/>
      <c r="F890" s="229"/>
      <c r="G890" s="165"/>
      <c r="H890" s="165"/>
      <c r="I890" s="163"/>
      <c r="J890" s="163"/>
      <c r="K890" s="162"/>
      <c r="L890" s="162"/>
      <c r="M890" s="162"/>
      <c r="N890" s="230"/>
      <c r="O890" s="230"/>
      <c r="P890" s="162"/>
      <c r="Q890" s="162"/>
      <c r="R890" s="162"/>
      <c r="S890" s="162"/>
      <c r="T890" s="162"/>
      <c r="U890" s="230"/>
      <c r="V890" s="230"/>
      <c r="W890" s="162"/>
      <c r="X890" s="162"/>
      <c r="Y890" s="162"/>
      <c r="Z890" s="162"/>
      <c r="AA890" s="162"/>
      <c r="AB890" s="230"/>
      <c r="AC890" s="230"/>
      <c r="AD890" s="162"/>
      <c r="AE890" s="162"/>
      <c r="AF890" s="162"/>
      <c r="AG890" s="162"/>
      <c r="AH890" s="162"/>
      <c r="AI890" s="230"/>
      <c r="AJ890" s="230"/>
      <c r="AK890" s="162"/>
      <c r="AL890" s="162"/>
      <c r="AM890" s="162"/>
      <c r="AN890" s="162"/>
      <c r="AO890" s="162"/>
      <c r="AP890" s="230"/>
      <c r="AQ890" s="230"/>
      <c r="AR890" s="162"/>
      <c r="AS890" s="162"/>
      <c r="AT890" s="162"/>
      <c r="AU890" s="162"/>
      <c r="AV890" s="162"/>
      <c r="AW890" s="230"/>
      <c r="AX890" s="230"/>
      <c r="AY890" s="162"/>
      <c r="AZ890" s="162"/>
      <c r="BA890" s="162"/>
      <c r="BB890" s="162"/>
      <c r="BC890" s="162"/>
      <c r="BD890" s="230"/>
      <c r="BE890" s="230"/>
      <c r="BF890" s="162"/>
      <c r="BG890" s="162"/>
      <c r="BH890" s="162"/>
      <c r="BI890" s="162"/>
      <c r="BJ890" s="162"/>
      <c r="BK890" s="230"/>
      <c r="BL890" s="230"/>
      <c r="BM890" s="162"/>
      <c r="BN890" s="162"/>
      <c r="BO890" s="162"/>
      <c r="BP890" s="162"/>
      <c r="BQ890" s="162"/>
      <c r="BR890" s="230"/>
      <c r="BS890" s="230"/>
      <c r="BT890" s="162"/>
      <c r="BU890" s="162"/>
      <c r="BV890" s="162"/>
      <c r="BW890" s="162"/>
      <c r="BX890" s="162"/>
      <c r="BY890" s="230"/>
      <c r="BZ890" s="230"/>
      <c r="CA890" s="162"/>
      <c r="CB890" s="162"/>
      <c r="CC890" s="162"/>
      <c r="CD890" s="162"/>
      <c r="CE890" s="162"/>
      <c r="CF890" s="230"/>
      <c r="CG890" s="230"/>
      <c r="CH890" s="162"/>
      <c r="CI890" s="162"/>
      <c r="CJ890" s="162"/>
      <c r="CK890" s="162"/>
      <c r="CL890" s="162"/>
      <c r="CM890" s="230"/>
      <c r="CN890" s="230"/>
      <c r="CO890" s="162"/>
      <c r="CP890" s="162"/>
      <c r="CQ890" s="162"/>
      <c r="CR890" s="162"/>
      <c r="CS890" s="162"/>
      <c r="CT890" s="230"/>
      <c r="CU890" s="230"/>
      <c r="CV890" s="162"/>
      <c r="CW890" s="162"/>
      <c r="CX890" s="162"/>
      <c r="CY890" s="162"/>
      <c r="CZ890" s="162"/>
      <c r="DA890" s="230"/>
      <c r="DB890" s="230"/>
      <c r="DC890" s="162"/>
      <c r="DD890" s="162"/>
      <c r="DE890" s="162"/>
      <c r="DF890" s="162"/>
      <c r="DG890" s="162"/>
      <c r="DH890" s="230"/>
      <c r="DI890" s="230"/>
      <c r="DJ890" s="162"/>
      <c r="DK890" s="162"/>
      <c r="DL890" s="147"/>
      <c r="DM890" s="147"/>
      <c r="DN890" s="147"/>
      <c r="DO890" s="147"/>
      <c r="DP890" s="147"/>
      <c r="DQ890" s="147"/>
      <c r="DR890" s="147"/>
      <c r="DS890" s="147"/>
      <c r="DT890" s="147"/>
      <c r="DU890" s="147"/>
      <c r="DV890" s="147"/>
      <c r="DW890" s="147"/>
      <c r="DX890" s="147"/>
      <c r="DY890" s="147"/>
      <c r="DZ890" s="147"/>
      <c r="EA890" s="147"/>
      <c r="EB890" s="147"/>
      <c r="EC890" s="147"/>
      <c r="ED890" s="147"/>
      <c r="EE890" s="147"/>
      <c r="EF890" s="147"/>
      <c r="EG890" s="147"/>
      <c r="EH890" s="147"/>
    </row>
    <row r="891" spans="1:138" x14ac:dyDescent="0.25">
      <c r="A891" s="147"/>
      <c r="B891" s="147"/>
      <c r="C891" s="160"/>
      <c r="D891" s="160"/>
      <c r="E891" s="169"/>
      <c r="F891" s="229"/>
      <c r="G891" s="165"/>
      <c r="H891" s="165"/>
      <c r="I891" s="163"/>
      <c r="J891" s="163"/>
      <c r="K891" s="162"/>
      <c r="L891" s="162"/>
      <c r="M891" s="162"/>
      <c r="N891" s="230"/>
      <c r="O891" s="230"/>
      <c r="P891" s="162"/>
      <c r="Q891" s="162"/>
      <c r="R891" s="162"/>
      <c r="S891" s="162"/>
      <c r="T891" s="162"/>
      <c r="U891" s="230"/>
      <c r="V891" s="230"/>
      <c r="W891" s="162"/>
      <c r="X891" s="162"/>
      <c r="Y891" s="162"/>
      <c r="Z891" s="162"/>
      <c r="AA891" s="162"/>
      <c r="AB891" s="230"/>
      <c r="AC891" s="230"/>
      <c r="AD891" s="162"/>
      <c r="AE891" s="162"/>
      <c r="AF891" s="162"/>
      <c r="AG891" s="162"/>
      <c r="AH891" s="162"/>
      <c r="AI891" s="230"/>
      <c r="AJ891" s="230"/>
      <c r="AK891" s="162"/>
      <c r="AL891" s="162"/>
      <c r="AM891" s="162"/>
      <c r="AN891" s="162"/>
      <c r="AO891" s="162"/>
      <c r="AP891" s="230"/>
      <c r="AQ891" s="230"/>
      <c r="AR891" s="162"/>
      <c r="AS891" s="162"/>
      <c r="AT891" s="162"/>
      <c r="AU891" s="162"/>
      <c r="AV891" s="162"/>
      <c r="AW891" s="230"/>
      <c r="AX891" s="230"/>
      <c r="AY891" s="162"/>
      <c r="AZ891" s="162"/>
      <c r="BA891" s="162"/>
      <c r="BB891" s="162"/>
      <c r="BC891" s="162"/>
      <c r="BD891" s="230"/>
      <c r="BE891" s="230"/>
      <c r="BF891" s="162"/>
      <c r="BG891" s="162"/>
      <c r="BH891" s="162"/>
      <c r="BI891" s="162"/>
      <c r="BJ891" s="162"/>
      <c r="BK891" s="230"/>
      <c r="BL891" s="230"/>
      <c r="BM891" s="162"/>
      <c r="BN891" s="162"/>
      <c r="BO891" s="162"/>
      <c r="BP891" s="162"/>
      <c r="BQ891" s="162"/>
      <c r="BR891" s="230"/>
      <c r="BS891" s="230"/>
      <c r="BT891" s="162"/>
      <c r="BU891" s="162"/>
      <c r="BV891" s="162"/>
      <c r="BW891" s="162"/>
      <c r="BX891" s="162"/>
      <c r="BY891" s="230"/>
      <c r="BZ891" s="230"/>
      <c r="CA891" s="162"/>
      <c r="CB891" s="162"/>
      <c r="CC891" s="162"/>
      <c r="CD891" s="162"/>
      <c r="CE891" s="162"/>
      <c r="CF891" s="230"/>
      <c r="CG891" s="230"/>
      <c r="CH891" s="162"/>
      <c r="CI891" s="162"/>
      <c r="CJ891" s="162"/>
      <c r="CK891" s="162"/>
      <c r="CL891" s="162"/>
      <c r="CM891" s="230"/>
      <c r="CN891" s="230"/>
      <c r="CO891" s="162"/>
      <c r="CP891" s="162"/>
      <c r="CQ891" s="162"/>
      <c r="CR891" s="162"/>
      <c r="CS891" s="162"/>
      <c r="CT891" s="230"/>
      <c r="CU891" s="230"/>
      <c r="CV891" s="162"/>
      <c r="CW891" s="162"/>
      <c r="CX891" s="162"/>
      <c r="CY891" s="162"/>
      <c r="CZ891" s="162"/>
      <c r="DA891" s="230"/>
      <c r="DB891" s="230"/>
      <c r="DC891" s="162"/>
      <c r="DD891" s="162"/>
      <c r="DE891" s="162"/>
      <c r="DF891" s="162"/>
      <c r="DG891" s="162"/>
      <c r="DH891" s="230"/>
      <c r="DI891" s="230"/>
      <c r="DJ891" s="162"/>
      <c r="DK891" s="162"/>
      <c r="DL891" s="147"/>
      <c r="DM891" s="147"/>
      <c r="DN891" s="147"/>
      <c r="DO891" s="147"/>
      <c r="DP891" s="147"/>
      <c r="DQ891" s="147"/>
      <c r="DR891" s="147"/>
      <c r="DS891" s="147"/>
      <c r="DT891" s="147"/>
      <c r="DU891" s="147"/>
      <c r="DV891" s="147"/>
      <c r="DW891" s="147"/>
      <c r="DX891" s="147"/>
      <c r="DY891" s="147"/>
      <c r="DZ891" s="147"/>
      <c r="EA891" s="147"/>
      <c r="EB891" s="147"/>
      <c r="EC891" s="147"/>
      <c r="ED891" s="147"/>
      <c r="EE891" s="147"/>
      <c r="EF891" s="147"/>
      <c r="EG891" s="147"/>
      <c r="EH891" s="147"/>
    </row>
    <row r="892" spans="1:138" x14ac:dyDescent="0.25">
      <c r="A892" s="147"/>
      <c r="B892" s="147"/>
      <c r="C892" s="160"/>
      <c r="D892" s="160"/>
      <c r="E892" s="169"/>
      <c r="F892" s="229"/>
      <c r="G892" s="165"/>
      <c r="H892" s="165"/>
      <c r="I892" s="163"/>
      <c r="J892" s="163"/>
      <c r="K892" s="162"/>
      <c r="L892" s="162"/>
      <c r="M892" s="162"/>
      <c r="N892" s="230"/>
      <c r="O892" s="230"/>
      <c r="P892" s="162"/>
      <c r="Q892" s="162"/>
      <c r="R892" s="162"/>
      <c r="S892" s="162"/>
      <c r="T892" s="162"/>
      <c r="U892" s="230"/>
      <c r="V892" s="230"/>
      <c r="W892" s="162"/>
      <c r="X892" s="162"/>
      <c r="Y892" s="162"/>
      <c r="Z892" s="162"/>
      <c r="AA892" s="162"/>
      <c r="AB892" s="230"/>
      <c r="AC892" s="230"/>
      <c r="AD892" s="162"/>
      <c r="AE892" s="162"/>
      <c r="AF892" s="162"/>
      <c r="AG892" s="162"/>
      <c r="AH892" s="162"/>
      <c r="AI892" s="230"/>
      <c r="AJ892" s="230"/>
      <c r="AK892" s="162"/>
      <c r="AL892" s="162"/>
      <c r="AM892" s="162"/>
      <c r="AN892" s="162"/>
      <c r="AO892" s="162"/>
      <c r="AP892" s="230"/>
      <c r="AQ892" s="230"/>
      <c r="AR892" s="162"/>
      <c r="AS892" s="162"/>
      <c r="AT892" s="162"/>
      <c r="AU892" s="162"/>
      <c r="AV892" s="162"/>
      <c r="AW892" s="230"/>
      <c r="AX892" s="230"/>
      <c r="AY892" s="162"/>
      <c r="AZ892" s="162"/>
      <c r="BA892" s="162"/>
      <c r="BB892" s="162"/>
      <c r="BC892" s="162"/>
      <c r="BD892" s="230"/>
      <c r="BE892" s="230"/>
      <c r="BF892" s="162"/>
      <c r="BG892" s="162"/>
      <c r="BH892" s="162"/>
      <c r="BI892" s="162"/>
      <c r="BJ892" s="162"/>
      <c r="BK892" s="230"/>
      <c r="BL892" s="230"/>
      <c r="BM892" s="162"/>
      <c r="BN892" s="162"/>
      <c r="BO892" s="162"/>
      <c r="BP892" s="162"/>
      <c r="BQ892" s="162"/>
      <c r="BR892" s="230"/>
      <c r="BS892" s="230"/>
      <c r="BT892" s="162"/>
      <c r="BU892" s="162"/>
      <c r="BV892" s="162"/>
      <c r="BW892" s="162"/>
      <c r="BX892" s="162"/>
      <c r="BY892" s="230"/>
      <c r="BZ892" s="230"/>
      <c r="CA892" s="162"/>
      <c r="CB892" s="162"/>
      <c r="CC892" s="162"/>
      <c r="CD892" s="162"/>
      <c r="CE892" s="162"/>
      <c r="CF892" s="230"/>
      <c r="CG892" s="230"/>
      <c r="CH892" s="162"/>
      <c r="CI892" s="162"/>
      <c r="CJ892" s="162"/>
      <c r="CK892" s="162"/>
      <c r="CL892" s="162"/>
      <c r="CM892" s="230"/>
      <c r="CN892" s="230"/>
      <c r="CO892" s="162"/>
      <c r="CP892" s="162"/>
      <c r="CQ892" s="162"/>
      <c r="CR892" s="162"/>
      <c r="CS892" s="162"/>
      <c r="CT892" s="230"/>
      <c r="CU892" s="230"/>
      <c r="CV892" s="162"/>
      <c r="CW892" s="162"/>
      <c r="CX892" s="162"/>
      <c r="CY892" s="162"/>
      <c r="CZ892" s="162"/>
      <c r="DA892" s="230"/>
      <c r="DB892" s="230"/>
      <c r="DC892" s="162"/>
      <c r="DD892" s="162"/>
      <c r="DE892" s="162"/>
      <c r="DF892" s="162"/>
      <c r="DG892" s="162"/>
      <c r="DH892" s="230"/>
      <c r="DI892" s="230"/>
      <c r="DJ892" s="162"/>
      <c r="DK892" s="162"/>
      <c r="DL892" s="147"/>
      <c r="DM892" s="147"/>
      <c r="DN892" s="147"/>
      <c r="DO892" s="147"/>
      <c r="DP892" s="147"/>
      <c r="DQ892" s="147"/>
      <c r="DR892" s="147"/>
      <c r="DS892" s="147"/>
      <c r="DT892" s="147"/>
      <c r="DU892" s="147"/>
      <c r="DV892" s="147"/>
      <c r="DW892" s="147"/>
      <c r="DX892" s="147"/>
      <c r="DY892" s="147"/>
      <c r="DZ892" s="147"/>
      <c r="EA892" s="147"/>
      <c r="EB892" s="147"/>
      <c r="EC892" s="147"/>
      <c r="ED892" s="147"/>
      <c r="EE892" s="147"/>
      <c r="EF892" s="147"/>
      <c r="EG892" s="147"/>
      <c r="EH892" s="147"/>
    </row>
    <row r="893" spans="1:138" x14ac:dyDescent="0.25">
      <c r="A893" s="147"/>
      <c r="B893" s="147"/>
      <c r="C893" s="160"/>
      <c r="D893" s="160"/>
      <c r="E893" s="169"/>
      <c r="F893" s="229"/>
      <c r="G893" s="165"/>
      <c r="H893" s="165"/>
      <c r="I893" s="163"/>
      <c r="J893" s="163"/>
      <c r="K893" s="162"/>
      <c r="L893" s="162"/>
      <c r="M893" s="162"/>
      <c r="N893" s="230"/>
      <c r="O893" s="230"/>
      <c r="P893" s="162"/>
      <c r="Q893" s="162"/>
      <c r="R893" s="162"/>
      <c r="S893" s="162"/>
      <c r="T893" s="162"/>
      <c r="U893" s="230"/>
      <c r="V893" s="230"/>
      <c r="W893" s="162"/>
      <c r="X893" s="162"/>
      <c r="Y893" s="162"/>
      <c r="Z893" s="162"/>
      <c r="AA893" s="162"/>
      <c r="AB893" s="230"/>
      <c r="AC893" s="230"/>
      <c r="AD893" s="162"/>
      <c r="AE893" s="162"/>
      <c r="AF893" s="162"/>
      <c r="AG893" s="162"/>
      <c r="AH893" s="162"/>
      <c r="AI893" s="230"/>
      <c r="AJ893" s="230"/>
      <c r="AK893" s="162"/>
      <c r="AL893" s="162"/>
      <c r="AM893" s="162"/>
      <c r="AN893" s="162"/>
      <c r="AO893" s="162"/>
      <c r="AP893" s="230"/>
      <c r="AQ893" s="230"/>
      <c r="AR893" s="162"/>
      <c r="AS893" s="162"/>
      <c r="AT893" s="162"/>
      <c r="AU893" s="162"/>
      <c r="AV893" s="162"/>
      <c r="AW893" s="230"/>
      <c r="AX893" s="230"/>
      <c r="AY893" s="162"/>
      <c r="AZ893" s="162"/>
      <c r="BA893" s="162"/>
      <c r="BB893" s="162"/>
      <c r="BC893" s="162"/>
      <c r="BD893" s="230"/>
      <c r="BE893" s="230"/>
      <c r="BF893" s="162"/>
      <c r="BG893" s="162"/>
      <c r="BH893" s="162"/>
      <c r="BI893" s="162"/>
      <c r="BJ893" s="162"/>
      <c r="BK893" s="230"/>
      <c r="BL893" s="230"/>
      <c r="BM893" s="162"/>
      <c r="BN893" s="162"/>
      <c r="BO893" s="162"/>
      <c r="BP893" s="162"/>
      <c r="BQ893" s="162"/>
      <c r="BR893" s="230"/>
      <c r="BS893" s="230"/>
      <c r="BT893" s="162"/>
      <c r="BU893" s="162"/>
      <c r="BV893" s="162"/>
      <c r="BW893" s="162"/>
      <c r="BX893" s="162"/>
      <c r="BY893" s="230"/>
      <c r="BZ893" s="230"/>
      <c r="CA893" s="162"/>
      <c r="CB893" s="162"/>
      <c r="CC893" s="162"/>
      <c r="CD893" s="162"/>
      <c r="CE893" s="162"/>
      <c r="CF893" s="230"/>
      <c r="CG893" s="230"/>
      <c r="CH893" s="162"/>
      <c r="CI893" s="162"/>
      <c r="CJ893" s="162"/>
      <c r="CK893" s="162"/>
      <c r="CL893" s="162"/>
      <c r="CM893" s="230"/>
      <c r="CN893" s="230"/>
      <c r="CO893" s="162"/>
      <c r="CP893" s="162"/>
      <c r="CQ893" s="162"/>
      <c r="CR893" s="162"/>
      <c r="CS893" s="162"/>
      <c r="CT893" s="230"/>
      <c r="CU893" s="230"/>
      <c r="CV893" s="162"/>
      <c r="CW893" s="162"/>
      <c r="CX893" s="162"/>
      <c r="CY893" s="162"/>
      <c r="CZ893" s="162"/>
      <c r="DA893" s="230"/>
      <c r="DB893" s="230"/>
      <c r="DC893" s="162"/>
      <c r="DD893" s="162"/>
      <c r="DE893" s="162"/>
      <c r="DF893" s="162"/>
      <c r="DG893" s="162"/>
      <c r="DH893" s="230"/>
      <c r="DI893" s="230"/>
      <c r="DJ893" s="162"/>
      <c r="DK893" s="162"/>
      <c r="DL893" s="147"/>
      <c r="DM893" s="147"/>
      <c r="DN893" s="147"/>
      <c r="DO893" s="147"/>
      <c r="DP893" s="147"/>
      <c r="DQ893" s="147"/>
      <c r="DR893" s="147"/>
      <c r="DS893" s="147"/>
      <c r="DT893" s="147"/>
      <c r="DU893" s="147"/>
      <c r="DV893" s="147"/>
      <c r="DW893" s="147"/>
      <c r="DX893" s="147"/>
      <c r="DY893" s="147"/>
      <c r="DZ893" s="147"/>
      <c r="EA893" s="147"/>
      <c r="EB893" s="147"/>
      <c r="EC893" s="147"/>
      <c r="ED893" s="147"/>
      <c r="EE893" s="147"/>
      <c r="EF893" s="147"/>
      <c r="EG893" s="147"/>
      <c r="EH893" s="147"/>
    </row>
    <row r="894" spans="1:138" x14ac:dyDescent="0.25">
      <c r="A894" s="147"/>
      <c r="B894" s="147"/>
      <c r="C894" s="160"/>
      <c r="D894" s="160"/>
      <c r="E894" s="169"/>
      <c r="F894" s="229"/>
      <c r="G894" s="165"/>
      <c r="H894" s="165"/>
      <c r="I894" s="163"/>
      <c r="J894" s="163"/>
      <c r="K894" s="162"/>
      <c r="L894" s="162"/>
      <c r="M894" s="162"/>
      <c r="N894" s="230"/>
      <c r="O894" s="230"/>
      <c r="P894" s="162"/>
      <c r="Q894" s="162"/>
      <c r="R894" s="162"/>
      <c r="S894" s="162"/>
      <c r="T894" s="162"/>
      <c r="U894" s="230"/>
      <c r="V894" s="230"/>
      <c r="W894" s="162"/>
      <c r="X894" s="162"/>
      <c r="Y894" s="162"/>
      <c r="Z894" s="162"/>
      <c r="AA894" s="162"/>
      <c r="AB894" s="230"/>
      <c r="AC894" s="230"/>
      <c r="AD894" s="162"/>
      <c r="AE894" s="162"/>
      <c r="AF894" s="162"/>
      <c r="AG894" s="162"/>
      <c r="AH894" s="162"/>
      <c r="AI894" s="230"/>
      <c r="AJ894" s="230"/>
      <c r="AK894" s="162"/>
      <c r="AL894" s="162"/>
      <c r="AM894" s="162"/>
      <c r="AN894" s="162"/>
      <c r="AO894" s="162"/>
      <c r="AP894" s="230"/>
      <c r="AQ894" s="230"/>
      <c r="AR894" s="162"/>
      <c r="AS894" s="162"/>
      <c r="AT894" s="162"/>
      <c r="AU894" s="162"/>
      <c r="AV894" s="162"/>
      <c r="AW894" s="230"/>
      <c r="AX894" s="230"/>
      <c r="AY894" s="162"/>
      <c r="AZ894" s="162"/>
      <c r="BA894" s="162"/>
      <c r="BB894" s="162"/>
      <c r="BC894" s="162"/>
      <c r="BD894" s="230"/>
      <c r="BE894" s="230"/>
      <c r="BF894" s="162"/>
      <c r="BG894" s="162"/>
      <c r="BH894" s="162"/>
      <c r="BI894" s="162"/>
      <c r="BJ894" s="162"/>
      <c r="BK894" s="230"/>
      <c r="BL894" s="230"/>
      <c r="BM894" s="162"/>
      <c r="BN894" s="162"/>
      <c r="BO894" s="162"/>
      <c r="BP894" s="162"/>
      <c r="BQ894" s="162"/>
      <c r="BR894" s="230"/>
      <c r="BS894" s="230"/>
      <c r="BT894" s="162"/>
      <c r="BU894" s="162"/>
      <c r="BV894" s="162"/>
      <c r="BW894" s="162"/>
      <c r="BX894" s="162"/>
      <c r="BY894" s="230"/>
      <c r="BZ894" s="230"/>
      <c r="CA894" s="162"/>
      <c r="CB894" s="162"/>
      <c r="CC894" s="162"/>
      <c r="CD894" s="162"/>
      <c r="CE894" s="162"/>
      <c r="CF894" s="230"/>
      <c r="CG894" s="230"/>
      <c r="CH894" s="162"/>
      <c r="CI894" s="162"/>
      <c r="CJ894" s="162"/>
      <c r="CK894" s="162"/>
      <c r="CL894" s="162"/>
      <c r="CM894" s="230"/>
      <c r="CN894" s="230"/>
      <c r="CO894" s="162"/>
      <c r="CP894" s="162"/>
      <c r="CQ894" s="162"/>
      <c r="CR894" s="162"/>
      <c r="CS894" s="162"/>
      <c r="CT894" s="230"/>
      <c r="CU894" s="230"/>
      <c r="CV894" s="162"/>
      <c r="CW894" s="162"/>
      <c r="CX894" s="162"/>
      <c r="CY894" s="162"/>
      <c r="CZ894" s="162"/>
      <c r="DA894" s="230"/>
      <c r="DB894" s="230"/>
      <c r="DC894" s="162"/>
      <c r="DD894" s="162"/>
      <c r="DE894" s="162"/>
      <c r="DF894" s="162"/>
      <c r="DG894" s="162"/>
      <c r="DH894" s="230"/>
      <c r="DI894" s="230"/>
      <c r="DJ894" s="162"/>
      <c r="DK894" s="162"/>
      <c r="DL894" s="147"/>
      <c r="DM894" s="147"/>
      <c r="DN894" s="147"/>
      <c r="DO894" s="147"/>
      <c r="DP894" s="147"/>
      <c r="DQ894" s="147"/>
      <c r="DR894" s="147"/>
      <c r="DS894" s="147"/>
      <c r="DT894" s="147"/>
      <c r="DU894" s="147"/>
      <c r="DV894" s="147"/>
      <c r="DW894" s="147"/>
      <c r="DX894" s="147"/>
      <c r="DY894" s="147"/>
      <c r="DZ894" s="147"/>
      <c r="EA894" s="147"/>
      <c r="EB894" s="147"/>
      <c r="EC894" s="147"/>
      <c r="ED894" s="147"/>
      <c r="EE894" s="147"/>
      <c r="EF894" s="147"/>
      <c r="EG894" s="147"/>
      <c r="EH894" s="147"/>
    </row>
    <row r="895" spans="1:138" x14ac:dyDescent="0.25">
      <c r="A895" s="147"/>
      <c r="B895" s="147"/>
      <c r="C895" s="160"/>
      <c r="D895" s="160"/>
      <c r="E895" s="169"/>
      <c r="F895" s="229"/>
      <c r="G895" s="165"/>
      <c r="H895" s="165"/>
      <c r="I895" s="163"/>
      <c r="J895" s="163"/>
      <c r="K895" s="162"/>
      <c r="L895" s="162"/>
      <c r="M895" s="162"/>
      <c r="N895" s="230"/>
      <c r="O895" s="230"/>
      <c r="P895" s="162"/>
      <c r="Q895" s="162"/>
      <c r="R895" s="162"/>
      <c r="S895" s="162"/>
      <c r="T895" s="162"/>
      <c r="U895" s="230"/>
      <c r="V895" s="230"/>
      <c r="W895" s="162"/>
      <c r="X895" s="162"/>
      <c r="Y895" s="162"/>
      <c r="Z895" s="162"/>
      <c r="AA895" s="162"/>
      <c r="AB895" s="230"/>
      <c r="AC895" s="230"/>
      <c r="AD895" s="162"/>
      <c r="AE895" s="162"/>
      <c r="AF895" s="162"/>
      <c r="AG895" s="162"/>
      <c r="AH895" s="162"/>
      <c r="AI895" s="230"/>
      <c r="AJ895" s="230"/>
      <c r="AK895" s="162"/>
      <c r="AL895" s="162"/>
      <c r="AM895" s="162"/>
      <c r="AN895" s="162"/>
      <c r="AO895" s="162"/>
      <c r="AP895" s="230"/>
      <c r="AQ895" s="230"/>
      <c r="AR895" s="162"/>
      <c r="AS895" s="162"/>
      <c r="AT895" s="162"/>
      <c r="AU895" s="162"/>
      <c r="AV895" s="162"/>
      <c r="AW895" s="230"/>
      <c r="AX895" s="230"/>
      <c r="AY895" s="162"/>
      <c r="AZ895" s="162"/>
      <c r="BA895" s="162"/>
      <c r="BB895" s="162"/>
      <c r="BC895" s="162"/>
      <c r="BD895" s="230"/>
      <c r="BE895" s="230"/>
      <c r="BF895" s="162"/>
      <c r="BG895" s="162"/>
      <c r="BH895" s="162"/>
      <c r="BI895" s="162"/>
      <c r="BJ895" s="162"/>
      <c r="BK895" s="230"/>
      <c r="BL895" s="230"/>
      <c r="BM895" s="162"/>
      <c r="BN895" s="162"/>
      <c r="BO895" s="162"/>
      <c r="BP895" s="162"/>
      <c r="BQ895" s="162"/>
      <c r="BR895" s="230"/>
      <c r="BS895" s="230"/>
      <c r="BT895" s="162"/>
      <c r="BU895" s="162"/>
      <c r="BV895" s="162"/>
      <c r="BW895" s="162"/>
      <c r="BX895" s="162"/>
      <c r="BY895" s="230"/>
      <c r="BZ895" s="230"/>
      <c r="CA895" s="162"/>
      <c r="CB895" s="162"/>
      <c r="CC895" s="162"/>
      <c r="CD895" s="162"/>
      <c r="CE895" s="162"/>
      <c r="CF895" s="230"/>
      <c r="CG895" s="230"/>
      <c r="CH895" s="162"/>
      <c r="CI895" s="162"/>
      <c r="CJ895" s="162"/>
      <c r="CK895" s="162"/>
      <c r="CL895" s="162"/>
      <c r="CM895" s="230"/>
      <c r="CN895" s="230"/>
      <c r="CO895" s="162"/>
      <c r="CP895" s="162"/>
      <c r="CQ895" s="162"/>
      <c r="CR895" s="162"/>
      <c r="CS895" s="162"/>
      <c r="CT895" s="230"/>
      <c r="CU895" s="230"/>
      <c r="CV895" s="162"/>
      <c r="CW895" s="162"/>
      <c r="CX895" s="162"/>
      <c r="CY895" s="162"/>
      <c r="CZ895" s="162"/>
      <c r="DA895" s="230"/>
      <c r="DB895" s="230"/>
      <c r="DC895" s="162"/>
      <c r="DD895" s="162"/>
      <c r="DE895" s="162"/>
      <c r="DF895" s="162"/>
      <c r="DG895" s="162"/>
      <c r="DH895" s="230"/>
      <c r="DI895" s="230"/>
      <c r="DJ895" s="162"/>
      <c r="DK895" s="162"/>
      <c r="DL895" s="147"/>
      <c r="DM895" s="147"/>
      <c r="DN895" s="147"/>
      <c r="DO895" s="147"/>
      <c r="DP895" s="147"/>
      <c r="DQ895" s="147"/>
      <c r="DR895" s="147"/>
      <c r="DS895" s="147"/>
      <c r="DT895" s="147"/>
      <c r="DU895" s="147"/>
      <c r="DV895" s="147"/>
      <c r="DW895" s="147"/>
      <c r="DX895" s="147"/>
      <c r="DY895" s="147"/>
      <c r="DZ895" s="147"/>
      <c r="EA895" s="147"/>
      <c r="EB895" s="147"/>
      <c r="EC895" s="147"/>
      <c r="ED895" s="147"/>
      <c r="EE895" s="147"/>
      <c r="EF895" s="147"/>
      <c r="EG895" s="147"/>
      <c r="EH895" s="147"/>
    </row>
    <row r="896" spans="1:138" x14ac:dyDescent="0.25">
      <c r="A896" s="147"/>
      <c r="B896" s="147"/>
      <c r="C896" s="160"/>
      <c r="D896" s="160"/>
      <c r="E896" s="169"/>
      <c r="F896" s="229"/>
      <c r="G896" s="165"/>
      <c r="H896" s="165"/>
      <c r="I896" s="163"/>
      <c r="J896" s="163"/>
      <c r="K896" s="162"/>
      <c r="L896" s="162"/>
      <c r="M896" s="162"/>
      <c r="N896" s="230"/>
      <c r="O896" s="230"/>
      <c r="P896" s="162"/>
      <c r="Q896" s="162"/>
      <c r="R896" s="162"/>
      <c r="S896" s="162"/>
      <c r="T896" s="162"/>
      <c r="U896" s="230"/>
      <c r="V896" s="230"/>
      <c r="W896" s="162"/>
      <c r="X896" s="162"/>
      <c r="Y896" s="162"/>
      <c r="Z896" s="162"/>
      <c r="AA896" s="162"/>
      <c r="AB896" s="230"/>
      <c r="AC896" s="230"/>
      <c r="AD896" s="162"/>
      <c r="AE896" s="162"/>
      <c r="AF896" s="162"/>
      <c r="AG896" s="162"/>
      <c r="AH896" s="162"/>
      <c r="AI896" s="230"/>
      <c r="AJ896" s="230"/>
      <c r="AK896" s="162"/>
      <c r="AL896" s="162"/>
      <c r="AM896" s="162"/>
      <c r="AN896" s="162"/>
      <c r="AO896" s="162"/>
      <c r="AP896" s="230"/>
      <c r="AQ896" s="230"/>
      <c r="AR896" s="162"/>
      <c r="AS896" s="162"/>
      <c r="AT896" s="162"/>
      <c r="AU896" s="162"/>
      <c r="AV896" s="162"/>
      <c r="AW896" s="230"/>
      <c r="AX896" s="230"/>
      <c r="AY896" s="162"/>
      <c r="AZ896" s="162"/>
      <c r="BA896" s="162"/>
      <c r="BB896" s="162"/>
      <c r="BC896" s="162"/>
      <c r="BD896" s="230"/>
      <c r="BE896" s="230"/>
      <c r="BF896" s="162"/>
      <c r="BG896" s="162"/>
      <c r="BH896" s="162"/>
      <c r="BI896" s="162"/>
      <c r="BJ896" s="162"/>
      <c r="BK896" s="230"/>
      <c r="BL896" s="230"/>
      <c r="BM896" s="162"/>
      <c r="BN896" s="162"/>
      <c r="BO896" s="162"/>
      <c r="BP896" s="162"/>
      <c r="BQ896" s="162"/>
      <c r="BR896" s="230"/>
      <c r="BS896" s="230"/>
      <c r="BT896" s="162"/>
      <c r="BU896" s="162"/>
      <c r="BV896" s="162"/>
      <c r="BW896" s="162"/>
      <c r="BX896" s="162"/>
      <c r="BY896" s="230"/>
      <c r="BZ896" s="230"/>
      <c r="CA896" s="162"/>
      <c r="CB896" s="162"/>
      <c r="CC896" s="162"/>
      <c r="CD896" s="162"/>
      <c r="CE896" s="162"/>
      <c r="CF896" s="230"/>
      <c r="CG896" s="230"/>
      <c r="CH896" s="162"/>
      <c r="CI896" s="162"/>
      <c r="CJ896" s="162"/>
      <c r="CK896" s="162"/>
      <c r="CL896" s="162"/>
      <c r="CM896" s="230"/>
      <c r="CN896" s="230"/>
      <c r="CO896" s="162"/>
      <c r="CP896" s="162"/>
      <c r="CQ896" s="162"/>
      <c r="CR896" s="162"/>
      <c r="CS896" s="162"/>
      <c r="CT896" s="230"/>
      <c r="CU896" s="230"/>
      <c r="CV896" s="162"/>
      <c r="CW896" s="162"/>
      <c r="CX896" s="162"/>
      <c r="CY896" s="162"/>
      <c r="CZ896" s="162"/>
      <c r="DA896" s="230"/>
      <c r="DB896" s="230"/>
      <c r="DC896" s="162"/>
      <c r="DD896" s="162"/>
      <c r="DE896" s="162"/>
      <c r="DF896" s="162"/>
      <c r="DG896" s="162"/>
      <c r="DH896" s="230"/>
      <c r="DI896" s="230"/>
      <c r="DJ896" s="162"/>
      <c r="DK896" s="162"/>
      <c r="DL896" s="147"/>
      <c r="DM896" s="147"/>
      <c r="DN896" s="147"/>
      <c r="DO896" s="147"/>
      <c r="DP896" s="147"/>
      <c r="DQ896" s="147"/>
      <c r="DR896" s="147"/>
      <c r="DS896" s="147"/>
      <c r="DT896" s="147"/>
      <c r="DU896" s="147"/>
      <c r="DV896" s="147"/>
      <c r="DW896" s="147"/>
      <c r="DX896" s="147"/>
      <c r="DY896" s="147"/>
      <c r="DZ896" s="147"/>
      <c r="EA896" s="147"/>
      <c r="EB896" s="147"/>
      <c r="EC896" s="147"/>
      <c r="ED896" s="147"/>
      <c r="EE896" s="147"/>
      <c r="EF896" s="147"/>
      <c r="EG896" s="147"/>
      <c r="EH896" s="147"/>
    </row>
    <row r="897" spans="1:138" x14ac:dyDescent="0.25">
      <c r="A897" s="147"/>
      <c r="B897" s="147"/>
      <c r="C897" s="160"/>
      <c r="D897" s="160"/>
      <c r="E897" s="169"/>
      <c r="F897" s="229"/>
      <c r="G897" s="165"/>
      <c r="H897" s="165"/>
      <c r="I897" s="163"/>
      <c r="J897" s="163"/>
      <c r="K897" s="162"/>
      <c r="L897" s="162"/>
      <c r="M897" s="162"/>
      <c r="N897" s="230"/>
      <c r="O897" s="230"/>
      <c r="P897" s="162"/>
      <c r="Q897" s="162"/>
      <c r="R897" s="162"/>
      <c r="S897" s="162"/>
      <c r="T897" s="162"/>
      <c r="U897" s="230"/>
      <c r="V897" s="230"/>
      <c r="W897" s="162"/>
      <c r="X897" s="162"/>
      <c r="Y897" s="162"/>
      <c r="Z897" s="162"/>
      <c r="AA897" s="162"/>
      <c r="AB897" s="230"/>
      <c r="AC897" s="230"/>
      <c r="AD897" s="162"/>
      <c r="AE897" s="162"/>
      <c r="AF897" s="162"/>
      <c r="AG897" s="162"/>
      <c r="AH897" s="162"/>
      <c r="AI897" s="230"/>
      <c r="AJ897" s="230"/>
      <c r="AK897" s="162"/>
      <c r="AL897" s="162"/>
      <c r="AM897" s="162"/>
      <c r="AN897" s="162"/>
      <c r="AO897" s="162"/>
      <c r="AP897" s="230"/>
      <c r="AQ897" s="230"/>
      <c r="AR897" s="162"/>
      <c r="AS897" s="162"/>
      <c r="AT897" s="162"/>
      <c r="AU897" s="162"/>
      <c r="AV897" s="162"/>
      <c r="AW897" s="230"/>
      <c r="AX897" s="230"/>
      <c r="AY897" s="162"/>
      <c r="AZ897" s="162"/>
      <c r="BA897" s="162"/>
      <c r="BB897" s="162"/>
      <c r="BC897" s="162"/>
      <c r="BD897" s="230"/>
      <c r="BE897" s="230"/>
      <c r="BF897" s="162"/>
      <c r="BG897" s="162"/>
      <c r="BH897" s="162"/>
      <c r="BI897" s="162"/>
      <c r="BJ897" s="162"/>
      <c r="BK897" s="230"/>
      <c r="BL897" s="230"/>
      <c r="BM897" s="162"/>
      <c r="BN897" s="162"/>
      <c r="BO897" s="162"/>
      <c r="BP897" s="162"/>
      <c r="BQ897" s="162"/>
      <c r="BR897" s="230"/>
      <c r="BS897" s="230"/>
      <c r="BT897" s="162"/>
      <c r="BU897" s="162"/>
      <c r="BV897" s="162"/>
      <c r="BW897" s="162"/>
      <c r="BX897" s="162"/>
      <c r="BY897" s="230"/>
      <c r="BZ897" s="230"/>
      <c r="CA897" s="162"/>
      <c r="CB897" s="162"/>
      <c r="CC897" s="162"/>
      <c r="CD897" s="162"/>
      <c r="CE897" s="162"/>
      <c r="CF897" s="230"/>
      <c r="CG897" s="230"/>
      <c r="CH897" s="162"/>
      <c r="CI897" s="162"/>
      <c r="CJ897" s="162"/>
      <c r="CK897" s="162"/>
      <c r="CL897" s="162"/>
      <c r="CM897" s="230"/>
      <c r="CN897" s="230"/>
      <c r="CO897" s="162"/>
      <c r="CP897" s="162"/>
      <c r="CQ897" s="162"/>
      <c r="CR897" s="162"/>
      <c r="CS897" s="162"/>
      <c r="CT897" s="230"/>
      <c r="CU897" s="230"/>
      <c r="CV897" s="162"/>
      <c r="CW897" s="162"/>
      <c r="CX897" s="162"/>
      <c r="CY897" s="162"/>
      <c r="CZ897" s="162"/>
      <c r="DA897" s="230"/>
      <c r="DB897" s="230"/>
      <c r="DC897" s="162"/>
      <c r="DD897" s="162"/>
      <c r="DE897" s="162"/>
      <c r="DF897" s="162"/>
      <c r="DG897" s="162"/>
      <c r="DH897" s="230"/>
      <c r="DI897" s="230"/>
      <c r="DJ897" s="162"/>
      <c r="DK897" s="162"/>
      <c r="DL897" s="147"/>
      <c r="DM897" s="147"/>
      <c r="DN897" s="147"/>
      <c r="DO897" s="147"/>
      <c r="DP897" s="147"/>
      <c r="DQ897" s="147"/>
      <c r="DR897" s="147"/>
      <c r="DS897" s="147"/>
      <c r="DT897" s="147"/>
      <c r="DU897" s="147"/>
      <c r="DV897" s="147"/>
      <c r="DW897" s="147"/>
      <c r="DX897" s="147"/>
      <c r="DY897" s="147"/>
      <c r="DZ897" s="147"/>
      <c r="EA897" s="147"/>
      <c r="EB897" s="147"/>
      <c r="EC897" s="147"/>
      <c r="ED897" s="147"/>
      <c r="EE897" s="147"/>
      <c r="EF897" s="147"/>
      <c r="EG897" s="147"/>
      <c r="EH897" s="147"/>
    </row>
    <row r="898" spans="1:138" x14ac:dyDescent="0.25">
      <c r="A898" s="147"/>
      <c r="B898" s="147"/>
      <c r="C898" s="160"/>
      <c r="D898" s="160"/>
      <c r="E898" s="169"/>
      <c r="F898" s="229"/>
      <c r="G898" s="165"/>
      <c r="H898" s="165"/>
      <c r="I898" s="163"/>
      <c r="J898" s="163"/>
      <c r="K898" s="162"/>
      <c r="L898" s="162"/>
      <c r="M898" s="162"/>
      <c r="N898" s="230"/>
      <c r="O898" s="230"/>
      <c r="P898" s="162"/>
      <c r="Q898" s="162"/>
      <c r="R898" s="162"/>
      <c r="S898" s="162"/>
      <c r="T898" s="162"/>
      <c r="U898" s="230"/>
      <c r="V898" s="230"/>
      <c r="W898" s="162"/>
      <c r="X898" s="162"/>
      <c r="Y898" s="162"/>
      <c r="Z898" s="162"/>
      <c r="AA898" s="162"/>
      <c r="AB898" s="230"/>
      <c r="AC898" s="230"/>
      <c r="AD898" s="162"/>
      <c r="AE898" s="162"/>
      <c r="AF898" s="162"/>
      <c r="AG898" s="162"/>
      <c r="AH898" s="162"/>
      <c r="AI898" s="230"/>
      <c r="AJ898" s="230"/>
      <c r="AK898" s="162"/>
      <c r="AL898" s="162"/>
      <c r="AM898" s="162"/>
      <c r="AN898" s="162"/>
      <c r="AO898" s="162"/>
      <c r="AP898" s="230"/>
      <c r="AQ898" s="230"/>
      <c r="AR898" s="162"/>
      <c r="AS898" s="162"/>
      <c r="AT898" s="162"/>
      <c r="AU898" s="162"/>
      <c r="AV898" s="162"/>
      <c r="AW898" s="230"/>
      <c r="AX898" s="230"/>
      <c r="AY898" s="162"/>
      <c r="AZ898" s="162"/>
      <c r="BA898" s="162"/>
      <c r="BB898" s="162"/>
      <c r="BC898" s="162"/>
      <c r="BD898" s="230"/>
      <c r="BE898" s="230"/>
      <c r="BF898" s="162"/>
      <c r="BG898" s="162"/>
      <c r="BH898" s="162"/>
      <c r="BI898" s="162"/>
      <c r="BJ898" s="162"/>
      <c r="BK898" s="230"/>
      <c r="BL898" s="230"/>
      <c r="BM898" s="162"/>
      <c r="BN898" s="162"/>
      <c r="BO898" s="162"/>
      <c r="BP898" s="162"/>
      <c r="BQ898" s="162"/>
      <c r="BR898" s="230"/>
      <c r="BS898" s="230"/>
      <c r="BT898" s="162"/>
      <c r="BU898" s="162"/>
      <c r="BV898" s="162"/>
      <c r="BW898" s="162"/>
      <c r="BX898" s="162"/>
      <c r="BY898" s="230"/>
      <c r="BZ898" s="230"/>
      <c r="CA898" s="162"/>
      <c r="CB898" s="162"/>
      <c r="CC898" s="162"/>
      <c r="CD898" s="162"/>
      <c r="CE898" s="162"/>
      <c r="CF898" s="230"/>
      <c r="CG898" s="230"/>
      <c r="CH898" s="162"/>
      <c r="CI898" s="162"/>
      <c r="CJ898" s="162"/>
      <c r="CK898" s="162"/>
      <c r="CL898" s="162"/>
      <c r="CM898" s="230"/>
      <c r="CN898" s="230"/>
      <c r="CO898" s="162"/>
      <c r="CP898" s="162"/>
      <c r="CQ898" s="162"/>
      <c r="CR898" s="162"/>
      <c r="CS898" s="162"/>
      <c r="CT898" s="230"/>
      <c r="CU898" s="230"/>
      <c r="CV898" s="162"/>
      <c r="CW898" s="162"/>
      <c r="CX898" s="162"/>
      <c r="CY898" s="162"/>
      <c r="CZ898" s="162"/>
      <c r="DA898" s="230"/>
      <c r="DB898" s="230"/>
      <c r="DC898" s="162"/>
      <c r="DD898" s="162"/>
      <c r="DE898" s="162"/>
      <c r="DF898" s="162"/>
      <c r="DG898" s="162"/>
      <c r="DH898" s="230"/>
      <c r="DI898" s="230"/>
      <c r="DJ898" s="162"/>
      <c r="DK898" s="162"/>
      <c r="DL898" s="147"/>
      <c r="DM898" s="147"/>
      <c r="DN898" s="147"/>
      <c r="DO898" s="147"/>
      <c r="DP898" s="147"/>
      <c r="DQ898" s="147"/>
      <c r="DR898" s="147"/>
      <c r="DS898" s="147"/>
      <c r="DT898" s="147"/>
      <c r="DU898" s="147"/>
      <c r="DV898" s="147"/>
      <c r="DW898" s="147"/>
      <c r="DX898" s="147"/>
      <c r="DY898" s="147"/>
      <c r="DZ898" s="147"/>
      <c r="EA898" s="147"/>
      <c r="EB898" s="147"/>
      <c r="EC898" s="147"/>
      <c r="ED898" s="147"/>
      <c r="EE898" s="147"/>
      <c r="EF898" s="147"/>
      <c r="EG898" s="147"/>
      <c r="EH898" s="147"/>
    </row>
    <row r="899" spans="1:138" x14ac:dyDescent="0.25">
      <c r="A899" s="147"/>
      <c r="B899" s="147"/>
      <c r="C899" s="160"/>
      <c r="D899" s="160"/>
      <c r="E899" s="169"/>
      <c r="F899" s="229"/>
      <c r="G899" s="165"/>
      <c r="H899" s="165"/>
      <c r="I899" s="163"/>
      <c r="J899" s="163"/>
      <c r="K899" s="162"/>
      <c r="L899" s="162"/>
      <c r="M899" s="162"/>
      <c r="N899" s="230"/>
      <c r="O899" s="230"/>
      <c r="P899" s="162"/>
      <c r="Q899" s="162"/>
      <c r="R899" s="162"/>
      <c r="S899" s="162"/>
      <c r="T899" s="162"/>
      <c r="U899" s="230"/>
      <c r="V899" s="230"/>
      <c r="W899" s="162"/>
      <c r="X899" s="162"/>
      <c r="Y899" s="162"/>
      <c r="Z899" s="162"/>
      <c r="AA899" s="162"/>
      <c r="AB899" s="230"/>
      <c r="AC899" s="230"/>
      <c r="AD899" s="162"/>
      <c r="AE899" s="162"/>
      <c r="AF899" s="162"/>
      <c r="AG899" s="162"/>
      <c r="AH899" s="162"/>
      <c r="AI899" s="230"/>
      <c r="AJ899" s="230"/>
      <c r="AK899" s="162"/>
      <c r="AL899" s="162"/>
      <c r="AM899" s="162"/>
      <c r="AN899" s="162"/>
      <c r="AO899" s="162"/>
      <c r="AP899" s="230"/>
      <c r="AQ899" s="230"/>
      <c r="AR899" s="162"/>
      <c r="AS899" s="162"/>
      <c r="AT899" s="162"/>
      <c r="AU899" s="162"/>
      <c r="AV899" s="162"/>
      <c r="AW899" s="230"/>
      <c r="AX899" s="230"/>
      <c r="AY899" s="162"/>
      <c r="AZ899" s="162"/>
      <c r="BA899" s="162"/>
      <c r="BB899" s="162"/>
      <c r="BC899" s="162"/>
      <c r="BD899" s="230"/>
      <c r="BE899" s="230"/>
      <c r="BF899" s="162"/>
      <c r="BG899" s="162"/>
      <c r="BH899" s="162"/>
      <c r="BI899" s="162"/>
      <c r="BJ899" s="162"/>
      <c r="BK899" s="230"/>
      <c r="BL899" s="230"/>
      <c r="BM899" s="162"/>
      <c r="BN899" s="162"/>
      <c r="BO899" s="162"/>
      <c r="BP899" s="162"/>
      <c r="BQ899" s="162"/>
      <c r="BR899" s="230"/>
      <c r="BS899" s="230"/>
      <c r="BT899" s="162"/>
      <c r="BU899" s="162"/>
      <c r="BV899" s="162"/>
      <c r="BW899" s="162"/>
      <c r="BX899" s="162"/>
      <c r="BY899" s="230"/>
      <c r="BZ899" s="230"/>
      <c r="CA899" s="162"/>
      <c r="CB899" s="162"/>
      <c r="CC899" s="162"/>
      <c r="CD899" s="162"/>
      <c r="CE899" s="162"/>
      <c r="CF899" s="230"/>
      <c r="CG899" s="230"/>
      <c r="CH899" s="162"/>
      <c r="CI899" s="162"/>
      <c r="CJ899" s="162"/>
      <c r="CK899" s="162"/>
      <c r="CL899" s="162"/>
      <c r="CM899" s="230"/>
      <c r="CN899" s="230"/>
      <c r="CO899" s="162"/>
      <c r="CP899" s="162"/>
      <c r="CQ899" s="162"/>
      <c r="CR899" s="162"/>
      <c r="CS899" s="162"/>
      <c r="CT899" s="230"/>
      <c r="CU899" s="230"/>
      <c r="CV899" s="162"/>
      <c r="CW899" s="162"/>
      <c r="CX899" s="162"/>
      <c r="CY899" s="162"/>
      <c r="CZ899" s="162"/>
      <c r="DA899" s="230"/>
      <c r="DB899" s="230"/>
      <c r="DC899" s="162"/>
      <c r="DD899" s="162"/>
      <c r="DE899" s="162"/>
      <c r="DF899" s="162"/>
      <c r="DG899" s="162"/>
      <c r="DH899" s="230"/>
      <c r="DI899" s="230"/>
      <c r="DJ899" s="162"/>
      <c r="DK899" s="162"/>
      <c r="DL899" s="147"/>
      <c r="DM899" s="147"/>
      <c r="DN899" s="147"/>
      <c r="DO899" s="147"/>
      <c r="DP899" s="147"/>
      <c r="DQ899" s="147"/>
      <c r="DR899" s="147"/>
      <c r="DS899" s="147"/>
      <c r="DT899" s="147"/>
      <c r="DU899" s="147"/>
      <c r="DV899" s="147"/>
      <c r="DW899" s="147"/>
      <c r="DX899" s="147"/>
      <c r="DY899" s="147"/>
      <c r="DZ899" s="147"/>
      <c r="EA899" s="147"/>
      <c r="EB899" s="147"/>
      <c r="EC899" s="147"/>
      <c r="ED899" s="147"/>
      <c r="EE899" s="147"/>
      <c r="EF899" s="147"/>
      <c r="EG899" s="147"/>
      <c r="EH899" s="147"/>
    </row>
    <row r="900" spans="1:138" x14ac:dyDescent="0.25">
      <c r="A900" s="147"/>
      <c r="B900" s="147"/>
      <c r="C900" s="160"/>
      <c r="D900" s="160"/>
      <c r="E900" s="169"/>
      <c r="F900" s="229"/>
      <c r="G900" s="165"/>
      <c r="H900" s="165"/>
      <c r="I900" s="163"/>
      <c r="J900" s="163"/>
      <c r="K900" s="162"/>
      <c r="L900" s="162"/>
      <c r="M900" s="162"/>
      <c r="N900" s="230"/>
      <c r="O900" s="230"/>
      <c r="P900" s="162"/>
      <c r="Q900" s="162"/>
      <c r="R900" s="162"/>
      <c r="S900" s="162"/>
      <c r="T900" s="162"/>
      <c r="U900" s="230"/>
      <c r="V900" s="230"/>
      <c r="W900" s="162"/>
      <c r="X900" s="162"/>
      <c r="Y900" s="162"/>
      <c r="Z900" s="162"/>
      <c r="AA900" s="162"/>
      <c r="AB900" s="230"/>
      <c r="AC900" s="230"/>
      <c r="AD900" s="162"/>
      <c r="AE900" s="162"/>
      <c r="AF900" s="162"/>
      <c r="AG900" s="162"/>
      <c r="AH900" s="162"/>
      <c r="AI900" s="230"/>
      <c r="AJ900" s="230"/>
      <c r="AK900" s="162"/>
      <c r="AL900" s="162"/>
      <c r="AM900" s="162"/>
      <c r="AN900" s="162"/>
      <c r="AO900" s="162"/>
      <c r="AP900" s="230"/>
      <c r="AQ900" s="230"/>
      <c r="AR900" s="162"/>
      <c r="AS900" s="162"/>
      <c r="AT900" s="162"/>
      <c r="AU900" s="162"/>
      <c r="AV900" s="162"/>
      <c r="AW900" s="230"/>
      <c r="AX900" s="230"/>
      <c r="AY900" s="162"/>
      <c r="AZ900" s="162"/>
      <c r="BA900" s="162"/>
      <c r="BB900" s="162"/>
      <c r="BC900" s="162"/>
      <c r="BD900" s="230"/>
      <c r="BE900" s="230"/>
      <c r="BF900" s="162"/>
      <c r="BG900" s="162"/>
      <c r="BH900" s="162"/>
      <c r="BI900" s="162"/>
      <c r="BJ900" s="162"/>
      <c r="BK900" s="230"/>
      <c r="BL900" s="230"/>
      <c r="BM900" s="162"/>
      <c r="BN900" s="162"/>
      <c r="BO900" s="162"/>
      <c r="BP900" s="162"/>
      <c r="BQ900" s="162"/>
      <c r="BR900" s="230"/>
      <c r="BS900" s="230"/>
      <c r="BT900" s="162"/>
      <c r="BU900" s="162"/>
      <c r="BV900" s="162"/>
      <c r="BW900" s="162"/>
      <c r="BX900" s="162"/>
      <c r="BY900" s="230"/>
      <c r="BZ900" s="230"/>
      <c r="CA900" s="162"/>
      <c r="CB900" s="162"/>
      <c r="CC900" s="162"/>
      <c r="CD900" s="162"/>
      <c r="CE900" s="162"/>
      <c r="CF900" s="230"/>
      <c r="CG900" s="230"/>
      <c r="CH900" s="162"/>
      <c r="CI900" s="162"/>
      <c r="CJ900" s="162"/>
      <c r="CK900" s="162"/>
      <c r="CL900" s="162"/>
      <c r="CM900" s="230"/>
      <c r="CN900" s="230"/>
      <c r="CO900" s="162"/>
      <c r="CP900" s="162"/>
      <c r="CQ900" s="162"/>
      <c r="CR900" s="162"/>
      <c r="CS900" s="162"/>
      <c r="CT900" s="230"/>
      <c r="CU900" s="230"/>
      <c r="CV900" s="162"/>
      <c r="CW900" s="162"/>
      <c r="CX900" s="162"/>
      <c r="CY900" s="162"/>
      <c r="CZ900" s="162"/>
      <c r="DA900" s="230"/>
      <c r="DB900" s="230"/>
      <c r="DC900" s="162"/>
      <c r="DD900" s="162"/>
      <c r="DE900" s="162"/>
      <c r="DF900" s="162"/>
      <c r="DG900" s="162"/>
      <c r="DH900" s="230"/>
      <c r="DI900" s="230"/>
      <c r="DJ900" s="162"/>
      <c r="DK900" s="162"/>
      <c r="DL900" s="147"/>
      <c r="DM900" s="147"/>
      <c r="DN900" s="147"/>
      <c r="DO900" s="147"/>
      <c r="DP900" s="147"/>
      <c r="DQ900" s="147"/>
      <c r="DR900" s="147"/>
      <c r="DS900" s="147"/>
      <c r="DT900" s="147"/>
      <c r="DU900" s="147"/>
      <c r="DV900" s="147"/>
      <c r="DW900" s="147"/>
      <c r="DX900" s="147"/>
      <c r="DY900" s="147"/>
      <c r="DZ900" s="147"/>
      <c r="EA900" s="147"/>
      <c r="EB900" s="147"/>
      <c r="EC900" s="147"/>
      <c r="ED900" s="147"/>
      <c r="EE900" s="147"/>
      <c r="EF900" s="147"/>
      <c r="EG900" s="147"/>
      <c r="EH900" s="147"/>
    </row>
    <row r="901" spans="1:138" x14ac:dyDescent="0.25">
      <c r="A901" s="147"/>
      <c r="B901" s="147"/>
      <c r="C901" s="160"/>
      <c r="D901" s="160"/>
      <c r="E901" s="169"/>
      <c r="F901" s="229"/>
      <c r="G901" s="165"/>
      <c r="H901" s="165"/>
      <c r="I901" s="163"/>
      <c r="J901" s="163"/>
      <c r="K901" s="162"/>
      <c r="L901" s="162"/>
      <c r="M901" s="162"/>
      <c r="N901" s="230"/>
      <c r="O901" s="230"/>
      <c r="P901" s="162"/>
      <c r="Q901" s="162"/>
      <c r="R901" s="162"/>
      <c r="S901" s="162"/>
      <c r="T901" s="162"/>
      <c r="U901" s="230"/>
      <c r="V901" s="230"/>
      <c r="W901" s="162"/>
      <c r="X901" s="162"/>
      <c r="Y901" s="162"/>
      <c r="Z901" s="162"/>
      <c r="AA901" s="162"/>
      <c r="AB901" s="230"/>
      <c r="AC901" s="230"/>
      <c r="AD901" s="162"/>
      <c r="AE901" s="162"/>
      <c r="AF901" s="162"/>
      <c r="AG901" s="162"/>
      <c r="AH901" s="162"/>
      <c r="AI901" s="230"/>
      <c r="AJ901" s="230"/>
      <c r="AK901" s="162"/>
      <c r="AL901" s="162"/>
      <c r="AM901" s="162"/>
      <c r="AN901" s="162"/>
      <c r="AO901" s="162"/>
      <c r="AP901" s="230"/>
      <c r="AQ901" s="230"/>
      <c r="AR901" s="162"/>
      <c r="AS901" s="162"/>
      <c r="AT901" s="162"/>
      <c r="AU901" s="162"/>
      <c r="AV901" s="162"/>
      <c r="AW901" s="230"/>
      <c r="AX901" s="230"/>
      <c r="AY901" s="162"/>
      <c r="AZ901" s="162"/>
      <c r="BA901" s="162"/>
      <c r="BB901" s="162"/>
      <c r="BC901" s="162"/>
      <c r="BD901" s="230"/>
      <c r="BE901" s="230"/>
      <c r="BF901" s="162"/>
      <c r="BG901" s="162"/>
      <c r="BH901" s="162"/>
      <c r="BI901" s="162"/>
      <c r="BJ901" s="162"/>
      <c r="BK901" s="230"/>
      <c r="BL901" s="230"/>
      <c r="BM901" s="162"/>
      <c r="BN901" s="162"/>
      <c r="BO901" s="162"/>
      <c r="BP901" s="162"/>
      <c r="BQ901" s="162"/>
      <c r="BR901" s="230"/>
      <c r="BS901" s="230"/>
      <c r="BT901" s="162"/>
      <c r="BU901" s="162"/>
      <c r="BV901" s="162"/>
      <c r="BW901" s="162"/>
      <c r="BX901" s="162"/>
      <c r="BY901" s="230"/>
      <c r="BZ901" s="230"/>
      <c r="CA901" s="162"/>
      <c r="CB901" s="162"/>
      <c r="CC901" s="162"/>
      <c r="CD901" s="162"/>
      <c r="CE901" s="162"/>
      <c r="CF901" s="230"/>
      <c r="CG901" s="230"/>
      <c r="CH901" s="162"/>
      <c r="CI901" s="162"/>
      <c r="CJ901" s="162"/>
      <c r="CK901" s="162"/>
      <c r="CL901" s="162"/>
      <c r="CM901" s="230"/>
      <c r="CN901" s="230"/>
      <c r="CO901" s="162"/>
      <c r="CP901" s="162"/>
      <c r="CQ901" s="162"/>
      <c r="CR901" s="162"/>
      <c r="CS901" s="162"/>
      <c r="CT901" s="230"/>
      <c r="CU901" s="230"/>
      <c r="CV901" s="162"/>
      <c r="CW901" s="162"/>
      <c r="CX901" s="162"/>
      <c r="CY901" s="162"/>
      <c r="CZ901" s="162"/>
      <c r="DA901" s="230"/>
      <c r="DB901" s="230"/>
      <c r="DC901" s="162"/>
      <c r="DD901" s="162"/>
      <c r="DE901" s="162"/>
      <c r="DF901" s="162"/>
      <c r="DG901" s="162"/>
      <c r="DH901" s="230"/>
      <c r="DI901" s="230"/>
      <c r="DJ901" s="162"/>
      <c r="DK901" s="162"/>
      <c r="DL901" s="147"/>
      <c r="DM901" s="147"/>
      <c r="DN901" s="147"/>
      <c r="DO901" s="147"/>
      <c r="DP901" s="147"/>
      <c r="DQ901" s="147"/>
      <c r="DR901" s="147"/>
      <c r="DS901" s="147"/>
      <c r="DT901" s="147"/>
      <c r="DU901" s="147"/>
      <c r="DV901" s="147"/>
      <c r="DW901" s="147"/>
      <c r="DX901" s="147"/>
      <c r="DY901" s="147"/>
      <c r="DZ901" s="147"/>
      <c r="EA901" s="147"/>
      <c r="EB901" s="147"/>
      <c r="EC901" s="147"/>
      <c r="ED901" s="147"/>
      <c r="EE901" s="147"/>
      <c r="EF901" s="147"/>
      <c r="EG901" s="147"/>
      <c r="EH901" s="147"/>
    </row>
    <row r="902" spans="1:138" x14ac:dyDescent="0.25">
      <c r="A902" s="147"/>
      <c r="B902" s="147"/>
      <c r="C902" s="160"/>
      <c r="D902" s="160"/>
      <c r="E902" s="169"/>
      <c r="F902" s="229"/>
      <c r="G902" s="165"/>
      <c r="H902" s="165"/>
      <c r="I902" s="163"/>
      <c r="J902" s="163"/>
      <c r="K902" s="162"/>
      <c r="L902" s="162"/>
      <c r="M902" s="162"/>
      <c r="N902" s="230"/>
      <c r="O902" s="230"/>
      <c r="P902" s="162"/>
      <c r="Q902" s="162"/>
      <c r="R902" s="162"/>
      <c r="S902" s="162"/>
      <c r="T902" s="162"/>
      <c r="U902" s="230"/>
      <c r="V902" s="230"/>
      <c r="W902" s="162"/>
      <c r="X902" s="162"/>
      <c r="Y902" s="162"/>
      <c r="Z902" s="162"/>
      <c r="AA902" s="162"/>
      <c r="AB902" s="230"/>
      <c r="AC902" s="230"/>
      <c r="AD902" s="162"/>
      <c r="AE902" s="162"/>
      <c r="AF902" s="162"/>
      <c r="AG902" s="162"/>
      <c r="AH902" s="162"/>
      <c r="AI902" s="230"/>
      <c r="AJ902" s="230"/>
      <c r="AK902" s="162"/>
      <c r="AL902" s="162"/>
      <c r="AM902" s="162"/>
      <c r="AN902" s="162"/>
      <c r="AO902" s="162"/>
      <c r="AP902" s="230"/>
      <c r="AQ902" s="230"/>
      <c r="AR902" s="162"/>
      <c r="AS902" s="162"/>
      <c r="AT902" s="162"/>
      <c r="AU902" s="162"/>
      <c r="AV902" s="162"/>
      <c r="AW902" s="230"/>
      <c r="AX902" s="230"/>
      <c r="AY902" s="162"/>
      <c r="AZ902" s="162"/>
      <c r="BA902" s="162"/>
      <c r="BB902" s="162"/>
      <c r="BC902" s="162"/>
      <c r="BD902" s="230"/>
      <c r="BE902" s="230"/>
      <c r="BF902" s="162"/>
      <c r="BG902" s="162"/>
      <c r="BH902" s="162"/>
      <c r="BI902" s="162"/>
      <c r="BJ902" s="162"/>
      <c r="BK902" s="230"/>
      <c r="BL902" s="230"/>
      <c r="BM902" s="162"/>
      <c r="BN902" s="162"/>
      <c r="BO902" s="162"/>
      <c r="BP902" s="162"/>
      <c r="BQ902" s="162"/>
      <c r="BR902" s="230"/>
      <c r="BS902" s="230"/>
      <c r="BT902" s="162"/>
      <c r="BU902" s="162"/>
      <c r="BV902" s="162"/>
      <c r="BW902" s="162"/>
      <c r="BX902" s="162"/>
      <c r="BY902" s="230"/>
      <c r="BZ902" s="230"/>
      <c r="CA902" s="162"/>
      <c r="CB902" s="162"/>
      <c r="CC902" s="162"/>
      <c r="CD902" s="162"/>
      <c r="CE902" s="162"/>
      <c r="CF902" s="230"/>
      <c r="CG902" s="230"/>
      <c r="CH902" s="162"/>
      <c r="CI902" s="162"/>
      <c r="CJ902" s="162"/>
      <c r="CK902" s="162"/>
      <c r="CL902" s="162"/>
      <c r="CM902" s="230"/>
      <c r="CN902" s="230"/>
      <c r="CO902" s="162"/>
      <c r="CP902" s="162"/>
      <c r="CQ902" s="162"/>
      <c r="CR902" s="162"/>
      <c r="CS902" s="162"/>
      <c r="CT902" s="230"/>
      <c r="CU902" s="230"/>
      <c r="CV902" s="162"/>
      <c r="CW902" s="162"/>
      <c r="CX902" s="162"/>
      <c r="CY902" s="162"/>
      <c r="CZ902" s="162"/>
      <c r="DA902" s="230"/>
      <c r="DB902" s="230"/>
      <c r="DC902" s="162"/>
      <c r="DD902" s="162"/>
      <c r="DE902" s="162"/>
      <c r="DF902" s="162"/>
      <c r="DG902" s="162"/>
      <c r="DH902" s="230"/>
      <c r="DI902" s="230"/>
      <c r="DJ902" s="162"/>
      <c r="DK902" s="162"/>
      <c r="DL902" s="147"/>
      <c r="DM902" s="147"/>
      <c r="DN902" s="147"/>
      <c r="DO902" s="147"/>
      <c r="DP902" s="147"/>
      <c r="DQ902" s="147"/>
      <c r="DR902" s="147"/>
      <c r="DS902" s="147"/>
      <c r="DT902" s="147"/>
      <c r="DU902" s="147"/>
      <c r="DV902" s="147"/>
      <c r="DW902" s="147"/>
      <c r="DX902" s="147"/>
      <c r="DY902" s="147"/>
      <c r="DZ902" s="147"/>
      <c r="EA902" s="147"/>
      <c r="EB902" s="147"/>
      <c r="EC902" s="147"/>
      <c r="ED902" s="147"/>
      <c r="EE902" s="147"/>
      <c r="EF902" s="147"/>
      <c r="EG902" s="147"/>
      <c r="EH902" s="147"/>
    </row>
    <row r="903" spans="1:138" x14ac:dyDescent="0.25">
      <c r="A903" s="147"/>
      <c r="B903" s="147"/>
      <c r="C903" s="160"/>
      <c r="D903" s="160"/>
      <c r="E903" s="169"/>
      <c r="F903" s="229"/>
      <c r="G903" s="165"/>
      <c r="H903" s="165"/>
      <c r="I903" s="163"/>
      <c r="J903" s="163"/>
      <c r="K903" s="162"/>
      <c r="L903" s="162"/>
      <c r="M903" s="162"/>
      <c r="N903" s="230"/>
      <c r="O903" s="230"/>
      <c r="P903" s="162"/>
      <c r="Q903" s="162"/>
      <c r="R903" s="162"/>
      <c r="S903" s="162"/>
      <c r="T903" s="162"/>
      <c r="U903" s="230"/>
      <c r="V903" s="230"/>
      <c r="W903" s="162"/>
      <c r="X903" s="162"/>
      <c r="Y903" s="162"/>
      <c r="Z903" s="162"/>
      <c r="AA903" s="162"/>
      <c r="AB903" s="230"/>
      <c r="AC903" s="230"/>
      <c r="AD903" s="162"/>
      <c r="AE903" s="162"/>
      <c r="AF903" s="162"/>
      <c r="AG903" s="162"/>
      <c r="AH903" s="162"/>
      <c r="AI903" s="230"/>
      <c r="AJ903" s="230"/>
      <c r="AK903" s="162"/>
      <c r="AL903" s="162"/>
      <c r="AM903" s="162"/>
      <c r="AN903" s="162"/>
      <c r="AO903" s="162"/>
      <c r="AP903" s="230"/>
      <c r="AQ903" s="230"/>
      <c r="AR903" s="162"/>
      <c r="AS903" s="162"/>
      <c r="AT903" s="162"/>
      <c r="AU903" s="162"/>
      <c r="AV903" s="162"/>
      <c r="AW903" s="230"/>
      <c r="AX903" s="230"/>
      <c r="AY903" s="162"/>
      <c r="AZ903" s="162"/>
      <c r="BA903" s="162"/>
      <c r="BB903" s="162"/>
      <c r="BC903" s="162"/>
      <c r="BD903" s="230"/>
      <c r="BE903" s="230"/>
      <c r="BF903" s="162"/>
      <c r="BG903" s="162"/>
      <c r="BH903" s="162"/>
      <c r="BI903" s="162"/>
      <c r="BJ903" s="162"/>
      <c r="BK903" s="230"/>
      <c r="BL903" s="230"/>
      <c r="BM903" s="162"/>
      <c r="BN903" s="162"/>
      <c r="BO903" s="162"/>
      <c r="BP903" s="162"/>
      <c r="BQ903" s="162"/>
      <c r="BR903" s="230"/>
      <c r="BS903" s="230"/>
      <c r="BT903" s="162"/>
      <c r="BU903" s="162"/>
      <c r="BV903" s="162"/>
      <c r="BW903" s="162"/>
      <c r="BX903" s="162"/>
      <c r="BY903" s="230"/>
      <c r="BZ903" s="230"/>
      <c r="CA903" s="162"/>
      <c r="CB903" s="162"/>
      <c r="CC903" s="162"/>
      <c r="CD903" s="162"/>
      <c r="CE903" s="162"/>
      <c r="CF903" s="230"/>
      <c r="CG903" s="230"/>
      <c r="CH903" s="162"/>
      <c r="CI903" s="162"/>
      <c r="CJ903" s="162"/>
      <c r="CK903" s="162"/>
      <c r="CL903" s="162"/>
      <c r="CM903" s="230"/>
      <c r="CN903" s="230"/>
      <c r="CO903" s="162"/>
      <c r="CP903" s="162"/>
      <c r="CQ903" s="162"/>
      <c r="CR903" s="162"/>
      <c r="CS903" s="162"/>
      <c r="CT903" s="230"/>
      <c r="CU903" s="230"/>
      <c r="CV903" s="162"/>
      <c r="CW903" s="162"/>
      <c r="CX903" s="162"/>
      <c r="CY903" s="162"/>
      <c r="CZ903" s="162"/>
      <c r="DA903" s="230"/>
      <c r="DB903" s="230"/>
      <c r="DC903" s="162"/>
      <c r="DD903" s="162"/>
      <c r="DE903" s="162"/>
      <c r="DF903" s="162"/>
      <c r="DG903" s="162"/>
      <c r="DH903" s="230"/>
      <c r="DI903" s="230"/>
      <c r="DJ903" s="162"/>
      <c r="DK903" s="162"/>
      <c r="DL903" s="147"/>
      <c r="DM903" s="147"/>
      <c r="DN903" s="147"/>
      <c r="DO903" s="147"/>
      <c r="DP903" s="147"/>
      <c r="DQ903" s="147"/>
      <c r="DR903" s="147"/>
      <c r="DS903" s="147"/>
      <c r="DT903" s="147"/>
      <c r="DU903" s="147"/>
      <c r="DV903" s="147"/>
      <c r="DW903" s="147"/>
      <c r="DX903" s="147"/>
      <c r="DY903" s="147"/>
      <c r="DZ903" s="147"/>
      <c r="EA903" s="147"/>
      <c r="EB903" s="147"/>
      <c r="EC903" s="147"/>
      <c r="ED903" s="147"/>
      <c r="EE903" s="147"/>
      <c r="EF903" s="147"/>
      <c r="EG903" s="147"/>
      <c r="EH903" s="147"/>
    </row>
    <row r="904" spans="1:138" x14ac:dyDescent="0.25">
      <c r="A904" s="147"/>
      <c r="B904" s="147"/>
      <c r="C904" s="160"/>
      <c r="D904" s="160"/>
      <c r="E904" s="169"/>
      <c r="F904" s="229"/>
      <c r="G904" s="165"/>
      <c r="H904" s="165"/>
      <c r="I904" s="163"/>
      <c r="J904" s="163"/>
      <c r="K904" s="162"/>
      <c r="L904" s="162"/>
      <c r="M904" s="162"/>
      <c r="N904" s="230"/>
      <c r="O904" s="230"/>
      <c r="P904" s="162"/>
      <c r="Q904" s="162"/>
      <c r="R904" s="162"/>
      <c r="S904" s="162"/>
      <c r="T904" s="162"/>
      <c r="U904" s="230"/>
      <c r="V904" s="230"/>
      <c r="W904" s="162"/>
      <c r="X904" s="162"/>
      <c r="Y904" s="162"/>
      <c r="Z904" s="162"/>
      <c r="AA904" s="162"/>
      <c r="AB904" s="230"/>
      <c r="AC904" s="230"/>
      <c r="AD904" s="162"/>
      <c r="AE904" s="162"/>
      <c r="AF904" s="162"/>
      <c r="AG904" s="162"/>
      <c r="AH904" s="162"/>
      <c r="AI904" s="230"/>
      <c r="AJ904" s="230"/>
      <c r="AK904" s="162"/>
      <c r="AL904" s="162"/>
      <c r="AM904" s="162"/>
      <c r="AN904" s="162"/>
      <c r="AO904" s="162"/>
      <c r="AP904" s="230"/>
      <c r="AQ904" s="230"/>
      <c r="AR904" s="162"/>
      <c r="AS904" s="162"/>
      <c r="AT904" s="162"/>
      <c r="AU904" s="162"/>
      <c r="AV904" s="162"/>
      <c r="AW904" s="230"/>
      <c r="AX904" s="230"/>
      <c r="AY904" s="162"/>
      <c r="AZ904" s="162"/>
      <c r="BA904" s="162"/>
      <c r="BB904" s="162"/>
      <c r="BC904" s="162"/>
      <c r="BD904" s="230"/>
      <c r="BE904" s="230"/>
      <c r="BF904" s="162"/>
      <c r="BG904" s="162"/>
      <c r="BH904" s="162"/>
      <c r="BI904" s="162"/>
      <c r="BJ904" s="162"/>
      <c r="BK904" s="230"/>
      <c r="BL904" s="230"/>
      <c r="BM904" s="162"/>
      <c r="BN904" s="162"/>
      <c r="BO904" s="162"/>
      <c r="BP904" s="162"/>
      <c r="BQ904" s="162"/>
      <c r="BR904" s="230"/>
      <c r="BS904" s="230"/>
      <c r="BT904" s="162"/>
      <c r="BU904" s="162"/>
      <c r="BV904" s="162"/>
      <c r="BW904" s="162"/>
      <c r="BX904" s="162"/>
      <c r="BY904" s="230"/>
      <c r="BZ904" s="230"/>
      <c r="CA904" s="162"/>
      <c r="CB904" s="162"/>
      <c r="CC904" s="162"/>
      <c r="CD904" s="162"/>
      <c r="CE904" s="162"/>
      <c r="CF904" s="230"/>
      <c r="CG904" s="230"/>
      <c r="CH904" s="162"/>
      <c r="CI904" s="162"/>
      <c r="CJ904" s="162"/>
      <c r="CK904" s="162"/>
      <c r="CL904" s="162"/>
      <c r="CM904" s="230"/>
      <c r="CN904" s="230"/>
      <c r="CO904" s="162"/>
      <c r="CP904" s="162"/>
      <c r="CQ904" s="162"/>
      <c r="CR904" s="162"/>
      <c r="CS904" s="162"/>
      <c r="CT904" s="230"/>
      <c r="CU904" s="230"/>
      <c r="CV904" s="162"/>
      <c r="CW904" s="162"/>
      <c r="CX904" s="162"/>
      <c r="CY904" s="162"/>
      <c r="CZ904" s="162"/>
      <c r="DA904" s="230"/>
      <c r="DB904" s="230"/>
      <c r="DC904" s="162"/>
      <c r="DD904" s="162"/>
      <c r="DE904" s="162"/>
      <c r="DF904" s="162"/>
      <c r="DG904" s="162"/>
      <c r="DH904" s="230"/>
      <c r="DI904" s="230"/>
      <c r="DJ904" s="162"/>
      <c r="DK904" s="162"/>
      <c r="DL904" s="147"/>
      <c r="DM904" s="147"/>
      <c r="DN904" s="147"/>
      <c r="DO904" s="147"/>
      <c r="DP904" s="147"/>
      <c r="DQ904" s="147"/>
      <c r="DR904" s="147"/>
      <c r="DS904" s="147"/>
      <c r="DT904" s="147"/>
      <c r="DU904" s="147"/>
      <c r="DV904" s="147"/>
      <c r="DW904" s="147"/>
      <c r="DX904" s="147"/>
      <c r="DY904" s="147"/>
      <c r="DZ904" s="147"/>
      <c r="EA904" s="147"/>
      <c r="EB904" s="147"/>
      <c r="EC904" s="147"/>
      <c r="ED904" s="147"/>
      <c r="EE904" s="147"/>
      <c r="EF904" s="147"/>
      <c r="EG904" s="147"/>
      <c r="EH904" s="147"/>
    </row>
    <row r="905" spans="1:138" x14ac:dyDescent="0.25">
      <c r="A905" s="147"/>
      <c r="B905" s="147"/>
      <c r="C905" s="160"/>
      <c r="D905" s="160"/>
      <c r="E905" s="169"/>
      <c r="F905" s="229"/>
      <c r="G905" s="165"/>
      <c r="H905" s="165"/>
      <c r="I905" s="163"/>
      <c r="J905" s="163"/>
      <c r="K905" s="162"/>
      <c r="L905" s="162"/>
      <c r="M905" s="162"/>
      <c r="N905" s="230"/>
      <c r="O905" s="230"/>
      <c r="P905" s="162"/>
      <c r="Q905" s="162"/>
      <c r="R905" s="162"/>
      <c r="S905" s="162"/>
      <c r="T905" s="162"/>
      <c r="U905" s="230"/>
      <c r="V905" s="230"/>
      <c r="W905" s="162"/>
      <c r="X905" s="162"/>
      <c r="Y905" s="162"/>
      <c r="Z905" s="162"/>
      <c r="AA905" s="162"/>
      <c r="AB905" s="230"/>
      <c r="AC905" s="230"/>
      <c r="AD905" s="162"/>
      <c r="AE905" s="162"/>
      <c r="AF905" s="162"/>
      <c r="AG905" s="162"/>
      <c r="AH905" s="162"/>
      <c r="AI905" s="230"/>
      <c r="AJ905" s="230"/>
      <c r="AK905" s="162"/>
      <c r="AL905" s="162"/>
      <c r="AM905" s="162"/>
      <c r="AN905" s="162"/>
      <c r="AO905" s="162"/>
      <c r="AP905" s="230"/>
      <c r="AQ905" s="230"/>
      <c r="AR905" s="162"/>
      <c r="AS905" s="162"/>
      <c r="AT905" s="162"/>
      <c r="AU905" s="162"/>
      <c r="AV905" s="162"/>
      <c r="AW905" s="230"/>
      <c r="AX905" s="230"/>
      <c r="AY905" s="162"/>
      <c r="AZ905" s="162"/>
      <c r="BA905" s="162"/>
      <c r="BB905" s="162"/>
      <c r="BC905" s="162"/>
      <c r="BD905" s="230"/>
      <c r="BE905" s="230"/>
      <c r="BF905" s="162"/>
      <c r="BG905" s="162"/>
      <c r="BH905" s="162"/>
      <c r="BI905" s="162"/>
      <c r="BJ905" s="162"/>
      <c r="BK905" s="230"/>
      <c r="BL905" s="230"/>
      <c r="BM905" s="162"/>
      <c r="BN905" s="162"/>
      <c r="BO905" s="162"/>
      <c r="BP905" s="162"/>
      <c r="BQ905" s="162"/>
      <c r="BR905" s="230"/>
      <c r="BS905" s="230"/>
      <c r="BT905" s="162"/>
      <c r="BU905" s="162"/>
      <c r="BV905" s="162"/>
      <c r="BW905" s="162"/>
      <c r="BX905" s="162"/>
      <c r="BY905" s="230"/>
      <c r="BZ905" s="230"/>
      <c r="CA905" s="162"/>
      <c r="CB905" s="162"/>
      <c r="CC905" s="162"/>
      <c r="CD905" s="162"/>
      <c r="CE905" s="162"/>
      <c r="CF905" s="230"/>
      <c r="CG905" s="230"/>
      <c r="CH905" s="162"/>
      <c r="CI905" s="162"/>
      <c r="CJ905" s="162"/>
      <c r="CK905" s="162"/>
      <c r="CL905" s="162"/>
      <c r="CM905" s="230"/>
      <c r="CN905" s="230"/>
      <c r="CO905" s="162"/>
      <c r="CP905" s="162"/>
      <c r="CQ905" s="162"/>
      <c r="CR905" s="162"/>
      <c r="CS905" s="162"/>
      <c r="CT905" s="230"/>
      <c r="CU905" s="230"/>
      <c r="CV905" s="162"/>
      <c r="CW905" s="162"/>
      <c r="CX905" s="162"/>
      <c r="CY905" s="162"/>
      <c r="CZ905" s="162"/>
      <c r="DA905" s="230"/>
      <c r="DB905" s="230"/>
      <c r="DC905" s="162"/>
      <c r="DD905" s="162"/>
      <c r="DE905" s="162"/>
      <c r="DF905" s="162"/>
      <c r="DG905" s="162"/>
      <c r="DH905" s="230"/>
      <c r="DI905" s="230"/>
      <c r="DJ905" s="162"/>
      <c r="DK905" s="162"/>
      <c r="DL905" s="147"/>
      <c r="DM905" s="147"/>
      <c r="DN905" s="147"/>
      <c r="DO905" s="147"/>
      <c r="DP905" s="147"/>
      <c r="DQ905" s="147"/>
      <c r="DR905" s="147"/>
      <c r="DS905" s="147"/>
      <c r="DT905" s="147"/>
      <c r="DU905" s="147"/>
      <c r="DV905" s="147"/>
      <c r="DW905" s="147"/>
      <c r="DX905" s="147"/>
      <c r="DY905" s="147"/>
      <c r="DZ905" s="147"/>
      <c r="EA905" s="147"/>
      <c r="EB905" s="147"/>
      <c r="EC905" s="147"/>
      <c r="ED905" s="147"/>
      <c r="EE905" s="147"/>
      <c r="EF905" s="147"/>
      <c r="EG905" s="147"/>
      <c r="EH905" s="147"/>
    </row>
    <row r="906" spans="1:138" x14ac:dyDescent="0.25">
      <c r="A906" s="147"/>
      <c r="B906" s="147"/>
      <c r="C906" s="160"/>
      <c r="D906" s="160"/>
      <c r="E906" s="169"/>
      <c r="F906" s="229"/>
      <c r="G906" s="165"/>
      <c r="H906" s="165"/>
      <c r="I906" s="163"/>
      <c r="J906" s="163"/>
      <c r="K906" s="162"/>
      <c r="L906" s="162"/>
      <c r="M906" s="162"/>
      <c r="N906" s="230"/>
      <c r="O906" s="230"/>
      <c r="P906" s="162"/>
      <c r="Q906" s="162"/>
      <c r="R906" s="162"/>
      <c r="S906" s="162"/>
      <c r="T906" s="162"/>
      <c r="U906" s="230"/>
      <c r="V906" s="230"/>
      <c r="W906" s="162"/>
      <c r="X906" s="162"/>
      <c r="Y906" s="162"/>
      <c r="Z906" s="162"/>
      <c r="AA906" s="162"/>
      <c r="AB906" s="230"/>
      <c r="AC906" s="230"/>
      <c r="AD906" s="162"/>
      <c r="AE906" s="162"/>
      <c r="AF906" s="162"/>
      <c r="AG906" s="162"/>
      <c r="AH906" s="162"/>
      <c r="AI906" s="230"/>
      <c r="AJ906" s="230"/>
      <c r="AK906" s="162"/>
      <c r="AL906" s="162"/>
      <c r="AM906" s="162"/>
      <c r="AN906" s="162"/>
      <c r="AO906" s="162"/>
      <c r="AP906" s="230"/>
      <c r="AQ906" s="230"/>
      <c r="AR906" s="162"/>
      <c r="AS906" s="162"/>
      <c r="AT906" s="162"/>
      <c r="AU906" s="162"/>
      <c r="AV906" s="162"/>
      <c r="AW906" s="230"/>
      <c r="AX906" s="230"/>
      <c r="AY906" s="162"/>
      <c r="AZ906" s="162"/>
      <c r="BA906" s="162"/>
      <c r="BB906" s="162"/>
      <c r="BC906" s="162"/>
      <c r="BD906" s="230"/>
      <c r="BE906" s="230"/>
      <c r="BF906" s="162"/>
      <c r="BG906" s="162"/>
      <c r="BH906" s="162"/>
      <c r="BI906" s="162"/>
      <c r="BJ906" s="162"/>
      <c r="BK906" s="230"/>
      <c r="BL906" s="230"/>
      <c r="BM906" s="162"/>
      <c r="BN906" s="162"/>
      <c r="BO906" s="162"/>
      <c r="BP906" s="162"/>
      <c r="BQ906" s="162"/>
      <c r="BR906" s="230"/>
      <c r="BS906" s="230"/>
      <c r="BT906" s="162"/>
      <c r="BU906" s="162"/>
      <c r="BV906" s="162"/>
      <c r="BW906" s="162"/>
      <c r="BX906" s="162"/>
      <c r="BY906" s="230"/>
      <c r="BZ906" s="230"/>
      <c r="CA906" s="162"/>
      <c r="CB906" s="162"/>
      <c r="CC906" s="162"/>
      <c r="CD906" s="162"/>
      <c r="CE906" s="162"/>
      <c r="CF906" s="230"/>
      <c r="CG906" s="230"/>
      <c r="CH906" s="162"/>
      <c r="CI906" s="162"/>
      <c r="CJ906" s="162"/>
      <c r="CK906" s="162"/>
      <c r="CL906" s="162"/>
      <c r="CM906" s="230"/>
      <c r="CN906" s="230"/>
      <c r="CO906" s="162"/>
      <c r="CP906" s="162"/>
      <c r="CQ906" s="162"/>
      <c r="CR906" s="162"/>
      <c r="CS906" s="162"/>
      <c r="CT906" s="230"/>
      <c r="CU906" s="230"/>
      <c r="CV906" s="162"/>
      <c r="CW906" s="162"/>
      <c r="CX906" s="162"/>
      <c r="CY906" s="162"/>
      <c r="CZ906" s="162"/>
      <c r="DA906" s="230"/>
      <c r="DB906" s="230"/>
      <c r="DC906" s="162"/>
      <c r="DD906" s="162"/>
      <c r="DE906" s="162"/>
      <c r="DF906" s="162"/>
      <c r="DG906" s="162"/>
      <c r="DH906" s="230"/>
      <c r="DI906" s="230"/>
      <c r="DJ906" s="162"/>
      <c r="DK906" s="162"/>
      <c r="DL906" s="147"/>
      <c r="DM906" s="147"/>
      <c r="DN906" s="147"/>
      <c r="DO906" s="147"/>
      <c r="DP906" s="147"/>
      <c r="DQ906" s="147"/>
      <c r="DR906" s="147"/>
      <c r="DS906" s="147"/>
      <c r="DT906" s="147"/>
      <c r="DU906" s="147"/>
      <c r="DV906" s="147"/>
      <c r="DW906" s="147"/>
      <c r="DX906" s="147"/>
      <c r="DY906" s="147"/>
      <c r="DZ906" s="147"/>
      <c r="EA906" s="147"/>
      <c r="EB906" s="147"/>
      <c r="EC906" s="147"/>
      <c r="ED906" s="147"/>
      <c r="EE906" s="147"/>
      <c r="EF906" s="147"/>
      <c r="EG906" s="147"/>
      <c r="EH906" s="147"/>
    </row>
    <row r="907" spans="1:138" x14ac:dyDescent="0.25">
      <c r="A907" s="147"/>
      <c r="B907" s="147"/>
      <c r="C907" s="160"/>
      <c r="D907" s="160"/>
      <c r="E907" s="169"/>
      <c r="F907" s="229"/>
      <c r="G907" s="165"/>
      <c r="H907" s="165"/>
      <c r="I907" s="163"/>
      <c r="J907" s="163"/>
      <c r="K907" s="162"/>
      <c r="L907" s="162"/>
      <c r="M907" s="162"/>
      <c r="N907" s="230"/>
      <c r="O907" s="230"/>
      <c r="P907" s="162"/>
      <c r="Q907" s="162"/>
      <c r="R907" s="162"/>
      <c r="S907" s="162"/>
      <c r="T907" s="162"/>
      <c r="U907" s="230"/>
      <c r="V907" s="230"/>
      <c r="W907" s="162"/>
      <c r="X907" s="162"/>
      <c r="Y907" s="162"/>
      <c r="Z907" s="162"/>
      <c r="AA907" s="162"/>
      <c r="AB907" s="230"/>
      <c r="AC907" s="230"/>
      <c r="AD907" s="162"/>
      <c r="AE907" s="162"/>
      <c r="AF907" s="162"/>
      <c r="AG907" s="162"/>
      <c r="AH907" s="162"/>
      <c r="AI907" s="230"/>
      <c r="AJ907" s="230"/>
      <c r="AK907" s="162"/>
      <c r="AL907" s="162"/>
      <c r="AM907" s="162"/>
      <c r="AN907" s="162"/>
      <c r="AO907" s="162"/>
      <c r="AP907" s="230"/>
      <c r="AQ907" s="230"/>
      <c r="AR907" s="162"/>
      <c r="AS907" s="162"/>
      <c r="AT907" s="162"/>
      <c r="AU907" s="162"/>
      <c r="AV907" s="162"/>
      <c r="AW907" s="230"/>
      <c r="AX907" s="230"/>
      <c r="AY907" s="162"/>
      <c r="AZ907" s="162"/>
      <c r="BA907" s="162"/>
      <c r="BB907" s="162"/>
      <c r="BC907" s="162"/>
      <c r="BD907" s="230"/>
      <c r="BE907" s="230"/>
      <c r="BF907" s="162"/>
      <c r="BG907" s="162"/>
      <c r="BH907" s="162"/>
      <c r="BI907" s="162"/>
      <c r="BJ907" s="162"/>
      <c r="BK907" s="230"/>
      <c r="BL907" s="230"/>
      <c r="BM907" s="162"/>
      <c r="BN907" s="162"/>
      <c r="BO907" s="162"/>
      <c r="BP907" s="162"/>
      <c r="BQ907" s="162"/>
      <c r="BR907" s="230"/>
      <c r="BS907" s="230"/>
      <c r="BT907" s="162"/>
      <c r="BU907" s="162"/>
      <c r="BV907" s="162"/>
      <c r="BW907" s="162"/>
      <c r="BX907" s="162"/>
      <c r="BY907" s="230"/>
      <c r="BZ907" s="230"/>
      <c r="CA907" s="162"/>
      <c r="CB907" s="162"/>
      <c r="CC907" s="162"/>
      <c r="CD907" s="162"/>
      <c r="CE907" s="162"/>
      <c r="CF907" s="230"/>
      <c r="CG907" s="230"/>
      <c r="CH907" s="162"/>
      <c r="CI907" s="162"/>
      <c r="CJ907" s="162"/>
      <c r="CK907" s="162"/>
      <c r="CL907" s="162"/>
      <c r="CM907" s="230"/>
      <c r="CN907" s="230"/>
      <c r="CO907" s="162"/>
      <c r="CP907" s="162"/>
      <c r="CQ907" s="162"/>
      <c r="CR907" s="162"/>
      <c r="CS907" s="162"/>
      <c r="CT907" s="230"/>
      <c r="CU907" s="230"/>
      <c r="CV907" s="162"/>
      <c r="CW907" s="162"/>
      <c r="CX907" s="162"/>
      <c r="CY907" s="162"/>
      <c r="CZ907" s="162"/>
      <c r="DA907" s="230"/>
      <c r="DB907" s="230"/>
      <c r="DC907" s="162"/>
      <c r="DD907" s="162"/>
      <c r="DE907" s="162"/>
      <c r="DF907" s="162"/>
      <c r="DG907" s="162"/>
      <c r="DH907" s="230"/>
      <c r="DI907" s="230"/>
      <c r="DJ907" s="162"/>
      <c r="DK907" s="162"/>
      <c r="DL907" s="147"/>
      <c r="DM907" s="147"/>
      <c r="DN907" s="147"/>
      <c r="DO907" s="147"/>
      <c r="DP907" s="147"/>
      <c r="DQ907" s="147"/>
      <c r="DR907" s="147"/>
      <c r="DS907" s="147"/>
      <c r="DT907" s="147"/>
      <c r="DU907" s="147"/>
      <c r="DV907" s="147"/>
      <c r="DW907" s="147"/>
      <c r="DX907" s="147"/>
      <c r="DY907" s="147"/>
      <c r="DZ907" s="147"/>
      <c r="EA907" s="147"/>
      <c r="EB907" s="147"/>
      <c r="EC907" s="147"/>
      <c r="ED907" s="147"/>
      <c r="EE907" s="147"/>
      <c r="EF907" s="147"/>
      <c r="EG907" s="147"/>
      <c r="EH907" s="147"/>
    </row>
    <row r="908" spans="1:138" x14ac:dyDescent="0.25">
      <c r="A908" s="147"/>
      <c r="B908" s="147"/>
      <c r="C908" s="160"/>
      <c r="D908" s="160"/>
      <c r="E908" s="169"/>
      <c r="F908" s="229"/>
      <c r="G908" s="165"/>
      <c r="H908" s="165"/>
      <c r="I908" s="163"/>
      <c r="J908" s="163"/>
      <c r="K908" s="162"/>
      <c r="L908" s="162"/>
      <c r="M908" s="162"/>
      <c r="N908" s="230"/>
      <c r="O908" s="230"/>
      <c r="P908" s="162"/>
      <c r="Q908" s="162"/>
      <c r="R908" s="162"/>
      <c r="S908" s="162"/>
      <c r="T908" s="162"/>
      <c r="U908" s="230"/>
      <c r="V908" s="230"/>
      <c r="W908" s="162"/>
      <c r="X908" s="162"/>
      <c r="Y908" s="162"/>
      <c r="Z908" s="162"/>
      <c r="AA908" s="162"/>
      <c r="AB908" s="230"/>
      <c r="AC908" s="230"/>
      <c r="AD908" s="162"/>
      <c r="AE908" s="162"/>
      <c r="AF908" s="162"/>
      <c r="AG908" s="162"/>
      <c r="AH908" s="162"/>
      <c r="AI908" s="230"/>
      <c r="AJ908" s="230"/>
      <c r="AK908" s="162"/>
      <c r="AL908" s="162"/>
      <c r="AM908" s="162"/>
      <c r="AN908" s="162"/>
      <c r="AO908" s="162"/>
      <c r="AP908" s="230"/>
      <c r="AQ908" s="230"/>
      <c r="AR908" s="162"/>
      <c r="AS908" s="162"/>
      <c r="AT908" s="162"/>
      <c r="AU908" s="162"/>
      <c r="AV908" s="162"/>
      <c r="AW908" s="230"/>
      <c r="AX908" s="230"/>
      <c r="AY908" s="162"/>
      <c r="AZ908" s="162"/>
      <c r="BA908" s="162"/>
      <c r="BB908" s="162"/>
      <c r="BC908" s="162"/>
      <c r="BD908" s="230"/>
      <c r="BE908" s="230"/>
      <c r="BF908" s="162"/>
      <c r="BG908" s="162"/>
      <c r="BH908" s="162"/>
      <c r="BI908" s="162"/>
      <c r="BJ908" s="162"/>
      <c r="BK908" s="230"/>
      <c r="BL908" s="230"/>
      <c r="BM908" s="162"/>
      <c r="BN908" s="162"/>
      <c r="BO908" s="162"/>
      <c r="BP908" s="162"/>
      <c r="BQ908" s="162"/>
      <c r="BR908" s="230"/>
      <c r="BS908" s="230"/>
      <c r="BT908" s="162"/>
      <c r="BU908" s="162"/>
      <c r="BV908" s="162"/>
      <c r="BW908" s="162"/>
      <c r="BX908" s="162"/>
      <c r="BY908" s="230"/>
      <c r="BZ908" s="230"/>
      <c r="CA908" s="162"/>
      <c r="CB908" s="162"/>
      <c r="CC908" s="162"/>
      <c r="CD908" s="162"/>
      <c r="CE908" s="162"/>
      <c r="CF908" s="230"/>
      <c r="CG908" s="230"/>
      <c r="CH908" s="162"/>
      <c r="CI908" s="162"/>
      <c r="CJ908" s="162"/>
      <c r="CK908" s="162"/>
      <c r="CL908" s="162"/>
      <c r="CM908" s="230"/>
      <c r="CN908" s="230"/>
      <c r="CO908" s="162"/>
      <c r="CP908" s="162"/>
      <c r="CQ908" s="162"/>
      <c r="CR908" s="162"/>
      <c r="CS908" s="162"/>
      <c r="CT908" s="230"/>
      <c r="CU908" s="230"/>
      <c r="CV908" s="162"/>
      <c r="CW908" s="162"/>
      <c r="CX908" s="162"/>
      <c r="CY908" s="162"/>
      <c r="CZ908" s="162"/>
      <c r="DA908" s="230"/>
      <c r="DB908" s="230"/>
      <c r="DC908" s="162"/>
      <c r="DD908" s="162"/>
      <c r="DE908" s="162"/>
      <c r="DF908" s="162"/>
      <c r="DG908" s="162"/>
      <c r="DH908" s="230"/>
      <c r="DI908" s="230"/>
      <c r="DJ908" s="162"/>
      <c r="DK908" s="162"/>
      <c r="DL908" s="147"/>
      <c r="DM908" s="147"/>
      <c r="DN908" s="147"/>
      <c r="DO908" s="147"/>
      <c r="DP908" s="147"/>
      <c r="DQ908" s="147"/>
      <c r="DR908" s="147"/>
      <c r="DS908" s="147"/>
      <c r="DT908" s="147"/>
      <c r="DU908" s="147"/>
      <c r="DV908" s="147"/>
      <c r="DW908" s="147"/>
      <c r="DX908" s="147"/>
      <c r="DY908" s="147"/>
      <c r="DZ908" s="147"/>
      <c r="EA908" s="147"/>
      <c r="EB908" s="147"/>
      <c r="EC908" s="147"/>
      <c r="ED908" s="147"/>
      <c r="EE908" s="147"/>
      <c r="EF908" s="147"/>
      <c r="EG908" s="147"/>
      <c r="EH908" s="147"/>
    </row>
    <row r="909" spans="1:138" x14ac:dyDescent="0.25">
      <c r="A909" s="147"/>
      <c r="B909" s="147"/>
      <c r="C909" s="160"/>
      <c r="D909" s="160"/>
      <c r="E909" s="169"/>
      <c r="F909" s="229"/>
      <c r="G909" s="165"/>
      <c r="H909" s="165"/>
      <c r="I909" s="163"/>
      <c r="J909" s="163"/>
      <c r="K909" s="162"/>
      <c r="L909" s="162"/>
      <c r="M909" s="162"/>
      <c r="N909" s="230"/>
      <c r="O909" s="230"/>
      <c r="P909" s="162"/>
      <c r="Q909" s="162"/>
      <c r="R909" s="162"/>
      <c r="S909" s="162"/>
      <c r="T909" s="162"/>
      <c r="U909" s="230"/>
      <c r="V909" s="230"/>
      <c r="W909" s="162"/>
      <c r="X909" s="162"/>
      <c r="Y909" s="162"/>
      <c r="Z909" s="162"/>
      <c r="AA909" s="162"/>
      <c r="AB909" s="230"/>
      <c r="AC909" s="230"/>
      <c r="AD909" s="162"/>
      <c r="AE909" s="162"/>
      <c r="AF909" s="162"/>
      <c r="AG909" s="162"/>
      <c r="AH909" s="162"/>
      <c r="AI909" s="230"/>
      <c r="AJ909" s="230"/>
      <c r="AK909" s="162"/>
      <c r="AL909" s="162"/>
      <c r="AM909" s="162"/>
      <c r="AN909" s="162"/>
      <c r="AO909" s="162"/>
      <c r="AP909" s="230"/>
      <c r="AQ909" s="230"/>
      <c r="AR909" s="162"/>
      <c r="AS909" s="162"/>
      <c r="AT909" s="162"/>
      <c r="AU909" s="162"/>
      <c r="AV909" s="162"/>
      <c r="AW909" s="230"/>
      <c r="AX909" s="230"/>
      <c r="AY909" s="162"/>
      <c r="AZ909" s="162"/>
      <c r="BA909" s="162"/>
      <c r="BB909" s="162"/>
      <c r="BC909" s="162"/>
      <c r="BD909" s="230"/>
      <c r="BE909" s="230"/>
      <c r="BF909" s="162"/>
      <c r="BG909" s="162"/>
      <c r="BH909" s="162"/>
      <c r="BI909" s="162"/>
      <c r="BJ909" s="162"/>
      <c r="BK909" s="230"/>
      <c r="BL909" s="230"/>
      <c r="BM909" s="162"/>
      <c r="BN909" s="162"/>
      <c r="BO909" s="162"/>
      <c r="BP909" s="162"/>
      <c r="BQ909" s="162"/>
      <c r="BR909" s="230"/>
      <c r="BS909" s="230"/>
      <c r="BT909" s="162"/>
      <c r="BU909" s="162"/>
      <c r="BV909" s="162"/>
      <c r="BW909" s="162"/>
      <c r="BX909" s="162"/>
      <c r="BY909" s="230"/>
      <c r="BZ909" s="230"/>
      <c r="CA909" s="162"/>
      <c r="CB909" s="162"/>
      <c r="CC909" s="162"/>
      <c r="CD909" s="162"/>
      <c r="CE909" s="162"/>
      <c r="CF909" s="230"/>
      <c r="CG909" s="230"/>
      <c r="CH909" s="162"/>
      <c r="CI909" s="162"/>
      <c r="CJ909" s="162"/>
      <c r="CK909" s="162"/>
      <c r="CL909" s="162"/>
      <c r="CM909" s="230"/>
      <c r="CN909" s="230"/>
      <c r="CO909" s="162"/>
      <c r="CP909" s="162"/>
      <c r="CQ909" s="162"/>
      <c r="CR909" s="162"/>
      <c r="CS909" s="162"/>
      <c r="CT909" s="230"/>
      <c r="CU909" s="230"/>
      <c r="CV909" s="162"/>
      <c r="CW909" s="162"/>
      <c r="CX909" s="162"/>
      <c r="CY909" s="162"/>
      <c r="CZ909" s="162"/>
      <c r="DA909" s="230"/>
      <c r="DB909" s="230"/>
      <c r="DC909" s="162"/>
      <c r="DD909" s="162"/>
      <c r="DE909" s="162"/>
      <c r="DF909" s="162"/>
      <c r="DG909" s="162"/>
      <c r="DH909" s="230"/>
      <c r="DI909" s="230"/>
      <c r="DJ909" s="162"/>
      <c r="DK909" s="162"/>
      <c r="DL909" s="147"/>
      <c r="DM909" s="147"/>
      <c r="DN909" s="147"/>
      <c r="DO909" s="147"/>
      <c r="DP909" s="147"/>
      <c r="DQ909" s="147"/>
      <c r="DR909" s="147"/>
      <c r="DS909" s="147"/>
      <c r="DT909" s="147"/>
      <c r="DU909" s="147"/>
      <c r="DV909" s="147"/>
      <c r="DW909" s="147"/>
      <c r="DX909" s="147"/>
      <c r="DY909" s="147"/>
      <c r="DZ909" s="147"/>
      <c r="EA909" s="147"/>
      <c r="EB909" s="147"/>
      <c r="EC909" s="147"/>
      <c r="ED909" s="147"/>
      <c r="EE909" s="147"/>
      <c r="EF909" s="147"/>
      <c r="EG909" s="147"/>
      <c r="EH909" s="147"/>
    </row>
    <row r="910" spans="1:138" x14ac:dyDescent="0.25">
      <c r="A910" s="147"/>
      <c r="B910" s="147"/>
      <c r="C910" s="160"/>
      <c r="D910" s="160"/>
      <c r="E910" s="169"/>
      <c r="F910" s="229"/>
      <c r="G910" s="165"/>
      <c r="H910" s="165"/>
      <c r="I910" s="163"/>
      <c r="J910" s="163"/>
      <c r="K910" s="162"/>
      <c r="L910" s="162"/>
      <c r="M910" s="162"/>
      <c r="N910" s="230"/>
      <c r="O910" s="230"/>
      <c r="P910" s="162"/>
      <c r="Q910" s="162"/>
      <c r="R910" s="162"/>
      <c r="S910" s="162"/>
      <c r="T910" s="162"/>
      <c r="U910" s="230"/>
      <c r="V910" s="230"/>
      <c r="W910" s="162"/>
      <c r="X910" s="162"/>
      <c r="Y910" s="162"/>
      <c r="Z910" s="162"/>
      <c r="AA910" s="162"/>
      <c r="AB910" s="230"/>
      <c r="AC910" s="230"/>
      <c r="AD910" s="162"/>
      <c r="AE910" s="162"/>
      <c r="AF910" s="162"/>
      <c r="AG910" s="162"/>
      <c r="AH910" s="162"/>
      <c r="AI910" s="230"/>
      <c r="AJ910" s="230"/>
      <c r="AK910" s="162"/>
      <c r="AL910" s="162"/>
      <c r="AM910" s="162"/>
      <c r="AN910" s="162"/>
      <c r="AO910" s="162"/>
      <c r="AP910" s="230"/>
      <c r="AQ910" s="230"/>
      <c r="AR910" s="162"/>
      <c r="AS910" s="162"/>
      <c r="AT910" s="162"/>
      <c r="AU910" s="162"/>
      <c r="AV910" s="162"/>
      <c r="AW910" s="230"/>
      <c r="AX910" s="230"/>
      <c r="AY910" s="162"/>
      <c r="AZ910" s="162"/>
      <c r="BA910" s="162"/>
      <c r="BB910" s="162"/>
      <c r="BC910" s="162"/>
      <c r="BD910" s="230"/>
      <c r="BE910" s="230"/>
      <c r="BF910" s="162"/>
      <c r="BG910" s="162"/>
      <c r="BH910" s="162"/>
      <c r="BI910" s="162"/>
      <c r="BJ910" s="162"/>
      <c r="BK910" s="230"/>
      <c r="BL910" s="230"/>
      <c r="BM910" s="162"/>
      <c r="BN910" s="162"/>
      <c r="BO910" s="162"/>
      <c r="BP910" s="162"/>
      <c r="BQ910" s="162"/>
      <c r="BR910" s="230"/>
      <c r="BS910" s="230"/>
      <c r="BT910" s="162"/>
      <c r="BU910" s="162"/>
      <c r="BV910" s="162"/>
      <c r="BW910" s="162"/>
      <c r="BX910" s="162"/>
      <c r="BY910" s="230"/>
      <c r="BZ910" s="230"/>
      <c r="CA910" s="162"/>
      <c r="CB910" s="162"/>
      <c r="CC910" s="162"/>
      <c r="CD910" s="162"/>
      <c r="CE910" s="162"/>
      <c r="CF910" s="230"/>
      <c r="CG910" s="230"/>
      <c r="CH910" s="162"/>
      <c r="CI910" s="162"/>
      <c r="CJ910" s="162"/>
      <c r="CK910" s="162"/>
      <c r="CL910" s="162"/>
      <c r="CM910" s="230"/>
      <c r="CN910" s="230"/>
      <c r="CO910" s="162"/>
      <c r="CP910" s="162"/>
      <c r="CQ910" s="162"/>
      <c r="CR910" s="162"/>
      <c r="CS910" s="162"/>
      <c r="CT910" s="230"/>
      <c r="CU910" s="230"/>
      <c r="CV910" s="162"/>
      <c r="CW910" s="162"/>
      <c r="CX910" s="162"/>
      <c r="CY910" s="162"/>
      <c r="CZ910" s="162"/>
      <c r="DA910" s="230"/>
      <c r="DB910" s="230"/>
      <c r="DC910" s="162"/>
      <c r="DD910" s="162"/>
      <c r="DE910" s="162"/>
      <c r="DF910" s="162"/>
      <c r="DG910" s="162"/>
      <c r="DH910" s="230"/>
      <c r="DI910" s="230"/>
      <c r="DJ910" s="162"/>
      <c r="DK910" s="162"/>
      <c r="DL910" s="147"/>
      <c r="DM910" s="147"/>
      <c r="DN910" s="147"/>
      <c r="DO910" s="147"/>
      <c r="DP910" s="147"/>
      <c r="DQ910" s="147"/>
      <c r="DR910" s="147"/>
      <c r="DS910" s="147"/>
      <c r="DT910" s="147"/>
      <c r="DU910" s="147"/>
      <c r="DV910" s="147"/>
      <c r="DW910" s="147"/>
      <c r="DX910" s="147"/>
      <c r="DY910" s="147"/>
      <c r="DZ910" s="147"/>
      <c r="EA910" s="147"/>
      <c r="EB910" s="147"/>
      <c r="EC910" s="147"/>
      <c r="ED910" s="147"/>
      <c r="EE910" s="147"/>
      <c r="EF910" s="147"/>
      <c r="EG910" s="147"/>
      <c r="EH910" s="147"/>
    </row>
    <row r="911" spans="1:138" x14ac:dyDescent="0.25">
      <c r="A911" s="147"/>
      <c r="B911" s="147"/>
      <c r="C911" s="160"/>
      <c r="D911" s="160"/>
      <c r="E911" s="169"/>
      <c r="F911" s="229"/>
      <c r="G911" s="165"/>
      <c r="H911" s="165"/>
      <c r="I911" s="163"/>
      <c r="J911" s="163"/>
      <c r="K911" s="162"/>
      <c r="L911" s="162"/>
      <c r="M911" s="162"/>
      <c r="N911" s="230"/>
      <c r="O911" s="230"/>
      <c r="P911" s="162"/>
      <c r="Q911" s="162"/>
      <c r="R911" s="162"/>
      <c r="S911" s="162"/>
      <c r="T911" s="162"/>
      <c r="U911" s="230"/>
      <c r="V911" s="230"/>
      <c r="W911" s="162"/>
      <c r="X911" s="162"/>
      <c r="Y911" s="162"/>
      <c r="Z911" s="162"/>
      <c r="AA911" s="162"/>
      <c r="AB911" s="230"/>
      <c r="AC911" s="230"/>
      <c r="AD911" s="162"/>
      <c r="AE911" s="162"/>
      <c r="AF911" s="162"/>
      <c r="AG911" s="162"/>
      <c r="AH911" s="162"/>
      <c r="AI911" s="230"/>
      <c r="AJ911" s="230"/>
      <c r="AK911" s="162"/>
      <c r="AL911" s="162"/>
      <c r="AM911" s="162"/>
      <c r="AN911" s="162"/>
      <c r="AO911" s="162"/>
      <c r="AP911" s="230"/>
      <c r="AQ911" s="230"/>
      <c r="AR911" s="162"/>
      <c r="AS911" s="162"/>
      <c r="AT911" s="162"/>
      <c r="AU911" s="162"/>
      <c r="AV911" s="162"/>
      <c r="AW911" s="230"/>
      <c r="AX911" s="230"/>
      <c r="AY911" s="162"/>
      <c r="AZ911" s="162"/>
      <c r="BA911" s="162"/>
      <c r="BB911" s="162"/>
      <c r="BC911" s="162"/>
      <c r="BD911" s="230"/>
      <c r="BE911" s="230"/>
      <c r="BF911" s="162"/>
      <c r="BG911" s="162"/>
      <c r="BH911" s="162"/>
      <c r="BI911" s="162"/>
      <c r="BJ911" s="162"/>
      <c r="BK911" s="230"/>
      <c r="BL911" s="230"/>
      <c r="BM911" s="162"/>
      <c r="BN911" s="162"/>
      <c r="BO911" s="162"/>
      <c r="BP911" s="162"/>
      <c r="BQ911" s="162"/>
      <c r="BR911" s="230"/>
      <c r="BS911" s="230"/>
      <c r="BT911" s="162"/>
      <c r="BU911" s="162"/>
      <c r="BV911" s="162"/>
      <c r="BW911" s="162"/>
      <c r="BX911" s="162"/>
      <c r="BY911" s="230"/>
      <c r="BZ911" s="230"/>
      <c r="CA911" s="162"/>
      <c r="CB911" s="162"/>
      <c r="CC911" s="162"/>
      <c r="CD911" s="162"/>
      <c r="CE911" s="162"/>
      <c r="CF911" s="230"/>
      <c r="CG911" s="230"/>
      <c r="CH911" s="162"/>
      <c r="CI911" s="162"/>
      <c r="CJ911" s="162"/>
      <c r="CK911" s="162"/>
      <c r="CL911" s="162"/>
      <c r="CM911" s="230"/>
      <c r="CN911" s="230"/>
      <c r="CO911" s="162"/>
      <c r="CP911" s="162"/>
      <c r="CQ911" s="162"/>
      <c r="CR911" s="162"/>
      <c r="CS911" s="162"/>
      <c r="CT911" s="230"/>
      <c r="CU911" s="230"/>
      <c r="CV911" s="162"/>
      <c r="CW911" s="162"/>
      <c r="CX911" s="162"/>
      <c r="CY911" s="162"/>
      <c r="CZ911" s="162"/>
      <c r="DA911" s="230"/>
      <c r="DB911" s="230"/>
      <c r="DC911" s="162"/>
      <c r="DD911" s="162"/>
      <c r="DE911" s="162"/>
      <c r="DF911" s="162"/>
      <c r="DG911" s="162"/>
      <c r="DH911" s="230"/>
      <c r="DI911" s="230"/>
      <c r="DJ911" s="162"/>
      <c r="DK911" s="162"/>
      <c r="DL911" s="147"/>
      <c r="DM911" s="147"/>
      <c r="DN911" s="147"/>
      <c r="DO911" s="147"/>
      <c r="DP911" s="147"/>
      <c r="DQ911" s="147"/>
      <c r="DR911" s="147"/>
      <c r="DS911" s="147"/>
      <c r="DT911" s="147"/>
      <c r="DU911" s="147"/>
      <c r="DV911" s="147"/>
      <c r="DW911" s="147"/>
      <c r="DX911" s="147"/>
      <c r="DY911" s="147"/>
      <c r="DZ911" s="147"/>
      <c r="EA911" s="147"/>
      <c r="EB911" s="147"/>
      <c r="EC911" s="147"/>
      <c r="ED911" s="147"/>
      <c r="EE911" s="147"/>
      <c r="EF911" s="147"/>
      <c r="EG911" s="147"/>
      <c r="EH911" s="147"/>
    </row>
    <row r="912" spans="1:138" x14ac:dyDescent="0.25">
      <c r="A912" s="147"/>
      <c r="B912" s="147"/>
      <c r="C912" s="160"/>
      <c r="D912" s="160"/>
      <c r="E912" s="169"/>
      <c r="F912" s="229"/>
      <c r="G912" s="165"/>
      <c r="H912" s="165"/>
      <c r="I912" s="163"/>
      <c r="J912" s="163"/>
      <c r="K912" s="162"/>
      <c r="L912" s="162"/>
      <c r="M912" s="162"/>
      <c r="N912" s="230"/>
      <c r="O912" s="230"/>
      <c r="P912" s="162"/>
      <c r="Q912" s="162"/>
      <c r="R912" s="162"/>
      <c r="S912" s="162"/>
      <c r="T912" s="162"/>
      <c r="U912" s="230"/>
      <c r="V912" s="230"/>
      <c r="W912" s="162"/>
      <c r="X912" s="162"/>
      <c r="Y912" s="162"/>
      <c r="Z912" s="162"/>
      <c r="AA912" s="162"/>
      <c r="AB912" s="230"/>
      <c r="AC912" s="230"/>
      <c r="AD912" s="162"/>
      <c r="AE912" s="162"/>
      <c r="AF912" s="162"/>
      <c r="AG912" s="162"/>
      <c r="AH912" s="162"/>
      <c r="AI912" s="230"/>
      <c r="AJ912" s="230"/>
      <c r="AK912" s="162"/>
      <c r="AL912" s="162"/>
      <c r="AM912" s="162"/>
      <c r="AN912" s="162"/>
      <c r="AO912" s="162"/>
      <c r="AP912" s="230"/>
      <c r="AQ912" s="230"/>
      <c r="AR912" s="162"/>
      <c r="AS912" s="162"/>
      <c r="AT912" s="162"/>
      <c r="AU912" s="162"/>
      <c r="AV912" s="162"/>
      <c r="AW912" s="230"/>
      <c r="AX912" s="230"/>
      <c r="AY912" s="162"/>
      <c r="AZ912" s="162"/>
      <c r="BA912" s="162"/>
      <c r="BB912" s="162"/>
      <c r="BC912" s="162"/>
      <c r="BD912" s="230"/>
      <c r="BE912" s="230"/>
      <c r="BF912" s="162"/>
      <c r="BG912" s="162"/>
      <c r="BH912" s="162"/>
      <c r="BI912" s="162"/>
      <c r="BJ912" s="162"/>
      <c r="BK912" s="230"/>
      <c r="BL912" s="230"/>
      <c r="BM912" s="162"/>
      <c r="BN912" s="162"/>
      <c r="BO912" s="162"/>
      <c r="BP912" s="162"/>
      <c r="BQ912" s="162"/>
      <c r="BR912" s="230"/>
      <c r="BS912" s="230"/>
      <c r="BT912" s="162"/>
      <c r="BU912" s="162"/>
      <c r="BV912" s="162"/>
      <c r="BW912" s="162"/>
      <c r="BX912" s="162"/>
      <c r="BY912" s="230"/>
      <c r="BZ912" s="230"/>
      <c r="CA912" s="162"/>
      <c r="CB912" s="162"/>
      <c r="CC912" s="162"/>
      <c r="CD912" s="162"/>
      <c r="CE912" s="162"/>
      <c r="CF912" s="230"/>
      <c r="CG912" s="230"/>
      <c r="CH912" s="162"/>
      <c r="CI912" s="162"/>
      <c r="CJ912" s="162"/>
      <c r="CK912" s="162"/>
      <c r="CL912" s="162"/>
      <c r="CM912" s="230"/>
      <c r="CN912" s="230"/>
      <c r="CO912" s="162"/>
      <c r="CP912" s="162"/>
      <c r="CQ912" s="162"/>
      <c r="CR912" s="162"/>
      <c r="CS912" s="162"/>
      <c r="CT912" s="230"/>
      <c r="CU912" s="230"/>
      <c r="CV912" s="162"/>
      <c r="CW912" s="162"/>
      <c r="CX912" s="162"/>
      <c r="CY912" s="162"/>
      <c r="CZ912" s="162"/>
      <c r="DA912" s="230"/>
      <c r="DB912" s="230"/>
      <c r="DC912" s="162"/>
      <c r="DD912" s="162"/>
      <c r="DE912" s="162"/>
      <c r="DF912" s="162"/>
      <c r="DG912" s="162"/>
      <c r="DH912" s="230"/>
      <c r="DI912" s="230"/>
      <c r="DJ912" s="162"/>
      <c r="DK912" s="162"/>
      <c r="DL912" s="147"/>
      <c r="DM912" s="147"/>
      <c r="DN912" s="147"/>
      <c r="DO912" s="147"/>
      <c r="DP912" s="147"/>
      <c r="DQ912" s="147"/>
      <c r="DR912" s="147"/>
      <c r="DS912" s="147"/>
      <c r="DT912" s="147"/>
      <c r="DU912" s="147"/>
      <c r="DV912" s="147"/>
      <c r="DW912" s="147"/>
      <c r="DX912" s="147"/>
      <c r="DY912" s="147"/>
      <c r="DZ912" s="147"/>
      <c r="EA912" s="147"/>
      <c r="EB912" s="147"/>
      <c r="EC912" s="147"/>
      <c r="ED912" s="147"/>
      <c r="EE912" s="147"/>
      <c r="EF912" s="147"/>
      <c r="EG912" s="147"/>
      <c r="EH912" s="147"/>
    </row>
    <row r="913" spans="1:138" x14ac:dyDescent="0.25">
      <c r="A913" s="147"/>
      <c r="B913" s="147"/>
      <c r="C913" s="160"/>
      <c r="D913" s="160"/>
      <c r="E913" s="169"/>
      <c r="F913" s="229"/>
      <c r="G913" s="165"/>
      <c r="H913" s="165"/>
      <c r="I913" s="163"/>
      <c r="J913" s="163"/>
      <c r="K913" s="162"/>
      <c r="L913" s="162"/>
      <c r="M913" s="162"/>
      <c r="N913" s="230"/>
      <c r="O913" s="230"/>
      <c r="P913" s="162"/>
      <c r="Q913" s="162"/>
      <c r="R913" s="162"/>
      <c r="S913" s="162"/>
      <c r="T913" s="162"/>
      <c r="U913" s="230"/>
      <c r="V913" s="230"/>
      <c r="W913" s="162"/>
      <c r="X913" s="162"/>
      <c r="Y913" s="162"/>
      <c r="Z913" s="162"/>
      <c r="AA913" s="162"/>
      <c r="AB913" s="230"/>
      <c r="AC913" s="230"/>
      <c r="AD913" s="162"/>
      <c r="AE913" s="162"/>
      <c r="AF913" s="162"/>
      <c r="AG913" s="162"/>
      <c r="AH913" s="162"/>
      <c r="AI913" s="230"/>
      <c r="AJ913" s="230"/>
      <c r="AK913" s="162"/>
      <c r="AL913" s="162"/>
      <c r="AM913" s="162"/>
      <c r="AN913" s="162"/>
      <c r="AO913" s="162"/>
      <c r="AP913" s="230"/>
      <c r="AQ913" s="230"/>
      <c r="AR913" s="162"/>
      <c r="AS913" s="162"/>
      <c r="AT913" s="162"/>
      <c r="AU913" s="162"/>
      <c r="AV913" s="162"/>
      <c r="AW913" s="230"/>
      <c r="AX913" s="230"/>
      <c r="AY913" s="162"/>
      <c r="AZ913" s="162"/>
      <c r="BA913" s="162"/>
      <c r="BB913" s="162"/>
      <c r="BC913" s="162"/>
      <c r="BD913" s="230"/>
      <c r="BE913" s="230"/>
      <c r="BF913" s="162"/>
      <c r="BG913" s="162"/>
      <c r="BH913" s="162"/>
      <c r="BI913" s="162"/>
      <c r="BJ913" s="162"/>
      <c r="BK913" s="230"/>
      <c r="BL913" s="230"/>
      <c r="BM913" s="162"/>
      <c r="BN913" s="162"/>
      <c r="BO913" s="162"/>
      <c r="BP913" s="162"/>
      <c r="BQ913" s="162"/>
      <c r="BR913" s="230"/>
      <c r="BS913" s="230"/>
      <c r="BT913" s="162"/>
      <c r="BU913" s="162"/>
      <c r="BV913" s="162"/>
      <c r="BW913" s="162"/>
      <c r="BX913" s="162"/>
      <c r="BY913" s="230"/>
      <c r="BZ913" s="230"/>
      <c r="CA913" s="162"/>
      <c r="CB913" s="162"/>
      <c r="CC913" s="162"/>
      <c r="CD913" s="162"/>
      <c r="CE913" s="162"/>
      <c r="CF913" s="230"/>
      <c r="CG913" s="230"/>
      <c r="CH913" s="162"/>
      <c r="CI913" s="162"/>
      <c r="CJ913" s="162"/>
      <c r="CK913" s="162"/>
      <c r="CL913" s="162"/>
      <c r="CM913" s="230"/>
      <c r="CN913" s="230"/>
      <c r="CO913" s="162"/>
      <c r="CP913" s="162"/>
      <c r="CQ913" s="162"/>
      <c r="CR913" s="162"/>
      <c r="CS913" s="162"/>
      <c r="CT913" s="230"/>
      <c r="CU913" s="230"/>
      <c r="CV913" s="162"/>
      <c r="CW913" s="162"/>
      <c r="CX913" s="162"/>
      <c r="CY913" s="162"/>
      <c r="CZ913" s="162"/>
      <c r="DA913" s="230"/>
      <c r="DB913" s="230"/>
      <c r="DC913" s="162"/>
      <c r="DD913" s="162"/>
      <c r="DE913" s="162"/>
      <c r="DF913" s="162"/>
      <c r="DG913" s="162"/>
      <c r="DH913" s="230"/>
      <c r="DI913" s="230"/>
      <c r="DJ913" s="162"/>
      <c r="DK913" s="162"/>
      <c r="DL913" s="147"/>
      <c r="DM913" s="147"/>
      <c r="DN913" s="147"/>
      <c r="DO913" s="147"/>
      <c r="DP913" s="147"/>
      <c r="DQ913" s="147"/>
      <c r="DR913" s="147"/>
      <c r="DS913" s="147"/>
      <c r="DT913" s="147"/>
      <c r="DU913" s="147"/>
      <c r="DV913" s="147"/>
      <c r="DW913" s="147"/>
      <c r="DX913" s="147"/>
      <c r="DY913" s="147"/>
      <c r="DZ913" s="147"/>
      <c r="EA913" s="147"/>
      <c r="EB913" s="147"/>
      <c r="EC913" s="147"/>
      <c r="ED913" s="147"/>
      <c r="EE913" s="147"/>
      <c r="EF913" s="147"/>
      <c r="EG913" s="147"/>
      <c r="EH913" s="147"/>
    </row>
    <row r="914" spans="1:138" x14ac:dyDescent="0.25">
      <c r="A914" s="147"/>
      <c r="B914" s="147"/>
      <c r="C914" s="160"/>
      <c r="D914" s="160"/>
      <c r="E914" s="169"/>
      <c r="F914" s="229"/>
      <c r="G914" s="165"/>
      <c r="H914" s="165"/>
      <c r="I914" s="163"/>
      <c r="J914" s="163"/>
      <c r="K914" s="162"/>
      <c r="L914" s="162"/>
      <c r="M914" s="162"/>
      <c r="N914" s="230"/>
      <c r="O914" s="230"/>
      <c r="P914" s="162"/>
      <c r="Q914" s="162"/>
      <c r="R914" s="162"/>
      <c r="S914" s="162"/>
      <c r="T914" s="162"/>
      <c r="U914" s="230"/>
      <c r="V914" s="230"/>
      <c r="W914" s="162"/>
      <c r="X914" s="162"/>
      <c r="Y914" s="162"/>
      <c r="Z914" s="162"/>
      <c r="AA914" s="162"/>
      <c r="AB914" s="230"/>
      <c r="AC914" s="230"/>
      <c r="AD914" s="162"/>
      <c r="AE914" s="162"/>
      <c r="AF914" s="162"/>
      <c r="AG914" s="162"/>
      <c r="AH914" s="162"/>
      <c r="AI914" s="230"/>
      <c r="AJ914" s="230"/>
      <c r="AK914" s="162"/>
      <c r="AL914" s="162"/>
      <c r="AM914" s="162"/>
      <c r="AN914" s="162"/>
      <c r="AO914" s="162"/>
      <c r="AP914" s="230"/>
      <c r="AQ914" s="230"/>
      <c r="AR914" s="162"/>
      <c r="AS914" s="162"/>
      <c r="AT914" s="162"/>
      <c r="AU914" s="162"/>
      <c r="AV914" s="162"/>
      <c r="AW914" s="230"/>
      <c r="AX914" s="230"/>
      <c r="AY914" s="162"/>
      <c r="AZ914" s="162"/>
      <c r="BA914" s="162"/>
      <c r="BB914" s="162"/>
      <c r="BC914" s="162"/>
      <c r="BD914" s="230"/>
      <c r="BE914" s="230"/>
      <c r="BF914" s="162"/>
      <c r="BG914" s="162"/>
      <c r="BH914" s="162"/>
      <c r="BI914" s="162"/>
      <c r="BJ914" s="162"/>
      <c r="BK914" s="230"/>
      <c r="BL914" s="230"/>
      <c r="BM914" s="162"/>
      <c r="BN914" s="162"/>
      <c r="BO914" s="162"/>
      <c r="BP914" s="162"/>
      <c r="BQ914" s="162"/>
      <c r="BR914" s="230"/>
      <c r="BS914" s="230"/>
      <c r="BT914" s="162"/>
      <c r="BU914" s="162"/>
      <c r="BV914" s="162"/>
      <c r="BW914" s="162"/>
      <c r="BX914" s="162"/>
      <c r="BY914" s="230"/>
      <c r="BZ914" s="230"/>
      <c r="CA914" s="162"/>
      <c r="CB914" s="162"/>
      <c r="CC914" s="162"/>
      <c r="CD914" s="162"/>
      <c r="CE914" s="162"/>
      <c r="CF914" s="230"/>
      <c r="CG914" s="230"/>
      <c r="CH914" s="162"/>
      <c r="CI914" s="162"/>
      <c r="CJ914" s="162"/>
      <c r="CK914" s="162"/>
      <c r="CL914" s="162"/>
      <c r="CM914" s="230"/>
      <c r="CN914" s="230"/>
      <c r="CO914" s="162"/>
      <c r="CP914" s="162"/>
      <c r="CQ914" s="162"/>
      <c r="CR914" s="162"/>
      <c r="CS914" s="162"/>
      <c r="CT914" s="230"/>
      <c r="CU914" s="230"/>
      <c r="CV914" s="162"/>
      <c r="CW914" s="162"/>
      <c r="CX914" s="162"/>
      <c r="CY914" s="162"/>
      <c r="CZ914" s="162"/>
      <c r="DA914" s="230"/>
      <c r="DB914" s="230"/>
      <c r="DC914" s="162"/>
      <c r="DD914" s="162"/>
      <c r="DE914" s="162"/>
      <c r="DF914" s="162"/>
      <c r="DG914" s="162"/>
      <c r="DH914" s="230"/>
      <c r="DI914" s="230"/>
      <c r="DJ914" s="162"/>
      <c r="DK914" s="162"/>
      <c r="DL914" s="147"/>
      <c r="DM914" s="147"/>
      <c r="DN914" s="147"/>
      <c r="DO914" s="147"/>
      <c r="DP914" s="147"/>
      <c r="DQ914" s="147"/>
      <c r="DR914" s="147"/>
      <c r="DS914" s="147"/>
      <c r="DT914" s="147"/>
      <c r="DU914" s="147"/>
      <c r="DV914" s="147"/>
      <c r="DW914" s="147"/>
      <c r="DX914" s="147"/>
      <c r="DY914" s="147"/>
      <c r="DZ914" s="147"/>
      <c r="EA914" s="147"/>
      <c r="EB914" s="147"/>
      <c r="EC914" s="147"/>
      <c r="ED914" s="147"/>
      <c r="EE914" s="147"/>
      <c r="EF914" s="147"/>
      <c r="EG914" s="147"/>
      <c r="EH914" s="147"/>
    </row>
    <row r="915" spans="1:138" x14ac:dyDescent="0.25">
      <c r="A915" s="147"/>
      <c r="B915" s="147"/>
      <c r="C915" s="160"/>
      <c r="D915" s="160"/>
      <c r="E915" s="169"/>
      <c r="F915" s="229"/>
      <c r="G915" s="165"/>
      <c r="H915" s="165"/>
      <c r="I915" s="163"/>
      <c r="J915" s="163"/>
      <c r="K915" s="162"/>
      <c r="L915" s="162"/>
      <c r="M915" s="162"/>
      <c r="N915" s="230"/>
      <c r="O915" s="230"/>
      <c r="P915" s="162"/>
      <c r="Q915" s="162"/>
      <c r="R915" s="162"/>
      <c r="S915" s="162"/>
      <c r="T915" s="162"/>
      <c r="U915" s="230"/>
      <c r="V915" s="230"/>
      <c r="W915" s="162"/>
      <c r="X915" s="162"/>
      <c r="Y915" s="162"/>
      <c r="Z915" s="162"/>
      <c r="AA915" s="162"/>
      <c r="AB915" s="230"/>
      <c r="AC915" s="230"/>
      <c r="AD915" s="162"/>
      <c r="AE915" s="162"/>
      <c r="AF915" s="162"/>
      <c r="AG915" s="162"/>
      <c r="AH915" s="162"/>
      <c r="AI915" s="230"/>
      <c r="AJ915" s="230"/>
      <c r="AK915" s="162"/>
      <c r="AL915" s="162"/>
      <c r="AM915" s="162"/>
      <c r="AN915" s="162"/>
      <c r="AO915" s="162"/>
      <c r="AP915" s="230"/>
      <c r="AQ915" s="230"/>
      <c r="AR915" s="162"/>
      <c r="AS915" s="162"/>
      <c r="AT915" s="162"/>
      <c r="AU915" s="162"/>
      <c r="AV915" s="162"/>
      <c r="AW915" s="230"/>
      <c r="AX915" s="230"/>
      <c r="AY915" s="162"/>
      <c r="AZ915" s="162"/>
      <c r="BA915" s="162"/>
      <c r="BB915" s="162"/>
      <c r="BC915" s="162"/>
      <c r="BD915" s="230"/>
      <c r="BE915" s="230"/>
      <c r="BF915" s="162"/>
      <c r="BG915" s="162"/>
      <c r="BH915" s="162"/>
      <c r="BI915" s="162"/>
      <c r="BJ915" s="162"/>
      <c r="BK915" s="230"/>
      <c r="BL915" s="230"/>
      <c r="BM915" s="162"/>
      <c r="BN915" s="162"/>
      <c r="BO915" s="162"/>
      <c r="BP915" s="162"/>
      <c r="BQ915" s="162"/>
      <c r="BR915" s="230"/>
      <c r="BS915" s="230"/>
      <c r="BT915" s="162"/>
      <c r="BU915" s="162"/>
      <c r="BV915" s="162"/>
      <c r="BW915" s="162"/>
      <c r="BX915" s="162"/>
      <c r="BY915" s="230"/>
      <c r="BZ915" s="230"/>
      <c r="CA915" s="162"/>
      <c r="CB915" s="162"/>
      <c r="CC915" s="162"/>
      <c r="CD915" s="162"/>
      <c r="CE915" s="162"/>
      <c r="CF915" s="230"/>
      <c r="CG915" s="230"/>
      <c r="CH915" s="162"/>
      <c r="CI915" s="162"/>
      <c r="CJ915" s="162"/>
      <c r="CK915" s="162"/>
      <c r="CL915" s="162"/>
      <c r="CM915" s="230"/>
      <c r="CN915" s="230"/>
      <c r="CO915" s="162"/>
      <c r="CP915" s="162"/>
      <c r="CQ915" s="162"/>
      <c r="CR915" s="162"/>
      <c r="CS915" s="162"/>
      <c r="CT915" s="230"/>
      <c r="CU915" s="230"/>
      <c r="CV915" s="162"/>
      <c r="CW915" s="162"/>
      <c r="CX915" s="162"/>
      <c r="CY915" s="162"/>
      <c r="CZ915" s="162"/>
      <c r="DA915" s="230"/>
      <c r="DB915" s="230"/>
      <c r="DC915" s="162"/>
      <c r="DD915" s="162"/>
      <c r="DE915" s="162"/>
      <c r="DF915" s="162"/>
      <c r="DG915" s="162"/>
      <c r="DH915" s="230"/>
      <c r="DI915" s="230"/>
      <c r="DJ915" s="162"/>
      <c r="DK915" s="162"/>
      <c r="DL915" s="147"/>
      <c r="DM915" s="147"/>
      <c r="DN915" s="147"/>
      <c r="DO915" s="147"/>
      <c r="DP915" s="147"/>
      <c r="DQ915" s="147"/>
      <c r="DR915" s="147"/>
      <c r="DS915" s="147"/>
      <c r="DT915" s="147"/>
      <c r="DU915" s="147"/>
      <c r="DV915" s="147"/>
      <c r="DW915" s="147"/>
      <c r="DX915" s="147"/>
      <c r="DY915" s="147"/>
      <c r="DZ915" s="147"/>
      <c r="EA915" s="147"/>
      <c r="EB915" s="147"/>
      <c r="EC915" s="147"/>
      <c r="ED915" s="147"/>
      <c r="EE915" s="147"/>
      <c r="EF915" s="147"/>
      <c r="EG915" s="147"/>
      <c r="EH915" s="147"/>
    </row>
    <row r="916" spans="1:138" x14ac:dyDescent="0.25">
      <c r="A916" s="147"/>
      <c r="B916" s="147"/>
      <c r="C916" s="160"/>
      <c r="D916" s="160"/>
      <c r="E916" s="169"/>
      <c r="F916" s="229"/>
      <c r="G916" s="165"/>
      <c r="H916" s="165"/>
      <c r="I916" s="163"/>
      <c r="J916" s="163"/>
      <c r="K916" s="162"/>
      <c r="L916" s="162"/>
      <c r="M916" s="162"/>
      <c r="N916" s="230"/>
      <c r="O916" s="230"/>
      <c r="P916" s="162"/>
      <c r="Q916" s="162"/>
      <c r="R916" s="162"/>
      <c r="S916" s="162"/>
      <c r="T916" s="162"/>
      <c r="U916" s="230"/>
      <c r="V916" s="230"/>
      <c r="W916" s="162"/>
      <c r="X916" s="162"/>
      <c r="Y916" s="162"/>
      <c r="Z916" s="162"/>
      <c r="AA916" s="162"/>
      <c r="AB916" s="230"/>
      <c r="AC916" s="230"/>
      <c r="AD916" s="162"/>
      <c r="AE916" s="162"/>
      <c r="AF916" s="162"/>
      <c r="AG916" s="162"/>
      <c r="AH916" s="162"/>
      <c r="AI916" s="230"/>
      <c r="AJ916" s="230"/>
      <c r="AK916" s="162"/>
      <c r="AL916" s="162"/>
      <c r="AM916" s="162"/>
      <c r="AN916" s="162"/>
      <c r="AO916" s="162"/>
      <c r="AP916" s="230"/>
      <c r="AQ916" s="230"/>
      <c r="AR916" s="162"/>
      <c r="AS916" s="162"/>
      <c r="AT916" s="162"/>
      <c r="AU916" s="162"/>
      <c r="AV916" s="162"/>
      <c r="AW916" s="230"/>
      <c r="AX916" s="230"/>
      <c r="AY916" s="162"/>
      <c r="AZ916" s="162"/>
      <c r="BA916" s="162"/>
      <c r="BB916" s="162"/>
      <c r="BC916" s="162"/>
      <c r="BD916" s="230"/>
      <c r="BE916" s="230"/>
      <c r="BF916" s="162"/>
      <c r="BG916" s="162"/>
      <c r="BH916" s="162"/>
      <c r="BI916" s="162"/>
      <c r="BJ916" s="162"/>
      <c r="BK916" s="230"/>
      <c r="BL916" s="230"/>
      <c r="BM916" s="162"/>
      <c r="BN916" s="162"/>
      <c r="BO916" s="162"/>
      <c r="BP916" s="162"/>
      <c r="BQ916" s="162"/>
      <c r="BR916" s="230"/>
      <c r="BS916" s="230"/>
      <c r="BT916" s="162"/>
      <c r="BU916" s="162"/>
      <c r="BV916" s="162"/>
      <c r="BW916" s="162"/>
      <c r="BX916" s="162"/>
      <c r="BY916" s="230"/>
      <c r="BZ916" s="230"/>
      <c r="CA916" s="162"/>
      <c r="CB916" s="162"/>
      <c r="CC916" s="162"/>
      <c r="CD916" s="162"/>
      <c r="CE916" s="162"/>
      <c r="CF916" s="230"/>
      <c r="CG916" s="230"/>
      <c r="CH916" s="162"/>
      <c r="CI916" s="162"/>
      <c r="CJ916" s="162"/>
      <c r="CK916" s="162"/>
      <c r="CL916" s="162"/>
      <c r="CM916" s="230"/>
      <c r="CN916" s="230"/>
      <c r="CO916" s="162"/>
      <c r="CP916" s="162"/>
      <c r="CQ916" s="162"/>
      <c r="CR916" s="162"/>
      <c r="CS916" s="162"/>
      <c r="CT916" s="230"/>
      <c r="CU916" s="230"/>
      <c r="CV916" s="162"/>
      <c r="CW916" s="162"/>
      <c r="CX916" s="162"/>
      <c r="CY916" s="162"/>
      <c r="CZ916" s="162"/>
      <c r="DA916" s="230"/>
      <c r="DB916" s="230"/>
      <c r="DC916" s="162"/>
      <c r="DD916" s="162"/>
      <c r="DE916" s="162"/>
      <c r="DF916" s="162"/>
      <c r="DG916" s="162"/>
      <c r="DH916" s="230"/>
      <c r="DI916" s="230"/>
      <c r="DJ916" s="162"/>
      <c r="DK916" s="162"/>
      <c r="DL916" s="147"/>
      <c r="DM916" s="147"/>
      <c r="DN916" s="147"/>
      <c r="DO916" s="147"/>
      <c r="DP916" s="147"/>
      <c r="DQ916" s="147"/>
      <c r="DR916" s="147"/>
      <c r="DS916" s="147"/>
      <c r="DT916" s="147"/>
      <c r="DU916" s="147"/>
      <c r="DV916" s="147"/>
      <c r="DW916" s="147"/>
      <c r="DX916" s="147"/>
      <c r="DY916" s="147"/>
      <c r="DZ916" s="147"/>
      <c r="EA916" s="147"/>
      <c r="EB916" s="147"/>
      <c r="EC916" s="147"/>
      <c r="ED916" s="147"/>
      <c r="EE916" s="147"/>
      <c r="EF916" s="147"/>
      <c r="EG916" s="147"/>
      <c r="EH916" s="147"/>
    </row>
    <row r="917" spans="1:138" x14ac:dyDescent="0.25">
      <c r="A917" s="147"/>
      <c r="B917" s="147"/>
      <c r="C917" s="160"/>
      <c r="D917" s="160"/>
      <c r="E917" s="169"/>
      <c r="F917" s="229"/>
      <c r="G917" s="165"/>
      <c r="H917" s="165"/>
      <c r="I917" s="163"/>
      <c r="J917" s="163"/>
      <c r="K917" s="162"/>
      <c r="L917" s="162"/>
      <c r="M917" s="162"/>
      <c r="N917" s="230"/>
      <c r="O917" s="230"/>
      <c r="P917" s="162"/>
      <c r="Q917" s="162"/>
      <c r="R917" s="162"/>
      <c r="S917" s="162"/>
      <c r="T917" s="162"/>
      <c r="U917" s="230"/>
      <c r="V917" s="230"/>
      <c r="W917" s="162"/>
      <c r="X917" s="162"/>
      <c r="Y917" s="162"/>
      <c r="Z917" s="162"/>
      <c r="AA917" s="162"/>
      <c r="AB917" s="230"/>
      <c r="AC917" s="230"/>
      <c r="AD917" s="162"/>
      <c r="AE917" s="162"/>
      <c r="AF917" s="162"/>
      <c r="AG917" s="162"/>
      <c r="AH917" s="162"/>
      <c r="AI917" s="230"/>
      <c r="AJ917" s="230"/>
      <c r="AK917" s="162"/>
      <c r="AL917" s="162"/>
      <c r="AM917" s="162"/>
      <c r="AN917" s="162"/>
      <c r="AO917" s="162"/>
      <c r="AP917" s="230"/>
      <c r="AQ917" s="230"/>
      <c r="AR917" s="162"/>
      <c r="AS917" s="162"/>
      <c r="AT917" s="162"/>
      <c r="AU917" s="162"/>
      <c r="AV917" s="162"/>
      <c r="AW917" s="230"/>
      <c r="AX917" s="230"/>
      <c r="AY917" s="162"/>
      <c r="AZ917" s="162"/>
      <c r="BA917" s="162"/>
      <c r="BB917" s="162"/>
      <c r="BC917" s="162"/>
      <c r="BD917" s="230"/>
      <c r="BE917" s="230"/>
      <c r="BF917" s="162"/>
      <c r="BG917" s="162"/>
      <c r="BH917" s="162"/>
      <c r="BI917" s="162"/>
      <c r="BJ917" s="162"/>
      <c r="BK917" s="230"/>
      <c r="BL917" s="230"/>
      <c r="BM917" s="162"/>
      <c r="BN917" s="162"/>
      <c r="BO917" s="162"/>
      <c r="BP917" s="162"/>
      <c r="BQ917" s="162"/>
      <c r="BR917" s="230"/>
      <c r="BS917" s="230"/>
      <c r="BT917" s="162"/>
      <c r="BU917" s="162"/>
      <c r="BV917" s="162"/>
      <c r="BW917" s="162"/>
      <c r="BX917" s="162"/>
      <c r="BY917" s="230"/>
      <c r="BZ917" s="230"/>
      <c r="CA917" s="162"/>
      <c r="CB917" s="162"/>
      <c r="CC917" s="162"/>
      <c r="CD917" s="162"/>
      <c r="CE917" s="162"/>
      <c r="CF917" s="230"/>
      <c r="CG917" s="230"/>
      <c r="CH917" s="162"/>
      <c r="CI917" s="162"/>
      <c r="CJ917" s="162"/>
      <c r="CK917" s="162"/>
      <c r="CL917" s="162"/>
      <c r="CM917" s="230"/>
      <c r="CN917" s="230"/>
      <c r="CO917" s="162"/>
      <c r="CP917" s="162"/>
      <c r="CQ917" s="162"/>
      <c r="CR917" s="162"/>
      <c r="CS917" s="162"/>
      <c r="CT917" s="230"/>
      <c r="CU917" s="230"/>
      <c r="CV917" s="162"/>
      <c r="CW917" s="162"/>
      <c r="CX917" s="162"/>
      <c r="CY917" s="162"/>
      <c r="CZ917" s="162"/>
      <c r="DA917" s="230"/>
      <c r="DB917" s="230"/>
      <c r="DC917" s="162"/>
      <c r="DD917" s="162"/>
      <c r="DE917" s="162"/>
      <c r="DF917" s="162"/>
      <c r="DG917" s="162"/>
      <c r="DH917" s="230"/>
      <c r="DI917" s="230"/>
      <c r="DJ917" s="162"/>
      <c r="DK917" s="162"/>
      <c r="DL917" s="147"/>
      <c r="DM917" s="147"/>
      <c r="DN917" s="147"/>
      <c r="DO917" s="147"/>
      <c r="DP917" s="147"/>
      <c r="DQ917" s="147"/>
      <c r="DR917" s="147"/>
      <c r="DS917" s="147"/>
      <c r="DT917" s="147"/>
      <c r="DU917" s="147"/>
      <c r="DV917" s="147"/>
      <c r="DW917" s="147"/>
      <c r="DX917" s="147"/>
      <c r="DY917" s="147"/>
      <c r="DZ917" s="147"/>
      <c r="EA917" s="147"/>
      <c r="EB917" s="147"/>
      <c r="EC917" s="147"/>
      <c r="ED917" s="147"/>
      <c r="EE917" s="147"/>
      <c r="EF917" s="147"/>
      <c r="EG917" s="147"/>
      <c r="EH917" s="147"/>
    </row>
    <row r="918" spans="1:138" x14ac:dyDescent="0.25">
      <c r="A918" s="147"/>
      <c r="B918" s="147"/>
      <c r="C918" s="160"/>
      <c r="D918" s="160"/>
      <c r="E918" s="169"/>
      <c r="F918" s="229"/>
      <c r="G918" s="165"/>
      <c r="H918" s="165"/>
      <c r="I918" s="163"/>
      <c r="J918" s="163"/>
      <c r="K918" s="162"/>
      <c r="L918" s="162"/>
      <c r="M918" s="162"/>
      <c r="N918" s="230"/>
      <c r="O918" s="230"/>
      <c r="P918" s="162"/>
      <c r="Q918" s="162"/>
      <c r="R918" s="162"/>
      <c r="S918" s="162"/>
      <c r="T918" s="162"/>
      <c r="U918" s="230"/>
      <c r="V918" s="230"/>
      <c r="W918" s="162"/>
      <c r="X918" s="162"/>
      <c r="Y918" s="162"/>
      <c r="Z918" s="162"/>
      <c r="AA918" s="162"/>
      <c r="AB918" s="230"/>
      <c r="AC918" s="230"/>
      <c r="AD918" s="162"/>
      <c r="AE918" s="162"/>
      <c r="AF918" s="162"/>
      <c r="AG918" s="162"/>
      <c r="AH918" s="162"/>
      <c r="AI918" s="230"/>
      <c r="AJ918" s="230"/>
      <c r="AK918" s="162"/>
      <c r="AL918" s="162"/>
      <c r="AM918" s="162"/>
      <c r="AN918" s="162"/>
      <c r="AO918" s="162"/>
      <c r="AP918" s="230"/>
      <c r="AQ918" s="230"/>
      <c r="AR918" s="162"/>
      <c r="AS918" s="162"/>
      <c r="AT918" s="162"/>
      <c r="AU918" s="162"/>
      <c r="AV918" s="162"/>
      <c r="AW918" s="230"/>
      <c r="AX918" s="230"/>
      <c r="AY918" s="162"/>
      <c r="AZ918" s="162"/>
      <c r="BA918" s="162"/>
      <c r="BB918" s="162"/>
      <c r="BC918" s="162"/>
      <c r="BD918" s="230"/>
      <c r="BE918" s="230"/>
      <c r="BF918" s="162"/>
      <c r="BG918" s="162"/>
      <c r="BH918" s="162"/>
      <c r="BI918" s="162"/>
      <c r="BJ918" s="162"/>
      <c r="BK918" s="230"/>
      <c r="BL918" s="230"/>
      <c r="BM918" s="162"/>
      <c r="BN918" s="162"/>
      <c r="BO918" s="162"/>
      <c r="BP918" s="162"/>
      <c r="BQ918" s="162"/>
      <c r="BR918" s="230"/>
      <c r="BS918" s="230"/>
      <c r="BT918" s="162"/>
      <c r="BU918" s="162"/>
      <c r="BV918" s="162"/>
      <c r="BW918" s="162"/>
      <c r="BX918" s="162"/>
      <c r="BY918" s="230"/>
      <c r="BZ918" s="230"/>
      <c r="CA918" s="162"/>
      <c r="CB918" s="162"/>
      <c r="CC918" s="162"/>
      <c r="CD918" s="162"/>
      <c r="CE918" s="162"/>
      <c r="CF918" s="230"/>
      <c r="CG918" s="230"/>
      <c r="CH918" s="162"/>
      <c r="CI918" s="162"/>
      <c r="CJ918" s="162"/>
      <c r="CK918" s="162"/>
      <c r="CL918" s="162"/>
      <c r="CM918" s="230"/>
      <c r="CN918" s="230"/>
      <c r="CO918" s="162"/>
      <c r="CP918" s="162"/>
      <c r="CQ918" s="162"/>
      <c r="CR918" s="162"/>
      <c r="CS918" s="162"/>
      <c r="CT918" s="230"/>
      <c r="CU918" s="230"/>
      <c r="CV918" s="162"/>
      <c r="CW918" s="162"/>
      <c r="CX918" s="162"/>
      <c r="CY918" s="162"/>
      <c r="CZ918" s="162"/>
      <c r="DA918" s="230"/>
      <c r="DB918" s="230"/>
      <c r="DC918" s="162"/>
      <c r="DD918" s="162"/>
      <c r="DE918" s="162"/>
      <c r="DF918" s="162"/>
      <c r="DG918" s="162"/>
      <c r="DH918" s="230"/>
      <c r="DI918" s="230"/>
      <c r="DJ918" s="162"/>
      <c r="DK918" s="162"/>
      <c r="DL918" s="147"/>
      <c r="DM918" s="147"/>
      <c r="DN918" s="147"/>
      <c r="DO918" s="147"/>
      <c r="DP918" s="147"/>
      <c r="DQ918" s="147"/>
      <c r="DR918" s="147"/>
      <c r="DS918" s="147"/>
      <c r="DT918" s="147"/>
      <c r="DU918" s="147"/>
      <c r="DV918" s="147"/>
      <c r="DW918" s="147"/>
      <c r="DX918" s="147"/>
      <c r="DY918" s="147"/>
      <c r="DZ918" s="147"/>
      <c r="EA918" s="147"/>
      <c r="EB918" s="147"/>
      <c r="EC918" s="147"/>
      <c r="ED918" s="147"/>
      <c r="EE918" s="147"/>
      <c r="EF918" s="147"/>
      <c r="EG918" s="147"/>
      <c r="EH918" s="147"/>
    </row>
    <row r="919" spans="1:138" x14ac:dyDescent="0.25">
      <c r="A919" s="147"/>
      <c r="B919" s="147"/>
      <c r="C919" s="160"/>
      <c r="D919" s="160"/>
      <c r="E919" s="169"/>
      <c r="F919" s="229"/>
      <c r="G919" s="165"/>
      <c r="H919" s="165"/>
      <c r="I919" s="163"/>
      <c r="J919" s="163"/>
      <c r="K919" s="162"/>
      <c r="L919" s="162"/>
      <c r="M919" s="162"/>
      <c r="N919" s="230"/>
      <c r="O919" s="230"/>
      <c r="P919" s="162"/>
      <c r="Q919" s="162"/>
      <c r="R919" s="162"/>
      <c r="S919" s="162"/>
      <c r="T919" s="162"/>
      <c r="U919" s="230"/>
      <c r="V919" s="230"/>
      <c r="W919" s="162"/>
      <c r="X919" s="162"/>
      <c r="Y919" s="162"/>
      <c r="Z919" s="162"/>
      <c r="AA919" s="162"/>
      <c r="AB919" s="230"/>
      <c r="AC919" s="230"/>
      <c r="AD919" s="162"/>
      <c r="AE919" s="162"/>
      <c r="AF919" s="162"/>
      <c r="AG919" s="162"/>
      <c r="AH919" s="162"/>
      <c r="AI919" s="230"/>
      <c r="AJ919" s="230"/>
      <c r="AK919" s="162"/>
      <c r="AL919" s="162"/>
      <c r="AM919" s="162"/>
      <c r="AN919" s="162"/>
      <c r="AO919" s="162"/>
      <c r="AP919" s="230"/>
      <c r="AQ919" s="230"/>
      <c r="AR919" s="162"/>
      <c r="AS919" s="162"/>
      <c r="AT919" s="162"/>
      <c r="AU919" s="162"/>
      <c r="AV919" s="162"/>
      <c r="AW919" s="230"/>
      <c r="AX919" s="230"/>
      <c r="AY919" s="162"/>
      <c r="AZ919" s="162"/>
      <c r="BA919" s="162"/>
      <c r="BB919" s="162"/>
      <c r="BC919" s="162"/>
      <c r="BD919" s="230"/>
      <c r="BE919" s="230"/>
      <c r="BF919" s="162"/>
      <c r="BG919" s="162"/>
      <c r="BH919" s="162"/>
      <c r="BI919" s="162"/>
      <c r="BJ919" s="162"/>
      <c r="BK919" s="230"/>
      <c r="BL919" s="230"/>
      <c r="BM919" s="162"/>
      <c r="BN919" s="162"/>
      <c r="BO919" s="162"/>
      <c r="BP919" s="162"/>
      <c r="BQ919" s="162"/>
      <c r="BR919" s="230"/>
      <c r="BS919" s="230"/>
      <c r="BT919" s="162"/>
      <c r="BU919" s="162"/>
      <c r="BV919" s="162"/>
      <c r="BW919" s="162"/>
      <c r="BX919" s="162"/>
      <c r="BY919" s="230"/>
      <c r="BZ919" s="230"/>
      <c r="CA919" s="162"/>
      <c r="CB919" s="162"/>
      <c r="CC919" s="162"/>
      <c r="CD919" s="162"/>
      <c r="CE919" s="162"/>
      <c r="CF919" s="230"/>
      <c r="CG919" s="230"/>
      <c r="CH919" s="162"/>
      <c r="CI919" s="162"/>
      <c r="CJ919" s="162"/>
      <c r="CK919" s="162"/>
      <c r="CL919" s="162"/>
      <c r="CM919" s="230"/>
      <c r="CN919" s="230"/>
      <c r="CO919" s="162"/>
      <c r="CP919" s="162"/>
      <c r="CQ919" s="162"/>
      <c r="CR919" s="162"/>
      <c r="CS919" s="162"/>
      <c r="CT919" s="230"/>
      <c r="CU919" s="230"/>
      <c r="CV919" s="162"/>
      <c r="CW919" s="162"/>
      <c r="CX919" s="162"/>
      <c r="CY919" s="162"/>
      <c r="CZ919" s="162"/>
      <c r="DA919" s="230"/>
      <c r="DB919" s="230"/>
      <c r="DC919" s="162"/>
      <c r="DD919" s="162"/>
      <c r="DE919" s="162"/>
      <c r="DF919" s="162"/>
      <c r="DG919" s="162"/>
      <c r="DH919" s="230"/>
      <c r="DI919" s="230"/>
      <c r="DJ919" s="162"/>
      <c r="DK919" s="162"/>
      <c r="DL919" s="147"/>
      <c r="DM919" s="147"/>
      <c r="DN919" s="147"/>
      <c r="DO919" s="147"/>
      <c r="DP919" s="147"/>
      <c r="DQ919" s="147"/>
      <c r="DR919" s="147"/>
      <c r="DS919" s="147"/>
      <c r="DT919" s="147"/>
      <c r="DU919" s="147"/>
      <c r="DV919" s="147"/>
      <c r="DW919" s="147"/>
      <c r="DX919" s="147"/>
      <c r="DY919" s="147"/>
      <c r="DZ919" s="147"/>
      <c r="EA919" s="147"/>
      <c r="EB919" s="147"/>
      <c r="EC919" s="147"/>
      <c r="ED919" s="147"/>
      <c r="EE919" s="147"/>
      <c r="EF919" s="147"/>
      <c r="EG919" s="147"/>
      <c r="EH919" s="147"/>
    </row>
    <row r="920" spans="1:138" x14ac:dyDescent="0.25">
      <c r="A920" s="147"/>
      <c r="B920" s="147"/>
      <c r="C920" s="160"/>
      <c r="D920" s="160"/>
      <c r="E920" s="169"/>
      <c r="F920" s="229"/>
      <c r="G920" s="165"/>
      <c r="H920" s="165"/>
      <c r="I920" s="163"/>
      <c r="J920" s="163"/>
      <c r="K920" s="162"/>
      <c r="L920" s="162"/>
      <c r="M920" s="162"/>
      <c r="N920" s="230"/>
      <c r="O920" s="230"/>
      <c r="P920" s="162"/>
      <c r="Q920" s="162"/>
      <c r="R920" s="162"/>
      <c r="S920" s="162"/>
      <c r="T920" s="162"/>
      <c r="U920" s="230"/>
      <c r="V920" s="230"/>
      <c r="W920" s="162"/>
      <c r="X920" s="162"/>
      <c r="Y920" s="162"/>
      <c r="Z920" s="162"/>
      <c r="AA920" s="162"/>
      <c r="AB920" s="230"/>
      <c r="AC920" s="230"/>
      <c r="AD920" s="162"/>
      <c r="AE920" s="162"/>
      <c r="AF920" s="162"/>
      <c r="AG920" s="162"/>
      <c r="AH920" s="162"/>
      <c r="AI920" s="230"/>
      <c r="AJ920" s="230"/>
      <c r="AK920" s="162"/>
      <c r="AL920" s="162"/>
      <c r="AM920" s="162"/>
      <c r="AN920" s="162"/>
      <c r="AO920" s="162"/>
      <c r="AP920" s="230"/>
      <c r="AQ920" s="230"/>
      <c r="AR920" s="162"/>
      <c r="AS920" s="162"/>
      <c r="AT920" s="162"/>
      <c r="AU920" s="162"/>
      <c r="AV920" s="162"/>
      <c r="AW920" s="230"/>
      <c r="AX920" s="230"/>
      <c r="AY920" s="162"/>
      <c r="AZ920" s="162"/>
      <c r="BA920" s="162"/>
      <c r="BB920" s="162"/>
      <c r="BC920" s="162"/>
      <c r="BD920" s="230"/>
      <c r="BE920" s="230"/>
      <c r="BF920" s="162"/>
      <c r="BG920" s="162"/>
      <c r="BH920" s="162"/>
      <c r="BI920" s="162"/>
      <c r="BJ920" s="162"/>
      <c r="BK920" s="230"/>
      <c r="BL920" s="230"/>
      <c r="BM920" s="162"/>
      <c r="BN920" s="162"/>
      <c r="BO920" s="162"/>
      <c r="BP920" s="162"/>
      <c r="BQ920" s="162"/>
      <c r="BR920" s="230"/>
      <c r="BS920" s="230"/>
      <c r="BT920" s="162"/>
      <c r="BU920" s="162"/>
      <c r="BV920" s="162"/>
      <c r="BW920" s="162"/>
      <c r="BX920" s="162"/>
      <c r="BY920" s="230"/>
      <c r="BZ920" s="230"/>
      <c r="CA920" s="162"/>
      <c r="CB920" s="162"/>
      <c r="CC920" s="162"/>
      <c r="CD920" s="162"/>
      <c r="CE920" s="162"/>
      <c r="CF920" s="230"/>
      <c r="CG920" s="230"/>
      <c r="CH920" s="162"/>
      <c r="CI920" s="162"/>
      <c r="CJ920" s="162"/>
      <c r="CK920" s="162"/>
      <c r="CL920" s="162"/>
      <c r="CM920" s="230"/>
      <c r="CN920" s="230"/>
      <c r="CO920" s="162"/>
      <c r="CP920" s="162"/>
      <c r="CQ920" s="162"/>
      <c r="CR920" s="162"/>
      <c r="CS920" s="162"/>
      <c r="CT920" s="230"/>
      <c r="CU920" s="230"/>
      <c r="CV920" s="162"/>
      <c r="CW920" s="162"/>
      <c r="CX920" s="162"/>
      <c r="CY920" s="162"/>
      <c r="CZ920" s="162"/>
      <c r="DA920" s="230"/>
      <c r="DB920" s="230"/>
      <c r="DC920" s="162"/>
      <c r="DD920" s="162"/>
      <c r="DE920" s="162"/>
      <c r="DF920" s="162"/>
      <c r="DG920" s="162"/>
      <c r="DH920" s="230"/>
      <c r="DI920" s="230"/>
      <c r="DJ920" s="162"/>
      <c r="DK920" s="162"/>
      <c r="DL920" s="147"/>
      <c r="DM920" s="147"/>
      <c r="DN920" s="147"/>
      <c r="DO920" s="147"/>
      <c r="DP920" s="147"/>
      <c r="DQ920" s="147"/>
      <c r="DR920" s="147"/>
      <c r="DS920" s="147"/>
      <c r="DT920" s="147"/>
      <c r="DU920" s="147"/>
      <c r="DV920" s="147"/>
      <c r="DW920" s="147"/>
      <c r="DX920" s="147"/>
      <c r="DY920" s="147"/>
      <c r="DZ920" s="147"/>
      <c r="EA920" s="147"/>
      <c r="EB920" s="147"/>
      <c r="EC920" s="147"/>
      <c r="ED920" s="147"/>
      <c r="EE920" s="147"/>
      <c r="EF920" s="147"/>
      <c r="EG920" s="147"/>
      <c r="EH920" s="147"/>
    </row>
    <row r="921" spans="1:138" x14ac:dyDescent="0.25">
      <c r="A921" s="147"/>
      <c r="B921" s="147"/>
      <c r="C921" s="160"/>
      <c r="D921" s="160"/>
      <c r="E921" s="169"/>
      <c r="F921" s="229"/>
      <c r="G921" s="165"/>
      <c r="H921" s="165"/>
      <c r="I921" s="163"/>
      <c r="J921" s="163"/>
      <c r="K921" s="162"/>
      <c r="L921" s="162"/>
      <c r="M921" s="162"/>
      <c r="N921" s="230"/>
      <c r="O921" s="230"/>
      <c r="P921" s="162"/>
      <c r="Q921" s="162"/>
      <c r="R921" s="162"/>
      <c r="S921" s="162"/>
      <c r="T921" s="162"/>
      <c r="U921" s="230"/>
      <c r="V921" s="230"/>
      <c r="W921" s="162"/>
      <c r="X921" s="162"/>
      <c r="Y921" s="162"/>
      <c r="Z921" s="162"/>
      <c r="AA921" s="162"/>
      <c r="AB921" s="230"/>
      <c r="AC921" s="230"/>
      <c r="AD921" s="162"/>
      <c r="AE921" s="162"/>
      <c r="AF921" s="162"/>
      <c r="AG921" s="162"/>
      <c r="AH921" s="162"/>
      <c r="AI921" s="230"/>
      <c r="AJ921" s="230"/>
      <c r="AK921" s="162"/>
      <c r="AL921" s="162"/>
      <c r="AM921" s="162"/>
      <c r="AN921" s="162"/>
      <c r="AO921" s="162"/>
      <c r="AP921" s="230"/>
      <c r="AQ921" s="230"/>
      <c r="AR921" s="162"/>
      <c r="AS921" s="162"/>
      <c r="AT921" s="162"/>
      <c r="AU921" s="162"/>
      <c r="AV921" s="162"/>
      <c r="AW921" s="230"/>
      <c r="AX921" s="230"/>
      <c r="AY921" s="162"/>
      <c r="AZ921" s="162"/>
      <c r="BA921" s="162"/>
      <c r="BB921" s="162"/>
      <c r="BC921" s="162"/>
      <c r="BD921" s="230"/>
      <c r="BE921" s="230"/>
      <c r="BF921" s="162"/>
      <c r="BG921" s="162"/>
      <c r="BH921" s="162"/>
      <c r="BI921" s="162"/>
      <c r="BJ921" s="162"/>
      <c r="BK921" s="230"/>
      <c r="BL921" s="230"/>
      <c r="BM921" s="162"/>
      <c r="BN921" s="162"/>
      <c r="BO921" s="162"/>
      <c r="BP921" s="162"/>
      <c r="BQ921" s="162"/>
      <c r="BR921" s="230"/>
      <c r="BS921" s="230"/>
      <c r="BT921" s="162"/>
      <c r="BU921" s="162"/>
      <c r="BV921" s="162"/>
      <c r="BW921" s="162"/>
      <c r="BX921" s="162"/>
      <c r="BY921" s="230"/>
      <c r="BZ921" s="230"/>
      <c r="CA921" s="162"/>
      <c r="CB921" s="162"/>
      <c r="CC921" s="162"/>
      <c r="CD921" s="162"/>
      <c r="CE921" s="162"/>
      <c r="CF921" s="230"/>
      <c r="CG921" s="230"/>
      <c r="CH921" s="162"/>
      <c r="CI921" s="162"/>
      <c r="CJ921" s="162"/>
      <c r="CK921" s="162"/>
      <c r="CL921" s="162"/>
      <c r="CM921" s="230"/>
      <c r="CN921" s="230"/>
      <c r="CO921" s="162"/>
      <c r="CP921" s="162"/>
      <c r="CQ921" s="162"/>
      <c r="CR921" s="162"/>
      <c r="CS921" s="162"/>
      <c r="CT921" s="230"/>
      <c r="CU921" s="230"/>
      <c r="CV921" s="162"/>
      <c r="CW921" s="162"/>
      <c r="CX921" s="162"/>
      <c r="CY921" s="162"/>
      <c r="CZ921" s="162"/>
      <c r="DA921" s="230"/>
      <c r="DB921" s="230"/>
      <c r="DC921" s="162"/>
      <c r="DD921" s="162"/>
      <c r="DE921" s="162"/>
      <c r="DF921" s="162"/>
      <c r="DG921" s="162"/>
      <c r="DH921" s="230"/>
      <c r="DI921" s="230"/>
      <c r="DJ921" s="162"/>
      <c r="DK921" s="162"/>
      <c r="DL921" s="147"/>
      <c r="DM921" s="147"/>
      <c r="DN921" s="147"/>
      <c r="DO921" s="147"/>
      <c r="DP921" s="147"/>
      <c r="DQ921" s="147"/>
      <c r="DR921" s="147"/>
      <c r="DS921" s="147"/>
      <c r="DT921" s="147"/>
      <c r="DU921" s="147"/>
      <c r="DV921" s="147"/>
      <c r="DW921" s="147"/>
      <c r="DX921" s="147"/>
      <c r="DY921" s="147"/>
      <c r="DZ921" s="147"/>
      <c r="EA921" s="147"/>
      <c r="EB921" s="147"/>
      <c r="EC921" s="147"/>
      <c r="ED921" s="147"/>
      <c r="EE921" s="147"/>
      <c r="EF921" s="147"/>
      <c r="EG921" s="147"/>
      <c r="EH921" s="147"/>
    </row>
    <row r="922" spans="1:138" x14ac:dyDescent="0.25">
      <c r="A922" s="147"/>
      <c r="B922" s="147"/>
      <c r="C922" s="160"/>
      <c r="D922" s="160"/>
      <c r="E922" s="169"/>
      <c r="F922" s="229"/>
      <c r="G922" s="165"/>
      <c r="H922" s="165"/>
      <c r="I922" s="163"/>
      <c r="J922" s="163"/>
      <c r="K922" s="162"/>
      <c r="L922" s="162"/>
      <c r="M922" s="162"/>
      <c r="N922" s="230"/>
      <c r="O922" s="230"/>
      <c r="P922" s="162"/>
      <c r="Q922" s="162"/>
      <c r="R922" s="162"/>
      <c r="S922" s="162"/>
      <c r="T922" s="162"/>
      <c r="U922" s="230"/>
      <c r="V922" s="230"/>
      <c r="W922" s="162"/>
      <c r="X922" s="162"/>
      <c r="Y922" s="162"/>
      <c r="Z922" s="162"/>
      <c r="AA922" s="162"/>
      <c r="AB922" s="230"/>
      <c r="AC922" s="230"/>
      <c r="AD922" s="162"/>
      <c r="AE922" s="162"/>
      <c r="AF922" s="162"/>
      <c r="AG922" s="162"/>
      <c r="AH922" s="162"/>
      <c r="AI922" s="230"/>
      <c r="AJ922" s="230"/>
      <c r="AK922" s="162"/>
      <c r="AL922" s="162"/>
      <c r="AM922" s="162"/>
      <c r="AN922" s="162"/>
      <c r="AO922" s="162"/>
      <c r="AP922" s="230"/>
      <c r="AQ922" s="230"/>
      <c r="AR922" s="162"/>
      <c r="AS922" s="162"/>
      <c r="AT922" s="162"/>
      <c r="AU922" s="162"/>
      <c r="AV922" s="162"/>
      <c r="AW922" s="230"/>
      <c r="AX922" s="230"/>
      <c r="AY922" s="162"/>
      <c r="AZ922" s="162"/>
      <c r="BA922" s="162"/>
      <c r="BB922" s="162"/>
      <c r="BC922" s="162"/>
      <c r="BD922" s="230"/>
      <c r="BE922" s="230"/>
      <c r="BF922" s="162"/>
      <c r="BG922" s="162"/>
      <c r="BH922" s="162"/>
      <c r="BI922" s="162"/>
      <c r="BJ922" s="162"/>
      <c r="BK922" s="230"/>
      <c r="BL922" s="230"/>
      <c r="BM922" s="162"/>
      <c r="BN922" s="162"/>
      <c r="BO922" s="162"/>
      <c r="BP922" s="162"/>
      <c r="BQ922" s="162"/>
      <c r="BR922" s="230"/>
      <c r="BS922" s="230"/>
      <c r="BT922" s="162"/>
      <c r="BU922" s="162"/>
      <c r="BV922" s="162"/>
      <c r="BW922" s="162"/>
      <c r="BX922" s="162"/>
      <c r="BY922" s="230"/>
      <c r="BZ922" s="230"/>
      <c r="CA922" s="162"/>
      <c r="CB922" s="162"/>
      <c r="CC922" s="162"/>
      <c r="CD922" s="162"/>
      <c r="CE922" s="162"/>
      <c r="CF922" s="230"/>
      <c r="CG922" s="230"/>
      <c r="CH922" s="162"/>
      <c r="CI922" s="162"/>
      <c r="CJ922" s="162"/>
      <c r="CK922" s="162"/>
      <c r="CL922" s="162"/>
      <c r="CM922" s="230"/>
      <c r="CN922" s="230"/>
      <c r="CO922" s="162"/>
      <c r="CP922" s="162"/>
      <c r="CQ922" s="162"/>
      <c r="CR922" s="162"/>
      <c r="CS922" s="162"/>
      <c r="CT922" s="230"/>
      <c r="CU922" s="230"/>
      <c r="CV922" s="162"/>
      <c r="CW922" s="162"/>
      <c r="CX922" s="162"/>
      <c r="CY922" s="162"/>
      <c r="CZ922" s="162"/>
      <c r="DA922" s="230"/>
      <c r="DB922" s="230"/>
      <c r="DC922" s="162"/>
      <c r="DD922" s="162"/>
      <c r="DE922" s="162"/>
      <c r="DF922" s="162"/>
      <c r="DG922" s="162"/>
      <c r="DH922" s="230"/>
      <c r="DI922" s="230"/>
      <c r="DJ922" s="162"/>
      <c r="DK922" s="162"/>
      <c r="DL922" s="147"/>
      <c r="DM922" s="147"/>
      <c r="DN922" s="147"/>
      <c r="DO922" s="147"/>
      <c r="DP922" s="147"/>
      <c r="DQ922" s="147"/>
      <c r="DR922" s="147"/>
      <c r="DS922" s="147"/>
      <c r="DT922" s="147"/>
      <c r="DU922" s="147"/>
      <c r="DV922" s="147"/>
      <c r="DW922" s="147"/>
      <c r="DX922" s="147"/>
      <c r="DY922" s="147"/>
      <c r="DZ922" s="147"/>
      <c r="EA922" s="147"/>
      <c r="EB922" s="147"/>
      <c r="EC922" s="147"/>
      <c r="ED922" s="147"/>
      <c r="EE922" s="147"/>
      <c r="EF922" s="147"/>
      <c r="EG922" s="147"/>
      <c r="EH922" s="147"/>
    </row>
    <row r="923" spans="1:138" x14ac:dyDescent="0.25">
      <c r="A923" s="147"/>
      <c r="B923" s="147"/>
      <c r="C923" s="160"/>
      <c r="D923" s="160"/>
      <c r="E923" s="169"/>
      <c r="F923" s="229"/>
      <c r="G923" s="165"/>
      <c r="H923" s="165"/>
      <c r="I923" s="163"/>
      <c r="J923" s="163"/>
      <c r="K923" s="162"/>
      <c r="L923" s="162"/>
      <c r="M923" s="162"/>
      <c r="N923" s="230"/>
      <c r="O923" s="230"/>
      <c r="P923" s="162"/>
      <c r="Q923" s="162"/>
      <c r="R923" s="162"/>
      <c r="S923" s="162"/>
      <c r="T923" s="162"/>
      <c r="U923" s="230"/>
      <c r="V923" s="230"/>
      <c r="W923" s="162"/>
      <c r="X923" s="162"/>
      <c r="Y923" s="162"/>
      <c r="Z923" s="162"/>
      <c r="AA923" s="162"/>
      <c r="AB923" s="230"/>
      <c r="AC923" s="230"/>
      <c r="AD923" s="162"/>
      <c r="AE923" s="162"/>
      <c r="AF923" s="162"/>
      <c r="AG923" s="162"/>
      <c r="AH923" s="162"/>
      <c r="AI923" s="230"/>
      <c r="AJ923" s="230"/>
      <c r="AK923" s="162"/>
      <c r="AL923" s="162"/>
      <c r="AM923" s="162"/>
      <c r="AN923" s="162"/>
      <c r="AO923" s="162"/>
      <c r="AP923" s="230"/>
      <c r="AQ923" s="230"/>
      <c r="AR923" s="162"/>
      <c r="AS923" s="162"/>
      <c r="AT923" s="162"/>
      <c r="AU923" s="162"/>
      <c r="AV923" s="162"/>
      <c r="AW923" s="230"/>
      <c r="AX923" s="230"/>
      <c r="AY923" s="162"/>
      <c r="AZ923" s="162"/>
      <c r="BA923" s="162"/>
      <c r="BB923" s="162"/>
      <c r="BC923" s="162"/>
      <c r="BD923" s="230"/>
      <c r="BE923" s="230"/>
      <c r="BF923" s="162"/>
      <c r="BG923" s="162"/>
      <c r="BH923" s="162"/>
      <c r="BI923" s="162"/>
      <c r="BJ923" s="162"/>
      <c r="BK923" s="230"/>
      <c r="BL923" s="230"/>
      <c r="BM923" s="162"/>
      <c r="BN923" s="162"/>
      <c r="BO923" s="162"/>
      <c r="BP923" s="162"/>
      <c r="BQ923" s="162"/>
      <c r="BR923" s="230"/>
      <c r="BS923" s="230"/>
      <c r="BT923" s="162"/>
      <c r="BU923" s="162"/>
      <c r="BV923" s="162"/>
      <c r="BW923" s="162"/>
      <c r="BX923" s="162"/>
      <c r="BY923" s="230"/>
      <c r="BZ923" s="230"/>
      <c r="CA923" s="162"/>
      <c r="CB923" s="162"/>
      <c r="CC923" s="162"/>
      <c r="CD923" s="162"/>
      <c r="CE923" s="162"/>
      <c r="CF923" s="230"/>
      <c r="CG923" s="230"/>
      <c r="CH923" s="162"/>
      <c r="CI923" s="162"/>
      <c r="CJ923" s="162"/>
      <c r="CK923" s="162"/>
      <c r="CL923" s="162"/>
      <c r="CM923" s="230"/>
      <c r="CN923" s="230"/>
      <c r="CO923" s="162"/>
      <c r="CP923" s="162"/>
      <c r="CQ923" s="162"/>
      <c r="CR923" s="162"/>
      <c r="CS923" s="162"/>
      <c r="CT923" s="230"/>
      <c r="CU923" s="230"/>
      <c r="CV923" s="162"/>
      <c r="CW923" s="162"/>
      <c r="CX923" s="162"/>
      <c r="CY923" s="162"/>
      <c r="CZ923" s="162"/>
      <c r="DA923" s="230"/>
      <c r="DB923" s="230"/>
      <c r="DC923" s="162"/>
      <c r="DD923" s="162"/>
      <c r="DE923" s="162"/>
      <c r="DF923" s="162"/>
      <c r="DG923" s="162"/>
      <c r="DH923" s="230"/>
      <c r="DI923" s="230"/>
      <c r="DJ923" s="162"/>
      <c r="DK923" s="162"/>
      <c r="DL923" s="147"/>
      <c r="DM923" s="147"/>
      <c r="DN923" s="147"/>
      <c r="DO923" s="147"/>
      <c r="DP923" s="147"/>
      <c r="DQ923" s="147"/>
      <c r="DR923" s="147"/>
      <c r="DS923" s="147"/>
      <c r="DT923" s="147"/>
      <c r="DU923" s="147"/>
      <c r="DV923" s="147"/>
      <c r="DW923" s="147"/>
      <c r="DX923" s="147"/>
      <c r="DY923" s="147"/>
      <c r="DZ923" s="147"/>
      <c r="EA923" s="147"/>
      <c r="EB923" s="147"/>
      <c r="EC923" s="147"/>
      <c r="ED923" s="147"/>
      <c r="EE923" s="147"/>
      <c r="EF923" s="147"/>
      <c r="EG923" s="147"/>
      <c r="EH923" s="147"/>
    </row>
    <row r="924" spans="1:138" x14ac:dyDescent="0.25">
      <c r="A924" s="147"/>
      <c r="B924" s="147"/>
      <c r="C924" s="160"/>
      <c r="D924" s="160"/>
      <c r="E924" s="169"/>
      <c r="F924" s="229"/>
      <c r="G924" s="165"/>
      <c r="H924" s="165"/>
      <c r="I924" s="163"/>
      <c r="J924" s="163"/>
      <c r="K924" s="162"/>
      <c r="L924" s="162"/>
      <c r="M924" s="162"/>
      <c r="N924" s="230"/>
      <c r="O924" s="230"/>
      <c r="P924" s="162"/>
      <c r="Q924" s="162"/>
      <c r="R924" s="162"/>
      <c r="S924" s="162"/>
      <c r="T924" s="162"/>
      <c r="U924" s="230"/>
      <c r="V924" s="230"/>
      <c r="W924" s="162"/>
      <c r="X924" s="162"/>
      <c r="Y924" s="162"/>
      <c r="Z924" s="162"/>
      <c r="AA924" s="162"/>
      <c r="AB924" s="230"/>
      <c r="AC924" s="230"/>
      <c r="AD924" s="162"/>
      <c r="AE924" s="162"/>
      <c r="AF924" s="162"/>
      <c r="AG924" s="162"/>
      <c r="AH924" s="162"/>
      <c r="AI924" s="230"/>
      <c r="AJ924" s="230"/>
      <c r="AK924" s="162"/>
      <c r="AL924" s="162"/>
      <c r="AM924" s="162"/>
      <c r="AN924" s="162"/>
      <c r="AO924" s="162"/>
      <c r="AP924" s="230"/>
      <c r="AQ924" s="230"/>
      <c r="AR924" s="162"/>
      <c r="AS924" s="162"/>
      <c r="AT924" s="162"/>
      <c r="AU924" s="162"/>
      <c r="AV924" s="162"/>
      <c r="AW924" s="230"/>
      <c r="AX924" s="230"/>
      <c r="AY924" s="162"/>
      <c r="AZ924" s="162"/>
      <c r="BA924" s="162"/>
      <c r="BB924" s="162"/>
      <c r="BC924" s="162"/>
      <c r="BD924" s="230"/>
      <c r="BE924" s="230"/>
      <c r="BF924" s="162"/>
      <c r="BG924" s="162"/>
      <c r="BH924" s="162"/>
      <c r="BI924" s="162"/>
      <c r="BJ924" s="162"/>
      <c r="BK924" s="230"/>
      <c r="BL924" s="230"/>
      <c r="BM924" s="162"/>
      <c r="BN924" s="162"/>
      <c r="BO924" s="162"/>
      <c r="BP924" s="162"/>
      <c r="BQ924" s="162"/>
      <c r="BR924" s="230"/>
      <c r="BS924" s="230"/>
      <c r="BT924" s="162"/>
      <c r="BU924" s="162"/>
      <c r="BV924" s="162"/>
      <c r="BW924" s="162"/>
      <c r="BX924" s="162"/>
      <c r="BY924" s="230"/>
      <c r="BZ924" s="230"/>
      <c r="CA924" s="162"/>
      <c r="CB924" s="162"/>
      <c r="CC924" s="162"/>
      <c r="CD924" s="162"/>
      <c r="CE924" s="162"/>
      <c r="CF924" s="230"/>
      <c r="CG924" s="230"/>
      <c r="CH924" s="162"/>
      <c r="CI924" s="162"/>
      <c r="CJ924" s="162"/>
      <c r="CK924" s="162"/>
      <c r="CL924" s="162"/>
      <c r="CM924" s="230"/>
      <c r="CN924" s="230"/>
      <c r="CO924" s="162"/>
      <c r="CP924" s="162"/>
      <c r="CQ924" s="162"/>
      <c r="CR924" s="162"/>
      <c r="CS924" s="162"/>
      <c r="CT924" s="230"/>
      <c r="CU924" s="230"/>
      <c r="CV924" s="162"/>
      <c r="CW924" s="162"/>
      <c r="CX924" s="162"/>
      <c r="CY924" s="162"/>
      <c r="CZ924" s="162"/>
      <c r="DA924" s="230"/>
      <c r="DB924" s="230"/>
      <c r="DC924" s="162"/>
      <c r="DD924" s="162"/>
      <c r="DE924" s="162"/>
      <c r="DF924" s="162"/>
      <c r="DG924" s="162"/>
      <c r="DH924" s="230"/>
      <c r="DI924" s="230"/>
      <c r="DJ924" s="162"/>
      <c r="DK924" s="162"/>
      <c r="DL924" s="147"/>
      <c r="DM924" s="147"/>
      <c r="DN924" s="147"/>
      <c r="DO924" s="147"/>
      <c r="DP924" s="147"/>
      <c r="DQ924" s="147"/>
      <c r="DR924" s="147"/>
      <c r="DS924" s="147"/>
      <c r="DT924" s="147"/>
      <c r="DU924" s="147"/>
      <c r="DV924" s="147"/>
      <c r="DW924" s="147"/>
      <c r="DX924" s="147"/>
      <c r="DY924" s="147"/>
      <c r="DZ924" s="147"/>
      <c r="EA924" s="147"/>
      <c r="EB924" s="147"/>
      <c r="EC924" s="147"/>
      <c r="ED924" s="147"/>
      <c r="EE924" s="147"/>
      <c r="EF924" s="147"/>
      <c r="EG924" s="147"/>
      <c r="EH924" s="147"/>
    </row>
    <row r="925" spans="1:138" x14ac:dyDescent="0.25">
      <c r="A925" s="147"/>
      <c r="B925" s="147"/>
      <c r="C925" s="160"/>
      <c r="D925" s="160"/>
      <c r="E925" s="169"/>
      <c r="F925" s="229"/>
      <c r="G925" s="165"/>
      <c r="H925" s="165"/>
      <c r="I925" s="163"/>
      <c r="J925" s="163"/>
      <c r="K925" s="162"/>
      <c r="L925" s="162"/>
      <c r="M925" s="162"/>
      <c r="N925" s="230"/>
      <c r="O925" s="230"/>
      <c r="P925" s="162"/>
      <c r="Q925" s="162"/>
      <c r="R925" s="162"/>
      <c r="S925" s="162"/>
      <c r="T925" s="162"/>
      <c r="U925" s="230"/>
      <c r="V925" s="230"/>
      <c r="W925" s="162"/>
      <c r="X925" s="162"/>
      <c r="Y925" s="162"/>
      <c r="Z925" s="162"/>
      <c r="AA925" s="162"/>
      <c r="AB925" s="230"/>
      <c r="AC925" s="230"/>
      <c r="AD925" s="162"/>
      <c r="AE925" s="162"/>
      <c r="AF925" s="162"/>
      <c r="AG925" s="162"/>
      <c r="AH925" s="162"/>
      <c r="AI925" s="230"/>
      <c r="AJ925" s="230"/>
      <c r="AK925" s="162"/>
      <c r="AL925" s="162"/>
      <c r="AM925" s="162"/>
      <c r="AN925" s="162"/>
      <c r="AO925" s="162"/>
      <c r="AP925" s="230"/>
      <c r="AQ925" s="230"/>
      <c r="AR925" s="162"/>
      <c r="AS925" s="162"/>
      <c r="AT925" s="162"/>
      <c r="AU925" s="162"/>
      <c r="AV925" s="162"/>
      <c r="AW925" s="230"/>
      <c r="AX925" s="230"/>
      <c r="AY925" s="162"/>
      <c r="AZ925" s="162"/>
      <c r="BA925" s="162"/>
      <c r="BB925" s="162"/>
      <c r="BC925" s="162"/>
      <c r="BD925" s="230"/>
      <c r="BE925" s="230"/>
      <c r="BF925" s="162"/>
      <c r="BG925" s="162"/>
      <c r="BH925" s="162"/>
      <c r="BI925" s="162"/>
      <c r="BJ925" s="162"/>
      <c r="BK925" s="230"/>
      <c r="BL925" s="230"/>
      <c r="BM925" s="162"/>
      <c r="BN925" s="162"/>
      <c r="BO925" s="162"/>
      <c r="BP925" s="162"/>
      <c r="BQ925" s="162"/>
      <c r="BR925" s="230"/>
      <c r="BS925" s="230"/>
      <c r="BT925" s="162"/>
      <c r="BU925" s="162"/>
      <c r="BV925" s="162"/>
      <c r="BW925" s="162"/>
      <c r="BX925" s="162"/>
      <c r="BY925" s="230"/>
      <c r="BZ925" s="230"/>
      <c r="CA925" s="162"/>
      <c r="CB925" s="162"/>
      <c r="CC925" s="162"/>
      <c r="CD925" s="162"/>
      <c r="CE925" s="162"/>
      <c r="CF925" s="230"/>
      <c r="CG925" s="230"/>
      <c r="CH925" s="162"/>
      <c r="CI925" s="162"/>
      <c r="CJ925" s="162"/>
      <c r="CK925" s="162"/>
      <c r="CL925" s="162"/>
      <c r="CM925" s="230"/>
      <c r="CN925" s="230"/>
      <c r="CO925" s="162"/>
      <c r="CP925" s="162"/>
      <c r="CQ925" s="162"/>
      <c r="CR925" s="162"/>
      <c r="CS925" s="162"/>
      <c r="CT925" s="230"/>
      <c r="CU925" s="230"/>
      <c r="CV925" s="162"/>
      <c r="CW925" s="162"/>
      <c r="CX925" s="162"/>
      <c r="CY925" s="162"/>
      <c r="CZ925" s="162"/>
      <c r="DA925" s="230"/>
      <c r="DB925" s="230"/>
      <c r="DC925" s="162"/>
      <c r="DD925" s="162"/>
      <c r="DE925" s="162"/>
      <c r="DF925" s="162"/>
      <c r="DG925" s="162"/>
      <c r="DH925" s="230"/>
      <c r="DI925" s="230"/>
      <c r="DJ925" s="162"/>
      <c r="DK925" s="162"/>
      <c r="DL925" s="147"/>
      <c r="DM925" s="147"/>
      <c r="DN925" s="147"/>
      <c r="DO925" s="147"/>
      <c r="DP925" s="147"/>
      <c r="DQ925" s="147"/>
      <c r="DR925" s="147"/>
      <c r="DS925" s="147"/>
      <c r="DT925" s="147"/>
      <c r="DU925" s="147"/>
      <c r="DV925" s="147"/>
      <c r="DW925" s="147"/>
      <c r="DX925" s="147"/>
      <c r="DY925" s="147"/>
      <c r="DZ925" s="147"/>
      <c r="EA925" s="147"/>
      <c r="EB925" s="147"/>
      <c r="EC925" s="147"/>
      <c r="ED925" s="147"/>
      <c r="EE925" s="147"/>
      <c r="EF925" s="147"/>
      <c r="EG925" s="147"/>
      <c r="EH925" s="147"/>
    </row>
    <row r="926" spans="1:138" x14ac:dyDescent="0.25">
      <c r="A926" s="147"/>
      <c r="B926" s="147"/>
      <c r="C926" s="160"/>
      <c r="D926" s="160"/>
      <c r="E926" s="169"/>
      <c r="F926" s="229"/>
      <c r="G926" s="165"/>
      <c r="H926" s="165"/>
      <c r="I926" s="163"/>
      <c r="J926" s="163"/>
      <c r="K926" s="162"/>
      <c r="L926" s="162"/>
      <c r="M926" s="162"/>
      <c r="N926" s="230"/>
      <c r="O926" s="230"/>
      <c r="P926" s="162"/>
      <c r="Q926" s="162"/>
      <c r="R926" s="162"/>
      <c r="S926" s="162"/>
      <c r="T926" s="162"/>
      <c r="U926" s="230"/>
      <c r="V926" s="230"/>
      <c r="W926" s="162"/>
      <c r="X926" s="162"/>
      <c r="Y926" s="162"/>
      <c r="Z926" s="162"/>
      <c r="AA926" s="162"/>
      <c r="AB926" s="230"/>
      <c r="AC926" s="230"/>
      <c r="AD926" s="162"/>
      <c r="AE926" s="162"/>
      <c r="AF926" s="162"/>
      <c r="AG926" s="162"/>
      <c r="AH926" s="162"/>
      <c r="AI926" s="230"/>
      <c r="AJ926" s="230"/>
      <c r="AK926" s="162"/>
      <c r="AL926" s="162"/>
      <c r="AM926" s="162"/>
      <c r="AN926" s="162"/>
      <c r="AO926" s="162"/>
      <c r="AP926" s="230"/>
      <c r="AQ926" s="230"/>
      <c r="AR926" s="162"/>
      <c r="AS926" s="162"/>
      <c r="AT926" s="162"/>
      <c r="AU926" s="162"/>
      <c r="AV926" s="162"/>
      <c r="AW926" s="230"/>
      <c r="AX926" s="230"/>
      <c r="AY926" s="162"/>
      <c r="AZ926" s="162"/>
      <c r="BA926" s="162"/>
      <c r="BB926" s="162"/>
      <c r="BC926" s="162"/>
      <c r="BD926" s="230"/>
      <c r="BE926" s="230"/>
      <c r="BF926" s="162"/>
      <c r="BG926" s="162"/>
      <c r="BH926" s="162"/>
      <c r="BI926" s="162"/>
      <c r="BJ926" s="162"/>
      <c r="BK926" s="230"/>
      <c r="BL926" s="230"/>
      <c r="BM926" s="162"/>
      <c r="BN926" s="162"/>
      <c r="BO926" s="162"/>
      <c r="BP926" s="162"/>
      <c r="BQ926" s="162"/>
      <c r="BR926" s="230"/>
      <c r="BS926" s="230"/>
      <c r="BT926" s="162"/>
      <c r="BU926" s="162"/>
      <c r="BV926" s="162"/>
      <c r="BW926" s="162"/>
      <c r="BX926" s="162"/>
      <c r="BY926" s="230"/>
      <c r="BZ926" s="230"/>
      <c r="CA926" s="162"/>
      <c r="CB926" s="162"/>
      <c r="CC926" s="162"/>
      <c r="CD926" s="162"/>
      <c r="CE926" s="162"/>
      <c r="CF926" s="230"/>
      <c r="CG926" s="230"/>
      <c r="CH926" s="162"/>
      <c r="CI926" s="162"/>
      <c r="CJ926" s="162"/>
      <c r="CK926" s="162"/>
      <c r="CL926" s="162"/>
      <c r="CM926" s="230"/>
      <c r="CN926" s="230"/>
      <c r="CO926" s="162"/>
      <c r="CP926" s="162"/>
      <c r="CQ926" s="162"/>
      <c r="CR926" s="162"/>
      <c r="CS926" s="162"/>
      <c r="CT926" s="230"/>
      <c r="CU926" s="230"/>
      <c r="CV926" s="162"/>
      <c r="CW926" s="162"/>
      <c r="CX926" s="162"/>
      <c r="CY926" s="162"/>
      <c r="CZ926" s="162"/>
      <c r="DA926" s="230"/>
      <c r="DB926" s="230"/>
      <c r="DC926" s="162"/>
      <c r="DD926" s="162"/>
      <c r="DE926" s="162"/>
      <c r="DF926" s="162"/>
      <c r="DG926" s="162"/>
      <c r="DH926" s="230"/>
      <c r="DI926" s="230"/>
      <c r="DJ926" s="162"/>
      <c r="DK926" s="162"/>
      <c r="DL926" s="147"/>
      <c r="DM926" s="147"/>
      <c r="DN926" s="147"/>
      <c r="DO926" s="147"/>
      <c r="DP926" s="147"/>
      <c r="DQ926" s="147"/>
      <c r="DR926" s="147"/>
      <c r="DS926" s="147"/>
      <c r="DT926" s="147"/>
      <c r="DU926" s="147"/>
      <c r="DV926" s="147"/>
      <c r="DW926" s="147"/>
      <c r="DX926" s="147"/>
      <c r="DY926" s="147"/>
      <c r="DZ926" s="147"/>
      <c r="EA926" s="147"/>
      <c r="EB926" s="147"/>
      <c r="EC926" s="147"/>
      <c r="ED926" s="147"/>
      <c r="EE926" s="147"/>
      <c r="EF926" s="147"/>
      <c r="EG926" s="147"/>
      <c r="EH926" s="147"/>
    </row>
    <row r="927" spans="1:138" x14ac:dyDescent="0.25">
      <c r="A927" s="147"/>
      <c r="B927" s="147"/>
      <c r="C927" s="160"/>
      <c r="D927" s="160"/>
      <c r="E927" s="169"/>
      <c r="F927" s="229"/>
      <c r="G927" s="165"/>
      <c r="H927" s="165"/>
      <c r="I927" s="163"/>
      <c r="J927" s="163"/>
      <c r="K927" s="162"/>
      <c r="L927" s="162"/>
      <c r="M927" s="162"/>
      <c r="N927" s="230"/>
      <c r="O927" s="230"/>
      <c r="P927" s="162"/>
      <c r="Q927" s="162"/>
      <c r="R927" s="162"/>
      <c r="S927" s="162"/>
      <c r="T927" s="162"/>
      <c r="U927" s="230"/>
      <c r="V927" s="230"/>
      <c r="W927" s="162"/>
      <c r="X927" s="162"/>
      <c r="Y927" s="162"/>
      <c r="Z927" s="162"/>
      <c r="AA927" s="162"/>
      <c r="AB927" s="230"/>
      <c r="AC927" s="230"/>
      <c r="AD927" s="162"/>
      <c r="AE927" s="162"/>
      <c r="AF927" s="162"/>
      <c r="AG927" s="162"/>
      <c r="AH927" s="162"/>
      <c r="AI927" s="230"/>
      <c r="AJ927" s="230"/>
      <c r="AK927" s="162"/>
      <c r="AL927" s="162"/>
      <c r="AM927" s="162"/>
      <c r="AN927" s="162"/>
      <c r="AO927" s="162"/>
      <c r="AP927" s="230"/>
      <c r="AQ927" s="230"/>
      <c r="AR927" s="162"/>
      <c r="AS927" s="162"/>
      <c r="AT927" s="162"/>
      <c r="AU927" s="162"/>
      <c r="AV927" s="162"/>
      <c r="AW927" s="230"/>
      <c r="AX927" s="230"/>
      <c r="AY927" s="162"/>
      <c r="AZ927" s="162"/>
      <c r="BA927" s="162"/>
      <c r="BB927" s="162"/>
      <c r="BC927" s="162"/>
      <c r="BD927" s="230"/>
      <c r="BE927" s="230"/>
      <c r="BF927" s="162"/>
      <c r="BG927" s="162"/>
      <c r="BH927" s="162"/>
      <c r="BI927" s="162"/>
      <c r="BJ927" s="162"/>
      <c r="BK927" s="230"/>
      <c r="BL927" s="230"/>
      <c r="BM927" s="162"/>
      <c r="BN927" s="162"/>
      <c r="BO927" s="162"/>
      <c r="BP927" s="162"/>
      <c r="BQ927" s="162"/>
      <c r="BR927" s="230"/>
      <c r="BS927" s="230"/>
      <c r="BT927" s="162"/>
      <c r="BU927" s="162"/>
      <c r="BV927" s="162"/>
      <c r="BW927" s="162"/>
      <c r="BX927" s="162"/>
      <c r="BY927" s="230"/>
      <c r="BZ927" s="230"/>
      <c r="CA927" s="162"/>
      <c r="CB927" s="162"/>
      <c r="CC927" s="162"/>
      <c r="CD927" s="162"/>
      <c r="CE927" s="162"/>
      <c r="CF927" s="230"/>
      <c r="CG927" s="230"/>
      <c r="CH927" s="162"/>
      <c r="CI927" s="162"/>
      <c r="CJ927" s="162"/>
      <c r="CK927" s="162"/>
      <c r="CL927" s="162"/>
      <c r="CM927" s="230"/>
      <c r="CN927" s="230"/>
      <c r="CO927" s="162"/>
      <c r="CP927" s="162"/>
      <c r="CQ927" s="162"/>
      <c r="CR927" s="162"/>
      <c r="CS927" s="162"/>
      <c r="CT927" s="230"/>
      <c r="CU927" s="230"/>
      <c r="CV927" s="162"/>
      <c r="CW927" s="162"/>
      <c r="CX927" s="162"/>
      <c r="CY927" s="162"/>
      <c r="CZ927" s="162"/>
      <c r="DA927" s="230"/>
      <c r="DB927" s="230"/>
      <c r="DC927" s="162"/>
      <c r="DD927" s="162"/>
      <c r="DE927" s="162"/>
      <c r="DF927" s="162"/>
      <c r="DG927" s="162"/>
      <c r="DH927" s="230"/>
      <c r="DI927" s="230"/>
      <c r="DJ927" s="162"/>
      <c r="DK927" s="162"/>
      <c r="DL927" s="147"/>
      <c r="DM927" s="147"/>
      <c r="DN927" s="147"/>
      <c r="DO927" s="147"/>
      <c r="DP927" s="147"/>
      <c r="DQ927" s="147"/>
      <c r="DR927" s="147"/>
      <c r="DS927" s="147"/>
      <c r="DT927" s="147"/>
      <c r="DU927" s="147"/>
      <c r="DV927" s="147"/>
      <c r="DW927" s="147"/>
      <c r="DX927" s="147"/>
      <c r="DY927" s="147"/>
      <c r="DZ927" s="147"/>
      <c r="EA927" s="147"/>
      <c r="EB927" s="147"/>
      <c r="EC927" s="147"/>
      <c r="ED927" s="147"/>
      <c r="EE927" s="147"/>
      <c r="EF927" s="147"/>
      <c r="EG927" s="147"/>
      <c r="EH927" s="147"/>
    </row>
    <row r="928" spans="1:138" x14ac:dyDescent="0.25">
      <c r="A928" s="147"/>
      <c r="B928" s="147"/>
      <c r="C928" s="160"/>
      <c r="D928" s="160"/>
      <c r="E928" s="169"/>
      <c r="F928" s="229"/>
      <c r="G928" s="165"/>
      <c r="H928" s="165"/>
      <c r="I928" s="163"/>
      <c r="J928" s="163"/>
      <c r="K928" s="162"/>
      <c r="L928" s="162"/>
      <c r="M928" s="162"/>
      <c r="N928" s="230"/>
      <c r="O928" s="230"/>
      <c r="P928" s="162"/>
      <c r="Q928" s="162"/>
      <c r="R928" s="162"/>
      <c r="S928" s="162"/>
      <c r="T928" s="162"/>
      <c r="U928" s="230"/>
      <c r="V928" s="230"/>
      <c r="W928" s="162"/>
      <c r="X928" s="162"/>
      <c r="Y928" s="162"/>
      <c r="Z928" s="162"/>
      <c r="AA928" s="162"/>
      <c r="AB928" s="230"/>
      <c r="AC928" s="230"/>
      <c r="AD928" s="162"/>
      <c r="AE928" s="162"/>
      <c r="AF928" s="162"/>
      <c r="AG928" s="162"/>
      <c r="AH928" s="162"/>
      <c r="AI928" s="230"/>
      <c r="AJ928" s="230"/>
      <c r="AK928" s="162"/>
      <c r="AL928" s="162"/>
      <c r="AM928" s="162"/>
      <c r="AN928" s="162"/>
      <c r="AO928" s="162"/>
      <c r="AP928" s="230"/>
      <c r="AQ928" s="230"/>
      <c r="AR928" s="162"/>
      <c r="AS928" s="162"/>
      <c r="AT928" s="162"/>
      <c r="AU928" s="162"/>
      <c r="AV928" s="162"/>
      <c r="AW928" s="230"/>
      <c r="AX928" s="230"/>
      <c r="AY928" s="162"/>
      <c r="AZ928" s="162"/>
      <c r="BA928" s="162"/>
      <c r="BB928" s="162"/>
      <c r="BC928" s="162"/>
      <c r="BD928" s="230"/>
      <c r="BE928" s="230"/>
      <c r="BF928" s="162"/>
      <c r="BG928" s="162"/>
      <c r="BH928" s="162"/>
      <c r="BI928" s="162"/>
      <c r="BJ928" s="162"/>
      <c r="BK928" s="230"/>
      <c r="BL928" s="230"/>
      <c r="BM928" s="162"/>
      <c r="BN928" s="162"/>
      <c r="BO928" s="162"/>
      <c r="BP928" s="162"/>
      <c r="BQ928" s="162"/>
      <c r="BR928" s="230"/>
      <c r="BS928" s="230"/>
      <c r="BT928" s="162"/>
      <c r="BU928" s="162"/>
      <c r="BV928" s="162"/>
      <c r="BW928" s="162"/>
      <c r="BX928" s="162"/>
      <c r="BY928" s="230"/>
      <c r="BZ928" s="230"/>
      <c r="CA928" s="162"/>
      <c r="CB928" s="162"/>
      <c r="CC928" s="162"/>
      <c r="CD928" s="162"/>
      <c r="CE928" s="162"/>
      <c r="CF928" s="230"/>
      <c r="CG928" s="230"/>
      <c r="CH928" s="162"/>
      <c r="CI928" s="162"/>
      <c r="CJ928" s="162"/>
      <c r="CK928" s="162"/>
      <c r="CL928" s="162"/>
      <c r="CM928" s="230"/>
      <c r="CN928" s="230"/>
      <c r="CO928" s="162"/>
      <c r="CP928" s="162"/>
      <c r="CQ928" s="162"/>
      <c r="CR928" s="162"/>
      <c r="CS928" s="162"/>
      <c r="CT928" s="230"/>
      <c r="CU928" s="230"/>
      <c r="CV928" s="162"/>
      <c r="CW928" s="162"/>
      <c r="CX928" s="162"/>
      <c r="CY928" s="162"/>
      <c r="CZ928" s="162"/>
      <c r="DA928" s="230"/>
      <c r="DB928" s="230"/>
      <c r="DC928" s="162"/>
      <c r="DD928" s="162"/>
      <c r="DE928" s="162"/>
      <c r="DF928" s="162"/>
      <c r="DG928" s="162"/>
      <c r="DH928" s="230"/>
      <c r="DI928" s="230"/>
      <c r="DJ928" s="162"/>
      <c r="DK928" s="162"/>
      <c r="DL928" s="147"/>
      <c r="DM928" s="147"/>
      <c r="DN928" s="147"/>
      <c r="DO928" s="147"/>
      <c r="DP928" s="147"/>
      <c r="DQ928" s="147"/>
      <c r="DR928" s="147"/>
      <c r="DS928" s="147"/>
      <c r="DT928" s="147"/>
      <c r="DU928" s="147"/>
      <c r="DV928" s="147"/>
      <c r="DW928" s="147"/>
      <c r="DX928" s="147"/>
      <c r="DY928" s="147"/>
      <c r="DZ928" s="147"/>
      <c r="EA928" s="147"/>
      <c r="EB928" s="147"/>
      <c r="EC928" s="147"/>
      <c r="ED928" s="147"/>
      <c r="EE928" s="147"/>
      <c r="EF928" s="147"/>
      <c r="EG928" s="147"/>
      <c r="EH928" s="147"/>
    </row>
    <row r="929" spans="1:138" x14ac:dyDescent="0.25">
      <c r="A929" s="147"/>
      <c r="B929" s="147"/>
      <c r="C929" s="160"/>
      <c r="D929" s="160"/>
      <c r="E929" s="169"/>
      <c r="F929" s="229"/>
      <c r="G929" s="165"/>
      <c r="H929" s="165"/>
      <c r="I929" s="163"/>
      <c r="J929" s="163"/>
      <c r="K929" s="162"/>
      <c r="L929" s="162"/>
      <c r="M929" s="162"/>
      <c r="N929" s="230"/>
      <c r="O929" s="230"/>
      <c r="P929" s="162"/>
      <c r="Q929" s="162"/>
      <c r="R929" s="162"/>
      <c r="S929" s="162"/>
      <c r="T929" s="162"/>
      <c r="U929" s="230"/>
      <c r="V929" s="230"/>
      <c r="W929" s="162"/>
      <c r="X929" s="162"/>
      <c r="Y929" s="162"/>
      <c r="Z929" s="162"/>
      <c r="AA929" s="162"/>
      <c r="AB929" s="230"/>
      <c r="AC929" s="230"/>
      <c r="AD929" s="162"/>
      <c r="AE929" s="162"/>
      <c r="AF929" s="162"/>
      <c r="AG929" s="162"/>
      <c r="AH929" s="162"/>
      <c r="AI929" s="230"/>
      <c r="AJ929" s="230"/>
      <c r="AK929" s="162"/>
      <c r="AL929" s="162"/>
      <c r="AM929" s="162"/>
      <c r="AN929" s="162"/>
      <c r="AO929" s="162"/>
      <c r="AP929" s="230"/>
      <c r="AQ929" s="230"/>
      <c r="AR929" s="162"/>
      <c r="AS929" s="162"/>
      <c r="AT929" s="162"/>
      <c r="AU929" s="162"/>
      <c r="AV929" s="162"/>
      <c r="AW929" s="230"/>
      <c r="AX929" s="230"/>
      <c r="AY929" s="162"/>
      <c r="AZ929" s="162"/>
      <c r="BA929" s="162"/>
      <c r="BB929" s="162"/>
      <c r="BC929" s="162"/>
      <c r="BD929" s="230"/>
      <c r="BE929" s="230"/>
      <c r="BF929" s="162"/>
      <c r="BG929" s="162"/>
      <c r="BH929" s="162"/>
      <c r="BI929" s="162"/>
      <c r="BJ929" s="162"/>
      <c r="BK929" s="230"/>
      <c r="BL929" s="230"/>
      <c r="BM929" s="162"/>
      <c r="BN929" s="162"/>
      <c r="BO929" s="162"/>
      <c r="BP929" s="162"/>
      <c r="BQ929" s="162"/>
      <c r="BR929" s="230"/>
      <c r="BS929" s="230"/>
      <c r="BT929" s="162"/>
      <c r="BU929" s="162"/>
      <c r="BV929" s="162"/>
      <c r="BW929" s="162"/>
      <c r="BX929" s="162"/>
      <c r="BY929" s="230"/>
      <c r="BZ929" s="230"/>
      <c r="CA929" s="162"/>
      <c r="CB929" s="162"/>
      <c r="CC929" s="162"/>
      <c r="CD929" s="162"/>
      <c r="CE929" s="162"/>
      <c r="CF929" s="230"/>
      <c r="CG929" s="230"/>
      <c r="CH929" s="162"/>
      <c r="CI929" s="162"/>
      <c r="CJ929" s="162"/>
      <c r="CK929" s="162"/>
      <c r="CL929" s="162"/>
      <c r="CM929" s="230"/>
      <c r="CN929" s="230"/>
      <c r="CO929" s="162"/>
      <c r="CP929" s="162"/>
      <c r="CQ929" s="162"/>
      <c r="CR929" s="162"/>
      <c r="CS929" s="162"/>
      <c r="CT929" s="230"/>
      <c r="CU929" s="230"/>
      <c r="CV929" s="162"/>
      <c r="CW929" s="162"/>
      <c r="CX929" s="162"/>
      <c r="CY929" s="162"/>
      <c r="CZ929" s="162"/>
      <c r="DA929" s="230"/>
      <c r="DB929" s="230"/>
      <c r="DC929" s="162"/>
      <c r="DD929" s="162"/>
      <c r="DE929" s="162"/>
      <c r="DF929" s="162"/>
      <c r="DG929" s="162"/>
      <c r="DH929" s="230"/>
      <c r="DI929" s="230"/>
      <c r="DJ929" s="162"/>
      <c r="DK929" s="162"/>
      <c r="DL929" s="147"/>
      <c r="DM929" s="147"/>
      <c r="DN929" s="147"/>
      <c r="DO929" s="147"/>
      <c r="DP929" s="147"/>
      <c r="DQ929" s="147"/>
      <c r="DR929" s="147"/>
      <c r="DS929" s="147"/>
      <c r="DT929" s="147"/>
      <c r="DU929" s="147"/>
      <c r="DV929" s="147"/>
      <c r="DW929" s="147"/>
      <c r="DX929" s="147"/>
      <c r="DY929" s="147"/>
      <c r="DZ929" s="147"/>
      <c r="EA929" s="147"/>
      <c r="EB929" s="147"/>
      <c r="EC929" s="147"/>
      <c r="ED929" s="147"/>
      <c r="EE929" s="147"/>
      <c r="EF929" s="147"/>
      <c r="EG929" s="147"/>
      <c r="EH929" s="147"/>
    </row>
    <row r="930" spans="1:138" x14ac:dyDescent="0.25">
      <c r="A930" s="147"/>
      <c r="B930" s="147"/>
      <c r="C930" s="160"/>
      <c r="D930" s="160"/>
      <c r="E930" s="169"/>
      <c r="F930" s="229"/>
      <c r="G930" s="165"/>
      <c r="H930" s="165"/>
      <c r="I930" s="163"/>
      <c r="J930" s="163"/>
      <c r="K930" s="162"/>
      <c r="L930" s="162"/>
      <c r="M930" s="162"/>
      <c r="N930" s="230"/>
      <c r="O930" s="230"/>
      <c r="P930" s="162"/>
      <c r="Q930" s="162"/>
      <c r="R930" s="162"/>
      <c r="S930" s="162"/>
      <c r="T930" s="162"/>
      <c r="U930" s="230"/>
      <c r="V930" s="230"/>
      <c r="W930" s="162"/>
      <c r="X930" s="162"/>
      <c r="Y930" s="162"/>
      <c r="Z930" s="162"/>
      <c r="AA930" s="162"/>
      <c r="AB930" s="230"/>
      <c r="AC930" s="230"/>
      <c r="AD930" s="162"/>
      <c r="AE930" s="162"/>
      <c r="AF930" s="162"/>
      <c r="AG930" s="162"/>
      <c r="AH930" s="162"/>
      <c r="AI930" s="230"/>
      <c r="AJ930" s="230"/>
      <c r="AK930" s="162"/>
      <c r="AL930" s="162"/>
      <c r="AM930" s="162"/>
      <c r="AN930" s="162"/>
      <c r="AO930" s="162"/>
      <c r="AP930" s="230"/>
      <c r="AQ930" s="230"/>
      <c r="AR930" s="162"/>
      <c r="AS930" s="162"/>
      <c r="AT930" s="162"/>
      <c r="AU930" s="162"/>
      <c r="AV930" s="162"/>
      <c r="AW930" s="230"/>
      <c r="AX930" s="230"/>
      <c r="AY930" s="162"/>
      <c r="AZ930" s="162"/>
      <c r="BA930" s="162"/>
      <c r="BB930" s="162"/>
      <c r="BC930" s="162"/>
      <c r="BD930" s="230"/>
      <c r="BE930" s="230"/>
      <c r="BF930" s="162"/>
      <c r="BG930" s="162"/>
      <c r="BH930" s="162"/>
      <c r="BI930" s="162"/>
      <c r="BJ930" s="162"/>
      <c r="BK930" s="230"/>
      <c r="BL930" s="230"/>
      <c r="BM930" s="162"/>
      <c r="BN930" s="162"/>
      <c r="BO930" s="162"/>
      <c r="BP930" s="162"/>
      <c r="BQ930" s="162"/>
      <c r="BR930" s="230"/>
      <c r="BS930" s="230"/>
      <c r="BT930" s="162"/>
      <c r="BU930" s="162"/>
      <c r="BV930" s="162"/>
      <c r="BW930" s="162"/>
      <c r="BX930" s="162"/>
      <c r="BY930" s="230"/>
      <c r="BZ930" s="230"/>
      <c r="CA930" s="162"/>
      <c r="CB930" s="162"/>
      <c r="CC930" s="162"/>
      <c r="CD930" s="162"/>
      <c r="CE930" s="162"/>
      <c r="CF930" s="230"/>
      <c r="CG930" s="230"/>
      <c r="CH930" s="162"/>
      <c r="CI930" s="162"/>
      <c r="CJ930" s="162"/>
      <c r="CK930" s="162"/>
      <c r="CL930" s="162"/>
      <c r="CM930" s="230"/>
      <c r="CN930" s="230"/>
      <c r="CO930" s="162"/>
      <c r="CP930" s="162"/>
      <c r="CQ930" s="162"/>
      <c r="CR930" s="162"/>
      <c r="CS930" s="162"/>
      <c r="CT930" s="230"/>
      <c r="CU930" s="230"/>
      <c r="CV930" s="162"/>
      <c r="CW930" s="162"/>
      <c r="CX930" s="162"/>
      <c r="CY930" s="162"/>
      <c r="CZ930" s="162"/>
      <c r="DA930" s="230"/>
      <c r="DB930" s="230"/>
      <c r="DC930" s="162"/>
      <c r="DD930" s="162"/>
      <c r="DE930" s="162"/>
      <c r="DF930" s="162"/>
      <c r="DG930" s="162"/>
      <c r="DH930" s="230"/>
      <c r="DI930" s="230"/>
      <c r="DJ930" s="162"/>
      <c r="DK930" s="162"/>
      <c r="DL930" s="147"/>
      <c r="DM930" s="147"/>
      <c r="DN930" s="147"/>
      <c r="DO930" s="147"/>
      <c r="DP930" s="147"/>
      <c r="DQ930" s="147"/>
      <c r="DR930" s="147"/>
      <c r="DS930" s="147"/>
      <c r="DT930" s="147"/>
      <c r="DU930" s="147"/>
      <c r="DV930" s="147"/>
      <c r="DW930" s="147"/>
      <c r="DX930" s="147"/>
      <c r="DY930" s="147"/>
      <c r="DZ930" s="147"/>
      <c r="EA930" s="147"/>
      <c r="EB930" s="147"/>
      <c r="EC930" s="147"/>
      <c r="ED930" s="147"/>
      <c r="EE930" s="147"/>
      <c r="EF930" s="147"/>
      <c r="EG930" s="147"/>
      <c r="EH930" s="147"/>
    </row>
    <row r="931" spans="1:138" x14ac:dyDescent="0.25">
      <c r="A931" s="147"/>
      <c r="B931" s="147"/>
      <c r="C931" s="160"/>
      <c r="D931" s="160"/>
      <c r="E931" s="169"/>
      <c r="F931" s="229"/>
      <c r="G931" s="165"/>
      <c r="H931" s="165"/>
      <c r="I931" s="163"/>
      <c r="J931" s="163"/>
      <c r="K931" s="162"/>
      <c r="L931" s="162"/>
      <c r="M931" s="162"/>
      <c r="N931" s="230"/>
      <c r="O931" s="230"/>
      <c r="P931" s="162"/>
      <c r="Q931" s="162"/>
      <c r="R931" s="162"/>
      <c r="S931" s="162"/>
      <c r="T931" s="162"/>
      <c r="U931" s="230"/>
      <c r="V931" s="230"/>
      <c r="W931" s="162"/>
      <c r="X931" s="162"/>
      <c r="Y931" s="162"/>
      <c r="Z931" s="162"/>
      <c r="AA931" s="162"/>
      <c r="AB931" s="230"/>
      <c r="AC931" s="230"/>
      <c r="AD931" s="162"/>
      <c r="AE931" s="162"/>
      <c r="AF931" s="162"/>
      <c r="AG931" s="162"/>
      <c r="AH931" s="162"/>
      <c r="AI931" s="230"/>
      <c r="AJ931" s="230"/>
      <c r="AK931" s="162"/>
      <c r="AL931" s="162"/>
      <c r="AM931" s="162"/>
      <c r="AN931" s="162"/>
      <c r="AO931" s="162"/>
      <c r="AP931" s="230"/>
      <c r="AQ931" s="230"/>
      <c r="AR931" s="162"/>
      <c r="AS931" s="162"/>
      <c r="AT931" s="162"/>
      <c r="AU931" s="162"/>
      <c r="AV931" s="162"/>
      <c r="AW931" s="230"/>
      <c r="AX931" s="230"/>
      <c r="AY931" s="162"/>
      <c r="AZ931" s="162"/>
      <c r="BA931" s="162"/>
      <c r="BB931" s="162"/>
      <c r="BC931" s="162"/>
      <c r="BD931" s="230"/>
      <c r="BE931" s="230"/>
      <c r="BF931" s="162"/>
      <c r="BG931" s="162"/>
      <c r="BH931" s="162"/>
      <c r="BI931" s="162"/>
      <c r="BJ931" s="162"/>
      <c r="BK931" s="230"/>
      <c r="BL931" s="230"/>
      <c r="BM931" s="162"/>
      <c r="BN931" s="162"/>
      <c r="BO931" s="162"/>
      <c r="BP931" s="162"/>
      <c r="BQ931" s="162"/>
      <c r="BR931" s="230"/>
      <c r="BS931" s="230"/>
      <c r="BT931" s="162"/>
      <c r="BU931" s="162"/>
      <c r="BV931" s="162"/>
      <c r="BW931" s="162"/>
      <c r="BX931" s="162"/>
      <c r="BY931" s="230"/>
      <c r="BZ931" s="230"/>
      <c r="CA931" s="162"/>
      <c r="CB931" s="162"/>
      <c r="CC931" s="162"/>
      <c r="CD931" s="162"/>
      <c r="CE931" s="162"/>
      <c r="CF931" s="230"/>
      <c r="CG931" s="230"/>
      <c r="CH931" s="162"/>
      <c r="CI931" s="162"/>
      <c r="CJ931" s="162"/>
      <c r="CK931" s="162"/>
      <c r="CL931" s="162"/>
      <c r="CM931" s="230"/>
      <c r="CN931" s="230"/>
      <c r="CO931" s="162"/>
      <c r="CP931" s="162"/>
      <c r="CQ931" s="162"/>
      <c r="CR931" s="162"/>
      <c r="CS931" s="162"/>
      <c r="CT931" s="230"/>
      <c r="CU931" s="230"/>
      <c r="CV931" s="162"/>
      <c r="CW931" s="162"/>
      <c r="CX931" s="162"/>
      <c r="CY931" s="162"/>
      <c r="CZ931" s="162"/>
      <c r="DA931" s="230"/>
      <c r="DB931" s="230"/>
      <c r="DC931" s="162"/>
      <c r="DD931" s="162"/>
      <c r="DE931" s="162"/>
      <c r="DF931" s="162"/>
      <c r="DG931" s="162"/>
      <c r="DH931" s="230"/>
      <c r="DI931" s="230"/>
      <c r="DJ931" s="162"/>
      <c r="DK931" s="162"/>
      <c r="DL931" s="147"/>
      <c r="DM931" s="147"/>
      <c r="DN931" s="147"/>
      <c r="DO931" s="147"/>
      <c r="DP931" s="147"/>
      <c r="DQ931" s="147"/>
      <c r="DR931" s="147"/>
      <c r="DS931" s="147"/>
      <c r="DT931" s="147"/>
      <c r="DU931" s="147"/>
      <c r="DV931" s="147"/>
      <c r="DW931" s="147"/>
      <c r="DX931" s="147"/>
      <c r="DY931" s="147"/>
      <c r="DZ931" s="147"/>
      <c r="EA931" s="147"/>
      <c r="EB931" s="147"/>
      <c r="EC931" s="147"/>
      <c r="ED931" s="147"/>
      <c r="EE931" s="147"/>
      <c r="EF931" s="147"/>
      <c r="EG931" s="147"/>
      <c r="EH931" s="147"/>
    </row>
    <row r="932" spans="1:138" x14ac:dyDescent="0.25">
      <c r="A932" s="147"/>
      <c r="B932" s="147"/>
      <c r="C932" s="160"/>
      <c r="D932" s="160"/>
      <c r="E932" s="169"/>
      <c r="F932" s="229"/>
      <c r="G932" s="165"/>
      <c r="H932" s="165"/>
      <c r="I932" s="163"/>
      <c r="J932" s="163"/>
      <c r="K932" s="162"/>
      <c r="L932" s="162"/>
      <c r="M932" s="162"/>
      <c r="N932" s="230"/>
      <c r="O932" s="230"/>
      <c r="P932" s="162"/>
      <c r="Q932" s="162"/>
      <c r="R932" s="162"/>
      <c r="S932" s="162"/>
      <c r="T932" s="162"/>
      <c r="U932" s="230"/>
      <c r="V932" s="230"/>
      <c r="W932" s="162"/>
      <c r="X932" s="162"/>
      <c r="Y932" s="162"/>
      <c r="Z932" s="162"/>
      <c r="AA932" s="162"/>
      <c r="AB932" s="230"/>
      <c r="AC932" s="230"/>
      <c r="AD932" s="162"/>
      <c r="AE932" s="162"/>
      <c r="AF932" s="162"/>
      <c r="AG932" s="162"/>
      <c r="AH932" s="162"/>
      <c r="AI932" s="230"/>
      <c r="AJ932" s="230"/>
      <c r="AK932" s="162"/>
      <c r="AL932" s="162"/>
      <c r="AM932" s="162"/>
      <c r="AN932" s="162"/>
      <c r="AO932" s="162"/>
      <c r="AP932" s="230"/>
      <c r="AQ932" s="230"/>
      <c r="AR932" s="162"/>
      <c r="AS932" s="162"/>
      <c r="AT932" s="162"/>
      <c r="AU932" s="162"/>
      <c r="AV932" s="162"/>
      <c r="AW932" s="230"/>
      <c r="AX932" s="230"/>
      <c r="AY932" s="162"/>
      <c r="AZ932" s="162"/>
      <c r="BA932" s="162"/>
      <c r="BB932" s="162"/>
      <c r="BC932" s="162"/>
      <c r="BD932" s="230"/>
      <c r="BE932" s="230"/>
      <c r="BF932" s="162"/>
      <c r="BG932" s="162"/>
      <c r="BH932" s="162"/>
      <c r="BI932" s="162"/>
      <c r="BJ932" s="162"/>
      <c r="BK932" s="230"/>
      <c r="BL932" s="230"/>
      <c r="BM932" s="162"/>
      <c r="BN932" s="162"/>
      <c r="BO932" s="162"/>
      <c r="BP932" s="162"/>
      <c r="BQ932" s="162"/>
      <c r="BR932" s="230"/>
      <c r="BS932" s="230"/>
      <c r="BT932" s="162"/>
      <c r="BU932" s="162"/>
      <c r="BV932" s="162"/>
      <c r="BW932" s="162"/>
      <c r="BX932" s="162"/>
      <c r="BY932" s="230"/>
      <c r="BZ932" s="230"/>
      <c r="CA932" s="162"/>
      <c r="CB932" s="162"/>
      <c r="CC932" s="162"/>
      <c r="CD932" s="162"/>
      <c r="CE932" s="162"/>
      <c r="CF932" s="230"/>
      <c r="CG932" s="230"/>
      <c r="CH932" s="162"/>
      <c r="CI932" s="162"/>
      <c r="CJ932" s="162"/>
      <c r="CK932" s="162"/>
      <c r="CL932" s="162"/>
      <c r="CM932" s="230"/>
      <c r="CN932" s="230"/>
      <c r="CO932" s="162"/>
      <c r="CP932" s="162"/>
      <c r="CQ932" s="162"/>
      <c r="CR932" s="162"/>
      <c r="CS932" s="162"/>
      <c r="CT932" s="230"/>
      <c r="CU932" s="230"/>
      <c r="CV932" s="162"/>
      <c r="CW932" s="162"/>
      <c r="CX932" s="162"/>
      <c r="CY932" s="162"/>
      <c r="CZ932" s="162"/>
      <c r="DA932" s="230"/>
      <c r="DB932" s="230"/>
      <c r="DC932" s="162"/>
      <c r="DD932" s="162"/>
      <c r="DE932" s="162"/>
      <c r="DF932" s="162"/>
      <c r="DG932" s="162"/>
      <c r="DH932" s="230"/>
      <c r="DI932" s="230"/>
      <c r="DJ932" s="162"/>
      <c r="DK932" s="162"/>
      <c r="DL932" s="147"/>
      <c r="DM932" s="147"/>
      <c r="DN932" s="147"/>
      <c r="DO932" s="147"/>
      <c r="DP932" s="147"/>
      <c r="DQ932" s="147"/>
      <c r="DR932" s="147"/>
      <c r="DS932" s="147"/>
      <c r="DT932" s="147"/>
      <c r="DU932" s="147"/>
      <c r="DV932" s="147"/>
      <c r="DW932" s="147"/>
      <c r="DX932" s="147"/>
      <c r="DY932" s="147"/>
      <c r="DZ932" s="147"/>
      <c r="EA932" s="147"/>
      <c r="EB932" s="147"/>
      <c r="EC932" s="147"/>
      <c r="ED932" s="147"/>
      <c r="EE932" s="147"/>
      <c r="EF932" s="147"/>
      <c r="EG932" s="147"/>
      <c r="EH932" s="147"/>
    </row>
    <row r="933" spans="1:138" x14ac:dyDescent="0.25">
      <c r="A933" s="147"/>
      <c r="B933" s="147"/>
      <c r="C933" s="160"/>
      <c r="D933" s="160"/>
      <c r="E933" s="169"/>
      <c r="F933" s="229"/>
      <c r="G933" s="165"/>
      <c r="H933" s="165"/>
      <c r="I933" s="163"/>
      <c r="J933" s="163"/>
      <c r="K933" s="162"/>
      <c r="L933" s="162"/>
      <c r="M933" s="162"/>
      <c r="N933" s="230"/>
      <c r="O933" s="230"/>
      <c r="P933" s="162"/>
      <c r="Q933" s="162"/>
      <c r="R933" s="162"/>
      <c r="S933" s="162"/>
      <c r="T933" s="162"/>
      <c r="U933" s="230"/>
      <c r="V933" s="230"/>
      <c r="W933" s="162"/>
      <c r="X933" s="162"/>
      <c r="Y933" s="162"/>
      <c r="Z933" s="162"/>
      <c r="AA933" s="162"/>
      <c r="AB933" s="230"/>
      <c r="AC933" s="230"/>
      <c r="AD933" s="162"/>
      <c r="AE933" s="162"/>
      <c r="AF933" s="162"/>
      <c r="AG933" s="162"/>
      <c r="AH933" s="162"/>
      <c r="AI933" s="230"/>
      <c r="AJ933" s="230"/>
      <c r="AK933" s="162"/>
      <c r="AL933" s="162"/>
      <c r="AM933" s="162"/>
      <c r="AN933" s="162"/>
      <c r="AO933" s="162"/>
      <c r="AP933" s="230"/>
      <c r="AQ933" s="230"/>
      <c r="AR933" s="162"/>
      <c r="AS933" s="162"/>
      <c r="AT933" s="162"/>
      <c r="AU933" s="162"/>
      <c r="AV933" s="162"/>
      <c r="AW933" s="230"/>
      <c r="AX933" s="230"/>
      <c r="AY933" s="162"/>
      <c r="AZ933" s="162"/>
      <c r="BA933" s="162"/>
      <c r="BB933" s="162"/>
      <c r="BC933" s="162"/>
      <c r="BD933" s="230"/>
      <c r="BE933" s="230"/>
      <c r="BF933" s="162"/>
      <c r="BG933" s="162"/>
      <c r="BH933" s="162"/>
      <c r="BI933" s="162"/>
      <c r="BJ933" s="162"/>
      <c r="BK933" s="230"/>
      <c r="BL933" s="230"/>
      <c r="BM933" s="162"/>
      <c r="BN933" s="162"/>
      <c r="BO933" s="162"/>
      <c r="BP933" s="162"/>
      <c r="BQ933" s="162"/>
      <c r="BR933" s="230"/>
      <c r="BS933" s="230"/>
      <c r="BT933" s="162"/>
      <c r="BU933" s="162"/>
      <c r="BV933" s="162"/>
      <c r="BW933" s="162"/>
      <c r="BX933" s="162"/>
      <c r="BY933" s="230"/>
      <c r="BZ933" s="230"/>
      <c r="CA933" s="162"/>
      <c r="CB933" s="162"/>
      <c r="CC933" s="162"/>
      <c r="CD933" s="162"/>
      <c r="CE933" s="162"/>
      <c r="CF933" s="230"/>
      <c r="CG933" s="230"/>
      <c r="CH933" s="162"/>
      <c r="CI933" s="162"/>
      <c r="CJ933" s="162"/>
      <c r="CK933" s="162"/>
      <c r="CL933" s="162"/>
      <c r="CM933" s="230"/>
      <c r="CN933" s="230"/>
      <c r="CO933" s="162"/>
      <c r="CP933" s="162"/>
      <c r="CQ933" s="162"/>
      <c r="CR933" s="162"/>
      <c r="CS933" s="162"/>
      <c r="CT933" s="230"/>
      <c r="CU933" s="230"/>
      <c r="CV933" s="162"/>
      <c r="CW933" s="162"/>
      <c r="CX933" s="162"/>
      <c r="CY933" s="162"/>
      <c r="CZ933" s="162"/>
      <c r="DA933" s="230"/>
      <c r="DB933" s="230"/>
      <c r="DC933" s="162"/>
      <c r="DD933" s="162"/>
      <c r="DE933" s="162"/>
      <c r="DF933" s="162"/>
      <c r="DG933" s="162"/>
      <c r="DH933" s="230"/>
      <c r="DI933" s="230"/>
      <c r="DJ933" s="162"/>
      <c r="DK933" s="162"/>
      <c r="DL933" s="147"/>
      <c r="DM933" s="147"/>
      <c r="DN933" s="147"/>
      <c r="DO933" s="147"/>
      <c r="DP933" s="147"/>
      <c r="DQ933" s="147"/>
      <c r="DR933" s="147"/>
      <c r="DS933" s="147"/>
      <c r="DT933" s="147"/>
      <c r="DU933" s="147"/>
      <c r="DV933" s="147"/>
      <c r="DW933" s="147"/>
      <c r="DX933" s="147"/>
      <c r="DY933" s="147"/>
      <c r="DZ933" s="147"/>
      <c r="EA933" s="147"/>
      <c r="EB933" s="147"/>
      <c r="EC933" s="147"/>
      <c r="ED933" s="147"/>
      <c r="EE933" s="147"/>
      <c r="EF933" s="147"/>
      <c r="EG933" s="147"/>
      <c r="EH933" s="147"/>
    </row>
    <row r="934" spans="1:138" x14ac:dyDescent="0.25">
      <c r="A934" s="147"/>
      <c r="B934" s="147"/>
      <c r="C934" s="160"/>
      <c r="D934" s="160"/>
      <c r="E934" s="169"/>
      <c r="F934" s="229"/>
      <c r="G934" s="165"/>
      <c r="H934" s="165"/>
      <c r="I934" s="163"/>
      <c r="J934" s="163"/>
      <c r="K934" s="162"/>
      <c r="L934" s="162"/>
      <c r="M934" s="162"/>
      <c r="N934" s="230"/>
      <c r="O934" s="230"/>
      <c r="P934" s="162"/>
      <c r="Q934" s="162"/>
      <c r="R934" s="162"/>
      <c r="S934" s="162"/>
      <c r="T934" s="162"/>
      <c r="U934" s="230"/>
      <c r="V934" s="230"/>
      <c r="W934" s="162"/>
      <c r="X934" s="162"/>
      <c r="Y934" s="162"/>
      <c r="Z934" s="162"/>
      <c r="AA934" s="162"/>
      <c r="AB934" s="230"/>
      <c r="AC934" s="230"/>
      <c r="AD934" s="162"/>
      <c r="AE934" s="162"/>
      <c r="AF934" s="162"/>
      <c r="AG934" s="162"/>
      <c r="AH934" s="162"/>
      <c r="AI934" s="230"/>
      <c r="AJ934" s="230"/>
      <c r="AK934" s="162"/>
      <c r="AL934" s="162"/>
      <c r="AM934" s="162"/>
      <c r="AN934" s="162"/>
      <c r="AO934" s="162"/>
      <c r="AP934" s="230"/>
      <c r="AQ934" s="230"/>
      <c r="AR934" s="162"/>
      <c r="AS934" s="162"/>
      <c r="AT934" s="162"/>
      <c r="AU934" s="162"/>
      <c r="AV934" s="162"/>
      <c r="AW934" s="230"/>
      <c r="AX934" s="230"/>
      <c r="AY934" s="162"/>
      <c r="AZ934" s="162"/>
      <c r="BA934" s="162"/>
      <c r="BB934" s="162"/>
      <c r="BC934" s="162"/>
      <c r="BD934" s="230"/>
      <c r="BE934" s="230"/>
      <c r="BF934" s="162"/>
      <c r="BG934" s="162"/>
      <c r="BH934" s="162"/>
      <c r="BI934" s="162"/>
      <c r="BJ934" s="162"/>
      <c r="BK934" s="230"/>
      <c r="BL934" s="230"/>
      <c r="BM934" s="162"/>
      <c r="BN934" s="162"/>
      <c r="BO934" s="162"/>
      <c r="BP934" s="162"/>
      <c r="BQ934" s="162"/>
      <c r="BR934" s="230"/>
      <c r="BS934" s="230"/>
      <c r="BT934" s="162"/>
      <c r="BU934" s="162"/>
      <c r="BV934" s="162"/>
      <c r="BW934" s="162"/>
      <c r="BX934" s="162"/>
      <c r="BY934" s="230"/>
      <c r="BZ934" s="230"/>
      <c r="CA934" s="162"/>
      <c r="CB934" s="162"/>
      <c r="CC934" s="162"/>
      <c r="CD934" s="162"/>
      <c r="CE934" s="162"/>
      <c r="CF934" s="230"/>
      <c r="CG934" s="230"/>
      <c r="CH934" s="162"/>
      <c r="CI934" s="162"/>
      <c r="CJ934" s="162"/>
      <c r="CK934" s="162"/>
      <c r="CL934" s="162"/>
      <c r="CM934" s="230"/>
      <c r="CN934" s="230"/>
      <c r="CO934" s="162"/>
      <c r="CP934" s="162"/>
      <c r="CQ934" s="162"/>
      <c r="CR934" s="162"/>
      <c r="CS934" s="162"/>
      <c r="CT934" s="230"/>
      <c r="CU934" s="230"/>
      <c r="CV934" s="162"/>
      <c r="CW934" s="162"/>
      <c r="CX934" s="162"/>
      <c r="CY934" s="162"/>
      <c r="CZ934" s="162"/>
      <c r="DA934" s="230"/>
      <c r="DB934" s="230"/>
      <c r="DC934" s="162"/>
      <c r="DD934" s="162"/>
      <c r="DE934" s="162"/>
      <c r="DF934" s="162"/>
      <c r="DG934" s="162"/>
      <c r="DH934" s="230"/>
      <c r="DI934" s="230"/>
      <c r="DJ934" s="162"/>
      <c r="DK934" s="162"/>
      <c r="DL934" s="147"/>
      <c r="DM934" s="147"/>
      <c r="DN934" s="147"/>
      <c r="DO934" s="147"/>
      <c r="DP934" s="147"/>
      <c r="DQ934" s="147"/>
      <c r="DR934" s="147"/>
      <c r="DS934" s="147"/>
      <c r="DT934" s="147"/>
      <c r="DU934" s="147"/>
      <c r="DV934" s="147"/>
      <c r="DW934" s="147"/>
      <c r="DX934" s="147"/>
      <c r="DY934" s="147"/>
      <c r="DZ934" s="147"/>
      <c r="EA934" s="147"/>
      <c r="EB934" s="147"/>
      <c r="EC934" s="147"/>
      <c r="ED934" s="147"/>
      <c r="EE934" s="147"/>
      <c r="EF934" s="147"/>
      <c r="EG934" s="147"/>
      <c r="EH934" s="147"/>
    </row>
    <row r="935" spans="1:138" x14ac:dyDescent="0.25">
      <c r="A935" s="147"/>
      <c r="B935" s="147"/>
      <c r="C935" s="160"/>
      <c r="D935" s="160"/>
      <c r="E935" s="169"/>
      <c r="F935" s="229"/>
      <c r="G935" s="165"/>
      <c r="H935" s="165"/>
      <c r="I935" s="163"/>
      <c r="J935" s="163"/>
      <c r="K935" s="162"/>
      <c r="L935" s="162"/>
      <c r="M935" s="162"/>
      <c r="N935" s="230"/>
      <c r="O935" s="230"/>
      <c r="P935" s="162"/>
      <c r="Q935" s="162"/>
      <c r="R935" s="162"/>
      <c r="S935" s="162"/>
      <c r="T935" s="162"/>
      <c r="U935" s="230"/>
      <c r="V935" s="230"/>
      <c r="W935" s="162"/>
      <c r="X935" s="162"/>
      <c r="Y935" s="162"/>
      <c r="Z935" s="162"/>
      <c r="AA935" s="162"/>
      <c r="AB935" s="230"/>
      <c r="AC935" s="230"/>
      <c r="AD935" s="162"/>
      <c r="AE935" s="162"/>
      <c r="AF935" s="162"/>
      <c r="AG935" s="162"/>
      <c r="AH935" s="162"/>
      <c r="AI935" s="230"/>
      <c r="AJ935" s="230"/>
      <c r="AK935" s="162"/>
      <c r="AL935" s="162"/>
      <c r="AM935" s="162"/>
      <c r="AN935" s="162"/>
      <c r="AO935" s="162"/>
      <c r="AP935" s="230"/>
      <c r="AQ935" s="230"/>
      <c r="AR935" s="162"/>
      <c r="AS935" s="162"/>
      <c r="AT935" s="162"/>
      <c r="AU935" s="162"/>
      <c r="AV935" s="162"/>
      <c r="AW935" s="230"/>
      <c r="AX935" s="230"/>
      <c r="AY935" s="162"/>
      <c r="AZ935" s="162"/>
      <c r="BA935" s="162"/>
      <c r="BB935" s="162"/>
      <c r="BC935" s="162"/>
      <c r="BD935" s="230"/>
      <c r="BE935" s="230"/>
      <c r="BF935" s="162"/>
      <c r="BG935" s="162"/>
      <c r="BH935" s="162"/>
      <c r="BI935" s="162"/>
      <c r="BJ935" s="162"/>
      <c r="BK935" s="230"/>
      <c r="BL935" s="230"/>
      <c r="BM935" s="162"/>
      <c r="BN935" s="162"/>
      <c r="BO935" s="162"/>
      <c r="BP935" s="162"/>
      <c r="BQ935" s="162"/>
      <c r="BR935" s="230"/>
      <c r="BS935" s="230"/>
      <c r="BT935" s="162"/>
      <c r="BU935" s="162"/>
      <c r="BV935" s="162"/>
      <c r="BW935" s="162"/>
      <c r="BX935" s="162"/>
      <c r="BY935" s="230"/>
      <c r="BZ935" s="230"/>
      <c r="CA935" s="162"/>
      <c r="CB935" s="162"/>
      <c r="CC935" s="162"/>
      <c r="CD935" s="162"/>
      <c r="CE935" s="162"/>
      <c r="CF935" s="230"/>
      <c r="CG935" s="230"/>
      <c r="CH935" s="162"/>
      <c r="CI935" s="162"/>
      <c r="CJ935" s="162"/>
      <c r="CK935" s="162"/>
      <c r="CL935" s="162"/>
      <c r="CM935" s="230"/>
      <c r="CN935" s="230"/>
      <c r="CO935" s="162"/>
      <c r="CP935" s="162"/>
      <c r="CQ935" s="162"/>
      <c r="CR935" s="162"/>
      <c r="CS935" s="162"/>
      <c r="CT935" s="230"/>
      <c r="CU935" s="230"/>
      <c r="CV935" s="162"/>
      <c r="CW935" s="162"/>
      <c r="CX935" s="162"/>
      <c r="CY935" s="162"/>
      <c r="CZ935" s="162"/>
      <c r="DA935" s="230"/>
      <c r="DB935" s="230"/>
      <c r="DC935" s="162"/>
      <c r="DD935" s="162"/>
      <c r="DE935" s="162"/>
      <c r="DF935" s="162"/>
      <c r="DG935" s="162"/>
      <c r="DH935" s="230"/>
      <c r="DI935" s="230"/>
      <c r="DJ935" s="162"/>
      <c r="DK935" s="162"/>
      <c r="DL935" s="147"/>
      <c r="DM935" s="147"/>
      <c r="DN935" s="147"/>
      <c r="DO935" s="147"/>
      <c r="DP935" s="147"/>
      <c r="DQ935" s="147"/>
      <c r="DR935" s="147"/>
      <c r="DS935" s="147"/>
      <c r="DT935" s="147"/>
      <c r="DU935" s="147"/>
      <c r="DV935" s="147"/>
      <c r="DW935" s="147"/>
      <c r="DX935" s="147"/>
      <c r="DY935" s="147"/>
      <c r="DZ935" s="147"/>
      <c r="EA935" s="147"/>
      <c r="EB935" s="147"/>
      <c r="EC935" s="147"/>
      <c r="ED935" s="147"/>
      <c r="EE935" s="147"/>
      <c r="EF935" s="147"/>
      <c r="EG935" s="147"/>
      <c r="EH935" s="147"/>
    </row>
    <row r="936" spans="1:138" x14ac:dyDescent="0.25">
      <c r="A936" s="147"/>
      <c r="B936" s="147"/>
      <c r="C936" s="160"/>
      <c r="D936" s="160"/>
      <c r="E936" s="169"/>
      <c r="F936" s="229"/>
      <c r="G936" s="165"/>
      <c r="H936" s="165"/>
      <c r="I936" s="163"/>
      <c r="J936" s="163"/>
      <c r="K936" s="162"/>
      <c r="L936" s="162"/>
      <c r="M936" s="162"/>
      <c r="N936" s="230"/>
      <c r="O936" s="230"/>
      <c r="P936" s="162"/>
      <c r="Q936" s="162"/>
      <c r="R936" s="162"/>
      <c r="S936" s="162"/>
      <c r="T936" s="162"/>
      <c r="U936" s="230"/>
      <c r="V936" s="230"/>
      <c r="W936" s="162"/>
      <c r="X936" s="162"/>
      <c r="Y936" s="162"/>
      <c r="Z936" s="162"/>
      <c r="AA936" s="162"/>
      <c r="AB936" s="230"/>
      <c r="AC936" s="230"/>
      <c r="AD936" s="162"/>
      <c r="AE936" s="162"/>
      <c r="AF936" s="162"/>
      <c r="AG936" s="162"/>
      <c r="AH936" s="162"/>
      <c r="AI936" s="230"/>
      <c r="AJ936" s="230"/>
      <c r="AK936" s="162"/>
      <c r="AL936" s="162"/>
      <c r="AM936" s="162"/>
      <c r="AN936" s="162"/>
      <c r="AO936" s="162"/>
      <c r="AP936" s="230"/>
      <c r="AQ936" s="230"/>
      <c r="AR936" s="162"/>
      <c r="AS936" s="162"/>
      <c r="AT936" s="162"/>
      <c r="AU936" s="162"/>
      <c r="AV936" s="162"/>
      <c r="AW936" s="230"/>
      <c r="AX936" s="230"/>
      <c r="AY936" s="162"/>
      <c r="AZ936" s="162"/>
      <c r="BA936" s="162"/>
      <c r="BB936" s="162"/>
      <c r="BC936" s="162"/>
      <c r="BD936" s="230"/>
      <c r="BE936" s="230"/>
      <c r="BF936" s="162"/>
      <c r="BG936" s="162"/>
      <c r="BH936" s="162"/>
      <c r="BI936" s="162"/>
      <c r="BJ936" s="162"/>
      <c r="BK936" s="230"/>
      <c r="BL936" s="230"/>
      <c r="BM936" s="162"/>
      <c r="BN936" s="162"/>
      <c r="BO936" s="162"/>
      <c r="BP936" s="162"/>
      <c r="BQ936" s="162"/>
      <c r="BR936" s="230"/>
      <c r="BS936" s="230"/>
      <c r="BT936" s="162"/>
      <c r="BU936" s="162"/>
      <c r="BV936" s="162"/>
      <c r="BW936" s="162"/>
      <c r="BX936" s="162"/>
      <c r="BY936" s="230"/>
      <c r="BZ936" s="230"/>
      <c r="CA936" s="162"/>
      <c r="CB936" s="162"/>
      <c r="CC936" s="162"/>
      <c r="CD936" s="162"/>
      <c r="CE936" s="162"/>
      <c r="CF936" s="230"/>
      <c r="CG936" s="230"/>
      <c r="CH936" s="162"/>
      <c r="CI936" s="162"/>
      <c r="CJ936" s="162"/>
      <c r="CK936" s="162"/>
      <c r="CL936" s="162"/>
      <c r="CM936" s="230"/>
      <c r="CN936" s="230"/>
      <c r="CO936" s="162"/>
      <c r="CP936" s="162"/>
      <c r="CQ936" s="162"/>
      <c r="CR936" s="162"/>
      <c r="CS936" s="162"/>
      <c r="CT936" s="230"/>
      <c r="CU936" s="230"/>
      <c r="CV936" s="162"/>
      <c r="CW936" s="162"/>
      <c r="CX936" s="162"/>
      <c r="CY936" s="162"/>
      <c r="CZ936" s="162"/>
      <c r="DA936" s="230"/>
      <c r="DB936" s="230"/>
      <c r="DC936" s="162"/>
      <c r="DD936" s="162"/>
      <c r="DE936" s="162"/>
      <c r="DF936" s="162"/>
      <c r="DG936" s="162"/>
      <c r="DH936" s="230"/>
      <c r="DI936" s="230"/>
      <c r="DJ936" s="162"/>
      <c r="DK936" s="162"/>
      <c r="DL936" s="147"/>
      <c r="DM936" s="147"/>
      <c r="DN936" s="147"/>
      <c r="DO936" s="147"/>
      <c r="DP936" s="147"/>
      <c r="DQ936" s="147"/>
      <c r="DR936" s="147"/>
      <c r="DS936" s="147"/>
      <c r="DT936" s="147"/>
      <c r="DU936" s="147"/>
      <c r="DV936" s="147"/>
      <c r="DW936" s="147"/>
      <c r="DX936" s="147"/>
      <c r="DY936" s="147"/>
      <c r="DZ936" s="147"/>
      <c r="EA936" s="147"/>
      <c r="EB936" s="147"/>
      <c r="EC936" s="147"/>
      <c r="ED936" s="147"/>
      <c r="EE936" s="147"/>
      <c r="EF936" s="147"/>
      <c r="EG936" s="147"/>
      <c r="EH936" s="147"/>
    </row>
    <row r="937" spans="1:138" x14ac:dyDescent="0.25">
      <c r="A937" s="147"/>
      <c r="B937" s="147"/>
      <c r="C937" s="160"/>
      <c r="D937" s="160"/>
      <c r="E937" s="169"/>
      <c r="F937" s="229"/>
      <c r="G937" s="165"/>
      <c r="H937" s="165"/>
      <c r="I937" s="163"/>
      <c r="J937" s="163"/>
      <c r="K937" s="162"/>
      <c r="L937" s="162"/>
      <c r="M937" s="162"/>
      <c r="N937" s="230"/>
      <c r="O937" s="230"/>
      <c r="P937" s="162"/>
      <c r="Q937" s="162"/>
      <c r="R937" s="162"/>
      <c r="S937" s="162"/>
      <c r="T937" s="162"/>
      <c r="U937" s="230"/>
      <c r="V937" s="230"/>
      <c r="W937" s="162"/>
      <c r="X937" s="162"/>
      <c r="Y937" s="162"/>
      <c r="Z937" s="162"/>
      <c r="AA937" s="162"/>
      <c r="AB937" s="230"/>
      <c r="AC937" s="230"/>
      <c r="AD937" s="162"/>
      <c r="AE937" s="162"/>
      <c r="AF937" s="162"/>
      <c r="AG937" s="162"/>
      <c r="AH937" s="162"/>
      <c r="AI937" s="230"/>
      <c r="AJ937" s="230"/>
      <c r="AK937" s="162"/>
      <c r="AL937" s="162"/>
      <c r="AM937" s="162"/>
      <c r="AN937" s="162"/>
      <c r="AO937" s="162"/>
      <c r="AP937" s="230"/>
      <c r="AQ937" s="230"/>
      <c r="AR937" s="162"/>
      <c r="AS937" s="162"/>
      <c r="AT937" s="162"/>
      <c r="AU937" s="162"/>
      <c r="AV937" s="162"/>
      <c r="AW937" s="230"/>
      <c r="AX937" s="230"/>
      <c r="AY937" s="162"/>
      <c r="AZ937" s="162"/>
      <c r="BA937" s="162"/>
      <c r="BB937" s="162"/>
      <c r="BC937" s="162"/>
      <c r="BD937" s="230"/>
      <c r="BE937" s="230"/>
      <c r="BF937" s="162"/>
      <c r="BG937" s="162"/>
      <c r="BH937" s="162"/>
      <c r="BI937" s="162"/>
      <c r="BJ937" s="162"/>
      <c r="BK937" s="230"/>
      <c r="BL937" s="230"/>
      <c r="BM937" s="162"/>
      <c r="BN937" s="162"/>
      <c r="BO937" s="162"/>
      <c r="BP937" s="162"/>
      <c r="BQ937" s="162"/>
      <c r="BR937" s="230"/>
      <c r="BS937" s="230"/>
      <c r="BT937" s="162"/>
      <c r="BU937" s="162"/>
      <c r="BV937" s="162"/>
      <c r="BW937" s="162"/>
      <c r="BX937" s="162"/>
      <c r="BY937" s="230"/>
      <c r="BZ937" s="230"/>
      <c r="CA937" s="162"/>
      <c r="CB937" s="162"/>
      <c r="CC937" s="162"/>
      <c r="CD937" s="162"/>
      <c r="CE937" s="162"/>
      <c r="CF937" s="230"/>
      <c r="CG937" s="230"/>
      <c r="CH937" s="162"/>
      <c r="CI937" s="162"/>
      <c r="CJ937" s="162"/>
      <c r="CK937" s="162"/>
      <c r="CL937" s="162"/>
      <c r="CM937" s="230"/>
      <c r="CN937" s="230"/>
      <c r="CO937" s="162"/>
      <c r="CP937" s="162"/>
      <c r="CQ937" s="162"/>
      <c r="CR937" s="162"/>
      <c r="CS937" s="162"/>
      <c r="CT937" s="230"/>
      <c r="CU937" s="230"/>
      <c r="CV937" s="162"/>
      <c r="CW937" s="162"/>
      <c r="CX937" s="162"/>
      <c r="CY937" s="162"/>
      <c r="CZ937" s="162"/>
      <c r="DA937" s="230"/>
      <c r="DB937" s="230"/>
      <c r="DC937" s="162"/>
      <c r="DD937" s="162"/>
      <c r="DE937" s="162"/>
      <c r="DF937" s="162"/>
      <c r="DG937" s="162"/>
      <c r="DH937" s="230"/>
      <c r="DI937" s="230"/>
      <c r="DJ937" s="162"/>
      <c r="DK937" s="162"/>
      <c r="DL937" s="147"/>
      <c r="DM937" s="147"/>
      <c r="DN937" s="147"/>
      <c r="DO937" s="147"/>
      <c r="DP937" s="147"/>
      <c r="DQ937" s="147"/>
      <c r="DR937" s="147"/>
      <c r="DS937" s="147"/>
      <c r="DT937" s="147"/>
      <c r="DU937" s="147"/>
      <c r="DV937" s="147"/>
      <c r="DW937" s="147"/>
      <c r="DX937" s="147"/>
      <c r="DY937" s="147"/>
      <c r="DZ937" s="147"/>
      <c r="EA937" s="147"/>
      <c r="EB937" s="147"/>
      <c r="EC937" s="147"/>
      <c r="ED937" s="147"/>
      <c r="EE937" s="147"/>
      <c r="EF937" s="147"/>
      <c r="EG937" s="147"/>
      <c r="EH937" s="147"/>
    </row>
    <row r="938" spans="1:138" x14ac:dyDescent="0.25">
      <c r="A938" s="147"/>
      <c r="B938" s="147"/>
      <c r="C938" s="160"/>
      <c r="D938" s="160"/>
      <c r="E938" s="169"/>
      <c r="F938" s="229"/>
      <c r="G938" s="165"/>
      <c r="H938" s="165"/>
      <c r="I938" s="163"/>
      <c r="J938" s="163"/>
      <c r="K938" s="162"/>
      <c r="L938" s="162"/>
      <c r="M938" s="162"/>
      <c r="N938" s="230"/>
      <c r="O938" s="230"/>
      <c r="P938" s="162"/>
      <c r="Q938" s="162"/>
      <c r="R938" s="162"/>
      <c r="S938" s="162"/>
      <c r="T938" s="162"/>
      <c r="U938" s="230"/>
      <c r="V938" s="230"/>
      <c r="W938" s="162"/>
      <c r="X938" s="162"/>
      <c r="Y938" s="162"/>
      <c r="Z938" s="162"/>
      <c r="AA938" s="162"/>
      <c r="AB938" s="230"/>
      <c r="AC938" s="230"/>
      <c r="AD938" s="162"/>
      <c r="AE938" s="162"/>
      <c r="AF938" s="162"/>
      <c r="AG938" s="162"/>
      <c r="AH938" s="162"/>
      <c r="AI938" s="230"/>
      <c r="AJ938" s="230"/>
      <c r="AK938" s="162"/>
      <c r="AL938" s="162"/>
      <c r="AM938" s="162"/>
      <c r="AN938" s="162"/>
      <c r="AO938" s="162"/>
      <c r="AP938" s="230"/>
      <c r="AQ938" s="230"/>
      <c r="AR938" s="162"/>
      <c r="AS938" s="162"/>
      <c r="AT938" s="162"/>
      <c r="AU938" s="162"/>
      <c r="AV938" s="162"/>
      <c r="AW938" s="230"/>
      <c r="AX938" s="230"/>
      <c r="AY938" s="162"/>
      <c r="AZ938" s="162"/>
      <c r="BA938" s="162"/>
      <c r="BB938" s="162"/>
      <c r="BC938" s="162"/>
      <c r="BD938" s="230"/>
      <c r="BE938" s="230"/>
      <c r="BF938" s="162"/>
      <c r="BG938" s="162"/>
      <c r="BH938" s="162"/>
      <c r="BI938" s="162"/>
      <c r="BJ938" s="162"/>
      <c r="BK938" s="230"/>
      <c r="BL938" s="230"/>
      <c r="BM938" s="162"/>
      <c r="BN938" s="162"/>
      <c r="BO938" s="162"/>
      <c r="BP938" s="162"/>
      <c r="BQ938" s="162"/>
      <c r="BR938" s="230"/>
      <c r="BS938" s="230"/>
      <c r="BT938" s="162"/>
      <c r="BU938" s="162"/>
      <c r="BV938" s="162"/>
      <c r="BW938" s="162"/>
      <c r="BX938" s="162"/>
      <c r="BY938" s="230"/>
      <c r="BZ938" s="230"/>
      <c r="CA938" s="162"/>
      <c r="CB938" s="162"/>
      <c r="CC938" s="162"/>
      <c r="CD938" s="162"/>
      <c r="CE938" s="162"/>
      <c r="CF938" s="230"/>
      <c r="CG938" s="230"/>
      <c r="CH938" s="162"/>
      <c r="CI938" s="162"/>
      <c r="CJ938" s="162"/>
      <c r="CK938" s="162"/>
      <c r="CL938" s="162"/>
      <c r="CM938" s="230"/>
      <c r="CN938" s="230"/>
      <c r="CO938" s="162"/>
      <c r="CP938" s="162"/>
      <c r="CQ938" s="162"/>
      <c r="CR938" s="162"/>
      <c r="CS938" s="162"/>
      <c r="CT938" s="230"/>
      <c r="CU938" s="230"/>
      <c r="CV938" s="162"/>
      <c r="CW938" s="162"/>
      <c r="CX938" s="162"/>
      <c r="CY938" s="162"/>
      <c r="CZ938" s="162"/>
      <c r="DA938" s="230"/>
      <c r="DB938" s="230"/>
      <c r="DC938" s="162"/>
      <c r="DD938" s="162"/>
      <c r="DE938" s="162"/>
      <c r="DF938" s="162"/>
      <c r="DG938" s="162"/>
      <c r="DH938" s="230"/>
      <c r="DI938" s="230"/>
      <c r="DJ938" s="162"/>
      <c r="DK938" s="162"/>
      <c r="DL938" s="147"/>
      <c r="DM938" s="147"/>
      <c r="DN938" s="147"/>
      <c r="DO938" s="147"/>
      <c r="DP938" s="147"/>
      <c r="DQ938" s="147"/>
      <c r="DR938" s="147"/>
      <c r="DS938" s="147"/>
      <c r="DT938" s="147"/>
      <c r="DU938" s="147"/>
      <c r="DV938" s="147"/>
      <c r="DW938" s="147"/>
      <c r="DX938" s="147"/>
      <c r="DY938" s="147"/>
      <c r="DZ938" s="147"/>
      <c r="EA938" s="147"/>
      <c r="EB938" s="147"/>
      <c r="EC938" s="147"/>
      <c r="ED938" s="147"/>
      <c r="EE938" s="147"/>
      <c r="EF938" s="147"/>
      <c r="EG938" s="147"/>
      <c r="EH938" s="147"/>
    </row>
    <row r="939" spans="1:138" x14ac:dyDescent="0.25">
      <c r="A939" s="147"/>
      <c r="B939" s="147"/>
      <c r="C939" s="160"/>
      <c r="D939" s="160"/>
      <c r="E939" s="169"/>
      <c r="F939" s="229"/>
      <c r="G939" s="165"/>
      <c r="H939" s="165"/>
      <c r="I939" s="163"/>
      <c r="J939" s="163"/>
      <c r="K939" s="162"/>
      <c r="L939" s="162"/>
      <c r="M939" s="162"/>
      <c r="N939" s="230"/>
      <c r="O939" s="230"/>
      <c r="P939" s="162"/>
      <c r="Q939" s="162"/>
      <c r="R939" s="162"/>
      <c r="S939" s="162"/>
      <c r="T939" s="162"/>
      <c r="U939" s="230"/>
      <c r="V939" s="230"/>
      <c r="W939" s="162"/>
      <c r="X939" s="162"/>
      <c r="Y939" s="162"/>
      <c r="Z939" s="162"/>
      <c r="AA939" s="162"/>
      <c r="AB939" s="230"/>
      <c r="AC939" s="230"/>
      <c r="AD939" s="162"/>
      <c r="AE939" s="162"/>
      <c r="AF939" s="162"/>
      <c r="AG939" s="162"/>
      <c r="AH939" s="162"/>
      <c r="AI939" s="230"/>
      <c r="AJ939" s="230"/>
      <c r="AK939" s="162"/>
      <c r="AL939" s="162"/>
      <c r="AM939" s="162"/>
      <c r="AN939" s="162"/>
      <c r="AO939" s="162"/>
      <c r="AP939" s="230"/>
      <c r="AQ939" s="230"/>
      <c r="AR939" s="162"/>
      <c r="AS939" s="162"/>
      <c r="AT939" s="162"/>
      <c r="AU939" s="162"/>
      <c r="AV939" s="162"/>
      <c r="AW939" s="230"/>
      <c r="AX939" s="230"/>
      <c r="AY939" s="162"/>
      <c r="AZ939" s="162"/>
      <c r="BA939" s="162"/>
      <c r="BB939" s="162"/>
      <c r="BC939" s="162"/>
      <c r="BD939" s="230"/>
      <c r="BE939" s="230"/>
      <c r="BF939" s="162"/>
      <c r="BG939" s="162"/>
      <c r="BH939" s="162"/>
      <c r="BI939" s="162"/>
      <c r="BJ939" s="162"/>
      <c r="BK939" s="230"/>
      <c r="BL939" s="230"/>
      <c r="BM939" s="162"/>
      <c r="BN939" s="162"/>
      <c r="BO939" s="162"/>
      <c r="BP939" s="162"/>
      <c r="BQ939" s="162"/>
      <c r="BR939" s="230"/>
      <c r="BS939" s="230"/>
      <c r="BT939" s="162"/>
      <c r="BU939" s="162"/>
      <c r="BV939" s="162"/>
      <c r="BW939" s="162"/>
      <c r="BX939" s="162"/>
      <c r="BY939" s="230"/>
      <c r="BZ939" s="230"/>
      <c r="CA939" s="162"/>
      <c r="CB939" s="162"/>
      <c r="CC939" s="162"/>
      <c r="CD939" s="162"/>
      <c r="CE939" s="162"/>
      <c r="CF939" s="230"/>
      <c r="CG939" s="230"/>
      <c r="CH939" s="162"/>
      <c r="CI939" s="162"/>
      <c r="CJ939" s="162"/>
      <c r="CK939" s="162"/>
      <c r="CL939" s="162"/>
      <c r="CM939" s="230"/>
      <c r="CN939" s="230"/>
      <c r="CO939" s="162"/>
      <c r="CP939" s="162"/>
      <c r="CQ939" s="162"/>
      <c r="CR939" s="162"/>
      <c r="CS939" s="162"/>
      <c r="CT939" s="230"/>
      <c r="CU939" s="230"/>
      <c r="CV939" s="162"/>
      <c r="CW939" s="162"/>
      <c r="CX939" s="162"/>
      <c r="CY939" s="162"/>
      <c r="CZ939" s="162"/>
      <c r="DA939" s="230"/>
      <c r="DB939" s="230"/>
      <c r="DC939" s="162"/>
      <c r="DD939" s="162"/>
      <c r="DE939" s="162"/>
      <c r="DF939" s="162"/>
      <c r="DG939" s="162"/>
      <c r="DH939" s="230"/>
      <c r="DI939" s="230"/>
      <c r="DJ939" s="162"/>
      <c r="DK939" s="162"/>
      <c r="DL939" s="147"/>
      <c r="DM939" s="147"/>
      <c r="DN939" s="147"/>
      <c r="DO939" s="147"/>
      <c r="DP939" s="147"/>
      <c r="DQ939" s="147"/>
      <c r="DR939" s="147"/>
      <c r="DS939" s="147"/>
      <c r="DT939" s="147"/>
      <c r="DU939" s="147"/>
      <c r="DV939" s="147"/>
      <c r="DW939" s="147"/>
      <c r="DX939" s="147"/>
      <c r="DY939" s="147"/>
      <c r="DZ939" s="147"/>
      <c r="EA939" s="147"/>
      <c r="EB939" s="147"/>
      <c r="EC939" s="147"/>
      <c r="ED939" s="147"/>
      <c r="EE939" s="147"/>
      <c r="EF939" s="147"/>
      <c r="EG939" s="147"/>
      <c r="EH939" s="147"/>
    </row>
    <row r="940" spans="1:138" x14ac:dyDescent="0.25">
      <c r="A940" s="147"/>
      <c r="B940" s="147"/>
      <c r="C940" s="160"/>
      <c r="D940" s="160"/>
      <c r="E940" s="169"/>
      <c r="F940" s="229"/>
      <c r="G940" s="165"/>
      <c r="H940" s="165"/>
      <c r="I940" s="163"/>
      <c r="J940" s="163"/>
      <c r="K940" s="162"/>
      <c r="L940" s="162"/>
      <c r="M940" s="162"/>
      <c r="N940" s="230"/>
      <c r="O940" s="230"/>
      <c r="P940" s="162"/>
      <c r="Q940" s="162"/>
      <c r="R940" s="162"/>
      <c r="S940" s="162"/>
      <c r="T940" s="162"/>
      <c r="U940" s="230"/>
      <c r="V940" s="230"/>
      <c r="W940" s="162"/>
      <c r="X940" s="162"/>
      <c r="Y940" s="162"/>
      <c r="Z940" s="162"/>
      <c r="AA940" s="162"/>
      <c r="AB940" s="230"/>
      <c r="AC940" s="230"/>
      <c r="AD940" s="162"/>
      <c r="AE940" s="162"/>
      <c r="AF940" s="162"/>
      <c r="AG940" s="162"/>
      <c r="AH940" s="162"/>
      <c r="AI940" s="230"/>
      <c r="AJ940" s="230"/>
      <c r="AK940" s="162"/>
      <c r="AL940" s="162"/>
      <c r="AM940" s="162"/>
      <c r="AN940" s="162"/>
      <c r="AO940" s="162"/>
      <c r="AP940" s="230"/>
      <c r="AQ940" s="230"/>
      <c r="AR940" s="162"/>
      <c r="AS940" s="162"/>
      <c r="AT940" s="162"/>
      <c r="AU940" s="162"/>
      <c r="AV940" s="162"/>
      <c r="AW940" s="230"/>
      <c r="AX940" s="230"/>
      <c r="AY940" s="162"/>
      <c r="AZ940" s="162"/>
      <c r="BA940" s="162"/>
      <c r="BB940" s="162"/>
      <c r="BC940" s="162"/>
      <c r="BD940" s="230"/>
      <c r="BE940" s="230"/>
      <c r="BF940" s="162"/>
      <c r="BG940" s="162"/>
      <c r="BH940" s="162"/>
      <c r="BI940" s="162"/>
      <c r="BJ940" s="162"/>
      <c r="BK940" s="230"/>
      <c r="BL940" s="230"/>
      <c r="BM940" s="162"/>
      <c r="BN940" s="162"/>
      <c r="BO940" s="162"/>
      <c r="BP940" s="162"/>
      <c r="BQ940" s="162"/>
      <c r="BR940" s="230"/>
      <c r="BS940" s="230"/>
      <c r="BT940" s="162"/>
      <c r="BU940" s="162"/>
      <c r="BV940" s="162"/>
      <c r="BW940" s="162"/>
      <c r="BX940" s="162"/>
      <c r="BY940" s="230"/>
      <c r="BZ940" s="230"/>
      <c r="CA940" s="162"/>
      <c r="CB940" s="162"/>
      <c r="CC940" s="162"/>
      <c r="CD940" s="162"/>
      <c r="CE940" s="162"/>
      <c r="CF940" s="230"/>
      <c r="CG940" s="230"/>
      <c r="CH940" s="162"/>
      <c r="CI940" s="162"/>
      <c r="CJ940" s="162"/>
      <c r="CK940" s="162"/>
      <c r="CL940" s="162"/>
      <c r="CM940" s="230"/>
      <c r="CN940" s="230"/>
      <c r="CO940" s="162"/>
      <c r="CP940" s="162"/>
      <c r="CQ940" s="162"/>
      <c r="CR940" s="162"/>
      <c r="CS940" s="162"/>
      <c r="CT940" s="230"/>
      <c r="CU940" s="230"/>
      <c r="CV940" s="162"/>
      <c r="CW940" s="162"/>
      <c r="CX940" s="162"/>
      <c r="CY940" s="162"/>
      <c r="CZ940" s="162"/>
      <c r="DA940" s="230"/>
      <c r="DB940" s="230"/>
      <c r="DC940" s="162"/>
      <c r="DD940" s="162"/>
      <c r="DE940" s="162"/>
      <c r="DF940" s="162"/>
      <c r="DG940" s="162"/>
      <c r="DH940" s="230"/>
      <c r="DI940" s="230"/>
      <c r="DJ940" s="162"/>
      <c r="DK940" s="162"/>
      <c r="DL940" s="147"/>
      <c r="DM940" s="147"/>
      <c r="DN940" s="147"/>
      <c r="DO940" s="147"/>
      <c r="DP940" s="147"/>
      <c r="DQ940" s="147"/>
      <c r="DR940" s="147"/>
      <c r="DS940" s="147"/>
      <c r="DT940" s="147"/>
      <c r="DU940" s="147"/>
      <c r="DV940" s="147"/>
      <c r="DW940" s="147"/>
      <c r="DX940" s="147"/>
      <c r="DY940" s="147"/>
      <c r="DZ940" s="147"/>
      <c r="EA940" s="147"/>
      <c r="EB940" s="147"/>
      <c r="EC940" s="147"/>
      <c r="ED940" s="147"/>
      <c r="EE940" s="147"/>
      <c r="EF940" s="147"/>
      <c r="EG940" s="147"/>
      <c r="EH940" s="147"/>
    </row>
    <row r="941" spans="1:138" x14ac:dyDescent="0.25">
      <c r="A941" s="147"/>
      <c r="B941" s="147"/>
      <c r="C941" s="160"/>
      <c r="D941" s="160"/>
      <c r="E941" s="169"/>
      <c r="F941" s="229"/>
      <c r="G941" s="165"/>
      <c r="H941" s="165"/>
      <c r="I941" s="163"/>
      <c r="J941" s="163"/>
      <c r="K941" s="162"/>
      <c r="L941" s="162"/>
      <c r="M941" s="162"/>
      <c r="N941" s="230"/>
      <c r="O941" s="230"/>
      <c r="P941" s="162"/>
      <c r="Q941" s="162"/>
      <c r="R941" s="162"/>
      <c r="S941" s="162"/>
      <c r="T941" s="162"/>
      <c r="U941" s="230"/>
      <c r="V941" s="230"/>
      <c r="W941" s="162"/>
      <c r="X941" s="162"/>
      <c r="Y941" s="162"/>
      <c r="Z941" s="162"/>
      <c r="AA941" s="162"/>
      <c r="AB941" s="230"/>
      <c r="AC941" s="230"/>
      <c r="AD941" s="162"/>
      <c r="AE941" s="162"/>
      <c r="AF941" s="162"/>
      <c r="AG941" s="162"/>
      <c r="AH941" s="162"/>
      <c r="AI941" s="230"/>
      <c r="AJ941" s="230"/>
      <c r="AK941" s="162"/>
      <c r="AL941" s="162"/>
      <c r="AM941" s="162"/>
      <c r="AN941" s="162"/>
      <c r="AO941" s="162"/>
      <c r="AP941" s="230"/>
      <c r="AQ941" s="230"/>
      <c r="AR941" s="162"/>
      <c r="AS941" s="162"/>
      <c r="AT941" s="162"/>
      <c r="AU941" s="162"/>
      <c r="AV941" s="162"/>
      <c r="AW941" s="230"/>
      <c r="AX941" s="230"/>
      <c r="AY941" s="162"/>
      <c r="AZ941" s="162"/>
      <c r="BA941" s="162"/>
      <c r="BB941" s="162"/>
      <c r="BC941" s="162"/>
      <c r="BD941" s="230"/>
      <c r="BE941" s="230"/>
      <c r="BF941" s="162"/>
      <c r="BG941" s="162"/>
      <c r="BH941" s="162"/>
      <c r="BI941" s="162"/>
      <c r="BJ941" s="162"/>
      <c r="BK941" s="230"/>
      <c r="BL941" s="230"/>
      <c r="BM941" s="162"/>
      <c r="BN941" s="162"/>
      <c r="BO941" s="162"/>
      <c r="BP941" s="162"/>
      <c r="BQ941" s="162"/>
      <c r="BR941" s="230"/>
      <c r="BS941" s="230"/>
      <c r="BT941" s="162"/>
      <c r="BU941" s="162"/>
      <c r="BV941" s="162"/>
      <c r="BW941" s="162"/>
      <c r="BX941" s="162"/>
      <c r="BY941" s="230"/>
      <c r="BZ941" s="230"/>
      <c r="CA941" s="162"/>
      <c r="CB941" s="162"/>
      <c r="CC941" s="162"/>
      <c r="CD941" s="162"/>
      <c r="CE941" s="162"/>
      <c r="CF941" s="230"/>
      <c r="CG941" s="230"/>
      <c r="CH941" s="162"/>
      <c r="CI941" s="162"/>
      <c r="CJ941" s="162"/>
      <c r="CK941" s="162"/>
      <c r="CL941" s="162"/>
      <c r="CM941" s="230"/>
      <c r="CN941" s="230"/>
      <c r="CO941" s="162"/>
      <c r="CP941" s="162"/>
      <c r="CQ941" s="162"/>
      <c r="CR941" s="162"/>
      <c r="CS941" s="162"/>
      <c r="CT941" s="230"/>
      <c r="CU941" s="230"/>
      <c r="CV941" s="162"/>
      <c r="CW941" s="162"/>
      <c r="CX941" s="162"/>
      <c r="CY941" s="162"/>
      <c r="CZ941" s="162"/>
      <c r="DA941" s="230"/>
      <c r="DB941" s="230"/>
      <c r="DC941" s="162"/>
      <c r="DD941" s="162"/>
      <c r="DE941" s="162"/>
      <c r="DF941" s="162"/>
      <c r="DG941" s="162"/>
      <c r="DH941" s="230"/>
      <c r="DI941" s="230"/>
      <c r="DJ941" s="162"/>
      <c r="DK941" s="162"/>
      <c r="DL941" s="147"/>
      <c r="DM941" s="147"/>
      <c r="DN941" s="147"/>
      <c r="DO941" s="147"/>
      <c r="DP941" s="147"/>
      <c r="DQ941" s="147"/>
      <c r="DR941" s="147"/>
      <c r="DS941" s="147"/>
      <c r="DT941" s="147"/>
      <c r="DU941" s="147"/>
      <c r="DV941" s="147"/>
      <c r="DW941" s="147"/>
      <c r="DX941" s="147"/>
      <c r="DY941" s="147"/>
      <c r="DZ941" s="147"/>
      <c r="EA941" s="147"/>
      <c r="EB941" s="147"/>
      <c r="EC941" s="147"/>
      <c r="ED941" s="147"/>
      <c r="EE941" s="147"/>
      <c r="EF941" s="147"/>
      <c r="EG941" s="147"/>
      <c r="EH941" s="147"/>
    </row>
    <row r="942" spans="1:138" x14ac:dyDescent="0.25">
      <c r="A942" s="147"/>
      <c r="B942" s="147"/>
      <c r="C942" s="160"/>
      <c r="D942" s="160"/>
      <c r="E942" s="169"/>
      <c r="F942" s="229"/>
      <c r="G942" s="165"/>
      <c r="H942" s="165"/>
      <c r="I942" s="163"/>
      <c r="J942" s="163"/>
      <c r="K942" s="162"/>
      <c r="L942" s="162"/>
      <c r="M942" s="162"/>
      <c r="N942" s="230"/>
      <c r="O942" s="230"/>
      <c r="P942" s="162"/>
      <c r="Q942" s="162"/>
      <c r="R942" s="162"/>
      <c r="S942" s="162"/>
      <c r="T942" s="162"/>
      <c r="U942" s="230"/>
      <c r="V942" s="230"/>
      <c r="W942" s="162"/>
      <c r="X942" s="162"/>
      <c r="Y942" s="162"/>
      <c r="Z942" s="162"/>
      <c r="AA942" s="162"/>
      <c r="AB942" s="230"/>
      <c r="AC942" s="230"/>
      <c r="AD942" s="162"/>
      <c r="AE942" s="162"/>
      <c r="AF942" s="162"/>
      <c r="AG942" s="162"/>
      <c r="AH942" s="162"/>
      <c r="AI942" s="230"/>
      <c r="AJ942" s="230"/>
      <c r="AK942" s="162"/>
      <c r="AL942" s="162"/>
      <c r="AM942" s="162"/>
      <c r="AN942" s="162"/>
      <c r="AO942" s="162"/>
      <c r="AP942" s="230"/>
      <c r="AQ942" s="230"/>
      <c r="AR942" s="162"/>
      <c r="AS942" s="162"/>
      <c r="AT942" s="162"/>
      <c r="AU942" s="162"/>
      <c r="AV942" s="162"/>
      <c r="AW942" s="230"/>
      <c r="AX942" s="230"/>
      <c r="AY942" s="162"/>
      <c r="AZ942" s="162"/>
      <c r="BA942" s="162"/>
      <c r="BB942" s="162"/>
      <c r="BC942" s="162"/>
      <c r="BD942" s="230"/>
      <c r="BE942" s="230"/>
      <c r="BF942" s="162"/>
      <c r="BG942" s="162"/>
      <c r="BH942" s="162"/>
      <c r="BI942" s="162"/>
      <c r="BJ942" s="162"/>
      <c r="BK942" s="230"/>
      <c r="BL942" s="230"/>
      <c r="BM942" s="162"/>
      <c r="BN942" s="162"/>
      <c r="BO942" s="162"/>
      <c r="BP942" s="162"/>
      <c r="BQ942" s="162"/>
      <c r="BR942" s="230"/>
      <c r="BS942" s="230"/>
      <c r="BT942" s="162"/>
      <c r="BU942" s="162"/>
      <c r="BV942" s="162"/>
      <c r="BW942" s="162"/>
      <c r="BX942" s="162"/>
      <c r="BY942" s="230"/>
      <c r="BZ942" s="230"/>
      <c r="CA942" s="162"/>
      <c r="CB942" s="162"/>
      <c r="CC942" s="162"/>
      <c r="CD942" s="162"/>
      <c r="CE942" s="162"/>
      <c r="CF942" s="230"/>
      <c r="CG942" s="230"/>
      <c r="CH942" s="162"/>
      <c r="CI942" s="162"/>
      <c r="CJ942" s="162"/>
      <c r="CK942" s="162"/>
      <c r="CL942" s="162"/>
      <c r="CM942" s="230"/>
      <c r="CN942" s="230"/>
      <c r="CO942" s="162"/>
      <c r="CP942" s="162"/>
      <c r="CQ942" s="162"/>
      <c r="CR942" s="162"/>
      <c r="CS942" s="162"/>
      <c r="CT942" s="230"/>
      <c r="CU942" s="230"/>
      <c r="CV942" s="162"/>
      <c r="CW942" s="162"/>
      <c r="CX942" s="162"/>
      <c r="CY942" s="162"/>
      <c r="CZ942" s="162"/>
      <c r="DA942" s="230"/>
      <c r="DB942" s="230"/>
      <c r="DC942" s="162"/>
      <c r="DD942" s="162"/>
      <c r="DE942" s="162"/>
      <c r="DF942" s="162"/>
      <c r="DG942" s="162"/>
      <c r="DH942" s="230"/>
      <c r="DI942" s="230"/>
      <c r="DJ942" s="162"/>
      <c r="DK942" s="162"/>
      <c r="DL942" s="147"/>
      <c r="DM942" s="147"/>
      <c r="DN942" s="147"/>
      <c r="DO942" s="147"/>
      <c r="DP942" s="147"/>
      <c r="DQ942" s="147"/>
      <c r="DR942" s="147"/>
      <c r="DS942" s="147"/>
      <c r="DT942" s="147"/>
      <c r="DU942" s="147"/>
      <c r="DV942" s="147"/>
      <c r="DW942" s="147"/>
      <c r="DX942" s="147"/>
      <c r="DY942" s="147"/>
      <c r="DZ942" s="147"/>
      <c r="EA942" s="147"/>
      <c r="EB942" s="147"/>
      <c r="EC942" s="147"/>
      <c r="ED942" s="147"/>
      <c r="EE942" s="147"/>
      <c r="EF942" s="147"/>
      <c r="EG942" s="147"/>
      <c r="EH942" s="147"/>
    </row>
    <row r="943" spans="1:138" x14ac:dyDescent="0.25">
      <c r="A943" s="147"/>
      <c r="B943" s="147"/>
      <c r="C943" s="160"/>
      <c r="D943" s="160"/>
      <c r="E943" s="169"/>
      <c r="F943" s="229"/>
      <c r="G943" s="165"/>
      <c r="H943" s="165"/>
      <c r="I943" s="163"/>
      <c r="J943" s="163"/>
      <c r="K943" s="162"/>
      <c r="L943" s="162"/>
      <c r="M943" s="162"/>
      <c r="N943" s="230"/>
      <c r="O943" s="230"/>
      <c r="P943" s="162"/>
      <c r="Q943" s="162"/>
      <c r="R943" s="162"/>
      <c r="S943" s="162"/>
      <c r="T943" s="162"/>
      <c r="U943" s="230"/>
      <c r="V943" s="230"/>
      <c r="W943" s="162"/>
      <c r="X943" s="162"/>
      <c r="Y943" s="162"/>
      <c r="Z943" s="162"/>
      <c r="AA943" s="162"/>
      <c r="AB943" s="230"/>
      <c r="AC943" s="230"/>
      <c r="AD943" s="162"/>
      <c r="AE943" s="162"/>
      <c r="AF943" s="162"/>
      <c r="AG943" s="162"/>
      <c r="AH943" s="162"/>
      <c r="AI943" s="230"/>
      <c r="AJ943" s="230"/>
      <c r="AK943" s="162"/>
      <c r="AL943" s="162"/>
      <c r="AM943" s="162"/>
      <c r="AN943" s="162"/>
      <c r="AO943" s="162"/>
      <c r="AP943" s="230"/>
      <c r="AQ943" s="230"/>
      <c r="AR943" s="162"/>
      <c r="AS943" s="162"/>
      <c r="AT943" s="162"/>
      <c r="AU943" s="162"/>
      <c r="AV943" s="162"/>
      <c r="AW943" s="230"/>
      <c r="AX943" s="230"/>
      <c r="AY943" s="162"/>
      <c r="AZ943" s="162"/>
      <c r="BA943" s="162"/>
      <c r="BB943" s="162"/>
      <c r="BC943" s="162"/>
      <c r="BD943" s="230"/>
      <c r="BE943" s="230"/>
      <c r="BF943" s="162"/>
      <c r="BG943" s="162"/>
      <c r="BH943" s="162"/>
      <c r="BI943" s="162"/>
      <c r="BJ943" s="162"/>
      <c r="BK943" s="230"/>
      <c r="BL943" s="230"/>
      <c r="BM943" s="162"/>
      <c r="BN943" s="162"/>
      <c r="BO943" s="162"/>
      <c r="BP943" s="162"/>
      <c r="BQ943" s="162"/>
      <c r="BR943" s="230"/>
      <c r="BS943" s="230"/>
      <c r="BT943" s="162"/>
      <c r="BU943" s="162"/>
      <c r="BV943" s="162"/>
      <c r="BW943" s="162"/>
      <c r="BX943" s="162"/>
      <c r="BY943" s="230"/>
      <c r="BZ943" s="230"/>
      <c r="CA943" s="162"/>
      <c r="CB943" s="162"/>
      <c r="CC943" s="162"/>
      <c r="CD943" s="162"/>
      <c r="CE943" s="162"/>
      <c r="CF943" s="230"/>
      <c r="CG943" s="230"/>
      <c r="CH943" s="162"/>
      <c r="CI943" s="162"/>
      <c r="CJ943" s="162"/>
      <c r="CK943" s="162"/>
      <c r="CL943" s="162"/>
      <c r="CM943" s="230"/>
      <c r="CN943" s="230"/>
      <c r="CO943" s="162"/>
      <c r="CP943" s="162"/>
      <c r="CQ943" s="162"/>
      <c r="CR943" s="162"/>
      <c r="CS943" s="162"/>
      <c r="CT943" s="230"/>
      <c r="CU943" s="230"/>
      <c r="CV943" s="162"/>
      <c r="CW943" s="162"/>
      <c r="CX943" s="162"/>
      <c r="CY943" s="162"/>
      <c r="CZ943" s="162"/>
      <c r="DA943" s="230"/>
      <c r="DB943" s="230"/>
      <c r="DC943" s="162"/>
      <c r="DD943" s="162"/>
      <c r="DE943" s="162"/>
      <c r="DF943" s="162"/>
      <c r="DG943" s="162"/>
      <c r="DH943" s="230"/>
      <c r="DI943" s="230"/>
      <c r="DJ943" s="162"/>
      <c r="DK943" s="162"/>
      <c r="DL943" s="147"/>
      <c r="DM943" s="147"/>
      <c r="DN943" s="147"/>
      <c r="DO943" s="147"/>
      <c r="DP943" s="147"/>
      <c r="DQ943" s="147"/>
      <c r="DR943" s="147"/>
      <c r="DS943" s="147"/>
      <c r="DT943" s="147"/>
      <c r="DU943" s="147"/>
      <c r="DV943" s="147"/>
      <c r="DW943" s="147"/>
      <c r="DX943" s="147"/>
      <c r="DY943" s="147"/>
      <c r="DZ943" s="147"/>
      <c r="EA943" s="147"/>
      <c r="EB943" s="147"/>
      <c r="EC943" s="147"/>
      <c r="ED943" s="147"/>
      <c r="EE943" s="147"/>
      <c r="EF943" s="147"/>
      <c r="EG943" s="147"/>
      <c r="EH943" s="147"/>
    </row>
    <row r="944" spans="1:138" x14ac:dyDescent="0.25">
      <c r="A944" s="147"/>
      <c r="B944" s="147"/>
      <c r="C944" s="160"/>
      <c r="D944" s="160"/>
      <c r="E944" s="169"/>
      <c r="F944" s="229"/>
      <c r="G944" s="165"/>
      <c r="H944" s="165"/>
      <c r="I944" s="163"/>
      <c r="J944" s="163"/>
      <c r="K944" s="162"/>
      <c r="L944" s="162"/>
      <c r="M944" s="162"/>
      <c r="N944" s="230"/>
      <c r="O944" s="230"/>
      <c r="P944" s="162"/>
      <c r="Q944" s="162"/>
      <c r="R944" s="162"/>
      <c r="S944" s="162"/>
      <c r="T944" s="162"/>
      <c r="U944" s="230"/>
      <c r="V944" s="230"/>
      <c r="W944" s="162"/>
      <c r="X944" s="162"/>
      <c r="Y944" s="162"/>
      <c r="Z944" s="162"/>
      <c r="AA944" s="162"/>
      <c r="AB944" s="230"/>
      <c r="AC944" s="230"/>
      <c r="AD944" s="162"/>
      <c r="AE944" s="162"/>
      <c r="AF944" s="162"/>
      <c r="AG944" s="162"/>
      <c r="AH944" s="162"/>
      <c r="AI944" s="230"/>
      <c r="AJ944" s="230"/>
      <c r="AK944" s="162"/>
      <c r="AL944" s="162"/>
      <c r="AM944" s="162"/>
      <c r="AN944" s="162"/>
      <c r="AO944" s="162"/>
      <c r="AP944" s="230"/>
      <c r="AQ944" s="230"/>
      <c r="AR944" s="162"/>
      <c r="AS944" s="162"/>
      <c r="AT944" s="162"/>
      <c r="AU944" s="162"/>
      <c r="AV944" s="162"/>
      <c r="AW944" s="230"/>
      <c r="AX944" s="230"/>
      <c r="AY944" s="162"/>
      <c r="AZ944" s="162"/>
      <c r="BA944" s="162"/>
      <c r="BB944" s="162"/>
      <c r="BC944" s="162"/>
      <c r="BD944" s="230"/>
      <c r="BE944" s="230"/>
      <c r="BF944" s="162"/>
      <c r="BG944" s="162"/>
      <c r="BH944" s="162"/>
      <c r="BI944" s="162"/>
      <c r="BJ944" s="162"/>
      <c r="BK944" s="230"/>
      <c r="BL944" s="230"/>
      <c r="BM944" s="162"/>
      <c r="BN944" s="162"/>
      <c r="BO944" s="162"/>
      <c r="BP944" s="162"/>
      <c r="BQ944" s="162"/>
      <c r="BR944" s="230"/>
      <c r="BS944" s="230"/>
      <c r="BT944" s="162"/>
      <c r="BU944" s="162"/>
      <c r="BV944" s="162"/>
      <c r="BW944" s="162"/>
      <c r="BX944" s="162"/>
      <c r="BY944" s="230"/>
      <c r="BZ944" s="230"/>
      <c r="CA944" s="162"/>
      <c r="CB944" s="162"/>
      <c r="CC944" s="162"/>
      <c r="CD944" s="162"/>
      <c r="CE944" s="162"/>
      <c r="CF944" s="230"/>
      <c r="CG944" s="230"/>
      <c r="CH944" s="162"/>
      <c r="CI944" s="162"/>
      <c r="CJ944" s="162"/>
      <c r="CK944" s="162"/>
      <c r="CL944" s="162"/>
      <c r="CM944" s="230"/>
      <c r="CN944" s="230"/>
      <c r="CO944" s="162"/>
      <c r="CP944" s="162"/>
      <c r="CQ944" s="162"/>
      <c r="CR944" s="162"/>
      <c r="CS944" s="162"/>
      <c r="CT944" s="230"/>
      <c r="CU944" s="230"/>
      <c r="CV944" s="162"/>
      <c r="CW944" s="162"/>
      <c r="CX944" s="162"/>
      <c r="CY944" s="162"/>
      <c r="CZ944" s="162"/>
      <c r="DA944" s="230"/>
      <c r="DB944" s="230"/>
      <c r="DC944" s="162"/>
      <c r="DD944" s="162"/>
      <c r="DE944" s="162"/>
      <c r="DF944" s="162"/>
      <c r="DG944" s="162"/>
      <c r="DH944" s="230"/>
      <c r="DI944" s="230"/>
      <c r="DJ944" s="162"/>
      <c r="DK944" s="162"/>
      <c r="DL944" s="147"/>
      <c r="DM944" s="147"/>
      <c r="DN944" s="147"/>
      <c r="DO944" s="147"/>
      <c r="DP944" s="147"/>
      <c r="DQ944" s="147"/>
      <c r="DR944" s="147"/>
      <c r="DS944" s="147"/>
      <c r="DT944" s="147"/>
      <c r="DU944" s="147"/>
      <c r="DV944" s="147"/>
      <c r="DW944" s="147"/>
      <c r="DX944" s="147"/>
      <c r="DY944" s="147"/>
      <c r="DZ944" s="147"/>
      <c r="EA944" s="147"/>
      <c r="EB944" s="147"/>
      <c r="EC944" s="147"/>
      <c r="ED944" s="147"/>
      <c r="EE944" s="147"/>
      <c r="EF944" s="147"/>
      <c r="EG944" s="147"/>
      <c r="EH944" s="147"/>
    </row>
    <row r="945" spans="1:138" x14ac:dyDescent="0.25">
      <c r="A945" s="147"/>
      <c r="B945" s="147"/>
      <c r="C945" s="160"/>
      <c r="D945" s="160"/>
      <c r="E945" s="169"/>
      <c r="F945" s="229"/>
      <c r="G945" s="165"/>
      <c r="H945" s="165"/>
      <c r="I945" s="163"/>
      <c r="J945" s="163"/>
      <c r="K945" s="162"/>
      <c r="L945" s="162"/>
      <c r="M945" s="162"/>
      <c r="N945" s="230"/>
      <c r="O945" s="230"/>
      <c r="P945" s="162"/>
      <c r="Q945" s="162"/>
      <c r="R945" s="162"/>
      <c r="S945" s="162"/>
      <c r="T945" s="162"/>
      <c r="U945" s="230"/>
      <c r="V945" s="230"/>
      <c r="W945" s="162"/>
      <c r="X945" s="162"/>
      <c r="Y945" s="162"/>
      <c r="Z945" s="162"/>
      <c r="AA945" s="162"/>
      <c r="AB945" s="230"/>
      <c r="AC945" s="230"/>
      <c r="AD945" s="162"/>
      <c r="AE945" s="162"/>
      <c r="AF945" s="162"/>
      <c r="AG945" s="162"/>
      <c r="AH945" s="162"/>
      <c r="AI945" s="230"/>
      <c r="AJ945" s="230"/>
      <c r="AK945" s="162"/>
      <c r="AL945" s="162"/>
      <c r="AM945" s="162"/>
      <c r="AN945" s="162"/>
      <c r="AO945" s="162"/>
      <c r="AP945" s="230"/>
      <c r="AQ945" s="230"/>
      <c r="AR945" s="162"/>
      <c r="AS945" s="162"/>
      <c r="AT945" s="162"/>
      <c r="AU945" s="162"/>
      <c r="AV945" s="162"/>
      <c r="AW945" s="230"/>
      <c r="AX945" s="230"/>
      <c r="AY945" s="162"/>
      <c r="AZ945" s="162"/>
      <c r="BA945" s="162"/>
      <c r="BB945" s="162"/>
      <c r="BC945" s="162"/>
      <c r="BD945" s="230"/>
      <c r="BE945" s="230"/>
      <c r="BF945" s="162"/>
      <c r="BG945" s="162"/>
      <c r="BH945" s="162"/>
      <c r="BI945" s="162"/>
      <c r="BJ945" s="162"/>
      <c r="BK945" s="230"/>
      <c r="BL945" s="230"/>
      <c r="BM945" s="162"/>
      <c r="BN945" s="162"/>
      <c r="BO945" s="162"/>
      <c r="BP945" s="162"/>
      <c r="BQ945" s="162"/>
      <c r="BR945" s="230"/>
      <c r="BS945" s="230"/>
      <c r="BT945" s="162"/>
      <c r="BU945" s="162"/>
      <c r="BV945" s="162"/>
      <c r="BW945" s="162"/>
      <c r="BX945" s="162"/>
      <c r="BY945" s="230"/>
      <c r="BZ945" s="230"/>
      <c r="CA945" s="162"/>
      <c r="CB945" s="162"/>
      <c r="CC945" s="162"/>
      <c r="CD945" s="162"/>
      <c r="CE945" s="162"/>
      <c r="CF945" s="230"/>
      <c r="CG945" s="230"/>
      <c r="CH945" s="162"/>
      <c r="CI945" s="162"/>
      <c r="CJ945" s="162"/>
      <c r="CK945" s="162"/>
      <c r="CL945" s="162"/>
      <c r="CM945" s="230"/>
      <c r="CN945" s="230"/>
      <c r="CO945" s="162"/>
      <c r="CP945" s="162"/>
      <c r="CQ945" s="162"/>
      <c r="CR945" s="162"/>
      <c r="CS945" s="162"/>
      <c r="CT945" s="230"/>
      <c r="CU945" s="230"/>
      <c r="CV945" s="162"/>
      <c r="CW945" s="162"/>
      <c r="CX945" s="162"/>
      <c r="CY945" s="162"/>
      <c r="CZ945" s="162"/>
      <c r="DA945" s="230"/>
      <c r="DB945" s="230"/>
      <c r="DC945" s="162"/>
      <c r="DD945" s="162"/>
      <c r="DE945" s="162"/>
      <c r="DF945" s="162"/>
      <c r="DG945" s="162"/>
      <c r="DH945" s="230"/>
      <c r="DI945" s="230"/>
      <c r="DJ945" s="162"/>
      <c r="DK945" s="162"/>
      <c r="DL945" s="147"/>
      <c r="DM945" s="147"/>
      <c r="DN945" s="147"/>
      <c r="DO945" s="147"/>
      <c r="DP945" s="147"/>
      <c r="DQ945" s="147"/>
      <c r="DR945" s="147"/>
      <c r="DS945" s="147"/>
      <c r="DT945" s="147"/>
      <c r="DU945" s="147"/>
      <c r="DV945" s="147"/>
      <c r="DW945" s="147"/>
      <c r="DX945" s="147"/>
      <c r="DY945" s="147"/>
      <c r="DZ945" s="147"/>
      <c r="EA945" s="147"/>
      <c r="EB945" s="147"/>
      <c r="EC945" s="147"/>
      <c r="ED945" s="147"/>
      <c r="EE945" s="147"/>
      <c r="EF945" s="147"/>
      <c r="EG945" s="147"/>
      <c r="EH945" s="147"/>
    </row>
    <row r="946" spans="1:138" x14ac:dyDescent="0.25">
      <c r="A946" s="147"/>
      <c r="B946" s="147"/>
      <c r="C946" s="160"/>
      <c r="D946" s="160"/>
      <c r="E946" s="169"/>
      <c r="F946" s="229"/>
      <c r="G946" s="165"/>
      <c r="H946" s="165"/>
      <c r="I946" s="163"/>
      <c r="J946" s="163"/>
      <c r="K946" s="162"/>
      <c r="L946" s="162"/>
      <c r="M946" s="162"/>
      <c r="N946" s="230"/>
      <c r="O946" s="230"/>
      <c r="P946" s="162"/>
      <c r="Q946" s="162"/>
      <c r="R946" s="162"/>
      <c r="S946" s="162"/>
      <c r="T946" s="162"/>
      <c r="U946" s="230"/>
      <c r="V946" s="230"/>
      <c r="W946" s="162"/>
      <c r="X946" s="162"/>
      <c r="Y946" s="162"/>
      <c r="Z946" s="162"/>
      <c r="AA946" s="162"/>
      <c r="AB946" s="230"/>
      <c r="AC946" s="230"/>
      <c r="AD946" s="162"/>
      <c r="AE946" s="162"/>
      <c r="AF946" s="162"/>
      <c r="AG946" s="162"/>
      <c r="AH946" s="162"/>
      <c r="AI946" s="230"/>
      <c r="AJ946" s="230"/>
      <c r="AK946" s="162"/>
      <c r="AL946" s="162"/>
      <c r="AM946" s="162"/>
      <c r="AN946" s="162"/>
      <c r="AO946" s="162"/>
      <c r="AP946" s="230"/>
      <c r="AQ946" s="230"/>
      <c r="AR946" s="162"/>
      <c r="AS946" s="162"/>
      <c r="AT946" s="162"/>
      <c r="AU946" s="162"/>
      <c r="AV946" s="162"/>
      <c r="AW946" s="230"/>
      <c r="AX946" s="230"/>
      <c r="AY946" s="162"/>
      <c r="AZ946" s="162"/>
      <c r="BA946" s="162"/>
      <c r="BB946" s="162"/>
      <c r="BC946" s="162"/>
      <c r="BD946" s="230"/>
      <c r="BE946" s="230"/>
      <c r="BF946" s="162"/>
      <c r="BG946" s="162"/>
      <c r="BH946" s="162"/>
      <c r="BI946" s="162"/>
      <c r="BJ946" s="162"/>
      <c r="BK946" s="230"/>
      <c r="BL946" s="230"/>
      <c r="BM946" s="162"/>
      <c r="BN946" s="162"/>
      <c r="BO946" s="162"/>
      <c r="BP946" s="162"/>
      <c r="BQ946" s="162"/>
      <c r="BR946" s="230"/>
      <c r="BS946" s="230"/>
      <c r="BT946" s="162"/>
      <c r="BU946" s="162"/>
      <c r="BV946" s="162"/>
      <c r="BW946" s="162"/>
      <c r="BX946" s="162"/>
      <c r="BY946" s="230"/>
      <c r="BZ946" s="230"/>
      <c r="CA946" s="162"/>
      <c r="CB946" s="162"/>
      <c r="CC946" s="162"/>
      <c r="CD946" s="162"/>
      <c r="CE946" s="162"/>
      <c r="CF946" s="230"/>
      <c r="CG946" s="230"/>
      <c r="CH946" s="162"/>
      <c r="CI946" s="162"/>
      <c r="CJ946" s="162"/>
      <c r="CK946" s="162"/>
      <c r="CL946" s="162"/>
      <c r="CM946" s="230"/>
      <c r="CN946" s="230"/>
      <c r="CO946" s="162"/>
      <c r="CP946" s="162"/>
      <c r="CQ946" s="162"/>
      <c r="CR946" s="162"/>
      <c r="CS946" s="162"/>
      <c r="CT946" s="230"/>
      <c r="CU946" s="230"/>
      <c r="CV946" s="162"/>
      <c r="CW946" s="162"/>
      <c r="CX946" s="162"/>
      <c r="CY946" s="162"/>
      <c r="CZ946" s="162"/>
      <c r="DA946" s="230"/>
      <c r="DB946" s="230"/>
      <c r="DC946" s="162"/>
      <c r="DD946" s="162"/>
      <c r="DE946" s="162"/>
      <c r="DF946" s="162"/>
      <c r="DG946" s="162"/>
      <c r="DH946" s="230"/>
      <c r="DI946" s="230"/>
      <c r="DJ946" s="162"/>
      <c r="DK946" s="162"/>
      <c r="DL946" s="147"/>
      <c r="DM946" s="147"/>
      <c r="DN946" s="147"/>
      <c r="DO946" s="147"/>
      <c r="DP946" s="147"/>
      <c r="DQ946" s="147"/>
      <c r="DR946" s="147"/>
      <c r="DS946" s="147"/>
      <c r="DT946" s="147"/>
      <c r="DU946" s="147"/>
      <c r="DV946" s="147"/>
      <c r="DW946" s="147"/>
      <c r="DX946" s="147"/>
      <c r="DY946" s="147"/>
      <c r="DZ946" s="147"/>
      <c r="EA946" s="147"/>
      <c r="EB946" s="147"/>
      <c r="EC946" s="147"/>
      <c r="ED946" s="147"/>
      <c r="EE946" s="147"/>
      <c r="EF946" s="147"/>
      <c r="EG946" s="147"/>
      <c r="EH946" s="147"/>
    </row>
    <row r="947" spans="1:138" x14ac:dyDescent="0.25">
      <c r="A947" s="147"/>
      <c r="B947" s="147"/>
      <c r="C947" s="160"/>
      <c r="D947" s="160"/>
      <c r="E947" s="169"/>
      <c r="F947" s="229"/>
      <c r="G947" s="165"/>
      <c r="H947" s="165"/>
      <c r="I947" s="163"/>
      <c r="J947" s="163"/>
      <c r="K947" s="162"/>
      <c r="L947" s="162"/>
      <c r="M947" s="162"/>
      <c r="N947" s="230"/>
      <c r="O947" s="230"/>
      <c r="P947" s="162"/>
      <c r="Q947" s="162"/>
      <c r="R947" s="162"/>
      <c r="S947" s="162"/>
      <c r="T947" s="162"/>
      <c r="U947" s="230"/>
      <c r="V947" s="230"/>
      <c r="W947" s="162"/>
      <c r="X947" s="162"/>
      <c r="Y947" s="162"/>
      <c r="Z947" s="162"/>
      <c r="AA947" s="162"/>
      <c r="AB947" s="230"/>
      <c r="AC947" s="230"/>
      <c r="AD947" s="162"/>
      <c r="AE947" s="162"/>
      <c r="AF947" s="162"/>
      <c r="AG947" s="162"/>
      <c r="AH947" s="162"/>
      <c r="AI947" s="230"/>
      <c r="AJ947" s="230"/>
      <c r="AK947" s="162"/>
      <c r="AL947" s="162"/>
      <c r="AM947" s="162"/>
      <c r="AN947" s="162"/>
      <c r="AO947" s="162"/>
      <c r="AP947" s="230"/>
      <c r="AQ947" s="230"/>
      <c r="AR947" s="162"/>
      <c r="AS947" s="162"/>
      <c r="AT947" s="162"/>
      <c r="AU947" s="162"/>
      <c r="AV947" s="162"/>
      <c r="AW947" s="230"/>
      <c r="AX947" s="230"/>
      <c r="AY947" s="162"/>
      <c r="AZ947" s="162"/>
      <c r="BA947" s="162"/>
      <c r="BB947" s="162"/>
      <c r="BC947" s="162"/>
      <c r="BD947" s="230"/>
      <c r="BE947" s="230"/>
      <c r="BF947" s="162"/>
      <c r="BG947" s="162"/>
      <c r="BH947" s="162"/>
      <c r="BI947" s="162"/>
      <c r="BJ947" s="162"/>
      <c r="BK947" s="230"/>
      <c r="BL947" s="230"/>
      <c r="BM947" s="162"/>
      <c r="BN947" s="162"/>
      <c r="BO947" s="162"/>
      <c r="BP947" s="162"/>
      <c r="BQ947" s="162"/>
      <c r="BR947" s="230"/>
      <c r="BS947" s="230"/>
      <c r="BT947" s="162"/>
      <c r="BU947" s="162"/>
      <c r="BV947" s="162"/>
      <c r="BW947" s="162"/>
      <c r="BX947" s="162"/>
      <c r="BY947" s="230"/>
      <c r="BZ947" s="230"/>
      <c r="CA947" s="162"/>
      <c r="CB947" s="162"/>
      <c r="CC947" s="162"/>
      <c r="CD947" s="162"/>
      <c r="CE947" s="162"/>
      <c r="CF947" s="230"/>
      <c r="CG947" s="230"/>
      <c r="CH947" s="162"/>
      <c r="CI947" s="162"/>
      <c r="CJ947" s="162"/>
      <c r="CK947" s="162"/>
      <c r="CL947" s="162"/>
      <c r="CM947" s="230"/>
      <c r="CN947" s="230"/>
      <c r="CO947" s="162"/>
      <c r="CP947" s="162"/>
      <c r="CQ947" s="162"/>
      <c r="CR947" s="162"/>
      <c r="CS947" s="162"/>
      <c r="CT947" s="230"/>
      <c r="CU947" s="230"/>
      <c r="CV947" s="162"/>
      <c r="CW947" s="162"/>
      <c r="CX947" s="162"/>
      <c r="CY947" s="162"/>
      <c r="CZ947" s="162"/>
      <c r="DA947" s="230"/>
      <c r="DB947" s="230"/>
      <c r="DC947" s="162"/>
      <c r="DD947" s="162"/>
      <c r="DE947" s="162"/>
      <c r="DF947" s="162"/>
      <c r="DG947" s="162"/>
      <c r="DH947" s="230"/>
      <c r="DI947" s="230"/>
      <c r="DJ947" s="162"/>
      <c r="DK947" s="162"/>
      <c r="DL947" s="147"/>
      <c r="DM947" s="147"/>
      <c r="DN947" s="147"/>
      <c r="DO947" s="147"/>
      <c r="DP947" s="147"/>
      <c r="DQ947" s="147"/>
      <c r="DR947" s="147"/>
      <c r="DS947" s="147"/>
      <c r="DT947" s="147"/>
      <c r="DU947" s="147"/>
      <c r="DV947" s="147"/>
      <c r="DW947" s="147"/>
      <c r="DX947" s="147"/>
      <c r="DY947" s="147"/>
      <c r="DZ947" s="147"/>
      <c r="EA947" s="147"/>
      <c r="EB947" s="147"/>
      <c r="EC947" s="147"/>
      <c r="ED947" s="147"/>
      <c r="EE947" s="147"/>
      <c r="EF947" s="147"/>
      <c r="EG947" s="147"/>
      <c r="EH947" s="147"/>
    </row>
    <row r="948" spans="1:138" x14ac:dyDescent="0.25">
      <c r="A948" s="147"/>
      <c r="B948" s="147"/>
      <c r="C948" s="160"/>
      <c r="D948" s="160"/>
      <c r="E948" s="169"/>
      <c r="F948" s="229"/>
      <c r="G948" s="165"/>
      <c r="H948" s="165"/>
      <c r="I948" s="163"/>
      <c r="J948" s="163"/>
      <c r="K948" s="162"/>
      <c r="L948" s="162"/>
      <c r="M948" s="162"/>
      <c r="N948" s="230"/>
      <c r="O948" s="230"/>
      <c r="P948" s="162"/>
      <c r="Q948" s="162"/>
      <c r="R948" s="162"/>
      <c r="S948" s="162"/>
      <c r="T948" s="162"/>
      <c r="U948" s="230"/>
      <c r="V948" s="230"/>
      <c r="W948" s="162"/>
      <c r="X948" s="162"/>
      <c r="Y948" s="162"/>
      <c r="Z948" s="162"/>
      <c r="AA948" s="162"/>
      <c r="AB948" s="230"/>
      <c r="AC948" s="230"/>
      <c r="AD948" s="162"/>
      <c r="AE948" s="162"/>
      <c r="AF948" s="162"/>
      <c r="AG948" s="162"/>
      <c r="AH948" s="162"/>
      <c r="AI948" s="230"/>
      <c r="AJ948" s="230"/>
      <c r="AK948" s="162"/>
      <c r="AL948" s="162"/>
      <c r="AM948" s="162"/>
      <c r="AN948" s="162"/>
      <c r="AO948" s="162"/>
      <c r="AP948" s="230"/>
      <c r="AQ948" s="230"/>
      <c r="AR948" s="162"/>
      <c r="AS948" s="162"/>
      <c r="AT948" s="162"/>
      <c r="AU948" s="162"/>
      <c r="AV948" s="162"/>
      <c r="AW948" s="230"/>
      <c r="AX948" s="230"/>
      <c r="AY948" s="162"/>
      <c r="AZ948" s="162"/>
      <c r="BA948" s="162"/>
      <c r="BB948" s="162"/>
      <c r="BC948" s="162"/>
      <c r="BD948" s="230"/>
      <c r="BE948" s="230"/>
      <c r="BF948" s="162"/>
      <c r="BG948" s="162"/>
      <c r="BH948" s="162"/>
      <c r="BI948" s="162"/>
      <c r="BJ948" s="162"/>
      <c r="BK948" s="230"/>
      <c r="BL948" s="230"/>
      <c r="BM948" s="162"/>
      <c r="BN948" s="162"/>
      <c r="BO948" s="162"/>
      <c r="BP948" s="162"/>
      <c r="BQ948" s="162"/>
      <c r="BR948" s="230"/>
      <c r="BS948" s="230"/>
      <c r="BT948" s="162"/>
      <c r="BU948" s="162"/>
      <c r="BV948" s="162"/>
      <c r="BW948" s="162"/>
      <c r="BX948" s="162"/>
      <c r="BY948" s="230"/>
      <c r="BZ948" s="230"/>
      <c r="CA948" s="162"/>
      <c r="CB948" s="162"/>
      <c r="CC948" s="162"/>
      <c r="CD948" s="162"/>
      <c r="CE948" s="162"/>
      <c r="CF948" s="230"/>
      <c r="CG948" s="230"/>
      <c r="CH948" s="162"/>
      <c r="CI948" s="162"/>
      <c r="CJ948" s="162"/>
      <c r="CK948" s="162"/>
      <c r="CL948" s="162"/>
      <c r="CM948" s="230"/>
      <c r="CN948" s="230"/>
      <c r="CO948" s="162"/>
      <c r="CP948" s="162"/>
      <c r="CQ948" s="162"/>
      <c r="CR948" s="162"/>
      <c r="CS948" s="162"/>
      <c r="CT948" s="230"/>
      <c r="CU948" s="230"/>
      <c r="CV948" s="162"/>
      <c r="CW948" s="162"/>
      <c r="CX948" s="162"/>
      <c r="CY948" s="162"/>
      <c r="CZ948" s="162"/>
      <c r="DA948" s="230"/>
      <c r="DB948" s="230"/>
      <c r="DC948" s="162"/>
      <c r="DD948" s="162"/>
      <c r="DE948" s="162"/>
      <c r="DF948" s="162"/>
      <c r="DG948" s="162"/>
      <c r="DH948" s="230"/>
      <c r="DI948" s="230"/>
      <c r="DJ948" s="162"/>
      <c r="DK948" s="162"/>
      <c r="DL948" s="147"/>
      <c r="DM948" s="147"/>
      <c r="DN948" s="147"/>
      <c r="DO948" s="147"/>
      <c r="DP948" s="147"/>
      <c r="DQ948" s="147"/>
      <c r="DR948" s="147"/>
      <c r="DS948" s="147"/>
      <c r="DT948" s="147"/>
      <c r="DU948" s="147"/>
      <c r="DV948" s="147"/>
      <c r="DW948" s="147"/>
      <c r="DX948" s="147"/>
      <c r="DY948" s="147"/>
      <c r="DZ948" s="147"/>
      <c r="EA948" s="147"/>
      <c r="EB948" s="147"/>
      <c r="EC948" s="147"/>
      <c r="ED948" s="147"/>
      <c r="EE948" s="147"/>
      <c r="EF948" s="147"/>
      <c r="EG948" s="147"/>
      <c r="EH948" s="147"/>
    </row>
    <row r="949" spans="1:138" x14ac:dyDescent="0.25">
      <c r="A949" s="147"/>
      <c r="B949" s="147"/>
      <c r="C949" s="160"/>
      <c r="D949" s="160"/>
      <c r="E949" s="169"/>
      <c r="F949" s="229"/>
      <c r="G949" s="165"/>
      <c r="H949" s="165"/>
      <c r="I949" s="163"/>
      <c r="J949" s="163"/>
      <c r="K949" s="162"/>
      <c r="L949" s="162"/>
      <c r="M949" s="162"/>
      <c r="N949" s="230"/>
      <c r="O949" s="230"/>
      <c r="P949" s="162"/>
      <c r="Q949" s="162"/>
      <c r="R949" s="162"/>
      <c r="S949" s="162"/>
      <c r="T949" s="162"/>
      <c r="U949" s="230"/>
      <c r="V949" s="230"/>
      <c r="W949" s="162"/>
      <c r="X949" s="162"/>
      <c r="Y949" s="162"/>
      <c r="Z949" s="162"/>
      <c r="AA949" s="162"/>
      <c r="AB949" s="230"/>
      <c r="AC949" s="230"/>
      <c r="AD949" s="162"/>
      <c r="AE949" s="162"/>
      <c r="AF949" s="162"/>
      <c r="AG949" s="162"/>
      <c r="AH949" s="162"/>
      <c r="AI949" s="230"/>
      <c r="AJ949" s="230"/>
      <c r="AK949" s="162"/>
      <c r="AL949" s="162"/>
      <c r="AM949" s="162"/>
      <c r="AN949" s="162"/>
      <c r="AO949" s="162"/>
      <c r="AP949" s="230"/>
      <c r="AQ949" s="230"/>
      <c r="AR949" s="162"/>
      <c r="AS949" s="162"/>
      <c r="AT949" s="162"/>
      <c r="AU949" s="162"/>
      <c r="AV949" s="162"/>
      <c r="AW949" s="230"/>
      <c r="AX949" s="230"/>
      <c r="AY949" s="162"/>
      <c r="AZ949" s="162"/>
      <c r="BA949" s="162"/>
      <c r="BB949" s="162"/>
      <c r="BC949" s="162"/>
      <c r="BD949" s="230"/>
      <c r="BE949" s="230"/>
      <c r="BF949" s="162"/>
      <c r="BG949" s="162"/>
      <c r="BH949" s="162"/>
      <c r="BI949" s="162"/>
      <c r="BJ949" s="162"/>
      <c r="BK949" s="230"/>
      <c r="BL949" s="230"/>
      <c r="BM949" s="162"/>
      <c r="BN949" s="162"/>
      <c r="BO949" s="162"/>
      <c r="BP949" s="162"/>
      <c r="BQ949" s="162"/>
      <c r="BR949" s="230"/>
      <c r="BS949" s="230"/>
      <c r="BT949" s="162"/>
      <c r="BU949" s="162"/>
      <c r="BV949" s="162"/>
      <c r="BW949" s="162"/>
      <c r="BX949" s="162"/>
      <c r="BY949" s="230"/>
      <c r="BZ949" s="230"/>
      <c r="CA949" s="162"/>
      <c r="CB949" s="162"/>
      <c r="CC949" s="162"/>
      <c r="CD949" s="162"/>
      <c r="CE949" s="162"/>
      <c r="CF949" s="230"/>
      <c r="CG949" s="230"/>
      <c r="CH949" s="162"/>
      <c r="CI949" s="162"/>
      <c r="CJ949" s="162"/>
      <c r="CK949" s="162"/>
      <c r="CL949" s="162"/>
      <c r="CM949" s="230"/>
      <c r="CN949" s="230"/>
      <c r="CO949" s="162"/>
      <c r="CP949" s="162"/>
      <c r="CQ949" s="162"/>
      <c r="CR949" s="162"/>
      <c r="CS949" s="162"/>
      <c r="CT949" s="230"/>
      <c r="CU949" s="230"/>
      <c r="CV949" s="162"/>
      <c r="CW949" s="162"/>
      <c r="CX949" s="162"/>
      <c r="CY949" s="162"/>
      <c r="CZ949" s="162"/>
      <c r="DA949" s="230"/>
      <c r="DB949" s="230"/>
      <c r="DC949" s="162"/>
      <c r="DD949" s="162"/>
      <c r="DE949" s="162"/>
      <c r="DF949" s="162"/>
      <c r="DG949" s="162"/>
      <c r="DH949" s="230"/>
      <c r="DI949" s="230"/>
      <c r="DJ949" s="162"/>
      <c r="DK949" s="162"/>
      <c r="DL949" s="147"/>
      <c r="DM949" s="147"/>
      <c r="DN949" s="147"/>
      <c r="DO949" s="147"/>
      <c r="DP949" s="147"/>
      <c r="DQ949" s="147"/>
      <c r="DR949" s="147"/>
      <c r="DS949" s="147"/>
      <c r="DT949" s="147"/>
      <c r="DU949" s="147"/>
      <c r="DV949" s="147"/>
      <c r="DW949" s="147"/>
      <c r="DX949" s="147"/>
      <c r="DY949" s="147"/>
      <c r="DZ949" s="147"/>
      <c r="EA949" s="147"/>
      <c r="EB949" s="147"/>
      <c r="EC949" s="147"/>
      <c r="ED949" s="147"/>
      <c r="EE949" s="147"/>
      <c r="EF949" s="147"/>
      <c r="EG949" s="147"/>
      <c r="EH949" s="147"/>
    </row>
    <row r="950" spans="1:138" x14ac:dyDescent="0.25">
      <c r="A950" s="147"/>
      <c r="B950" s="147"/>
      <c r="C950" s="160"/>
      <c r="D950" s="160"/>
      <c r="E950" s="169"/>
      <c r="F950" s="229"/>
      <c r="G950" s="165"/>
      <c r="H950" s="165"/>
      <c r="I950" s="163"/>
      <c r="J950" s="163"/>
      <c r="K950" s="162"/>
      <c r="L950" s="162"/>
      <c r="M950" s="162"/>
      <c r="N950" s="230"/>
      <c r="O950" s="230"/>
      <c r="P950" s="162"/>
      <c r="Q950" s="162"/>
      <c r="R950" s="162"/>
      <c r="S950" s="162"/>
      <c r="T950" s="162"/>
      <c r="U950" s="230"/>
      <c r="V950" s="230"/>
      <c r="W950" s="162"/>
      <c r="X950" s="162"/>
      <c r="Y950" s="162"/>
      <c r="Z950" s="162"/>
      <c r="AA950" s="162"/>
      <c r="AB950" s="230"/>
      <c r="AC950" s="230"/>
      <c r="AD950" s="162"/>
      <c r="AE950" s="162"/>
      <c r="AF950" s="162"/>
      <c r="AG950" s="162"/>
      <c r="AH950" s="162"/>
      <c r="AI950" s="230"/>
      <c r="AJ950" s="230"/>
      <c r="AK950" s="162"/>
      <c r="AL950" s="162"/>
      <c r="AM950" s="162"/>
      <c r="AN950" s="162"/>
      <c r="AO950" s="162"/>
      <c r="AP950" s="230"/>
      <c r="AQ950" s="230"/>
      <c r="AR950" s="162"/>
      <c r="AS950" s="162"/>
      <c r="AT950" s="162"/>
      <c r="AU950" s="162"/>
      <c r="AV950" s="162"/>
      <c r="AW950" s="230"/>
      <c r="AX950" s="230"/>
      <c r="AY950" s="162"/>
      <c r="AZ950" s="162"/>
      <c r="BA950" s="162"/>
      <c r="BB950" s="162"/>
      <c r="BC950" s="162"/>
      <c r="BD950" s="230"/>
      <c r="BE950" s="230"/>
      <c r="BF950" s="162"/>
      <c r="BG950" s="162"/>
      <c r="BH950" s="162"/>
      <c r="BI950" s="162"/>
      <c r="BJ950" s="162"/>
      <c r="BK950" s="230"/>
      <c r="BL950" s="230"/>
      <c r="BM950" s="162"/>
      <c r="BN950" s="162"/>
      <c r="BO950" s="162"/>
      <c r="BP950" s="162"/>
      <c r="BQ950" s="162"/>
      <c r="BR950" s="230"/>
      <c r="BS950" s="230"/>
      <c r="BT950" s="162"/>
      <c r="BU950" s="162"/>
      <c r="BV950" s="162"/>
      <c r="BW950" s="162"/>
      <c r="BX950" s="162"/>
      <c r="BY950" s="230"/>
      <c r="BZ950" s="230"/>
      <c r="CA950" s="162"/>
      <c r="CB950" s="162"/>
      <c r="CC950" s="162"/>
      <c r="CD950" s="162"/>
      <c r="CE950" s="162"/>
      <c r="CF950" s="230"/>
      <c r="CG950" s="230"/>
      <c r="CH950" s="162"/>
      <c r="CI950" s="162"/>
      <c r="CJ950" s="162"/>
      <c r="CK950" s="162"/>
      <c r="CL950" s="162"/>
      <c r="CM950" s="230"/>
      <c r="CN950" s="230"/>
      <c r="CO950" s="162"/>
      <c r="CP950" s="162"/>
      <c r="CQ950" s="162"/>
      <c r="CR950" s="162"/>
      <c r="CS950" s="162"/>
      <c r="CT950" s="230"/>
      <c r="CU950" s="230"/>
      <c r="CV950" s="162"/>
      <c r="CW950" s="162"/>
      <c r="CX950" s="162"/>
      <c r="CY950" s="162"/>
      <c r="CZ950" s="162"/>
      <c r="DA950" s="230"/>
      <c r="DB950" s="230"/>
      <c r="DC950" s="162"/>
      <c r="DD950" s="162"/>
      <c r="DE950" s="162"/>
      <c r="DF950" s="162"/>
      <c r="DG950" s="162"/>
      <c r="DH950" s="230"/>
      <c r="DI950" s="230"/>
      <c r="DJ950" s="162"/>
      <c r="DK950" s="162"/>
      <c r="DL950" s="147"/>
      <c r="DM950" s="147"/>
      <c r="DN950" s="147"/>
      <c r="DO950" s="147"/>
      <c r="DP950" s="147"/>
      <c r="DQ950" s="147"/>
      <c r="DR950" s="147"/>
      <c r="DS950" s="147"/>
      <c r="DT950" s="147"/>
      <c r="DU950" s="147"/>
      <c r="DV950" s="147"/>
      <c r="DW950" s="147"/>
      <c r="DX950" s="147"/>
      <c r="DY950" s="147"/>
      <c r="DZ950" s="147"/>
      <c r="EA950" s="147"/>
      <c r="EB950" s="147"/>
      <c r="EC950" s="147"/>
      <c r="ED950" s="147"/>
      <c r="EE950" s="147"/>
      <c r="EF950" s="147"/>
      <c r="EG950" s="147"/>
      <c r="EH950" s="147"/>
    </row>
    <row r="951" spans="1:138" x14ac:dyDescent="0.25">
      <c r="A951" s="147"/>
      <c r="B951" s="147"/>
      <c r="C951" s="160"/>
      <c r="D951" s="160"/>
      <c r="E951" s="169"/>
      <c r="F951" s="229"/>
      <c r="G951" s="165"/>
      <c r="H951" s="165"/>
      <c r="I951" s="163"/>
      <c r="J951" s="163"/>
      <c r="K951" s="162"/>
      <c r="L951" s="162"/>
      <c r="M951" s="162"/>
      <c r="N951" s="230"/>
      <c r="O951" s="230"/>
      <c r="P951" s="162"/>
      <c r="Q951" s="162"/>
      <c r="R951" s="162"/>
      <c r="S951" s="162"/>
      <c r="T951" s="162"/>
      <c r="U951" s="230"/>
      <c r="V951" s="230"/>
      <c r="W951" s="162"/>
      <c r="X951" s="162"/>
      <c r="Y951" s="162"/>
      <c r="Z951" s="162"/>
      <c r="AA951" s="162"/>
      <c r="AB951" s="230"/>
      <c r="AC951" s="230"/>
      <c r="AD951" s="162"/>
      <c r="AE951" s="162"/>
      <c r="AF951" s="162"/>
      <c r="AG951" s="162"/>
      <c r="AH951" s="162"/>
      <c r="AI951" s="230"/>
      <c r="AJ951" s="230"/>
      <c r="AK951" s="162"/>
      <c r="AL951" s="162"/>
      <c r="AM951" s="162"/>
      <c r="AN951" s="162"/>
      <c r="AO951" s="162"/>
      <c r="AP951" s="230"/>
      <c r="AQ951" s="230"/>
      <c r="AR951" s="162"/>
      <c r="AS951" s="162"/>
      <c r="AT951" s="162"/>
      <c r="AU951" s="162"/>
      <c r="AV951" s="162"/>
      <c r="AW951" s="230"/>
      <c r="AX951" s="230"/>
      <c r="AY951" s="162"/>
      <c r="AZ951" s="162"/>
      <c r="BA951" s="162"/>
      <c r="BB951" s="162"/>
      <c r="BC951" s="162"/>
      <c r="BD951" s="230"/>
      <c r="BE951" s="230"/>
      <c r="BF951" s="162"/>
      <c r="BG951" s="162"/>
      <c r="BH951" s="162"/>
      <c r="BI951" s="162"/>
      <c r="BJ951" s="162"/>
      <c r="BK951" s="230"/>
      <c r="BL951" s="230"/>
      <c r="BM951" s="162"/>
      <c r="BN951" s="162"/>
      <c r="BO951" s="162"/>
      <c r="BP951" s="162"/>
      <c r="BQ951" s="162"/>
      <c r="BR951" s="230"/>
      <c r="BS951" s="230"/>
      <c r="BT951" s="162"/>
      <c r="BU951" s="162"/>
      <c r="BV951" s="162"/>
      <c r="BW951" s="162"/>
      <c r="BX951" s="162"/>
      <c r="BY951" s="230"/>
      <c r="BZ951" s="230"/>
      <c r="CA951" s="162"/>
      <c r="CB951" s="162"/>
      <c r="CC951" s="162"/>
      <c r="CD951" s="162"/>
      <c r="CE951" s="162"/>
      <c r="CF951" s="230"/>
      <c r="CG951" s="230"/>
      <c r="CH951" s="162"/>
      <c r="CI951" s="162"/>
      <c r="CJ951" s="162"/>
      <c r="CK951" s="162"/>
      <c r="CL951" s="162"/>
      <c r="CM951" s="230"/>
      <c r="CN951" s="230"/>
      <c r="CO951" s="162"/>
      <c r="CP951" s="162"/>
      <c r="CQ951" s="162"/>
      <c r="CR951" s="162"/>
      <c r="CS951" s="162"/>
      <c r="CT951" s="230"/>
      <c r="CU951" s="230"/>
      <c r="CV951" s="162"/>
      <c r="CW951" s="162"/>
      <c r="CX951" s="162"/>
      <c r="CY951" s="162"/>
      <c r="CZ951" s="162"/>
      <c r="DA951" s="230"/>
      <c r="DB951" s="230"/>
      <c r="DC951" s="162"/>
      <c r="DD951" s="162"/>
      <c r="DE951" s="162"/>
      <c r="DF951" s="162"/>
      <c r="DG951" s="162"/>
      <c r="DH951" s="230"/>
      <c r="DI951" s="230"/>
      <c r="DJ951" s="162"/>
      <c r="DK951" s="162"/>
      <c r="DL951" s="147"/>
      <c r="DM951" s="147"/>
      <c r="DN951" s="147"/>
      <c r="DO951" s="147"/>
      <c r="DP951" s="147"/>
      <c r="DQ951" s="147"/>
      <c r="DR951" s="147"/>
      <c r="DS951" s="147"/>
      <c r="DT951" s="147"/>
      <c r="DU951" s="147"/>
      <c r="DV951" s="147"/>
      <c r="DW951" s="147"/>
      <c r="DX951" s="147"/>
      <c r="DY951" s="147"/>
      <c r="DZ951" s="147"/>
      <c r="EA951" s="147"/>
      <c r="EB951" s="147"/>
      <c r="EC951" s="147"/>
      <c r="ED951" s="147"/>
      <c r="EE951" s="147"/>
      <c r="EF951" s="147"/>
      <c r="EG951" s="147"/>
      <c r="EH951" s="147"/>
    </row>
    <row r="952" spans="1:138" x14ac:dyDescent="0.25">
      <c r="A952" s="147"/>
      <c r="B952" s="147"/>
      <c r="C952" s="160"/>
      <c r="D952" s="160"/>
      <c r="E952" s="169"/>
      <c r="F952" s="229"/>
      <c r="G952" s="165"/>
      <c r="H952" s="165"/>
      <c r="I952" s="163"/>
      <c r="J952" s="163"/>
      <c r="K952" s="162"/>
      <c r="L952" s="162"/>
      <c r="M952" s="162"/>
      <c r="N952" s="230"/>
      <c r="O952" s="230"/>
      <c r="P952" s="162"/>
      <c r="Q952" s="162"/>
      <c r="R952" s="162"/>
      <c r="S952" s="162"/>
      <c r="T952" s="162"/>
      <c r="U952" s="230"/>
      <c r="V952" s="230"/>
      <c r="W952" s="162"/>
      <c r="X952" s="162"/>
      <c r="Y952" s="162"/>
      <c r="Z952" s="162"/>
      <c r="AA952" s="162"/>
      <c r="AB952" s="230"/>
      <c r="AC952" s="230"/>
      <c r="AD952" s="162"/>
      <c r="AE952" s="162"/>
      <c r="AF952" s="162"/>
      <c r="AG952" s="162"/>
      <c r="AH952" s="162"/>
      <c r="AI952" s="230"/>
      <c r="AJ952" s="230"/>
      <c r="AK952" s="162"/>
      <c r="AL952" s="162"/>
      <c r="AM952" s="162"/>
      <c r="AN952" s="162"/>
      <c r="AO952" s="162"/>
      <c r="AP952" s="230"/>
      <c r="AQ952" s="230"/>
      <c r="AR952" s="162"/>
      <c r="AS952" s="162"/>
      <c r="AT952" s="162"/>
      <c r="AU952" s="162"/>
      <c r="AV952" s="162"/>
      <c r="AW952" s="230"/>
      <c r="AX952" s="230"/>
      <c r="AY952" s="162"/>
      <c r="AZ952" s="162"/>
      <c r="BA952" s="162"/>
      <c r="BB952" s="162"/>
      <c r="BC952" s="162"/>
      <c r="BD952" s="230"/>
      <c r="BE952" s="230"/>
      <c r="BF952" s="162"/>
      <c r="BG952" s="162"/>
      <c r="BH952" s="162"/>
      <c r="BI952" s="162"/>
      <c r="BJ952" s="162"/>
      <c r="BK952" s="230"/>
      <c r="BL952" s="230"/>
      <c r="BM952" s="162"/>
      <c r="BN952" s="162"/>
      <c r="BO952" s="162"/>
      <c r="BP952" s="162"/>
      <c r="BQ952" s="162"/>
      <c r="BR952" s="230"/>
      <c r="BS952" s="230"/>
      <c r="BT952" s="162"/>
      <c r="BU952" s="162"/>
      <c r="BV952" s="162"/>
      <c r="BW952" s="162"/>
      <c r="BX952" s="162"/>
      <c r="BY952" s="230"/>
      <c r="BZ952" s="230"/>
      <c r="CA952" s="162"/>
      <c r="CB952" s="162"/>
      <c r="CC952" s="162"/>
      <c r="CD952" s="162"/>
      <c r="CE952" s="162"/>
      <c r="CF952" s="230"/>
      <c r="CG952" s="230"/>
      <c r="CH952" s="162"/>
      <c r="CI952" s="162"/>
      <c r="CJ952" s="162"/>
      <c r="CK952" s="162"/>
      <c r="CL952" s="162"/>
      <c r="CM952" s="230"/>
      <c r="CN952" s="230"/>
      <c r="CO952" s="162"/>
      <c r="CP952" s="162"/>
      <c r="CQ952" s="162"/>
      <c r="CR952" s="162"/>
      <c r="CS952" s="162"/>
      <c r="CT952" s="230"/>
      <c r="CU952" s="230"/>
      <c r="CV952" s="162"/>
      <c r="CW952" s="162"/>
      <c r="CX952" s="162"/>
      <c r="CY952" s="162"/>
      <c r="CZ952" s="162"/>
      <c r="DA952" s="230"/>
      <c r="DB952" s="230"/>
      <c r="DC952" s="162"/>
      <c r="DD952" s="162"/>
      <c r="DE952" s="162"/>
      <c r="DF952" s="162"/>
      <c r="DG952" s="162"/>
      <c r="DH952" s="230"/>
      <c r="DI952" s="230"/>
      <c r="DJ952" s="162"/>
      <c r="DK952" s="162"/>
      <c r="DL952" s="147"/>
      <c r="DM952" s="147"/>
      <c r="DN952" s="147"/>
      <c r="DO952" s="147"/>
      <c r="DP952" s="147"/>
      <c r="DQ952" s="147"/>
      <c r="DR952" s="147"/>
      <c r="DS952" s="147"/>
      <c r="DT952" s="147"/>
      <c r="DU952" s="147"/>
      <c r="DV952" s="147"/>
      <c r="DW952" s="147"/>
      <c r="DX952" s="147"/>
      <c r="DY952" s="147"/>
      <c r="DZ952" s="147"/>
      <c r="EA952" s="147"/>
      <c r="EB952" s="147"/>
      <c r="EC952" s="147"/>
      <c r="ED952" s="147"/>
      <c r="EE952" s="147"/>
      <c r="EF952" s="147"/>
      <c r="EG952" s="147"/>
      <c r="EH952" s="147"/>
    </row>
    <row r="953" spans="1:138" x14ac:dyDescent="0.25">
      <c r="A953" s="147"/>
      <c r="B953" s="147"/>
      <c r="C953" s="160"/>
      <c r="D953" s="160"/>
      <c r="E953" s="169"/>
      <c r="F953" s="229"/>
      <c r="G953" s="165"/>
      <c r="H953" s="165"/>
      <c r="I953" s="163"/>
      <c r="J953" s="163"/>
      <c r="K953" s="162"/>
      <c r="L953" s="162"/>
      <c r="M953" s="162"/>
      <c r="N953" s="230"/>
      <c r="O953" s="230"/>
      <c r="P953" s="162"/>
      <c r="Q953" s="162"/>
      <c r="R953" s="162"/>
      <c r="S953" s="162"/>
      <c r="T953" s="162"/>
      <c r="U953" s="230"/>
      <c r="V953" s="230"/>
      <c r="W953" s="162"/>
      <c r="X953" s="162"/>
      <c r="Y953" s="162"/>
      <c r="Z953" s="162"/>
      <c r="AA953" s="162"/>
      <c r="AB953" s="230"/>
      <c r="AC953" s="230"/>
      <c r="AD953" s="162"/>
      <c r="AE953" s="162"/>
      <c r="AF953" s="162"/>
      <c r="AG953" s="162"/>
      <c r="AH953" s="162"/>
      <c r="AI953" s="230"/>
      <c r="AJ953" s="230"/>
      <c r="AK953" s="162"/>
      <c r="AL953" s="162"/>
      <c r="AM953" s="162"/>
      <c r="AN953" s="162"/>
      <c r="AO953" s="162"/>
      <c r="AP953" s="230"/>
      <c r="AQ953" s="230"/>
      <c r="AR953" s="162"/>
      <c r="AS953" s="162"/>
      <c r="AT953" s="162"/>
      <c r="AU953" s="162"/>
      <c r="AV953" s="162"/>
      <c r="AW953" s="230"/>
      <c r="AX953" s="230"/>
      <c r="AY953" s="162"/>
      <c r="AZ953" s="162"/>
      <c r="BA953" s="162"/>
      <c r="BB953" s="162"/>
      <c r="BC953" s="162"/>
      <c r="BD953" s="230"/>
      <c r="BE953" s="230"/>
      <c r="BF953" s="162"/>
      <c r="BG953" s="162"/>
      <c r="BH953" s="162"/>
      <c r="BI953" s="162"/>
      <c r="BJ953" s="162"/>
      <c r="BK953" s="230"/>
      <c r="BL953" s="230"/>
      <c r="BM953" s="162"/>
      <c r="BN953" s="162"/>
      <c r="BO953" s="162"/>
      <c r="BP953" s="162"/>
      <c r="BQ953" s="162"/>
      <c r="BR953" s="230"/>
      <c r="BS953" s="230"/>
      <c r="BT953" s="162"/>
      <c r="BU953" s="162"/>
      <c r="BV953" s="162"/>
      <c r="BW953" s="162"/>
      <c r="BX953" s="162"/>
      <c r="BY953" s="230"/>
      <c r="BZ953" s="230"/>
      <c r="CA953" s="162"/>
      <c r="CB953" s="162"/>
      <c r="CC953" s="162"/>
      <c r="CD953" s="162"/>
      <c r="CE953" s="162"/>
      <c r="CF953" s="230"/>
      <c r="CG953" s="230"/>
      <c r="CH953" s="162"/>
      <c r="CI953" s="162"/>
      <c r="CJ953" s="162"/>
      <c r="CK953" s="162"/>
      <c r="CL953" s="162"/>
      <c r="CM953" s="230"/>
      <c r="CN953" s="230"/>
      <c r="CO953" s="162"/>
      <c r="CP953" s="162"/>
      <c r="CQ953" s="162"/>
      <c r="CR953" s="162"/>
      <c r="CS953" s="162"/>
      <c r="CT953" s="230"/>
      <c r="CU953" s="230"/>
      <c r="CV953" s="162"/>
      <c r="CW953" s="162"/>
      <c r="CX953" s="162"/>
      <c r="CY953" s="162"/>
      <c r="CZ953" s="162"/>
      <c r="DA953" s="230"/>
      <c r="DB953" s="230"/>
      <c r="DC953" s="162"/>
      <c r="DD953" s="162"/>
      <c r="DE953" s="162"/>
      <c r="DF953" s="162"/>
      <c r="DG953" s="162"/>
      <c r="DH953" s="230"/>
      <c r="DI953" s="230"/>
      <c r="DJ953" s="162"/>
      <c r="DK953" s="162"/>
      <c r="DL953" s="147"/>
      <c r="DM953" s="147"/>
      <c r="DN953" s="147"/>
      <c r="DO953" s="147"/>
      <c r="DP953" s="147"/>
      <c r="DQ953" s="147"/>
      <c r="DR953" s="147"/>
      <c r="DS953" s="147"/>
      <c r="DT953" s="147"/>
      <c r="DU953" s="147"/>
      <c r="DV953" s="147"/>
      <c r="DW953" s="147"/>
      <c r="DX953" s="147"/>
      <c r="DY953" s="147"/>
      <c r="DZ953" s="147"/>
      <c r="EA953" s="147"/>
      <c r="EB953" s="147"/>
      <c r="EC953" s="147"/>
      <c r="ED953" s="147"/>
      <c r="EE953" s="147"/>
      <c r="EF953" s="147"/>
      <c r="EG953" s="147"/>
      <c r="EH953" s="147"/>
    </row>
    <row r="954" spans="1:138" x14ac:dyDescent="0.25">
      <c r="A954" s="147"/>
      <c r="B954" s="147"/>
      <c r="C954" s="160"/>
      <c r="D954" s="160"/>
      <c r="E954" s="169"/>
      <c r="F954" s="229"/>
      <c r="G954" s="165"/>
      <c r="H954" s="165"/>
      <c r="I954" s="163"/>
      <c r="J954" s="163"/>
      <c r="K954" s="162"/>
      <c r="L954" s="162"/>
      <c r="M954" s="162"/>
      <c r="N954" s="230"/>
      <c r="O954" s="230"/>
      <c r="P954" s="162"/>
      <c r="Q954" s="162"/>
      <c r="R954" s="162"/>
      <c r="S954" s="162"/>
      <c r="T954" s="162"/>
      <c r="U954" s="230"/>
      <c r="V954" s="230"/>
      <c r="W954" s="162"/>
      <c r="X954" s="162"/>
      <c r="Y954" s="162"/>
      <c r="Z954" s="162"/>
      <c r="AA954" s="162"/>
      <c r="AB954" s="230"/>
      <c r="AC954" s="230"/>
      <c r="AD954" s="162"/>
      <c r="AE954" s="162"/>
      <c r="AF954" s="162"/>
      <c r="AG954" s="162"/>
      <c r="AH954" s="162"/>
      <c r="AI954" s="230"/>
      <c r="AJ954" s="230"/>
      <c r="AK954" s="162"/>
      <c r="AL954" s="162"/>
      <c r="AM954" s="162"/>
      <c r="AN954" s="162"/>
      <c r="AO954" s="162"/>
      <c r="AP954" s="230"/>
      <c r="AQ954" s="230"/>
      <c r="AR954" s="162"/>
      <c r="AS954" s="162"/>
      <c r="AT954" s="162"/>
      <c r="AU954" s="162"/>
      <c r="AV954" s="162"/>
      <c r="AW954" s="230"/>
      <c r="AX954" s="230"/>
      <c r="AY954" s="162"/>
      <c r="AZ954" s="162"/>
      <c r="BA954" s="162"/>
      <c r="BB954" s="162"/>
      <c r="BC954" s="162"/>
      <c r="BD954" s="230"/>
      <c r="BE954" s="230"/>
      <c r="BF954" s="162"/>
      <c r="BG954" s="162"/>
      <c r="BH954" s="162"/>
      <c r="BI954" s="162"/>
      <c r="BJ954" s="162"/>
      <c r="BK954" s="230"/>
      <c r="BL954" s="230"/>
      <c r="BM954" s="162"/>
      <c r="BN954" s="162"/>
      <c r="BO954" s="162"/>
      <c r="BP954" s="162"/>
      <c r="BQ954" s="162"/>
      <c r="BR954" s="230"/>
      <c r="BS954" s="230"/>
      <c r="BT954" s="162"/>
      <c r="BU954" s="162"/>
      <c r="BV954" s="162"/>
      <c r="BW954" s="162"/>
      <c r="BX954" s="162"/>
      <c r="BY954" s="230"/>
      <c r="BZ954" s="230"/>
      <c r="CA954" s="162"/>
      <c r="CB954" s="162"/>
      <c r="CC954" s="162"/>
      <c r="CD954" s="162"/>
      <c r="CE954" s="162"/>
      <c r="CF954" s="230"/>
      <c r="CG954" s="230"/>
      <c r="CH954" s="162"/>
      <c r="CI954" s="162"/>
      <c r="CJ954" s="162"/>
      <c r="CK954" s="162"/>
      <c r="CL954" s="162"/>
      <c r="CM954" s="230"/>
      <c r="CN954" s="230"/>
      <c r="CO954" s="162"/>
      <c r="CP954" s="162"/>
      <c r="CQ954" s="162"/>
      <c r="CR954" s="162"/>
      <c r="CS954" s="162"/>
      <c r="CT954" s="230"/>
      <c r="CU954" s="230"/>
      <c r="CV954" s="162"/>
      <c r="CW954" s="162"/>
      <c r="CX954" s="162"/>
      <c r="CY954" s="162"/>
      <c r="CZ954" s="162"/>
      <c r="DA954" s="230"/>
      <c r="DB954" s="230"/>
      <c r="DC954" s="162"/>
      <c r="DD954" s="162"/>
      <c r="DE954" s="162"/>
      <c r="DF954" s="162"/>
      <c r="DG954" s="162"/>
      <c r="DH954" s="230"/>
      <c r="DI954" s="230"/>
      <c r="DJ954" s="162"/>
      <c r="DK954" s="162"/>
      <c r="DL954" s="147"/>
      <c r="DM954" s="147"/>
      <c r="DN954" s="147"/>
      <c r="DO954" s="147"/>
      <c r="DP954" s="147"/>
      <c r="DQ954" s="147"/>
      <c r="DR954" s="147"/>
      <c r="DS954" s="147"/>
      <c r="DT954" s="147"/>
      <c r="DU954" s="147"/>
      <c r="DV954" s="147"/>
      <c r="DW954" s="147"/>
      <c r="DX954" s="147"/>
      <c r="DY954" s="147"/>
      <c r="DZ954" s="147"/>
      <c r="EA954" s="147"/>
      <c r="EB954" s="147"/>
      <c r="EC954" s="147"/>
      <c r="ED954" s="147"/>
      <c r="EE954" s="147"/>
      <c r="EF954" s="147"/>
      <c r="EG954" s="147"/>
      <c r="EH954" s="147"/>
    </row>
    <row r="955" spans="1:138" x14ac:dyDescent="0.25">
      <c r="A955" s="147"/>
      <c r="B955" s="147"/>
      <c r="C955" s="160"/>
      <c r="D955" s="160"/>
      <c r="E955" s="169"/>
      <c r="F955" s="229"/>
      <c r="G955" s="165"/>
      <c r="H955" s="165"/>
      <c r="I955" s="163"/>
      <c r="J955" s="163"/>
      <c r="K955" s="162"/>
      <c r="L955" s="162"/>
      <c r="M955" s="162"/>
      <c r="N955" s="230"/>
      <c r="O955" s="230"/>
      <c r="P955" s="162"/>
      <c r="Q955" s="162"/>
      <c r="R955" s="162"/>
      <c r="S955" s="162"/>
      <c r="T955" s="162"/>
      <c r="U955" s="230"/>
      <c r="V955" s="230"/>
      <c r="W955" s="162"/>
      <c r="X955" s="162"/>
      <c r="Y955" s="162"/>
      <c r="Z955" s="162"/>
      <c r="AA955" s="162"/>
      <c r="AB955" s="230"/>
      <c r="AC955" s="230"/>
      <c r="AD955" s="162"/>
      <c r="AE955" s="162"/>
      <c r="AF955" s="162"/>
      <c r="AG955" s="162"/>
      <c r="AH955" s="162"/>
      <c r="AI955" s="230"/>
      <c r="AJ955" s="230"/>
      <c r="AK955" s="162"/>
      <c r="AL955" s="162"/>
      <c r="AM955" s="162"/>
      <c r="AN955" s="162"/>
      <c r="AO955" s="162"/>
      <c r="AP955" s="230"/>
      <c r="AQ955" s="230"/>
      <c r="AR955" s="162"/>
      <c r="AS955" s="162"/>
      <c r="AT955" s="162"/>
      <c r="AU955" s="162"/>
      <c r="AV955" s="162"/>
      <c r="AW955" s="230"/>
      <c r="AX955" s="230"/>
      <c r="AY955" s="162"/>
      <c r="AZ955" s="162"/>
      <c r="BA955" s="162"/>
      <c r="BB955" s="162"/>
      <c r="BC955" s="162"/>
      <c r="BD955" s="230"/>
      <c r="BE955" s="230"/>
      <c r="BF955" s="162"/>
      <c r="BG955" s="162"/>
      <c r="BH955" s="162"/>
      <c r="BI955" s="162"/>
      <c r="BJ955" s="162"/>
      <c r="BK955" s="230"/>
      <c r="BL955" s="230"/>
      <c r="BM955" s="162"/>
      <c r="BN955" s="162"/>
      <c r="BO955" s="162"/>
      <c r="BP955" s="162"/>
      <c r="BQ955" s="162"/>
      <c r="BR955" s="230"/>
      <c r="BS955" s="230"/>
      <c r="BT955" s="162"/>
      <c r="BU955" s="162"/>
      <c r="BV955" s="162"/>
      <c r="BW955" s="162"/>
      <c r="BX955" s="162"/>
      <c r="BY955" s="230"/>
      <c r="BZ955" s="230"/>
      <c r="CA955" s="162"/>
      <c r="CB955" s="162"/>
      <c r="CC955" s="162"/>
      <c r="CD955" s="162"/>
      <c r="CE955" s="162"/>
      <c r="CF955" s="230"/>
      <c r="CG955" s="230"/>
      <c r="CH955" s="162"/>
      <c r="CI955" s="162"/>
      <c r="CJ955" s="162"/>
      <c r="CK955" s="162"/>
      <c r="CL955" s="162"/>
      <c r="CM955" s="230"/>
      <c r="CN955" s="230"/>
      <c r="CO955" s="162"/>
      <c r="CP955" s="162"/>
      <c r="CQ955" s="162"/>
      <c r="CR955" s="162"/>
      <c r="CS955" s="162"/>
      <c r="CT955" s="230"/>
      <c r="CU955" s="230"/>
      <c r="CV955" s="162"/>
      <c r="CW955" s="162"/>
      <c r="CX955" s="162"/>
      <c r="CY955" s="162"/>
      <c r="CZ955" s="162"/>
      <c r="DA955" s="230"/>
      <c r="DB955" s="230"/>
      <c r="DC955" s="162"/>
      <c r="DD955" s="162"/>
      <c r="DE955" s="162"/>
      <c r="DF955" s="162"/>
      <c r="DG955" s="162"/>
      <c r="DH955" s="230"/>
      <c r="DI955" s="230"/>
      <c r="DJ955" s="162"/>
      <c r="DK955" s="162"/>
      <c r="DL955" s="147"/>
      <c r="DM955" s="147"/>
      <c r="DN955" s="147"/>
      <c r="DO955" s="147"/>
      <c r="DP955" s="147"/>
      <c r="DQ955" s="147"/>
      <c r="DR955" s="147"/>
      <c r="DS955" s="147"/>
      <c r="DT955" s="147"/>
      <c r="DU955" s="147"/>
      <c r="DV955" s="147"/>
      <c r="DW955" s="147"/>
      <c r="DX955" s="147"/>
      <c r="DY955" s="147"/>
      <c r="DZ955" s="147"/>
      <c r="EA955" s="147"/>
      <c r="EB955" s="147"/>
      <c r="EC955" s="147"/>
      <c r="ED955" s="147"/>
      <c r="EE955" s="147"/>
      <c r="EF955" s="147"/>
      <c r="EG955" s="147"/>
      <c r="EH955" s="147"/>
    </row>
    <row r="956" spans="1:138" x14ac:dyDescent="0.25">
      <c r="A956" s="147"/>
      <c r="B956" s="147"/>
      <c r="C956" s="160"/>
      <c r="D956" s="160"/>
      <c r="E956" s="169"/>
      <c r="F956" s="229"/>
      <c r="G956" s="165"/>
      <c r="H956" s="165"/>
      <c r="I956" s="163"/>
      <c r="J956" s="163"/>
      <c r="K956" s="162"/>
      <c r="L956" s="162"/>
      <c r="M956" s="162"/>
      <c r="N956" s="230"/>
      <c r="O956" s="230"/>
      <c r="P956" s="162"/>
      <c r="Q956" s="162"/>
      <c r="R956" s="162"/>
      <c r="S956" s="162"/>
      <c r="T956" s="162"/>
      <c r="U956" s="230"/>
      <c r="V956" s="230"/>
      <c r="W956" s="162"/>
      <c r="X956" s="162"/>
      <c r="Y956" s="162"/>
      <c r="Z956" s="162"/>
      <c r="AA956" s="162"/>
      <c r="AB956" s="230"/>
      <c r="AC956" s="230"/>
      <c r="AD956" s="162"/>
      <c r="AE956" s="162"/>
      <c r="AF956" s="162"/>
      <c r="AG956" s="162"/>
      <c r="AH956" s="162"/>
      <c r="AI956" s="230"/>
      <c r="AJ956" s="230"/>
      <c r="AK956" s="162"/>
      <c r="AL956" s="162"/>
      <c r="AM956" s="162"/>
      <c r="AN956" s="162"/>
      <c r="AO956" s="162"/>
      <c r="AP956" s="230"/>
      <c r="AQ956" s="230"/>
      <c r="AR956" s="162"/>
      <c r="AS956" s="162"/>
      <c r="AT956" s="162"/>
      <c r="AU956" s="162"/>
      <c r="AV956" s="162"/>
      <c r="AW956" s="230"/>
      <c r="AX956" s="230"/>
      <c r="AY956" s="162"/>
      <c r="AZ956" s="162"/>
      <c r="BA956" s="162"/>
      <c r="BB956" s="162"/>
      <c r="BC956" s="162"/>
      <c r="BD956" s="230"/>
      <c r="BE956" s="230"/>
      <c r="BF956" s="162"/>
      <c r="BG956" s="162"/>
      <c r="BH956" s="162"/>
      <c r="BI956" s="162"/>
      <c r="BJ956" s="162"/>
      <c r="BK956" s="230"/>
      <c r="BL956" s="230"/>
      <c r="BM956" s="162"/>
      <c r="BN956" s="162"/>
      <c r="BO956" s="162"/>
      <c r="BP956" s="162"/>
      <c r="BQ956" s="162"/>
      <c r="BR956" s="230"/>
      <c r="BS956" s="230"/>
      <c r="BT956" s="162"/>
      <c r="BU956" s="162"/>
      <c r="BV956" s="162"/>
      <c r="BW956" s="162"/>
      <c r="BX956" s="162"/>
      <c r="BY956" s="230"/>
      <c r="BZ956" s="230"/>
      <c r="CA956" s="162"/>
      <c r="CB956" s="162"/>
      <c r="CC956" s="162"/>
      <c r="CD956" s="162"/>
      <c r="CE956" s="162"/>
      <c r="CF956" s="230"/>
      <c r="CG956" s="230"/>
      <c r="CH956" s="162"/>
      <c r="CI956" s="162"/>
      <c r="CJ956" s="162"/>
      <c r="CK956" s="162"/>
      <c r="CL956" s="162"/>
      <c r="CM956" s="230"/>
      <c r="CN956" s="230"/>
      <c r="CO956" s="162"/>
      <c r="CP956" s="162"/>
      <c r="CQ956" s="162"/>
      <c r="CR956" s="162"/>
      <c r="CS956" s="162"/>
      <c r="CT956" s="230"/>
      <c r="CU956" s="230"/>
      <c r="CV956" s="162"/>
      <c r="CW956" s="162"/>
      <c r="CX956" s="162"/>
      <c r="CY956" s="162"/>
      <c r="CZ956" s="162"/>
      <c r="DA956" s="230"/>
      <c r="DB956" s="230"/>
      <c r="DC956" s="162"/>
      <c r="DD956" s="162"/>
      <c r="DE956" s="162"/>
      <c r="DF956" s="162"/>
      <c r="DG956" s="162"/>
      <c r="DH956" s="230"/>
      <c r="DI956" s="230"/>
      <c r="DJ956" s="162"/>
      <c r="DK956" s="162"/>
      <c r="DL956" s="147"/>
      <c r="DM956" s="147"/>
      <c r="DN956" s="147"/>
      <c r="DO956" s="147"/>
      <c r="DP956" s="147"/>
      <c r="DQ956" s="147"/>
      <c r="DR956" s="147"/>
      <c r="DS956" s="147"/>
      <c r="DT956" s="147"/>
      <c r="DU956" s="147"/>
      <c r="DV956" s="147"/>
      <c r="DW956" s="147"/>
      <c r="DX956" s="147"/>
      <c r="DY956" s="147"/>
      <c r="DZ956" s="147"/>
      <c r="EA956" s="147"/>
      <c r="EB956" s="147"/>
      <c r="EC956" s="147"/>
      <c r="ED956" s="147"/>
      <c r="EE956" s="147"/>
      <c r="EF956" s="147"/>
      <c r="EG956" s="147"/>
      <c r="EH956" s="147"/>
    </row>
    <row r="957" spans="1:138" x14ac:dyDescent="0.25">
      <c r="A957" s="147"/>
      <c r="B957" s="147"/>
      <c r="C957" s="160"/>
      <c r="D957" s="160"/>
      <c r="E957" s="169"/>
      <c r="F957" s="229"/>
      <c r="G957" s="165"/>
      <c r="H957" s="165"/>
      <c r="I957" s="163"/>
      <c r="J957" s="163"/>
      <c r="K957" s="162"/>
      <c r="L957" s="162"/>
      <c r="M957" s="162"/>
      <c r="N957" s="230"/>
      <c r="O957" s="230"/>
      <c r="P957" s="162"/>
      <c r="Q957" s="162"/>
      <c r="R957" s="162"/>
      <c r="S957" s="162"/>
      <c r="T957" s="162"/>
      <c r="U957" s="230"/>
      <c r="V957" s="230"/>
      <c r="W957" s="162"/>
      <c r="X957" s="162"/>
      <c r="Y957" s="162"/>
      <c r="Z957" s="162"/>
      <c r="AA957" s="162"/>
      <c r="AB957" s="230"/>
      <c r="AC957" s="230"/>
      <c r="AD957" s="162"/>
      <c r="AE957" s="162"/>
      <c r="AF957" s="162"/>
      <c r="AG957" s="162"/>
      <c r="AH957" s="162"/>
      <c r="AI957" s="230"/>
      <c r="AJ957" s="230"/>
      <c r="AK957" s="162"/>
      <c r="AL957" s="162"/>
      <c r="AM957" s="162"/>
      <c r="AN957" s="162"/>
      <c r="AO957" s="162"/>
      <c r="AP957" s="230"/>
      <c r="AQ957" s="230"/>
      <c r="AR957" s="162"/>
      <c r="AS957" s="162"/>
      <c r="AT957" s="162"/>
      <c r="AU957" s="162"/>
      <c r="AV957" s="162"/>
      <c r="AW957" s="230"/>
      <c r="AX957" s="230"/>
      <c r="AY957" s="162"/>
      <c r="AZ957" s="162"/>
      <c r="BA957" s="162"/>
      <c r="BB957" s="162"/>
      <c r="BC957" s="162"/>
      <c r="BD957" s="230"/>
      <c r="BE957" s="230"/>
      <c r="BF957" s="162"/>
      <c r="BG957" s="162"/>
      <c r="BH957" s="162"/>
      <c r="BI957" s="162"/>
      <c r="BJ957" s="162"/>
      <c r="BK957" s="230"/>
      <c r="BL957" s="230"/>
      <c r="BM957" s="162"/>
      <c r="BN957" s="162"/>
      <c r="BO957" s="162"/>
      <c r="BP957" s="162"/>
      <c r="BQ957" s="162"/>
      <c r="BR957" s="230"/>
      <c r="BS957" s="230"/>
      <c r="BT957" s="162"/>
      <c r="BU957" s="162"/>
      <c r="BV957" s="162"/>
      <c r="BW957" s="162"/>
      <c r="BX957" s="162"/>
      <c r="BY957" s="230"/>
      <c r="BZ957" s="230"/>
      <c r="CA957" s="162"/>
      <c r="CB957" s="162"/>
      <c r="CC957" s="162"/>
      <c r="CD957" s="162"/>
      <c r="CE957" s="162"/>
      <c r="CF957" s="230"/>
      <c r="CG957" s="230"/>
      <c r="CH957" s="162"/>
      <c r="CI957" s="162"/>
      <c r="CJ957" s="162"/>
      <c r="CK957" s="162"/>
      <c r="CL957" s="162"/>
      <c r="CM957" s="230"/>
      <c r="CN957" s="230"/>
      <c r="CO957" s="162"/>
      <c r="CP957" s="162"/>
      <c r="CQ957" s="162"/>
      <c r="CR957" s="162"/>
      <c r="CS957" s="162"/>
      <c r="CT957" s="230"/>
      <c r="CU957" s="230"/>
      <c r="CV957" s="162"/>
      <c r="CW957" s="162"/>
      <c r="CX957" s="162"/>
      <c r="CY957" s="162"/>
      <c r="CZ957" s="162"/>
      <c r="DA957" s="230"/>
      <c r="DB957" s="230"/>
      <c r="DC957" s="162"/>
      <c r="DD957" s="162"/>
      <c r="DE957" s="162"/>
      <c r="DF957" s="162"/>
      <c r="DG957" s="162"/>
      <c r="DH957" s="230"/>
      <c r="DI957" s="230"/>
      <c r="DJ957" s="162"/>
      <c r="DK957" s="162"/>
      <c r="DL957" s="147"/>
      <c r="DM957" s="147"/>
      <c r="DN957" s="147"/>
      <c r="DO957" s="147"/>
      <c r="DP957" s="147"/>
      <c r="DQ957" s="147"/>
      <c r="DR957" s="147"/>
      <c r="DS957" s="147"/>
      <c r="DT957" s="147"/>
      <c r="DU957" s="147"/>
      <c r="DV957" s="147"/>
      <c r="DW957" s="147"/>
      <c r="DX957" s="147"/>
      <c r="DY957" s="147"/>
      <c r="DZ957" s="147"/>
      <c r="EA957" s="147"/>
      <c r="EB957" s="147"/>
      <c r="EC957" s="147"/>
      <c r="ED957" s="147"/>
      <c r="EE957" s="147"/>
      <c r="EF957" s="147"/>
      <c r="EG957" s="147"/>
      <c r="EH957" s="147"/>
    </row>
    <row r="958" spans="1:138" x14ac:dyDescent="0.25">
      <c r="A958" s="147"/>
      <c r="B958" s="147"/>
      <c r="C958" s="160"/>
      <c r="D958" s="160"/>
      <c r="E958" s="169"/>
      <c r="F958" s="229"/>
      <c r="G958" s="165"/>
      <c r="H958" s="165"/>
      <c r="I958" s="163"/>
      <c r="J958" s="163"/>
      <c r="K958" s="162"/>
      <c r="L958" s="162"/>
      <c r="M958" s="162"/>
      <c r="N958" s="230"/>
      <c r="O958" s="230"/>
      <c r="P958" s="162"/>
      <c r="Q958" s="162"/>
      <c r="R958" s="162"/>
      <c r="S958" s="162"/>
      <c r="T958" s="162"/>
      <c r="U958" s="230"/>
      <c r="V958" s="230"/>
      <c r="W958" s="162"/>
      <c r="X958" s="162"/>
      <c r="Y958" s="162"/>
      <c r="Z958" s="162"/>
      <c r="AA958" s="162"/>
      <c r="AB958" s="230"/>
      <c r="AC958" s="230"/>
      <c r="AD958" s="162"/>
      <c r="AE958" s="162"/>
      <c r="AF958" s="162"/>
      <c r="AG958" s="162"/>
      <c r="AH958" s="162"/>
      <c r="AI958" s="230"/>
      <c r="AJ958" s="230"/>
      <c r="AK958" s="162"/>
      <c r="AL958" s="162"/>
      <c r="AM958" s="162"/>
      <c r="AN958" s="162"/>
      <c r="AO958" s="162"/>
      <c r="AP958" s="230"/>
      <c r="AQ958" s="230"/>
      <c r="AR958" s="162"/>
      <c r="AS958" s="162"/>
      <c r="AT958" s="162"/>
      <c r="AU958" s="162"/>
      <c r="AV958" s="162"/>
      <c r="AW958" s="230"/>
      <c r="AX958" s="230"/>
      <c r="AY958" s="162"/>
      <c r="AZ958" s="162"/>
      <c r="BA958" s="162"/>
      <c r="BB958" s="162"/>
      <c r="BC958" s="162"/>
      <c r="BD958" s="230"/>
      <c r="BE958" s="230"/>
      <c r="BF958" s="162"/>
      <c r="BG958" s="162"/>
      <c r="BH958" s="162"/>
      <c r="BI958" s="162"/>
      <c r="BJ958" s="162"/>
      <c r="BK958" s="230"/>
      <c r="BL958" s="230"/>
      <c r="BM958" s="162"/>
      <c r="BN958" s="162"/>
      <c r="BO958" s="162"/>
      <c r="BP958" s="162"/>
      <c r="BQ958" s="162"/>
      <c r="BR958" s="230"/>
      <c r="BS958" s="230"/>
      <c r="BT958" s="162"/>
      <c r="BU958" s="162"/>
      <c r="BV958" s="162"/>
      <c r="BW958" s="162"/>
      <c r="BX958" s="162"/>
      <c r="BY958" s="230"/>
      <c r="BZ958" s="230"/>
      <c r="CA958" s="162"/>
      <c r="CB958" s="162"/>
      <c r="CC958" s="162"/>
      <c r="CD958" s="162"/>
      <c r="CE958" s="162"/>
      <c r="CF958" s="230"/>
      <c r="CG958" s="230"/>
      <c r="CH958" s="162"/>
      <c r="CI958" s="162"/>
      <c r="CJ958" s="162"/>
      <c r="CK958" s="162"/>
      <c r="CL958" s="162"/>
      <c r="CM958" s="230"/>
      <c r="CN958" s="230"/>
      <c r="CO958" s="162"/>
      <c r="CP958" s="162"/>
      <c r="CQ958" s="162"/>
      <c r="CR958" s="162"/>
      <c r="CS958" s="162"/>
      <c r="CT958" s="230"/>
      <c r="CU958" s="230"/>
      <c r="CV958" s="162"/>
      <c r="CW958" s="162"/>
      <c r="CX958" s="162"/>
      <c r="CY958" s="162"/>
      <c r="CZ958" s="162"/>
      <c r="DA958" s="230"/>
      <c r="DB958" s="230"/>
      <c r="DC958" s="162"/>
      <c r="DD958" s="162"/>
      <c r="DE958" s="162"/>
      <c r="DF958" s="162"/>
      <c r="DG958" s="162"/>
      <c r="DH958" s="230"/>
      <c r="DI958" s="230"/>
      <c r="DJ958" s="162"/>
      <c r="DK958" s="162"/>
      <c r="DL958" s="147"/>
      <c r="DM958" s="147"/>
      <c r="DN958" s="147"/>
      <c r="DO958" s="147"/>
      <c r="DP958" s="147"/>
      <c r="DQ958" s="147"/>
      <c r="DR958" s="147"/>
      <c r="DS958" s="147"/>
      <c r="DT958" s="147"/>
      <c r="DU958" s="147"/>
      <c r="DV958" s="147"/>
      <c r="DW958" s="147"/>
      <c r="DX958" s="147"/>
      <c r="DY958" s="147"/>
      <c r="DZ958" s="147"/>
      <c r="EA958" s="147"/>
      <c r="EB958" s="147"/>
      <c r="EC958" s="147"/>
      <c r="ED958" s="147"/>
      <c r="EE958" s="147"/>
      <c r="EF958" s="147"/>
      <c r="EG958" s="147"/>
      <c r="EH958" s="147"/>
    </row>
    <row r="959" spans="1:138" x14ac:dyDescent="0.25">
      <c r="A959" s="147"/>
      <c r="B959" s="147"/>
      <c r="C959" s="160"/>
      <c r="D959" s="160"/>
      <c r="E959" s="169"/>
      <c r="F959" s="229"/>
      <c r="G959" s="165"/>
      <c r="H959" s="165"/>
      <c r="I959" s="163"/>
      <c r="J959" s="163"/>
      <c r="K959" s="162"/>
      <c r="L959" s="162"/>
      <c r="M959" s="162"/>
      <c r="N959" s="230"/>
      <c r="O959" s="230"/>
      <c r="P959" s="162"/>
      <c r="Q959" s="162"/>
      <c r="R959" s="162"/>
      <c r="S959" s="162"/>
      <c r="T959" s="162"/>
      <c r="U959" s="230"/>
      <c r="V959" s="230"/>
      <c r="W959" s="162"/>
      <c r="X959" s="162"/>
      <c r="Y959" s="162"/>
      <c r="Z959" s="162"/>
      <c r="AA959" s="162"/>
      <c r="AB959" s="230"/>
      <c r="AC959" s="230"/>
      <c r="AD959" s="162"/>
      <c r="AE959" s="162"/>
      <c r="AF959" s="162"/>
      <c r="AG959" s="162"/>
      <c r="AH959" s="162"/>
      <c r="AI959" s="230"/>
      <c r="AJ959" s="230"/>
      <c r="AK959" s="162"/>
      <c r="AL959" s="162"/>
      <c r="AM959" s="162"/>
      <c r="AN959" s="162"/>
      <c r="AO959" s="162"/>
      <c r="AP959" s="230"/>
      <c r="AQ959" s="230"/>
      <c r="AR959" s="162"/>
      <c r="AS959" s="162"/>
      <c r="AT959" s="162"/>
      <c r="AU959" s="162"/>
      <c r="AV959" s="162"/>
      <c r="AW959" s="230"/>
      <c r="AX959" s="230"/>
      <c r="AY959" s="162"/>
      <c r="AZ959" s="162"/>
      <c r="BA959" s="162"/>
      <c r="BB959" s="162"/>
      <c r="BC959" s="162"/>
      <c r="BD959" s="230"/>
      <c r="BE959" s="230"/>
      <c r="BF959" s="162"/>
      <c r="BG959" s="162"/>
      <c r="BH959" s="162"/>
      <c r="BI959" s="162"/>
      <c r="BJ959" s="162"/>
      <c r="BK959" s="230"/>
      <c r="BL959" s="230"/>
      <c r="BM959" s="162"/>
      <c r="BN959" s="162"/>
      <c r="BO959" s="162"/>
      <c r="BP959" s="162"/>
      <c r="BQ959" s="162"/>
      <c r="BR959" s="230"/>
      <c r="BS959" s="230"/>
      <c r="BT959" s="162"/>
      <c r="BU959" s="162"/>
      <c r="BV959" s="162"/>
      <c r="BW959" s="162"/>
      <c r="BX959" s="162"/>
      <c r="BY959" s="230"/>
      <c r="BZ959" s="230"/>
      <c r="CA959" s="162"/>
      <c r="CB959" s="162"/>
      <c r="CC959" s="162"/>
      <c r="CD959" s="162"/>
      <c r="CE959" s="162"/>
      <c r="CF959" s="230"/>
      <c r="CG959" s="230"/>
      <c r="CH959" s="162"/>
      <c r="CI959" s="162"/>
      <c r="CJ959" s="162"/>
      <c r="CK959" s="162"/>
      <c r="CL959" s="162"/>
      <c r="CM959" s="230"/>
      <c r="CN959" s="230"/>
      <c r="CO959" s="162"/>
      <c r="CP959" s="162"/>
      <c r="CQ959" s="162"/>
      <c r="CR959" s="162"/>
      <c r="CS959" s="162"/>
      <c r="CT959" s="230"/>
      <c r="CU959" s="230"/>
      <c r="CV959" s="162"/>
      <c r="CW959" s="162"/>
      <c r="CX959" s="162"/>
      <c r="CY959" s="162"/>
      <c r="CZ959" s="162"/>
      <c r="DA959" s="230"/>
      <c r="DB959" s="230"/>
      <c r="DC959" s="162"/>
      <c r="DD959" s="162"/>
      <c r="DE959" s="162"/>
      <c r="DF959" s="162"/>
      <c r="DG959" s="162"/>
      <c r="DH959" s="230"/>
      <c r="DI959" s="230"/>
      <c r="DJ959" s="162"/>
      <c r="DK959" s="162"/>
      <c r="DL959" s="147"/>
      <c r="DM959" s="147"/>
      <c r="DN959" s="147"/>
      <c r="DO959" s="147"/>
      <c r="DP959" s="147"/>
      <c r="DQ959" s="147"/>
      <c r="DR959" s="147"/>
      <c r="DS959" s="147"/>
      <c r="DT959" s="147"/>
      <c r="DU959" s="147"/>
      <c r="DV959" s="147"/>
      <c r="DW959" s="147"/>
      <c r="DX959" s="147"/>
      <c r="DY959" s="147"/>
      <c r="DZ959" s="147"/>
      <c r="EA959" s="147"/>
      <c r="EB959" s="147"/>
      <c r="EC959" s="147"/>
      <c r="ED959" s="147"/>
      <c r="EE959" s="147"/>
      <c r="EF959" s="147"/>
      <c r="EG959" s="147"/>
      <c r="EH959" s="147"/>
    </row>
    <row r="960" spans="1:138" x14ac:dyDescent="0.25">
      <c r="A960" s="147"/>
      <c r="B960" s="147"/>
      <c r="C960" s="160"/>
      <c r="D960" s="160"/>
      <c r="E960" s="169"/>
      <c r="F960" s="229"/>
      <c r="G960" s="165"/>
      <c r="H960" s="165"/>
      <c r="I960" s="163"/>
      <c r="J960" s="163"/>
      <c r="K960" s="162"/>
      <c r="L960" s="162"/>
      <c r="M960" s="162"/>
      <c r="N960" s="230"/>
      <c r="O960" s="230"/>
      <c r="P960" s="162"/>
      <c r="Q960" s="162"/>
      <c r="R960" s="162"/>
      <c r="S960" s="162"/>
      <c r="T960" s="162"/>
      <c r="U960" s="230"/>
      <c r="V960" s="230"/>
      <c r="W960" s="162"/>
      <c r="X960" s="162"/>
      <c r="Y960" s="162"/>
      <c r="Z960" s="162"/>
      <c r="AA960" s="162"/>
      <c r="AB960" s="230"/>
      <c r="AC960" s="230"/>
      <c r="AD960" s="162"/>
      <c r="AE960" s="162"/>
      <c r="AF960" s="162"/>
      <c r="AG960" s="162"/>
      <c r="AH960" s="162"/>
      <c r="AI960" s="230"/>
      <c r="AJ960" s="230"/>
      <c r="AK960" s="162"/>
      <c r="AL960" s="162"/>
      <c r="AM960" s="162"/>
      <c r="AN960" s="162"/>
      <c r="AO960" s="162"/>
      <c r="AP960" s="230"/>
      <c r="AQ960" s="230"/>
      <c r="AR960" s="162"/>
      <c r="AS960" s="162"/>
      <c r="AT960" s="162"/>
      <c r="AU960" s="162"/>
      <c r="AV960" s="162"/>
      <c r="AW960" s="230"/>
      <c r="AX960" s="230"/>
      <c r="AY960" s="162"/>
      <c r="AZ960" s="162"/>
      <c r="BA960" s="162"/>
      <c r="BB960" s="162"/>
      <c r="BC960" s="162"/>
      <c r="BD960" s="230"/>
      <c r="BE960" s="230"/>
      <c r="BF960" s="162"/>
      <c r="BG960" s="162"/>
      <c r="BH960" s="162"/>
      <c r="BI960" s="162"/>
      <c r="BJ960" s="162"/>
      <c r="BK960" s="230"/>
      <c r="BL960" s="230"/>
      <c r="BM960" s="162"/>
      <c r="BN960" s="162"/>
      <c r="BO960" s="162"/>
      <c r="BP960" s="162"/>
      <c r="BQ960" s="162"/>
      <c r="BR960" s="230"/>
      <c r="BS960" s="230"/>
      <c r="BT960" s="162"/>
      <c r="BU960" s="162"/>
      <c r="BV960" s="162"/>
      <c r="BW960" s="162"/>
      <c r="BX960" s="162"/>
      <c r="BY960" s="230"/>
      <c r="BZ960" s="230"/>
      <c r="CA960" s="162"/>
      <c r="CB960" s="162"/>
      <c r="CC960" s="162"/>
      <c r="CD960" s="162"/>
      <c r="CE960" s="162"/>
      <c r="CF960" s="230"/>
      <c r="CG960" s="230"/>
      <c r="CH960" s="162"/>
      <c r="CI960" s="162"/>
      <c r="CJ960" s="162"/>
      <c r="CK960" s="162"/>
      <c r="CL960" s="162"/>
      <c r="CM960" s="230"/>
      <c r="CN960" s="230"/>
      <c r="CO960" s="162"/>
      <c r="CP960" s="162"/>
      <c r="CQ960" s="162"/>
      <c r="CR960" s="162"/>
      <c r="CS960" s="162"/>
      <c r="CT960" s="230"/>
      <c r="CU960" s="230"/>
      <c r="CV960" s="162"/>
      <c r="CW960" s="162"/>
      <c r="CX960" s="162"/>
      <c r="CY960" s="162"/>
      <c r="CZ960" s="162"/>
      <c r="DA960" s="230"/>
      <c r="DB960" s="230"/>
      <c r="DC960" s="162"/>
      <c r="DD960" s="162"/>
      <c r="DE960" s="162"/>
      <c r="DF960" s="162"/>
      <c r="DG960" s="162"/>
      <c r="DH960" s="230"/>
      <c r="DI960" s="230"/>
      <c r="DJ960" s="162"/>
      <c r="DK960" s="162"/>
      <c r="DL960" s="147"/>
      <c r="DM960" s="147"/>
      <c r="DN960" s="147"/>
      <c r="DO960" s="147"/>
      <c r="DP960" s="147"/>
      <c r="DQ960" s="147"/>
      <c r="DR960" s="147"/>
      <c r="DS960" s="147"/>
      <c r="DT960" s="147"/>
      <c r="DU960" s="147"/>
      <c r="DV960" s="147"/>
      <c r="DW960" s="147"/>
      <c r="DX960" s="147"/>
      <c r="DY960" s="147"/>
      <c r="DZ960" s="147"/>
      <c r="EA960" s="147"/>
      <c r="EB960" s="147"/>
      <c r="EC960" s="147"/>
      <c r="ED960" s="147"/>
      <c r="EE960" s="147"/>
      <c r="EF960" s="147"/>
      <c r="EG960" s="147"/>
      <c r="EH960" s="147"/>
    </row>
    <row r="961" spans="1:138" x14ac:dyDescent="0.25">
      <c r="A961" s="147"/>
      <c r="B961" s="147"/>
      <c r="C961" s="160"/>
      <c r="D961" s="160"/>
      <c r="E961" s="169"/>
      <c r="F961" s="229"/>
      <c r="G961" s="165"/>
      <c r="H961" s="165"/>
      <c r="I961" s="163"/>
      <c r="J961" s="163"/>
      <c r="K961" s="162"/>
      <c r="L961" s="162"/>
      <c r="M961" s="162"/>
      <c r="N961" s="230"/>
      <c r="O961" s="230"/>
      <c r="P961" s="162"/>
      <c r="Q961" s="162"/>
      <c r="R961" s="162"/>
      <c r="S961" s="162"/>
      <c r="T961" s="162"/>
      <c r="U961" s="230"/>
      <c r="V961" s="230"/>
      <c r="W961" s="162"/>
      <c r="X961" s="162"/>
      <c r="Y961" s="162"/>
      <c r="Z961" s="162"/>
      <c r="AA961" s="162"/>
      <c r="AB961" s="230"/>
      <c r="AC961" s="230"/>
      <c r="AD961" s="162"/>
      <c r="AE961" s="162"/>
      <c r="AF961" s="162"/>
      <c r="AG961" s="162"/>
      <c r="AH961" s="162"/>
      <c r="AI961" s="230"/>
      <c r="AJ961" s="230"/>
      <c r="AK961" s="162"/>
      <c r="AL961" s="162"/>
      <c r="AM961" s="162"/>
      <c r="AN961" s="162"/>
      <c r="AO961" s="162"/>
      <c r="AP961" s="230"/>
      <c r="AQ961" s="230"/>
      <c r="AR961" s="162"/>
      <c r="AS961" s="162"/>
      <c r="AT961" s="162"/>
      <c r="AU961" s="162"/>
      <c r="AV961" s="162"/>
      <c r="AW961" s="230"/>
      <c r="AX961" s="230"/>
      <c r="AY961" s="162"/>
      <c r="AZ961" s="162"/>
      <c r="BA961" s="162"/>
      <c r="BB961" s="162"/>
      <c r="BC961" s="162"/>
      <c r="BD961" s="230"/>
      <c r="BE961" s="230"/>
      <c r="BF961" s="162"/>
      <c r="BG961" s="162"/>
      <c r="BH961" s="162"/>
      <c r="BI961" s="162"/>
      <c r="BJ961" s="162"/>
      <c r="BK961" s="230"/>
      <c r="BL961" s="230"/>
      <c r="BM961" s="162"/>
      <c r="BN961" s="162"/>
      <c r="BO961" s="162"/>
      <c r="BP961" s="162"/>
      <c r="BQ961" s="162"/>
      <c r="BR961" s="230"/>
      <c r="BS961" s="230"/>
      <c r="BT961" s="162"/>
      <c r="BU961" s="162"/>
      <c r="BV961" s="162"/>
      <c r="BW961" s="162"/>
      <c r="BX961" s="162"/>
      <c r="BY961" s="230"/>
      <c r="BZ961" s="230"/>
      <c r="CA961" s="162"/>
      <c r="CB961" s="162"/>
      <c r="CC961" s="162"/>
      <c r="CD961" s="162"/>
      <c r="CE961" s="162"/>
      <c r="CF961" s="230"/>
      <c r="CG961" s="230"/>
      <c r="CH961" s="162"/>
      <c r="CI961" s="162"/>
      <c r="CJ961" s="162"/>
      <c r="CK961" s="162"/>
      <c r="CL961" s="162"/>
      <c r="CM961" s="230"/>
      <c r="CN961" s="230"/>
      <c r="CO961" s="162"/>
      <c r="CP961" s="162"/>
      <c r="CQ961" s="162"/>
      <c r="CR961" s="162"/>
      <c r="CS961" s="162"/>
      <c r="CT961" s="230"/>
      <c r="CU961" s="230"/>
      <c r="CV961" s="162"/>
      <c r="CW961" s="162"/>
      <c r="CX961" s="162"/>
      <c r="CY961" s="162"/>
      <c r="CZ961" s="162"/>
      <c r="DA961" s="230"/>
      <c r="DB961" s="230"/>
      <c r="DC961" s="162"/>
      <c r="DD961" s="162"/>
      <c r="DE961" s="162"/>
      <c r="DF961" s="162"/>
      <c r="DG961" s="162"/>
      <c r="DH961" s="230"/>
      <c r="DI961" s="230"/>
      <c r="DJ961" s="162"/>
      <c r="DK961" s="162"/>
      <c r="DL961" s="147"/>
      <c r="DM961" s="147"/>
      <c r="DN961" s="147"/>
      <c r="DO961" s="147"/>
      <c r="DP961" s="147"/>
      <c r="DQ961" s="147"/>
      <c r="DR961" s="147"/>
      <c r="DS961" s="147"/>
      <c r="DT961" s="147"/>
      <c r="DU961" s="147"/>
      <c r="DV961" s="147"/>
      <c r="DW961" s="147"/>
      <c r="DX961" s="147"/>
      <c r="DY961" s="147"/>
      <c r="DZ961" s="147"/>
      <c r="EA961" s="147"/>
      <c r="EB961" s="147"/>
      <c r="EC961" s="147"/>
      <c r="ED961" s="147"/>
      <c r="EE961" s="147"/>
      <c r="EF961" s="147"/>
      <c r="EG961" s="147"/>
      <c r="EH961" s="147"/>
    </row>
    <row r="962" spans="1:138" x14ac:dyDescent="0.25">
      <c r="A962" s="147"/>
      <c r="B962" s="147"/>
      <c r="C962" s="160"/>
      <c r="D962" s="160"/>
      <c r="E962" s="169"/>
      <c r="F962" s="229"/>
      <c r="G962" s="165"/>
      <c r="H962" s="165"/>
      <c r="I962" s="163"/>
      <c r="J962" s="163"/>
      <c r="K962" s="162"/>
      <c r="L962" s="162"/>
      <c r="M962" s="162"/>
      <c r="N962" s="230"/>
      <c r="O962" s="230"/>
      <c r="P962" s="162"/>
      <c r="Q962" s="162"/>
      <c r="R962" s="162"/>
      <c r="S962" s="162"/>
      <c r="T962" s="162"/>
      <c r="U962" s="230"/>
      <c r="V962" s="230"/>
      <c r="W962" s="162"/>
      <c r="X962" s="162"/>
      <c r="Y962" s="162"/>
      <c r="Z962" s="162"/>
      <c r="AA962" s="162"/>
      <c r="AB962" s="230"/>
      <c r="AC962" s="230"/>
      <c r="AD962" s="162"/>
      <c r="AE962" s="162"/>
      <c r="AF962" s="162"/>
      <c r="AG962" s="162"/>
      <c r="AH962" s="162"/>
      <c r="AI962" s="230"/>
      <c r="AJ962" s="230"/>
      <c r="AK962" s="162"/>
      <c r="AL962" s="162"/>
      <c r="AM962" s="162"/>
      <c r="AN962" s="162"/>
      <c r="AO962" s="162"/>
      <c r="AP962" s="230"/>
      <c r="AQ962" s="230"/>
      <c r="AR962" s="162"/>
      <c r="AS962" s="162"/>
      <c r="AT962" s="162"/>
      <c r="AU962" s="162"/>
      <c r="AV962" s="162"/>
      <c r="AW962" s="230"/>
      <c r="AX962" s="230"/>
      <c r="AY962" s="162"/>
      <c r="AZ962" s="162"/>
      <c r="BA962" s="162"/>
      <c r="BB962" s="162"/>
      <c r="BC962" s="162"/>
      <c r="BD962" s="230"/>
      <c r="BE962" s="230"/>
      <c r="BF962" s="162"/>
      <c r="BG962" s="162"/>
      <c r="BH962" s="162"/>
      <c r="BI962" s="162"/>
      <c r="BJ962" s="162"/>
      <c r="BK962" s="230"/>
      <c r="BL962" s="230"/>
      <c r="BM962" s="162"/>
      <c r="BN962" s="162"/>
      <c r="BO962" s="162"/>
      <c r="BP962" s="162"/>
      <c r="BQ962" s="162"/>
      <c r="BR962" s="230"/>
      <c r="BS962" s="230"/>
      <c r="BT962" s="162"/>
      <c r="BU962" s="162"/>
      <c r="BV962" s="162"/>
      <c r="BW962" s="162"/>
      <c r="BX962" s="162"/>
      <c r="BY962" s="230"/>
      <c r="BZ962" s="230"/>
      <c r="CA962" s="162"/>
      <c r="CB962" s="162"/>
      <c r="CC962" s="162"/>
      <c r="CD962" s="162"/>
      <c r="CE962" s="162"/>
      <c r="CF962" s="230"/>
      <c r="CG962" s="230"/>
      <c r="CH962" s="162"/>
      <c r="CI962" s="162"/>
      <c r="CJ962" s="162"/>
      <c r="CK962" s="162"/>
      <c r="CL962" s="162"/>
      <c r="CM962" s="230"/>
      <c r="CN962" s="230"/>
      <c r="CO962" s="162"/>
      <c r="CP962" s="162"/>
      <c r="CQ962" s="162"/>
      <c r="CR962" s="162"/>
      <c r="CS962" s="162"/>
      <c r="CT962" s="230"/>
      <c r="CU962" s="230"/>
      <c r="CV962" s="162"/>
      <c r="CW962" s="162"/>
      <c r="CX962" s="162"/>
      <c r="CY962" s="162"/>
      <c r="CZ962" s="162"/>
      <c r="DA962" s="230"/>
      <c r="DB962" s="230"/>
      <c r="DC962" s="162"/>
      <c r="DD962" s="162"/>
      <c r="DE962" s="162"/>
      <c r="DF962" s="162"/>
      <c r="DG962" s="162"/>
      <c r="DH962" s="230"/>
      <c r="DI962" s="230"/>
      <c r="DJ962" s="162"/>
      <c r="DK962" s="162"/>
      <c r="DL962" s="147"/>
      <c r="DM962" s="147"/>
      <c r="DN962" s="147"/>
      <c r="DO962" s="147"/>
      <c r="DP962" s="147"/>
      <c r="DQ962" s="147"/>
      <c r="DR962" s="147"/>
      <c r="DS962" s="147"/>
      <c r="DT962" s="147"/>
      <c r="DU962" s="147"/>
      <c r="DV962" s="147"/>
      <c r="DW962" s="147"/>
      <c r="DX962" s="147"/>
      <c r="DY962" s="147"/>
      <c r="DZ962" s="147"/>
      <c r="EA962" s="147"/>
      <c r="EB962" s="147"/>
      <c r="EC962" s="147"/>
      <c r="ED962" s="147"/>
      <c r="EE962" s="147"/>
      <c r="EF962" s="147"/>
      <c r="EG962" s="147"/>
      <c r="EH962" s="147"/>
    </row>
    <row r="963" spans="1:138" x14ac:dyDescent="0.25">
      <c r="A963" s="147"/>
      <c r="B963" s="147"/>
      <c r="C963" s="160"/>
      <c r="D963" s="160"/>
      <c r="E963" s="169"/>
      <c r="F963" s="229"/>
      <c r="G963" s="165"/>
      <c r="H963" s="165"/>
      <c r="I963" s="163"/>
      <c r="J963" s="163"/>
      <c r="K963" s="162"/>
      <c r="L963" s="162"/>
      <c r="M963" s="162"/>
      <c r="N963" s="230"/>
      <c r="O963" s="230"/>
      <c r="P963" s="162"/>
      <c r="Q963" s="162"/>
      <c r="R963" s="162"/>
      <c r="S963" s="162"/>
      <c r="T963" s="162"/>
      <c r="U963" s="230"/>
      <c r="V963" s="230"/>
      <c r="W963" s="162"/>
      <c r="X963" s="162"/>
      <c r="Y963" s="162"/>
      <c r="Z963" s="162"/>
      <c r="AA963" s="162"/>
      <c r="AB963" s="230"/>
      <c r="AC963" s="230"/>
      <c r="AD963" s="162"/>
      <c r="AE963" s="162"/>
      <c r="AF963" s="162"/>
      <c r="AG963" s="162"/>
      <c r="AH963" s="162"/>
      <c r="AI963" s="230"/>
      <c r="AJ963" s="230"/>
      <c r="AK963" s="162"/>
      <c r="AL963" s="162"/>
      <c r="AM963" s="162"/>
      <c r="AN963" s="162"/>
      <c r="AO963" s="162"/>
      <c r="AP963" s="230"/>
      <c r="AQ963" s="230"/>
      <c r="AR963" s="162"/>
      <c r="AS963" s="162"/>
      <c r="AT963" s="162"/>
      <c r="AU963" s="162"/>
      <c r="AV963" s="162"/>
      <c r="AW963" s="230"/>
      <c r="AX963" s="230"/>
      <c r="AY963" s="162"/>
      <c r="AZ963" s="162"/>
      <c r="BA963" s="162"/>
      <c r="BB963" s="162"/>
      <c r="BC963" s="162"/>
      <c r="BD963" s="230"/>
      <c r="BE963" s="230"/>
      <c r="BF963" s="162"/>
      <c r="BG963" s="162"/>
      <c r="BH963" s="162"/>
      <c r="BI963" s="162"/>
      <c r="BJ963" s="162"/>
      <c r="BK963" s="230"/>
      <c r="BL963" s="230"/>
      <c r="BM963" s="162"/>
      <c r="BN963" s="162"/>
      <c r="BO963" s="162"/>
      <c r="BP963" s="162"/>
      <c r="BQ963" s="162"/>
      <c r="BR963" s="230"/>
      <c r="BS963" s="230"/>
      <c r="BT963" s="162"/>
      <c r="BU963" s="162"/>
      <c r="BV963" s="162"/>
      <c r="BW963" s="162"/>
      <c r="BX963" s="162"/>
      <c r="BY963" s="230"/>
      <c r="BZ963" s="230"/>
      <c r="CA963" s="162"/>
      <c r="CB963" s="162"/>
      <c r="CC963" s="162"/>
      <c r="CD963" s="162"/>
      <c r="CE963" s="162"/>
      <c r="CF963" s="230"/>
      <c r="CG963" s="230"/>
      <c r="CH963" s="162"/>
      <c r="CI963" s="162"/>
      <c r="CJ963" s="162"/>
      <c r="CK963" s="162"/>
      <c r="CL963" s="162"/>
      <c r="CM963" s="230"/>
      <c r="CN963" s="230"/>
      <c r="CO963" s="162"/>
      <c r="CP963" s="162"/>
      <c r="CQ963" s="162"/>
      <c r="CR963" s="162"/>
      <c r="CS963" s="162"/>
      <c r="CT963" s="230"/>
      <c r="CU963" s="230"/>
      <c r="CV963" s="162"/>
      <c r="CW963" s="162"/>
      <c r="CX963" s="162"/>
      <c r="CY963" s="162"/>
      <c r="CZ963" s="162"/>
      <c r="DA963" s="230"/>
      <c r="DB963" s="230"/>
      <c r="DC963" s="162"/>
      <c r="DD963" s="162"/>
      <c r="DE963" s="162"/>
      <c r="DF963" s="162"/>
      <c r="DG963" s="162"/>
      <c r="DH963" s="230"/>
      <c r="DI963" s="230"/>
      <c r="DJ963" s="162"/>
      <c r="DK963" s="162"/>
      <c r="DL963" s="147"/>
      <c r="DM963" s="147"/>
      <c r="DN963" s="147"/>
      <c r="DO963" s="147"/>
      <c r="DP963" s="147"/>
      <c r="DQ963" s="147"/>
      <c r="DR963" s="147"/>
      <c r="DS963" s="147"/>
      <c r="DT963" s="147"/>
      <c r="DU963" s="147"/>
      <c r="DV963" s="147"/>
      <c r="DW963" s="147"/>
      <c r="DX963" s="147"/>
      <c r="DY963" s="147"/>
      <c r="DZ963" s="147"/>
      <c r="EA963" s="147"/>
      <c r="EB963" s="147"/>
      <c r="EC963" s="147"/>
      <c r="ED963" s="147"/>
      <c r="EE963" s="147"/>
      <c r="EF963" s="147"/>
      <c r="EG963" s="147"/>
      <c r="EH963" s="147"/>
    </row>
    <row r="964" spans="1:138" x14ac:dyDescent="0.25">
      <c r="A964" s="147"/>
      <c r="B964" s="147"/>
      <c r="C964" s="160"/>
      <c r="D964" s="160"/>
      <c r="E964" s="169"/>
      <c r="F964" s="229"/>
      <c r="G964" s="165"/>
      <c r="H964" s="165"/>
      <c r="I964" s="163"/>
      <c r="J964" s="163"/>
      <c r="K964" s="162"/>
      <c r="L964" s="162"/>
      <c r="M964" s="162"/>
      <c r="N964" s="230"/>
      <c r="O964" s="230"/>
      <c r="P964" s="162"/>
      <c r="Q964" s="162"/>
      <c r="R964" s="162"/>
      <c r="S964" s="162"/>
      <c r="T964" s="162"/>
      <c r="U964" s="230"/>
      <c r="V964" s="230"/>
      <c r="W964" s="162"/>
      <c r="X964" s="162"/>
      <c r="Y964" s="162"/>
      <c r="Z964" s="162"/>
      <c r="AA964" s="162"/>
      <c r="AB964" s="230"/>
      <c r="AC964" s="230"/>
      <c r="AD964" s="162"/>
      <c r="AE964" s="162"/>
      <c r="AF964" s="162"/>
      <c r="AG964" s="162"/>
      <c r="AH964" s="162"/>
      <c r="AI964" s="230"/>
      <c r="AJ964" s="230"/>
      <c r="AK964" s="162"/>
      <c r="AL964" s="162"/>
      <c r="AM964" s="162"/>
      <c r="AN964" s="162"/>
      <c r="AO964" s="162"/>
      <c r="AP964" s="230"/>
      <c r="AQ964" s="230"/>
      <c r="AR964" s="162"/>
      <c r="AS964" s="162"/>
      <c r="AT964" s="162"/>
      <c r="AU964" s="162"/>
      <c r="AV964" s="162"/>
      <c r="AW964" s="230"/>
      <c r="AX964" s="230"/>
      <c r="AY964" s="162"/>
      <c r="AZ964" s="162"/>
      <c r="BA964" s="162"/>
      <c r="BB964" s="162"/>
      <c r="BC964" s="162"/>
      <c r="BD964" s="230"/>
      <c r="BE964" s="230"/>
      <c r="BF964" s="162"/>
      <c r="BG964" s="162"/>
      <c r="BH964" s="162"/>
      <c r="BI964" s="162"/>
      <c r="BJ964" s="162"/>
      <c r="BK964" s="230"/>
      <c r="BL964" s="230"/>
      <c r="BM964" s="162"/>
      <c r="BN964" s="162"/>
      <c r="BO964" s="162"/>
      <c r="BP964" s="162"/>
      <c r="BQ964" s="162"/>
      <c r="BR964" s="230"/>
      <c r="BS964" s="230"/>
      <c r="BT964" s="162"/>
      <c r="BU964" s="162"/>
      <c r="BV964" s="162"/>
      <c r="BW964" s="162"/>
      <c r="BX964" s="162"/>
      <c r="BY964" s="230"/>
      <c r="BZ964" s="230"/>
      <c r="CA964" s="162"/>
      <c r="CB964" s="162"/>
      <c r="CC964" s="162"/>
      <c r="CD964" s="162"/>
      <c r="CE964" s="162"/>
      <c r="CF964" s="230"/>
      <c r="CG964" s="230"/>
      <c r="CH964" s="162"/>
      <c r="CI964" s="162"/>
      <c r="CJ964" s="162"/>
      <c r="CK964" s="162"/>
      <c r="CL964" s="162"/>
      <c r="CM964" s="230"/>
      <c r="CN964" s="230"/>
      <c r="CO964" s="162"/>
      <c r="CP964" s="162"/>
      <c r="CQ964" s="162"/>
      <c r="CR964" s="162"/>
      <c r="CS964" s="162"/>
      <c r="CT964" s="230"/>
      <c r="CU964" s="230"/>
      <c r="CV964" s="162"/>
      <c r="CW964" s="162"/>
      <c r="CX964" s="162"/>
      <c r="CY964" s="162"/>
      <c r="CZ964" s="162"/>
      <c r="DA964" s="230"/>
      <c r="DB964" s="230"/>
      <c r="DC964" s="162"/>
      <c r="DD964" s="162"/>
      <c r="DE964" s="162"/>
      <c r="DF964" s="162"/>
      <c r="DG964" s="162"/>
      <c r="DH964" s="230"/>
      <c r="DI964" s="230"/>
      <c r="DJ964" s="162"/>
      <c r="DK964" s="162"/>
      <c r="DL964" s="147"/>
      <c r="DM964" s="147"/>
      <c r="DN964" s="147"/>
      <c r="DO964" s="147"/>
      <c r="DP964" s="147"/>
      <c r="DQ964" s="147"/>
      <c r="DR964" s="147"/>
      <c r="DS964" s="147"/>
      <c r="DT964" s="147"/>
      <c r="DU964" s="147"/>
      <c r="DV964" s="147"/>
      <c r="DW964" s="147"/>
      <c r="DX964" s="147"/>
      <c r="DY964" s="147"/>
      <c r="DZ964" s="147"/>
      <c r="EA964" s="147"/>
      <c r="EB964" s="147"/>
      <c r="EC964" s="147"/>
      <c r="ED964" s="147"/>
      <c r="EE964" s="147"/>
      <c r="EF964" s="147"/>
      <c r="EG964" s="147"/>
      <c r="EH964" s="147"/>
    </row>
    <row r="965" spans="1:138" x14ac:dyDescent="0.25">
      <c r="A965" s="147"/>
      <c r="B965" s="147"/>
      <c r="C965" s="160"/>
      <c r="D965" s="160"/>
      <c r="E965" s="169"/>
      <c r="F965" s="229"/>
      <c r="G965" s="165"/>
      <c r="H965" s="165"/>
      <c r="I965" s="163"/>
      <c r="J965" s="163"/>
      <c r="K965" s="162"/>
      <c r="L965" s="162"/>
      <c r="M965" s="162"/>
      <c r="N965" s="230"/>
      <c r="O965" s="230"/>
      <c r="P965" s="162"/>
      <c r="Q965" s="162"/>
      <c r="R965" s="162"/>
      <c r="S965" s="162"/>
      <c r="T965" s="162"/>
      <c r="U965" s="230"/>
      <c r="V965" s="230"/>
      <c r="W965" s="162"/>
      <c r="X965" s="162"/>
      <c r="Y965" s="162"/>
      <c r="Z965" s="162"/>
      <c r="AA965" s="162"/>
      <c r="AB965" s="230"/>
      <c r="AC965" s="230"/>
      <c r="AD965" s="162"/>
      <c r="AE965" s="162"/>
      <c r="AF965" s="162"/>
      <c r="AG965" s="162"/>
      <c r="AH965" s="162"/>
      <c r="AI965" s="230"/>
      <c r="AJ965" s="230"/>
      <c r="AK965" s="162"/>
      <c r="AL965" s="162"/>
      <c r="AM965" s="162"/>
      <c r="AN965" s="162"/>
      <c r="AO965" s="162"/>
      <c r="AP965" s="230"/>
      <c r="AQ965" s="230"/>
      <c r="AR965" s="162"/>
      <c r="AS965" s="162"/>
      <c r="AT965" s="162"/>
      <c r="AU965" s="162"/>
      <c r="AV965" s="162"/>
      <c r="AW965" s="230"/>
      <c r="AX965" s="230"/>
      <c r="AY965" s="162"/>
      <c r="AZ965" s="162"/>
      <c r="BA965" s="162"/>
      <c r="BB965" s="162"/>
      <c r="BC965" s="162"/>
      <c r="BD965" s="230"/>
      <c r="BE965" s="230"/>
      <c r="BF965" s="162"/>
      <c r="BG965" s="162"/>
      <c r="BH965" s="162"/>
      <c r="BI965" s="162"/>
      <c r="BJ965" s="162"/>
      <c r="BK965" s="230"/>
      <c r="BL965" s="230"/>
      <c r="BM965" s="162"/>
      <c r="BN965" s="162"/>
      <c r="BO965" s="162"/>
      <c r="BP965" s="162"/>
      <c r="BQ965" s="162"/>
      <c r="BR965" s="230"/>
      <c r="BS965" s="230"/>
      <c r="BT965" s="162"/>
      <c r="BU965" s="162"/>
      <c r="BV965" s="162"/>
      <c r="BW965" s="162"/>
      <c r="BX965" s="162"/>
      <c r="BY965" s="230"/>
      <c r="BZ965" s="230"/>
      <c r="CA965" s="162"/>
      <c r="CB965" s="162"/>
      <c r="CC965" s="162"/>
      <c r="CD965" s="162"/>
      <c r="CE965" s="162"/>
      <c r="CF965" s="230"/>
      <c r="CG965" s="230"/>
      <c r="CH965" s="162"/>
      <c r="CI965" s="162"/>
      <c r="CJ965" s="162"/>
      <c r="CK965" s="162"/>
      <c r="CL965" s="162"/>
      <c r="CM965" s="230"/>
      <c r="CN965" s="230"/>
      <c r="CO965" s="162"/>
      <c r="CP965" s="162"/>
      <c r="CQ965" s="162"/>
      <c r="CR965" s="162"/>
      <c r="CS965" s="162"/>
      <c r="CT965" s="230"/>
      <c r="CU965" s="230"/>
      <c r="CV965" s="162"/>
      <c r="CW965" s="162"/>
      <c r="CX965" s="162"/>
      <c r="CY965" s="162"/>
      <c r="CZ965" s="162"/>
      <c r="DA965" s="230"/>
      <c r="DB965" s="230"/>
      <c r="DC965" s="162"/>
      <c r="DD965" s="162"/>
      <c r="DE965" s="162"/>
      <c r="DF965" s="162"/>
      <c r="DG965" s="162"/>
      <c r="DH965" s="230"/>
      <c r="DI965" s="230"/>
      <c r="DJ965" s="162"/>
      <c r="DK965" s="162"/>
      <c r="DL965" s="147"/>
      <c r="DM965" s="147"/>
      <c r="DN965" s="147"/>
      <c r="DO965" s="147"/>
      <c r="DP965" s="147"/>
      <c r="DQ965" s="147"/>
      <c r="DR965" s="147"/>
      <c r="DS965" s="147"/>
      <c r="DT965" s="147"/>
      <c r="DU965" s="147"/>
      <c r="DV965" s="147"/>
      <c r="DW965" s="147"/>
      <c r="DX965" s="147"/>
      <c r="DY965" s="147"/>
      <c r="DZ965" s="147"/>
      <c r="EA965" s="147"/>
      <c r="EB965" s="147"/>
      <c r="EC965" s="147"/>
      <c r="ED965" s="147"/>
      <c r="EE965" s="147"/>
      <c r="EF965" s="147"/>
      <c r="EG965" s="147"/>
      <c r="EH965" s="147"/>
    </row>
    <row r="966" spans="1:138" x14ac:dyDescent="0.25">
      <c r="A966" s="147"/>
      <c r="B966" s="147"/>
      <c r="C966" s="160"/>
      <c r="D966" s="160"/>
      <c r="E966" s="169"/>
      <c r="F966" s="229"/>
      <c r="G966" s="165"/>
      <c r="H966" s="165"/>
      <c r="I966" s="163"/>
      <c r="J966" s="163"/>
      <c r="K966" s="162"/>
      <c r="L966" s="162"/>
      <c r="M966" s="162"/>
      <c r="N966" s="230"/>
      <c r="O966" s="230"/>
      <c r="P966" s="162"/>
      <c r="Q966" s="162"/>
      <c r="R966" s="162"/>
      <c r="S966" s="162"/>
      <c r="T966" s="162"/>
      <c r="U966" s="230"/>
      <c r="V966" s="230"/>
      <c r="W966" s="162"/>
      <c r="X966" s="162"/>
      <c r="Y966" s="162"/>
      <c r="Z966" s="162"/>
      <c r="AA966" s="162"/>
      <c r="AB966" s="230"/>
      <c r="AC966" s="230"/>
      <c r="AD966" s="162"/>
      <c r="AE966" s="162"/>
      <c r="AF966" s="162"/>
      <c r="AG966" s="162"/>
      <c r="AH966" s="162"/>
      <c r="AI966" s="230"/>
      <c r="AJ966" s="230"/>
      <c r="AK966" s="162"/>
      <c r="AL966" s="162"/>
      <c r="AM966" s="162"/>
      <c r="AN966" s="162"/>
      <c r="AO966" s="162"/>
      <c r="AP966" s="230"/>
      <c r="AQ966" s="230"/>
      <c r="AR966" s="162"/>
      <c r="AS966" s="162"/>
      <c r="AT966" s="162"/>
      <c r="AU966" s="162"/>
      <c r="AV966" s="162"/>
      <c r="AW966" s="230"/>
      <c r="AX966" s="230"/>
      <c r="AY966" s="162"/>
      <c r="AZ966" s="162"/>
      <c r="BA966" s="162"/>
      <c r="BB966" s="162"/>
      <c r="BC966" s="162"/>
      <c r="BD966" s="230"/>
      <c r="BE966" s="230"/>
      <c r="BF966" s="162"/>
      <c r="BG966" s="162"/>
      <c r="BH966" s="162"/>
      <c r="BI966" s="162"/>
      <c r="BJ966" s="162"/>
      <c r="BK966" s="230"/>
      <c r="BL966" s="230"/>
      <c r="BM966" s="162"/>
      <c r="BN966" s="162"/>
      <c r="BO966" s="162"/>
      <c r="BP966" s="162"/>
      <c r="BQ966" s="162"/>
      <c r="BR966" s="230"/>
      <c r="BS966" s="230"/>
      <c r="BT966" s="162"/>
      <c r="BU966" s="162"/>
      <c r="BV966" s="162"/>
      <c r="BW966" s="162"/>
      <c r="BX966" s="162"/>
      <c r="BY966" s="230"/>
      <c r="BZ966" s="230"/>
      <c r="CA966" s="162"/>
      <c r="CB966" s="162"/>
      <c r="CC966" s="162"/>
      <c r="CD966" s="162"/>
      <c r="CE966" s="162"/>
      <c r="CF966" s="230"/>
      <c r="CG966" s="230"/>
      <c r="CH966" s="162"/>
      <c r="CI966" s="162"/>
      <c r="CJ966" s="162"/>
      <c r="CK966" s="162"/>
      <c r="CL966" s="162"/>
      <c r="CM966" s="230"/>
      <c r="CN966" s="230"/>
      <c r="CO966" s="162"/>
      <c r="CP966" s="162"/>
      <c r="CQ966" s="162"/>
      <c r="CR966" s="162"/>
      <c r="CS966" s="162"/>
      <c r="CT966" s="230"/>
      <c r="CU966" s="230"/>
      <c r="CV966" s="162"/>
      <c r="CW966" s="162"/>
      <c r="CX966" s="162"/>
      <c r="CY966" s="162"/>
      <c r="CZ966" s="162"/>
      <c r="DA966" s="230"/>
      <c r="DB966" s="230"/>
      <c r="DC966" s="162"/>
      <c r="DD966" s="162"/>
      <c r="DE966" s="162"/>
      <c r="DF966" s="162"/>
      <c r="DG966" s="162"/>
      <c r="DH966" s="230"/>
      <c r="DI966" s="230"/>
      <c r="DJ966" s="162"/>
      <c r="DK966" s="162"/>
      <c r="DL966" s="147"/>
      <c r="DM966" s="147"/>
      <c r="DN966" s="147"/>
      <c r="DO966" s="147"/>
      <c r="DP966" s="147"/>
      <c r="DQ966" s="147"/>
      <c r="DR966" s="147"/>
      <c r="DS966" s="147"/>
      <c r="DT966" s="147"/>
      <c r="DU966" s="147"/>
      <c r="DV966" s="147"/>
      <c r="DW966" s="147"/>
      <c r="DX966" s="147"/>
      <c r="DY966" s="147"/>
      <c r="DZ966" s="147"/>
      <c r="EA966" s="147"/>
      <c r="EB966" s="147"/>
      <c r="EC966" s="147"/>
      <c r="ED966" s="147"/>
      <c r="EE966" s="147"/>
      <c r="EF966" s="147"/>
      <c r="EG966" s="147"/>
      <c r="EH966" s="147"/>
    </row>
    <row r="967" spans="1:138" x14ac:dyDescent="0.25">
      <c r="A967" s="147"/>
      <c r="B967" s="147"/>
      <c r="C967" s="160"/>
      <c r="D967" s="160"/>
      <c r="E967" s="169"/>
      <c r="F967" s="229"/>
      <c r="G967" s="165"/>
      <c r="H967" s="165"/>
      <c r="I967" s="163"/>
      <c r="J967" s="163"/>
      <c r="K967" s="162"/>
      <c r="L967" s="162"/>
      <c r="M967" s="162"/>
      <c r="N967" s="230"/>
      <c r="O967" s="230"/>
      <c r="P967" s="162"/>
      <c r="Q967" s="162"/>
      <c r="R967" s="162"/>
      <c r="S967" s="162"/>
      <c r="T967" s="162"/>
      <c r="U967" s="230"/>
      <c r="V967" s="230"/>
      <c r="W967" s="162"/>
      <c r="X967" s="162"/>
      <c r="Y967" s="162"/>
      <c r="Z967" s="162"/>
      <c r="AA967" s="162"/>
      <c r="AB967" s="230"/>
      <c r="AC967" s="230"/>
      <c r="AD967" s="162"/>
      <c r="AE967" s="162"/>
      <c r="AF967" s="162"/>
      <c r="AG967" s="162"/>
      <c r="AH967" s="162"/>
      <c r="AI967" s="230"/>
      <c r="AJ967" s="230"/>
      <c r="AK967" s="162"/>
      <c r="AL967" s="162"/>
      <c r="AM967" s="162"/>
      <c r="AN967" s="162"/>
      <c r="AO967" s="162"/>
      <c r="AP967" s="230"/>
      <c r="AQ967" s="230"/>
      <c r="AR967" s="162"/>
      <c r="AS967" s="162"/>
      <c r="AT967" s="162"/>
      <c r="AU967" s="162"/>
      <c r="AV967" s="162"/>
      <c r="AW967" s="230"/>
      <c r="AX967" s="230"/>
      <c r="AY967" s="162"/>
      <c r="AZ967" s="162"/>
      <c r="BA967" s="162"/>
      <c r="BB967" s="162"/>
      <c r="BC967" s="162"/>
      <c r="BD967" s="230"/>
      <c r="BE967" s="230"/>
      <c r="BF967" s="162"/>
      <c r="BG967" s="162"/>
      <c r="BH967" s="162"/>
      <c r="BI967" s="162"/>
      <c r="BJ967" s="162"/>
      <c r="BK967" s="230"/>
      <c r="BL967" s="230"/>
      <c r="BM967" s="162"/>
      <c r="BN967" s="162"/>
      <c r="BO967" s="162"/>
      <c r="BP967" s="162"/>
      <c r="BQ967" s="162"/>
      <c r="BR967" s="230"/>
      <c r="BS967" s="230"/>
      <c r="BT967" s="162"/>
      <c r="BU967" s="162"/>
      <c r="BV967" s="162"/>
      <c r="BW967" s="162"/>
      <c r="BX967" s="162"/>
      <c r="BY967" s="230"/>
      <c r="BZ967" s="230"/>
      <c r="CA967" s="162"/>
      <c r="CB967" s="162"/>
      <c r="CC967" s="162"/>
      <c r="CD967" s="162"/>
      <c r="CE967" s="162"/>
      <c r="CF967" s="230"/>
      <c r="CG967" s="230"/>
      <c r="CH967" s="162"/>
      <c r="CI967" s="162"/>
      <c r="CJ967" s="162"/>
      <c r="CK967" s="162"/>
      <c r="CL967" s="162"/>
      <c r="CM967" s="230"/>
      <c r="CN967" s="230"/>
      <c r="CO967" s="162"/>
      <c r="CP967" s="162"/>
      <c r="CQ967" s="162"/>
      <c r="CR967" s="162"/>
      <c r="CS967" s="162"/>
      <c r="CT967" s="230"/>
      <c r="CU967" s="230"/>
      <c r="CV967" s="162"/>
      <c r="CW967" s="162"/>
      <c r="CX967" s="162"/>
      <c r="CY967" s="162"/>
      <c r="CZ967" s="162"/>
      <c r="DA967" s="230"/>
      <c r="DB967" s="230"/>
      <c r="DC967" s="162"/>
      <c r="DD967" s="162"/>
      <c r="DE967" s="162"/>
      <c r="DF967" s="162"/>
      <c r="DG967" s="162"/>
      <c r="DH967" s="230"/>
      <c r="DI967" s="230"/>
      <c r="DJ967" s="162"/>
      <c r="DK967" s="162"/>
      <c r="DL967" s="147"/>
      <c r="DM967" s="147"/>
      <c r="DN967" s="147"/>
      <c r="DO967" s="147"/>
      <c r="DP967" s="147"/>
      <c r="DQ967" s="147"/>
      <c r="DR967" s="147"/>
      <c r="DS967" s="147"/>
      <c r="DT967" s="147"/>
      <c r="DU967" s="147"/>
      <c r="DV967" s="147"/>
      <c r="DW967" s="147"/>
      <c r="DX967" s="147"/>
      <c r="DY967" s="147"/>
      <c r="DZ967" s="147"/>
      <c r="EA967" s="147"/>
      <c r="EB967" s="147"/>
      <c r="EC967" s="147"/>
      <c r="ED967" s="147"/>
      <c r="EE967" s="147"/>
      <c r="EF967" s="147"/>
      <c r="EG967" s="147"/>
      <c r="EH967" s="147"/>
    </row>
    <row r="968" spans="1:138" x14ac:dyDescent="0.25">
      <c r="A968" s="147"/>
      <c r="B968" s="147"/>
      <c r="C968" s="160"/>
      <c r="D968" s="160"/>
      <c r="E968" s="169"/>
      <c r="F968" s="229"/>
      <c r="G968" s="165"/>
      <c r="H968" s="165"/>
      <c r="I968" s="163"/>
      <c r="J968" s="163"/>
      <c r="K968" s="162"/>
      <c r="L968" s="162"/>
      <c r="M968" s="162"/>
      <c r="N968" s="230"/>
      <c r="O968" s="230"/>
      <c r="P968" s="162"/>
      <c r="Q968" s="162"/>
      <c r="R968" s="162"/>
      <c r="S968" s="162"/>
      <c r="T968" s="162"/>
      <c r="U968" s="230"/>
      <c r="V968" s="230"/>
      <c r="W968" s="162"/>
      <c r="X968" s="162"/>
      <c r="Y968" s="162"/>
      <c r="Z968" s="162"/>
      <c r="AA968" s="162"/>
      <c r="AB968" s="230"/>
      <c r="AC968" s="230"/>
      <c r="AD968" s="162"/>
      <c r="AE968" s="162"/>
      <c r="AF968" s="162"/>
      <c r="AG968" s="162"/>
      <c r="AH968" s="162"/>
      <c r="AI968" s="230"/>
      <c r="AJ968" s="230"/>
      <c r="AK968" s="162"/>
      <c r="AL968" s="162"/>
      <c r="AM968" s="162"/>
      <c r="AN968" s="162"/>
      <c r="AO968" s="162"/>
      <c r="AP968" s="230"/>
      <c r="AQ968" s="230"/>
      <c r="AR968" s="162"/>
      <c r="AS968" s="162"/>
      <c r="AT968" s="162"/>
      <c r="AU968" s="162"/>
      <c r="AV968" s="162"/>
      <c r="AW968" s="230"/>
      <c r="AX968" s="230"/>
      <c r="AY968" s="162"/>
      <c r="AZ968" s="162"/>
      <c r="BA968" s="162"/>
      <c r="BB968" s="162"/>
      <c r="BC968" s="162"/>
      <c r="BD968" s="230"/>
      <c r="BE968" s="230"/>
      <c r="BF968" s="162"/>
      <c r="BG968" s="162"/>
      <c r="BH968" s="162"/>
      <c r="BI968" s="162"/>
      <c r="BJ968" s="162"/>
      <c r="BK968" s="230"/>
      <c r="BL968" s="230"/>
      <c r="BM968" s="162"/>
      <c r="BN968" s="162"/>
      <c r="BO968" s="162"/>
      <c r="BP968" s="162"/>
      <c r="BQ968" s="162"/>
      <c r="BR968" s="230"/>
      <c r="BS968" s="230"/>
      <c r="BT968" s="162"/>
      <c r="BU968" s="162"/>
      <c r="BV968" s="162"/>
      <c r="BW968" s="162"/>
      <c r="BX968" s="162"/>
      <c r="BY968" s="230"/>
      <c r="BZ968" s="230"/>
      <c r="CA968" s="162"/>
      <c r="CB968" s="162"/>
      <c r="CC968" s="162"/>
      <c r="CD968" s="162"/>
      <c r="CE968" s="162"/>
      <c r="CF968" s="230"/>
      <c r="CG968" s="230"/>
      <c r="CH968" s="162"/>
      <c r="CI968" s="162"/>
      <c r="CJ968" s="162"/>
      <c r="CK968" s="162"/>
      <c r="CL968" s="162"/>
      <c r="CM968" s="230"/>
      <c r="CN968" s="230"/>
      <c r="CO968" s="162"/>
      <c r="CP968" s="162"/>
      <c r="CQ968" s="162"/>
      <c r="CR968" s="162"/>
      <c r="CS968" s="162"/>
      <c r="CT968" s="230"/>
      <c r="CU968" s="230"/>
      <c r="CV968" s="162"/>
      <c r="CW968" s="162"/>
      <c r="CX968" s="162"/>
      <c r="CY968" s="162"/>
      <c r="CZ968" s="162"/>
      <c r="DA968" s="230"/>
      <c r="DB968" s="230"/>
      <c r="DC968" s="162"/>
      <c r="DD968" s="162"/>
      <c r="DE968" s="162"/>
      <c r="DF968" s="162"/>
      <c r="DG968" s="162"/>
      <c r="DH968" s="230"/>
      <c r="DI968" s="230"/>
      <c r="DJ968" s="162"/>
      <c r="DK968" s="162"/>
      <c r="DL968" s="147"/>
      <c r="DM968" s="147"/>
      <c r="DN968" s="147"/>
      <c r="DO968" s="147"/>
      <c r="DP968" s="147"/>
      <c r="DQ968" s="147"/>
      <c r="DR968" s="147"/>
      <c r="DS968" s="147"/>
      <c r="DT968" s="147"/>
      <c r="DU968" s="147"/>
      <c r="DV968" s="147"/>
      <c r="DW968" s="147"/>
      <c r="DX968" s="147"/>
      <c r="DY968" s="147"/>
      <c r="DZ968" s="147"/>
      <c r="EA968" s="147"/>
      <c r="EB968" s="147"/>
      <c r="EC968" s="147"/>
      <c r="ED968" s="147"/>
      <c r="EE968" s="147"/>
      <c r="EF968" s="147"/>
      <c r="EG968" s="147"/>
      <c r="EH968" s="147"/>
    </row>
    <row r="969" spans="1:138" x14ac:dyDescent="0.25">
      <c r="A969" s="147"/>
      <c r="B969" s="147"/>
      <c r="C969" s="160"/>
      <c r="D969" s="160"/>
      <c r="E969" s="169"/>
      <c r="F969" s="229"/>
      <c r="G969" s="165"/>
      <c r="H969" s="165"/>
      <c r="I969" s="163"/>
      <c r="J969" s="163"/>
      <c r="K969" s="162"/>
      <c r="L969" s="162"/>
      <c r="M969" s="162"/>
      <c r="N969" s="230"/>
      <c r="O969" s="230"/>
      <c r="P969" s="162"/>
      <c r="Q969" s="162"/>
      <c r="R969" s="162"/>
      <c r="S969" s="162"/>
      <c r="T969" s="162"/>
      <c r="U969" s="230"/>
      <c r="V969" s="230"/>
      <c r="W969" s="162"/>
      <c r="X969" s="162"/>
      <c r="Y969" s="162"/>
      <c r="Z969" s="162"/>
      <c r="AA969" s="162"/>
      <c r="AB969" s="230"/>
      <c r="AC969" s="230"/>
      <c r="AD969" s="162"/>
      <c r="AE969" s="162"/>
      <c r="AF969" s="162"/>
      <c r="AG969" s="162"/>
      <c r="AH969" s="162"/>
      <c r="AI969" s="230"/>
      <c r="AJ969" s="230"/>
      <c r="AK969" s="162"/>
      <c r="AL969" s="162"/>
      <c r="AM969" s="162"/>
      <c r="AN969" s="162"/>
      <c r="AO969" s="162"/>
      <c r="AP969" s="230"/>
      <c r="AQ969" s="230"/>
      <c r="AR969" s="162"/>
      <c r="AS969" s="162"/>
      <c r="AT969" s="162"/>
      <c r="AU969" s="162"/>
      <c r="AV969" s="162"/>
      <c r="AW969" s="230"/>
      <c r="AX969" s="230"/>
      <c r="AY969" s="162"/>
      <c r="AZ969" s="162"/>
      <c r="BA969" s="162"/>
      <c r="BB969" s="162"/>
      <c r="BC969" s="162"/>
      <c r="BD969" s="230"/>
      <c r="BE969" s="230"/>
      <c r="BF969" s="162"/>
      <c r="BG969" s="162"/>
      <c r="BH969" s="162"/>
      <c r="BI969" s="162"/>
      <c r="BJ969" s="162"/>
      <c r="BK969" s="230"/>
      <c r="BL969" s="230"/>
      <c r="BM969" s="162"/>
      <c r="BN969" s="162"/>
      <c r="BO969" s="162"/>
      <c r="BP969" s="162"/>
      <c r="BQ969" s="162"/>
      <c r="BR969" s="230"/>
      <c r="BS969" s="230"/>
      <c r="BT969" s="162"/>
      <c r="BU969" s="162"/>
      <c r="BV969" s="162"/>
      <c r="BW969" s="162"/>
      <c r="BX969" s="162"/>
      <c r="BY969" s="230"/>
      <c r="BZ969" s="230"/>
      <c r="CA969" s="162"/>
      <c r="CB969" s="162"/>
      <c r="CC969" s="162"/>
      <c r="CD969" s="162"/>
      <c r="CE969" s="162"/>
      <c r="CF969" s="230"/>
      <c r="CG969" s="230"/>
      <c r="CH969" s="162"/>
      <c r="CI969" s="162"/>
      <c r="CJ969" s="162"/>
      <c r="CK969" s="162"/>
      <c r="CL969" s="162"/>
      <c r="CM969" s="230"/>
      <c r="CN969" s="230"/>
      <c r="CO969" s="162"/>
      <c r="CP969" s="162"/>
      <c r="CQ969" s="162"/>
      <c r="CR969" s="162"/>
      <c r="CS969" s="162"/>
      <c r="CT969" s="230"/>
      <c r="CU969" s="230"/>
      <c r="CV969" s="162"/>
      <c r="CW969" s="162"/>
      <c r="CX969" s="162"/>
      <c r="CY969" s="162"/>
      <c r="CZ969" s="162"/>
      <c r="DA969" s="230"/>
      <c r="DB969" s="230"/>
      <c r="DC969" s="162"/>
      <c r="DD969" s="162"/>
      <c r="DE969" s="162"/>
      <c r="DF969" s="162"/>
      <c r="DG969" s="162"/>
      <c r="DH969" s="230"/>
      <c r="DI969" s="230"/>
      <c r="DJ969" s="162"/>
      <c r="DK969" s="162"/>
      <c r="DL969" s="147"/>
      <c r="DM969" s="147"/>
      <c r="DN969" s="147"/>
      <c r="DO969" s="147"/>
      <c r="DP969" s="147"/>
      <c r="DQ969" s="147"/>
      <c r="DR969" s="147"/>
      <c r="DS969" s="147"/>
      <c r="DT969" s="147"/>
      <c r="DU969" s="147"/>
      <c r="DV969" s="147"/>
      <c r="DW969" s="147"/>
      <c r="DX969" s="147"/>
      <c r="DY969" s="147"/>
      <c r="DZ969" s="147"/>
      <c r="EA969" s="147"/>
      <c r="EB969" s="147"/>
      <c r="EC969" s="147"/>
      <c r="ED969" s="147"/>
      <c r="EE969" s="147"/>
      <c r="EF969" s="147"/>
      <c r="EG969" s="147"/>
      <c r="EH969" s="147"/>
    </row>
    <row r="970" spans="1:138" x14ac:dyDescent="0.25">
      <c r="A970" s="147"/>
      <c r="B970" s="147"/>
      <c r="C970" s="160"/>
      <c r="D970" s="160"/>
      <c r="E970" s="169"/>
      <c r="F970" s="229"/>
      <c r="G970" s="165"/>
      <c r="H970" s="165"/>
      <c r="I970" s="163"/>
      <c r="J970" s="163"/>
      <c r="K970" s="162"/>
      <c r="L970" s="162"/>
      <c r="M970" s="162"/>
      <c r="N970" s="230"/>
      <c r="O970" s="230"/>
      <c r="P970" s="162"/>
      <c r="Q970" s="162"/>
      <c r="R970" s="162"/>
      <c r="S970" s="162"/>
      <c r="T970" s="162"/>
      <c r="U970" s="230"/>
      <c r="V970" s="230"/>
      <c r="W970" s="162"/>
      <c r="X970" s="162"/>
      <c r="Y970" s="162"/>
      <c r="Z970" s="162"/>
      <c r="AA970" s="162"/>
      <c r="AB970" s="230"/>
      <c r="AC970" s="230"/>
      <c r="AD970" s="162"/>
      <c r="AE970" s="162"/>
      <c r="AF970" s="162"/>
      <c r="AG970" s="162"/>
      <c r="AH970" s="162"/>
      <c r="AI970" s="230"/>
      <c r="AJ970" s="230"/>
      <c r="AK970" s="162"/>
      <c r="AL970" s="162"/>
      <c r="AM970" s="162"/>
      <c r="AN970" s="162"/>
      <c r="AO970" s="162"/>
      <c r="AP970" s="230"/>
      <c r="AQ970" s="230"/>
      <c r="AR970" s="162"/>
      <c r="AS970" s="162"/>
      <c r="AT970" s="162"/>
      <c r="AU970" s="162"/>
      <c r="AV970" s="162"/>
      <c r="AW970" s="230"/>
      <c r="AX970" s="230"/>
      <c r="AY970" s="162"/>
      <c r="AZ970" s="162"/>
      <c r="BA970" s="162"/>
      <c r="BB970" s="162"/>
      <c r="BC970" s="162"/>
      <c r="BD970" s="230"/>
      <c r="BE970" s="230"/>
      <c r="BF970" s="162"/>
      <c r="BG970" s="162"/>
      <c r="BH970" s="162"/>
      <c r="BI970" s="162"/>
      <c r="BJ970" s="162"/>
      <c r="BK970" s="230"/>
      <c r="BL970" s="230"/>
      <c r="BM970" s="162"/>
      <c r="BN970" s="162"/>
      <c r="BO970" s="162"/>
      <c r="BP970" s="162"/>
      <c r="BQ970" s="162"/>
      <c r="BR970" s="230"/>
      <c r="BS970" s="230"/>
      <c r="BT970" s="162"/>
      <c r="BU970" s="162"/>
      <c r="BV970" s="162"/>
      <c r="BW970" s="162"/>
      <c r="BX970" s="162"/>
      <c r="BY970" s="230"/>
      <c r="BZ970" s="230"/>
      <c r="CA970" s="162"/>
      <c r="CB970" s="162"/>
      <c r="CC970" s="162"/>
      <c r="CD970" s="162"/>
      <c r="CE970" s="162"/>
      <c r="CF970" s="230"/>
      <c r="CG970" s="230"/>
      <c r="CH970" s="162"/>
      <c r="CI970" s="162"/>
      <c r="CJ970" s="162"/>
      <c r="CK970" s="162"/>
      <c r="CL970" s="162"/>
      <c r="CM970" s="230"/>
      <c r="CN970" s="230"/>
      <c r="CO970" s="162"/>
      <c r="CP970" s="162"/>
      <c r="CQ970" s="162"/>
      <c r="CR970" s="162"/>
      <c r="CS970" s="162"/>
      <c r="CT970" s="230"/>
      <c r="CU970" s="230"/>
      <c r="CV970" s="162"/>
      <c r="CW970" s="162"/>
      <c r="CX970" s="162"/>
      <c r="CY970" s="162"/>
      <c r="CZ970" s="162"/>
      <c r="DA970" s="230"/>
      <c r="DB970" s="230"/>
      <c r="DC970" s="162"/>
      <c r="DD970" s="162"/>
      <c r="DE970" s="162"/>
      <c r="DF970" s="162"/>
      <c r="DG970" s="162"/>
      <c r="DH970" s="230"/>
      <c r="DI970" s="230"/>
      <c r="DJ970" s="162"/>
      <c r="DK970" s="162"/>
      <c r="DL970" s="147"/>
      <c r="DM970" s="147"/>
      <c r="DN970" s="147"/>
      <c r="DO970" s="147"/>
      <c r="DP970" s="147"/>
      <c r="DQ970" s="147"/>
      <c r="DR970" s="147"/>
      <c r="DS970" s="147"/>
      <c r="DT970" s="147"/>
      <c r="DU970" s="147"/>
      <c r="DV970" s="147"/>
      <c r="DW970" s="147"/>
      <c r="DX970" s="147"/>
      <c r="DY970" s="147"/>
      <c r="DZ970" s="147"/>
      <c r="EA970" s="147"/>
      <c r="EB970" s="147"/>
      <c r="EC970" s="147"/>
      <c r="ED970" s="147"/>
      <c r="EE970" s="147"/>
      <c r="EF970" s="147"/>
      <c r="EG970" s="147"/>
      <c r="EH970" s="147"/>
    </row>
    <row r="971" spans="1:138" x14ac:dyDescent="0.25">
      <c r="A971" s="147"/>
      <c r="B971" s="147"/>
      <c r="C971" s="160"/>
      <c r="D971" s="160"/>
      <c r="E971" s="169"/>
      <c r="F971" s="229"/>
      <c r="G971" s="165"/>
      <c r="H971" s="165"/>
      <c r="I971" s="163"/>
      <c r="J971" s="163"/>
      <c r="K971" s="162"/>
      <c r="L971" s="162"/>
      <c r="M971" s="162"/>
      <c r="N971" s="230"/>
      <c r="O971" s="230"/>
      <c r="P971" s="162"/>
      <c r="Q971" s="162"/>
      <c r="R971" s="162"/>
      <c r="S971" s="162"/>
      <c r="T971" s="162"/>
      <c r="U971" s="230"/>
      <c r="V971" s="230"/>
      <c r="W971" s="162"/>
      <c r="X971" s="162"/>
      <c r="Y971" s="162"/>
      <c r="Z971" s="162"/>
      <c r="AA971" s="162"/>
      <c r="AB971" s="230"/>
      <c r="AC971" s="230"/>
      <c r="AD971" s="162"/>
      <c r="AE971" s="162"/>
      <c r="AF971" s="162"/>
      <c r="AG971" s="162"/>
      <c r="AH971" s="162"/>
      <c r="AI971" s="230"/>
      <c r="AJ971" s="230"/>
      <c r="AK971" s="162"/>
      <c r="AL971" s="162"/>
      <c r="AM971" s="162"/>
      <c r="AN971" s="162"/>
      <c r="AO971" s="162"/>
      <c r="AP971" s="230"/>
      <c r="AQ971" s="230"/>
      <c r="AR971" s="162"/>
      <c r="AS971" s="162"/>
      <c r="AT971" s="162"/>
      <c r="AU971" s="162"/>
      <c r="AV971" s="162"/>
      <c r="AW971" s="230"/>
      <c r="AX971" s="230"/>
      <c r="AY971" s="162"/>
      <c r="AZ971" s="162"/>
      <c r="BA971" s="162"/>
      <c r="BB971" s="162"/>
      <c r="BC971" s="162"/>
      <c r="BD971" s="230"/>
      <c r="BE971" s="230"/>
      <c r="BF971" s="162"/>
      <c r="BG971" s="162"/>
      <c r="BH971" s="162"/>
      <c r="BI971" s="162"/>
      <c r="BJ971" s="162"/>
      <c r="BK971" s="230"/>
      <c r="BL971" s="230"/>
      <c r="BM971" s="162"/>
      <c r="BN971" s="162"/>
      <c r="BO971" s="162"/>
      <c r="BP971" s="162"/>
      <c r="BQ971" s="162"/>
      <c r="BR971" s="230"/>
      <c r="BS971" s="230"/>
      <c r="BT971" s="162"/>
      <c r="BU971" s="162"/>
      <c r="BV971" s="162"/>
      <c r="BW971" s="162"/>
      <c r="BX971" s="162"/>
      <c r="BY971" s="230"/>
      <c r="BZ971" s="230"/>
      <c r="CA971" s="162"/>
      <c r="CB971" s="162"/>
      <c r="CC971" s="162"/>
      <c r="CD971" s="162"/>
      <c r="CE971" s="162"/>
      <c r="CF971" s="230"/>
      <c r="CG971" s="230"/>
      <c r="CH971" s="162"/>
      <c r="CI971" s="162"/>
      <c r="CJ971" s="162"/>
      <c r="CK971" s="162"/>
      <c r="CL971" s="162"/>
      <c r="CM971" s="230"/>
      <c r="CN971" s="230"/>
      <c r="CO971" s="162"/>
      <c r="CP971" s="162"/>
      <c r="CQ971" s="162"/>
      <c r="CR971" s="162"/>
      <c r="CS971" s="162"/>
      <c r="CT971" s="230"/>
      <c r="CU971" s="230"/>
      <c r="CV971" s="162"/>
      <c r="CW971" s="162"/>
      <c r="CX971" s="162"/>
      <c r="CY971" s="162"/>
      <c r="CZ971" s="162"/>
      <c r="DA971" s="230"/>
      <c r="DB971" s="230"/>
      <c r="DC971" s="162"/>
      <c r="DD971" s="162"/>
      <c r="DE971" s="162"/>
      <c r="DF971" s="162"/>
      <c r="DG971" s="162"/>
      <c r="DH971" s="230"/>
      <c r="DI971" s="230"/>
      <c r="DJ971" s="162"/>
      <c r="DK971" s="162"/>
      <c r="DL971" s="147"/>
      <c r="DM971" s="147"/>
      <c r="DN971" s="147"/>
      <c r="DO971" s="147"/>
      <c r="DP971" s="147"/>
      <c r="DQ971" s="147"/>
      <c r="DR971" s="147"/>
      <c r="DS971" s="147"/>
      <c r="DT971" s="147"/>
      <c r="DU971" s="147"/>
      <c r="DV971" s="147"/>
      <c r="DW971" s="147"/>
      <c r="DX971" s="147"/>
      <c r="DY971" s="147"/>
      <c r="DZ971" s="147"/>
      <c r="EA971" s="147"/>
      <c r="EB971" s="147"/>
      <c r="EC971" s="147"/>
      <c r="ED971" s="147"/>
      <c r="EE971" s="147"/>
      <c r="EF971" s="147"/>
      <c r="EG971" s="147"/>
      <c r="EH971" s="147"/>
    </row>
    <row r="972" spans="1:138" x14ac:dyDescent="0.25">
      <c r="A972" s="147"/>
      <c r="B972" s="147"/>
      <c r="C972" s="160"/>
      <c r="D972" s="160"/>
      <c r="E972" s="169"/>
      <c r="F972" s="229"/>
      <c r="G972" s="165"/>
      <c r="H972" s="165"/>
      <c r="I972" s="163"/>
      <c r="J972" s="163"/>
      <c r="K972" s="162"/>
      <c r="L972" s="162"/>
      <c r="M972" s="162"/>
      <c r="N972" s="230"/>
      <c r="O972" s="230"/>
      <c r="P972" s="162"/>
      <c r="Q972" s="162"/>
      <c r="R972" s="162"/>
      <c r="S972" s="162"/>
      <c r="T972" s="162"/>
      <c r="U972" s="230"/>
      <c r="V972" s="230"/>
      <c r="W972" s="162"/>
      <c r="X972" s="162"/>
      <c r="Y972" s="162"/>
      <c r="Z972" s="162"/>
      <c r="AA972" s="162"/>
      <c r="AB972" s="230"/>
      <c r="AC972" s="230"/>
      <c r="AD972" s="162"/>
      <c r="AE972" s="162"/>
      <c r="AF972" s="162"/>
      <c r="AG972" s="162"/>
      <c r="AH972" s="162"/>
      <c r="AI972" s="230"/>
      <c r="AJ972" s="230"/>
      <c r="AK972" s="162"/>
      <c r="AL972" s="162"/>
      <c r="AM972" s="162"/>
      <c r="AN972" s="162"/>
      <c r="AO972" s="162"/>
      <c r="AP972" s="230"/>
      <c r="AQ972" s="230"/>
      <c r="AR972" s="162"/>
      <c r="AS972" s="162"/>
      <c r="AT972" s="162"/>
      <c r="AU972" s="162"/>
      <c r="AV972" s="162"/>
      <c r="AW972" s="230"/>
      <c r="AX972" s="230"/>
      <c r="AY972" s="162"/>
      <c r="AZ972" s="162"/>
      <c r="BA972" s="162"/>
      <c r="BB972" s="162"/>
      <c r="BC972" s="162"/>
      <c r="BD972" s="230"/>
      <c r="BE972" s="230"/>
      <c r="BF972" s="162"/>
      <c r="BG972" s="162"/>
      <c r="BH972" s="162"/>
      <c r="BI972" s="162"/>
      <c r="BJ972" s="162"/>
      <c r="BK972" s="230"/>
      <c r="BL972" s="230"/>
      <c r="BM972" s="162"/>
      <c r="BN972" s="162"/>
      <c r="BO972" s="162"/>
      <c r="BP972" s="162"/>
      <c r="BQ972" s="162"/>
      <c r="BR972" s="230"/>
      <c r="BS972" s="230"/>
      <c r="BT972" s="162"/>
      <c r="BU972" s="162"/>
      <c r="BV972" s="162"/>
      <c r="BW972" s="162"/>
      <c r="BX972" s="162"/>
      <c r="BY972" s="230"/>
      <c r="BZ972" s="230"/>
      <c r="CA972" s="162"/>
      <c r="CB972" s="162"/>
      <c r="CC972" s="162"/>
      <c r="CD972" s="162"/>
      <c r="CE972" s="162"/>
      <c r="CF972" s="230"/>
      <c r="CG972" s="230"/>
      <c r="CH972" s="162"/>
      <c r="CI972" s="162"/>
      <c r="CJ972" s="162"/>
      <c r="CK972" s="162"/>
      <c r="CL972" s="162"/>
      <c r="CM972" s="230"/>
      <c r="CN972" s="230"/>
      <c r="CO972" s="162"/>
      <c r="CP972" s="162"/>
      <c r="CQ972" s="162"/>
      <c r="CR972" s="162"/>
      <c r="CS972" s="162"/>
      <c r="CT972" s="230"/>
      <c r="CU972" s="230"/>
      <c r="CV972" s="162"/>
      <c r="CW972" s="162"/>
      <c r="CX972" s="162"/>
      <c r="CY972" s="162"/>
      <c r="CZ972" s="162"/>
      <c r="DA972" s="230"/>
      <c r="DB972" s="230"/>
      <c r="DC972" s="162"/>
      <c r="DD972" s="162"/>
      <c r="DE972" s="162"/>
      <c r="DF972" s="162"/>
      <c r="DG972" s="162"/>
      <c r="DH972" s="230"/>
      <c r="DI972" s="230"/>
      <c r="DJ972" s="162"/>
      <c r="DK972" s="162"/>
      <c r="DL972" s="147"/>
      <c r="DM972" s="147"/>
      <c r="DN972" s="147"/>
      <c r="DO972" s="147"/>
      <c r="DP972" s="147"/>
      <c r="DQ972" s="147"/>
      <c r="DR972" s="147"/>
      <c r="DS972" s="147"/>
      <c r="DT972" s="147"/>
      <c r="DU972" s="147"/>
      <c r="DV972" s="147"/>
      <c r="DW972" s="147"/>
      <c r="DX972" s="147"/>
      <c r="DY972" s="147"/>
      <c r="DZ972" s="147"/>
      <c r="EA972" s="147"/>
      <c r="EB972" s="147"/>
      <c r="EC972" s="147"/>
      <c r="ED972" s="147"/>
      <c r="EE972" s="147"/>
      <c r="EF972" s="147"/>
      <c r="EG972" s="147"/>
      <c r="EH972" s="147"/>
    </row>
    <row r="973" spans="1:138" x14ac:dyDescent="0.25">
      <c r="A973" s="147"/>
      <c r="B973" s="147"/>
      <c r="C973" s="160"/>
      <c r="D973" s="160"/>
      <c r="E973" s="169"/>
      <c r="F973" s="229"/>
      <c r="G973" s="165"/>
      <c r="H973" s="165"/>
      <c r="I973" s="163"/>
      <c r="J973" s="163"/>
      <c r="K973" s="162"/>
      <c r="L973" s="162"/>
      <c r="M973" s="162"/>
      <c r="N973" s="230"/>
      <c r="O973" s="230"/>
      <c r="P973" s="162"/>
      <c r="Q973" s="162"/>
      <c r="R973" s="162"/>
      <c r="S973" s="162"/>
      <c r="T973" s="162"/>
      <c r="U973" s="230"/>
      <c r="V973" s="230"/>
      <c r="W973" s="162"/>
      <c r="X973" s="162"/>
      <c r="Y973" s="162"/>
      <c r="Z973" s="162"/>
      <c r="AA973" s="162"/>
      <c r="AB973" s="230"/>
      <c r="AC973" s="230"/>
      <c r="AD973" s="162"/>
      <c r="AE973" s="162"/>
      <c r="AF973" s="162"/>
      <c r="AG973" s="162"/>
      <c r="AH973" s="162"/>
      <c r="AI973" s="230"/>
      <c r="AJ973" s="230"/>
      <c r="AK973" s="162"/>
      <c r="AL973" s="162"/>
      <c r="AM973" s="162"/>
      <c r="AN973" s="162"/>
      <c r="AO973" s="162"/>
      <c r="AP973" s="230"/>
      <c r="AQ973" s="230"/>
      <c r="AR973" s="162"/>
      <c r="AS973" s="162"/>
      <c r="AT973" s="162"/>
      <c r="AU973" s="162"/>
      <c r="AV973" s="162"/>
      <c r="AW973" s="230"/>
      <c r="AX973" s="230"/>
      <c r="AY973" s="162"/>
      <c r="AZ973" s="162"/>
      <c r="BA973" s="162"/>
      <c r="BB973" s="162"/>
      <c r="BC973" s="162"/>
      <c r="BD973" s="230"/>
      <c r="BE973" s="230"/>
      <c r="BF973" s="162"/>
      <c r="BG973" s="162"/>
      <c r="BH973" s="162"/>
      <c r="BI973" s="162"/>
      <c r="BJ973" s="162"/>
      <c r="BK973" s="230"/>
      <c r="BL973" s="230"/>
      <c r="BM973" s="162"/>
      <c r="BN973" s="162"/>
      <c r="BO973" s="162"/>
      <c r="BP973" s="162"/>
      <c r="BQ973" s="162"/>
      <c r="BR973" s="230"/>
      <c r="BS973" s="230"/>
      <c r="BT973" s="162"/>
      <c r="BU973" s="162"/>
      <c r="BV973" s="162"/>
      <c r="BW973" s="162"/>
      <c r="BX973" s="162"/>
      <c r="BY973" s="230"/>
      <c r="BZ973" s="230"/>
      <c r="CA973" s="162"/>
      <c r="CB973" s="162"/>
      <c r="CC973" s="162"/>
      <c r="CD973" s="162"/>
      <c r="CE973" s="162"/>
      <c r="CF973" s="230"/>
      <c r="CG973" s="230"/>
      <c r="CH973" s="162"/>
      <c r="CI973" s="162"/>
      <c r="CJ973" s="162"/>
      <c r="CK973" s="162"/>
      <c r="CL973" s="162"/>
      <c r="CM973" s="230"/>
      <c r="CN973" s="230"/>
      <c r="CO973" s="162"/>
      <c r="CP973" s="162"/>
      <c r="CQ973" s="162"/>
      <c r="CR973" s="162"/>
      <c r="CS973" s="162"/>
      <c r="CT973" s="230"/>
      <c r="CU973" s="230"/>
      <c r="CV973" s="162"/>
      <c r="CW973" s="162"/>
      <c r="CX973" s="162"/>
      <c r="CY973" s="162"/>
      <c r="CZ973" s="162"/>
      <c r="DA973" s="230"/>
      <c r="DB973" s="230"/>
      <c r="DC973" s="162"/>
      <c r="DD973" s="162"/>
      <c r="DE973" s="162"/>
      <c r="DF973" s="162"/>
      <c r="DG973" s="162"/>
      <c r="DH973" s="230"/>
      <c r="DI973" s="230"/>
      <c r="DJ973" s="162"/>
      <c r="DK973" s="162"/>
      <c r="DL973" s="147"/>
      <c r="DM973" s="147"/>
      <c r="DN973" s="147"/>
      <c r="DO973" s="147"/>
      <c r="DP973" s="147"/>
      <c r="DQ973" s="147"/>
      <c r="DR973" s="147"/>
      <c r="DS973" s="147"/>
      <c r="DT973" s="147"/>
      <c r="DU973" s="147"/>
      <c r="DV973" s="147"/>
      <c r="DW973" s="147"/>
      <c r="DX973" s="147"/>
      <c r="DY973" s="147"/>
      <c r="DZ973" s="147"/>
      <c r="EA973" s="147"/>
      <c r="EB973" s="147"/>
      <c r="EC973" s="147"/>
      <c r="ED973" s="147"/>
      <c r="EE973" s="147"/>
      <c r="EF973" s="147"/>
      <c r="EG973" s="147"/>
      <c r="EH973" s="147"/>
    </row>
    <row r="974" spans="1:138" x14ac:dyDescent="0.25">
      <c r="A974" s="147"/>
      <c r="B974" s="147"/>
      <c r="C974" s="160"/>
      <c r="D974" s="160"/>
      <c r="E974" s="169"/>
      <c r="F974" s="229"/>
      <c r="G974" s="165"/>
      <c r="H974" s="165"/>
      <c r="I974" s="163"/>
      <c r="J974" s="163"/>
      <c r="K974" s="162"/>
      <c r="L974" s="162"/>
      <c r="M974" s="162"/>
      <c r="N974" s="230"/>
      <c r="O974" s="230"/>
      <c r="P974" s="162"/>
      <c r="Q974" s="162"/>
      <c r="R974" s="162"/>
      <c r="S974" s="162"/>
      <c r="T974" s="162"/>
      <c r="U974" s="230"/>
      <c r="V974" s="230"/>
      <c r="W974" s="162"/>
      <c r="X974" s="162"/>
      <c r="Y974" s="162"/>
      <c r="Z974" s="162"/>
      <c r="AA974" s="162"/>
      <c r="AB974" s="230"/>
      <c r="AC974" s="230"/>
      <c r="AD974" s="162"/>
      <c r="AE974" s="162"/>
      <c r="AF974" s="162"/>
      <c r="AG974" s="162"/>
      <c r="AH974" s="162"/>
      <c r="AI974" s="230"/>
      <c r="AJ974" s="230"/>
      <c r="AK974" s="162"/>
      <c r="AL974" s="162"/>
      <c r="AM974" s="162"/>
      <c r="AN974" s="162"/>
      <c r="AO974" s="162"/>
      <c r="AP974" s="230"/>
      <c r="AQ974" s="230"/>
      <c r="AR974" s="162"/>
      <c r="AS974" s="162"/>
      <c r="AT974" s="162"/>
      <c r="AU974" s="162"/>
      <c r="AV974" s="162"/>
      <c r="AW974" s="230"/>
      <c r="AX974" s="230"/>
      <c r="AY974" s="162"/>
      <c r="AZ974" s="162"/>
      <c r="BA974" s="162"/>
      <c r="BB974" s="162"/>
      <c r="BC974" s="162"/>
      <c r="BD974" s="230"/>
      <c r="BE974" s="230"/>
      <c r="BF974" s="162"/>
      <c r="BG974" s="162"/>
      <c r="BH974" s="162"/>
      <c r="BI974" s="162"/>
      <c r="BJ974" s="162"/>
      <c r="BK974" s="230"/>
      <c r="BL974" s="230"/>
      <c r="BM974" s="162"/>
      <c r="BN974" s="162"/>
      <c r="BO974" s="162"/>
      <c r="BP974" s="162"/>
      <c r="BQ974" s="162"/>
      <c r="BR974" s="230"/>
      <c r="BS974" s="230"/>
      <c r="BT974" s="162"/>
      <c r="BU974" s="162"/>
      <c r="BV974" s="162"/>
      <c r="BW974" s="162"/>
      <c r="BX974" s="162"/>
      <c r="BY974" s="230"/>
      <c r="BZ974" s="230"/>
      <c r="CA974" s="162"/>
      <c r="CB974" s="162"/>
      <c r="CC974" s="162"/>
      <c r="CD974" s="162"/>
      <c r="CE974" s="162"/>
      <c r="CF974" s="230"/>
      <c r="CG974" s="230"/>
      <c r="CH974" s="162"/>
      <c r="CI974" s="162"/>
      <c r="CJ974" s="162"/>
      <c r="CK974" s="162"/>
      <c r="CL974" s="162"/>
      <c r="CM974" s="230"/>
      <c r="CN974" s="230"/>
      <c r="CO974" s="162"/>
      <c r="CP974" s="162"/>
      <c r="CQ974" s="162"/>
      <c r="CR974" s="162"/>
      <c r="CS974" s="162"/>
      <c r="CT974" s="230"/>
      <c r="CU974" s="230"/>
      <c r="CV974" s="162"/>
      <c r="CW974" s="162"/>
      <c r="CX974" s="162"/>
      <c r="CY974" s="162"/>
      <c r="CZ974" s="162"/>
      <c r="DA974" s="230"/>
      <c r="DB974" s="230"/>
      <c r="DC974" s="162"/>
      <c r="DD974" s="162"/>
      <c r="DE974" s="162"/>
      <c r="DF974" s="162"/>
      <c r="DG974" s="162"/>
      <c r="DH974" s="230"/>
      <c r="DI974" s="230"/>
      <c r="DJ974" s="162"/>
      <c r="DK974" s="162"/>
      <c r="DL974" s="147"/>
      <c r="DM974" s="147"/>
      <c r="DN974" s="147"/>
      <c r="DO974" s="147"/>
      <c r="DP974" s="147"/>
      <c r="DQ974" s="147"/>
      <c r="DR974" s="147"/>
      <c r="DS974" s="147"/>
      <c r="DT974" s="147"/>
      <c r="DU974" s="147"/>
      <c r="DV974" s="147"/>
      <c r="DW974" s="147"/>
      <c r="DX974" s="147"/>
      <c r="DY974" s="147"/>
      <c r="DZ974" s="147"/>
      <c r="EA974" s="147"/>
      <c r="EB974" s="147"/>
      <c r="EC974" s="147"/>
      <c r="ED974" s="147"/>
      <c r="EE974" s="147"/>
      <c r="EF974" s="147"/>
      <c r="EG974" s="147"/>
      <c r="EH974" s="147"/>
    </row>
    <row r="975" spans="1:138" x14ac:dyDescent="0.25">
      <c r="A975" s="147"/>
      <c r="B975" s="147"/>
      <c r="C975" s="160"/>
      <c r="D975" s="160"/>
      <c r="E975" s="169"/>
      <c r="F975" s="229"/>
      <c r="G975" s="165"/>
      <c r="H975" s="165"/>
      <c r="I975" s="163"/>
      <c r="J975" s="163"/>
      <c r="K975" s="162"/>
      <c r="L975" s="162"/>
      <c r="M975" s="162"/>
      <c r="N975" s="230"/>
      <c r="O975" s="230"/>
      <c r="P975" s="162"/>
      <c r="Q975" s="162"/>
      <c r="R975" s="162"/>
      <c r="S975" s="162"/>
      <c r="T975" s="162"/>
      <c r="U975" s="230"/>
      <c r="V975" s="230"/>
      <c r="W975" s="162"/>
      <c r="X975" s="162"/>
      <c r="Y975" s="162"/>
      <c r="Z975" s="162"/>
      <c r="AA975" s="162"/>
      <c r="AB975" s="230"/>
      <c r="AC975" s="230"/>
      <c r="AD975" s="162"/>
      <c r="AE975" s="162"/>
      <c r="AF975" s="162"/>
      <c r="AG975" s="162"/>
      <c r="AH975" s="162"/>
      <c r="AI975" s="230"/>
      <c r="AJ975" s="230"/>
      <c r="AK975" s="162"/>
      <c r="AL975" s="162"/>
      <c r="AM975" s="162"/>
      <c r="AN975" s="162"/>
      <c r="AO975" s="162"/>
      <c r="AP975" s="230"/>
      <c r="AQ975" s="230"/>
      <c r="AR975" s="162"/>
      <c r="AS975" s="162"/>
      <c r="AT975" s="162"/>
      <c r="AU975" s="162"/>
      <c r="AV975" s="162"/>
      <c r="AW975" s="230"/>
      <c r="AX975" s="230"/>
      <c r="AY975" s="162"/>
      <c r="AZ975" s="162"/>
      <c r="BA975" s="162"/>
      <c r="BB975" s="162"/>
      <c r="BC975" s="162"/>
      <c r="BD975" s="230"/>
      <c r="BE975" s="230"/>
      <c r="BF975" s="162"/>
      <c r="BG975" s="162"/>
      <c r="BH975" s="162"/>
      <c r="BI975" s="162"/>
      <c r="BJ975" s="162"/>
      <c r="BK975" s="230"/>
      <c r="BL975" s="230"/>
      <c r="BM975" s="162"/>
      <c r="BN975" s="162"/>
      <c r="BO975" s="162"/>
      <c r="BP975" s="162"/>
      <c r="BQ975" s="162"/>
      <c r="BR975" s="230"/>
      <c r="BS975" s="230"/>
      <c r="BT975" s="162"/>
      <c r="BU975" s="162"/>
      <c r="BV975" s="162"/>
      <c r="BW975" s="162"/>
      <c r="BX975" s="162"/>
      <c r="BY975" s="230"/>
      <c r="BZ975" s="230"/>
      <c r="CA975" s="162"/>
      <c r="CB975" s="162"/>
      <c r="CC975" s="162"/>
      <c r="CD975" s="162"/>
      <c r="CE975" s="162"/>
      <c r="CF975" s="230"/>
      <c r="CG975" s="230"/>
      <c r="CH975" s="162"/>
      <c r="CI975" s="162"/>
      <c r="CJ975" s="162"/>
      <c r="CK975" s="162"/>
      <c r="CL975" s="162"/>
      <c r="CM975" s="230"/>
      <c r="CN975" s="230"/>
      <c r="CO975" s="162"/>
      <c r="CP975" s="162"/>
      <c r="CQ975" s="162"/>
      <c r="CR975" s="162"/>
      <c r="CS975" s="162"/>
      <c r="CT975" s="230"/>
      <c r="CU975" s="230"/>
      <c r="CV975" s="162"/>
      <c r="CW975" s="162"/>
      <c r="CX975" s="162"/>
      <c r="CY975" s="162"/>
      <c r="CZ975" s="162"/>
      <c r="DA975" s="230"/>
      <c r="DB975" s="230"/>
      <c r="DC975" s="162"/>
      <c r="DD975" s="162"/>
      <c r="DE975" s="162"/>
      <c r="DF975" s="162"/>
      <c r="DG975" s="162"/>
      <c r="DH975" s="230"/>
      <c r="DI975" s="230"/>
      <c r="DJ975" s="162"/>
      <c r="DK975" s="162"/>
      <c r="DL975" s="147"/>
      <c r="DM975" s="147"/>
      <c r="DN975" s="147"/>
      <c r="DO975" s="147"/>
      <c r="DP975" s="147"/>
      <c r="DQ975" s="147"/>
      <c r="DR975" s="147"/>
      <c r="DS975" s="147"/>
      <c r="DT975" s="147"/>
      <c r="DU975" s="147"/>
      <c r="DV975" s="147"/>
      <c r="DW975" s="147"/>
      <c r="DX975" s="147"/>
      <c r="DY975" s="147"/>
      <c r="DZ975" s="147"/>
      <c r="EA975" s="147"/>
      <c r="EB975" s="147"/>
      <c r="EC975" s="147"/>
      <c r="ED975" s="147"/>
      <c r="EE975" s="147"/>
      <c r="EF975" s="147"/>
      <c r="EG975" s="147"/>
      <c r="EH975" s="147"/>
    </row>
    <row r="976" spans="1:138" x14ac:dyDescent="0.25">
      <c r="A976" s="147"/>
      <c r="B976" s="147"/>
      <c r="C976" s="160"/>
      <c r="D976" s="160"/>
      <c r="E976" s="169"/>
      <c r="F976" s="229"/>
      <c r="G976" s="165"/>
      <c r="H976" s="165"/>
      <c r="I976" s="163"/>
      <c r="J976" s="163"/>
      <c r="K976" s="162"/>
      <c r="L976" s="162"/>
      <c r="M976" s="162"/>
      <c r="N976" s="230"/>
      <c r="O976" s="230"/>
      <c r="P976" s="162"/>
      <c r="Q976" s="162"/>
      <c r="R976" s="162"/>
      <c r="S976" s="162"/>
      <c r="T976" s="162"/>
      <c r="U976" s="230"/>
      <c r="V976" s="230"/>
      <c r="W976" s="162"/>
      <c r="X976" s="162"/>
      <c r="Y976" s="162"/>
      <c r="Z976" s="162"/>
      <c r="AA976" s="162"/>
      <c r="AB976" s="230"/>
      <c r="AC976" s="230"/>
      <c r="AD976" s="162"/>
      <c r="AE976" s="162"/>
      <c r="AF976" s="162"/>
      <c r="AG976" s="162"/>
      <c r="AH976" s="162"/>
      <c r="AI976" s="230"/>
      <c r="AJ976" s="230"/>
      <c r="AK976" s="162"/>
      <c r="AL976" s="162"/>
      <c r="AM976" s="162"/>
      <c r="AN976" s="162"/>
      <c r="AO976" s="162"/>
      <c r="AP976" s="230"/>
      <c r="AQ976" s="230"/>
      <c r="AR976" s="162"/>
      <c r="AS976" s="162"/>
      <c r="AT976" s="162"/>
      <c r="AU976" s="162"/>
      <c r="AV976" s="162"/>
      <c r="AW976" s="230"/>
      <c r="AX976" s="230"/>
      <c r="AY976" s="162"/>
      <c r="AZ976" s="162"/>
      <c r="BA976" s="162"/>
      <c r="BB976" s="162"/>
      <c r="BC976" s="162"/>
      <c r="BD976" s="230"/>
      <c r="BE976" s="230"/>
      <c r="BF976" s="162"/>
      <c r="BG976" s="162"/>
      <c r="BH976" s="162"/>
      <c r="BI976" s="162"/>
      <c r="BJ976" s="162"/>
      <c r="BK976" s="230"/>
      <c r="BL976" s="230"/>
      <c r="BM976" s="162"/>
      <c r="BN976" s="162"/>
      <c r="BO976" s="162"/>
      <c r="BP976" s="162"/>
      <c r="BQ976" s="162"/>
      <c r="BR976" s="230"/>
      <c r="BS976" s="230"/>
      <c r="BT976" s="162"/>
      <c r="BU976" s="162"/>
      <c r="BV976" s="162"/>
      <c r="BW976" s="162"/>
      <c r="BX976" s="162"/>
      <c r="BY976" s="230"/>
      <c r="BZ976" s="230"/>
      <c r="CA976" s="162"/>
      <c r="CB976" s="162"/>
      <c r="CC976" s="162"/>
      <c r="CD976" s="162"/>
      <c r="CE976" s="162"/>
      <c r="CF976" s="230"/>
      <c r="CG976" s="230"/>
      <c r="CH976" s="162"/>
      <c r="CI976" s="162"/>
      <c r="CJ976" s="162"/>
      <c r="CK976" s="162"/>
      <c r="CL976" s="162"/>
      <c r="CM976" s="230"/>
      <c r="CN976" s="230"/>
      <c r="CO976" s="162"/>
      <c r="CP976" s="162"/>
      <c r="CQ976" s="162"/>
      <c r="CR976" s="162"/>
      <c r="CS976" s="162"/>
      <c r="CT976" s="230"/>
      <c r="CU976" s="230"/>
      <c r="CV976" s="162"/>
      <c r="CW976" s="162"/>
      <c r="CX976" s="162"/>
      <c r="CY976" s="162"/>
      <c r="CZ976" s="162"/>
      <c r="DA976" s="230"/>
      <c r="DB976" s="230"/>
      <c r="DC976" s="162"/>
      <c r="DD976" s="162"/>
      <c r="DE976" s="162"/>
      <c r="DF976" s="162"/>
      <c r="DG976" s="162"/>
      <c r="DH976" s="230"/>
      <c r="DI976" s="230"/>
      <c r="DJ976" s="162"/>
      <c r="DK976" s="162"/>
      <c r="DL976" s="147"/>
      <c r="DM976" s="147"/>
      <c r="DN976" s="147"/>
      <c r="DO976" s="147"/>
      <c r="DP976" s="147"/>
      <c r="DQ976" s="147"/>
      <c r="DR976" s="147"/>
      <c r="DS976" s="147"/>
      <c r="DT976" s="147"/>
      <c r="DU976" s="147"/>
      <c r="DV976" s="147"/>
      <c r="DW976" s="147"/>
      <c r="DX976" s="147"/>
      <c r="DY976" s="147"/>
      <c r="DZ976" s="147"/>
      <c r="EA976" s="147"/>
      <c r="EB976" s="147"/>
      <c r="EC976" s="147"/>
      <c r="ED976" s="147"/>
      <c r="EE976" s="147"/>
      <c r="EF976" s="147"/>
      <c r="EG976" s="147"/>
      <c r="EH976" s="147"/>
    </row>
    <row r="977" spans="1:138" x14ac:dyDescent="0.25">
      <c r="A977" s="147"/>
      <c r="B977" s="147"/>
      <c r="C977" s="160"/>
      <c r="D977" s="160"/>
      <c r="E977" s="169"/>
      <c r="F977" s="229"/>
      <c r="G977" s="165"/>
      <c r="H977" s="165"/>
      <c r="I977" s="163"/>
      <c r="J977" s="163"/>
      <c r="K977" s="162"/>
      <c r="L977" s="162"/>
      <c r="M977" s="162"/>
      <c r="N977" s="230"/>
      <c r="O977" s="230"/>
      <c r="P977" s="162"/>
      <c r="Q977" s="162"/>
      <c r="R977" s="162"/>
      <c r="S977" s="162"/>
      <c r="T977" s="162"/>
      <c r="U977" s="230"/>
      <c r="V977" s="230"/>
      <c r="W977" s="162"/>
      <c r="X977" s="162"/>
      <c r="Y977" s="162"/>
      <c r="Z977" s="162"/>
      <c r="AA977" s="162"/>
      <c r="AB977" s="230"/>
      <c r="AC977" s="230"/>
      <c r="AD977" s="162"/>
      <c r="AE977" s="162"/>
      <c r="AF977" s="162"/>
      <c r="AG977" s="162"/>
      <c r="AH977" s="162"/>
      <c r="AI977" s="230"/>
      <c r="AJ977" s="230"/>
      <c r="AK977" s="162"/>
      <c r="AL977" s="162"/>
      <c r="AM977" s="162"/>
      <c r="AN977" s="162"/>
      <c r="AO977" s="162"/>
      <c r="AP977" s="230"/>
      <c r="AQ977" s="230"/>
      <c r="AR977" s="162"/>
      <c r="AS977" s="162"/>
      <c r="AT977" s="162"/>
      <c r="AU977" s="162"/>
      <c r="AV977" s="162"/>
      <c r="AW977" s="230"/>
      <c r="AX977" s="230"/>
      <c r="AY977" s="162"/>
      <c r="AZ977" s="162"/>
      <c r="BA977" s="162"/>
      <c r="BB977" s="162"/>
      <c r="BC977" s="162"/>
      <c r="BD977" s="230"/>
      <c r="BE977" s="230"/>
      <c r="BF977" s="162"/>
      <c r="BG977" s="162"/>
      <c r="BH977" s="162"/>
      <c r="BI977" s="162"/>
      <c r="BJ977" s="162"/>
      <c r="BK977" s="230"/>
      <c r="BL977" s="230"/>
      <c r="BM977" s="162"/>
      <c r="BN977" s="162"/>
      <c r="BO977" s="162"/>
      <c r="BP977" s="162"/>
      <c r="BQ977" s="162"/>
      <c r="BR977" s="230"/>
      <c r="BS977" s="230"/>
      <c r="BT977" s="162"/>
      <c r="BU977" s="162"/>
      <c r="BV977" s="162"/>
      <c r="BW977" s="162"/>
      <c r="BX977" s="162"/>
      <c r="BY977" s="230"/>
      <c r="BZ977" s="230"/>
      <c r="CA977" s="162"/>
      <c r="CB977" s="162"/>
      <c r="CC977" s="162"/>
      <c r="CD977" s="162"/>
      <c r="CE977" s="162"/>
      <c r="CF977" s="230"/>
      <c r="CG977" s="230"/>
      <c r="CH977" s="162"/>
      <c r="CI977" s="162"/>
      <c r="CJ977" s="162"/>
      <c r="CK977" s="162"/>
      <c r="CL977" s="162"/>
      <c r="CM977" s="230"/>
      <c r="CN977" s="230"/>
      <c r="CO977" s="162"/>
      <c r="CP977" s="162"/>
      <c r="CQ977" s="162"/>
      <c r="CR977" s="162"/>
      <c r="CS977" s="162"/>
      <c r="CT977" s="230"/>
      <c r="CU977" s="230"/>
      <c r="CV977" s="162"/>
      <c r="CW977" s="162"/>
      <c r="CX977" s="162"/>
      <c r="CY977" s="162"/>
      <c r="CZ977" s="162"/>
      <c r="DA977" s="230"/>
      <c r="DB977" s="230"/>
      <c r="DC977" s="162"/>
      <c r="DD977" s="162"/>
      <c r="DE977" s="162"/>
      <c r="DF977" s="162"/>
      <c r="DG977" s="162"/>
      <c r="DH977" s="230"/>
      <c r="DI977" s="230"/>
      <c r="DJ977" s="162"/>
      <c r="DK977" s="162"/>
      <c r="DL977" s="147"/>
      <c r="DM977" s="147"/>
      <c r="DN977" s="147"/>
      <c r="DO977" s="147"/>
      <c r="DP977" s="147"/>
      <c r="DQ977" s="147"/>
      <c r="DR977" s="147"/>
      <c r="DS977" s="147"/>
      <c r="DT977" s="147"/>
      <c r="DU977" s="147"/>
      <c r="DV977" s="147"/>
      <c r="DW977" s="147"/>
      <c r="DX977" s="147"/>
      <c r="DY977" s="147"/>
      <c r="DZ977" s="147"/>
      <c r="EA977" s="147"/>
      <c r="EB977" s="147"/>
      <c r="EC977" s="147"/>
      <c r="ED977" s="147"/>
      <c r="EE977" s="147"/>
      <c r="EF977" s="147"/>
      <c r="EG977" s="147"/>
      <c r="EH977" s="147"/>
    </row>
    <row r="978" spans="1:138" x14ac:dyDescent="0.25">
      <c r="A978" s="147"/>
      <c r="B978" s="147"/>
      <c r="C978" s="160"/>
      <c r="D978" s="160"/>
      <c r="E978" s="169"/>
      <c r="F978" s="229"/>
      <c r="G978" s="165"/>
      <c r="H978" s="165"/>
      <c r="I978" s="163"/>
      <c r="J978" s="163"/>
      <c r="K978" s="162"/>
      <c r="L978" s="162"/>
      <c r="M978" s="162"/>
      <c r="N978" s="230"/>
      <c r="O978" s="230"/>
      <c r="P978" s="162"/>
      <c r="Q978" s="162"/>
      <c r="R978" s="162"/>
      <c r="S978" s="162"/>
      <c r="T978" s="162"/>
      <c r="U978" s="230"/>
      <c r="V978" s="230"/>
      <c r="W978" s="162"/>
      <c r="X978" s="162"/>
      <c r="Y978" s="162"/>
      <c r="Z978" s="162"/>
      <c r="AA978" s="162"/>
      <c r="AB978" s="230"/>
      <c r="AC978" s="230"/>
      <c r="AD978" s="162"/>
      <c r="AE978" s="162"/>
      <c r="AF978" s="162"/>
      <c r="AG978" s="162"/>
      <c r="AH978" s="162"/>
      <c r="AI978" s="230"/>
      <c r="AJ978" s="230"/>
      <c r="AK978" s="162"/>
      <c r="AL978" s="162"/>
      <c r="AM978" s="162"/>
      <c r="AN978" s="162"/>
      <c r="AO978" s="162"/>
      <c r="AP978" s="230"/>
      <c r="AQ978" s="230"/>
      <c r="AR978" s="162"/>
      <c r="AS978" s="162"/>
      <c r="AT978" s="162"/>
      <c r="AU978" s="162"/>
      <c r="AV978" s="162"/>
      <c r="AW978" s="230"/>
      <c r="AX978" s="230"/>
      <c r="AY978" s="162"/>
      <c r="AZ978" s="162"/>
      <c r="BA978" s="162"/>
      <c r="BB978" s="162"/>
      <c r="BC978" s="162"/>
      <c r="BD978" s="230"/>
      <c r="BE978" s="230"/>
      <c r="BF978" s="162"/>
      <c r="BG978" s="162"/>
      <c r="BH978" s="162"/>
      <c r="BI978" s="162"/>
      <c r="BJ978" s="162"/>
      <c r="BK978" s="230"/>
      <c r="BL978" s="230"/>
      <c r="BM978" s="162"/>
      <c r="BN978" s="162"/>
      <c r="BO978" s="162"/>
      <c r="BP978" s="162"/>
      <c r="BQ978" s="162"/>
      <c r="BR978" s="230"/>
      <c r="BS978" s="230"/>
      <c r="BT978" s="162"/>
      <c r="BU978" s="162"/>
      <c r="BV978" s="162"/>
      <c r="BW978" s="162"/>
      <c r="BX978" s="162"/>
      <c r="BY978" s="230"/>
      <c r="BZ978" s="230"/>
      <c r="CA978" s="162"/>
      <c r="CB978" s="162"/>
      <c r="CC978" s="162"/>
      <c r="CD978" s="162"/>
      <c r="CE978" s="162"/>
      <c r="CF978" s="230"/>
      <c r="CG978" s="230"/>
      <c r="CH978" s="162"/>
      <c r="CI978" s="162"/>
      <c r="CJ978" s="162"/>
      <c r="CK978" s="162"/>
      <c r="CL978" s="162"/>
      <c r="CM978" s="230"/>
      <c r="CN978" s="230"/>
      <c r="CO978" s="162"/>
      <c r="CP978" s="162"/>
      <c r="CQ978" s="162"/>
      <c r="CR978" s="162"/>
      <c r="CS978" s="162"/>
      <c r="CT978" s="230"/>
      <c r="CU978" s="230"/>
      <c r="CV978" s="162"/>
      <c r="CW978" s="162"/>
      <c r="CX978" s="162"/>
      <c r="CY978" s="162"/>
      <c r="CZ978" s="162"/>
      <c r="DA978" s="230"/>
      <c r="DB978" s="230"/>
      <c r="DC978" s="162"/>
      <c r="DD978" s="162"/>
      <c r="DE978" s="162"/>
      <c r="DF978" s="162"/>
      <c r="DG978" s="162"/>
      <c r="DH978" s="230"/>
      <c r="DI978" s="230"/>
      <c r="DJ978" s="162"/>
      <c r="DK978" s="162"/>
      <c r="DL978" s="147"/>
      <c r="DM978" s="147"/>
      <c r="DN978" s="147"/>
      <c r="DO978" s="147"/>
      <c r="DP978" s="147"/>
      <c r="DQ978" s="147"/>
      <c r="DR978" s="147"/>
      <c r="DS978" s="147"/>
      <c r="DT978" s="147"/>
      <c r="DU978" s="147"/>
      <c r="DV978" s="147"/>
      <c r="DW978" s="147"/>
      <c r="DX978" s="147"/>
      <c r="DY978" s="147"/>
      <c r="DZ978" s="147"/>
      <c r="EA978" s="147"/>
      <c r="EB978" s="147"/>
      <c r="EC978" s="147"/>
      <c r="ED978" s="147"/>
      <c r="EE978" s="147"/>
      <c r="EF978" s="147"/>
      <c r="EG978" s="147"/>
      <c r="EH978" s="147"/>
    </row>
    <row r="979" spans="1:138" x14ac:dyDescent="0.25">
      <c r="A979" s="147"/>
      <c r="B979" s="147"/>
      <c r="C979" s="160"/>
      <c r="D979" s="160"/>
      <c r="E979" s="169"/>
      <c r="F979" s="229"/>
      <c r="G979" s="165"/>
      <c r="H979" s="165"/>
      <c r="I979" s="163"/>
      <c r="J979" s="163"/>
      <c r="K979" s="162"/>
      <c r="L979" s="162"/>
      <c r="M979" s="162"/>
      <c r="N979" s="230"/>
      <c r="O979" s="230"/>
      <c r="P979" s="162"/>
      <c r="Q979" s="162"/>
      <c r="R979" s="162"/>
      <c r="S979" s="162"/>
      <c r="T979" s="162"/>
      <c r="U979" s="230"/>
      <c r="V979" s="230"/>
      <c r="W979" s="162"/>
      <c r="X979" s="162"/>
      <c r="Y979" s="162"/>
      <c r="Z979" s="162"/>
      <c r="AA979" s="162"/>
      <c r="AB979" s="230"/>
      <c r="AC979" s="230"/>
      <c r="AD979" s="162"/>
      <c r="AE979" s="162"/>
      <c r="AF979" s="162"/>
      <c r="AG979" s="162"/>
      <c r="AH979" s="162"/>
      <c r="AI979" s="230"/>
      <c r="AJ979" s="230"/>
      <c r="AK979" s="162"/>
      <c r="AL979" s="162"/>
      <c r="AM979" s="162"/>
      <c r="AN979" s="162"/>
      <c r="AO979" s="162"/>
      <c r="AP979" s="230"/>
      <c r="AQ979" s="230"/>
      <c r="AR979" s="162"/>
      <c r="AS979" s="162"/>
      <c r="AT979" s="162"/>
      <c r="AU979" s="162"/>
      <c r="AV979" s="162"/>
      <c r="AW979" s="230"/>
      <c r="AX979" s="230"/>
      <c r="AY979" s="162"/>
      <c r="AZ979" s="162"/>
      <c r="BA979" s="162"/>
      <c r="BB979" s="162"/>
      <c r="BC979" s="162"/>
      <c r="BD979" s="230"/>
      <c r="BE979" s="230"/>
      <c r="BF979" s="162"/>
      <c r="BG979" s="162"/>
      <c r="BH979" s="162"/>
      <c r="BI979" s="162"/>
      <c r="BJ979" s="162"/>
      <c r="BK979" s="230"/>
      <c r="BL979" s="230"/>
      <c r="BM979" s="162"/>
      <c r="BN979" s="162"/>
      <c r="BO979" s="162"/>
      <c r="BP979" s="162"/>
      <c r="BQ979" s="162"/>
      <c r="BR979" s="230"/>
      <c r="BS979" s="230"/>
      <c r="BT979" s="162"/>
      <c r="BU979" s="162"/>
      <c r="BV979" s="162"/>
      <c r="BW979" s="162"/>
      <c r="BX979" s="162"/>
      <c r="BY979" s="230"/>
      <c r="BZ979" s="230"/>
      <c r="CA979" s="162"/>
      <c r="CB979" s="162"/>
      <c r="CC979" s="162"/>
      <c r="CD979" s="162"/>
      <c r="CE979" s="162"/>
      <c r="CF979" s="230"/>
      <c r="CG979" s="230"/>
      <c r="CH979" s="162"/>
      <c r="CI979" s="162"/>
      <c r="CJ979" s="162"/>
      <c r="CK979" s="162"/>
      <c r="CL979" s="162"/>
      <c r="CM979" s="230"/>
      <c r="CN979" s="230"/>
      <c r="CO979" s="162"/>
      <c r="CP979" s="162"/>
      <c r="CQ979" s="162"/>
      <c r="CR979" s="162"/>
      <c r="CS979" s="162"/>
      <c r="CT979" s="230"/>
      <c r="CU979" s="230"/>
      <c r="CV979" s="162"/>
      <c r="CW979" s="162"/>
      <c r="CX979" s="162"/>
      <c r="CY979" s="162"/>
      <c r="CZ979" s="162"/>
      <c r="DA979" s="230"/>
      <c r="DB979" s="230"/>
      <c r="DC979" s="162"/>
      <c r="DD979" s="162"/>
      <c r="DE979" s="162"/>
      <c r="DF979" s="162"/>
      <c r="DG979" s="162"/>
      <c r="DH979" s="230"/>
      <c r="DI979" s="230"/>
      <c r="DJ979" s="162"/>
      <c r="DK979" s="162"/>
      <c r="DL979" s="147"/>
      <c r="DM979" s="147"/>
      <c r="DN979" s="147"/>
      <c r="DO979" s="147"/>
      <c r="DP979" s="147"/>
      <c r="DQ979" s="147"/>
      <c r="DR979" s="147"/>
      <c r="DS979" s="147"/>
      <c r="DT979" s="147"/>
      <c r="DU979" s="147"/>
      <c r="DV979" s="147"/>
      <c r="DW979" s="147"/>
      <c r="DX979" s="147"/>
      <c r="DY979" s="147"/>
      <c r="DZ979" s="147"/>
      <c r="EA979" s="147"/>
      <c r="EB979" s="147"/>
      <c r="EC979" s="147"/>
      <c r="ED979" s="147"/>
      <c r="EE979" s="147"/>
      <c r="EF979" s="147"/>
      <c r="EG979" s="147"/>
      <c r="EH979" s="147"/>
    </row>
    <row r="980" spans="1:138" x14ac:dyDescent="0.25">
      <c r="A980" s="147"/>
      <c r="B980" s="147"/>
      <c r="C980" s="160"/>
      <c r="D980" s="160"/>
      <c r="E980" s="169"/>
      <c r="F980" s="229"/>
      <c r="G980" s="165"/>
      <c r="H980" s="165"/>
      <c r="I980" s="163"/>
      <c r="J980" s="163"/>
      <c r="K980" s="162"/>
      <c r="L980" s="162"/>
      <c r="M980" s="162"/>
      <c r="N980" s="230"/>
      <c r="O980" s="230"/>
      <c r="P980" s="162"/>
      <c r="Q980" s="162"/>
      <c r="R980" s="162"/>
      <c r="S980" s="162"/>
      <c r="T980" s="162"/>
      <c r="U980" s="230"/>
      <c r="V980" s="230"/>
      <c r="W980" s="162"/>
      <c r="X980" s="162"/>
      <c r="Y980" s="162"/>
      <c r="Z980" s="162"/>
      <c r="AA980" s="162"/>
      <c r="AB980" s="230"/>
      <c r="AC980" s="230"/>
      <c r="AD980" s="162"/>
      <c r="AE980" s="162"/>
      <c r="AF980" s="162"/>
      <c r="AG980" s="162"/>
      <c r="AH980" s="162"/>
      <c r="AI980" s="230"/>
      <c r="AJ980" s="230"/>
      <c r="AK980" s="162"/>
      <c r="AL980" s="162"/>
      <c r="AM980" s="162"/>
      <c r="AN980" s="162"/>
      <c r="AO980" s="162"/>
      <c r="AP980" s="230"/>
      <c r="AQ980" s="230"/>
      <c r="AR980" s="162"/>
      <c r="AS980" s="162"/>
      <c r="AT980" s="162"/>
      <c r="AU980" s="162"/>
      <c r="AV980" s="162"/>
      <c r="AW980" s="230"/>
      <c r="AX980" s="230"/>
      <c r="AY980" s="162"/>
      <c r="AZ980" s="162"/>
      <c r="BA980" s="162"/>
      <c r="BB980" s="162"/>
      <c r="BC980" s="162"/>
      <c r="BD980" s="230"/>
      <c r="BE980" s="230"/>
      <c r="BF980" s="162"/>
      <c r="BG980" s="162"/>
      <c r="BH980" s="162"/>
      <c r="BI980" s="162"/>
      <c r="BJ980" s="162"/>
      <c r="BK980" s="230"/>
      <c r="BL980" s="230"/>
      <c r="BM980" s="162"/>
      <c r="BN980" s="162"/>
      <c r="BO980" s="162"/>
      <c r="BP980" s="162"/>
      <c r="BQ980" s="162"/>
      <c r="BR980" s="230"/>
      <c r="BS980" s="230"/>
      <c r="BT980" s="162"/>
      <c r="BU980" s="162"/>
      <c r="BV980" s="162"/>
      <c r="BW980" s="162"/>
      <c r="BX980" s="162"/>
      <c r="BY980" s="230"/>
      <c r="BZ980" s="230"/>
      <c r="CA980" s="162"/>
      <c r="CB980" s="162"/>
      <c r="CC980" s="162"/>
      <c r="CD980" s="162"/>
      <c r="CE980" s="162"/>
      <c r="CF980" s="230"/>
      <c r="CG980" s="230"/>
      <c r="CH980" s="162"/>
      <c r="CI980" s="162"/>
      <c r="CJ980" s="162"/>
      <c r="CK980" s="162"/>
      <c r="CL980" s="162"/>
      <c r="CM980" s="230"/>
      <c r="CN980" s="230"/>
      <c r="CO980" s="162"/>
      <c r="CP980" s="162"/>
      <c r="CQ980" s="162"/>
      <c r="CR980" s="162"/>
      <c r="CS980" s="162"/>
      <c r="CT980" s="230"/>
      <c r="CU980" s="230"/>
      <c r="CV980" s="162"/>
      <c r="CW980" s="162"/>
      <c r="CX980" s="162"/>
      <c r="CY980" s="162"/>
      <c r="CZ980" s="162"/>
      <c r="DA980" s="230"/>
      <c r="DB980" s="230"/>
      <c r="DC980" s="162"/>
      <c r="DD980" s="162"/>
      <c r="DE980" s="162"/>
      <c r="DF980" s="162"/>
      <c r="DG980" s="162"/>
      <c r="DH980" s="230"/>
      <c r="DI980" s="230"/>
      <c r="DJ980" s="162"/>
      <c r="DK980" s="162"/>
      <c r="DL980" s="147"/>
      <c r="DM980" s="147"/>
      <c r="DN980" s="147"/>
      <c r="DO980" s="147"/>
      <c r="DP980" s="147"/>
      <c r="DQ980" s="147"/>
      <c r="DR980" s="147"/>
      <c r="DS980" s="147"/>
      <c r="DT980" s="147"/>
      <c r="DU980" s="147"/>
      <c r="DV980" s="147"/>
      <c r="DW980" s="147"/>
      <c r="DX980" s="147"/>
      <c r="DY980" s="147"/>
      <c r="DZ980" s="147"/>
      <c r="EA980" s="147"/>
      <c r="EB980" s="147"/>
      <c r="EC980" s="147"/>
      <c r="ED980" s="147"/>
      <c r="EE980" s="147"/>
      <c r="EF980" s="147"/>
      <c r="EG980" s="147"/>
      <c r="EH980" s="147"/>
    </row>
    <row r="981" spans="1:138" x14ac:dyDescent="0.25">
      <c r="A981" s="147"/>
      <c r="B981" s="147"/>
      <c r="C981" s="160"/>
      <c r="D981" s="160"/>
      <c r="E981" s="169"/>
      <c r="F981" s="229"/>
      <c r="G981" s="165"/>
      <c r="H981" s="165"/>
      <c r="I981" s="163"/>
      <c r="J981" s="163"/>
      <c r="K981" s="162"/>
      <c r="L981" s="162"/>
      <c r="M981" s="162"/>
      <c r="N981" s="230"/>
      <c r="O981" s="230"/>
      <c r="P981" s="162"/>
      <c r="Q981" s="162"/>
      <c r="R981" s="162"/>
      <c r="S981" s="162"/>
      <c r="T981" s="162"/>
      <c r="U981" s="230"/>
      <c r="V981" s="230"/>
      <c r="W981" s="162"/>
      <c r="X981" s="162"/>
      <c r="Y981" s="162"/>
      <c r="Z981" s="162"/>
      <c r="AA981" s="162"/>
      <c r="AB981" s="230"/>
      <c r="AC981" s="230"/>
      <c r="AD981" s="162"/>
      <c r="AE981" s="162"/>
      <c r="AF981" s="162"/>
      <c r="AG981" s="162"/>
      <c r="AH981" s="162"/>
      <c r="AI981" s="230"/>
      <c r="AJ981" s="230"/>
      <c r="AK981" s="162"/>
      <c r="AL981" s="162"/>
      <c r="AM981" s="162"/>
      <c r="AN981" s="162"/>
      <c r="AO981" s="162"/>
      <c r="AP981" s="230"/>
      <c r="AQ981" s="230"/>
      <c r="AR981" s="162"/>
      <c r="AS981" s="162"/>
      <c r="AT981" s="162"/>
      <c r="AU981" s="162"/>
      <c r="AV981" s="162"/>
      <c r="AW981" s="230"/>
      <c r="AX981" s="230"/>
      <c r="AY981" s="162"/>
      <c r="AZ981" s="162"/>
      <c r="BA981" s="162"/>
      <c r="BB981" s="162"/>
      <c r="BC981" s="162"/>
      <c r="BD981" s="230"/>
      <c r="BE981" s="230"/>
      <c r="BF981" s="162"/>
      <c r="BG981" s="162"/>
      <c r="BH981" s="162"/>
      <c r="BI981" s="162"/>
      <c r="BJ981" s="162"/>
      <c r="BK981" s="230"/>
      <c r="BL981" s="230"/>
      <c r="BM981" s="162"/>
      <c r="BN981" s="162"/>
      <c r="BO981" s="162"/>
      <c r="BP981" s="162"/>
      <c r="BQ981" s="162"/>
      <c r="BR981" s="230"/>
      <c r="BS981" s="230"/>
      <c r="BT981" s="162"/>
      <c r="BU981" s="162"/>
      <c r="BV981" s="162"/>
      <c r="BW981" s="162"/>
      <c r="BX981" s="162"/>
      <c r="BY981" s="230"/>
      <c r="BZ981" s="230"/>
      <c r="CA981" s="162"/>
      <c r="CB981" s="162"/>
      <c r="CC981" s="162"/>
      <c r="CD981" s="162"/>
      <c r="CE981" s="162"/>
      <c r="CF981" s="230"/>
      <c r="CG981" s="230"/>
      <c r="CH981" s="162"/>
      <c r="CI981" s="162"/>
      <c r="CJ981" s="162"/>
      <c r="CK981" s="162"/>
      <c r="CL981" s="162"/>
      <c r="CM981" s="230"/>
      <c r="CN981" s="230"/>
      <c r="CO981" s="162"/>
      <c r="CP981" s="162"/>
      <c r="CQ981" s="162"/>
      <c r="CR981" s="162"/>
      <c r="CS981" s="162"/>
      <c r="CT981" s="230"/>
      <c r="CU981" s="230"/>
      <c r="CV981" s="162"/>
      <c r="CW981" s="162"/>
      <c r="CX981" s="162"/>
      <c r="CY981" s="162"/>
      <c r="CZ981" s="162"/>
      <c r="DA981" s="230"/>
      <c r="DB981" s="230"/>
      <c r="DC981" s="162"/>
      <c r="DD981" s="162"/>
      <c r="DE981" s="162"/>
      <c r="DF981" s="162"/>
      <c r="DG981" s="162"/>
      <c r="DH981" s="230"/>
      <c r="DI981" s="230"/>
      <c r="DJ981" s="162"/>
      <c r="DK981" s="162"/>
      <c r="DL981" s="147"/>
      <c r="DM981" s="147"/>
      <c r="DN981" s="147"/>
      <c r="DO981" s="147"/>
      <c r="DP981" s="147"/>
      <c r="DQ981" s="147"/>
      <c r="DR981" s="147"/>
      <c r="DS981" s="147"/>
      <c r="DT981" s="147"/>
      <c r="DU981" s="147"/>
      <c r="DV981" s="147"/>
      <c r="DW981" s="147"/>
      <c r="DX981" s="147"/>
      <c r="DY981" s="147"/>
      <c r="DZ981" s="147"/>
      <c r="EA981" s="147"/>
      <c r="EB981" s="147"/>
      <c r="EC981" s="147"/>
      <c r="ED981" s="147"/>
      <c r="EE981" s="147"/>
      <c r="EF981" s="147"/>
      <c r="EG981" s="147"/>
      <c r="EH981" s="147"/>
    </row>
    <row r="982" spans="1:138" x14ac:dyDescent="0.25">
      <c r="A982" s="147"/>
      <c r="B982" s="147"/>
      <c r="C982" s="160"/>
      <c r="D982" s="160"/>
      <c r="E982" s="169"/>
      <c r="F982" s="229"/>
      <c r="G982" s="165"/>
      <c r="H982" s="165"/>
      <c r="I982" s="163"/>
      <c r="J982" s="163"/>
      <c r="K982" s="162"/>
      <c r="L982" s="162"/>
      <c r="M982" s="162"/>
      <c r="N982" s="230"/>
      <c r="O982" s="230"/>
      <c r="P982" s="162"/>
      <c r="Q982" s="162"/>
      <c r="R982" s="162"/>
      <c r="S982" s="162"/>
      <c r="T982" s="162"/>
      <c r="U982" s="230"/>
      <c r="V982" s="230"/>
      <c r="W982" s="162"/>
      <c r="X982" s="162"/>
      <c r="Y982" s="162"/>
      <c r="Z982" s="162"/>
      <c r="AA982" s="162"/>
      <c r="AB982" s="230"/>
      <c r="AC982" s="230"/>
      <c r="AD982" s="162"/>
      <c r="AE982" s="162"/>
      <c r="AF982" s="162"/>
      <c r="AG982" s="162"/>
      <c r="AH982" s="162"/>
      <c r="AI982" s="230"/>
      <c r="AJ982" s="230"/>
      <c r="AK982" s="162"/>
      <c r="AL982" s="162"/>
      <c r="AM982" s="162"/>
      <c r="AN982" s="162"/>
      <c r="AO982" s="162"/>
      <c r="AP982" s="230"/>
      <c r="AQ982" s="230"/>
      <c r="AR982" s="162"/>
      <c r="AS982" s="162"/>
      <c r="AT982" s="162"/>
      <c r="AU982" s="162"/>
      <c r="AV982" s="162"/>
      <c r="AW982" s="230"/>
      <c r="AX982" s="230"/>
      <c r="AY982" s="162"/>
      <c r="AZ982" s="162"/>
      <c r="BA982" s="162"/>
      <c r="BB982" s="162"/>
      <c r="BC982" s="162"/>
      <c r="BD982" s="230"/>
      <c r="BE982" s="230"/>
      <c r="BF982" s="162"/>
      <c r="BG982" s="162"/>
      <c r="BH982" s="162"/>
      <c r="BI982" s="162"/>
      <c r="BJ982" s="162"/>
      <c r="BK982" s="230"/>
      <c r="BL982" s="230"/>
      <c r="BM982" s="162"/>
      <c r="BN982" s="162"/>
      <c r="BO982" s="162"/>
      <c r="BP982" s="162"/>
      <c r="BQ982" s="162"/>
      <c r="BR982" s="230"/>
      <c r="BS982" s="230"/>
      <c r="BT982" s="162"/>
      <c r="BU982" s="162"/>
      <c r="BV982" s="162"/>
      <c r="BW982" s="162"/>
      <c r="BX982" s="162"/>
      <c r="BY982" s="230"/>
      <c r="BZ982" s="230"/>
      <c r="CA982" s="162"/>
      <c r="CB982" s="162"/>
      <c r="CC982" s="162"/>
      <c r="CD982" s="162"/>
      <c r="CE982" s="162"/>
      <c r="CF982" s="230"/>
      <c r="CG982" s="230"/>
      <c r="CH982" s="162"/>
      <c r="CI982" s="162"/>
      <c r="CJ982" s="162"/>
      <c r="CK982" s="162"/>
      <c r="CL982" s="162"/>
      <c r="CM982" s="230"/>
      <c r="CN982" s="230"/>
      <c r="CO982" s="162"/>
      <c r="CP982" s="162"/>
      <c r="CQ982" s="162"/>
      <c r="CR982" s="162"/>
      <c r="CS982" s="162"/>
      <c r="CT982" s="230"/>
      <c r="CU982" s="230"/>
      <c r="CV982" s="162"/>
      <c r="CW982" s="162"/>
      <c r="CX982" s="162"/>
      <c r="CY982" s="162"/>
      <c r="CZ982" s="162"/>
      <c r="DA982" s="230"/>
      <c r="DB982" s="230"/>
      <c r="DC982" s="162"/>
      <c r="DD982" s="162"/>
      <c r="DE982" s="162"/>
      <c r="DF982" s="162"/>
      <c r="DG982" s="162"/>
      <c r="DH982" s="230"/>
      <c r="DI982" s="230"/>
      <c r="DJ982" s="162"/>
      <c r="DK982" s="162"/>
      <c r="DL982" s="147"/>
      <c r="DM982" s="147"/>
      <c r="DN982" s="147"/>
      <c r="DO982" s="147"/>
      <c r="DP982" s="147"/>
      <c r="DQ982" s="147"/>
      <c r="DR982" s="147"/>
      <c r="DS982" s="147"/>
      <c r="DT982" s="147"/>
      <c r="DU982" s="147"/>
      <c r="DV982" s="147"/>
      <c r="DW982" s="147"/>
      <c r="DX982" s="147"/>
      <c r="DY982" s="147"/>
      <c r="DZ982" s="147"/>
      <c r="EA982" s="147"/>
      <c r="EB982" s="147"/>
      <c r="EC982" s="147"/>
      <c r="ED982" s="147"/>
      <c r="EE982" s="147"/>
      <c r="EF982" s="147"/>
      <c r="EG982" s="147"/>
      <c r="EH982" s="147"/>
    </row>
    <row r="983" spans="1:138" x14ac:dyDescent="0.25">
      <c r="A983" s="147"/>
      <c r="B983" s="147"/>
      <c r="C983" s="160"/>
      <c r="D983" s="160"/>
      <c r="E983" s="169"/>
      <c r="F983" s="229"/>
      <c r="G983" s="165"/>
      <c r="H983" s="165"/>
      <c r="I983" s="163"/>
      <c r="J983" s="163"/>
      <c r="K983" s="162"/>
      <c r="L983" s="162"/>
      <c r="M983" s="162"/>
      <c r="N983" s="230"/>
      <c r="O983" s="230"/>
      <c r="P983" s="162"/>
      <c r="Q983" s="162"/>
      <c r="R983" s="162"/>
      <c r="S983" s="162"/>
      <c r="T983" s="162"/>
      <c r="U983" s="230"/>
      <c r="V983" s="230"/>
      <c r="W983" s="162"/>
      <c r="X983" s="162"/>
      <c r="Y983" s="162"/>
      <c r="Z983" s="162"/>
      <c r="AA983" s="162"/>
      <c r="AB983" s="230"/>
      <c r="AC983" s="230"/>
      <c r="AD983" s="162"/>
      <c r="AE983" s="162"/>
      <c r="AF983" s="162"/>
      <c r="AG983" s="162"/>
      <c r="AH983" s="162"/>
      <c r="AI983" s="230"/>
      <c r="AJ983" s="230"/>
      <c r="AK983" s="162"/>
      <c r="AL983" s="162"/>
      <c r="AM983" s="162"/>
      <c r="AN983" s="162"/>
      <c r="AO983" s="162"/>
      <c r="AP983" s="230"/>
      <c r="AQ983" s="230"/>
      <c r="AR983" s="162"/>
      <c r="AS983" s="162"/>
      <c r="AT983" s="162"/>
      <c r="AU983" s="162"/>
      <c r="AV983" s="162"/>
      <c r="AW983" s="230"/>
      <c r="AX983" s="230"/>
      <c r="AY983" s="162"/>
      <c r="AZ983" s="162"/>
      <c r="BA983" s="162"/>
      <c r="BB983" s="162"/>
      <c r="BC983" s="162"/>
      <c r="BD983" s="230"/>
      <c r="BE983" s="230"/>
      <c r="BF983" s="162"/>
      <c r="BG983" s="162"/>
      <c r="BH983" s="162"/>
      <c r="BI983" s="162"/>
      <c r="BJ983" s="162"/>
      <c r="BK983" s="230"/>
      <c r="BL983" s="230"/>
      <c r="BM983" s="162"/>
      <c r="BN983" s="162"/>
      <c r="BO983" s="162"/>
      <c r="BP983" s="162"/>
      <c r="BQ983" s="162"/>
      <c r="BR983" s="230"/>
      <c r="BS983" s="230"/>
      <c r="BT983" s="162"/>
      <c r="BU983" s="162"/>
      <c r="BV983" s="162"/>
      <c r="BW983" s="162"/>
      <c r="BX983" s="162"/>
      <c r="BY983" s="230"/>
      <c r="BZ983" s="230"/>
      <c r="CA983" s="162"/>
      <c r="CB983" s="162"/>
      <c r="CC983" s="162"/>
      <c r="CD983" s="162"/>
      <c r="CE983" s="162"/>
      <c r="CF983" s="230"/>
      <c r="CG983" s="230"/>
      <c r="CH983" s="162"/>
      <c r="CI983" s="162"/>
      <c r="CJ983" s="162"/>
      <c r="CK983" s="162"/>
      <c r="CL983" s="162"/>
      <c r="CM983" s="230"/>
      <c r="CN983" s="230"/>
      <c r="CO983" s="162"/>
      <c r="CP983" s="162"/>
      <c r="CQ983" s="162"/>
      <c r="CR983" s="162"/>
      <c r="CS983" s="162"/>
      <c r="CT983" s="230"/>
      <c r="CU983" s="230"/>
      <c r="CV983" s="162"/>
      <c r="CW983" s="162"/>
      <c r="CX983" s="162"/>
      <c r="CY983" s="162"/>
      <c r="CZ983" s="162"/>
      <c r="DA983" s="230"/>
      <c r="DB983" s="230"/>
      <c r="DC983" s="162"/>
      <c r="DD983" s="162"/>
      <c r="DE983" s="162"/>
      <c r="DF983" s="162"/>
      <c r="DG983" s="162"/>
      <c r="DH983" s="230"/>
      <c r="DI983" s="230"/>
      <c r="DJ983" s="162"/>
      <c r="DK983" s="162"/>
      <c r="DL983" s="147"/>
      <c r="DM983" s="147"/>
      <c r="DN983" s="147"/>
      <c r="DO983" s="147"/>
      <c r="DP983" s="147"/>
      <c r="DQ983" s="147"/>
      <c r="DR983" s="147"/>
      <c r="DS983" s="147"/>
      <c r="DT983" s="147"/>
      <c r="DU983" s="147"/>
      <c r="DV983" s="147"/>
      <c r="DW983" s="147"/>
      <c r="DX983" s="147"/>
      <c r="DY983" s="147"/>
      <c r="DZ983" s="147"/>
      <c r="EA983" s="147"/>
      <c r="EB983" s="147"/>
      <c r="EC983" s="147"/>
      <c r="ED983" s="147"/>
      <c r="EE983" s="147"/>
      <c r="EF983" s="147"/>
      <c r="EG983" s="147"/>
      <c r="EH983" s="147"/>
    </row>
    <row r="984" spans="1:138" x14ac:dyDescent="0.25">
      <c r="A984" s="147"/>
      <c r="B984" s="147"/>
      <c r="C984" s="160"/>
      <c r="D984" s="160"/>
      <c r="E984" s="169"/>
      <c r="F984" s="229"/>
      <c r="G984" s="165"/>
      <c r="H984" s="165"/>
      <c r="I984" s="163"/>
      <c r="J984" s="163"/>
      <c r="K984" s="162"/>
      <c r="L984" s="162"/>
      <c r="M984" s="162"/>
      <c r="N984" s="230"/>
      <c r="O984" s="230"/>
      <c r="P984" s="162"/>
      <c r="Q984" s="162"/>
      <c r="R984" s="162"/>
      <c r="S984" s="162"/>
      <c r="T984" s="162"/>
      <c r="U984" s="230"/>
      <c r="V984" s="230"/>
      <c r="W984" s="162"/>
      <c r="X984" s="162"/>
      <c r="Y984" s="162"/>
      <c r="Z984" s="162"/>
      <c r="AA984" s="162"/>
      <c r="AB984" s="230"/>
      <c r="AC984" s="230"/>
      <c r="AD984" s="162"/>
      <c r="AE984" s="162"/>
      <c r="AF984" s="162"/>
      <c r="AG984" s="162"/>
      <c r="AH984" s="162"/>
      <c r="AI984" s="230"/>
      <c r="AJ984" s="230"/>
      <c r="AK984" s="162"/>
      <c r="AL984" s="162"/>
      <c r="AM984" s="162"/>
      <c r="AN984" s="162"/>
      <c r="AO984" s="162"/>
      <c r="AP984" s="230"/>
      <c r="AQ984" s="230"/>
      <c r="AR984" s="162"/>
      <c r="AS984" s="162"/>
      <c r="AT984" s="162"/>
      <c r="AU984" s="162"/>
      <c r="AV984" s="162"/>
      <c r="AW984" s="230"/>
      <c r="AX984" s="230"/>
      <c r="AY984" s="162"/>
      <c r="AZ984" s="162"/>
      <c r="BA984" s="162"/>
      <c r="BB984" s="162"/>
      <c r="BC984" s="162"/>
      <c r="BD984" s="230"/>
      <c r="BE984" s="230"/>
      <c r="BF984" s="162"/>
      <c r="BG984" s="162"/>
      <c r="BH984" s="162"/>
      <c r="BI984" s="162"/>
      <c r="BJ984" s="162"/>
      <c r="BK984" s="230"/>
      <c r="BL984" s="230"/>
      <c r="BM984" s="162"/>
      <c r="BN984" s="162"/>
      <c r="BO984" s="162"/>
      <c r="BP984" s="162"/>
      <c r="BQ984" s="162"/>
      <c r="BR984" s="230"/>
      <c r="BS984" s="230"/>
      <c r="BT984" s="162"/>
      <c r="BU984" s="162"/>
      <c r="BV984" s="162"/>
      <c r="BW984" s="162"/>
      <c r="BX984" s="162"/>
      <c r="BY984" s="230"/>
      <c r="BZ984" s="230"/>
      <c r="CA984" s="162"/>
      <c r="CB984" s="162"/>
      <c r="CC984" s="162"/>
      <c r="CD984" s="162"/>
      <c r="CE984" s="162"/>
      <c r="CF984" s="230"/>
      <c r="CG984" s="230"/>
      <c r="CH984" s="162"/>
      <c r="CI984" s="162"/>
      <c r="CJ984" s="162"/>
      <c r="CK984" s="162"/>
      <c r="CL984" s="162"/>
      <c r="CM984" s="230"/>
      <c r="CN984" s="230"/>
      <c r="CO984" s="162"/>
      <c r="CP984" s="162"/>
      <c r="CQ984" s="162"/>
      <c r="CR984" s="162"/>
      <c r="CS984" s="162"/>
      <c r="CT984" s="230"/>
      <c r="CU984" s="230"/>
      <c r="CV984" s="162"/>
      <c r="CW984" s="162"/>
      <c r="CX984" s="162"/>
      <c r="CY984" s="162"/>
      <c r="CZ984" s="162"/>
      <c r="DA984" s="230"/>
      <c r="DB984" s="230"/>
      <c r="DC984" s="162"/>
      <c r="DD984" s="162"/>
      <c r="DE984" s="162"/>
      <c r="DF984" s="162"/>
      <c r="DG984" s="162"/>
      <c r="DH984" s="230"/>
      <c r="DI984" s="230"/>
      <c r="DJ984" s="162"/>
      <c r="DK984" s="162"/>
      <c r="DL984" s="147"/>
      <c r="DM984" s="147"/>
      <c r="DN984" s="147"/>
      <c r="DO984" s="147"/>
      <c r="DP984" s="147"/>
      <c r="DQ984" s="147"/>
      <c r="DR984" s="147"/>
      <c r="DS984" s="147"/>
      <c r="DT984" s="147"/>
      <c r="DU984" s="147"/>
      <c r="DV984" s="147"/>
      <c r="DW984" s="147"/>
      <c r="DX984" s="147"/>
      <c r="DY984" s="147"/>
      <c r="DZ984" s="147"/>
      <c r="EA984" s="147"/>
      <c r="EB984" s="147"/>
      <c r="EC984" s="147"/>
      <c r="ED984" s="147"/>
      <c r="EE984" s="147"/>
      <c r="EF984" s="147"/>
      <c r="EG984" s="147"/>
      <c r="EH984" s="147"/>
    </row>
    <row r="985" spans="1:138" x14ac:dyDescent="0.25">
      <c r="A985" s="147"/>
      <c r="B985" s="147"/>
      <c r="C985" s="160"/>
      <c r="D985" s="160"/>
      <c r="E985" s="169"/>
      <c r="F985" s="229"/>
      <c r="G985" s="165"/>
      <c r="H985" s="165"/>
      <c r="I985" s="163"/>
      <c r="J985" s="163"/>
      <c r="K985" s="162"/>
      <c r="L985" s="162"/>
      <c r="M985" s="162"/>
      <c r="N985" s="230"/>
      <c r="O985" s="230"/>
      <c r="P985" s="162"/>
      <c r="Q985" s="162"/>
      <c r="R985" s="162"/>
      <c r="S985" s="162"/>
      <c r="T985" s="162"/>
      <c r="U985" s="230"/>
      <c r="V985" s="230"/>
      <c r="W985" s="162"/>
      <c r="X985" s="162"/>
      <c r="Y985" s="162"/>
      <c r="Z985" s="162"/>
      <c r="AA985" s="162"/>
      <c r="AB985" s="230"/>
      <c r="AC985" s="230"/>
      <c r="AD985" s="162"/>
      <c r="AE985" s="162"/>
      <c r="AF985" s="162"/>
      <c r="AG985" s="162"/>
      <c r="AH985" s="162"/>
      <c r="AI985" s="230"/>
      <c r="AJ985" s="230"/>
      <c r="AK985" s="162"/>
      <c r="AL985" s="162"/>
      <c r="AM985" s="162"/>
      <c r="AN985" s="162"/>
      <c r="AO985" s="162"/>
      <c r="AP985" s="230"/>
      <c r="AQ985" s="230"/>
      <c r="AR985" s="162"/>
      <c r="AS985" s="162"/>
      <c r="AT985" s="162"/>
      <c r="AU985" s="162"/>
      <c r="AV985" s="162"/>
      <c r="AW985" s="230"/>
      <c r="AX985" s="230"/>
      <c r="AY985" s="162"/>
      <c r="AZ985" s="162"/>
      <c r="BA985" s="162"/>
      <c r="BB985" s="162"/>
      <c r="BC985" s="162"/>
      <c r="BD985" s="230"/>
      <c r="BE985" s="230"/>
      <c r="BF985" s="162"/>
      <c r="BG985" s="162"/>
      <c r="BH985" s="162"/>
      <c r="BI985" s="162"/>
      <c r="BJ985" s="162"/>
      <c r="BK985" s="230"/>
      <c r="BL985" s="230"/>
      <c r="BM985" s="162"/>
      <c r="BN985" s="162"/>
      <c r="BO985" s="162"/>
      <c r="BP985" s="162"/>
      <c r="BQ985" s="162"/>
      <c r="BR985" s="230"/>
      <c r="BS985" s="230"/>
      <c r="BT985" s="162"/>
      <c r="BU985" s="162"/>
      <c r="BV985" s="162"/>
      <c r="BW985" s="162"/>
      <c r="BX985" s="162"/>
      <c r="BY985" s="230"/>
      <c r="BZ985" s="230"/>
      <c r="CA985" s="162"/>
      <c r="CB985" s="162"/>
      <c r="CC985" s="162"/>
      <c r="CD985" s="162"/>
      <c r="CE985" s="162"/>
      <c r="CF985" s="230"/>
      <c r="CG985" s="230"/>
      <c r="CH985" s="162"/>
      <c r="CI985" s="162"/>
      <c r="CJ985" s="162"/>
      <c r="CK985" s="162"/>
      <c r="CL985" s="162"/>
      <c r="CM985" s="230"/>
      <c r="CN985" s="230"/>
      <c r="CO985" s="162"/>
      <c r="CP985" s="162"/>
      <c r="CQ985" s="162"/>
      <c r="CR985" s="162"/>
      <c r="CS985" s="162"/>
      <c r="CT985" s="230"/>
      <c r="CU985" s="230"/>
      <c r="CV985" s="162"/>
      <c r="CW985" s="162"/>
      <c r="CX985" s="162"/>
      <c r="CY985" s="162"/>
      <c r="CZ985" s="162"/>
      <c r="DA985" s="230"/>
      <c r="DB985" s="230"/>
      <c r="DC985" s="162"/>
      <c r="DD985" s="162"/>
      <c r="DE985" s="162"/>
      <c r="DF985" s="162"/>
      <c r="DG985" s="162"/>
      <c r="DH985" s="230"/>
      <c r="DI985" s="230"/>
      <c r="DJ985" s="162"/>
      <c r="DK985" s="162"/>
      <c r="DL985" s="147"/>
      <c r="DM985" s="147"/>
      <c r="DN985" s="147"/>
      <c r="DO985" s="147"/>
      <c r="DP985" s="147"/>
      <c r="DQ985" s="147"/>
      <c r="DR985" s="147"/>
      <c r="DS985" s="147"/>
      <c r="DT985" s="147"/>
      <c r="DU985" s="147"/>
      <c r="DV985" s="147"/>
      <c r="DW985" s="147"/>
      <c r="DX985" s="147"/>
      <c r="DY985" s="147"/>
      <c r="DZ985" s="147"/>
      <c r="EA985" s="147"/>
      <c r="EB985" s="147"/>
      <c r="EC985" s="147"/>
      <c r="ED985" s="147"/>
      <c r="EE985" s="147"/>
      <c r="EF985" s="147"/>
      <c r="EG985" s="147"/>
      <c r="EH985" s="147"/>
    </row>
    <row r="986" spans="1:138" x14ac:dyDescent="0.25">
      <c r="A986" s="147"/>
      <c r="B986" s="147"/>
      <c r="C986" s="160"/>
      <c r="D986" s="160"/>
      <c r="E986" s="169"/>
      <c r="F986" s="229"/>
      <c r="G986" s="165"/>
      <c r="H986" s="165"/>
      <c r="I986" s="163"/>
      <c r="J986" s="163"/>
      <c r="K986" s="162"/>
      <c r="L986" s="162"/>
      <c r="M986" s="162"/>
      <c r="N986" s="230"/>
      <c r="O986" s="230"/>
      <c r="P986" s="162"/>
      <c r="Q986" s="162"/>
      <c r="R986" s="162"/>
      <c r="S986" s="162"/>
      <c r="T986" s="162"/>
      <c r="U986" s="230"/>
      <c r="V986" s="230"/>
      <c r="W986" s="162"/>
      <c r="X986" s="162"/>
      <c r="Y986" s="162"/>
      <c r="Z986" s="162"/>
      <c r="AA986" s="162"/>
      <c r="AB986" s="230"/>
      <c r="AC986" s="230"/>
      <c r="AD986" s="162"/>
      <c r="AE986" s="162"/>
      <c r="AF986" s="162"/>
      <c r="AG986" s="162"/>
      <c r="AH986" s="162"/>
      <c r="AI986" s="230"/>
      <c r="AJ986" s="230"/>
      <c r="AK986" s="162"/>
      <c r="AL986" s="162"/>
      <c r="AM986" s="162"/>
      <c r="AN986" s="162"/>
      <c r="AO986" s="162"/>
      <c r="AP986" s="230"/>
      <c r="AQ986" s="230"/>
      <c r="AR986" s="162"/>
      <c r="AS986" s="162"/>
      <c r="AT986" s="162"/>
      <c r="AU986" s="162"/>
      <c r="AV986" s="162"/>
      <c r="AW986" s="230"/>
      <c r="AX986" s="230"/>
      <c r="AY986" s="162"/>
      <c r="AZ986" s="162"/>
      <c r="BA986" s="162"/>
      <c r="BB986" s="162"/>
      <c r="BC986" s="162"/>
      <c r="BD986" s="230"/>
      <c r="BE986" s="230"/>
      <c r="BF986" s="162"/>
      <c r="BG986" s="162"/>
      <c r="BH986" s="162"/>
      <c r="BI986" s="162"/>
      <c r="BJ986" s="162"/>
      <c r="BK986" s="230"/>
      <c r="BL986" s="230"/>
      <c r="BM986" s="162"/>
      <c r="BN986" s="162"/>
      <c r="BO986" s="162"/>
      <c r="BP986" s="162"/>
      <c r="BQ986" s="162"/>
      <c r="BR986" s="230"/>
      <c r="BS986" s="230"/>
      <c r="BT986" s="162"/>
      <c r="BU986" s="162"/>
      <c r="BV986" s="162"/>
      <c r="BW986" s="162"/>
      <c r="BX986" s="162"/>
      <c r="BY986" s="230"/>
      <c r="BZ986" s="230"/>
      <c r="CA986" s="162"/>
      <c r="CB986" s="162"/>
      <c r="CC986" s="162"/>
      <c r="CD986" s="162"/>
      <c r="CE986" s="162"/>
      <c r="CF986" s="230"/>
      <c r="CG986" s="230"/>
      <c r="CH986" s="162"/>
      <c r="CI986" s="162"/>
      <c r="CJ986" s="162"/>
      <c r="CK986" s="162"/>
      <c r="CL986" s="162"/>
      <c r="CM986" s="230"/>
      <c r="CN986" s="230"/>
      <c r="CO986" s="162"/>
      <c r="CP986" s="162"/>
      <c r="CQ986" s="162"/>
      <c r="CR986" s="162"/>
      <c r="CS986" s="162"/>
      <c r="CT986" s="230"/>
      <c r="CU986" s="230"/>
      <c r="CV986" s="162"/>
      <c r="CW986" s="162"/>
      <c r="CX986" s="162"/>
      <c r="CY986" s="162"/>
      <c r="CZ986" s="162"/>
      <c r="DA986" s="230"/>
      <c r="DB986" s="230"/>
      <c r="DC986" s="162"/>
      <c r="DD986" s="162"/>
      <c r="DE986" s="162"/>
      <c r="DF986" s="162"/>
      <c r="DG986" s="162"/>
      <c r="DH986" s="230"/>
      <c r="DI986" s="230"/>
      <c r="DJ986" s="162"/>
      <c r="DK986" s="162"/>
      <c r="DL986" s="147"/>
      <c r="DM986" s="147"/>
      <c r="DN986" s="147"/>
      <c r="DO986" s="147"/>
      <c r="DP986" s="147"/>
      <c r="DQ986" s="147"/>
      <c r="DR986" s="147"/>
      <c r="DS986" s="147"/>
      <c r="DT986" s="147"/>
      <c r="DU986" s="147"/>
      <c r="DV986" s="147"/>
      <c r="DW986" s="147"/>
      <c r="DX986" s="147"/>
      <c r="DY986" s="147"/>
      <c r="DZ986" s="147"/>
      <c r="EA986" s="147"/>
      <c r="EB986" s="147"/>
      <c r="EC986" s="147"/>
      <c r="ED986" s="147"/>
      <c r="EE986" s="147"/>
      <c r="EF986" s="147"/>
      <c r="EG986" s="147"/>
      <c r="EH986" s="147"/>
    </row>
    <row r="987" spans="1:138" x14ac:dyDescent="0.25">
      <c r="A987" s="147"/>
      <c r="B987" s="147"/>
      <c r="C987" s="160"/>
      <c r="D987" s="160"/>
      <c r="E987" s="169"/>
      <c r="F987" s="229"/>
      <c r="G987" s="165"/>
      <c r="H987" s="165"/>
      <c r="I987" s="163"/>
      <c r="J987" s="163"/>
      <c r="K987" s="162"/>
      <c r="L987" s="162"/>
      <c r="M987" s="162"/>
      <c r="N987" s="230"/>
      <c r="O987" s="230"/>
      <c r="P987" s="162"/>
      <c r="Q987" s="162"/>
      <c r="R987" s="162"/>
      <c r="S987" s="162"/>
      <c r="T987" s="162"/>
      <c r="U987" s="230"/>
      <c r="V987" s="230"/>
      <c r="W987" s="162"/>
      <c r="X987" s="162"/>
      <c r="Y987" s="162"/>
      <c r="Z987" s="162"/>
      <c r="AA987" s="162"/>
      <c r="AB987" s="230"/>
      <c r="AC987" s="230"/>
      <c r="AD987" s="162"/>
      <c r="AE987" s="162"/>
      <c r="AF987" s="162"/>
      <c r="AG987" s="162"/>
      <c r="AH987" s="162"/>
      <c r="AI987" s="230"/>
      <c r="AJ987" s="230"/>
      <c r="AK987" s="162"/>
      <c r="AL987" s="162"/>
      <c r="AM987" s="162"/>
      <c r="AN987" s="162"/>
      <c r="AO987" s="162"/>
      <c r="AP987" s="230"/>
      <c r="AQ987" s="230"/>
      <c r="AR987" s="162"/>
      <c r="AS987" s="162"/>
      <c r="AT987" s="162"/>
      <c r="AU987" s="162"/>
      <c r="AV987" s="162"/>
      <c r="AW987" s="230"/>
      <c r="AX987" s="230"/>
      <c r="AY987" s="162"/>
      <c r="AZ987" s="162"/>
      <c r="BA987" s="162"/>
      <c r="BB987" s="162"/>
      <c r="BC987" s="162"/>
      <c r="BD987" s="230"/>
      <c r="BE987" s="230"/>
      <c r="BF987" s="162"/>
      <c r="BG987" s="162"/>
      <c r="BH987" s="162"/>
      <c r="BI987" s="162"/>
      <c r="BJ987" s="162"/>
      <c r="BK987" s="230"/>
      <c r="BL987" s="230"/>
      <c r="BM987" s="162"/>
      <c r="BN987" s="162"/>
      <c r="BO987" s="162"/>
      <c r="BP987" s="162"/>
      <c r="BQ987" s="162"/>
      <c r="BR987" s="230"/>
      <c r="BS987" s="230"/>
      <c r="BT987" s="162"/>
      <c r="BU987" s="162"/>
      <c r="BV987" s="162"/>
      <c r="BW987" s="162"/>
      <c r="BX987" s="162"/>
      <c r="BY987" s="230"/>
      <c r="BZ987" s="230"/>
      <c r="CA987" s="162"/>
      <c r="CB987" s="162"/>
      <c r="CC987" s="162"/>
      <c r="CD987" s="162"/>
      <c r="CE987" s="162"/>
      <c r="CF987" s="230"/>
      <c r="CG987" s="230"/>
      <c r="CH987" s="162"/>
      <c r="CI987" s="162"/>
      <c r="CJ987" s="162"/>
      <c r="CK987" s="162"/>
      <c r="CL987" s="162"/>
      <c r="CM987" s="230"/>
      <c r="CN987" s="230"/>
      <c r="CO987" s="162"/>
      <c r="CP987" s="162"/>
      <c r="CQ987" s="162"/>
      <c r="CR987" s="162"/>
      <c r="CS987" s="162"/>
      <c r="CT987" s="230"/>
      <c r="CU987" s="230"/>
      <c r="CV987" s="162"/>
      <c r="CW987" s="162"/>
      <c r="CX987" s="162"/>
      <c r="CY987" s="162"/>
      <c r="CZ987" s="162"/>
      <c r="DA987" s="230"/>
      <c r="DB987" s="230"/>
      <c r="DC987" s="162"/>
      <c r="DD987" s="162"/>
      <c r="DE987" s="162"/>
      <c r="DF987" s="162"/>
      <c r="DG987" s="162"/>
      <c r="DH987" s="230"/>
      <c r="DI987" s="230"/>
      <c r="DJ987" s="162"/>
      <c r="DK987" s="162"/>
      <c r="DL987" s="147"/>
      <c r="DM987" s="147"/>
      <c r="DN987" s="147"/>
      <c r="DO987" s="147"/>
      <c r="DP987" s="147"/>
      <c r="DQ987" s="147"/>
      <c r="DR987" s="147"/>
      <c r="DS987" s="147"/>
      <c r="DT987" s="147"/>
      <c r="DU987" s="147"/>
      <c r="DV987" s="147"/>
      <c r="DW987" s="147"/>
      <c r="DX987" s="147"/>
      <c r="DY987" s="147"/>
      <c r="DZ987" s="147"/>
      <c r="EA987" s="147"/>
      <c r="EB987" s="147"/>
      <c r="EC987" s="147"/>
      <c r="ED987" s="147"/>
      <c r="EE987" s="147"/>
      <c r="EF987" s="147"/>
      <c r="EG987" s="147"/>
      <c r="EH987" s="147"/>
    </row>
    <row r="988" spans="1:138" x14ac:dyDescent="0.25">
      <c r="A988" s="147"/>
      <c r="B988" s="147"/>
      <c r="C988" s="160"/>
      <c r="D988" s="160"/>
      <c r="E988" s="169"/>
      <c r="F988" s="229"/>
      <c r="G988" s="165"/>
      <c r="H988" s="165"/>
      <c r="I988" s="163"/>
      <c r="J988" s="163"/>
      <c r="K988" s="162"/>
      <c r="L988" s="162"/>
      <c r="M988" s="162"/>
      <c r="N988" s="230"/>
      <c r="O988" s="230"/>
      <c r="P988" s="162"/>
      <c r="Q988" s="162"/>
      <c r="R988" s="162"/>
      <c r="S988" s="162"/>
      <c r="T988" s="162"/>
      <c r="U988" s="230"/>
      <c r="V988" s="230"/>
      <c r="W988" s="162"/>
      <c r="X988" s="162"/>
      <c r="Y988" s="162"/>
      <c r="Z988" s="162"/>
      <c r="AA988" s="162"/>
      <c r="AB988" s="230"/>
      <c r="AC988" s="230"/>
      <c r="AD988" s="162"/>
      <c r="AE988" s="162"/>
      <c r="AF988" s="162"/>
      <c r="AG988" s="162"/>
      <c r="AH988" s="162"/>
      <c r="AI988" s="230"/>
      <c r="AJ988" s="230"/>
      <c r="AK988" s="162"/>
      <c r="AL988" s="162"/>
      <c r="AM988" s="162"/>
      <c r="AN988" s="162"/>
      <c r="AO988" s="162"/>
      <c r="AP988" s="230"/>
      <c r="AQ988" s="230"/>
      <c r="AR988" s="162"/>
      <c r="AS988" s="162"/>
      <c r="AT988" s="162"/>
      <c r="AU988" s="162"/>
      <c r="AV988" s="162"/>
      <c r="AW988" s="230"/>
      <c r="AX988" s="230"/>
      <c r="AY988" s="162"/>
      <c r="AZ988" s="162"/>
      <c r="BA988" s="162"/>
      <c r="BB988" s="162"/>
      <c r="BC988" s="162"/>
      <c r="BD988" s="230"/>
      <c r="BE988" s="230"/>
      <c r="BF988" s="162"/>
      <c r="BG988" s="162"/>
      <c r="BH988" s="162"/>
      <c r="BI988" s="162"/>
      <c r="BJ988" s="162"/>
      <c r="BK988" s="230"/>
      <c r="BL988" s="230"/>
      <c r="BM988" s="162"/>
      <c r="BN988" s="162"/>
      <c r="BO988" s="162"/>
      <c r="BP988" s="162"/>
      <c r="BQ988" s="162"/>
      <c r="BR988" s="230"/>
      <c r="BS988" s="230"/>
      <c r="BT988" s="162"/>
      <c r="BU988" s="162"/>
      <c r="BV988" s="162"/>
      <c r="BW988" s="162"/>
      <c r="BX988" s="162"/>
      <c r="BY988" s="230"/>
      <c r="BZ988" s="230"/>
      <c r="CA988" s="162"/>
      <c r="CB988" s="162"/>
      <c r="CC988" s="162"/>
      <c r="CD988" s="162"/>
      <c r="CE988" s="162"/>
      <c r="CF988" s="230"/>
      <c r="CG988" s="230"/>
      <c r="CH988" s="162"/>
      <c r="CI988" s="162"/>
      <c r="CJ988" s="162"/>
      <c r="CK988" s="162"/>
      <c r="CL988" s="162"/>
      <c r="CM988" s="230"/>
      <c r="CN988" s="230"/>
      <c r="CO988" s="162"/>
      <c r="CP988" s="162"/>
      <c r="CQ988" s="162"/>
      <c r="CR988" s="162"/>
      <c r="CS988" s="162"/>
      <c r="CT988" s="230"/>
      <c r="CU988" s="230"/>
      <c r="CV988" s="162"/>
      <c r="CW988" s="162"/>
      <c r="CX988" s="162"/>
      <c r="CY988" s="162"/>
      <c r="CZ988" s="162"/>
      <c r="DA988" s="230"/>
      <c r="DB988" s="230"/>
      <c r="DC988" s="162"/>
      <c r="DD988" s="162"/>
      <c r="DE988" s="162"/>
      <c r="DF988" s="162"/>
      <c r="DG988" s="162"/>
      <c r="DH988" s="230"/>
      <c r="DI988" s="230"/>
      <c r="DJ988" s="162"/>
      <c r="DK988" s="162"/>
      <c r="DL988" s="147"/>
      <c r="DM988" s="147"/>
      <c r="DN988" s="147"/>
      <c r="DO988" s="147"/>
      <c r="DP988" s="147"/>
      <c r="DQ988" s="147"/>
      <c r="DR988" s="147"/>
      <c r="DS988" s="147"/>
      <c r="DT988" s="147"/>
      <c r="DU988" s="147"/>
      <c r="DV988" s="147"/>
      <c r="DW988" s="147"/>
      <c r="DX988" s="147"/>
      <c r="DY988" s="147"/>
      <c r="DZ988" s="147"/>
      <c r="EA988" s="147"/>
      <c r="EB988" s="147"/>
      <c r="EC988" s="147"/>
      <c r="ED988" s="147"/>
      <c r="EE988" s="147"/>
      <c r="EF988" s="147"/>
      <c r="EG988" s="147"/>
      <c r="EH988" s="147"/>
    </row>
    <row r="989" spans="1:138" x14ac:dyDescent="0.25">
      <c r="A989" s="147"/>
      <c r="B989" s="147"/>
      <c r="C989" s="160"/>
      <c r="D989" s="160"/>
      <c r="E989" s="169"/>
      <c r="F989" s="229"/>
      <c r="G989" s="165"/>
      <c r="H989" s="165"/>
      <c r="I989" s="163"/>
      <c r="J989" s="163"/>
      <c r="K989" s="162"/>
      <c r="L989" s="162"/>
      <c r="M989" s="162"/>
      <c r="N989" s="230"/>
      <c r="O989" s="230"/>
      <c r="P989" s="162"/>
      <c r="Q989" s="162"/>
      <c r="R989" s="162"/>
      <c r="S989" s="162"/>
      <c r="T989" s="162"/>
      <c r="U989" s="230"/>
      <c r="V989" s="230"/>
      <c r="W989" s="162"/>
      <c r="X989" s="162"/>
      <c r="Y989" s="162"/>
      <c r="Z989" s="162"/>
      <c r="AA989" s="162"/>
      <c r="AB989" s="230"/>
      <c r="AC989" s="230"/>
      <c r="AD989" s="162"/>
      <c r="AE989" s="162"/>
      <c r="AF989" s="162"/>
      <c r="AG989" s="162"/>
      <c r="AH989" s="162"/>
      <c r="AI989" s="230"/>
      <c r="AJ989" s="230"/>
      <c r="AK989" s="162"/>
      <c r="AL989" s="162"/>
      <c r="AM989" s="162"/>
      <c r="AN989" s="162"/>
      <c r="AO989" s="162"/>
      <c r="AP989" s="230"/>
      <c r="AQ989" s="230"/>
      <c r="AR989" s="162"/>
      <c r="AS989" s="162"/>
      <c r="AT989" s="162"/>
      <c r="AU989" s="162"/>
      <c r="AV989" s="162"/>
      <c r="AW989" s="230"/>
      <c r="AX989" s="230"/>
      <c r="AY989" s="162"/>
      <c r="AZ989" s="162"/>
      <c r="BA989" s="162"/>
      <c r="BB989" s="162"/>
      <c r="BC989" s="162"/>
      <c r="BD989" s="230"/>
      <c r="BE989" s="230"/>
      <c r="BF989" s="162"/>
      <c r="BG989" s="162"/>
      <c r="BH989" s="162"/>
      <c r="BI989" s="162"/>
      <c r="BJ989" s="162"/>
      <c r="BK989" s="230"/>
      <c r="BL989" s="230"/>
      <c r="BM989" s="162"/>
      <c r="BN989" s="162"/>
      <c r="BO989" s="162"/>
      <c r="BP989" s="162"/>
      <c r="BQ989" s="162"/>
      <c r="BR989" s="230"/>
      <c r="BS989" s="230"/>
      <c r="BT989" s="162"/>
      <c r="BU989" s="162"/>
      <c r="BV989" s="162"/>
      <c r="BW989" s="162"/>
      <c r="BX989" s="162"/>
      <c r="BY989" s="230"/>
      <c r="BZ989" s="230"/>
      <c r="CA989" s="162"/>
      <c r="CB989" s="162"/>
      <c r="CC989" s="162"/>
      <c r="CD989" s="162"/>
      <c r="CE989" s="162"/>
      <c r="CF989" s="230"/>
      <c r="CG989" s="230"/>
      <c r="CH989" s="162"/>
      <c r="CI989" s="162"/>
      <c r="CJ989" s="162"/>
      <c r="CK989" s="162"/>
      <c r="CL989" s="162"/>
      <c r="CM989" s="230"/>
      <c r="CN989" s="230"/>
      <c r="CO989" s="162"/>
      <c r="CP989" s="162"/>
      <c r="CQ989" s="162"/>
      <c r="CR989" s="162"/>
      <c r="CS989" s="162"/>
      <c r="CT989" s="230"/>
      <c r="CU989" s="230"/>
      <c r="CV989" s="162"/>
      <c r="CW989" s="162"/>
      <c r="CX989" s="162"/>
      <c r="CY989" s="162"/>
      <c r="CZ989" s="162"/>
      <c r="DA989" s="230"/>
      <c r="DB989" s="230"/>
      <c r="DC989" s="162"/>
      <c r="DD989" s="162"/>
      <c r="DE989" s="162"/>
      <c r="DF989" s="162"/>
      <c r="DG989" s="162"/>
      <c r="DH989" s="230"/>
      <c r="DI989" s="230"/>
      <c r="DJ989" s="162"/>
      <c r="DK989" s="162"/>
      <c r="DL989" s="147"/>
      <c r="DM989" s="147"/>
      <c r="DN989" s="147"/>
      <c r="DO989" s="147"/>
      <c r="DP989" s="147"/>
      <c r="DQ989" s="147"/>
      <c r="DR989" s="147"/>
      <c r="DS989" s="147"/>
      <c r="DT989" s="147"/>
      <c r="DU989" s="147"/>
      <c r="DV989" s="147"/>
      <c r="DW989" s="147"/>
      <c r="DX989" s="147"/>
      <c r="DY989" s="147"/>
      <c r="DZ989" s="147"/>
      <c r="EA989" s="147"/>
      <c r="EB989" s="147"/>
      <c r="EC989" s="147"/>
      <c r="ED989" s="147"/>
      <c r="EE989" s="147"/>
      <c r="EF989" s="147"/>
      <c r="EG989" s="147"/>
      <c r="EH989" s="147"/>
    </row>
    <row r="990" spans="1:138" x14ac:dyDescent="0.25">
      <c r="A990" s="147"/>
      <c r="B990" s="147"/>
      <c r="C990" s="160"/>
      <c r="D990" s="160"/>
      <c r="E990" s="169"/>
      <c r="F990" s="229"/>
      <c r="G990" s="165"/>
      <c r="H990" s="165"/>
      <c r="I990" s="163"/>
      <c r="J990" s="163"/>
      <c r="K990" s="162"/>
      <c r="L990" s="162"/>
      <c r="M990" s="162"/>
      <c r="N990" s="230"/>
      <c r="O990" s="230"/>
      <c r="P990" s="162"/>
      <c r="Q990" s="162"/>
      <c r="R990" s="162"/>
      <c r="S990" s="162"/>
      <c r="T990" s="162"/>
      <c r="U990" s="230"/>
      <c r="V990" s="230"/>
      <c r="W990" s="162"/>
      <c r="X990" s="162"/>
      <c r="Y990" s="162"/>
      <c r="Z990" s="162"/>
      <c r="AA990" s="162"/>
      <c r="AB990" s="230"/>
      <c r="AC990" s="230"/>
      <c r="AD990" s="162"/>
      <c r="AE990" s="162"/>
      <c r="AF990" s="162"/>
      <c r="AG990" s="162"/>
      <c r="AH990" s="162"/>
      <c r="AI990" s="230"/>
      <c r="AJ990" s="230"/>
      <c r="AK990" s="162"/>
      <c r="AL990" s="162"/>
      <c r="AM990" s="162"/>
      <c r="AN990" s="162"/>
      <c r="AO990" s="162"/>
      <c r="AP990" s="230"/>
      <c r="AQ990" s="230"/>
      <c r="AR990" s="162"/>
      <c r="AS990" s="162"/>
      <c r="AT990" s="162"/>
      <c r="AU990" s="162"/>
      <c r="AV990" s="162"/>
      <c r="AW990" s="230"/>
      <c r="AX990" s="230"/>
      <c r="AY990" s="162"/>
      <c r="AZ990" s="162"/>
      <c r="BA990" s="162"/>
      <c r="BB990" s="162"/>
      <c r="BC990" s="162"/>
      <c r="BD990" s="230"/>
      <c r="BE990" s="230"/>
      <c r="BF990" s="162"/>
      <c r="BG990" s="162"/>
      <c r="BH990" s="162"/>
      <c r="BI990" s="162"/>
      <c r="BJ990" s="162"/>
      <c r="BK990" s="230"/>
      <c r="BL990" s="230"/>
      <c r="BM990" s="162"/>
      <c r="BN990" s="162"/>
      <c r="BO990" s="162"/>
      <c r="BP990" s="162"/>
      <c r="BQ990" s="162"/>
      <c r="BR990" s="230"/>
      <c r="BS990" s="230"/>
      <c r="BT990" s="162"/>
      <c r="BU990" s="162"/>
      <c r="BV990" s="162"/>
      <c r="BW990" s="162"/>
      <c r="BX990" s="162"/>
      <c r="BY990" s="230"/>
      <c r="BZ990" s="230"/>
      <c r="CA990" s="162"/>
      <c r="CB990" s="162"/>
      <c r="CC990" s="162"/>
      <c r="CD990" s="162"/>
      <c r="CE990" s="162"/>
      <c r="CF990" s="230"/>
      <c r="CG990" s="230"/>
      <c r="CH990" s="162"/>
      <c r="CI990" s="162"/>
      <c r="CJ990" s="162"/>
      <c r="CK990" s="162"/>
      <c r="CL990" s="162"/>
      <c r="CM990" s="230"/>
      <c r="CN990" s="230"/>
      <c r="CO990" s="162"/>
      <c r="CP990" s="162"/>
      <c r="CQ990" s="162"/>
      <c r="CR990" s="162"/>
      <c r="CS990" s="162"/>
      <c r="CT990" s="230"/>
      <c r="CU990" s="230"/>
      <c r="CV990" s="162"/>
      <c r="CW990" s="162"/>
      <c r="CX990" s="162"/>
      <c r="CY990" s="162"/>
      <c r="CZ990" s="162"/>
      <c r="DA990" s="230"/>
      <c r="DB990" s="230"/>
      <c r="DC990" s="162"/>
      <c r="DD990" s="162"/>
      <c r="DE990" s="162"/>
      <c r="DF990" s="162"/>
      <c r="DG990" s="162"/>
      <c r="DH990" s="230"/>
      <c r="DI990" s="230"/>
      <c r="DJ990" s="162"/>
      <c r="DK990" s="162"/>
      <c r="DL990" s="147"/>
      <c r="DM990" s="147"/>
      <c r="DN990" s="147"/>
      <c r="DO990" s="147"/>
      <c r="DP990" s="147"/>
      <c r="DQ990" s="147"/>
      <c r="DR990" s="147"/>
      <c r="DS990" s="147"/>
      <c r="DT990" s="147"/>
      <c r="DU990" s="147"/>
      <c r="DV990" s="147"/>
      <c r="DW990" s="147"/>
      <c r="DX990" s="147"/>
      <c r="DY990" s="147"/>
      <c r="DZ990" s="147"/>
      <c r="EA990" s="147"/>
      <c r="EB990" s="147"/>
      <c r="EC990" s="147"/>
      <c r="ED990" s="147"/>
      <c r="EE990" s="147"/>
      <c r="EF990" s="147"/>
      <c r="EG990" s="147"/>
      <c r="EH990" s="147"/>
    </row>
    <row r="991" spans="1:138" x14ac:dyDescent="0.25">
      <c r="A991" s="147"/>
      <c r="B991" s="147"/>
      <c r="C991" s="160"/>
      <c r="D991" s="160"/>
      <c r="E991" s="169"/>
      <c r="F991" s="229"/>
      <c r="G991" s="165"/>
      <c r="H991" s="165"/>
      <c r="I991" s="163"/>
      <c r="J991" s="163"/>
      <c r="K991" s="162"/>
      <c r="L991" s="162"/>
      <c r="M991" s="162"/>
      <c r="N991" s="230"/>
      <c r="O991" s="230"/>
      <c r="P991" s="162"/>
      <c r="Q991" s="162"/>
      <c r="R991" s="162"/>
      <c r="S991" s="162"/>
      <c r="T991" s="162"/>
      <c r="U991" s="230"/>
      <c r="V991" s="230"/>
      <c r="W991" s="162"/>
      <c r="X991" s="162"/>
      <c r="Y991" s="162"/>
      <c r="Z991" s="162"/>
      <c r="AA991" s="162"/>
      <c r="AB991" s="230"/>
      <c r="AC991" s="230"/>
      <c r="AD991" s="162"/>
      <c r="AE991" s="162"/>
      <c r="AF991" s="162"/>
      <c r="AG991" s="162"/>
      <c r="AH991" s="162"/>
      <c r="AI991" s="230"/>
      <c r="AJ991" s="230"/>
      <c r="AK991" s="162"/>
      <c r="AL991" s="162"/>
      <c r="AM991" s="162"/>
      <c r="AN991" s="162"/>
      <c r="AO991" s="162"/>
      <c r="AP991" s="230"/>
      <c r="AQ991" s="230"/>
      <c r="AR991" s="162"/>
      <c r="AS991" s="162"/>
      <c r="AT991" s="162"/>
      <c r="AU991" s="162"/>
      <c r="AV991" s="162"/>
      <c r="AW991" s="230"/>
      <c r="AX991" s="230"/>
      <c r="AY991" s="162"/>
      <c r="AZ991" s="162"/>
      <c r="BA991" s="162"/>
      <c r="BB991" s="162"/>
      <c r="BC991" s="162"/>
      <c r="BD991" s="230"/>
      <c r="BE991" s="230"/>
      <c r="BF991" s="162"/>
      <c r="BG991" s="162"/>
      <c r="BH991" s="162"/>
      <c r="BI991" s="162"/>
      <c r="BJ991" s="162"/>
      <c r="BK991" s="230"/>
      <c r="BL991" s="230"/>
      <c r="BM991" s="162"/>
      <c r="BN991" s="162"/>
      <c r="BO991" s="162"/>
      <c r="BP991" s="162"/>
      <c r="BQ991" s="162"/>
      <c r="BR991" s="230"/>
      <c r="BS991" s="230"/>
      <c r="BT991" s="162"/>
      <c r="BU991" s="162"/>
      <c r="BV991" s="162"/>
      <c r="BW991" s="162"/>
      <c r="BX991" s="162"/>
      <c r="BY991" s="230"/>
      <c r="BZ991" s="230"/>
      <c r="CA991" s="162"/>
      <c r="CB991" s="162"/>
      <c r="CC991" s="162"/>
      <c r="CD991" s="162"/>
      <c r="CE991" s="162"/>
      <c r="CF991" s="230"/>
      <c r="CG991" s="230"/>
      <c r="CH991" s="162"/>
      <c r="CI991" s="162"/>
      <c r="CJ991" s="162"/>
      <c r="CK991" s="162"/>
      <c r="CL991" s="162"/>
      <c r="CM991" s="230"/>
      <c r="CN991" s="230"/>
      <c r="CO991" s="162"/>
      <c r="CP991" s="162"/>
      <c r="CQ991" s="162"/>
      <c r="CR991" s="162"/>
      <c r="CS991" s="162"/>
      <c r="CT991" s="230"/>
      <c r="CU991" s="230"/>
      <c r="CV991" s="162"/>
      <c r="CW991" s="162"/>
      <c r="CX991" s="162"/>
      <c r="CY991" s="162"/>
      <c r="CZ991" s="162"/>
      <c r="DA991" s="230"/>
      <c r="DB991" s="230"/>
      <c r="DC991" s="162"/>
      <c r="DD991" s="162"/>
      <c r="DE991" s="162"/>
      <c r="DF991" s="162"/>
      <c r="DG991" s="162"/>
      <c r="DH991" s="230"/>
      <c r="DI991" s="230"/>
      <c r="DJ991" s="162"/>
      <c r="DK991" s="162"/>
      <c r="DL991" s="147"/>
      <c r="DM991" s="147"/>
      <c r="DN991" s="147"/>
      <c r="DO991" s="147"/>
      <c r="DP991" s="147"/>
      <c r="DQ991" s="147"/>
      <c r="DR991" s="147"/>
      <c r="DS991" s="147"/>
      <c r="DT991" s="147"/>
      <c r="DU991" s="147"/>
      <c r="DV991" s="147"/>
      <c r="DW991" s="147"/>
      <c r="DX991" s="147"/>
      <c r="DY991" s="147"/>
      <c r="DZ991" s="147"/>
      <c r="EA991" s="147"/>
      <c r="EB991" s="147"/>
      <c r="EC991" s="147"/>
      <c r="ED991" s="147"/>
      <c r="EE991" s="147"/>
      <c r="EF991" s="147"/>
      <c r="EG991" s="147"/>
      <c r="EH991" s="147"/>
    </row>
    <row r="992" spans="1:138" x14ac:dyDescent="0.25">
      <c r="A992" s="147"/>
      <c r="B992" s="147"/>
      <c r="C992" s="160"/>
      <c r="D992" s="160"/>
      <c r="E992" s="169"/>
      <c r="F992" s="229"/>
      <c r="G992" s="165"/>
      <c r="H992" s="165"/>
      <c r="I992" s="163"/>
      <c r="J992" s="163"/>
      <c r="K992" s="162"/>
      <c r="L992" s="162"/>
      <c r="M992" s="162"/>
      <c r="N992" s="230"/>
      <c r="O992" s="230"/>
      <c r="P992" s="162"/>
      <c r="Q992" s="162"/>
      <c r="R992" s="162"/>
      <c r="S992" s="162"/>
      <c r="T992" s="162"/>
      <c r="U992" s="230"/>
      <c r="V992" s="230"/>
      <c r="W992" s="162"/>
      <c r="X992" s="162"/>
      <c r="Y992" s="162"/>
      <c r="Z992" s="162"/>
      <c r="AA992" s="162"/>
      <c r="AB992" s="230"/>
      <c r="AC992" s="230"/>
      <c r="AD992" s="162"/>
      <c r="AE992" s="162"/>
      <c r="AF992" s="162"/>
      <c r="AG992" s="162"/>
      <c r="AH992" s="162"/>
      <c r="AI992" s="230"/>
      <c r="AJ992" s="230"/>
      <c r="AK992" s="162"/>
      <c r="AL992" s="162"/>
      <c r="AM992" s="162"/>
      <c r="AN992" s="162"/>
      <c r="AO992" s="162"/>
      <c r="AP992" s="230"/>
      <c r="AQ992" s="230"/>
      <c r="AR992" s="162"/>
      <c r="AS992" s="162"/>
      <c r="AT992" s="162"/>
      <c r="AU992" s="162"/>
      <c r="AV992" s="162"/>
      <c r="AW992" s="230"/>
      <c r="AX992" s="230"/>
      <c r="AY992" s="162"/>
      <c r="AZ992" s="162"/>
      <c r="BA992" s="162"/>
      <c r="BB992" s="162"/>
      <c r="BC992" s="162"/>
      <c r="BD992" s="230"/>
      <c r="BE992" s="230"/>
      <c r="BF992" s="162"/>
      <c r="BG992" s="162"/>
      <c r="BH992" s="162"/>
      <c r="BI992" s="162"/>
      <c r="BJ992" s="162"/>
      <c r="BK992" s="230"/>
      <c r="BL992" s="230"/>
      <c r="BM992" s="162"/>
      <c r="BN992" s="162"/>
      <c r="BO992" s="162"/>
      <c r="BP992" s="162"/>
      <c r="BQ992" s="162"/>
      <c r="BR992" s="230"/>
      <c r="BS992" s="230"/>
      <c r="BT992" s="162"/>
      <c r="BU992" s="162"/>
      <c r="BV992" s="162"/>
      <c r="BW992" s="162"/>
      <c r="BX992" s="162"/>
      <c r="BY992" s="230"/>
      <c r="BZ992" s="230"/>
      <c r="CA992" s="162"/>
      <c r="CB992" s="162"/>
      <c r="CC992" s="162"/>
      <c r="CD992" s="162"/>
      <c r="CE992" s="162"/>
      <c r="CF992" s="230"/>
      <c r="CG992" s="230"/>
      <c r="CH992" s="162"/>
      <c r="CI992" s="162"/>
      <c r="CJ992" s="162"/>
      <c r="CK992" s="162"/>
      <c r="CL992" s="162"/>
      <c r="CM992" s="230"/>
      <c r="CN992" s="230"/>
      <c r="CO992" s="162"/>
      <c r="CP992" s="162"/>
      <c r="CQ992" s="162"/>
      <c r="CR992" s="162"/>
      <c r="CS992" s="162"/>
      <c r="CT992" s="230"/>
      <c r="CU992" s="230"/>
      <c r="CV992" s="162"/>
      <c r="CW992" s="162"/>
      <c r="CX992" s="162"/>
      <c r="CY992" s="162"/>
      <c r="CZ992" s="162"/>
      <c r="DA992" s="230"/>
      <c r="DB992" s="230"/>
      <c r="DC992" s="162"/>
      <c r="DD992" s="162"/>
      <c r="DE992" s="162"/>
      <c r="DF992" s="162"/>
      <c r="DG992" s="162"/>
      <c r="DH992" s="230"/>
      <c r="DI992" s="230"/>
      <c r="DJ992" s="162"/>
      <c r="DK992" s="162"/>
      <c r="DL992" s="147"/>
      <c r="DM992" s="147"/>
      <c r="DN992" s="147"/>
      <c r="DO992" s="147"/>
      <c r="DP992" s="147"/>
      <c r="DQ992" s="147"/>
      <c r="DR992" s="147"/>
      <c r="DS992" s="147"/>
      <c r="DT992" s="147"/>
      <c r="DU992" s="147"/>
      <c r="DV992" s="147"/>
      <c r="DW992" s="147"/>
      <c r="DX992" s="147"/>
      <c r="DY992" s="147"/>
      <c r="DZ992" s="147"/>
      <c r="EA992" s="147"/>
      <c r="EB992" s="147"/>
      <c r="EC992" s="147"/>
      <c r="ED992" s="147"/>
      <c r="EE992" s="147"/>
      <c r="EF992" s="147"/>
      <c r="EG992" s="147"/>
      <c r="EH992" s="147"/>
    </row>
    <row r="993" spans="1:138" x14ac:dyDescent="0.25">
      <c r="A993" s="147"/>
      <c r="B993" s="147"/>
      <c r="C993" s="160"/>
      <c r="D993" s="160"/>
      <c r="E993" s="169"/>
      <c r="F993" s="229"/>
      <c r="G993" s="165"/>
      <c r="H993" s="165"/>
      <c r="I993" s="163"/>
      <c r="J993" s="163"/>
      <c r="K993" s="162"/>
      <c r="L993" s="162"/>
      <c r="M993" s="162"/>
      <c r="N993" s="230"/>
      <c r="O993" s="230"/>
      <c r="P993" s="162"/>
      <c r="Q993" s="162"/>
      <c r="R993" s="162"/>
      <c r="S993" s="162"/>
      <c r="T993" s="162"/>
      <c r="U993" s="230"/>
      <c r="V993" s="230"/>
      <c r="W993" s="162"/>
      <c r="X993" s="162"/>
      <c r="Y993" s="162"/>
      <c r="Z993" s="162"/>
      <c r="AA993" s="162"/>
      <c r="AB993" s="230"/>
      <c r="AC993" s="230"/>
      <c r="AD993" s="162"/>
      <c r="AE993" s="162"/>
      <c r="AF993" s="162"/>
      <c r="AG993" s="162"/>
      <c r="AH993" s="162"/>
      <c r="AI993" s="230"/>
      <c r="AJ993" s="230"/>
      <c r="AK993" s="162"/>
      <c r="AL993" s="162"/>
      <c r="AM993" s="162"/>
      <c r="AN993" s="162"/>
      <c r="AO993" s="162"/>
      <c r="AP993" s="230"/>
      <c r="AQ993" s="230"/>
      <c r="AR993" s="162"/>
      <c r="AS993" s="162"/>
      <c r="AT993" s="162"/>
      <c r="AU993" s="162"/>
      <c r="AV993" s="162"/>
      <c r="AW993" s="230"/>
      <c r="AX993" s="230"/>
      <c r="AY993" s="162"/>
      <c r="AZ993" s="162"/>
      <c r="BA993" s="162"/>
      <c r="BB993" s="162"/>
      <c r="BC993" s="162"/>
      <c r="BD993" s="230"/>
      <c r="BE993" s="230"/>
      <c r="BF993" s="162"/>
      <c r="BG993" s="162"/>
      <c r="BH993" s="162"/>
      <c r="BI993" s="162"/>
      <c r="BJ993" s="162"/>
      <c r="BK993" s="230"/>
      <c r="BL993" s="230"/>
      <c r="BM993" s="162"/>
      <c r="BN993" s="162"/>
      <c r="BO993" s="162"/>
      <c r="BP993" s="162"/>
      <c r="BQ993" s="162"/>
      <c r="BR993" s="230"/>
      <c r="BS993" s="230"/>
      <c r="BT993" s="162"/>
      <c r="BU993" s="162"/>
      <c r="BV993" s="162"/>
      <c r="BW993" s="162"/>
      <c r="BX993" s="162"/>
      <c r="BY993" s="230"/>
      <c r="BZ993" s="230"/>
      <c r="CA993" s="162"/>
      <c r="CB993" s="162"/>
      <c r="CC993" s="162"/>
      <c r="CD993" s="162"/>
      <c r="CE993" s="162"/>
      <c r="CF993" s="230"/>
      <c r="CG993" s="230"/>
      <c r="CH993" s="162"/>
      <c r="CI993" s="162"/>
      <c r="CJ993" s="162"/>
      <c r="CK993" s="162"/>
      <c r="CL993" s="162"/>
      <c r="CM993" s="230"/>
      <c r="CN993" s="230"/>
      <c r="CO993" s="162"/>
      <c r="CP993" s="162"/>
      <c r="CQ993" s="162"/>
      <c r="CR993" s="162"/>
      <c r="CS993" s="162"/>
      <c r="CT993" s="230"/>
      <c r="CU993" s="230"/>
      <c r="CV993" s="162"/>
      <c r="CW993" s="162"/>
      <c r="CX993" s="162"/>
      <c r="CY993" s="162"/>
      <c r="CZ993" s="162"/>
      <c r="DA993" s="230"/>
      <c r="DB993" s="230"/>
      <c r="DC993" s="162"/>
      <c r="DD993" s="162"/>
      <c r="DE993" s="162"/>
      <c r="DF993" s="162"/>
      <c r="DG993" s="162"/>
      <c r="DH993" s="230"/>
      <c r="DI993" s="230"/>
      <c r="DJ993" s="162"/>
      <c r="DK993" s="162"/>
      <c r="DL993" s="147"/>
      <c r="DM993" s="147"/>
      <c r="DN993" s="147"/>
      <c r="DO993" s="147"/>
      <c r="DP993" s="147"/>
      <c r="DQ993" s="147"/>
      <c r="DR993" s="147"/>
      <c r="DS993" s="147"/>
      <c r="DT993" s="147"/>
      <c r="DU993" s="147"/>
      <c r="DV993" s="147"/>
      <c r="DW993" s="147"/>
      <c r="DX993" s="147"/>
      <c r="DY993" s="147"/>
      <c r="DZ993" s="147"/>
      <c r="EA993" s="147"/>
      <c r="EB993" s="147"/>
      <c r="EC993" s="147"/>
      <c r="ED993" s="147"/>
      <c r="EE993" s="147"/>
      <c r="EF993" s="147"/>
      <c r="EG993" s="147"/>
      <c r="EH993" s="147"/>
    </row>
    <row r="994" spans="1:138" x14ac:dyDescent="0.25">
      <c r="A994" s="147"/>
      <c r="B994" s="147"/>
      <c r="C994" s="160"/>
      <c r="D994" s="160"/>
      <c r="E994" s="169"/>
      <c r="F994" s="229"/>
      <c r="G994" s="165"/>
      <c r="H994" s="165"/>
      <c r="I994" s="163"/>
      <c r="J994" s="163"/>
      <c r="K994" s="162"/>
      <c r="L994" s="162"/>
      <c r="M994" s="162"/>
      <c r="N994" s="230"/>
      <c r="O994" s="230"/>
      <c r="P994" s="162"/>
      <c r="Q994" s="162"/>
      <c r="R994" s="162"/>
      <c r="S994" s="162"/>
      <c r="T994" s="162"/>
      <c r="U994" s="230"/>
      <c r="V994" s="230"/>
      <c r="W994" s="162"/>
      <c r="X994" s="162"/>
      <c r="Y994" s="162"/>
      <c r="Z994" s="162"/>
      <c r="AA994" s="162"/>
      <c r="AB994" s="230"/>
      <c r="AC994" s="230"/>
      <c r="AD994" s="162"/>
      <c r="AE994" s="162"/>
      <c r="AF994" s="162"/>
      <c r="AG994" s="162"/>
      <c r="AH994" s="162"/>
      <c r="AI994" s="230"/>
      <c r="AJ994" s="230"/>
      <c r="AK994" s="162"/>
      <c r="AL994" s="162"/>
      <c r="AM994" s="162"/>
      <c r="AN994" s="162"/>
      <c r="AO994" s="162"/>
      <c r="AP994" s="230"/>
      <c r="AQ994" s="230"/>
      <c r="AR994" s="162"/>
      <c r="AS994" s="162"/>
      <c r="AT994" s="162"/>
      <c r="AU994" s="162"/>
      <c r="AV994" s="162"/>
      <c r="AW994" s="230"/>
      <c r="AX994" s="230"/>
      <c r="AY994" s="162"/>
      <c r="AZ994" s="162"/>
      <c r="BA994" s="162"/>
      <c r="BB994" s="162"/>
      <c r="BC994" s="162"/>
      <c r="BD994" s="230"/>
      <c r="BE994" s="230"/>
      <c r="BF994" s="162"/>
      <c r="BG994" s="162"/>
      <c r="BH994" s="162"/>
      <c r="BI994" s="162"/>
      <c r="BJ994" s="162"/>
      <c r="BK994" s="230"/>
      <c r="BL994" s="230"/>
      <c r="BM994" s="162"/>
      <c r="BN994" s="162"/>
      <c r="BO994" s="162"/>
      <c r="BP994" s="162"/>
      <c r="BQ994" s="162"/>
      <c r="BR994" s="230"/>
      <c r="BS994" s="230"/>
      <c r="BT994" s="162"/>
      <c r="BU994" s="162"/>
      <c r="BV994" s="162"/>
      <c r="BW994" s="162"/>
      <c r="BX994" s="162"/>
      <c r="BY994" s="230"/>
      <c r="BZ994" s="230"/>
      <c r="CA994" s="162"/>
      <c r="CB994" s="162"/>
      <c r="CC994" s="162"/>
      <c r="CD994" s="162"/>
      <c r="CE994" s="162"/>
      <c r="CF994" s="230"/>
      <c r="CG994" s="230"/>
      <c r="CH994" s="162"/>
      <c r="CI994" s="162"/>
      <c r="CJ994" s="162"/>
      <c r="CK994" s="162"/>
      <c r="CL994" s="162"/>
      <c r="CM994" s="230"/>
      <c r="CN994" s="230"/>
      <c r="CO994" s="162"/>
      <c r="CP994" s="162"/>
      <c r="CQ994" s="162"/>
      <c r="CR994" s="162"/>
      <c r="CS994" s="162"/>
      <c r="CT994" s="230"/>
      <c r="CU994" s="230"/>
      <c r="CV994" s="162"/>
      <c r="CW994" s="162"/>
      <c r="CX994" s="162"/>
      <c r="CY994" s="162"/>
      <c r="CZ994" s="162"/>
      <c r="DA994" s="230"/>
      <c r="DB994" s="230"/>
      <c r="DC994" s="162"/>
      <c r="DD994" s="162"/>
      <c r="DE994" s="162"/>
      <c r="DF994" s="162"/>
      <c r="DG994" s="162"/>
      <c r="DH994" s="230"/>
      <c r="DI994" s="230"/>
      <c r="DJ994" s="162"/>
      <c r="DK994" s="162"/>
      <c r="DL994" s="147"/>
      <c r="DM994" s="147"/>
      <c r="DN994" s="147"/>
      <c r="DO994" s="147"/>
      <c r="DP994" s="147"/>
      <c r="DQ994" s="147"/>
      <c r="DR994" s="147"/>
      <c r="DS994" s="147"/>
      <c r="DT994" s="147"/>
      <c r="DU994" s="147"/>
      <c r="DV994" s="147"/>
      <c r="DW994" s="147"/>
      <c r="DX994" s="147"/>
      <c r="DY994" s="147"/>
      <c r="DZ994" s="147"/>
      <c r="EA994" s="147"/>
      <c r="EB994" s="147"/>
      <c r="EC994" s="147"/>
      <c r="ED994" s="147"/>
      <c r="EE994" s="147"/>
      <c r="EF994" s="147"/>
      <c r="EG994" s="147"/>
      <c r="EH994" s="147"/>
    </row>
    <row r="995" spans="1:138" x14ac:dyDescent="0.25">
      <c r="A995" s="147"/>
      <c r="B995" s="147"/>
      <c r="C995" s="160"/>
      <c r="D995" s="160"/>
      <c r="E995" s="169"/>
      <c r="F995" s="229"/>
      <c r="G995" s="165"/>
      <c r="H995" s="165"/>
      <c r="I995" s="163"/>
      <c r="J995" s="163"/>
      <c r="K995" s="162"/>
      <c r="L995" s="162"/>
      <c r="M995" s="162"/>
      <c r="N995" s="230"/>
      <c r="O995" s="230"/>
      <c r="P995" s="162"/>
      <c r="Q995" s="162"/>
      <c r="R995" s="162"/>
      <c r="S995" s="162"/>
      <c r="T995" s="162"/>
      <c r="U995" s="230"/>
      <c r="V995" s="230"/>
      <c r="W995" s="162"/>
      <c r="X995" s="162"/>
      <c r="Y995" s="162"/>
      <c r="Z995" s="162"/>
      <c r="AA995" s="162"/>
      <c r="AB995" s="230"/>
      <c r="AC995" s="230"/>
      <c r="AD995" s="162"/>
      <c r="AE995" s="162"/>
      <c r="AF995" s="162"/>
      <c r="AG995" s="162"/>
      <c r="AH995" s="162"/>
      <c r="AI995" s="230"/>
      <c r="AJ995" s="230"/>
      <c r="AK995" s="162"/>
      <c r="AL995" s="162"/>
      <c r="AM995" s="162"/>
      <c r="AN995" s="162"/>
      <c r="AO995" s="162"/>
      <c r="AP995" s="230"/>
      <c r="AQ995" s="230"/>
      <c r="AR995" s="162"/>
      <c r="AS995" s="162"/>
      <c r="AT995" s="162"/>
      <c r="AU995" s="162"/>
      <c r="AV995" s="162"/>
      <c r="AW995" s="230"/>
      <c r="AX995" s="230"/>
      <c r="AY995" s="162"/>
      <c r="AZ995" s="162"/>
      <c r="BA995" s="162"/>
      <c r="BB995" s="162"/>
      <c r="BC995" s="162"/>
      <c r="BD995" s="230"/>
      <c r="BE995" s="230"/>
      <c r="BF995" s="162"/>
      <c r="BG995" s="162"/>
      <c r="BH995" s="162"/>
      <c r="BI995" s="162"/>
      <c r="BJ995" s="162"/>
      <c r="BK995" s="230"/>
      <c r="BL995" s="230"/>
      <c r="BM995" s="162"/>
      <c r="BN995" s="162"/>
      <c r="BO995" s="162"/>
      <c r="BP995" s="162"/>
      <c r="BQ995" s="162"/>
      <c r="BR995" s="230"/>
      <c r="BS995" s="230"/>
      <c r="BT995" s="162"/>
      <c r="BU995" s="162"/>
      <c r="BV995" s="162"/>
      <c r="BW995" s="162"/>
      <c r="BX995" s="162"/>
      <c r="BY995" s="230"/>
      <c r="BZ995" s="230"/>
      <c r="CA995" s="162"/>
      <c r="CB995" s="162"/>
      <c r="CC995" s="162"/>
      <c r="CD995" s="162"/>
      <c r="CE995" s="162"/>
      <c r="CF995" s="230"/>
      <c r="CG995" s="230"/>
      <c r="CH995" s="162"/>
      <c r="CI995" s="162"/>
      <c r="CJ995" s="162"/>
      <c r="CK995" s="162"/>
      <c r="CL995" s="162"/>
      <c r="CM995" s="230"/>
      <c r="CN995" s="230"/>
      <c r="CO995" s="162"/>
      <c r="CP995" s="162"/>
      <c r="CQ995" s="162"/>
      <c r="CR995" s="162"/>
      <c r="CS995" s="162"/>
      <c r="CT995" s="230"/>
      <c r="CU995" s="230"/>
      <c r="CV995" s="162"/>
      <c r="CW995" s="162"/>
      <c r="CX995" s="162"/>
      <c r="CY995" s="162"/>
      <c r="CZ995" s="162"/>
      <c r="DA995" s="230"/>
      <c r="DB995" s="230"/>
      <c r="DC995" s="162"/>
      <c r="DD995" s="162"/>
      <c r="DE995" s="162"/>
      <c r="DF995" s="162"/>
      <c r="DG995" s="162"/>
      <c r="DH995" s="230"/>
      <c r="DI995" s="230"/>
      <c r="DJ995" s="162"/>
      <c r="DK995" s="162"/>
      <c r="DL995" s="147"/>
      <c r="DM995" s="147"/>
      <c r="DN995" s="147"/>
      <c r="DO995" s="147"/>
      <c r="DP995" s="147"/>
      <c r="DQ995" s="147"/>
      <c r="DR995" s="147"/>
      <c r="DS995" s="147"/>
      <c r="DT995" s="147"/>
      <c r="DU995" s="147"/>
      <c r="DV995" s="147"/>
      <c r="DW995" s="147"/>
      <c r="DX995" s="147"/>
      <c r="DY995" s="147"/>
      <c r="DZ995" s="147"/>
      <c r="EA995" s="147"/>
      <c r="EB995" s="147"/>
      <c r="EC995" s="147"/>
      <c r="ED995" s="147"/>
      <c r="EE995" s="147"/>
      <c r="EF995" s="147"/>
      <c r="EG995" s="147"/>
      <c r="EH995" s="147"/>
    </row>
    <row r="996" spans="1:138" x14ac:dyDescent="0.25">
      <c r="A996" s="147"/>
      <c r="B996" s="147"/>
      <c r="C996" s="160"/>
      <c r="D996" s="160"/>
      <c r="E996" s="169"/>
      <c r="F996" s="229"/>
      <c r="G996" s="165"/>
      <c r="H996" s="165"/>
      <c r="I996" s="163"/>
      <c r="J996" s="163"/>
      <c r="K996" s="162"/>
      <c r="L996" s="162"/>
      <c r="M996" s="162"/>
      <c r="N996" s="230"/>
      <c r="O996" s="230"/>
      <c r="P996" s="162"/>
      <c r="Q996" s="162"/>
      <c r="R996" s="162"/>
      <c r="S996" s="162"/>
      <c r="T996" s="162"/>
      <c r="U996" s="230"/>
      <c r="V996" s="230"/>
      <c r="W996" s="162"/>
      <c r="X996" s="162"/>
      <c r="Y996" s="162"/>
      <c r="Z996" s="162"/>
      <c r="AA996" s="162"/>
      <c r="AB996" s="230"/>
      <c r="AC996" s="230"/>
      <c r="AD996" s="162"/>
      <c r="AE996" s="162"/>
      <c r="AF996" s="162"/>
      <c r="AG996" s="162"/>
      <c r="AH996" s="162"/>
      <c r="AI996" s="230"/>
      <c r="AJ996" s="230"/>
      <c r="AK996" s="162"/>
      <c r="AL996" s="162"/>
      <c r="AM996" s="162"/>
      <c r="AN996" s="162"/>
      <c r="AO996" s="162"/>
      <c r="AP996" s="230"/>
      <c r="AQ996" s="230"/>
      <c r="AR996" s="162"/>
      <c r="AS996" s="162"/>
      <c r="AT996" s="162"/>
      <c r="AU996" s="162"/>
      <c r="AV996" s="162"/>
      <c r="AW996" s="230"/>
      <c r="AX996" s="230"/>
      <c r="AY996" s="162"/>
      <c r="AZ996" s="162"/>
      <c r="BA996" s="162"/>
      <c r="BB996" s="162"/>
      <c r="BC996" s="162"/>
      <c r="BD996" s="230"/>
      <c r="BE996" s="230"/>
      <c r="BF996" s="162"/>
      <c r="BG996" s="162"/>
      <c r="BH996" s="162"/>
      <c r="BI996" s="162"/>
      <c r="BJ996" s="162"/>
      <c r="BK996" s="230"/>
      <c r="BL996" s="230"/>
      <c r="BM996" s="162"/>
      <c r="BN996" s="162"/>
      <c r="BO996" s="162"/>
      <c r="BP996" s="162"/>
      <c r="BQ996" s="162"/>
      <c r="BR996" s="230"/>
      <c r="BS996" s="230"/>
      <c r="BT996" s="162"/>
      <c r="BU996" s="162"/>
      <c r="BV996" s="162"/>
      <c r="BW996" s="162"/>
      <c r="BX996" s="162"/>
      <c r="BY996" s="230"/>
      <c r="BZ996" s="230"/>
      <c r="CA996" s="162"/>
      <c r="CB996" s="162"/>
      <c r="CC996" s="162"/>
      <c r="CD996" s="162"/>
      <c r="CE996" s="162"/>
      <c r="CF996" s="230"/>
      <c r="CG996" s="230"/>
      <c r="CH996" s="162"/>
      <c r="CI996" s="162"/>
      <c r="CJ996" s="162"/>
      <c r="CK996" s="162"/>
      <c r="CL996" s="162"/>
      <c r="CM996" s="230"/>
      <c r="CN996" s="230"/>
      <c r="CO996" s="162"/>
      <c r="CP996" s="162"/>
      <c r="CQ996" s="162"/>
      <c r="CR996" s="162"/>
      <c r="CS996" s="162"/>
      <c r="CT996" s="230"/>
      <c r="CU996" s="230"/>
      <c r="CV996" s="162"/>
      <c r="CW996" s="162"/>
      <c r="CX996" s="162"/>
      <c r="CY996" s="162"/>
      <c r="CZ996" s="162"/>
      <c r="DA996" s="230"/>
      <c r="DB996" s="230"/>
      <c r="DC996" s="162"/>
      <c r="DD996" s="162"/>
      <c r="DE996" s="162"/>
      <c r="DF996" s="162"/>
      <c r="DG996" s="162"/>
      <c r="DH996" s="230"/>
      <c r="DI996" s="230"/>
      <c r="DJ996" s="162"/>
      <c r="DK996" s="162"/>
      <c r="DL996" s="147"/>
      <c r="DM996" s="147"/>
      <c r="DN996" s="147"/>
      <c r="DO996" s="147"/>
      <c r="DP996" s="147"/>
      <c r="DQ996" s="147"/>
      <c r="DR996" s="147"/>
      <c r="DS996" s="147"/>
      <c r="DT996" s="147"/>
      <c r="DU996" s="147"/>
      <c r="DV996" s="147"/>
      <c r="DW996" s="147"/>
      <c r="DX996" s="147"/>
      <c r="DY996" s="147"/>
      <c r="DZ996" s="147"/>
      <c r="EA996" s="147"/>
      <c r="EB996" s="147"/>
      <c r="EC996" s="147"/>
      <c r="ED996" s="147"/>
      <c r="EE996" s="147"/>
      <c r="EF996" s="147"/>
      <c r="EG996" s="147"/>
      <c r="EH996" s="147"/>
    </row>
    <row r="997" spans="1:138" x14ac:dyDescent="0.25">
      <c r="A997" s="147"/>
      <c r="B997" s="147"/>
      <c r="C997" s="160"/>
      <c r="D997" s="160"/>
      <c r="E997" s="169"/>
      <c r="F997" s="229"/>
      <c r="G997" s="165"/>
      <c r="H997" s="165"/>
      <c r="I997" s="163"/>
      <c r="J997" s="163"/>
      <c r="K997" s="162"/>
      <c r="L997" s="162"/>
      <c r="M997" s="162"/>
      <c r="N997" s="230"/>
      <c r="O997" s="230"/>
      <c r="P997" s="162"/>
      <c r="Q997" s="162"/>
      <c r="R997" s="162"/>
      <c r="S997" s="162"/>
      <c r="T997" s="162"/>
      <c r="U997" s="230"/>
      <c r="V997" s="230"/>
      <c r="W997" s="162"/>
      <c r="X997" s="162"/>
      <c r="Y997" s="162"/>
      <c r="Z997" s="162"/>
      <c r="AA997" s="162"/>
      <c r="AB997" s="230"/>
      <c r="AC997" s="230"/>
      <c r="AD997" s="162"/>
      <c r="AE997" s="162"/>
      <c r="AF997" s="162"/>
      <c r="AG997" s="162"/>
      <c r="AH997" s="162"/>
      <c r="AI997" s="230"/>
      <c r="AJ997" s="230"/>
      <c r="AK997" s="162"/>
      <c r="AL997" s="162"/>
      <c r="AM997" s="162"/>
      <c r="AN997" s="162"/>
      <c r="AO997" s="162"/>
      <c r="AP997" s="230"/>
      <c r="AQ997" s="230"/>
      <c r="AR997" s="162"/>
      <c r="AS997" s="162"/>
      <c r="AT997" s="162"/>
      <c r="AU997" s="162"/>
      <c r="AV997" s="162"/>
      <c r="AW997" s="230"/>
      <c r="AX997" s="230"/>
      <c r="AY997" s="162"/>
      <c r="AZ997" s="162"/>
      <c r="BA997" s="162"/>
      <c r="BB997" s="162"/>
      <c r="BC997" s="162"/>
      <c r="BD997" s="230"/>
      <c r="BE997" s="230"/>
      <c r="BF997" s="162"/>
      <c r="BG997" s="162"/>
      <c r="BH997" s="162"/>
      <c r="BI997" s="162"/>
      <c r="BJ997" s="162"/>
      <c r="BK997" s="230"/>
      <c r="BL997" s="230"/>
      <c r="BM997" s="162"/>
      <c r="BN997" s="162"/>
      <c r="BO997" s="162"/>
      <c r="BP997" s="162"/>
      <c r="BQ997" s="162"/>
      <c r="BR997" s="230"/>
      <c r="BS997" s="230"/>
      <c r="BT997" s="162"/>
      <c r="BU997" s="162"/>
      <c r="BV997" s="162"/>
      <c r="BW997" s="162"/>
      <c r="BX997" s="162"/>
      <c r="BY997" s="230"/>
      <c r="BZ997" s="230"/>
      <c r="CA997" s="162"/>
      <c r="CB997" s="162"/>
      <c r="CC997" s="162"/>
      <c r="CD997" s="162"/>
      <c r="CE997" s="162"/>
      <c r="CF997" s="230"/>
      <c r="CG997" s="230"/>
      <c r="CH997" s="162"/>
      <c r="CI997" s="162"/>
      <c r="CJ997" s="162"/>
      <c r="CK997" s="162"/>
      <c r="CL997" s="162"/>
      <c r="CM997" s="230"/>
      <c r="CN997" s="230"/>
      <c r="CO997" s="162"/>
      <c r="CP997" s="162"/>
      <c r="CQ997" s="162"/>
      <c r="CR997" s="162"/>
      <c r="CS997" s="162"/>
      <c r="CT997" s="230"/>
      <c r="CU997" s="230"/>
      <c r="CV997" s="162"/>
      <c r="CW997" s="162"/>
      <c r="CX997" s="162"/>
      <c r="CY997" s="162"/>
      <c r="CZ997" s="162"/>
      <c r="DA997" s="230"/>
      <c r="DB997" s="230"/>
      <c r="DC997" s="162"/>
      <c r="DD997" s="162"/>
      <c r="DE997" s="162"/>
      <c r="DF997" s="162"/>
      <c r="DG997" s="162"/>
      <c r="DH997" s="230"/>
      <c r="DI997" s="230"/>
      <c r="DJ997" s="162"/>
      <c r="DK997" s="162"/>
      <c r="DL997" s="147"/>
      <c r="DM997" s="147"/>
      <c r="DN997" s="147"/>
      <c r="DO997" s="147"/>
      <c r="DP997" s="147"/>
      <c r="DQ997" s="147"/>
      <c r="DR997" s="147"/>
      <c r="DS997" s="147"/>
      <c r="DT997" s="147"/>
      <c r="DU997" s="147"/>
      <c r="DV997" s="147"/>
      <c r="DW997" s="147"/>
      <c r="DX997" s="147"/>
      <c r="DY997" s="147"/>
      <c r="DZ997" s="147"/>
      <c r="EA997" s="147"/>
      <c r="EB997" s="147"/>
      <c r="EC997" s="147"/>
      <c r="ED997" s="147"/>
      <c r="EE997" s="147"/>
      <c r="EF997" s="147"/>
      <c r="EG997" s="147"/>
      <c r="EH997" s="147"/>
    </row>
    <row r="998" spans="1:138" x14ac:dyDescent="0.25">
      <c r="A998" s="147"/>
      <c r="B998" s="147"/>
      <c r="C998" s="160"/>
      <c r="D998" s="160"/>
      <c r="E998" s="169"/>
      <c r="F998" s="229"/>
      <c r="G998" s="165"/>
      <c r="H998" s="165"/>
      <c r="I998" s="163"/>
      <c r="J998" s="163"/>
      <c r="K998" s="162"/>
      <c r="L998" s="162"/>
      <c r="M998" s="162"/>
      <c r="N998" s="230"/>
      <c r="O998" s="230"/>
      <c r="P998" s="162"/>
      <c r="Q998" s="162"/>
      <c r="R998" s="162"/>
      <c r="S998" s="162"/>
      <c r="T998" s="162"/>
      <c r="U998" s="230"/>
      <c r="V998" s="230"/>
      <c r="W998" s="162"/>
      <c r="X998" s="162"/>
      <c r="Y998" s="162"/>
      <c r="Z998" s="162"/>
      <c r="AA998" s="162"/>
      <c r="AB998" s="230"/>
      <c r="AC998" s="230"/>
      <c r="AD998" s="162"/>
      <c r="AE998" s="162"/>
      <c r="AF998" s="162"/>
      <c r="AG998" s="162"/>
      <c r="AH998" s="162"/>
      <c r="AI998" s="230"/>
      <c r="AJ998" s="230"/>
      <c r="AK998" s="162"/>
      <c r="AL998" s="162"/>
      <c r="AM998" s="162"/>
      <c r="AN998" s="162"/>
      <c r="AO998" s="162"/>
      <c r="AP998" s="230"/>
      <c r="AQ998" s="230"/>
      <c r="AR998" s="162"/>
      <c r="AS998" s="162"/>
      <c r="AT998" s="162"/>
      <c r="AU998" s="162"/>
      <c r="AV998" s="162"/>
      <c r="AW998" s="230"/>
      <c r="AX998" s="230"/>
      <c r="AY998" s="162"/>
      <c r="AZ998" s="162"/>
      <c r="BA998" s="162"/>
      <c r="BB998" s="162"/>
      <c r="BC998" s="162"/>
      <c r="BD998" s="230"/>
      <c r="BE998" s="230"/>
      <c r="BF998" s="162"/>
      <c r="BG998" s="162"/>
      <c r="BH998" s="162"/>
      <c r="BI998" s="162"/>
      <c r="BJ998" s="162"/>
      <c r="BK998" s="230"/>
      <c r="BL998" s="230"/>
      <c r="BM998" s="162"/>
      <c r="BN998" s="162"/>
      <c r="BO998" s="162"/>
      <c r="BP998" s="162"/>
      <c r="BQ998" s="162"/>
      <c r="BR998" s="230"/>
      <c r="BS998" s="230"/>
      <c r="BT998" s="162"/>
      <c r="BU998" s="162"/>
      <c r="BV998" s="162"/>
      <c r="BW998" s="162"/>
      <c r="BX998" s="162"/>
      <c r="BY998" s="230"/>
      <c r="BZ998" s="230"/>
      <c r="CA998" s="162"/>
      <c r="CB998" s="162"/>
      <c r="CC998" s="162"/>
      <c r="CD998" s="162"/>
      <c r="CE998" s="162"/>
      <c r="CF998" s="230"/>
      <c r="CG998" s="230"/>
      <c r="CH998" s="162"/>
      <c r="CI998" s="162"/>
      <c r="CJ998" s="162"/>
      <c r="CK998" s="162"/>
      <c r="CL998" s="162"/>
      <c r="CM998" s="230"/>
      <c r="CN998" s="230"/>
      <c r="CO998" s="162"/>
      <c r="CP998" s="162"/>
      <c r="CQ998" s="162"/>
      <c r="CR998" s="162"/>
      <c r="CS998" s="162"/>
      <c r="CT998" s="230"/>
      <c r="CU998" s="230"/>
      <c r="CV998" s="162"/>
      <c r="CW998" s="162"/>
      <c r="CX998" s="162"/>
      <c r="CY998" s="162"/>
      <c r="CZ998" s="162"/>
      <c r="DA998" s="230"/>
      <c r="DB998" s="230"/>
      <c r="DC998" s="162"/>
      <c r="DD998" s="162"/>
      <c r="DE998" s="162"/>
      <c r="DF998" s="162"/>
      <c r="DG998" s="162"/>
      <c r="DH998" s="230"/>
      <c r="DI998" s="230"/>
      <c r="DJ998" s="162"/>
      <c r="DK998" s="162"/>
      <c r="DL998" s="147"/>
      <c r="DM998" s="147"/>
      <c r="DN998" s="147"/>
      <c r="DO998" s="147"/>
      <c r="DP998" s="147"/>
      <c r="DQ998" s="147"/>
      <c r="DR998" s="147"/>
      <c r="DS998" s="147"/>
      <c r="DT998" s="147"/>
      <c r="DU998" s="147"/>
      <c r="DV998" s="147"/>
      <c r="DW998" s="147"/>
      <c r="DX998" s="147"/>
      <c r="DY998" s="147"/>
      <c r="DZ998" s="147"/>
      <c r="EA998" s="147"/>
      <c r="EB998" s="147"/>
      <c r="EC998" s="147"/>
      <c r="ED998" s="147"/>
      <c r="EE998" s="147"/>
      <c r="EF998" s="147"/>
      <c r="EG998" s="147"/>
      <c r="EH998" s="147"/>
    </row>
    <row r="999" spans="1:138" x14ac:dyDescent="0.25">
      <c r="A999" s="147"/>
      <c r="B999" s="147"/>
      <c r="C999" s="160"/>
      <c r="D999" s="160"/>
      <c r="E999" s="169"/>
      <c r="F999" s="229"/>
      <c r="G999" s="165"/>
      <c r="H999" s="165"/>
      <c r="I999" s="163"/>
      <c r="J999" s="163"/>
      <c r="K999" s="162"/>
      <c r="L999" s="162"/>
      <c r="M999" s="162"/>
      <c r="N999" s="230"/>
      <c r="O999" s="230"/>
      <c r="P999" s="162"/>
      <c r="Q999" s="162"/>
      <c r="R999" s="162"/>
      <c r="S999" s="162"/>
      <c r="T999" s="162"/>
      <c r="U999" s="230"/>
      <c r="V999" s="230"/>
      <c r="W999" s="162"/>
      <c r="X999" s="162"/>
      <c r="Y999" s="162"/>
      <c r="Z999" s="162"/>
      <c r="AA999" s="162"/>
      <c r="AB999" s="230"/>
      <c r="AC999" s="230"/>
      <c r="AD999" s="162"/>
      <c r="AE999" s="162"/>
      <c r="AF999" s="162"/>
      <c r="AG999" s="162"/>
      <c r="AH999" s="162"/>
      <c r="AI999" s="230"/>
      <c r="AJ999" s="230"/>
      <c r="AK999" s="162"/>
      <c r="AL999" s="162"/>
      <c r="AM999" s="162"/>
      <c r="AN999" s="162"/>
      <c r="AO999" s="162"/>
      <c r="AP999" s="230"/>
      <c r="AQ999" s="230"/>
      <c r="AR999" s="162"/>
      <c r="AS999" s="162"/>
      <c r="AT999" s="162"/>
      <c r="AU999" s="162"/>
      <c r="AV999" s="162"/>
      <c r="AW999" s="230"/>
      <c r="AX999" s="230"/>
      <c r="AY999" s="162"/>
      <c r="AZ999" s="162"/>
      <c r="BA999" s="162"/>
      <c r="BB999" s="162"/>
      <c r="BC999" s="162"/>
      <c r="BD999" s="230"/>
      <c r="BE999" s="230"/>
      <c r="BF999" s="162"/>
      <c r="BG999" s="162"/>
      <c r="BH999" s="162"/>
      <c r="BI999" s="162"/>
      <c r="BJ999" s="162"/>
      <c r="BK999" s="230"/>
      <c r="BL999" s="230"/>
      <c r="BM999" s="162"/>
      <c r="BN999" s="162"/>
      <c r="BO999" s="162"/>
      <c r="BP999" s="162"/>
      <c r="BQ999" s="162"/>
      <c r="BR999" s="230"/>
      <c r="BS999" s="230"/>
      <c r="BT999" s="162"/>
      <c r="BU999" s="162"/>
      <c r="BV999" s="162"/>
      <c r="BW999" s="162"/>
      <c r="BX999" s="162"/>
      <c r="BY999" s="230"/>
      <c r="BZ999" s="230"/>
      <c r="CA999" s="162"/>
      <c r="CB999" s="162"/>
      <c r="CC999" s="162"/>
      <c r="CD999" s="162"/>
      <c r="CE999" s="162"/>
      <c r="CF999" s="230"/>
      <c r="CG999" s="230"/>
      <c r="CH999" s="162"/>
      <c r="CI999" s="162"/>
      <c r="CJ999" s="162"/>
      <c r="CK999" s="162"/>
      <c r="CL999" s="162"/>
      <c r="CM999" s="230"/>
      <c r="CN999" s="230"/>
      <c r="CO999" s="162"/>
      <c r="CP999" s="162"/>
      <c r="CQ999" s="162"/>
      <c r="CR999" s="162"/>
      <c r="CS999" s="162"/>
      <c r="CT999" s="230"/>
      <c r="CU999" s="230"/>
      <c r="CV999" s="162"/>
      <c r="CW999" s="162"/>
      <c r="CX999" s="162"/>
      <c r="CY999" s="162"/>
      <c r="CZ999" s="162"/>
      <c r="DA999" s="230"/>
      <c r="DB999" s="230"/>
      <c r="DC999" s="162"/>
      <c r="DD999" s="162"/>
      <c r="DE999" s="162"/>
      <c r="DF999" s="162"/>
      <c r="DG999" s="162"/>
      <c r="DH999" s="230"/>
      <c r="DI999" s="230"/>
      <c r="DJ999" s="162"/>
      <c r="DK999" s="162"/>
      <c r="DL999" s="147"/>
      <c r="DM999" s="147"/>
      <c r="DN999" s="147"/>
      <c r="DO999" s="147"/>
      <c r="DP999" s="147"/>
      <c r="DQ999" s="147"/>
      <c r="DR999" s="147"/>
      <c r="DS999" s="147"/>
      <c r="DT999" s="147"/>
      <c r="DU999" s="147"/>
      <c r="DV999" s="147"/>
      <c r="DW999" s="147"/>
      <c r="DX999" s="147"/>
      <c r="DY999" s="147"/>
      <c r="DZ999" s="147"/>
      <c r="EA999" s="147"/>
      <c r="EB999" s="147"/>
      <c r="EC999" s="147"/>
      <c r="ED999" s="147"/>
      <c r="EE999" s="147"/>
      <c r="EF999" s="147"/>
      <c r="EG999" s="147"/>
      <c r="EH999" s="147"/>
    </row>
    <row r="1000" spans="1:138" x14ac:dyDescent="0.25">
      <c r="A1000" s="147"/>
      <c r="B1000" s="147"/>
      <c r="C1000" s="160"/>
      <c r="D1000" s="160"/>
      <c r="E1000" s="169"/>
      <c r="F1000" s="229"/>
      <c r="G1000" s="165"/>
      <c r="H1000" s="165"/>
      <c r="I1000" s="163"/>
      <c r="J1000" s="163"/>
      <c r="K1000" s="162"/>
      <c r="L1000" s="162"/>
      <c r="M1000" s="162"/>
      <c r="N1000" s="230"/>
      <c r="O1000" s="230"/>
      <c r="P1000" s="162"/>
      <c r="Q1000" s="162"/>
      <c r="R1000" s="162"/>
      <c r="S1000" s="162"/>
      <c r="T1000" s="162"/>
      <c r="U1000" s="230"/>
      <c r="V1000" s="230"/>
      <c r="W1000" s="162"/>
      <c r="X1000" s="162"/>
      <c r="Y1000" s="162"/>
      <c r="Z1000" s="162"/>
      <c r="AA1000" s="162"/>
      <c r="AB1000" s="230"/>
      <c r="AC1000" s="230"/>
      <c r="AD1000" s="162"/>
      <c r="AE1000" s="162"/>
      <c r="AF1000" s="162"/>
      <c r="AG1000" s="162"/>
      <c r="AH1000" s="162"/>
      <c r="AI1000" s="230"/>
      <c r="AJ1000" s="230"/>
      <c r="AK1000" s="162"/>
      <c r="AL1000" s="162"/>
      <c r="AM1000" s="162"/>
      <c r="AN1000" s="162"/>
      <c r="AO1000" s="162"/>
      <c r="AP1000" s="230"/>
      <c r="AQ1000" s="230"/>
      <c r="AR1000" s="162"/>
      <c r="AS1000" s="162"/>
      <c r="AT1000" s="162"/>
      <c r="AU1000" s="162"/>
      <c r="AV1000" s="162"/>
      <c r="AW1000" s="230"/>
      <c r="AX1000" s="230"/>
      <c r="AY1000" s="162"/>
      <c r="AZ1000" s="162"/>
      <c r="BA1000" s="162"/>
      <c r="BB1000" s="162"/>
      <c r="BC1000" s="162"/>
      <c r="BD1000" s="230"/>
      <c r="BE1000" s="230"/>
      <c r="BF1000" s="162"/>
      <c r="BG1000" s="162"/>
      <c r="BH1000" s="162"/>
      <c r="BI1000" s="162"/>
      <c r="BJ1000" s="162"/>
      <c r="BK1000" s="230"/>
      <c r="BL1000" s="230"/>
      <c r="BM1000" s="162"/>
      <c r="BN1000" s="162"/>
      <c r="BO1000" s="162"/>
      <c r="BP1000" s="162"/>
      <c r="BQ1000" s="162"/>
      <c r="BR1000" s="230"/>
      <c r="BS1000" s="230"/>
      <c r="BT1000" s="162"/>
      <c r="BU1000" s="162"/>
      <c r="BV1000" s="162"/>
      <c r="BW1000" s="162"/>
      <c r="BX1000" s="162"/>
      <c r="BY1000" s="230"/>
      <c r="BZ1000" s="230"/>
      <c r="CA1000" s="162"/>
      <c r="CB1000" s="162"/>
      <c r="CC1000" s="162"/>
      <c r="CD1000" s="162"/>
      <c r="CE1000" s="162"/>
      <c r="CF1000" s="230"/>
      <c r="CG1000" s="230"/>
      <c r="CH1000" s="162"/>
      <c r="CI1000" s="162"/>
      <c r="CJ1000" s="162"/>
      <c r="CK1000" s="162"/>
      <c r="CL1000" s="162"/>
      <c r="CM1000" s="230"/>
      <c r="CN1000" s="230"/>
      <c r="CO1000" s="162"/>
      <c r="CP1000" s="162"/>
      <c r="CQ1000" s="162"/>
      <c r="CR1000" s="162"/>
      <c r="CS1000" s="162"/>
      <c r="CT1000" s="230"/>
      <c r="CU1000" s="230"/>
      <c r="CV1000" s="162"/>
      <c r="CW1000" s="162"/>
      <c r="CX1000" s="162"/>
      <c r="CY1000" s="162"/>
      <c r="CZ1000" s="162"/>
      <c r="DA1000" s="230"/>
      <c r="DB1000" s="230"/>
      <c r="DC1000" s="162"/>
      <c r="DD1000" s="162"/>
      <c r="DE1000" s="162"/>
      <c r="DF1000" s="162"/>
      <c r="DG1000" s="162"/>
      <c r="DH1000" s="230"/>
      <c r="DI1000" s="230"/>
      <c r="DJ1000" s="162"/>
      <c r="DK1000" s="162"/>
      <c r="DL1000" s="147"/>
      <c r="DM1000" s="147"/>
      <c r="DN1000" s="147"/>
      <c r="DO1000" s="147"/>
      <c r="DP1000" s="147"/>
      <c r="DQ1000" s="147"/>
      <c r="DR1000" s="147"/>
      <c r="DS1000" s="147"/>
      <c r="DT1000" s="147"/>
      <c r="DU1000" s="147"/>
      <c r="DV1000" s="147"/>
      <c r="DW1000" s="147"/>
      <c r="DX1000" s="147"/>
      <c r="DY1000" s="147"/>
      <c r="DZ1000" s="147"/>
      <c r="EA1000" s="147"/>
      <c r="EB1000" s="147"/>
      <c r="EC1000" s="147"/>
      <c r="ED1000" s="147"/>
      <c r="EE1000" s="147"/>
      <c r="EF1000" s="147"/>
      <c r="EG1000" s="147"/>
      <c r="EH1000" s="147"/>
    </row>
    <row r="1001" spans="1:138" x14ac:dyDescent="0.25">
      <c r="A1001" s="147"/>
      <c r="B1001" s="147"/>
      <c r="C1001" s="160"/>
      <c r="D1001" s="160"/>
      <c r="E1001" s="169"/>
      <c r="F1001" s="229"/>
      <c r="G1001" s="165"/>
      <c r="H1001" s="165"/>
      <c r="I1001" s="163"/>
      <c r="J1001" s="163"/>
      <c r="K1001" s="162"/>
      <c r="L1001" s="162"/>
      <c r="M1001" s="162"/>
      <c r="N1001" s="230"/>
      <c r="O1001" s="230"/>
      <c r="P1001" s="162"/>
      <c r="Q1001" s="162"/>
      <c r="R1001" s="162"/>
      <c r="S1001" s="162"/>
      <c r="T1001" s="162"/>
      <c r="U1001" s="230"/>
      <c r="V1001" s="230"/>
      <c r="W1001" s="162"/>
      <c r="X1001" s="162"/>
      <c r="Y1001" s="162"/>
      <c r="Z1001" s="162"/>
      <c r="AA1001" s="162"/>
      <c r="AB1001" s="230"/>
      <c r="AC1001" s="230"/>
      <c r="AD1001" s="162"/>
      <c r="AE1001" s="162"/>
      <c r="AF1001" s="162"/>
      <c r="AG1001" s="162"/>
      <c r="AH1001" s="162"/>
      <c r="AI1001" s="230"/>
      <c r="AJ1001" s="230"/>
      <c r="AK1001" s="162"/>
      <c r="AL1001" s="162"/>
      <c r="AM1001" s="162"/>
      <c r="AN1001" s="162"/>
      <c r="AO1001" s="162"/>
      <c r="AP1001" s="230"/>
      <c r="AQ1001" s="230"/>
      <c r="AR1001" s="162"/>
      <c r="AS1001" s="162"/>
      <c r="AT1001" s="162"/>
      <c r="AU1001" s="162"/>
      <c r="AV1001" s="162"/>
      <c r="AW1001" s="230"/>
      <c r="AX1001" s="230"/>
      <c r="AY1001" s="162"/>
      <c r="AZ1001" s="162"/>
      <c r="BA1001" s="162"/>
      <c r="BB1001" s="162"/>
      <c r="BC1001" s="162"/>
      <c r="BD1001" s="230"/>
      <c r="BE1001" s="230"/>
      <c r="BF1001" s="162"/>
      <c r="BG1001" s="162"/>
      <c r="BH1001" s="162"/>
      <c r="BI1001" s="162"/>
      <c r="BJ1001" s="162"/>
      <c r="BK1001" s="230"/>
      <c r="BL1001" s="230"/>
      <c r="BM1001" s="162"/>
      <c r="BN1001" s="162"/>
      <c r="BO1001" s="162"/>
      <c r="BP1001" s="162"/>
      <c r="BQ1001" s="162"/>
      <c r="BR1001" s="230"/>
      <c r="BS1001" s="230"/>
      <c r="BT1001" s="162"/>
      <c r="BU1001" s="162"/>
      <c r="BV1001" s="162"/>
      <c r="BW1001" s="162"/>
      <c r="BX1001" s="162"/>
      <c r="BY1001" s="230"/>
      <c r="BZ1001" s="230"/>
      <c r="CA1001" s="162"/>
      <c r="CB1001" s="162"/>
      <c r="CC1001" s="162"/>
      <c r="CD1001" s="162"/>
      <c r="CE1001" s="162"/>
      <c r="CF1001" s="230"/>
      <c r="CG1001" s="230"/>
      <c r="CH1001" s="162"/>
      <c r="CI1001" s="162"/>
      <c r="CJ1001" s="162"/>
      <c r="CK1001" s="162"/>
      <c r="CL1001" s="162"/>
      <c r="CM1001" s="230"/>
      <c r="CN1001" s="230"/>
      <c r="CO1001" s="162"/>
      <c r="CP1001" s="162"/>
      <c r="CQ1001" s="162"/>
      <c r="CR1001" s="162"/>
      <c r="CS1001" s="162"/>
      <c r="CT1001" s="230"/>
      <c r="CU1001" s="230"/>
      <c r="CV1001" s="162"/>
      <c r="CW1001" s="162"/>
      <c r="CX1001" s="162"/>
      <c r="CY1001" s="162"/>
      <c r="CZ1001" s="162"/>
      <c r="DA1001" s="230"/>
      <c r="DB1001" s="230"/>
      <c r="DC1001" s="162"/>
      <c r="DD1001" s="162"/>
      <c r="DE1001" s="162"/>
      <c r="DF1001" s="162"/>
      <c r="DG1001" s="162"/>
      <c r="DH1001" s="230"/>
      <c r="DI1001" s="230"/>
      <c r="DJ1001" s="162"/>
      <c r="DK1001" s="162"/>
      <c r="DL1001" s="147"/>
      <c r="DM1001" s="147"/>
      <c r="DN1001" s="147"/>
      <c r="DO1001" s="147"/>
      <c r="DP1001" s="147"/>
      <c r="DQ1001" s="147"/>
      <c r="DR1001" s="147"/>
      <c r="DS1001" s="147"/>
      <c r="DT1001" s="147"/>
      <c r="DU1001" s="147"/>
      <c r="DV1001" s="147"/>
      <c r="DW1001" s="147"/>
      <c r="DX1001" s="147"/>
      <c r="DY1001" s="147"/>
      <c r="DZ1001" s="147"/>
      <c r="EA1001" s="147"/>
      <c r="EB1001" s="147"/>
      <c r="EC1001" s="147"/>
      <c r="ED1001" s="147"/>
      <c r="EE1001" s="147"/>
      <c r="EF1001" s="147"/>
      <c r="EG1001" s="147"/>
      <c r="EH1001" s="147"/>
    </row>
  </sheetData>
  <mergeCells count="285">
    <mergeCell ref="DM358:DS358"/>
    <mergeCell ref="DM360:DS360"/>
    <mergeCell ref="DM397:DS397"/>
    <mergeCell ref="DM398:DS398"/>
    <mergeCell ref="DM400:DV400"/>
    <mergeCell ref="DM401:DV401"/>
    <mergeCell ref="DM402:DS402"/>
    <mergeCell ref="DM404:DS404"/>
    <mergeCell ref="DM405:DS405"/>
    <mergeCell ref="DM348:DV348"/>
    <mergeCell ref="DM349:DV349"/>
    <mergeCell ref="DM350:DS350"/>
    <mergeCell ref="DM351:DS351"/>
    <mergeCell ref="DM352:DS352"/>
    <mergeCell ref="DM354:DV354"/>
    <mergeCell ref="DM355:DV355"/>
    <mergeCell ref="DM356:DS356"/>
    <mergeCell ref="DM357:DS357"/>
    <mergeCell ref="DM476:DS476"/>
    <mergeCell ref="DM460:DV460"/>
    <mergeCell ref="DM461:DS461"/>
    <mergeCell ref="DM462:DS462"/>
    <mergeCell ref="DM463:DS463"/>
    <mergeCell ref="DM465:DV465"/>
    <mergeCell ref="DM466:DV466"/>
    <mergeCell ref="DM467:DS467"/>
    <mergeCell ref="DM309:DV309"/>
    <mergeCell ref="DM310:DV310"/>
    <mergeCell ref="DM311:DS311"/>
    <mergeCell ref="DM312:DS312"/>
    <mergeCell ref="DM313:DS313"/>
    <mergeCell ref="DM315:DS315"/>
    <mergeCell ref="DM316:DS316"/>
    <mergeCell ref="DM318:DV318"/>
    <mergeCell ref="DM319:DV319"/>
    <mergeCell ref="DM320:DS320"/>
    <mergeCell ref="DM321:DS321"/>
    <mergeCell ref="DM322:DS322"/>
    <mergeCell ref="DM324:DV324"/>
    <mergeCell ref="DM325:DV325"/>
    <mergeCell ref="DM326:DS326"/>
    <mergeCell ref="DM327:DS327"/>
    <mergeCell ref="DM456:DS456"/>
    <mergeCell ref="DM457:DS457"/>
    <mergeCell ref="DM459:DV459"/>
    <mergeCell ref="DM468:DS468"/>
    <mergeCell ref="DM469:DS469"/>
    <mergeCell ref="DM471:DS471"/>
    <mergeCell ref="DM472:DS472"/>
    <mergeCell ref="DM474:DV474"/>
    <mergeCell ref="DM475:DV475"/>
    <mergeCell ref="DM445:DV445"/>
    <mergeCell ref="DM446:DS446"/>
    <mergeCell ref="DM447:DS447"/>
    <mergeCell ref="DM448:DS448"/>
    <mergeCell ref="DM450:DV450"/>
    <mergeCell ref="DM451:DV451"/>
    <mergeCell ref="DM452:DS452"/>
    <mergeCell ref="DM453:DS453"/>
    <mergeCell ref="DM454:DS454"/>
    <mergeCell ref="DM432:DS432"/>
    <mergeCell ref="DM434:DS434"/>
    <mergeCell ref="DM435:DS435"/>
    <mergeCell ref="DM437:DV437"/>
    <mergeCell ref="DM438:DV438"/>
    <mergeCell ref="DM439:DS439"/>
    <mergeCell ref="DM441:DS441"/>
    <mergeCell ref="DM442:DS442"/>
    <mergeCell ref="DM444:DV444"/>
    <mergeCell ref="DM422:DV422"/>
    <mergeCell ref="DM423:DV423"/>
    <mergeCell ref="DM424:DS424"/>
    <mergeCell ref="DM425:DS425"/>
    <mergeCell ref="DM426:DS426"/>
    <mergeCell ref="DM428:DV428"/>
    <mergeCell ref="DM429:DV429"/>
    <mergeCell ref="DM430:DS430"/>
    <mergeCell ref="DM431:DS431"/>
    <mergeCell ref="DM410:DS410"/>
    <mergeCell ref="DM411:DS411"/>
    <mergeCell ref="DM413:DV413"/>
    <mergeCell ref="DM414:DV414"/>
    <mergeCell ref="DM415:DS415"/>
    <mergeCell ref="DM416:DS416"/>
    <mergeCell ref="DM417:DS417"/>
    <mergeCell ref="DM419:DS419"/>
    <mergeCell ref="DM420:DS420"/>
    <mergeCell ref="DM389:DS389"/>
    <mergeCell ref="DM391:DV391"/>
    <mergeCell ref="DM392:DV392"/>
    <mergeCell ref="DM393:DS393"/>
    <mergeCell ref="DM394:DS394"/>
    <mergeCell ref="DM395:DS395"/>
    <mergeCell ref="DM407:DV407"/>
    <mergeCell ref="DM408:DV408"/>
    <mergeCell ref="DM409:DS409"/>
    <mergeCell ref="DM378:DS378"/>
    <mergeCell ref="DM379:DS379"/>
    <mergeCell ref="DM380:DS380"/>
    <mergeCell ref="DM382:DS382"/>
    <mergeCell ref="DM383:DS383"/>
    <mergeCell ref="DM385:DV385"/>
    <mergeCell ref="DM386:DV386"/>
    <mergeCell ref="DM387:DS387"/>
    <mergeCell ref="DM388:DS388"/>
    <mergeCell ref="DM367:DS367"/>
    <mergeCell ref="DM368:DS368"/>
    <mergeCell ref="DM370:DV370"/>
    <mergeCell ref="DM371:DV371"/>
    <mergeCell ref="DM372:DS372"/>
    <mergeCell ref="DM373:DS373"/>
    <mergeCell ref="DM374:DS374"/>
    <mergeCell ref="DM376:DV376"/>
    <mergeCell ref="DM377:DV377"/>
    <mergeCell ref="DM303:DV303"/>
    <mergeCell ref="DM304:DV304"/>
    <mergeCell ref="DM305:DS305"/>
    <mergeCell ref="DM306:DS306"/>
    <mergeCell ref="DM307:DS307"/>
    <mergeCell ref="DM361:DS361"/>
    <mergeCell ref="DM363:DV363"/>
    <mergeCell ref="DM364:DV364"/>
    <mergeCell ref="DM365:DS365"/>
    <mergeCell ref="DM328:DS328"/>
    <mergeCell ref="DM330:DS330"/>
    <mergeCell ref="DM331:DS331"/>
    <mergeCell ref="DM333:DV333"/>
    <mergeCell ref="DM334:DV334"/>
    <mergeCell ref="DM335:DS335"/>
    <mergeCell ref="DM336:DS336"/>
    <mergeCell ref="DM337:DS337"/>
    <mergeCell ref="DM339:DV339"/>
    <mergeCell ref="DM340:DV340"/>
    <mergeCell ref="DM341:DS341"/>
    <mergeCell ref="DM342:DS342"/>
    <mergeCell ref="DM343:DS343"/>
    <mergeCell ref="DM345:DS345"/>
    <mergeCell ref="DM346:DS346"/>
    <mergeCell ref="DM274:DV274"/>
    <mergeCell ref="DM275:DS275"/>
    <mergeCell ref="DM276:DS276"/>
    <mergeCell ref="DM277:DS277"/>
    <mergeCell ref="DM279:DV279"/>
    <mergeCell ref="DM280:DV280"/>
    <mergeCell ref="DM281:DS281"/>
    <mergeCell ref="DM300:DS300"/>
    <mergeCell ref="DM301:DS301"/>
    <mergeCell ref="DM295:DV295"/>
    <mergeCell ref="DM296:DS296"/>
    <mergeCell ref="DM297:DS297"/>
    <mergeCell ref="DM298:DS298"/>
    <mergeCell ref="DM229:DV229"/>
    <mergeCell ref="DM230:DS230"/>
    <mergeCell ref="DM231:DS231"/>
    <mergeCell ref="DM232:DS232"/>
    <mergeCell ref="DM234:DS234"/>
    <mergeCell ref="DM235:DS235"/>
    <mergeCell ref="DM237:DV237"/>
    <mergeCell ref="DM238:DV238"/>
    <mergeCell ref="DM239:DS239"/>
    <mergeCell ref="DM240:DS240"/>
    <mergeCell ref="DM241:DS241"/>
    <mergeCell ref="DM243:DS243"/>
    <mergeCell ref="DM244:DS244"/>
    <mergeCell ref="DM246:DV246"/>
    <mergeCell ref="DM247:DV247"/>
    <mergeCell ref="DM248:DS248"/>
    <mergeCell ref="DM249:DS249"/>
    <mergeCell ref="DM250:DS250"/>
    <mergeCell ref="DM252:DS252"/>
    <mergeCell ref="DM253:DS253"/>
    <mergeCell ref="DM283:DS283"/>
    <mergeCell ref="DM285:DS285"/>
    <mergeCell ref="DM286:DS286"/>
    <mergeCell ref="DM288:DV288"/>
    <mergeCell ref="DM289:DV289"/>
    <mergeCell ref="DM290:DS290"/>
    <mergeCell ref="DM291:DS291"/>
    <mergeCell ref="DM292:DS292"/>
    <mergeCell ref="DM294:DV294"/>
    <mergeCell ref="DM219:DV219"/>
    <mergeCell ref="DM220:DV220"/>
    <mergeCell ref="DM221:DS221"/>
    <mergeCell ref="DM222:DS222"/>
    <mergeCell ref="DM223:DS223"/>
    <mergeCell ref="DM225:DS225"/>
    <mergeCell ref="DM226:DS226"/>
    <mergeCell ref="DM228:DV228"/>
    <mergeCell ref="DM282:DS282"/>
    <mergeCell ref="DM255:DV255"/>
    <mergeCell ref="DM256:DV256"/>
    <mergeCell ref="DM257:DS257"/>
    <mergeCell ref="DM258:DS258"/>
    <mergeCell ref="DM259:DS259"/>
    <mergeCell ref="DM261:DS261"/>
    <mergeCell ref="DM262:DS262"/>
    <mergeCell ref="DM264:DV264"/>
    <mergeCell ref="DM265:DV265"/>
    <mergeCell ref="DM266:DS266"/>
    <mergeCell ref="DM267:DS267"/>
    <mergeCell ref="DM268:DS268"/>
    <mergeCell ref="DM270:DS270"/>
    <mergeCell ref="DM271:DS271"/>
    <mergeCell ref="DM273:DV273"/>
    <mergeCell ref="DM207:DS207"/>
    <mergeCell ref="DM208:DS208"/>
    <mergeCell ref="DM210:DV210"/>
    <mergeCell ref="DM211:DV211"/>
    <mergeCell ref="DM212:DS212"/>
    <mergeCell ref="DM213:DS213"/>
    <mergeCell ref="DM214:DS214"/>
    <mergeCell ref="DM216:DS216"/>
    <mergeCell ref="DM217:DS217"/>
    <mergeCell ref="DM195:DS195"/>
    <mergeCell ref="DM196:DS196"/>
    <mergeCell ref="DM198:DS198"/>
    <mergeCell ref="DM199:DS199"/>
    <mergeCell ref="DM201:DV201"/>
    <mergeCell ref="DM202:DV202"/>
    <mergeCell ref="DM203:DS203"/>
    <mergeCell ref="DM204:DS204"/>
    <mergeCell ref="DM205:DS205"/>
    <mergeCell ref="DM182:DS182"/>
    <mergeCell ref="DM184:DV184"/>
    <mergeCell ref="DM185:DV185"/>
    <mergeCell ref="DM186:DS186"/>
    <mergeCell ref="DM187:DS187"/>
    <mergeCell ref="DM190:DS190"/>
    <mergeCell ref="DM191:DS191"/>
    <mergeCell ref="DM193:DV193"/>
    <mergeCell ref="DM194:DV194"/>
    <mergeCell ref="DM180:DV180"/>
    <mergeCell ref="DM181:DV181"/>
    <mergeCell ref="DP57:DQ57"/>
    <mergeCell ref="DP58:DQ58"/>
    <mergeCell ref="DM166:DO166"/>
    <mergeCell ref="DP166:DR166"/>
    <mergeCell ref="DS166:DV166"/>
    <mergeCell ref="DM168:DV168"/>
    <mergeCell ref="DM170:DV170"/>
    <mergeCell ref="DM172:DO172"/>
    <mergeCell ref="DP172:DR172"/>
    <mergeCell ref="DS172:DV172"/>
    <mergeCell ref="DM174:DV174"/>
    <mergeCell ref="DM175:DV175"/>
    <mergeCell ref="DM176:DS176"/>
    <mergeCell ref="DM177:DS177"/>
    <mergeCell ref="DM31:DT31"/>
    <mergeCell ref="DR58:DT58"/>
    <mergeCell ref="DM86:DT86"/>
    <mergeCell ref="DM87:DT87"/>
    <mergeCell ref="DM5:DO5"/>
    <mergeCell ref="DM56:DN56"/>
    <mergeCell ref="DP56:DQ56"/>
    <mergeCell ref="DR56:DT56"/>
    <mergeCell ref="DM57:DN57"/>
    <mergeCell ref="DR57:DT57"/>
    <mergeCell ref="DM58:DN58"/>
    <mergeCell ref="DM2:DO2"/>
    <mergeCell ref="DQ2:DR2"/>
    <mergeCell ref="DM3:DV3"/>
    <mergeCell ref="DM4:DO4"/>
    <mergeCell ref="DP4:DR4"/>
    <mergeCell ref="DS4:DV4"/>
    <mergeCell ref="DP5:DR5"/>
    <mergeCell ref="DS5:DV5"/>
    <mergeCell ref="DM30:DT30"/>
    <mergeCell ref="BO1:BU1"/>
    <mergeCell ref="BV1:CB1"/>
    <mergeCell ref="CC1:CI1"/>
    <mergeCell ref="CJ1:CP1"/>
    <mergeCell ref="CQ1:CW1"/>
    <mergeCell ref="CX1:DD1"/>
    <mergeCell ref="DE1:DK1"/>
    <mergeCell ref="DM1:DP1"/>
    <mergeCell ref="DQ1:DS1"/>
    <mergeCell ref="D1:J1"/>
    <mergeCell ref="K1:Q1"/>
    <mergeCell ref="R1:X1"/>
    <mergeCell ref="Y1:AE1"/>
    <mergeCell ref="AF1:AL1"/>
    <mergeCell ref="AM1:AS1"/>
    <mergeCell ref="AT1:AZ1"/>
    <mergeCell ref="BA1:BG1"/>
    <mergeCell ref="BH1:BN1"/>
  </mergeCells>
  <conditionalFormatting sqref="AY21:AZ296 P22:Q296 AK23:AL296 I24:J296 AR24:AS296 CH26:CI296 W30:X296 DC30:DD296 AD31:AE296 BT31:BU296 BM33:BN296 BF34:BG296 CA36:CB296 DJ36:DK296 CO39:CP296 CV39:CW296">
    <cfRule type="cellIs" dxfId="12" priority="1" operator="between">
      <formula>1</formula>
      <formula>1.25</formula>
    </cfRule>
  </conditionalFormatting>
  <conditionalFormatting sqref="AY21:AZ296 P22:Q296 AK23:AL296 I24:J296 AR24:AS296 CH26:CI296 W30:X296 DC30:DD296 AD31:AE296 BT31:BU296 BM33:BN296 BF34:BG296 CA36:CB296 DJ36:DK296 CO39:CP296 CV39:CW296">
    <cfRule type="cellIs" dxfId="11" priority="2" operator="between">
      <formula>1</formula>
      <formula>0.75</formula>
    </cfRule>
  </conditionalFormatting>
  <conditionalFormatting sqref="AY21:AZ296 P22:Q296 AK23:AL296 I24:J296 AR24:AS296 CH26:CI296 W30:X296 DC30:DD296 AD31:AE296 BT31:BU296 BM33:BN296 BF34:BG296 CA36:CB296 DJ36:DK296 CO39:CP296 CV39:CW296">
    <cfRule type="cellIs" dxfId="10" priority="3" operator="lessThanOrEqual">
      <formula>0.75</formula>
    </cfRule>
  </conditionalFormatting>
  <conditionalFormatting sqref="AY21:AZ296 P22:Q296 AK23:AL296 I24:J296 AR24:AS296 CH26:CI296 W30:X296 DC30:DD296 AD31:AE296 BT31:BU296 BM33:BN296 BF34:BG296 CA36:CB296 DJ36:DK296 CO39:CP296 CV39:CW296">
    <cfRule type="cellIs" dxfId="9" priority="4" operator="greaterThanOrEqual">
      <formula>1.25</formula>
    </cfRule>
  </conditionalFormatting>
  <conditionalFormatting sqref="A1 A16:A296">
    <cfRule type="timePeriod" dxfId="8" priority="5" timePeriod="today">
      <formula>FLOOR(A1,1)=TODAY()</formula>
    </cfRule>
  </conditionalFormatting>
  <conditionalFormatting sqref="DL16:DL58 DL61:DL109">
    <cfRule type="cellIs" dxfId="7" priority="6" operator="greaterThanOrEqual">
      <formula>0</formula>
    </cfRule>
  </conditionalFormatting>
  <conditionalFormatting sqref="DL16:DL58 DL61:DL109">
    <cfRule type="cellIs" dxfId="6" priority="7" operator="lessThan">
      <formula>0</formula>
    </cfRule>
  </conditionalFormatting>
  <conditionalFormatting sqref="A3:DK296">
    <cfRule type="expression" dxfId="5" priority="8">
      <formula>OR(MOD(ROW(),7)=0,MOD(ROW(),7)=1)</formula>
    </cfRule>
  </conditionalFormatting>
  <dataValidations count="2">
    <dataValidation type="list" allowBlank="1" sqref="DT2:DU2" xr:uid="{00000000-0002-0000-0100-000000000000}">
      <formula1>"1,3,5,7,10,14,21"</formula1>
    </dataValidation>
    <dataValidation type="list" allowBlank="1" sqref="DS2" xr:uid="{00000000-0002-0000-0100-000001000000}">
      <formula1>"1,3,4,5,6,7,8,9,12,14,18,21"</formula1>
    </dataValidation>
  </dataValidations>
  <hyperlinks>
    <hyperlink ref="DM1" r:id="rId1" xr:uid="{00000000-0004-0000-0100-000000000000}"/>
    <hyperlink ref="DM4" r:id="rId2" xr:uid="{00000000-0004-0000-0100-000001000000}"/>
    <hyperlink ref="DP4" r:id="rId3" xr:uid="{00000000-0004-0000-0100-000002000000}"/>
    <hyperlink ref="DS4" r:id="rId4" xr:uid="{00000000-0004-0000-0100-000003000000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1001"/>
  <sheetViews>
    <sheetView workbookViewId="0"/>
  </sheetViews>
  <sheetFormatPr defaultColWidth="14.44140625" defaultRowHeight="15.75" customHeight="1" x14ac:dyDescent="0.25"/>
  <cols>
    <col min="1" max="1" width="11.109375" customWidth="1"/>
    <col min="2" max="2" width="10.88671875" hidden="1" customWidth="1"/>
    <col min="3" max="3" width="5.6640625" customWidth="1"/>
  </cols>
  <sheetData>
    <row r="1" spans="1:6" x14ac:dyDescent="0.25">
      <c r="A1" s="1" t="s">
        <v>0</v>
      </c>
      <c r="B1" s="2"/>
      <c r="C1" s="3"/>
      <c r="D1" s="232" t="s">
        <v>112</v>
      </c>
      <c r="E1" s="232" t="s">
        <v>113</v>
      </c>
      <c r="F1" s="232" t="s">
        <v>114</v>
      </c>
    </row>
    <row r="2" spans="1:6" x14ac:dyDescent="0.25">
      <c r="A2" s="10" t="s">
        <v>7</v>
      </c>
      <c r="B2" s="11" t="s">
        <v>8</v>
      </c>
      <c r="C2" s="12" t="s">
        <v>9</v>
      </c>
    </row>
    <row r="3" spans="1:6" x14ac:dyDescent="0.25">
      <c r="A3" s="32">
        <v>43893</v>
      </c>
      <c r="B3" s="33" t="str">
        <f t="shared" ref="B3:B212" ca="1" si="0">IF(DATEDIF(A3,TODAY(),"D")&lt;$X$2,A3,"")</f>
        <v/>
      </c>
      <c r="C3" s="34">
        <v>0</v>
      </c>
    </row>
    <row r="4" spans="1:6" x14ac:dyDescent="0.25">
      <c r="A4" s="32">
        <v>43894</v>
      </c>
      <c r="B4" s="33" t="str">
        <f t="shared" ca="1" si="0"/>
        <v/>
      </c>
      <c r="C4" s="51">
        <v>1</v>
      </c>
    </row>
    <row r="5" spans="1:6" x14ac:dyDescent="0.25">
      <c r="A5" s="32">
        <v>43895</v>
      </c>
      <c r="B5" s="33" t="str">
        <f t="shared" ca="1" si="0"/>
        <v/>
      </c>
      <c r="C5" s="51">
        <v>2</v>
      </c>
    </row>
    <row r="6" spans="1:6" x14ac:dyDescent="0.25">
      <c r="A6" s="32">
        <v>43896</v>
      </c>
      <c r="B6" s="33" t="str">
        <f t="shared" ca="1" si="0"/>
        <v/>
      </c>
      <c r="C6" s="51">
        <v>3</v>
      </c>
    </row>
    <row r="7" spans="1:6" x14ac:dyDescent="0.25">
      <c r="A7" s="61">
        <v>43897</v>
      </c>
      <c r="B7" s="62" t="str">
        <f t="shared" ca="1" si="0"/>
        <v/>
      </c>
      <c r="C7" s="12">
        <v>4</v>
      </c>
    </row>
    <row r="8" spans="1:6" x14ac:dyDescent="0.25">
      <c r="A8" s="61">
        <v>43898</v>
      </c>
      <c r="B8" s="62" t="str">
        <f t="shared" ca="1" si="0"/>
        <v/>
      </c>
      <c r="C8" s="12">
        <v>5</v>
      </c>
    </row>
    <row r="9" spans="1:6" x14ac:dyDescent="0.25">
      <c r="A9" s="32">
        <v>43899</v>
      </c>
      <c r="B9" s="33" t="str">
        <f t="shared" ca="1" si="0"/>
        <v/>
      </c>
      <c r="C9" s="51">
        <v>6</v>
      </c>
    </row>
    <row r="10" spans="1:6" x14ac:dyDescent="0.25">
      <c r="A10" s="32">
        <v>43900</v>
      </c>
      <c r="B10" s="33" t="str">
        <f t="shared" ca="1" si="0"/>
        <v/>
      </c>
      <c r="C10" s="51">
        <v>7</v>
      </c>
    </row>
    <row r="11" spans="1:6" x14ac:dyDescent="0.25">
      <c r="A11" s="32">
        <v>43901</v>
      </c>
      <c r="B11" s="33" t="str">
        <f t="shared" ca="1" si="0"/>
        <v/>
      </c>
      <c r="C11" s="51">
        <v>8</v>
      </c>
    </row>
    <row r="12" spans="1:6" x14ac:dyDescent="0.25">
      <c r="A12" s="32">
        <v>43902</v>
      </c>
      <c r="B12" s="33" t="str">
        <f t="shared" ca="1" si="0"/>
        <v/>
      </c>
      <c r="C12" s="51">
        <v>9</v>
      </c>
    </row>
    <row r="13" spans="1:6" x14ac:dyDescent="0.25">
      <c r="A13" s="32">
        <v>43903</v>
      </c>
      <c r="B13" s="33" t="str">
        <f t="shared" ca="1" si="0"/>
        <v/>
      </c>
      <c r="C13" s="51">
        <v>10</v>
      </c>
    </row>
    <row r="14" spans="1:6" x14ac:dyDescent="0.25">
      <c r="A14" s="61">
        <v>43904</v>
      </c>
      <c r="B14" s="62" t="str">
        <f t="shared" ca="1" si="0"/>
        <v/>
      </c>
      <c r="C14" s="12">
        <v>11</v>
      </c>
    </row>
    <row r="15" spans="1:6" x14ac:dyDescent="0.25">
      <c r="A15" s="61">
        <v>43905</v>
      </c>
      <c r="B15" s="62" t="str">
        <f t="shared" ca="1" si="0"/>
        <v/>
      </c>
      <c r="C15" s="12">
        <v>12</v>
      </c>
    </row>
    <row r="16" spans="1:6" x14ac:dyDescent="0.25">
      <c r="A16" s="32">
        <v>43906</v>
      </c>
      <c r="B16" s="33" t="str">
        <f t="shared" ca="1" si="0"/>
        <v/>
      </c>
      <c r="C16" s="51">
        <v>13</v>
      </c>
    </row>
    <row r="17" spans="1:3" x14ac:dyDescent="0.25">
      <c r="A17" s="32">
        <v>43907</v>
      </c>
      <c r="B17" s="33" t="str">
        <f t="shared" ca="1" si="0"/>
        <v/>
      </c>
      <c r="C17" s="51">
        <v>14</v>
      </c>
    </row>
    <row r="18" spans="1:3" x14ac:dyDescent="0.25">
      <c r="A18" s="32">
        <v>43908</v>
      </c>
      <c r="B18" s="33" t="str">
        <f t="shared" ca="1" si="0"/>
        <v/>
      </c>
      <c r="C18" s="51">
        <v>15</v>
      </c>
    </row>
    <row r="19" spans="1:3" x14ac:dyDescent="0.25">
      <c r="A19" s="32">
        <v>43909</v>
      </c>
      <c r="B19" s="33" t="str">
        <f t="shared" ca="1" si="0"/>
        <v/>
      </c>
      <c r="C19" s="51">
        <v>16</v>
      </c>
    </row>
    <row r="20" spans="1:3" x14ac:dyDescent="0.25">
      <c r="A20" s="32">
        <v>43910</v>
      </c>
      <c r="B20" s="33" t="str">
        <f t="shared" ca="1" si="0"/>
        <v/>
      </c>
      <c r="C20" s="51">
        <v>17</v>
      </c>
    </row>
    <row r="21" spans="1:3" x14ac:dyDescent="0.25">
      <c r="A21" s="61">
        <v>43911</v>
      </c>
      <c r="B21" s="62" t="str">
        <f t="shared" ca="1" si="0"/>
        <v/>
      </c>
      <c r="C21" s="12">
        <v>18</v>
      </c>
    </row>
    <row r="22" spans="1:3" x14ac:dyDescent="0.25">
      <c r="A22" s="61">
        <v>43912</v>
      </c>
      <c r="B22" s="62" t="str">
        <f t="shared" ca="1" si="0"/>
        <v/>
      </c>
      <c r="C22" s="12">
        <v>19</v>
      </c>
    </row>
    <row r="23" spans="1:3" x14ac:dyDescent="0.25">
      <c r="A23" s="32">
        <v>43913</v>
      </c>
      <c r="B23" s="33" t="str">
        <f t="shared" ca="1" si="0"/>
        <v/>
      </c>
      <c r="C23" s="51">
        <v>20</v>
      </c>
    </row>
    <row r="24" spans="1:3" x14ac:dyDescent="0.25">
      <c r="A24" s="32">
        <v>43914</v>
      </c>
      <c r="B24" s="33" t="str">
        <f t="shared" ca="1" si="0"/>
        <v/>
      </c>
      <c r="C24" s="51">
        <v>21</v>
      </c>
    </row>
    <row r="25" spans="1:3" x14ac:dyDescent="0.25">
      <c r="A25" s="32">
        <v>43915</v>
      </c>
      <c r="B25" s="33" t="str">
        <f t="shared" ca="1" si="0"/>
        <v/>
      </c>
      <c r="C25" s="51">
        <v>22</v>
      </c>
    </row>
    <row r="26" spans="1:3" x14ac:dyDescent="0.25">
      <c r="A26" s="32">
        <v>43916</v>
      </c>
      <c r="B26" s="33" t="str">
        <f t="shared" ca="1" si="0"/>
        <v/>
      </c>
      <c r="C26" s="51">
        <v>23</v>
      </c>
    </row>
    <row r="27" spans="1:3" x14ac:dyDescent="0.25">
      <c r="A27" s="32">
        <v>43917</v>
      </c>
      <c r="B27" s="33" t="str">
        <f t="shared" ca="1" si="0"/>
        <v/>
      </c>
      <c r="C27" s="51">
        <v>24</v>
      </c>
    </row>
    <row r="28" spans="1:3" x14ac:dyDescent="0.25">
      <c r="A28" s="61">
        <v>43918</v>
      </c>
      <c r="B28" s="62" t="str">
        <f t="shared" ca="1" si="0"/>
        <v/>
      </c>
      <c r="C28" s="12">
        <v>25</v>
      </c>
    </row>
    <row r="29" spans="1:3" x14ac:dyDescent="0.25">
      <c r="A29" s="61">
        <v>43919</v>
      </c>
      <c r="B29" s="62" t="str">
        <f t="shared" ca="1" si="0"/>
        <v/>
      </c>
      <c r="C29" s="12">
        <v>26</v>
      </c>
    </row>
    <row r="30" spans="1:3" x14ac:dyDescent="0.25">
      <c r="A30" s="32">
        <v>43920</v>
      </c>
      <c r="B30" s="33" t="str">
        <f t="shared" ca="1" si="0"/>
        <v/>
      </c>
      <c r="C30" s="51">
        <v>27</v>
      </c>
    </row>
    <row r="31" spans="1:3" x14ac:dyDescent="0.25">
      <c r="A31" s="32">
        <v>43921</v>
      </c>
      <c r="B31" s="33" t="str">
        <f t="shared" ca="1" si="0"/>
        <v/>
      </c>
      <c r="C31" s="51">
        <v>28</v>
      </c>
    </row>
    <row r="32" spans="1:3" x14ac:dyDescent="0.25">
      <c r="A32" s="32">
        <v>43922</v>
      </c>
      <c r="B32" s="33" t="str">
        <f t="shared" ca="1" si="0"/>
        <v/>
      </c>
      <c r="C32" s="51">
        <v>29</v>
      </c>
    </row>
    <row r="33" spans="1:3" x14ac:dyDescent="0.25">
      <c r="A33" s="32">
        <v>43923</v>
      </c>
      <c r="B33" s="33" t="str">
        <f t="shared" ca="1" si="0"/>
        <v/>
      </c>
      <c r="C33" s="51">
        <v>30</v>
      </c>
    </row>
    <row r="34" spans="1:3" x14ac:dyDescent="0.25">
      <c r="A34" s="32">
        <v>43924</v>
      </c>
      <c r="B34" s="33" t="str">
        <f t="shared" ca="1" si="0"/>
        <v/>
      </c>
      <c r="C34" s="51">
        <v>31</v>
      </c>
    </row>
    <row r="35" spans="1:3" x14ac:dyDescent="0.25">
      <c r="A35" s="61">
        <v>43925</v>
      </c>
      <c r="B35" s="62" t="str">
        <f t="shared" ca="1" si="0"/>
        <v/>
      </c>
      <c r="C35" s="12">
        <v>32</v>
      </c>
    </row>
    <row r="36" spans="1:3" x14ac:dyDescent="0.25">
      <c r="A36" s="61">
        <v>43926</v>
      </c>
      <c r="B36" s="62" t="str">
        <f t="shared" ca="1" si="0"/>
        <v/>
      </c>
      <c r="C36" s="12">
        <v>33</v>
      </c>
    </row>
    <row r="37" spans="1:3" x14ac:dyDescent="0.25">
      <c r="A37" s="32">
        <v>43927</v>
      </c>
      <c r="B37" s="33" t="str">
        <f t="shared" ca="1" si="0"/>
        <v/>
      </c>
      <c r="C37" s="51">
        <v>34</v>
      </c>
    </row>
    <row r="38" spans="1:3" x14ac:dyDescent="0.25">
      <c r="A38" s="32">
        <v>43928</v>
      </c>
      <c r="B38" s="33" t="str">
        <f t="shared" ca="1" si="0"/>
        <v/>
      </c>
      <c r="C38" s="51">
        <v>35</v>
      </c>
    </row>
    <row r="39" spans="1:3" x14ac:dyDescent="0.25">
      <c r="A39" s="32">
        <v>43929</v>
      </c>
      <c r="B39" s="33" t="str">
        <f t="shared" ca="1" si="0"/>
        <v/>
      </c>
      <c r="C39" s="51">
        <v>36</v>
      </c>
    </row>
    <row r="40" spans="1:3" x14ac:dyDescent="0.25">
      <c r="A40" s="32">
        <v>43930</v>
      </c>
      <c r="B40" s="33" t="str">
        <f t="shared" ca="1" si="0"/>
        <v/>
      </c>
      <c r="C40" s="51">
        <v>37</v>
      </c>
    </row>
    <row r="41" spans="1:3" x14ac:dyDescent="0.25">
      <c r="A41" s="32">
        <v>43931</v>
      </c>
      <c r="B41" s="33" t="str">
        <f t="shared" ca="1" si="0"/>
        <v/>
      </c>
      <c r="C41" s="51">
        <v>38</v>
      </c>
    </row>
    <row r="42" spans="1:3" x14ac:dyDescent="0.25">
      <c r="A42" s="61">
        <v>43932</v>
      </c>
      <c r="B42" s="62" t="str">
        <f t="shared" ca="1" si="0"/>
        <v/>
      </c>
      <c r="C42" s="12">
        <v>39</v>
      </c>
    </row>
    <row r="43" spans="1:3" x14ac:dyDescent="0.25">
      <c r="A43" s="61">
        <v>43933</v>
      </c>
      <c r="B43" s="62" t="str">
        <f t="shared" ca="1" si="0"/>
        <v/>
      </c>
      <c r="C43" s="12">
        <v>40</v>
      </c>
    </row>
    <row r="44" spans="1:3" x14ac:dyDescent="0.25">
      <c r="A44" s="32">
        <v>43934</v>
      </c>
      <c r="B44" s="33" t="str">
        <f t="shared" ca="1" si="0"/>
        <v/>
      </c>
      <c r="C44" s="51">
        <v>41</v>
      </c>
    </row>
    <row r="45" spans="1:3" x14ac:dyDescent="0.25">
      <c r="A45" s="32">
        <v>43935</v>
      </c>
      <c r="B45" s="33" t="str">
        <f t="shared" ca="1" si="0"/>
        <v/>
      </c>
      <c r="C45" s="51">
        <v>42</v>
      </c>
    </row>
    <row r="46" spans="1:3" x14ac:dyDescent="0.25">
      <c r="A46" s="32">
        <v>43936</v>
      </c>
      <c r="B46" s="33" t="str">
        <f t="shared" ca="1" si="0"/>
        <v/>
      </c>
      <c r="C46" s="51">
        <v>43</v>
      </c>
    </row>
    <row r="47" spans="1:3" x14ac:dyDescent="0.25">
      <c r="A47" s="32">
        <v>43937</v>
      </c>
      <c r="B47" s="33" t="str">
        <f t="shared" ca="1" si="0"/>
        <v/>
      </c>
      <c r="C47" s="51">
        <v>44</v>
      </c>
    </row>
    <row r="48" spans="1:3" x14ac:dyDescent="0.25">
      <c r="A48" s="32">
        <v>43938</v>
      </c>
      <c r="B48" s="33" t="str">
        <f t="shared" ca="1" si="0"/>
        <v/>
      </c>
      <c r="C48" s="51">
        <v>45</v>
      </c>
    </row>
    <row r="49" spans="1:3" x14ac:dyDescent="0.25">
      <c r="A49" s="61">
        <v>43939</v>
      </c>
      <c r="B49" s="62" t="str">
        <f t="shared" ca="1" si="0"/>
        <v/>
      </c>
      <c r="C49" s="12">
        <v>46</v>
      </c>
    </row>
    <row r="50" spans="1:3" x14ac:dyDescent="0.25">
      <c r="A50" s="61">
        <v>43940</v>
      </c>
      <c r="B50" s="62" t="str">
        <f t="shared" ca="1" si="0"/>
        <v/>
      </c>
      <c r="C50" s="12">
        <v>47</v>
      </c>
    </row>
    <row r="51" spans="1:3" x14ac:dyDescent="0.25">
      <c r="A51" s="32">
        <v>43941</v>
      </c>
      <c r="B51" s="33" t="str">
        <f t="shared" ca="1" si="0"/>
        <v/>
      </c>
      <c r="C51" s="51">
        <v>48</v>
      </c>
    </row>
    <row r="52" spans="1:3" x14ac:dyDescent="0.25">
      <c r="A52" s="32">
        <v>43942</v>
      </c>
      <c r="B52" s="33" t="str">
        <f t="shared" ca="1" si="0"/>
        <v/>
      </c>
      <c r="C52" s="51">
        <v>49</v>
      </c>
    </row>
    <row r="53" spans="1:3" x14ac:dyDescent="0.25">
      <c r="A53" s="32">
        <v>43943</v>
      </c>
      <c r="B53" s="33" t="str">
        <f t="shared" ca="1" si="0"/>
        <v/>
      </c>
      <c r="C53" s="51">
        <v>50</v>
      </c>
    </row>
    <row r="54" spans="1:3" x14ac:dyDescent="0.25">
      <c r="A54" s="32">
        <v>43944</v>
      </c>
      <c r="B54" s="33" t="str">
        <f t="shared" ca="1" si="0"/>
        <v/>
      </c>
      <c r="C54" s="51">
        <v>51</v>
      </c>
    </row>
    <row r="55" spans="1:3" x14ac:dyDescent="0.25">
      <c r="A55" s="32">
        <v>43945</v>
      </c>
      <c r="B55" s="33" t="str">
        <f t="shared" ca="1" si="0"/>
        <v/>
      </c>
      <c r="C55" s="51">
        <v>52</v>
      </c>
    </row>
    <row r="56" spans="1:3" x14ac:dyDescent="0.25">
      <c r="A56" s="61">
        <v>43946</v>
      </c>
      <c r="B56" s="62" t="str">
        <f t="shared" ca="1" si="0"/>
        <v/>
      </c>
      <c r="C56" s="12">
        <v>53</v>
      </c>
    </row>
    <row r="57" spans="1:3" x14ac:dyDescent="0.25">
      <c r="A57" s="61">
        <v>43947</v>
      </c>
      <c r="B57" s="62" t="str">
        <f t="shared" ca="1" si="0"/>
        <v/>
      </c>
      <c r="C57" s="12">
        <v>54</v>
      </c>
    </row>
    <row r="58" spans="1:3" x14ac:dyDescent="0.25">
      <c r="A58" s="32">
        <v>43948</v>
      </c>
      <c r="B58" s="33" t="str">
        <f t="shared" ca="1" si="0"/>
        <v/>
      </c>
      <c r="C58" s="51">
        <v>55</v>
      </c>
    </row>
    <row r="59" spans="1:3" x14ac:dyDescent="0.25">
      <c r="A59" s="32">
        <v>43949</v>
      </c>
      <c r="B59" s="33" t="str">
        <f t="shared" ca="1" si="0"/>
        <v/>
      </c>
      <c r="C59" s="51">
        <v>56</v>
      </c>
    </row>
    <row r="60" spans="1:3" x14ac:dyDescent="0.25">
      <c r="A60" s="32">
        <v>43950</v>
      </c>
      <c r="B60" s="33" t="str">
        <f t="shared" ca="1" si="0"/>
        <v/>
      </c>
      <c r="C60" s="51">
        <v>57</v>
      </c>
    </row>
    <row r="61" spans="1:3" x14ac:dyDescent="0.25">
      <c r="A61" s="32">
        <v>43951</v>
      </c>
      <c r="B61" s="33" t="str">
        <f t="shared" ca="1" si="0"/>
        <v/>
      </c>
      <c r="C61" s="51">
        <v>58</v>
      </c>
    </row>
    <row r="62" spans="1:3" x14ac:dyDescent="0.25">
      <c r="A62" s="32">
        <v>43952</v>
      </c>
      <c r="B62" s="33" t="str">
        <f t="shared" ca="1" si="0"/>
        <v/>
      </c>
      <c r="C62" s="51">
        <v>59</v>
      </c>
    </row>
    <row r="63" spans="1:3" x14ac:dyDescent="0.25">
      <c r="A63" s="61">
        <v>43953</v>
      </c>
      <c r="B63" s="62" t="str">
        <f t="shared" ca="1" si="0"/>
        <v/>
      </c>
      <c r="C63" s="12">
        <v>60</v>
      </c>
    </row>
    <row r="64" spans="1:3" x14ac:dyDescent="0.25">
      <c r="A64" s="61">
        <v>43954</v>
      </c>
      <c r="B64" s="62" t="str">
        <f t="shared" ca="1" si="0"/>
        <v/>
      </c>
      <c r="C64" s="12">
        <v>61</v>
      </c>
    </row>
    <row r="65" spans="1:3" x14ac:dyDescent="0.25">
      <c r="A65" s="32">
        <v>43955</v>
      </c>
      <c r="B65" s="33" t="str">
        <f t="shared" ca="1" si="0"/>
        <v/>
      </c>
      <c r="C65" s="51">
        <v>62</v>
      </c>
    </row>
    <row r="66" spans="1:3" x14ac:dyDescent="0.25">
      <c r="A66" s="32">
        <v>43956</v>
      </c>
      <c r="B66" s="33" t="str">
        <f t="shared" ca="1" si="0"/>
        <v/>
      </c>
      <c r="C66" s="51">
        <v>63</v>
      </c>
    </row>
    <row r="67" spans="1:3" x14ac:dyDescent="0.25">
      <c r="A67" s="32">
        <v>43957</v>
      </c>
      <c r="B67" s="33" t="str">
        <f t="shared" ca="1" si="0"/>
        <v/>
      </c>
      <c r="C67" s="51">
        <v>64</v>
      </c>
    </row>
    <row r="68" spans="1:3" x14ac:dyDescent="0.25">
      <c r="A68" s="32">
        <v>43958</v>
      </c>
      <c r="B68" s="33" t="str">
        <f t="shared" ca="1" si="0"/>
        <v/>
      </c>
      <c r="C68" s="51">
        <v>65</v>
      </c>
    </row>
    <row r="69" spans="1:3" x14ac:dyDescent="0.25">
      <c r="A69" s="32">
        <v>43959</v>
      </c>
      <c r="B69" s="33" t="str">
        <f t="shared" ca="1" si="0"/>
        <v/>
      </c>
      <c r="C69" s="51">
        <v>66</v>
      </c>
    </row>
    <row r="70" spans="1:3" x14ac:dyDescent="0.25">
      <c r="A70" s="61">
        <v>43960</v>
      </c>
      <c r="B70" s="62" t="str">
        <f t="shared" ca="1" si="0"/>
        <v/>
      </c>
      <c r="C70" s="12">
        <v>67</v>
      </c>
    </row>
    <row r="71" spans="1:3" x14ac:dyDescent="0.25">
      <c r="A71" s="61">
        <v>43961</v>
      </c>
      <c r="B71" s="62" t="str">
        <f t="shared" ca="1" si="0"/>
        <v/>
      </c>
      <c r="C71" s="12">
        <v>68</v>
      </c>
    </row>
    <row r="72" spans="1:3" x14ac:dyDescent="0.25">
      <c r="A72" s="32">
        <v>43962</v>
      </c>
      <c r="B72" s="33" t="str">
        <f t="shared" ca="1" si="0"/>
        <v/>
      </c>
      <c r="C72" s="51">
        <v>69</v>
      </c>
    </row>
    <row r="73" spans="1:3" x14ac:dyDescent="0.25">
      <c r="A73" s="32">
        <v>43963</v>
      </c>
      <c r="B73" s="33" t="str">
        <f t="shared" ca="1" si="0"/>
        <v/>
      </c>
      <c r="C73" s="51">
        <v>70</v>
      </c>
    </row>
    <row r="74" spans="1:3" x14ac:dyDescent="0.25">
      <c r="A74" s="32">
        <v>43964</v>
      </c>
      <c r="B74" s="33" t="str">
        <f t="shared" ca="1" si="0"/>
        <v/>
      </c>
      <c r="C74" s="51">
        <v>71</v>
      </c>
    </row>
    <row r="75" spans="1:3" x14ac:dyDescent="0.25">
      <c r="A75" s="32">
        <v>43965</v>
      </c>
      <c r="B75" s="33" t="str">
        <f t="shared" ca="1" si="0"/>
        <v/>
      </c>
      <c r="C75" s="51">
        <v>72</v>
      </c>
    </row>
    <row r="76" spans="1:3" x14ac:dyDescent="0.25">
      <c r="A76" s="32">
        <v>43966</v>
      </c>
      <c r="B76" s="33" t="str">
        <f t="shared" ca="1" si="0"/>
        <v/>
      </c>
      <c r="C76" s="51">
        <v>73</v>
      </c>
    </row>
    <row r="77" spans="1:3" x14ac:dyDescent="0.25">
      <c r="A77" s="61">
        <v>43967</v>
      </c>
      <c r="B77" s="62" t="str">
        <f t="shared" ca="1" si="0"/>
        <v/>
      </c>
      <c r="C77" s="12">
        <v>74</v>
      </c>
    </row>
    <row r="78" spans="1:3" x14ac:dyDescent="0.25">
      <c r="A78" s="61">
        <v>43968</v>
      </c>
      <c r="B78" s="62" t="str">
        <f t="shared" ca="1" si="0"/>
        <v/>
      </c>
      <c r="C78" s="12">
        <v>75</v>
      </c>
    </row>
    <row r="79" spans="1:3" x14ac:dyDescent="0.25">
      <c r="A79" s="32">
        <v>43969</v>
      </c>
      <c r="B79" s="33" t="str">
        <f t="shared" ca="1" si="0"/>
        <v/>
      </c>
      <c r="C79" s="51">
        <f t="shared" ref="C79:C296" si="1">C78+1</f>
        <v>76</v>
      </c>
    </row>
    <row r="80" spans="1:3" x14ac:dyDescent="0.25">
      <c r="A80" s="32">
        <v>43970</v>
      </c>
      <c r="B80" s="33" t="str">
        <f t="shared" ca="1" si="0"/>
        <v/>
      </c>
      <c r="C80" s="51">
        <f t="shared" si="1"/>
        <v>77</v>
      </c>
    </row>
    <row r="81" spans="1:3" x14ac:dyDescent="0.25">
      <c r="A81" s="32">
        <v>43971</v>
      </c>
      <c r="B81" s="33" t="str">
        <f t="shared" ca="1" si="0"/>
        <v/>
      </c>
      <c r="C81" s="51">
        <f t="shared" si="1"/>
        <v>78</v>
      </c>
    </row>
    <row r="82" spans="1:3" x14ac:dyDescent="0.25">
      <c r="A82" s="32">
        <v>43972</v>
      </c>
      <c r="B82" s="33" t="str">
        <f t="shared" ca="1" si="0"/>
        <v/>
      </c>
      <c r="C82" s="51">
        <f t="shared" si="1"/>
        <v>79</v>
      </c>
    </row>
    <row r="83" spans="1:3" x14ac:dyDescent="0.25">
      <c r="A83" s="32">
        <v>43973</v>
      </c>
      <c r="B83" s="33" t="str">
        <f t="shared" ca="1" si="0"/>
        <v/>
      </c>
      <c r="C83" s="51">
        <f t="shared" si="1"/>
        <v>80</v>
      </c>
    </row>
    <row r="84" spans="1:3" x14ac:dyDescent="0.25">
      <c r="A84" s="61">
        <v>43974</v>
      </c>
      <c r="B84" s="62" t="str">
        <f t="shared" ca="1" si="0"/>
        <v/>
      </c>
      <c r="C84" s="12">
        <f t="shared" si="1"/>
        <v>81</v>
      </c>
    </row>
    <row r="85" spans="1:3" x14ac:dyDescent="0.25">
      <c r="A85" s="61">
        <v>43975</v>
      </c>
      <c r="B85" s="62" t="str">
        <f t="shared" ca="1" si="0"/>
        <v/>
      </c>
      <c r="C85" s="12">
        <f t="shared" si="1"/>
        <v>82</v>
      </c>
    </row>
    <row r="86" spans="1:3" x14ac:dyDescent="0.25">
      <c r="A86" s="32">
        <v>43976</v>
      </c>
      <c r="B86" s="33" t="str">
        <f t="shared" ca="1" si="0"/>
        <v/>
      </c>
      <c r="C86" s="51">
        <f t="shared" si="1"/>
        <v>83</v>
      </c>
    </row>
    <row r="87" spans="1:3" x14ac:dyDescent="0.25">
      <c r="A87" s="32">
        <v>43977</v>
      </c>
      <c r="B87" s="33" t="str">
        <f t="shared" ca="1" si="0"/>
        <v/>
      </c>
      <c r="C87" s="51">
        <f t="shared" si="1"/>
        <v>84</v>
      </c>
    </row>
    <row r="88" spans="1:3" x14ac:dyDescent="0.25">
      <c r="A88" s="32">
        <v>43978</v>
      </c>
      <c r="B88" s="33" t="str">
        <f t="shared" ca="1" si="0"/>
        <v/>
      </c>
      <c r="C88" s="51">
        <f t="shared" si="1"/>
        <v>85</v>
      </c>
    </row>
    <row r="89" spans="1:3" x14ac:dyDescent="0.25">
      <c r="A89" s="32">
        <v>43979</v>
      </c>
      <c r="B89" s="33" t="str">
        <f t="shared" ca="1" si="0"/>
        <v/>
      </c>
      <c r="C89" s="51">
        <f t="shared" si="1"/>
        <v>86</v>
      </c>
    </row>
    <row r="90" spans="1:3" x14ac:dyDescent="0.25">
      <c r="A90" s="32">
        <v>43980</v>
      </c>
      <c r="B90" s="33" t="str">
        <f t="shared" ca="1" si="0"/>
        <v/>
      </c>
      <c r="C90" s="51">
        <f t="shared" si="1"/>
        <v>87</v>
      </c>
    </row>
    <row r="91" spans="1:3" x14ac:dyDescent="0.25">
      <c r="A91" s="61">
        <v>43981</v>
      </c>
      <c r="B91" s="62" t="str">
        <f t="shared" ca="1" si="0"/>
        <v/>
      </c>
      <c r="C91" s="12">
        <f t="shared" si="1"/>
        <v>88</v>
      </c>
    </row>
    <row r="92" spans="1:3" x14ac:dyDescent="0.25">
      <c r="A92" s="61">
        <v>43982</v>
      </c>
      <c r="B92" s="62" t="str">
        <f t="shared" ca="1" si="0"/>
        <v/>
      </c>
      <c r="C92" s="12">
        <f t="shared" si="1"/>
        <v>89</v>
      </c>
    </row>
    <row r="93" spans="1:3" x14ac:dyDescent="0.25">
      <c r="A93" s="32">
        <v>43983</v>
      </c>
      <c r="B93" s="33" t="str">
        <f t="shared" ca="1" si="0"/>
        <v/>
      </c>
      <c r="C93" s="51">
        <f t="shared" si="1"/>
        <v>90</v>
      </c>
    </row>
    <row r="94" spans="1:3" x14ac:dyDescent="0.25">
      <c r="A94" s="32">
        <v>43984</v>
      </c>
      <c r="B94" s="33" t="str">
        <f t="shared" ca="1" si="0"/>
        <v/>
      </c>
      <c r="C94" s="51">
        <f t="shared" si="1"/>
        <v>91</v>
      </c>
    </row>
    <row r="95" spans="1:3" x14ac:dyDescent="0.25">
      <c r="A95" s="32">
        <v>43985</v>
      </c>
      <c r="B95" s="33" t="str">
        <f t="shared" ca="1" si="0"/>
        <v/>
      </c>
      <c r="C95" s="51">
        <f t="shared" si="1"/>
        <v>92</v>
      </c>
    </row>
    <row r="96" spans="1:3" x14ac:dyDescent="0.25">
      <c r="A96" s="32">
        <v>43986</v>
      </c>
      <c r="B96" s="33" t="str">
        <f t="shared" ca="1" si="0"/>
        <v/>
      </c>
      <c r="C96" s="51">
        <f t="shared" si="1"/>
        <v>93</v>
      </c>
    </row>
    <row r="97" spans="1:3" x14ac:dyDescent="0.25">
      <c r="A97" s="32">
        <v>43987</v>
      </c>
      <c r="B97" s="33" t="str">
        <f t="shared" ca="1" si="0"/>
        <v/>
      </c>
      <c r="C97" s="51">
        <f t="shared" si="1"/>
        <v>94</v>
      </c>
    </row>
    <row r="98" spans="1:3" x14ac:dyDescent="0.25">
      <c r="A98" s="61">
        <v>43988</v>
      </c>
      <c r="B98" s="62" t="str">
        <f t="shared" ca="1" si="0"/>
        <v/>
      </c>
      <c r="C98" s="12">
        <f t="shared" si="1"/>
        <v>95</v>
      </c>
    </row>
    <row r="99" spans="1:3" x14ac:dyDescent="0.25">
      <c r="A99" s="61">
        <v>43989</v>
      </c>
      <c r="B99" s="62" t="str">
        <f t="shared" ca="1" si="0"/>
        <v/>
      </c>
      <c r="C99" s="12">
        <f t="shared" si="1"/>
        <v>96</v>
      </c>
    </row>
    <row r="100" spans="1:3" x14ac:dyDescent="0.25">
      <c r="A100" s="32">
        <v>43990</v>
      </c>
      <c r="B100" s="33" t="str">
        <f t="shared" ca="1" si="0"/>
        <v/>
      </c>
      <c r="C100" s="51">
        <f t="shared" si="1"/>
        <v>97</v>
      </c>
    </row>
    <row r="101" spans="1:3" x14ac:dyDescent="0.25">
      <c r="A101" s="32">
        <v>43991</v>
      </c>
      <c r="B101" s="33" t="str">
        <f t="shared" ca="1" si="0"/>
        <v/>
      </c>
      <c r="C101" s="51">
        <f t="shared" si="1"/>
        <v>98</v>
      </c>
    </row>
    <row r="102" spans="1:3" x14ac:dyDescent="0.25">
      <c r="A102" s="32">
        <v>43992</v>
      </c>
      <c r="B102" s="33" t="str">
        <f t="shared" ca="1" si="0"/>
        <v/>
      </c>
      <c r="C102" s="51">
        <f t="shared" si="1"/>
        <v>99</v>
      </c>
    </row>
    <row r="103" spans="1:3" x14ac:dyDescent="0.25">
      <c r="A103" s="32">
        <v>43993</v>
      </c>
      <c r="B103" s="33" t="str">
        <f t="shared" ca="1" si="0"/>
        <v/>
      </c>
      <c r="C103" s="51">
        <f t="shared" si="1"/>
        <v>100</v>
      </c>
    </row>
    <row r="104" spans="1:3" x14ac:dyDescent="0.25">
      <c r="A104" s="32">
        <v>43994</v>
      </c>
      <c r="B104" s="33" t="str">
        <f t="shared" ca="1" si="0"/>
        <v/>
      </c>
      <c r="C104" s="51">
        <f t="shared" si="1"/>
        <v>101</v>
      </c>
    </row>
    <row r="105" spans="1:3" x14ac:dyDescent="0.25">
      <c r="A105" s="61">
        <v>43995</v>
      </c>
      <c r="B105" s="62" t="str">
        <f t="shared" ca="1" si="0"/>
        <v/>
      </c>
      <c r="C105" s="12">
        <f t="shared" si="1"/>
        <v>102</v>
      </c>
    </row>
    <row r="106" spans="1:3" x14ac:dyDescent="0.25">
      <c r="A106" s="61">
        <v>43996</v>
      </c>
      <c r="B106" s="62" t="str">
        <f t="shared" ca="1" si="0"/>
        <v/>
      </c>
      <c r="C106" s="12">
        <f t="shared" si="1"/>
        <v>103</v>
      </c>
    </row>
    <row r="107" spans="1:3" x14ac:dyDescent="0.25">
      <c r="A107" s="32">
        <v>43997</v>
      </c>
      <c r="B107" s="33" t="str">
        <f t="shared" ca="1" si="0"/>
        <v/>
      </c>
      <c r="C107" s="51">
        <f t="shared" si="1"/>
        <v>104</v>
      </c>
    </row>
    <row r="108" spans="1:3" x14ac:dyDescent="0.25">
      <c r="A108" s="32">
        <v>43998</v>
      </c>
      <c r="B108" s="33" t="str">
        <f t="shared" ca="1" si="0"/>
        <v/>
      </c>
      <c r="C108" s="51">
        <f t="shared" si="1"/>
        <v>105</v>
      </c>
    </row>
    <row r="109" spans="1:3" x14ac:dyDescent="0.25">
      <c r="A109" s="32">
        <v>43999</v>
      </c>
      <c r="B109" s="33" t="str">
        <f t="shared" ca="1" si="0"/>
        <v/>
      </c>
      <c r="C109" s="51">
        <f t="shared" si="1"/>
        <v>106</v>
      </c>
    </row>
    <row r="110" spans="1:3" x14ac:dyDescent="0.25">
      <c r="A110" s="32">
        <v>44000</v>
      </c>
      <c r="B110" s="33" t="str">
        <f t="shared" ca="1" si="0"/>
        <v/>
      </c>
      <c r="C110" s="51">
        <f t="shared" si="1"/>
        <v>107</v>
      </c>
    </row>
    <row r="111" spans="1:3" x14ac:dyDescent="0.25">
      <c r="A111" s="32">
        <v>44001</v>
      </c>
      <c r="B111" s="33" t="str">
        <f t="shared" ca="1" si="0"/>
        <v/>
      </c>
      <c r="C111" s="51">
        <f t="shared" si="1"/>
        <v>108</v>
      </c>
    </row>
    <row r="112" spans="1:3" x14ac:dyDescent="0.25">
      <c r="A112" s="61">
        <v>44002</v>
      </c>
      <c r="B112" s="62" t="str">
        <f t="shared" ca="1" si="0"/>
        <v/>
      </c>
      <c r="C112" s="12">
        <f t="shared" si="1"/>
        <v>109</v>
      </c>
    </row>
    <row r="113" spans="1:3" x14ac:dyDescent="0.25">
      <c r="A113" s="61">
        <v>44003</v>
      </c>
      <c r="B113" s="62" t="str">
        <f t="shared" ca="1" si="0"/>
        <v/>
      </c>
      <c r="C113" s="12">
        <f t="shared" si="1"/>
        <v>110</v>
      </c>
    </row>
    <row r="114" spans="1:3" x14ac:dyDescent="0.25">
      <c r="A114" s="32">
        <v>44004</v>
      </c>
      <c r="B114" s="33" t="str">
        <f t="shared" ca="1" si="0"/>
        <v/>
      </c>
      <c r="C114" s="51">
        <f t="shared" si="1"/>
        <v>111</v>
      </c>
    </row>
    <row r="115" spans="1:3" x14ac:dyDescent="0.25">
      <c r="A115" s="32">
        <v>44005</v>
      </c>
      <c r="B115" s="33" t="str">
        <f t="shared" ca="1" si="0"/>
        <v/>
      </c>
      <c r="C115" s="51">
        <f t="shared" si="1"/>
        <v>112</v>
      </c>
    </row>
    <row r="116" spans="1:3" x14ac:dyDescent="0.25">
      <c r="A116" s="32">
        <v>44006</v>
      </c>
      <c r="B116" s="33" t="str">
        <f t="shared" ca="1" si="0"/>
        <v/>
      </c>
      <c r="C116" s="51">
        <f t="shared" si="1"/>
        <v>113</v>
      </c>
    </row>
    <row r="117" spans="1:3" x14ac:dyDescent="0.25">
      <c r="A117" s="32">
        <v>44007</v>
      </c>
      <c r="B117" s="33" t="str">
        <f t="shared" ca="1" si="0"/>
        <v/>
      </c>
      <c r="C117" s="51">
        <f t="shared" si="1"/>
        <v>114</v>
      </c>
    </row>
    <row r="118" spans="1:3" x14ac:dyDescent="0.25">
      <c r="A118" s="32">
        <v>44008</v>
      </c>
      <c r="B118" s="33" t="str">
        <f t="shared" ca="1" si="0"/>
        <v/>
      </c>
      <c r="C118" s="51">
        <f t="shared" si="1"/>
        <v>115</v>
      </c>
    </row>
    <row r="119" spans="1:3" x14ac:dyDescent="0.25">
      <c r="A119" s="61">
        <v>44009</v>
      </c>
      <c r="B119" s="62" t="str">
        <f t="shared" ca="1" si="0"/>
        <v/>
      </c>
      <c r="C119" s="12">
        <f t="shared" si="1"/>
        <v>116</v>
      </c>
    </row>
    <row r="120" spans="1:3" x14ac:dyDescent="0.25">
      <c r="A120" s="61">
        <v>44010</v>
      </c>
      <c r="B120" s="62" t="str">
        <f t="shared" ca="1" si="0"/>
        <v/>
      </c>
      <c r="C120" s="12">
        <f t="shared" si="1"/>
        <v>117</v>
      </c>
    </row>
    <row r="121" spans="1:3" x14ac:dyDescent="0.25">
      <c r="A121" s="32">
        <v>44011</v>
      </c>
      <c r="B121" s="33" t="str">
        <f t="shared" ca="1" si="0"/>
        <v/>
      </c>
      <c r="C121" s="51">
        <f t="shared" si="1"/>
        <v>118</v>
      </c>
    </row>
    <row r="122" spans="1:3" x14ac:dyDescent="0.25">
      <c r="A122" s="32">
        <v>44012</v>
      </c>
      <c r="B122" s="33" t="str">
        <f t="shared" ca="1" si="0"/>
        <v/>
      </c>
      <c r="C122" s="51">
        <f t="shared" si="1"/>
        <v>119</v>
      </c>
    </row>
    <row r="123" spans="1:3" x14ac:dyDescent="0.25">
      <c r="A123" s="32">
        <v>44013</v>
      </c>
      <c r="B123" s="33" t="str">
        <f t="shared" ca="1" si="0"/>
        <v/>
      </c>
      <c r="C123" s="51">
        <f t="shared" si="1"/>
        <v>120</v>
      </c>
    </row>
    <row r="124" spans="1:3" x14ac:dyDescent="0.25">
      <c r="A124" s="32">
        <v>44014</v>
      </c>
      <c r="B124" s="33" t="str">
        <f t="shared" ca="1" si="0"/>
        <v/>
      </c>
      <c r="C124" s="51">
        <f t="shared" si="1"/>
        <v>121</v>
      </c>
    </row>
    <row r="125" spans="1:3" x14ac:dyDescent="0.25">
      <c r="A125" s="32">
        <v>44015</v>
      </c>
      <c r="B125" s="33" t="str">
        <f t="shared" ca="1" si="0"/>
        <v/>
      </c>
      <c r="C125" s="51">
        <f t="shared" si="1"/>
        <v>122</v>
      </c>
    </row>
    <row r="126" spans="1:3" x14ac:dyDescent="0.25">
      <c r="A126" s="61">
        <v>44016</v>
      </c>
      <c r="B126" s="62" t="str">
        <f t="shared" ca="1" si="0"/>
        <v/>
      </c>
      <c r="C126" s="12">
        <f t="shared" si="1"/>
        <v>123</v>
      </c>
    </row>
    <row r="127" spans="1:3" x14ac:dyDescent="0.25">
      <c r="A127" s="61">
        <v>44017</v>
      </c>
      <c r="B127" s="62" t="str">
        <f t="shared" ca="1" si="0"/>
        <v/>
      </c>
      <c r="C127" s="12">
        <f t="shared" si="1"/>
        <v>124</v>
      </c>
    </row>
    <row r="128" spans="1:3" x14ac:dyDescent="0.25">
      <c r="A128" s="32">
        <v>44018</v>
      </c>
      <c r="B128" s="33" t="str">
        <f t="shared" ca="1" si="0"/>
        <v/>
      </c>
      <c r="C128" s="51">
        <f t="shared" si="1"/>
        <v>125</v>
      </c>
    </row>
    <row r="129" spans="1:3" x14ac:dyDescent="0.25">
      <c r="A129" s="32">
        <v>44019</v>
      </c>
      <c r="B129" s="33" t="str">
        <f t="shared" ca="1" si="0"/>
        <v/>
      </c>
      <c r="C129" s="51">
        <f t="shared" si="1"/>
        <v>126</v>
      </c>
    </row>
    <row r="130" spans="1:3" x14ac:dyDescent="0.25">
      <c r="A130" s="32">
        <v>44020</v>
      </c>
      <c r="B130" s="33" t="str">
        <f t="shared" ca="1" si="0"/>
        <v/>
      </c>
      <c r="C130" s="51">
        <f t="shared" si="1"/>
        <v>127</v>
      </c>
    </row>
    <row r="131" spans="1:3" x14ac:dyDescent="0.25">
      <c r="A131" s="32">
        <v>44021</v>
      </c>
      <c r="B131" s="33" t="str">
        <f t="shared" ca="1" si="0"/>
        <v/>
      </c>
      <c r="C131" s="51">
        <f t="shared" si="1"/>
        <v>128</v>
      </c>
    </row>
    <row r="132" spans="1:3" x14ac:dyDescent="0.25">
      <c r="A132" s="32">
        <v>44022</v>
      </c>
      <c r="B132" s="33" t="str">
        <f t="shared" ca="1" si="0"/>
        <v/>
      </c>
      <c r="C132" s="51">
        <f t="shared" si="1"/>
        <v>129</v>
      </c>
    </row>
    <row r="133" spans="1:3" x14ac:dyDescent="0.25">
      <c r="A133" s="61">
        <v>44023</v>
      </c>
      <c r="B133" s="62" t="str">
        <f t="shared" ca="1" si="0"/>
        <v/>
      </c>
      <c r="C133" s="12">
        <f t="shared" si="1"/>
        <v>130</v>
      </c>
    </row>
    <row r="134" spans="1:3" x14ac:dyDescent="0.25">
      <c r="A134" s="61">
        <v>44024</v>
      </c>
      <c r="B134" s="62" t="str">
        <f t="shared" ca="1" si="0"/>
        <v/>
      </c>
      <c r="C134" s="12">
        <f t="shared" si="1"/>
        <v>131</v>
      </c>
    </row>
    <row r="135" spans="1:3" x14ac:dyDescent="0.25">
      <c r="A135" s="32">
        <v>44025</v>
      </c>
      <c r="B135" s="33" t="str">
        <f t="shared" ca="1" si="0"/>
        <v/>
      </c>
      <c r="C135" s="51">
        <f t="shared" si="1"/>
        <v>132</v>
      </c>
    </row>
    <row r="136" spans="1:3" x14ac:dyDescent="0.25">
      <c r="A136" s="32">
        <v>44026</v>
      </c>
      <c r="B136" s="33" t="str">
        <f t="shared" ca="1" si="0"/>
        <v/>
      </c>
      <c r="C136" s="51">
        <f t="shared" si="1"/>
        <v>133</v>
      </c>
    </row>
    <row r="137" spans="1:3" x14ac:dyDescent="0.25">
      <c r="A137" s="32">
        <v>44027</v>
      </c>
      <c r="B137" s="33" t="str">
        <f t="shared" ca="1" si="0"/>
        <v/>
      </c>
      <c r="C137" s="51">
        <f t="shared" si="1"/>
        <v>134</v>
      </c>
    </row>
    <row r="138" spans="1:3" x14ac:dyDescent="0.25">
      <c r="A138" s="32">
        <v>44028</v>
      </c>
      <c r="B138" s="33" t="str">
        <f t="shared" ca="1" si="0"/>
        <v/>
      </c>
      <c r="C138" s="51">
        <f t="shared" si="1"/>
        <v>135</v>
      </c>
    </row>
    <row r="139" spans="1:3" x14ac:dyDescent="0.25">
      <c r="A139" s="32">
        <v>44029</v>
      </c>
      <c r="B139" s="33" t="str">
        <f t="shared" ca="1" si="0"/>
        <v/>
      </c>
      <c r="C139" s="51">
        <f t="shared" si="1"/>
        <v>136</v>
      </c>
    </row>
    <row r="140" spans="1:3" x14ac:dyDescent="0.25">
      <c r="A140" s="61">
        <v>44030</v>
      </c>
      <c r="B140" s="62" t="str">
        <f t="shared" ca="1" si="0"/>
        <v/>
      </c>
      <c r="C140" s="12">
        <f t="shared" si="1"/>
        <v>137</v>
      </c>
    </row>
    <row r="141" spans="1:3" x14ac:dyDescent="0.25">
      <c r="A141" s="61">
        <v>44031</v>
      </c>
      <c r="B141" s="62" t="str">
        <f t="shared" ca="1" si="0"/>
        <v/>
      </c>
      <c r="C141" s="12">
        <f t="shared" si="1"/>
        <v>138</v>
      </c>
    </row>
    <row r="142" spans="1:3" x14ac:dyDescent="0.25">
      <c r="A142" s="32">
        <v>44032</v>
      </c>
      <c r="B142" s="33" t="str">
        <f t="shared" ca="1" si="0"/>
        <v/>
      </c>
      <c r="C142" s="51">
        <f t="shared" si="1"/>
        <v>139</v>
      </c>
    </row>
    <row r="143" spans="1:3" x14ac:dyDescent="0.25">
      <c r="A143" s="32">
        <v>44033</v>
      </c>
      <c r="B143" s="33" t="str">
        <f t="shared" ca="1" si="0"/>
        <v/>
      </c>
      <c r="C143" s="51">
        <f t="shared" si="1"/>
        <v>140</v>
      </c>
    </row>
    <row r="144" spans="1:3" x14ac:dyDescent="0.25">
      <c r="A144" s="32">
        <v>44034</v>
      </c>
      <c r="B144" s="33" t="str">
        <f t="shared" ca="1" si="0"/>
        <v/>
      </c>
      <c r="C144" s="51">
        <f t="shared" si="1"/>
        <v>141</v>
      </c>
    </row>
    <row r="145" spans="1:3" x14ac:dyDescent="0.25">
      <c r="A145" s="32">
        <v>44035</v>
      </c>
      <c r="B145" s="33" t="str">
        <f t="shared" ca="1" si="0"/>
        <v/>
      </c>
      <c r="C145" s="51">
        <f t="shared" si="1"/>
        <v>142</v>
      </c>
    </row>
    <row r="146" spans="1:3" x14ac:dyDescent="0.25">
      <c r="A146" s="32">
        <v>44036</v>
      </c>
      <c r="B146" s="33" t="str">
        <f t="shared" ca="1" si="0"/>
        <v/>
      </c>
      <c r="C146" s="51">
        <f t="shared" si="1"/>
        <v>143</v>
      </c>
    </row>
    <row r="147" spans="1:3" x14ac:dyDescent="0.25">
      <c r="A147" s="61">
        <v>44037</v>
      </c>
      <c r="B147" s="62" t="str">
        <f t="shared" ca="1" si="0"/>
        <v/>
      </c>
      <c r="C147" s="12">
        <f t="shared" si="1"/>
        <v>144</v>
      </c>
    </row>
    <row r="148" spans="1:3" x14ac:dyDescent="0.25">
      <c r="A148" s="61">
        <v>44038</v>
      </c>
      <c r="B148" s="62" t="str">
        <f t="shared" ca="1" si="0"/>
        <v/>
      </c>
      <c r="C148" s="12">
        <f t="shared" si="1"/>
        <v>145</v>
      </c>
    </row>
    <row r="149" spans="1:3" x14ac:dyDescent="0.25">
      <c r="A149" s="32">
        <v>44039</v>
      </c>
      <c r="B149" s="33" t="str">
        <f t="shared" ca="1" si="0"/>
        <v/>
      </c>
      <c r="C149" s="51">
        <f t="shared" si="1"/>
        <v>146</v>
      </c>
    </row>
    <row r="150" spans="1:3" x14ac:dyDescent="0.25">
      <c r="A150" s="32">
        <v>44040</v>
      </c>
      <c r="B150" s="33" t="str">
        <f t="shared" ca="1" si="0"/>
        <v/>
      </c>
      <c r="C150" s="51">
        <f t="shared" si="1"/>
        <v>147</v>
      </c>
    </row>
    <row r="151" spans="1:3" x14ac:dyDescent="0.25">
      <c r="A151" s="32">
        <v>44041</v>
      </c>
      <c r="B151" s="33" t="str">
        <f t="shared" ca="1" si="0"/>
        <v/>
      </c>
      <c r="C151" s="51">
        <f t="shared" si="1"/>
        <v>148</v>
      </c>
    </row>
    <row r="152" spans="1:3" x14ac:dyDescent="0.25">
      <c r="A152" s="32">
        <v>44042</v>
      </c>
      <c r="B152" s="33" t="str">
        <f t="shared" ca="1" si="0"/>
        <v/>
      </c>
      <c r="C152" s="51">
        <f t="shared" si="1"/>
        <v>149</v>
      </c>
    </row>
    <row r="153" spans="1:3" x14ac:dyDescent="0.25">
      <c r="A153" s="32">
        <v>44043</v>
      </c>
      <c r="B153" s="33" t="str">
        <f t="shared" ca="1" si="0"/>
        <v/>
      </c>
      <c r="C153" s="51">
        <f t="shared" si="1"/>
        <v>150</v>
      </c>
    </row>
    <row r="154" spans="1:3" x14ac:dyDescent="0.25">
      <c r="A154" s="61">
        <v>44044</v>
      </c>
      <c r="B154" s="62" t="str">
        <f t="shared" ca="1" si="0"/>
        <v/>
      </c>
      <c r="C154" s="12">
        <f t="shared" si="1"/>
        <v>151</v>
      </c>
    </row>
    <row r="155" spans="1:3" x14ac:dyDescent="0.25">
      <c r="A155" s="61">
        <v>44045</v>
      </c>
      <c r="B155" s="62" t="str">
        <f t="shared" ca="1" si="0"/>
        <v/>
      </c>
      <c r="C155" s="12">
        <f t="shared" si="1"/>
        <v>152</v>
      </c>
    </row>
    <row r="156" spans="1:3" x14ac:dyDescent="0.25">
      <c r="A156" s="32">
        <v>44046</v>
      </c>
      <c r="B156" s="33" t="str">
        <f t="shared" ca="1" si="0"/>
        <v/>
      </c>
      <c r="C156" s="51">
        <f t="shared" si="1"/>
        <v>153</v>
      </c>
    </row>
    <row r="157" spans="1:3" x14ac:dyDescent="0.25">
      <c r="A157" s="32">
        <v>44047</v>
      </c>
      <c r="B157" s="33" t="str">
        <f t="shared" ca="1" si="0"/>
        <v/>
      </c>
      <c r="C157" s="51">
        <f t="shared" si="1"/>
        <v>154</v>
      </c>
    </row>
    <row r="158" spans="1:3" x14ac:dyDescent="0.25">
      <c r="A158" s="32">
        <v>44048</v>
      </c>
      <c r="B158" s="33" t="str">
        <f t="shared" ca="1" si="0"/>
        <v/>
      </c>
      <c r="C158" s="51">
        <f t="shared" si="1"/>
        <v>155</v>
      </c>
    </row>
    <row r="159" spans="1:3" x14ac:dyDescent="0.25">
      <c r="A159" s="32">
        <v>44049</v>
      </c>
      <c r="B159" s="33" t="str">
        <f t="shared" ca="1" si="0"/>
        <v/>
      </c>
      <c r="C159" s="51">
        <f t="shared" si="1"/>
        <v>156</v>
      </c>
    </row>
    <row r="160" spans="1:3" x14ac:dyDescent="0.25">
      <c r="A160" s="32">
        <v>44050</v>
      </c>
      <c r="B160" s="33" t="str">
        <f t="shared" ca="1" si="0"/>
        <v/>
      </c>
      <c r="C160" s="51">
        <f t="shared" si="1"/>
        <v>157</v>
      </c>
    </row>
    <row r="161" spans="1:3" x14ac:dyDescent="0.25">
      <c r="A161" s="61">
        <v>44051</v>
      </c>
      <c r="B161" s="62" t="str">
        <f t="shared" ca="1" si="0"/>
        <v/>
      </c>
      <c r="C161" s="12">
        <f t="shared" si="1"/>
        <v>158</v>
      </c>
    </row>
    <row r="162" spans="1:3" x14ac:dyDescent="0.25">
      <c r="A162" s="61">
        <v>44052</v>
      </c>
      <c r="B162" s="62" t="str">
        <f t="shared" ca="1" si="0"/>
        <v/>
      </c>
      <c r="C162" s="12">
        <f t="shared" si="1"/>
        <v>159</v>
      </c>
    </row>
    <row r="163" spans="1:3" x14ac:dyDescent="0.25">
      <c r="A163" s="32">
        <v>44053</v>
      </c>
      <c r="B163" s="33" t="str">
        <f t="shared" ca="1" si="0"/>
        <v/>
      </c>
      <c r="C163" s="51">
        <f t="shared" si="1"/>
        <v>160</v>
      </c>
    </row>
    <row r="164" spans="1:3" x14ac:dyDescent="0.25">
      <c r="A164" s="32">
        <v>44054</v>
      </c>
      <c r="B164" s="33" t="str">
        <f t="shared" ca="1" si="0"/>
        <v/>
      </c>
      <c r="C164" s="51">
        <f t="shared" si="1"/>
        <v>161</v>
      </c>
    </row>
    <row r="165" spans="1:3" x14ac:dyDescent="0.25">
      <c r="A165" s="32">
        <v>44055</v>
      </c>
      <c r="B165" s="33" t="str">
        <f t="shared" ca="1" si="0"/>
        <v/>
      </c>
      <c r="C165" s="51">
        <f t="shared" si="1"/>
        <v>162</v>
      </c>
    </row>
    <row r="166" spans="1:3" x14ac:dyDescent="0.25">
      <c r="A166" s="32">
        <v>44056</v>
      </c>
      <c r="B166" s="33" t="str">
        <f t="shared" ca="1" si="0"/>
        <v/>
      </c>
      <c r="C166" s="51">
        <f t="shared" si="1"/>
        <v>163</v>
      </c>
    </row>
    <row r="167" spans="1:3" x14ac:dyDescent="0.25">
      <c r="A167" s="32">
        <v>44057</v>
      </c>
      <c r="B167" s="33" t="str">
        <f t="shared" ca="1" si="0"/>
        <v/>
      </c>
      <c r="C167" s="51">
        <f t="shared" si="1"/>
        <v>164</v>
      </c>
    </row>
    <row r="168" spans="1:3" x14ac:dyDescent="0.25">
      <c r="A168" s="61">
        <v>44058</v>
      </c>
      <c r="B168" s="62" t="str">
        <f t="shared" ca="1" si="0"/>
        <v/>
      </c>
      <c r="C168" s="12">
        <f t="shared" si="1"/>
        <v>165</v>
      </c>
    </row>
    <row r="169" spans="1:3" x14ac:dyDescent="0.25">
      <c r="A169" s="61">
        <v>44059</v>
      </c>
      <c r="B169" s="62" t="str">
        <f t="shared" ca="1" si="0"/>
        <v/>
      </c>
      <c r="C169" s="12">
        <f t="shared" si="1"/>
        <v>166</v>
      </c>
    </row>
    <row r="170" spans="1:3" x14ac:dyDescent="0.25">
      <c r="A170" s="32">
        <v>44060</v>
      </c>
      <c r="B170" s="33" t="str">
        <f t="shared" ca="1" si="0"/>
        <v/>
      </c>
      <c r="C170" s="51">
        <f t="shared" si="1"/>
        <v>167</v>
      </c>
    </row>
    <row r="171" spans="1:3" x14ac:dyDescent="0.25">
      <c r="A171" s="32">
        <v>44061</v>
      </c>
      <c r="B171" s="33" t="str">
        <f t="shared" ca="1" si="0"/>
        <v/>
      </c>
      <c r="C171" s="51">
        <f t="shared" si="1"/>
        <v>168</v>
      </c>
    </row>
    <row r="172" spans="1:3" x14ac:dyDescent="0.25">
      <c r="A172" s="32">
        <v>44062</v>
      </c>
      <c r="B172" s="33" t="str">
        <f t="shared" ca="1" si="0"/>
        <v/>
      </c>
      <c r="C172" s="51">
        <f t="shared" si="1"/>
        <v>169</v>
      </c>
    </row>
    <row r="173" spans="1:3" x14ac:dyDescent="0.25">
      <c r="A173" s="32">
        <v>44063</v>
      </c>
      <c r="B173" s="33" t="str">
        <f t="shared" ca="1" si="0"/>
        <v/>
      </c>
      <c r="C173" s="51">
        <f t="shared" si="1"/>
        <v>170</v>
      </c>
    </row>
    <row r="174" spans="1:3" x14ac:dyDescent="0.25">
      <c r="A174" s="32">
        <v>44064</v>
      </c>
      <c r="B174" s="33" t="str">
        <f t="shared" ca="1" si="0"/>
        <v/>
      </c>
      <c r="C174" s="51">
        <f t="shared" si="1"/>
        <v>171</v>
      </c>
    </row>
    <row r="175" spans="1:3" x14ac:dyDescent="0.25">
      <c r="A175" s="61">
        <v>44065</v>
      </c>
      <c r="B175" s="62" t="str">
        <f t="shared" ca="1" si="0"/>
        <v/>
      </c>
      <c r="C175" s="12">
        <f t="shared" si="1"/>
        <v>172</v>
      </c>
    </row>
    <row r="176" spans="1:3" x14ac:dyDescent="0.25">
      <c r="A176" s="61">
        <v>44066</v>
      </c>
      <c r="B176" s="62" t="str">
        <f t="shared" ca="1" si="0"/>
        <v/>
      </c>
      <c r="C176" s="12">
        <f t="shared" si="1"/>
        <v>173</v>
      </c>
    </row>
    <row r="177" spans="1:3" x14ac:dyDescent="0.25">
      <c r="A177" s="32">
        <v>44067</v>
      </c>
      <c r="B177" s="33" t="str">
        <f t="shared" ca="1" si="0"/>
        <v/>
      </c>
      <c r="C177" s="51">
        <f t="shared" si="1"/>
        <v>174</v>
      </c>
    </row>
    <row r="178" spans="1:3" x14ac:dyDescent="0.25">
      <c r="A178" s="32">
        <v>44068</v>
      </c>
      <c r="B178" s="33" t="str">
        <f t="shared" ca="1" si="0"/>
        <v/>
      </c>
      <c r="C178" s="51">
        <f t="shared" si="1"/>
        <v>175</v>
      </c>
    </row>
    <row r="179" spans="1:3" x14ac:dyDescent="0.25">
      <c r="A179" s="32">
        <v>44069</v>
      </c>
      <c r="B179" s="33" t="str">
        <f t="shared" ca="1" si="0"/>
        <v/>
      </c>
      <c r="C179" s="51">
        <f t="shared" si="1"/>
        <v>176</v>
      </c>
    </row>
    <row r="180" spans="1:3" x14ac:dyDescent="0.25">
      <c r="A180" s="32">
        <v>44070</v>
      </c>
      <c r="B180" s="33" t="str">
        <f t="shared" ca="1" si="0"/>
        <v/>
      </c>
      <c r="C180" s="51">
        <f t="shared" si="1"/>
        <v>177</v>
      </c>
    </row>
    <row r="181" spans="1:3" x14ac:dyDescent="0.25">
      <c r="A181" s="32">
        <v>44071</v>
      </c>
      <c r="B181" s="33" t="str">
        <f t="shared" ca="1" si="0"/>
        <v/>
      </c>
      <c r="C181" s="51">
        <f t="shared" si="1"/>
        <v>178</v>
      </c>
    </row>
    <row r="182" spans="1:3" x14ac:dyDescent="0.25">
      <c r="A182" s="61">
        <v>44072</v>
      </c>
      <c r="B182" s="62" t="str">
        <f t="shared" ca="1" si="0"/>
        <v/>
      </c>
      <c r="C182" s="12">
        <f t="shared" si="1"/>
        <v>179</v>
      </c>
    </row>
    <row r="183" spans="1:3" x14ac:dyDescent="0.25">
      <c r="A183" s="61">
        <v>44073</v>
      </c>
      <c r="B183" s="62" t="str">
        <f t="shared" ca="1" si="0"/>
        <v/>
      </c>
      <c r="C183" s="12">
        <f t="shared" si="1"/>
        <v>180</v>
      </c>
    </row>
    <row r="184" spans="1:3" x14ac:dyDescent="0.25">
      <c r="A184" s="32">
        <v>44074</v>
      </c>
      <c r="B184" s="33" t="str">
        <f t="shared" ca="1" si="0"/>
        <v/>
      </c>
      <c r="C184" s="51">
        <f t="shared" si="1"/>
        <v>181</v>
      </c>
    </row>
    <row r="185" spans="1:3" x14ac:dyDescent="0.25">
      <c r="A185" s="32">
        <v>44075</v>
      </c>
      <c r="B185" s="33" t="str">
        <f t="shared" ca="1" si="0"/>
        <v/>
      </c>
      <c r="C185" s="51">
        <f t="shared" si="1"/>
        <v>182</v>
      </c>
    </row>
    <row r="186" spans="1:3" x14ac:dyDescent="0.25">
      <c r="A186" s="32">
        <v>44076</v>
      </c>
      <c r="B186" s="33" t="str">
        <f t="shared" ca="1" si="0"/>
        <v/>
      </c>
      <c r="C186" s="51">
        <f t="shared" si="1"/>
        <v>183</v>
      </c>
    </row>
    <row r="187" spans="1:3" x14ac:dyDescent="0.25">
      <c r="A187" s="32">
        <v>44077</v>
      </c>
      <c r="B187" s="33" t="str">
        <f t="shared" ca="1" si="0"/>
        <v/>
      </c>
      <c r="C187" s="51">
        <f t="shared" si="1"/>
        <v>184</v>
      </c>
    </row>
    <row r="188" spans="1:3" x14ac:dyDescent="0.25">
      <c r="A188" s="32">
        <v>44078</v>
      </c>
      <c r="B188" s="33" t="str">
        <f t="shared" ca="1" si="0"/>
        <v/>
      </c>
      <c r="C188" s="51">
        <f t="shared" si="1"/>
        <v>185</v>
      </c>
    </row>
    <row r="189" spans="1:3" x14ac:dyDescent="0.25">
      <c r="A189" s="61">
        <v>44079</v>
      </c>
      <c r="B189" s="62" t="str">
        <f t="shared" ca="1" si="0"/>
        <v/>
      </c>
      <c r="C189" s="12">
        <f t="shared" si="1"/>
        <v>186</v>
      </c>
    </row>
    <row r="190" spans="1:3" x14ac:dyDescent="0.25">
      <c r="A190" s="61">
        <v>44080</v>
      </c>
      <c r="B190" s="62" t="str">
        <f t="shared" ca="1" si="0"/>
        <v/>
      </c>
      <c r="C190" s="12">
        <f t="shared" si="1"/>
        <v>187</v>
      </c>
    </row>
    <row r="191" spans="1:3" x14ac:dyDescent="0.25">
      <c r="A191" s="32">
        <v>44081</v>
      </c>
      <c r="B191" s="33" t="str">
        <f t="shared" ca="1" si="0"/>
        <v/>
      </c>
      <c r="C191" s="51">
        <f t="shared" si="1"/>
        <v>188</v>
      </c>
    </row>
    <row r="192" spans="1:3" x14ac:dyDescent="0.25">
      <c r="A192" s="32">
        <v>44082</v>
      </c>
      <c r="B192" s="33" t="str">
        <f t="shared" ca="1" si="0"/>
        <v/>
      </c>
      <c r="C192" s="51">
        <f t="shared" si="1"/>
        <v>189</v>
      </c>
    </row>
    <row r="193" spans="1:3" x14ac:dyDescent="0.25">
      <c r="A193" s="32">
        <v>44083</v>
      </c>
      <c r="B193" s="33" t="str">
        <f t="shared" ca="1" si="0"/>
        <v/>
      </c>
      <c r="C193" s="51">
        <f t="shared" si="1"/>
        <v>190</v>
      </c>
    </row>
    <row r="194" spans="1:3" x14ac:dyDescent="0.25">
      <c r="A194" s="32">
        <v>44084</v>
      </c>
      <c r="B194" s="33" t="str">
        <f t="shared" ca="1" si="0"/>
        <v/>
      </c>
      <c r="C194" s="51">
        <f t="shared" si="1"/>
        <v>191</v>
      </c>
    </row>
    <row r="195" spans="1:3" x14ac:dyDescent="0.25">
      <c r="A195" s="32">
        <v>44085</v>
      </c>
      <c r="B195" s="33" t="str">
        <f t="shared" ca="1" si="0"/>
        <v/>
      </c>
      <c r="C195" s="51">
        <f t="shared" si="1"/>
        <v>192</v>
      </c>
    </row>
    <row r="196" spans="1:3" x14ac:dyDescent="0.25">
      <c r="A196" s="61">
        <v>44086</v>
      </c>
      <c r="B196" s="62" t="str">
        <f t="shared" ca="1" si="0"/>
        <v/>
      </c>
      <c r="C196" s="12">
        <f t="shared" si="1"/>
        <v>193</v>
      </c>
    </row>
    <row r="197" spans="1:3" x14ac:dyDescent="0.25">
      <c r="A197" s="61">
        <v>44087</v>
      </c>
      <c r="B197" s="62" t="str">
        <f t="shared" ca="1" si="0"/>
        <v/>
      </c>
      <c r="C197" s="12">
        <f t="shared" si="1"/>
        <v>194</v>
      </c>
    </row>
    <row r="198" spans="1:3" x14ac:dyDescent="0.25">
      <c r="A198" s="32">
        <v>44088</v>
      </c>
      <c r="B198" s="33" t="str">
        <f t="shared" ca="1" si="0"/>
        <v/>
      </c>
      <c r="C198" s="51">
        <f t="shared" si="1"/>
        <v>195</v>
      </c>
    </row>
    <row r="199" spans="1:3" x14ac:dyDescent="0.25">
      <c r="A199" s="32">
        <v>44089</v>
      </c>
      <c r="B199" s="33" t="str">
        <f t="shared" ca="1" si="0"/>
        <v/>
      </c>
      <c r="C199" s="51">
        <f t="shared" si="1"/>
        <v>196</v>
      </c>
    </row>
    <row r="200" spans="1:3" x14ac:dyDescent="0.25">
      <c r="A200" s="32">
        <v>44090</v>
      </c>
      <c r="B200" s="33" t="str">
        <f t="shared" ca="1" si="0"/>
        <v/>
      </c>
      <c r="C200" s="51">
        <f t="shared" si="1"/>
        <v>197</v>
      </c>
    </row>
    <row r="201" spans="1:3" x14ac:dyDescent="0.25">
      <c r="A201" s="32">
        <v>44091</v>
      </c>
      <c r="B201" s="33" t="str">
        <f t="shared" ca="1" si="0"/>
        <v/>
      </c>
      <c r="C201" s="51">
        <f t="shared" si="1"/>
        <v>198</v>
      </c>
    </row>
    <row r="202" spans="1:3" x14ac:dyDescent="0.25">
      <c r="A202" s="32">
        <v>44092</v>
      </c>
      <c r="B202" s="33" t="str">
        <f t="shared" ca="1" si="0"/>
        <v/>
      </c>
      <c r="C202" s="51">
        <f t="shared" si="1"/>
        <v>199</v>
      </c>
    </row>
    <row r="203" spans="1:3" x14ac:dyDescent="0.25">
      <c r="A203" s="61">
        <v>44093</v>
      </c>
      <c r="B203" s="62" t="str">
        <f t="shared" ca="1" si="0"/>
        <v/>
      </c>
      <c r="C203" s="12">
        <f t="shared" si="1"/>
        <v>200</v>
      </c>
    </row>
    <row r="204" spans="1:3" x14ac:dyDescent="0.25">
      <c r="A204" s="61">
        <v>44094</v>
      </c>
      <c r="B204" s="62" t="str">
        <f t="shared" ca="1" si="0"/>
        <v/>
      </c>
      <c r="C204" s="12">
        <f t="shared" si="1"/>
        <v>201</v>
      </c>
    </row>
    <row r="205" spans="1:3" x14ac:dyDescent="0.25">
      <c r="A205" s="32">
        <v>44095</v>
      </c>
      <c r="B205" s="33" t="str">
        <f t="shared" ca="1" si="0"/>
        <v/>
      </c>
      <c r="C205" s="51">
        <f t="shared" si="1"/>
        <v>202</v>
      </c>
    </row>
    <row r="206" spans="1:3" x14ac:dyDescent="0.25">
      <c r="A206" s="32">
        <v>44096</v>
      </c>
      <c r="B206" s="33" t="str">
        <f t="shared" ca="1" si="0"/>
        <v/>
      </c>
      <c r="C206" s="51">
        <f t="shared" si="1"/>
        <v>203</v>
      </c>
    </row>
    <row r="207" spans="1:3" x14ac:dyDescent="0.25">
      <c r="A207" s="32">
        <v>44097</v>
      </c>
      <c r="B207" s="33" t="str">
        <f t="shared" ca="1" si="0"/>
        <v/>
      </c>
      <c r="C207" s="51">
        <f t="shared" si="1"/>
        <v>204</v>
      </c>
    </row>
    <row r="208" spans="1:3" x14ac:dyDescent="0.25">
      <c r="A208" s="32">
        <v>44098</v>
      </c>
      <c r="B208" s="33" t="str">
        <f t="shared" ca="1" si="0"/>
        <v/>
      </c>
      <c r="C208" s="51">
        <f t="shared" si="1"/>
        <v>205</v>
      </c>
    </row>
    <row r="209" spans="1:3" x14ac:dyDescent="0.25">
      <c r="A209" s="32">
        <v>44099</v>
      </c>
      <c r="B209" s="33" t="str">
        <f t="shared" ca="1" si="0"/>
        <v/>
      </c>
      <c r="C209" s="51">
        <f t="shared" si="1"/>
        <v>206</v>
      </c>
    </row>
    <row r="210" spans="1:3" x14ac:dyDescent="0.25">
      <c r="A210" s="61">
        <v>44100</v>
      </c>
      <c r="B210" s="62" t="str">
        <f t="shared" ca="1" si="0"/>
        <v/>
      </c>
      <c r="C210" s="12">
        <f t="shared" si="1"/>
        <v>207</v>
      </c>
    </row>
    <row r="211" spans="1:3" x14ac:dyDescent="0.25">
      <c r="A211" s="61">
        <v>44101</v>
      </c>
      <c r="B211" s="62" t="str">
        <f t="shared" ca="1" si="0"/>
        <v/>
      </c>
      <c r="C211" s="12">
        <f t="shared" si="1"/>
        <v>208</v>
      </c>
    </row>
    <row r="212" spans="1:3" x14ac:dyDescent="0.25">
      <c r="A212" s="32">
        <v>44102</v>
      </c>
      <c r="B212" s="33" t="str">
        <f t="shared" ca="1" si="0"/>
        <v/>
      </c>
      <c r="C212" s="51">
        <f t="shared" si="1"/>
        <v>209</v>
      </c>
    </row>
    <row r="213" spans="1:3" x14ac:dyDescent="0.25">
      <c r="A213" s="32">
        <v>44103</v>
      </c>
      <c r="B213" s="33" t="str">
        <f t="shared" ref="B213:B296" ca="1" si="2">IF(ISBLANK(D213),"",IF(DATEDIF(A213,TODAY(),"D")&lt;$X$2,A213,""))</f>
        <v/>
      </c>
      <c r="C213" s="51">
        <f t="shared" si="1"/>
        <v>210</v>
      </c>
    </row>
    <row r="214" spans="1:3" x14ac:dyDescent="0.25">
      <c r="A214" s="32">
        <v>44104</v>
      </c>
      <c r="B214" s="33" t="str">
        <f t="shared" ca="1" si="2"/>
        <v/>
      </c>
      <c r="C214" s="51">
        <f t="shared" si="1"/>
        <v>211</v>
      </c>
    </row>
    <row r="215" spans="1:3" x14ac:dyDescent="0.25">
      <c r="A215" s="32">
        <v>44105</v>
      </c>
      <c r="B215" s="33" t="str">
        <f t="shared" ca="1" si="2"/>
        <v/>
      </c>
      <c r="C215" s="51">
        <f t="shared" si="1"/>
        <v>212</v>
      </c>
    </row>
    <row r="216" spans="1:3" x14ac:dyDescent="0.25">
      <c r="A216" s="32">
        <v>44106</v>
      </c>
      <c r="B216" s="33" t="str">
        <f t="shared" ca="1" si="2"/>
        <v/>
      </c>
      <c r="C216" s="51">
        <f t="shared" si="1"/>
        <v>213</v>
      </c>
    </row>
    <row r="217" spans="1:3" x14ac:dyDescent="0.25">
      <c r="A217" s="61">
        <v>44107</v>
      </c>
      <c r="B217" s="62" t="str">
        <f t="shared" ca="1" si="2"/>
        <v/>
      </c>
      <c r="C217" s="12">
        <f t="shared" si="1"/>
        <v>214</v>
      </c>
    </row>
    <row r="218" spans="1:3" x14ac:dyDescent="0.25">
      <c r="A218" s="61">
        <v>44108</v>
      </c>
      <c r="B218" s="62" t="str">
        <f t="shared" ca="1" si="2"/>
        <v/>
      </c>
      <c r="C218" s="12">
        <f t="shared" si="1"/>
        <v>215</v>
      </c>
    </row>
    <row r="219" spans="1:3" x14ac:dyDescent="0.25">
      <c r="A219" s="32">
        <v>44109</v>
      </c>
      <c r="B219" s="33" t="str">
        <f t="shared" ca="1" si="2"/>
        <v/>
      </c>
      <c r="C219" s="51">
        <f t="shared" si="1"/>
        <v>216</v>
      </c>
    </row>
    <row r="220" spans="1:3" x14ac:dyDescent="0.25">
      <c r="A220" s="32">
        <v>44110</v>
      </c>
      <c r="B220" s="33" t="str">
        <f t="shared" ca="1" si="2"/>
        <v/>
      </c>
      <c r="C220" s="51">
        <f t="shared" si="1"/>
        <v>217</v>
      </c>
    </row>
    <row r="221" spans="1:3" x14ac:dyDescent="0.25">
      <c r="A221" s="32">
        <v>44111</v>
      </c>
      <c r="B221" s="33" t="str">
        <f t="shared" ca="1" si="2"/>
        <v/>
      </c>
      <c r="C221" s="51">
        <f t="shared" si="1"/>
        <v>218</v>
      </c>
    </row>
    <row r="222" spans="1:3" x14ac:dyDescent="0.25">
      <c r="A222" s="32">
        <v>44112</v>
      </c>
      <c r="B222" s="33" t="str">
        <f t="shared" ca="1" si="2"/>
        <v/>
      </c>
      <c r="C222" s="51">
        <f t="shared" si="1"/>
        <v>219</v>
      </c>
    </row>
    <row r="223" spans="1:3" x14ac:dyDescent="0.25">
      <c r="A223" s="32">
        <v>44113</v>
      </c>
      <c r="B223" s="33" t="str">
        <f t="shared" ca="1" si="2"/>
        <v/>
      </c>
      <c r="C223" s="51">
        <f t="shared" si="1"/>
        <v>220</v>
      </c>
    </row>
    <row r="224" spans="1:3" x14ac:dyDescent="0.25">
      <c r="A224" s="61">
        <v>44114</v>
      </c>
      <c r="B224" s="62" t="str">
        <f t="shared" ca="1" si="2"/>
        <v/>
      </c>
      <c r="C224" s="12">
        <f t="shared" si="1"/>
        <v>221</v>
      </c>
    </row>
    <row r="225" spans="1:3" x14ac:dyDescent="0.25">
      <c r="A225" s="61">
        <v>44115</v>
      </c>
      <c r="B225" s="62" t="str">
        <f t="shared" ca="1" si="2"/>
        <v/>
      </c>
      <c r="C225" s="12">
        <f t="shared" si="1"/>
        <v>222</v>
      </c>
    </row>
    <row r="226" spans="1:3" x14ac:dyDescent="0.25">
      <c r="A226" s="32">
        <v>44116</v>
      </c>
      <c r="B226" s="33" t="str">
        <f t="shared" ca="1" si="2"/>
        <v/>
      </c>
      <c r="C226" s="51">
        <f t="shared" si="1"/>
        <v>223</v>
      </c>
    </row>
    <row r="227" spans="1:3" x14ac:dyDescent="0.25">
      <c r="A227" s="32">
        <v>44117</v>
      </c>
      <c r="B227" s="33" t="str">
        <f t="shared" ca="1" si="2"/>
        <v/>
      </c>
      <c r="C227" s="51">
        <f t="shared" si="1"/>
        <v>224</v>
      </c>
    </row>
    <row r="228" spans="1:3" x14ac:dyDescent="0.25">
      <c r="A228" s="32">
        <v>44118</v>
      </c>
      <c r="B228" s="33" t="str">
        <f t="shared" ca="1" si="2"/>
        <v/>
      </c>
      <c r="C228" s="51">
        <f t="shared" si="1"/>
        <v>225</v>
      </c>
    </row>
    <row r="229" spans="1:3" x14ac:dyDescent="0.25">
      <c r="A229" s="32">
        <v>44119</v>
      </c>
      <c r="B229" s="33" t="str">
        <f t="shared" ca="1" si="2"/>
        <v/>
      </c>
      <c r="C229" s="51">
        <f t="shared" si="1"/>
        <v>226</v>
      </c>
    </row>
    <row r="230" spans="1:3" x14ac:dyDescent="0.25">
      <c r="A230" s="32">
        <v>44120</v>
      </c>
      <c r="B230" s="33" t="str">
        <f t="shared" ca="1" si="2"/>
        <v/>
      </c>
      <c r="C230" s="51">
        <f t="shared" si="1"/>
        <v>227</v>
      </c>
    </row>
    <row r="231" spans="1:3" x14ac:dyDescent="0.25">
      <c r="A231" s="61">
        <v>44121</v>
      </c>
      <c r="B231" s="62" t="str">
        <f t="shared" ca="1" si="2"/>
        <v/>
      </c>
      <c r="C231" s="12">
        <f t="shared" si="1"/>
        <v>228</v>
      </c>
    </row>
    <row r="232" spans="1:3" x14ac:dyDescent="0.25">
      <c r="A232" s="61">
        <v>44122</v>
      </c>
      <c r="B232" s="62" t="str">
        <f t="shared" ca="1" si="2"/>
        <v/>
      </c>
      <c r="C232" s="12">
        <f t="shared" si="1"/>
        <v>229</v>
      </c>
    </row>
    <row r="233" spans="1:3" x14ac:dyDescent="0.25">
      <c r="A233" s="32">
        <v>44123</v>
      </c>
      <c r="B233" s="33" t="str">
        <f t="shared" ca="1" si="2"/>
        <v/>
      </c>
      <c r="C233" s="51">
        <f t="shared" si="1"/>
        <v>230</v>
      </c>
    </row>
    <row r="234" spans="1:3" x14ac:dyDescent="0.25">
      <c r="A234" s="32">
        <v>44124</v>
      </c>
      <c r="B234" s="33" t="str">
        <f t="shared" ca="1" si="2"/>
        <v/>
      </c>
      <c r="C234" s="51">
        <f t="shared" si="1"/>
        <v>231</v>
      </c>
    </row>
    <row r="235" spans="1:3" x14ac:dyDescent="0.25">
      <c r="A235" s="32">
        <v>44125</v>
      </c>
      <c r="B235" s="33" t="str">
        <f t="shared" ca="1" si="2"/>
        <v/>
      </c>
      <c r="C235" s="51">
        <f t="shared" si="1"/>
        <v>232</v>
      </c>
    </row>
    <row r="236" spans="1:3" x14ac:dyDescent="0.25">
      <c r="A236" s="32">
        <v>44126</v>
      </c>
      <c r="B236" s="33" t="str">
        <f t="shared" ca="1" si="2"/>
        <v/>
      </c>
      <c r="C236" s="51">
        <f t="shared" si="1"/>
        <v>233</v>
      </c>
    </row>
    <row r="237" spans="1:3" x14ac:dyDescent="0.25">
      <c r="A237" s="32">
        <v>44127</v>
      </c>
      <c r="B237" s="33" t="str">
        <f t="shared" ca="1" si="2"/>
        <v/>
      </c>
      <c r="C237" s="51">
        <f t="shared" si="1"/>
        <v>234</v>
      </c>
    </row>
    <row r="238" spans="1:3" x14ac:dyDescent="0.25">
      <c r="A238" s="61">
        <v>44128</v>
      </c>
      <c r="B238" s="62" t="str">
        <f t="shared" ca="1" si="2"/>
        <v/>
      </c>
      <c r="C238" s="12">
        <f t="shared" si="1"/>
        <v>235</v>
      </c>
    </row>
    <row r="239" spans="1:3" x14ac:dyDescent="0.25">
      <c r="A239" s="61">
        <v>44129</v>
      </c>
      <c r="B239" s="62" t="str">
        <f t="shared" ca="1" si="2"/>
        <v/>
      </c>
      <c r="C239" s="12">
        <f t="shared" si="1"/>
        <v>236</v>
      </c>
    </row>
    <row r="240" spans="1:3" x14ac:dyDescent="0.25">
      <c r="A240" s="32">
        <v>44130</v>
      </c>
      <c r="B240" s="33" t="str">
        <f t="shared" ca="1" si="2"/>
        <v/>
      </c>
      <c r="C240" s="51">
        <f t="shared" si="1"/>
        <v>237</v>
      </c>
    </row>
    <row r="241" spans="1:3" x14ac:dyDescent="0.25">
      <c r="A241" s="32">
        <v>44131</v>
      </c>
      <c r="B241" s="33" t="str">
        <f t="shared" ca="1" si="2"/>
        <v/>
      </c>
      <c r="C241" s="51">
        <f t="shared" si="1"/>
        <v>238</v>
      </c>
    </row>
    <row r="242" spans="1:3" x14ac:dyDescent="0.25">
      <c r="A242" s="32">
        <v>44132</v>
      </c>
      <c r="B242" s="33" t="str">
        <f t="shared" ca="1" si="2"/>
        <v/>
      </c>
      <c r="C242" s="51">
        <f t="shared" si="1"/>
        <v>239</v>
      </c>
    </row>
    <row r="243" spans="1:3" x14ac:dyDescent="0.25">
      <c r="A243" s="32">
        <v>44133</v>
      </c>
      <c r="B243" s="33" t="str">
        <f t="shared" ca="1" si="2"/>
        <v/>
      </c>
      <c r="C243" s="51">
        <f t="shared" si="1"/>
        <v>240</v>
      </c>
    </row>
    <row r="244" spans="1:3" x14ac:dyDescent="0.25">
      <c r="A244" s="32">
        <v>44134</v>
      </c>
      <c r="B244" s="33" t="str">
        <f t="shared" ca="1" si="2"/>
        <v/>
      </c>
      <c r="C244" s="51">
        <f t="shared" si="1"/>
        <v>241</v>
      </c>
    </row>
    <row r="245" spans="1:3" x14ac:dyDescent="0.25">
      <c r="A245" s="61">
        <v>44135</v>
      </c>
      <c r="B245" s="62" t="str">
        <f t="shared" ca="1" si="2"/>
        <v/>
      </c>
      <c r="C245" s="12">
        <f t="shared" si="1"/>
        <v>242</v>
      </c>
    </row>
    <row r="246" spans="1:3" x14ac:dyDescent="0.25">
      <c r="A246" s="61">
        <v>44136</v>
      </c>
      <c r="B246" s="62" t="str">
        <f t="shared" ca="1" si="2"/>
        <v/>
      </c>
      <c r="C246" s="12">
        <f t="shared" si="1"/>
        <v>243</v>
      </c>
    </row>
    <row r="247" spans="1:3" x14ac:dyDescent="0.25">
      <c r="A247" s="32">
        <v>44137</v>
      </c>
      <c r="B247" s="33" t="str">
        <f t="shared" ca="1" si="2"/>
        <v/>
      </c>
      <c r="C247" s="51">
        <f t="shared" si="1"/>
        <v>244</v>
      </c>
    </row>
    <row r="248" spans="1:3" x14ac:dyDescent="0.25">
      <c r="A248" s="32">
        <v>44138</v>
      </c>
      <c r="B248" s="33" t="str">
        <f t="shared" ca="1" si="2"/>
        <v/>
      </c>
      <c r="C248" s="51">
        <f t="shared" si="1"/>
        <v>245</v>
      </c>
    </row>
    <row r="249" spans="1:3" x14ac:dyDescent="0.25">
      <c r="A249" s="32">
        <v>44139</v>
      </c>
      <c r="B249" s="33" t="str">
        <f t="shared" ca="1" si="2"/>
        <v/>
      </c>
      <c r="C249" s="51">
        <f t="shared" si="1"/>
        <v>246</v>
      </c>
    </row>
    <row r="250" spans="1:3" x14ac:dyDescent="0.25">
      <c r="A250" s="32">
        <v>44140</v>
      </c>
      <c r="B250" s="33" t="str">
        <f t="shared" ca="1" si="2"/>
        <v/>
      </c>
      <c r="C250" s="51">
        <f t="shared" si="1"/>
        <v>247</v>
      </c>
    </row>
    <row r="251" spans="1:3" x14ac:dyDescent="0.25">
      <c r="A251" s="32">
        <v>44141</v>
      </c>
      <c r="B251" s="33" t="str">
        <f t="shared" ca="1" si="2"/>
        <v/>
      </c>
      <c r="C251" s="51">
        <f t="shared" si="1"/>
        <v>248</v>
      </c>
    </row>
    <row r="252" spans="1:3" x14ac:dyDescent="0.25">
      <c r="A252" s="61">
        <v>44142</v>
      </c>
      <c r="B252" s="62" t="str">
        <f t="shared" ca="1" si="2"/>
        <v/>
      </c>
      <c r="C252" s="12">
        <f t="shared" si="1"/>
        <v>249</v>
      </c>
    </row>
    <row r="253" spans="1:3" x14ac:dyDescent="0.25">
      <c r="A253" s="61">
        <v>44143</v>
      </c>
      <c r="B253" s="62" t="str">
        <f t="shared" ca="1" si="2"/>
        <v/>
      </c>
      <c r="C253" s="12">
        <f t="shared" si="1"/>
        <v>250</v>
      </c>
    </row>
    <row r="254" spans="1:3" x14ac:dyDescent="0.25">
      <c r="A254" s="32">
        <v>44144</v>
      </c>
      <c r="B254" s="33" t="str">
        <f t="shared" ca="1" si="2"/>
        <v/>
      </c>
      <c r="C254" s="51">
        <f t="shared" si="1"/>
        <v>251</v>
      </c>
    </row>
    <row r="255" spans="1:3" x14ac:dyDescent="0.25">
      <c r="A255" s="32">
        <v>44145</v>
      </c>
      <c r="B255" s="33" t="str">
        <f t="shared" ca="1" si="2"/>
        <v/>
      </c>
      <c r="C255" s="51">
        <f t="shared" si="1"/>
        <v>252</v>
      </c>
    </row>
    <row r="256" spans="1:3" x14ac:dyDescent="0.25">
      <c r="A256" s="32">
        <v>44146</v>
      </c>
      <c r="B256" s="33" t="str">
        <f t="shared" ca="1" si="2"/>
        <v/>
      </c>
      <c r="C256" s="51">
        <f t="shared" si="1"/>
        <v>253</v>
      </c>
    </row>
    <row r="257" spans="1:6" x14ac:dyDescent="0.25">
      <c r="A257" s="32">
        <v>44147</v>
      </c>
      <c r="B257" s="33" t="str">
        <f t="shared" ca="1" si="2"/>
        <v/>
      </c>
      <c r="C257" s="51">
        <f t="shared" si="1"/>
        <v>254</v>
      </c>
    </row>
    <row r="258" spans="1:6" x14ac:dyDescent="0.25">
      <c r="A258" s="32">
        <v>44148</v>
      </c>
      <c r="B258" s="33" t="str">
        <f t="shared" ca="1" si="2"/>
        <v/>
      </c>
      <c r="C258" s="51">
        <f t="shared" si="1"/>
        <v>255</v>
      </c>
    </row>
    <row r="259" spans="1:6" x14ac:dyDescent="0.25">
      <c r="A259" s="61">
        <v>44149</v>
      </c>
      <c r="B259" s="62" t="str">
        <f t="shared" ca="1" si="2"/>
        <v/>
      </c>
      <c r="C259" s="12">
        <f t="shared" si="1"/>
        <v>256</v>
      </c>
    </row>
    <row r="260" spans="1:6" x14ac:dyDescent="0.25">
      <c r="A260" s="61">
        <v>44150</v>
      </c>
      <c r="B260" s="62" t="str">
        <f t="shared" ca="1" si="2"/>
        <v/>
      </c>
      <c r="C260" s="12">
        <f t="shared" si="1"/>
        <v>257</v>
      </c>
    </row>
    <row r="261" spans="1:6" x14ac:dyDescent="0.25">
      <c r="A261" s="32">
        <v>44151</v>
      </c>
      <c r="B261" s="33" t="str">
        <f t="shared" ca="1" si="2"/>
        <v/>
      </c>
      <c r="C261" s="51">
        <f t="shared" si="1"/>
        <v>258</v>
      </c>
    </row>
    <row r="262" spans="1:6" x14ac:dyDescent="0.25">
      <c r="A262" s="32">
        <v>44152</v>
      </c>
      <c r="B262" s="33" t="str">
        <f t="shared" ca="1" si="2"/>
        <v/>
      </c>
      <c r="C262" s="51">
        <f t="shared" si="1"/>
        <v>259</v>
      </c>
    </row>
    <row r="263" spans="1:6" x14ac:dyDescent="0.25">
      <c r="A263" s="32">
        <v>44153</v>
      </c>
      <c r="B263" s="33" t="str">
        <f t="shared" ca="1" si="2"/>
        <v/>
      </c>
      <c r="C263" s="51">
        <f t="shared" si="1"/>
        <v>260</v>
      </c>
    </row>
    <row r="264" spans="1:6" x14ac:dyDescent="0.25">
      <c r="A264" s="32">
        <v>44154</v>
      </c>
      <c r="B264" s="33" t="str">
        <f t="shared" ca="1" si="2"/>
        <v/>
      </c>
      <c r="C264" s="51">
        <f t="shared" si="1"/>
        <v>261</v>
      </c>
    </row>
    <row r="265" spans="1:6" x14ac:dyDescent="0.25">
      <c r="A265" s="32">
        <v>44155</v>
      </c>
      <c r="B265" s="33" t="str">
        <f t="shared" ca="1" si="2"/>
        <v/>
      </c>
      <c r="C265" s="51">
        <f t="shared" si="1"/>
        <v>262</v>
      </c>
    </row>
    <row r="266" spans="1:6" x14ac:dyDescent="0.25">
      <c r="A266" s="61">
        <v>44156</v>
      </c>
      <c r="B266" s="62" t="str">
        <f t="shared" ca="1" si="2"/>
        <v/>
      </c>
      <c r="C266" s="12">
        <f t="shared" si="1"/>
        <v>263</v>
      </c>
    </row>
    <row r="267" spans="1:6" x14ac:dyDescent="0.25">
      <c r="A267" s="61">
        <v>44157</v>
      </c>
      <c r="B267" s="62" t="str">
        <f t="shared" ca="1" si="2"/>
        <v/>
      </c>
      <c r="C267" s="12">
        <f t="shared" si="1"/>
        <v>264</v>
      </c>
      <c r="D267" s="233">
        <f>DANE!G267</f>
        <v>861331</v>
      </c>
      <c r="E267" s="233">
        <f>DANE!H267</f>
        <v>861331</v>
      </c>
      <c r="F267" s="233">
        <f t="shared" ref="F267:F291" si="3">E267-D267</f>
        <v>0</v>
      </c>
    </row>
    <row r="268" spans="1:6" x14ac:dyDescent="0.25">
      <c r="A268" s="32">
        <v>44158</v>
      </c>
      <c r="B268" s="33" t="str">
        <f t="shared" ca="1" si="2"/>
        <v/>
      </c>
      <c r="C268" s="51">
        <f t="shared" si="1"/>
        <v>265</v>
      </c>
      <c r="D268" s="233">
        <f>DANE!G268</f>
        <v>898927</v>
      </c>
      <c r="E268" s="233">
        <f>DANE!H268</f>
        <v>876333</v>
      </c>
      <c r="F268" s="233">
        <f t="shared" si="3"/>
        <v>-22594</v>
      </c>
    </row>
    <row r="269" spans="1:6" x14ac:dyDescent="0.25">
      <c r="A269" s="32">
        <v>44159</v>
      </c>
      <c r="B269" s="33" t="str">
        <f t="shared" ca="1" si="2"/>
        <v/>
      </c>
      <c r="C269" s="51">
        <f t="shared" si="1"/>
        <v>266</v>
      </c>
      <c r="D269" s="233">
        <f>DANE!G269</f>
        <v>909060</v>
      </c>
      <c r="E269" s="233">
        <f>DANE!H269</f>
        <v>909066</v>
      </c>
      <c r="F269" s="233">
        <f t="shared" si="3"/>
        <v>6</v>
      </c>
    </row>
    <row r="270" spans="1:6" x14ac:dyDescent="0.25">
      <c r="A270" s="32">
        <v>44160</v>
      </c>
      <c r="B270" s="33" t="str">
        <f t="shared" ca="1" si="2"/>
        <v/>
      </c>
      <c r="C270" s="51">
        <f t="shared" si="1"/>
        <v>267</v>
      </c>
      <c r="D270" s="233">
        <f>DANE!G270</f>
        <v>924425</v>
      </c>
      <c r="E270" s="233">
        <f>DANE!H270</f>
        <v>924428</v>
      </c>
      <c r="F270" s="233">
        <f t="shared" si="3"/>
        <v>3</v>
      </c>
    </row>
    <row r="271" spans="1:6" x14ac:dyDescent="0.25">
      <c r="A271" s="32">
        <v>44161</v>
      </c>
      <c r="B271" s="33" t="str">
        <f t="shared" ca="1" si="2"/>
        <v/>
      </c>
      <c r="C271" s="51">
        <f t="shared" si="1"/>
        <v>268</v>
      </c>
      <c r="D271" s="233">
        <f>DANE!G271</f>
        <v>941356</v>
      </c>
      <c r="E271" s="233">
        <f>DANE!H271</f>
        <v>941115</v>
      </c>
      <c r="F271" s="233">
        <f t="shared" si="3"/>
        <v>-241</v>
      </c>
    </row>
    <row r="272" spans="1:6" x14ac:dyDescent="0.25">
      <c r="A272" s="32">
        <v>44162</v>
      </c>
      <c r="B272" s="33" t="str">
        <f t="shared" ca="1" si="2"/>
        <v/>
      </c>
      <c r="C272" s="51">
        <f t="shared" si="1"/>
        <v>269</v>
      </c>
      <c r="D272" s="233">
        <f>DANE!G272</f>
        <v>958415</v>
      </c>
      <c r="E272" s="233">
        <f>DANE!H272</f>
        <v>958175</v>
      </c>
      <c r="F272" s="233">
        <f t="shared" si="3"/>
        <v>-240</v>
      </c>
    </row>
    <row r="273" spans="1:6" x14ac:dyDescent="0.25">
      <c r="A273" s="61">
        <v>44163</v>
      </c>
      <c r="B273" s="62" t="str">
        <f t="shared" ca="1" si="2"/>
        <v/>
      </c>
      <c r="C273" s="12">
        <f t="shared" si="1"/>
        <v>270</v>
      </c>
      <c r="D273" s="233">
        <f>DANE!G273</f>
        <v>973592</v>
      </c>
      <c r="E273" s="233">
        <f>DANE!H273</f>
        <v>973353</v>
      </c>
      <c r="F273" s="233">
        <f t="shared" si="3"/>
        <v>-239</v>
      </c>
    </row>
    <row r="274" spans="1:6" x14ac:dyDescent="0.25">
      <c r="A274" s="61">
        <v>44164</v>
      </c>
      <c r="B274" s="62" t="str">
        <f t="shared" ca="1" si="2"/>
        <v/>
      </c>
      <c r="C274" s="12">
        <f t="shared" si="1"/>
        <v>271</v>
      </c>
      <c r="D274" s="233">
        <f>DANE!G274</f>
        <v>985075</v>
      </c>
      <c r="E274" s="233">
        <f>DANE!H274</f>
        <v>984836</v>
      </c>
      <c r="F274" s="233">
        <f t="shared" si="3"/>
        <v>-239</v>
      </c>
    </row>
    <row r="275" spans="1:6" x14ac:dyDescent="0.25">
      <c r="A275" s="32">
        <v>44165</v>
      </c>
      <c r="B275" s="33" t="str">
        <f t="shared" ca="1" si="2"/>
        <v/>
      </c>
      <c r="C275" s="51">
        <f t="shared" si="1"/>
        <v>272</v>
      </c>
      <c r="D275" s="233">
        <f>DANE!G275</f>
        <v>990811</v>
      </c>
      <c r="E275" s="233">
        <f>DANE!H275</f>
        <v>990569</v>
      </c>
      <c r="F275" s="233">
        <f t="shared" si="3"/>
        <v>-242</v>
      </c>
    </row>
    <row r="276" spans="1:6" x14ac:dyDescent="0.25">
      <c r="A276" s="32">
        <v>44166</v>
      </c>
      <c r="B276" s="33" t="str">
        <f t="shared" ca="1" si="2"/>
        <v/>
      </c>
      <c r="C276" s="51">
        <f t="shared" si="1"/>
        <v>273</v>
      </c>
      <c r="D276" s="233">
        <f>DANE!G276</f>
        <v>999924</v>
      </c>
      <c r="E276" s="233">
        <f>DANE!H276</f>
        <v>999674</v>
      </c>
      <c r="F276" s="233">
        <f t="shared" si="3"/>
        <v>-250</v>
      </c>
    </row>
    <row r="277" spans="1:6" x14ac:dyDescent="0.25">
      <c r="A277" s="32">
        <v>44167</v>
      </c>
      <c r="B277" s="33" t="str">
        <f t="shared" ca="1" si="2"/>
        <v/>
      </c>
      <c r="C277" s="51">
        <f t="shared" si="1"/>
        <v>274</v>
      </c>
      <c r="D277" s="233">
        <f>DANE!G277</f>
        <v>1013747</v>
      </c>
      <c r="E277" s="233">
        <f>DANE!H277</f>
        <v>1013529</v>
      </c>
      <c r="F277" s="233">
        <f t="shared" si="3"/>
        <v>-218</v>
      </c>
    </row>
    <row r="278" spans="1:6" x14ac:dyDescent="0.25">
      <c r="A278" s="32">
        <v>44168</v>
      </c>
      <c r="B278" s="33" t="str">
        <f t="shared" ca="1" si="2"/>
        <v/>
      </c>
      <c r="C278" s="51">
        <f t="shared" si="1"/>
        <v>275</v>
      </c>
      <c r="D278" s="233">
        <f>DANE!G278</f>
        <v>1028610</v>
      </c>
      <c r="E278" s="233">
        <f>DANE!H278</f>
        <v>1028367</v>
      </c>
      <c r="F278" s="233">
        <f t="shared" si="3"/>
        <v>-243</v>
      </c>
    </row>
    <row r="279" spans="1:6" x14ac:dyDescent="0.25">
      <c r="A279" s="32">
        <v>44169</v>
      </c>
      <c r="B279" s="33" t="str">
        <f t="shared" ca="1" si="2"/>
        <v/>
      </c>
      <c r="C279" s="51">
        <f t="shared" si="1"/>
        <v>276</v>
      </c>
      <c r="D279" s="233">
        <f>DANE!G279</f>
        <v>1041846</v>
      </c>
      <c r="E279" s="233">
        <f>DANE!H279</f>
        <v>1041606</v>
      </c>
      <c r="F279" s="233">
        <f t="shared" si="3"/>
        <v>-240</v>
      </c>
    </row>
    <row r="280" spans="1:6" x14ac:dyDescent="0.25">
      <c r="A280" s="61">
        <v>44170</v>
      </c>
      <c r="B280" s="62" t="str">
        <f t="shared" ca="1" si="2"/>
        <v/>
      </c>
      <c r="C280" s="12">
        <f t="shared" si="1"/>
        <v>277</v>
      </c>
      <c r="D280" s="233">
        <f>DANE!G280</f>
        <v>1054273</v>
      </c>
      <c r="E280" s="233">
        <f>DANE!H280</f>
        <v>1054036</v>
      </c>
      <c r="F280" s="233">
        <f t="shared" si="3"/>
        <v>-237</v>
      </c>
    </row>
    <row r="281" spans="1:6" x14ac:dyDescent="0.25">
      <c r="A281" s="61">
        <v>44171</v>
      </c>
      <c r="B281" s="62" t="str">
        <f t="shared" ca="1" si="2"/>
        <v/>
      </c>
      <c r="C281" s="12">
        <f t="shared" si="1"/>
        <v>278</v>
      </c>
      <c r="D281" s="233">
        <f>DANE!G281</f>
        <v>1063449</v>
      </c>
      <c r="E281" s="233">
        <f>DANE!H281</f>
        <v>1063212</v>
      </c>
      <c r="F281" s="233">
        <f t="shared" si="3"/>
        <v>-237</v>
      </c>
    </row>
    <row r="282" spans="1:6" x14ac:dyDescent="0.25">
      <c r="A282" s="32">
        <v>44172</v>
      </c>
      <c r="B282" s="33" t="str">
        <f t="shared" ca="1" si="2"/>
        <v/>
      </c>
      <c r="C282" s="51">
        <f t="shared" si="1"/>
        <v>279</v>
      </c>
      <c r="D282" s="233">
        <f>DANE!G282</f>
        <v>1067870</v>
      </c>
      <c r="E282" s="233">
        <f>DANE!H282</f>
        <v>1067635</v>
      </c>
      <c r="F282" s="233">
        <f t="shared" si="3"/>
        <v>-235</v>
      </c>
    </row>
    <row r="283" spans="1:6" x14ac:dyDescent="0.25">
      <c r="A283" s="32">
        <v>44173</v>
      </c>
      <c r="B283" s="33" t="str">
        <f t="shared" ca="1" si="2"/>
        <v/>
      </c>
      <c r="C283" s="51">
        <f t="shared" si="1"/>
        <v>280</v>
      </c>
      <c r="D283" s="233">
        <f>DANE!G283</f>
        <v>1076180</v>
      </c>
      <c r="E283" s="233">
        <f>DANE!H283</f>
        <v>1075947</v>
      </c>
      <c r="F283" s="233">
        <f t="shared" si="3"/>
        <v>-233</v>
      </c>
    </row>
    <row r="284" spans="1:6" x14ac:dyDescent="0.25">
      <c r="A284" s="32">
        <v>44174</v>
      </c>
      <c r="B284" s="33" t="str">
        <f t="shared" ca="1" si="2"/>
        <v/>
      </c>
      <c r="C284" s="51">
        <f t="shared" si="1"/>
        <v>281</v>
      </c>
      <c r="D284" s="233">
        <f>DANE!G284</f>
        <v>1088346</v>
      </c>
      <c r="E284" s="233">
        <f>DANE!H284</f>
        <v>1088115</v>
      </c>
      <c r="F284" s="233">
        <f t="shared" si="3"/>
        <v>-231</v>
      </c>
    </row>
    <row r="285" spans="1:6" x14ac:dyDescent="0.25">
      <c r="A285" s="32">
        <v>44175</v>
      </c>
      <c r="B285" s="33" t="str">
        <f t="shared" ca="1" si="2"/>
        <v/>
      </c>
      <c r="C285" s="51">
        <f t="shared" si="1"/>
        <v>282</v>
      </c>
      <c r="D285" s="233">
        <f>DANE!G285</f>
        <v>1102096</v>
      </c>
      <c r="E285" s="233">
        <f>DANE!H285</f>
        <v>1101864</v>
      </c>
      <c r="F285" s="233">
        <f t="shared" si="3"/>
        <v>-232</v>
      </c>
    </row>
    <row r="286" spans="1:6" x14ac:dyDescent="0.25">
      <c r="A286" s="32">
        <v>44176</v>
      </c>
      <c r="B286" s="33" t="str">
        <f t="shared" ca="1" si="2"/>
        <v/>
      </c>
      <c r="C286" s="51">
        <f t="shared" si="1"/>
        <v>283</v>
      </c>
      <c r="D286" s="233">
        <f>DANE!G286</f>
        <v>1115201</v>
      </c>
      <c r="E286" s="233">
        <f>DANE!H286</f>
        <v>1114974</v>
      </c>
      <c r="F286" s="233">
        <f t="shared" si="3"/>
        <v>-227</v>
      </c>
    </row>
    <row r="287" spans="1:6" x14ac:dyDescent="0.25">
      <c r="A287" s="61">
        <v>44177</v>
      </c>
      <c r="B287" s="33" t="str">
        <f t="shared" ca="1" si="2"/>
        <v/>
      </c>
      <c r="C287" s="51">
        <f t="shared" si="1"/>
        <v>284</v>
      </c>
      <c r="D287" s="233">
        <f>DANE!G287</f>
        <v>1126700</v>
      </c>
      <c r="E287" s="233">
        <f>DANE!H287</f>
        <v>1126471</v>
      </c>
      <c r="F287" s="233">
        <f t="shared" si="3"/>
        <v>-229</v>
      </c>
    </row>
    <row r="288" spans="1:6" x14ac:dyDescent="0.25">
      <c r="A288" s="61">
        <v>44178</v>
      </c>
      <c r="B288" s="33" t="str">
        <f t="shared" ca="1" si="2"/>
        <v/>
      </c>
      <c r="C288" s="51">
        <f t="shared" si="1"/>
        <v>285</v>
      </c>
      <c r="D288" s="233">
        <f>DANE!G288</f>
        <v>1135676</v>
      </c>
      <c r="E288" s="233">
        <f>DANE!H288</f>
        <v>1135448</v>
      </c>
      <c r="F288" s="233">
        <f t="shared" si="3"/>
        <v>-228</v>
      </c>
    </row>
    <row r="289" spans="1:6" x14ac:dyDescent="0.25">
      <c r="A289" s="32">
        <v>44179</v>
      </c>
      <c r="B289" s="33" t="str">
        <f t="shared" ca="1" si="2"/>
        <v/>
      </c>
      <c r="C289" s="51">
        <f t="shared" si="1"/>
        <v>286</v>
      </c>
      <c r="D289" s="233">
        <f>DANE!G289</f>
        <v>1140572</v>
      </c>
      <c r="E289" s="233">
        <f>DANE!H289</f>
        <v>1140344</v>
      </c>
      <c r="F289" s="233">
        <f t="shared" si="3"/>
        <v>-228</v>
      </c>
    </row>
    <row r="290" spans="1:6" x14ac:dyDescent="0.25">
      <c r="A290" s="32">
        <v>44180</v>
      </c>
      <c r="B290" s="33" t="str">
        <f t="shared" ca="1" si="2"/>
        <v/>
      </c>
      <c r="C290" s="51">
        <f t="shared" si="1"/>
        <v>287</v>
      </c>
      <c r="D290" s="233">
        <f>DANE!G290</f>
        <v>1147446</v>
      </c>
      <c r="E290" s="233">
        <f>DANE!H290</f>
        <v>1147251</v>
      </c>
      <c r="F290" s="233">
        <f t="shared" si="3"/>
        <v>-195</v>
      </c>
    </row>
    <row r="291" spans="1:6" x14ac:dyDescent="0.25">
      <c r="A291" s="32">
        <v>44181</v>
      </c>
      <c r="B291" s="33" t="str">
        <f t="shared" ca="1" si="2"/>
        <v/>
      </c>
      <c r="C291" s="51">
        <f t="shared" si="1"/>
        <v>288</v>
      </c>
      <c r="D291" s="233">
        <f>DANE!G291</f>
        <v>1159901</v>
      </c>
      <c r="E291" s="233">
        <f>DANE!H291</f>
        <v>1159705</v>
      </c>
      <c r="F291" s="233">
        <f t="shared" si="3"/>
        <v>-196</v>
      </c>
    </row>
    <row r="292" spans="1:6" x14ac:dyDescent="0.25">
      <c r="A292" s="32">
        <v>44182</v>
      </c>
      <c r="B292" s="33" t="str">
        <f t="shared" ca="1" si="2"/>
        <v/>
      </c>
      <c r="C292" s="51">
        <f t="shared" si="1"/>
        <v>289</v>
      </c>
      <c r="D292" s="233">
        <f>DANE!G292</f>
        <v>1171854</v>
      </c>
      <c r="E292" s="233">
        <f>DANE!H292</f>
        <v>1171658</v>
      </c>
      <c r="F292" s="233">
        <f t="shared" ref="F292:F296" si="4">IF(ISBLANK(D292),,E292-D292)</f>
        <v>-196</v>
      </c>
    </row>
    <row r="293" spans="1:6" x14ac:dyDescent="0.25">
      <c r="A293" s="32">
        <v>44183</v>
      </c>
      <c r="B293" s="33" t="str">
        <f t="shared" ca="1" si="2"/>
        <v/>
      </c>
      <c r="C293" s="51">
        <f t="shared" si="1"/>
        <v>290</v>
      </c>
      <c r="D293" s="233">
        <f>DANE!G293</f>
        <v>1182864</v>
      </c>
      <c r="E293" s="233">
        <f>DANE!H293</f>
        <v>1182671</v>
      </c>
      <c r="F293" s="233">
        <f t="shared" si="4"/>
        <v>-193</v>
      </c>
    </row>
    <row r="294" spans="1:6" x14ac:dyDescent="0.25">
      <c r="A294" s="32">
        <v>44184</v>
      </c>
      <c r="B294" s="33" t="str">
        <f t="shared" ca="1" si="2"/>
        <v/>
      </c>
      <c r="C294" s="51">
        <f t="shared" si="1"/>
        <v>291</v>
      </c>
      <c r="D294" s="233">
        <f>DANE!G294</f>
        <v>1194110</v>
      </c>
      <c r="E294" s="233">
        <f>DANE!H294</f>
        <v>1193938</v>
      </c>
      <c r="F294" s="233">
        <f t="shared" si="4"/>
        <v>-172</v>
      </c>
    </row>
    <row r="295" spans="1:6" x14ac:dyDescent="0.25">
      <c r="A295" s="32">
        <v>44185</v>
      </c>
      <c r="B295" s="33" t="str">
        <f t="shared" ca="1" si="2"/>
        <v/>
      </c>
      <c r="C295" s="51">
        <f t="shared" si="1"/>
        <v>292</v>
      </c>
      <c r="D295" s="233">
        <f>DANE!G295</f>
        <v>1202700</v>
      </c>
      <c r="E295" s="233">
        <f>DANE!H295</f>
        <v>1202532</v>
      </c>
      <c r="F295" s="233">
        <f t="shared" si="4"/>
        <v>-168</v>
      </c>
    </row>
    <row r="296" spans="1:6" x14ac:dyDescent="0.25">
      <c r="A296" s="32">
        <v>44186</v>
      </c>
      <c r="B296" s="33" t="e">
        <f t="shared" ca="1" si="2"/>
        <v>#NUM!</v>
      </c>
      <c r="C296" s="51">
        <f t="shared" si="1"/>
        <v>293</v>
      </c>
      <c r="D296" s="233">
        <f>DANE!G296</f>
        <v>0</v>
      </c>
      <c r="E296" s="233">
        <f>DANE!H296</f>
        <v>0</v>
      </c>
      <c r="F296" s="233">
        <f t="shared" si="4"/>
        <v>0</v>
      </c>
    </row>
    <row r="297" spans="1:6" x14ac:dyDescent="0.25">
      <c r="A297" s="147"/>
      <c r="B297" s="147"/>
      <c r="C297" s="160"/>
    </row>
    <row r="298" spans="1:6" x14ac:dyDescent="0.25">
      <c r="A298" s="147"/>
      <c r="B298" s="147"/>
      <c r="C298" s="160"/>
    </row>
    <row r="299" spans="1:6" x14ac:dyDescent="0.25">
      <c r="A299" s="147"/>
      <c r="B299" s="147"/>
      <c r="C299" s="160"/>
    </row>
    <row r="300" spans="1:6" x14ac:dyDescent="0.25">
      <c r="A300" s="147"/>
      <c r="B300" s="147"/>
      <c r="C300" s="160"/>
    </row>
    <row r="301" spans="1:6" x14ac:dyDescent="0.25">
      <c r="A301" s="147"/>
      <c r="B301" s="147"/>
      <c r="C301" s="160"/>
    </row>
    <row r="302" spans="1:6" x14ac:dyDescent="0.25">
      <c r="A302" s="147"/>
      <c r="B302" s="147"/>
      <c r="C302" s="160"/>
    </row>
    <row r="303" spans="1:6" x14ac:dyDescent="0.25">
      <c r="A303" s="147"/>
      <c r="B303" s="147"/>
      <c r="C303" s="160"/>
    </row>
    <row r="304" spans="1:6" x14ac:dyDescent="0.25">
      <c r="A304" s="147"/>
      <c r="B304" s="147"/>
      <c r="C304" s="160"/>
    </row>
    <row r="305" spans="1:3" x14ac:dyDescent="0.25">
      <c r="A305" s="147"/>
      <c r="B305" s="147"/>
      <c r="C305" s="160"/>
    </row>
    <row r="306" spans="1:3" x14ac:dyDescent="0.25">
      <c r="A306" s="147"/>
      <c r="B306" s="147"/>
      <c r="C306" s="160"/>
    </row>
    <row r="307" spans="1:3" x14ac:dyDescent="0.25">
      <c r="A307" s="147"/>
      <c r="B307" s="147"/>
      <c r="C307" s="160"/>
    </row>
    <row r="308" spans="1:3" x14ac:dyDescent="0.25">
      <c r="A308" s="147"/>
      <c r="B308" s="147"/>
      <c r="C308" s="160"/>
    </row>
    <row r="309" spans="1:3" x14ac:dyDescent="0.25">
      <c r="A309" s="147"/>
      <c r="B309" s="147"/>
      <c r="C309" s="160"/>
    </row>
    <row r="310" spans="1:3" x14ac:dyDescent="0.25">
      <c r="A310" s="147"/>
      <c r="B310" s="147"/>
      <c r="C310" s="160"/>
    </row>
    <row r="311" spans="1:3" x14ac:dyDescent="0.25">
      <c r="A311" s="147"/>
      <c r="B311" s="147"/>
      <c r="C311" s="160"/>
    </row>
    <row r="312" spans="1:3" x14ac:dyDescent="0.25">
      <c r="A312" s="147"/>
      <c r="B312" s="147"/>
      <c r="C312" s="160"/>
    </row>
    <row r="313" spans="1:3" x14ac:dyDescent="0.25">
      <c r="A313" s="147"/>
      <c r="B313" s="147"/>
      <c r="C313" s="160"/>
    </row>
    <row r="314" spans="1:3" x14ac:dyDescent="0.25">
      <c r="A314" s="147"/>
      <c r="B314" s="147"/>
      <c r="C314" s="160"/>
    </row>
    <row r="315" spans="1:3" x14ac:dyDescent="0.25">
      <c r="A315" s="147"/>
      <c r="B315" s="147"/>
      <c r="C315" s="160"/>
    </row>
    <row r="316" spans="1:3" x14ac:dyDescent="0.25">
      <c r="A316" s="147"/>
      <c r="B316" s="147"/>
      <c r="C316" s="160"/>
    </row>
    <row r="317" spans="1:3" x14ac:dyDescent="0.25">
      <c r="A317" s="147"/>
      <c r="B317" s="147"/>
      <c r="C317" s="160"/>
    </row>
    <row r="318" spans="1:3" x14ac:dyDescent="0.25">
      <c r="A318" s="147"/>
      <c r="B318" s="147"/>
      <c r="C318" s="160"/>
    </row>
    <row r="319" spans="1:3" x14ac:dyDescent="0.25">
      <c r="A319" s="147"/>
      <c r="B319" s="147"/>
      <c r="C319" s="160"/>
    </row>
    <row r="320" spans="1:3" x14ac:dyDescent="0.25">
      <c r="A320" s="147"/>
      <c r="B320" s="147"/>
      <c r="C320" s="160"/>
    </row>
    <row r="321" spans="1:3" x14ac:dyDescent="0.25">
      <c r="A321" s="147"/>
      <c r="B321" s="147"/>
      <c r="C321" s="160"/>
    </row>
    <row r="322" spans="1:3" x14ac:dyDescent="0.25">
      <c r="A322" s="147"/>
      <c r="B322" s="147"/>
      <c r="C322" s="160"/>
    </row>
    <row r="323" spans="1:3" x14ac:dyDescent="0.25">
      <c r="A323" s="147"/>
      <c r="B323" s="147"/>
      <c r="C323" s="160"/>
    </row>
    <row r="324" spans="1:3" x14ac:dyDescent="0.25">
      <c r="A324" s="147"/>
      <c r="B324" s="147"/>
      <c r="C324" s="160"/>
    </row>
    <row r="325" spans="1:3" x14ac:dyDescent="0.25">
      <c r="A325" s="147"/>
      <c r="B325" s="147"/>
      <c r="C325" s="160"/>
    </row>
    <row r="326" spans="1:3" x14ac:dyDescent="0.25">
      <c r="A326" s="147"/>
      <c r="B326" s="147"/>
      <c r="C326" s="160"/>
    </row>
    <row r="327" spans="1:3" x14ac:dyDescent="0.25">
      <c r="A327" s="147"/>
      <c r="B327" s="147"/>
      <c r="C327" s="160"/>
    </row>
    <row r="328" spans="1:3" x14ac:dyDescent="0.25">
      <c r="A328" s="147"/>
      <c r="B328" s="147"/>
      <c r="C328" s="160"/>
    </row>
    <row r="329" spans="1:3" x14ac:dyDescent="0.25">
      <c r="A329" s="147"/>
      <c r="B329" s="147"/>
      <c r="C329" s="160"/>
    </row>
    <row r="330" spans="1:3" x14ac:dyDescent="0.25">
      <c r="A330" s="147"/>
      <c r="B330" s="147"/>
      <c r="C330" s="160"/>
    </row>
    <row r="331" spans="1:3" x14ac:dyDescent="0.25">
      <c r="A331" s="147"/>
      <c r="B331" s="147"/>
      <c r="C331" s="160"/>
    </row>
    <row r="332" spans="1:3" x14ac:dyDescent="0.25">
      <c r="A332" s="147"/>
      <c r="B332" s="147"/>
      <c r="C332" s="160"/>
    </row>
    <row r="333" spans="1:3" x14ac:dyDescent="0.25">
      <c r="A333" s="147"/>
      <c r="B333" s="147"/>
      <c r="C333" s="160"/>
    </row>
    <row r="334" spans="1:3" x14ac:dyDescent="0.25">
      <c r="A334" s="147"/>
      <c r="B334" s="147"/>
      <c r="C334" s="160"/>
    </row>
    <row r="335" spans="1:3" x14ac:dyDescent="0.25">
      <c r="A335" s="147"/>
      <c r="B335" s="147"/>
      <c r="C335" s="160"/>
    </row>
    <row r="336" spans="1:3" x14ac:dyDescent="0.25">
      <c r="A336" s="147"/>
      <c r="B336" s="147"/>
      <c r="C336" s="160"/>
    </row>
    <row r="337" spans="1:3" x14ac:dyDescent="0.25">
      <c r="A337" s="147"/>
      <c r="B337" s="147"/>
      <c r="C337" s="160"/>
    </row>
    <row r="338" spans="1:3" x14ac:dyDescent="0.25">
      <c r="A338" s="147"/>
      <c r="B338" s="147"/>
      <c r="C338" s="160"/>
    </row>
    <row r="339" spans="1:3" x14ac:dyDescent="0.25">
      <c r="A339" s="147"/>
      <c r="B339" s="147"/>
      <c r="C339" s="160"/>
    </row>
    <row r="340" spans="1:3" x14ac:dyDescent="0.25">
      <c r="A340" s="147"/>
      <c r="B340" s="147"/>
      <c r="C340" s="160"/>
    </row>
    <row r="341" spans="1:3" x14ac:dyDescent="0.25">
      <c r="A341" s="147"/>
      <c r="B341" s="147"/>
      <c r="C341" s="160"/>
    </row>
    <row r="342" spans="1:3" x14ac:dyDescent="0.25">
      <c r="A342" s="147"/>
      <c r="B342" s="147"/>
      <c r="C342" s="160"/>
    </row>
    <row r="343" spans="1:3" x14ac:dyDescent="0.25">
      <c r="A343" s="147"/>
      <c r="B343" s="147"/>
      <c r="C343" s="160"/>
    </row>
    <row r="344" spans="1:3" x14ac:dyDescent="0.25">
      <c r="A344" s="147"/>
      <c r="B344" s="147"/>
      <c r="C344" s="160"/>
    </row>
    <row r="345" spans="1:3" x14ac:dyDescent="0.25">
      <c r="A345" s="147"/>
      <c r="B345" s="147"/>
      <c r="C345" s="160"/>
    </row>
    <row r="346" spans="1:3" x14ac:dyDescent="0.25">
      <c r="A346" s="147"/>
      <c r="B346" s="147"/>
      <c r="C346" s="160"/>
    </row>
    <row r="347" spans="1:3" x14ac:dyDescent="0.25">
      <c r="A347" s="147"/>
      <c r="B347" s="147"/>
      <c r="C347" s="160"/>
    </row>
    <row r="348" spans="1:3" x14ac:dyDescent="0.25">
      <c r="A348" s="147"/>
      <c r="B348" s="147"/>
      <c r="C348" s="160"/>
    </row>
    <row r="349" spans="1:3" x14ac:dyDescent="0.25">
      <c r="A349" s="147"/>
      <c r="B349" s="147"/>
      <c r="C349" s="160"/>
    </row>
    <row r="350" spans="1:3" x14ac:dyDescent="0.25">
      <c r="A350" s="147"/>
      <c r="B350" s="147"/>
      <c r="C350" s="160"/>
    </row>
    <row r="351" spans="1:3" x14ac:dyDescent="0.25">
      <c r="A351" s="147"/>
      <c r="B351" s="147"/>
      <c r="C351" s="160"/>
    </row>
    <row r="352" spans="1:3" x14ac:dyDescent="0.25">
      <c r="A352" s="147"/>
      <c r="B352" s="147"/>
      <c r="C352" s="160"/>
    </row>
    <row r="353" spans="1:3" x14ac:dyDescent="0.25">
      <c r="A353" s="147"/>
      <c r="B353" s="147"/>
      <c r="C353" s="160"/>
    </row>
    <row r="354" spans="1:3" x14ac:dyDescent="0.25">
      <c r="A354" s="147"/>
      <c r="B354" s="147"/>
      <c r="C354" s="160"/>
    </row>
    <row r="355" spans="1:3" x14ac:dyDescent="0.25">
      <c r="A355" s="147"/>
      <c r="B355" s="147"/>
      <c r="C355" s="160"/>
    </row>
    <row r="356" spans="1:3" x14ac:dyDescent="0.25">
      <c r="A356" s="147"/>
      <c r="B356" s="147"/>
      <c r="C356" s="160"/>
    </row>
    <row r="357" spans="1:3" x14ac:dyDescent="0.25">
      <c r="A357" s="147"/>
      <c r="B357" s="147"/>
      <c r="C357" s="160"/>
    </row>
    <row r="358" spans="1:3" x14ac:dyDescent="0.25">
      <c r="A358" s="147"/>
      <c r="B358" s="147"/>
      <c r="C358" s="160"/>
    </row>
    <row r="359" spans="1:3" x14ac:dyDescent="0.25">
      <c r="A359" s="147"/>
      <c r="B359" s="147"/>
      <c r="C359" s="160"/>
    </row>
    <row r="360" spans="1:3" x14ac:dyDescent="0.25">
      <c r="A360" s="147"/>
      <c r="B360" s="147"/>
      <c r="C360" s="160"/>
    </row>
    <row r="361" spans="1:3" x14ac:dyDescent="0.25">
      <c r="A361" s="147"/>
      <c r="B361" s="147"/>
      <c r="C361" s="160"/>
    </row>
    <row r="362" spans="1:3" x14ac:dyDescent="0.25">
      <c r="A362" s="147"/>
      <c r="B362" s="147"/>
      <c r="C362" s="160"/>
    </row>
    <row r="363" spans="1:3" x14ac:dyDescent="0.25">
      <c r="A363" s="147"/>
      <c r="B363" s="147"/>
      <c r="C363" s="160"/>
    </row>
    <row r="364" spans="1:3" x14ac:dyDescent="0.25">
      <c r="A364" s="147"/>
      <c r="B364" s="147"/>
      <c r="C364" s="160"/>
    </row>
    <row r="365" spans="1:3" x14ac:dyDescent="0.25">
      <c r="A365" s="147"/>
      <c r="B365" s="147"/>
      <c r="C365" s="160"/>
    </row>
    <row r="366" spans="1:3" x14ac:dyDescent="0.25">
      <c r="A366" s="147"/>
      <c r="B366" s="147"/>
      <c r="C366" s="160"/>
    </row>
    <row r="367" spans="1:3" x14ac:dyDescent="0.25">
      <c r="A367" s="147"/>
      <c r="B367" s="147"/>
      <c r="C367" s="160"/>
    </row>
    <row r="368" spans="1:3" x14ac:dyDescent="0.25">
      <c r="A368" s="147"/>
      <c r="B368" s="147"/>
      <c r="C368" s="160"/>
    </row>
    <row r="369" spans="1:3" x14ac:dyDescent="0.25">
      <c r="A369" s="147"/>
      <c r="B369" s="147"/>
      <c r="C369" s="160"/>
    </row>
    <row r="370" spans="1:3" x14ac:dyDescent="0.25">
      <c r="A370" s="147"/>
      <c r="B370" s="147"/>
      <c r="C370" s="160"/>
    </row>
    <row r="371" spans="1:3" x14ac:dyDescent="0.25">
      <c r="A371" s="147"/>
      <c r="B371" s="147"/>
      <c r="C371" s="160"/>
    </row>
    <row r="372" spans="1:3" x14ac:dyDescent="0.25">
      <c r="A372" s="147"/>
      <c r="B372" s="147"/>
      <c r="C372" s="160"/>
    </row>
    <row r="373" spans="1:3" x14ac:dyDescent="0.25">
      <c r="A373" s="147"/>
      <c r="B373" s="147"/>
      <c r="C373" s="160"/>
    </row>
    <row r="374" spans="1:3" x14ac:dyDescent="0.25">
      <c r="A374" s="147"/>
      <c r="B374" s="147"/>
      <c r="C374" s="160"/>
    </row>
    <row r="375" spans="1:3" x14ac:dyDescent="0.25">
      <c r="A375" s="147"/>
      <c r="B375" s="147"/>
      <c r="C375" s="160"/>
    </row>
    <row r="376" spans="1:3" x14ac:dyDescent="0.25">
      <c r="A376" s="147"/>
      <c r="B376" s="147"/>
      <c r="C376" s="160"/>
    </row>
    <row r="377" spans="1:3" x14ac:dyDescent="0.25">
      <c r="A377" s="147"/>
      <c r="B377" s="147"/>
      <c r="C377" s="160"/>
    </row>
    <row r="378" spans="1:3" x14ac:dyDescent="0.25">
      <c r="A378" s="147"/>
      <c r="B378" s="147"/>
      <c r="C378" s="160"/>
    </row>
    <row r="379" spans="1:3" x14ac:dyDescent="0.25">
      <c r="A379" s="147"/>
      <c r="B379" s="147"/>
      <c r="C379" s="160"/>
    </row>
    <row r="380" spans="1:3" x14ac:dyDescent="0.25">
      <c r="A380" s="147"/>
      <c r="B380" s="147"/>
      <c r="C380" s="160"/>
    </row>
    <row r="381" spans="1:3" x14ac:dyDescent="0.25">
      <c r="A381" s="147"/>
      <c r="B381" s="147"/>
      <c r="C381" s="160"/>
    </row>
    <row r="382" spans="1:3" x14ac:dyDescent="0.25">
      <c r="A382" s="147"/>
      <c r="B382" s="147"/>
      <c r="C382" s="160"/>
    </row>
    <row r="383" spans="1:3" x14ac:dyDescent="0.25">
      <c r="A383" s="147"/>
      <c r="B383" s="147"/>
      <c r="C383" s="160"/>
    </row>
    <row r="384" spans="1:3" x14ac:dyDescent="0.25">
      <c r="A384" s="147"/>
      <c r="B384" s="147"/>
      <c r="C384" s="160"/>
    </row>
    <row r="385" spans="1:3" x14ac:dyDescent="0.25">
      <c r="A385" s="147"/>
      <c r="B385" s="147"/>
      <c r="C385" s="160"/>
    </row>
    <row r="386" spans="1:3" x14ac:dyDescent="0.25">
      <c r="A386" s="147"/>
      <c r="B386" s="147"/>
      <c r="C386" s="160"/>
    </row>
    <row r="387" spans="1:3" x14ac:dyDescent="0.25">
      <c r="A387" s="147"/>
      <c r="B387" s="147"/>
      <c r="C387" s="160"/>
    </row>
    <row r="388" spans="1:3" x14ac:dyDescent="0.25">
      <c r="A388" s="147"/>
      <c r="B388" s="147"/>
      <c r="C388" s="160"/>
    </row>
    <row r="389" spans="1:3" x14ac:dyDescent="0.25">
      <c r="A389" s="147"/>
      <c r="B389" s="147"/>
      <c r="C389" s="160"/>
    </row>
    <row r="390" spans="1:3" x14ac:dyDescent="0.25">
      <c r="A390" s="147"/>
      <c r="B390" s="147"/>
      <c r="C390" s="160"/>
    </row>
    <row r="391" spans="1:3" x14ac:dyDescent="0.25">
      <c r="A391" s="147"/>
      <c r="B391" s="147"/>
      <c r="C391" s="160"/>
    </row>
    <row r="392" spans="1:3" x14ac:dyDescent="0.25">
      <c r="A392" s="147"/>
      <c r="B392" s="147"/>
      <c r="C392" s="160"/>
    </row>
    <row r="393" spans="1:3" x14ac:dyDescent="0.25">
      <c r="A393" s="147"/>
      <c r="B393" s="147"/>
      <c r="C393" s="160"/>
    </row>
    <row r="394" spans="1:3" x14ac:dyDescent="0.25">
      <c r="A394" s="147"/>
      <c r="B394" s="147"/>
      <c r="C394" s="160"/>
    </row>
    <row r="395" spans="1:3" x14ac:dyDescent="0.25">
      <c r="A395" s="147"/>
      <c r="B395" s="147"/>
      <c r="C395" s="160"/>
    </row>
    <row r="396" spans="1:3" x14ac:dyDescent="0.25">
      <c r="A396" s="147"/>
      <c r="B396" s="147"/>
      <c r="C396" s="160"/>
    </row>
    <row r="397" spans="1:3" x14ac:dyDescent="0.25">
      <c r="A397" s="147"/>
      <c r="B397" s="147"/>
      <c r="C397" s="160"/>
    </row>
    <row r="398" spans="1:3" x14ac:dyDescent="0.25">
      <c r="A398" s="147"/>
      <c r="B398" s="147"/>
      <c r="C398" s="160"/>
    </row>
    <row r="399" spans="1:3" x14ac:dyDescent="0.25">
      <c r="A399" s="147"/>
      <c r="B399" s="147"/>
      <c r="C399" s="160"/>
    </row>
    <row r="400" spans="1:3" x14ac:dyDescent="0.25">
      <c r="A400" s="147"/>
      <c r="B400" s="147"/>
      <c r="C400" s="160"/>
    </row>
    <row r="401" spans="1:3" x14ac:dyDescent="0.25">
      <c r="A401" s="147"/>
      <c r="B401" s="147"/>
      <c r="C401" s="160"/>
    </row>
    <row r="402" spans="1:3" x14ac:dyDescent="0.25">
      <c r="A402" s="147"/>
      <c r="B402" s="147"/>
      <c r="C402" s="160"/>
    </row>
    <row r="403" spans="1:3" x14ac:dyDescent="0.25">
      <c r="A403" s="147"/>
      <c r="B403" s="147"/>
      <c r="C403" s="160"/>
    </row>
    <row r="404" spans="1:3" x14ac:dyDescent="0.25">
      <c r="A404" s="147"/>
      <c r="B404" s="147"/>
      <c r="C404" s="160"/>
    </row>
    <row r="405" spans="1:3" x14ac:dyDescent="0.25">
      <c r="A405" s="147"/>
      <c r="B405" s="147"/>
      <c r="C405" s="160"/>
    </row>
    <row r="406" spans="1:3" x14ac:dyDescent="0.25">
      <c r="A406" s="147"/>
      <c r="B406" s="147"/>
      <c r="C406" s="160"/>
    </row>
    <row r="407" spans="1:3" x14ac:dyDescent="0.25">
      <c r="A407" s="147"/>
      <c r="B407" s="147"/>
      <c r="C407" s="160"/>
    </row>
    <row r="408" spans="1:3" x14ac:dyDescent="0.25">
      <c r="A408" s="147"/>
      <c r="B408" s="147"/>
      <c r="C408" s="160"/>
    </row>
    <row r="409" spans="1:3" x14ac:dyDescent="0.25">
      <c r="A409" s="147"/>
      <c r="B409" s="147"/>
      <c r="C409" s="160"/>
    </row>
    <row r="410" spans="1:3" x14ac:dyDescent="0.25">
      <c r="A410" s="147"/>
      <c r="B410" s="147"/>
      <c r="C410" s="160"/>
    </row>
    <row r="411" spans="1:3" x14ac:dyDescent="0.25">
      <c r="A411" s="147"/>
      <c r="B411" s="147"/>
      <c r="C411" s="160"/>
    </row>
    <row r="412" spans="1:3" x14ac:dyDescent="0.25">
      <c r="A412" s="147"/>
      <c r="B412" s="147"/>
      <c r="C412" s="160"/>
    </row>
    <row r="413" spans="1:3" x14ac:dyDescent="0.25">
      <c r="A413" s="147"/>
      <c r="B413" s="147"/>
      <c r="C413" s="160"/>
    </row>
    <row r="414" spans="1:3" x14ac:dyDescent="0.25">
      <c r="A414" s="147"/>
      <c r="B414" s="147"/>
      <c r="C414" s="160"/>
    </row>
    <row r="415" spans="1:3" x14ac:dyDescent="0.25">
      <c r="A415" s="147"/>
      <c r="B415" s="147"/>
      <c r="C415" s="160"/>
    </row>
    <row r="416" spans="1:3" x14ac:dyDescent="0.25">
      <c r="A416" s="147"/>
      <c r="B416" s="147"/>
      <c r="C416" s="160"/>
    </row>
    <row r="417" spans="1:3" x14ac:dyDescent="0.25">
      <c r="A417" s="147"/>
      <c r="B417" s="147"/>
      <c r="C417" s="160"/>
    </row>
    <row r="418" spans="1:3" x14ac:dyDescent="0.25">
      <c r="A418" s="147"/>
      <c r="B418" s="147"/>
      <c r="C418" s="160"/>
    </row>
    <row r="419" spans="1:3" x14ac:dyDescent="0.25">
      <c r="A419" s="147"/>
      <c r="B419" s="147"/>
      <c r="C419" s="160"/>
    </row>
    <row r="420" spans="1:3" x14ac:dyDescent="0.25">
      <c r="A420" s="147"/>
      <c r="B420" s="147"/>
      <c r="C420" s="160"/>
    </row>
    <row r="421" spans="1:3" x14ac:dyDescent="0.25">
      <c r="A421" s="147"/>
      <c r="B421" s="147"/>
      <c r="C421" s="160"/>
    </row>
    <row r="422" spans="1:3" x14ac:dyDescent="0.25">
      <c r="A422" s="147"/>
      <c r="B422" s="147"/>
      <c r="C422" s="160"/>
    </row>
    <row r="423" spans="1:3" x14ac:dyDescent="0.25">
      <c r="A423" s="147"/>
      <c r="B423" s="147"/>
      <c r="C423" s="160"/>
    </row>
    <row r="424" spans="1:3" x14ac:dyDescent="0.25">
      <c r="A424" s="147"/>
      <c r="B424" s="147"/>
      <c r="C424" s="160"/>
    </row>
    <row r="425" spans="1:3" x14ac:dyDescent="0.25">
      <c r="A425" s="147"/>
      <c r="B425" s="147"/>
      <c r="C425" s="160"/>
    </row>
    <row r="426" spans="1:3" x14ac:dyDescent="0.25">
      <c r="A426" s="147"/>
      <c r="B426" s="147"/>
      <c r="C426" s="160"/>
    </row>
    <row r="427" spans="1:3" x14ac:dyDescent="0.25">
      <c r="A427" s="147"/>
      <c r="B427" s="147"/>
      <c r="C427" s="160"/>
    </row>
    <row r="428" spans="1:3" x14ac:dyDescent="0.25">
      <c r="A428" s="147"/>
      <c r="B428" s="147"/>
      <c r="C428" s="160"/>
    </row>
    <row r="429" spans="1:3" x14ac:dyDescent="0.25">
      <c r="A429" s="147"/>
      <c r="B429" s="147"/>
      <c r="C429" s="160"/>
    </row>
    <row r="430" spans="1:3" x14ac:dyDescent="0.25">
      <c r="A430" s="147"/>
      <c r="B430" s="147"/>
      <c r="C430" s="160"/>
    </row>
    <row r="431" spans="1:3" x14ac:dyDescent="0.25">
      <c r="A431" s="147"/>
      <c r="B431" s="147"/>
      <c r="C431" s="160"/>
    </row>
    <row r="432" spans="1:3" x14ac:dyDescent="0.25">
      <c r="A432" s="147"/>
      <c r="B432" s="147"/>
      <c r="C432" s="160"/>
    </row>
    <row r="433" spans="1:3" x14ac:dyDescent="0.25">
      <c r="A433" s="147"/>
      <c r="B433" s="147"/>
      <c r="C433" s="160"/>
    </row>
    <row r="434" spans="1:3" x14ac:dyDescent="0.25">
      <c r="A434" s="147"/>
      <c r="B434" s="147"/>
      <c r="C434" s="160"/>
    </row>
    <row r="435" spans="1:3" x14ac:dyDescent="0.25">
      <c r="A435" s="147"/>
      <c r="B435" s="147"/>
      <c r="C435" s="160"/>
    </row>
    <row r="436" spans="1:3" x14ac:dyDescent="0.25">
      <c r="A436" s="147"/>
      <c r="B436" s="147"/>
      <c r="C436" s="160"/>
    </row>
    <row r="437" spans="1:3" x14ac:dyDescent="0.25">
      <c r="A437" s="147"/>
      <c r="B437" s="147"/>
      <c r="C437" s="160"/>
    </row>
    <row r="438" spans="1:3" x14ac:dyDescent="0.25">
      <c r="A438" s="147"/>
      <c r="B438" s="147"/>
      <c r="C438" s="160"/>
    </row>
    <row r="439" spans="1:3" x14ac:dyDescent="0.25">
      <c r="A439" s="147"/>
      <c r="B439" s="147"/>
      <c r="C439" s="160"/>
    </row>
    <row r="440" spans="1:3" x14ac:dyDescent="0.25">
      <c r="A440" s="147"/>
      <c r="B440" s="147"/>
      <c r="C440" s="160"/>
    </row>
    <row r="441" spans="1:3" x14ac:dyDescent="0.25">
      <c r="A441" s="147"/>
      <c r="B441" s="147"/>
      <c r="C441" s="160"/>
    </row>
    <row r="442" spans="1:3" x14ac:dyDescent="0.25">
      <c r="A442" s="147"/>
      <c r="B442" s="147"/>
      <c r="C442" s="160"/>
    </row>
    <row r="443" spans="1:3" x14ac:dyDescent="0.25">
      <c r="A443" s="147"/>
      <c r="B443" s="147"/>
      <c r="C443" s="160"/>
    </row>
    <row r="444" spans="1:3" x14ac:dyDescent="0.25">
      <c r="A444" s="147"/>
      <c r="B444" s="147"/>
      <c r="C444" s="160"/>
    </row>
    <row r="445" spans="1:3" x14ac:dyDescent="0.25">
      <c r="A445" s="147"/>
      <c r="B445" s="147"/>
      <c r="C445" s="160"/>
    </row>
    <row r="446" spans="1:3" x14ac:dyDescent="0.25">
      <c r="A446" s="147"/>
      <c r="B446" s="147"/>
      <c r="C446" s="160"/>
    </row>
    <row r="447" spans="1:3" x14ac:dyDescent="0.25">
      <c r="A447" s="147"/>
      <c r="B447" s="147"/>
      <c r="C447" s="160"/>
    </row>
    <row r="448" spans="1:3" x14ac:dyDescent="0.25">
      <c r="A448" s="147"/>
      <c r="B448" s="147"/>
      <c r="C448" s="160"/>
    </row>
    <row r="449" spans="1:3" x14ac:dyDescent="0.25">
      <c r="A449" s="147"/>
      <c r="B449" s="147"/>
      <c r="C449" s="160"/>
    </row>
    <row r="450" spans="1:3" x14ac:dyDescent="0.25">
      <c r="A450" s="147"/>
      <c r="B450" s="147"/>
      <c r="C450" s="160"/>
    </row>
    <row r="451" spans="1:3" x14ac:dyDescent="0.25">
      <c r="A451" s="147"/>
      <c r="B451" s="147"/>
      <c r="C451" s="160"/>
    </row>
    <row r="452" spans="1:3" x14ac:dyDescent="0.25">
      <c r="A452" s="147"/>
      <c r="B452" s="147"/>
      <c r="C452" s="160"/>
    </row>
    <row r="453" spans="1:3" x14ac:dyDescent="0.25">
      <c r="A453" s="147"/>
      <c r="B453" s="147"/>
      <c r="C453" s="160"/>
    </row>
    <row r="454" spans="1:3" x14ac:dyDescent="0.25">
      <c r="A454" s="147"/>
      <c r="B454" s="147"/>
      <c r="C454" s="160"/>
    </row>
    <row r="455" spans="1:3" x14ac:dyDescent="0.25">
      <c r="A455" s="147"/>
      <c r="B455" s="147"/>
      <c r="C455" s="160"/>
    </row>
    <row r="456" spans="1:3" x14ac:dyDescent="0.25">
      <c r="A456" s="147"/>
      <c r="B456" s="147"/>
      <c r="C456" s="160"/>
    </row>
    <row r="457" spans="1:3" x14ac:dyDescent="0.25">
      <c r="A457" s="147"/>
      <c r="B457" s="147"/>
      <c r="C457" s="160"/>
    </row>
    <row r="458" spans="1:3" x14ac:dyDescent="0.25">
      <c r="A458" s="147"/>
      <c r="B458" s="147"/>
      <c r="C458" s="160"/>
    </row>
    <row r="459" spans="1:3" x14ac:dyDescent="0.25">
      <c r="A459" s="147"/>
      <c r="B459" s="147"/>
      <c r="C459" s="160"/>
    </row>
    <row r="460" spans="1:3" x14ac:dyDescent="0.25">
      <c r="A460" s="147"/>
      <c r="B460" s="147"/>
      <c r="C460" s="160"/>
    </row>
    <row r="461" spans="1:3" x14ac:dyDescent="0.25">
      <c r="A461" s="147"/>
      <c r="B461" s="147"/>
      <c r="C461" s="160"/>
    </row>
    <row r="462" spans="1:3" x14ac:dyDescent="0.25">
      <c r="A462" s="147"/>
      <c r="B462" s="147"/>
      <c r="C462" s="160"/>
    </row>
    <row r="463" spans="1:3" x14ac:dyDescent="0.25">
      <c r="A463" s="147"/>
      <c r="B463" s="147"/>
      <c r="C463" s="160"/>
    </row>
    <row r="464" spans="1:3" x14ac:dyDescent="0.25">
      <c r="A464" s="147"/>
      <c r="B464" s="147"/>
      <c r="C464" s="160"/>
    </row>
    <row r="465" spans="1:3" x14ac:dyDescent="0.25">
      <c r="A465" s="147"/>
      <c r="B465" s="147"/>
      <c r="C465" s="160"/>
    </row>
    <row r="466" spans="1:3" x14ac:dyDescent="0.25">
      <c r="A466" s="147"/>
      <c r="B466" s="147"/>
      <c r="C466" s="160"/>
    </row>
    <row r="467" spans="1:3" x14ac:dyDescent="0.25">
      <c r="A467" s="147"/>
      <c r="B467" s="147"/>
      <c r="C467" s="160"/>
    </row>
    <row r="468" spans="1:3" x14ac:dyDescent="0.25">
      <c r="A468" s="147"/>
      <c r="B468" s="147"/>
      <c r="C468" s="160"/>
    </row>
    <row r="469" spans="1:3" x14ac:dyDescent="0.25">
      <c r="A469" s="147"/>
      <c r="B469" s="147"/>
      <c r="C469" s="160"/>
    </row>
    <row r="470" spans="1:3" x14ac:dyDescent="0.25">
      <c r="A470" s="147"/>
      <c r="B470" s="147"/>
      <c r="C470" s="160"/>
    </row>
    <row r="471" spans="1:3" x14ac:dyDescent="0.25">
      <c r="A471" s="147"/>
      <c r="B471" s="147"/>
      <c r="C471" s="160"/>
    </row>
    <row r="472" spans="1:3" x14ac:dyDescent="0.25">
      <c r="A472" s="147"/>
      <c r="B472" s="147"/>
      <c r="C472" s="160"/>
    </row>
    <row r="473" spans="1:3" x14ac:dyDescent="0.25">
      <c r="A473" s="147"/>
      <c r="B473" s="147"/>
      <c r="C473" s="160"/>
    </row>
    <row r="474" spans="1:3" x14ac:dyDescent="0.25">
      <c r="A474" s="147"/>
      <c r="B474" s="147"/>
      <c r="C474" s="160"/>
    </row>
    <row r="475" spans="1:3" x14ac:dyDescent="0.25">
      <c r="A475" s="147"/>
      <c r="B475" s="147"/>
      <c r="C475" s="160"/>
    </row>
    <row r="476" spans="1:3" x14ac:dyDescent="0.25">
      <c r="A476" s="147"/>
      <c r="B476" s="147"/>
      <c r="C476" s="160"/>
    </row>
    <row r="477" spans="1:3" x14ac:dyDescent="0.25">
      <c r="A477" s="147"/>
      <c r="B477" s="147"/>
      <c r="C477" s="160"/>
    </row>
    <row r="478" spans="1:3" x14ac:dyDescent="0.25">
      <c r="A478" s="147"/>
      <c r="B478" s="147"/>
      <c r="C478" s="160"/>
    </row>
    <row r="479" spans="1:3" x14ac:dyDescent="0.25">
      <c r="A479" s="147"/>
      <c r="B479" s="147"/>
      <c r="C479" s="160"/>
    </row>
    <row r="480" spans="1:3" x14ac:dyDescent="0.25">
      <c r="A480" s="147"/>
      <c r="B480" s="147"/>
      <c r="C480" s="160"/>
    </row>
    <row r="481" spans="1:3" x14ac:dyDescent="0.25">
      <c r="A481" s="147"/>
      <c r="B481" s="147"/>
      <c r="C481" s="160"/>
    </row>
    <row r="482" spans="1:3" x14ac:dyDescent="0.25">
      <c r="A482" s="147"/>
      <c r="B482" s="147"/>
      <c r="C482" s="160"/>
    </row>
    <row r="483" spans="1:3" x14ac:dyDescent="0.25">
      <c r="A483" s="147"/>
      <c r="B483" s="147"/>
      <c r="C483" s="160"/>
    </row>
    <row r="484" spans="1:3" x14ac:dyDescent="0.25">
      <c r="A484" s="147"/>
      <c r="B484" s="147"/>
      <c r="C484" s="160"/>
    </row>
    <row r="485" spans="1:3" x14ac:dyDescent="0.25">
      <c r="A485" s="147"/>
      <c r="B485" s="147"/>
      <c r="C485" s="160"/>
    </row>
    <row r="486" spans="1:3" x14ac:dyDescent="0.25">
      <c r="A486" s="147"/>
      <c r="B486" s="147"/>
      <c r="C486" s="160"/>
    </row>
    <row r="487" spans="1:3" x14ac:dyDescent="0.25">
      <c r="A487" s="147"/>
      <c r="B487" s="147"/>
      <c r="C487" s="160"/>
    </row>
    <row r="488" spans="1:3" x14ac:dyDescent="0.25">
      <c r="A488" s="147"/>
      <c r="B488" s="147"/>
      <c r="C488" s="160"/>
    </row>
    <row r="489" spans="1:3" x14ac:dyDescent="0.25">
      <c r="A489" s="147"/>
      <c r="B489" s="147"/>
      <c r="C489" s="160"/>
    </row>
    <row r="490" spans="1:3" x14ac:dyDescent="0.25">
      <c r="A490" s="147"/>
      <c r="B490" s="147"/>
      <c r="C490" s="160"/>
    </row>
    <row r="491" spans="1:3" x14ac:dyDescent="0.25">
      <c r="A491" s="147"/>
      <c r="B491" s="147"/>
      <c r="C491" s="160"/>
    </row>
    <row r="492" spans="1:3" x14ac:dyDescent="0.25">
      <c r="A492" s="147"/>
      <c r="B492" s="147"/>
      <c r="C492" s="160"/>
    </row>
    <row r="493" spans="1:3" x14ac:dyDescent="0.25">
      <c r="A493" s="147"/>
      <c r="B493" s="147"/>
      <c r="C493" s="160"/>
    </row>
    <row r="494" spans="1:3" x14ac:dyDescent="0.25">
      <c r="A494" s="147"/>
      <c r="B494" s="147"/>
      <c r="C494" s="160"/>
    </row>
    <row r="495" spans="1:3" x14ac:dyDescent="0.25">
      <c r="A495" s="147"/>
      <c r="B495" s="147"/>
      <c r="C495" s="160"/>
    </row>
    <row r="496" spans="1:3" x14ac:dyDescent="0.25">
      <c r="A496" s="147"/>
      <c r="B496" s="147"/>
      <c r="C496" s="160"/>
    </row>
    <row r="497" spans="1:3" x14ac:dyDescent="0.25">
      <c r="A497" s="147"/>
      <c r="B497" s="147"/>
      <c r="C497" s="160"/>
    </row>
    <row r="498" spans="1:3" x14ac:dyDescent="0.25">
      <c r="A498" s="147"/>
      <c r="B498" s="147"/>
      <c r="C498" s="160"/>
    </row>
    <row r="499" spans="1:3" x14ac:dyDescent="0.25">
      <c r="A499" s="147"/>
      <c r="B499" s="147"/>
      <c r="C499" s="160"/>
    </row>
    <row r="500" spans="1:3" x14ac:dyDescent="0.25">
      <c r="A500" s="147"/>
      <c r="B500" s="147"/>
      <c r="C500" s="160"/>
    </row>
    <row r="501" spans="1:3" x14ac:dyDescent="0.25">
      <c r="A501" s="147"/>
      <c r="B501" s="147"/>
      <c r="C501" s="160"/>
    </row>
    <row r="502" spans="1:3" x14ac:dyDescent="0.25">
      <c r="A502" s="147"/>
      <c r="B502" s="147"/>
      <c r="C502" s="160"/>
    </row>
    <row r="503" spans="1:3" x14ac:dyDescent="0.25">
      <c r="A503" s="147"/>
      <c r="B503" s="147"/>
      <c r="C503" s="160"/>
    </row>
    <row r="504" spans="1:3" x14ac:dyDescent="0.25">
      <c r="A504" s="147"/>
      <c r="B504" s="147"/>
      <c r="C504" s="160"/>
    </row>
    <row r="505" spans="1:3" x14ac:dyDescent="0.25">
      <c r="A505" s="147"/>
      <c r="B505" s="147"/>
      <c r="C505" s="160"/>
    </row>
    <row r="506" spans="1:3" x14ac:dyDescent="0.25">
      <c r="A506" s="147"/>
      <c r="B506" s="147"/>
      <c r="C506" s="160"/>
    </row>
    <row r="507" spans="1:3" x14ac:dyDescent="0.25">
      <c r="A507" s="147"/>
      <c r="B507" s="147"/>
      <c r="C507" s="160"/>
    </row>
    <row r="508" spans="1:3" x14ac:dyDescent="0.25">
      <c r="A508" s="147"/>
      <c r="B508" s="147"/>
      <c r="C508" s="160"/>
    </row>
    <row r="509" spans="1:3" x14ac:dyDescent="0.25">
      <c r="A509" s="147"/>
      <c r="B509" s="147"/>
      <c r="C509" s="160"/>
    </row>
    <row r="510" spans="1:3" x14ac:dyDescent="0.25">
      <c r="A510" s="147"/>
      <c r="B510" s="147"/>
      <c r="C510" s="160"/>
    </row>
    <row r="511" spans="1:3" x14ac:dyDescent="0.25">
      <c r="A511" s="147"/>
      <c r="B511" s="147"/>
      <c r="C511" s="160"/>
    </row>
    <row r="512" spans="1:3" x14ac:dyDescent="0.25">
      <c r="A512" s="147"/>
      <c r="B512" s="147"/>
      <c r="C512" s="160"/>
    </row>
    <row r="513" spans="1:3" x14ac:dyDescent="0.25">
      <c r="A513" s="147"/>
      <c r="B513" s="147"/>
      <c r="C513" s="160"/>
    </row>
    <row r="514" spans="1:3" x14ac:dyDescent="0.25">
      <c r="A514" s="147"/>
      <c r="B514" s="147"/>
      <c r="C514" s="160"/>
    </row>
    <row r="515" spans="1:3" x14ac:dyDescent="0.25">
      <c r="A515" s="147"/>
      <c r="B515" s="147"/>
      <c r="C515" s="160"/>
    </row>
    <row r="516" spans="1:3" x14ac:dyDescent="0.25">
      <c r="A516" s="147"/>
      <c r="B516" s="147"/>
      <c r="C516" s="160"/>
    </row>
    <row r="517" spans="1:3" x14ac:dyDescent="0.25">
      <c r="A517" s="147"/>
      <c r="B517" s="147"/>
      <c r="C517" s="160"/>
    </row>
    <row r="518" spans="1:3" x14ac:dyDescent="0.25">
      <c r="A518" s="147"/>
      <c r="B518" s="147"/>
      <c r="C518" s="160"/>
    </row>
    <row r="519" spans="1:3" x14ac:dyDescent="0.25">
      <c r="A519" s="147"/>
      <c r="B519" s="147"/>
      <c r="C519" s="160"/>
    </row>
    <row r="520" spans="1:3" x14ac:dyDescent="0.25">
      <c r="A520" s="147"/>
      <c r="B520" s="147"/>
      <c r="C520" s="160"/>
    </row>
    <row r="521" spans="1:3" x14ac:dyDescent="0.25">
      <c r="A521" s="147"/>
      <c r="B521" s="147"/>
      <c r="C521" s="160"/>
    </row>
    <row r="522" spans="1:3" x14ac:dyDescent="0.25">
      <c r="A522" s="147"/>
      <c r="B522" s="147"/>
      <c r="C522" s="160"/>
    </row>
    <row r="523" spans="1:3" x14ac:dyDescent="0.25">
      <c r="A523" s="147"/>
      <c r="B523" s="147"/>
      <c r="C523" s="160"/>
    </row>
    <row r="524" spans="1:3" x14ac:dyDescent="0.25">
      <c r="A524" s="147"/>
      <c r="B524" s="147"/>
      <c r="C524" s="160"/>
    </row>
    <row r="525" spans="1:3" x14ac:dyDescent="0.25">
      <c r="A525" s="147"/>
      <c r="B525" s="147"/>
      <c r="C525" s="160"/>
    </row>
    <row r="526" spans="1:3" x14ac:dyDescent="0.25">
      <c r="A526" s="147"/>
      <c r="B526" s="147"/>
      <c r="C526" s="160"/>
    </row>
    <row r="527" spans="1:3" x14ac:dyDescent="0.25">
      <c r="A527" s="147"/>
      <c r="B527" s="147"/>
      <c r="C527" s="160"/>
    </row>
    <row r="528" spans="1:3" x14ac:dyDescent="0.25">
      <c r="A528" s="147"/>
      <c r="B528" s="147"/>
      <c r="C528" s="160"/>
    </row>
    <row r="529" spans="1:3" x14ac:dyDescent="0.25">
      <c r="A529" s="147"/>
      <c r="B529" s="147"/>
      <c r="C529" s="160"/>
    </row>
    <row r="530" spans="1:3" x14ac:dyDescent="0.25">
      <c r="A530" s="147"/>
      <c r="B530" s="147"/>
      <c r="C530" s="160"/>
    </row>
    <row r="531" spans="1:3" x14ac:dyDescent="0.25">
      <c r="A531" s="147"/>
      <c r="B531" s="147"/>
      <c r="C531" s="160"/>
    </row>
    <row r="532" spans="1:3" x14ac:dyDescent="0.25">
      <c r="A532" s="147"/>
      <c r="B532" s="147"/>
      <c r="C532" s="160"/>
    </row>
    <row r="533" spans="1:3" x14ac:dyDescent="0.25">
      <c r="A533" s="147"/>
      <c r="B533" s="147"/>
      <c r="C533" s="160"/>
    </row>
    <row r="534" spans="1:3" x14ac:dyDescent="0.25">
      <c r="A534" s="147"/>
      <c r="B534" s="147"/>
      <c r="C534" s="160"/>
    </row>
    <row r="535" spans="1:3" x14ac:dyDescent="0.25">
      <c r="A535" s="147"/>
      <c r="B535" s="147"/>
      <c r="C535" s="160"/>
    </row>
    <row r="536" spans="1:3" x14ac:dyDescent="0.25">
      <c r="A536" s="147"/>
      <c r="B536" s="147"/>
      <c r="C536" s="160"/>
    </row>
    <row r="537" spans="1:3" x14ac:dyDescent="0.25">
      <c r="A537" s="147"/>
      <c r="B537" s="147"/>
      <c r="C537" s="160"/>
    </row>
    <row r="538" spans="1:3" x14ac:dyDescent="0.25">
      <c r="A538" s="147"/>
      <c r="B538" s="147"/>
      <c r="C538" s="160"/>
    </row>
    <row r="539" spans="1:3" x14ac:dyDescent="0.25">
      <c r="A539" s="147"/>
      <c r="B539" s="147"/>
      <c r="C539" s="160"/>
    </row>
    <row r="540" spans="1:3" x14ac:dyDescent="0.25">
      <c r="A540" s="147"/>
      <c r="B540" s="147"/>
      <c r="C540" s="160"/>
    </row>
    <row r="541" spans="1:3" x14ac:dyDescent="0.25">
      <c r="A541" s="147"/>
      <c r="B541" s="147"/>
      <c r="C541" s="160"/>
    </row>
    <row r="542" spans="1:3" x14ac:dyDescent="0.25">
      <c r="A542" s="147"/>
      <c r="B542" s="147"/>
      <c r="C542" s="160"/>
    </row>
    <row r="543" spans="1:3" x14ac:dyDescent="0.25">
      <c r="A543" s="147"/>
      <c r="B543" s="147"/>
      <c r="C543" s="160"/>
    </row>
    <row r="544" spans="1:3" x14ac:dyDescent="0.25">
      <c r="A544" s="147"/>
      <c r="B544" s="147"/>
      <c r="C544" s="160"/>
    </row>
    <row r="545" spans="1:3" x14ac:dyDescent="0.25">
      <c r="A545" s="147"/>
      <c r="B545" s="147"/>
      <c r="C545" s="160"/>
    </row>
    <row r="546" spans="1:3" x14ac:dyDescent="0.25">
      <c r="A546" s="147"/>
      <c r="B546" s="147"/>
      <c r="C546" s="160"/>
    </row>
    <row r="547" spans="1:3" x14ac:dyDescent="0.25">
      <c r="A547" s="147"/>
      <c r="B547" s="147"/>
      <c r="C547" s="160"/>
    </row>
    <row r="548" spans="1:3" x14ac:dyDescent="0.25">
      <c r="A548" s="147"/>
      <c r="B548" s="147"/>
      <c r="C548" s="160"/>
    </row>
    <row r="549" spans="1:3" x14ac:dyDescent="0.25">
      <c r="A549" s="147"/>
      <c r="B549" s="147"/>
      <c r="C549" s="160"/>
    </row>
    <row r="550" spans="1:3" x14ac:dyDescent="0.25">
      <c r="A550" s="147"/>
      <c r="B550" s="147"/>
      <c r="C550" s="160"/>
    </row>
    <row r="551" spans="1:3" x14ac:dyDescent="0.25">
      <c r="A551" s="147"/>
      <c r="B551" s="147"/>
      <c r="C551" s="160"/>
    </row>
    <row r="552" spans="1:3" x14ac:dyDescent="0.25">
      <c r="A552" s="147"/>
      <c r="B552" s="147"/>
      <c r="C552" s="160"/>
    </row>
    <row r="553" spans="1:3" x14ac:dyDescent="0.25">
      <c r="A553" s="147"/>
      <c r="B553" s="147"/>
      <c r="C553" s="160"/>
    </row>
    <row r="554" spans="1:3" x14ac:dyDescent="0.25">
      <c r="A554" s="147"/>
      <c r="B554" s="147"/>
      <c r="C554" s="160"/>
    </row>
    <row r="555" spans="1:3" x14ac:dyDescent="0.25">
      <c r="A555" s="147"/>
      <c r="B555" s="147"/>
      <c r="C555" s="160"/>
    </row>
    <row r="556" spans="1:3" x14ac:dyDescent="0.25">
      <c r="A556" s="147"/>
      <c r="B556" s="147"/>
      <c r="C556" s="160"/>
    </row>
    <row r="557" spans="1:3" x14ac:dyDescent="0.25">
      <c r="A557" s="147"/>
      <c r="B557" s="147"/>
      <c r="C557" s="160"/>
    </row>
    <row r="558" spans="1:3" x14ac:dyDescent="0.25">
      <c r="A558" s="147"/>
      <c r="B558" s="147"/>
      <c r="C558" s="160"/>
    </row>
    <row r="559" spans="1:3" x14ac:dyDescent="0.25">
      <c r="A559" s="147"/>
      <c r="B559" s="147"/>
      <c r="C559" s="160"/>
    </row>
    <row r="560" spans="1:3" x14ac:dyDescent="0.25">
      <c r="A560" s="147"/>
      <c r="B560" s="147"/>
      <c r="C560" s="160"/>
    </row>
    <row r="561" spans="1:3" x14ac:dyDescent="0.25">
      <c r="A561" s="147"/>
      <c r="B561" s="147"/>
      <c r="C561" s="160"/>
    </row>
    <row r="562" spans="1:3" x14ac:dyDescent="0.25">
      <c r="A562" s="147"/>
      <c r="B562" s="147"/>
      <c r="C562" s="160"/>
    </row>
    <row r="563" spans="1:3" x14ac:dyDescent="0.25">
      <c r="A563" s="147"/>
      <c r="B563" s="147"/>
      <c r="C563" s="160"/>
    </row>
    <row r="564" spans="1:3" x14ac:dyDescent="0.25">
      <c r="A564" s="147"/>
      <c r="B564" s="147"/>
      <c r="C564" s="160"/>
    </row>
    <row r="565" spans="1:3" x14ac:dyDescent="0.25">
      <c r="A565" s="147"/>
      <c r="B565" s="147"/>
      <c r="C565" s="160"/>
    </row>
    <row r="566" spans="1:3" x14ac:dyDescent="0.25">
      <c r="A566" s="147"/>
      <c r="B566" s="147"/>
      <c r="C566" s="160"/>
    </row>
    <row r="567" spans="1:3" x14ac:dyDescent="0.25">
      <c r="A567" s="147"/>
      <c r="B567" s="147"/>
      <c r="C567" s="160"/>
    </row>
    <row r="568" spans="1:3" x14ac:dyDescent="0.25">
      <c r="A568" s="147"/>
      <c r="B568" s="147"/>
      <c r="C568" s="160"/>
    </row>
    <row r="569" spans="1:3" x14ac:dyDescent="0.25">
      <c r="A569" s="147"/>
      <c r="B569" s="147"/>
      <c r="C569" s="160"/>
    </row>
    <row r="570" spans="1:3" x14ac:dyDescent="0.25">
      <c r="A570" s="147"/>
      <c r="B570" s="147"/>
      <c r="C570" s="160"/>
    </row>
    <row r="571" spans="1:3" x14ac:dyDescent="0.25">
      <c r="A571" s="147"/>
      <c r="B571" s="147"/>
      <c r="C571" s="160"/>
    </row>
    <row r="572" spans="1:3" x14ac:dyDescent="0.25">
      <c r="A572" s="147"/>
      <c r="B572" s="147"/>
      <c r="C572" s="160"/>
    </row>
    <row r="573" spans="1:3" x14ac:dyDescent="0.25">
      <c r="A573" s="147"/>
      <c r="B573" s="147"/>
      <c r="C573" s="160"/>
    </row>
    <row r="574" spans="1:3" x14ac:dyDescent="0.25">
      <c r="A574" s="147"/>
      <c r="B574" s="147"/>
      <c r="C574" s="160"/>
    </row>
    <row r="575" spans="1:3" x14ac:dyDescent="0.25">
      <c r="A575" s="147"/>
      <c r="B575" s="147"/>
      <c r="C575" s="160"/>
    </row>
    <row r="576" spans="1:3" x14ac:dyDescent="0.25">
      <c r="A576" s="147"/>
      <c r="B576" s="147"/>
      <c r="C576" s="160"/>
    </row>
    <row r="577" spans="1:3" x14ac:dyDescent="0.25">
      <c r="A577" s="147"/>
      <c r="B577" s="147"/>
      <c r="C577" s="160"/>
    </row>
    <row r="578" spans="1:3" x14ac:dyDescent="0.25">
      <c r="A578" s="147"/>
      <c r="B578" s="147"/>
      <c r="C578" s="160"/>
    </row>
    <row r="579" spans="1:3" x14ac:dyDescent="0.25">
      <c r="A579" s="147"/>
      <c r="B579" s="147"/>
      <c r="C579" s="160"/>
    </row>
    <row r="580" spans="1:3" x14ac:dyDescent="0.25">
      <c r="A580" s="147"/>
      <c r="B580" s="147"/>
      <c r="C580" s="160"/>
    </row>
    <row r="581" spans="1:3" x14ac:dyDescent="0.25">
      <c r="A581" s="147"/>
      <c r="B581" s="147"/>
      <c r="C581" s="160"/>
    </row>
    <row r="582" spans="1:3" x14ac:dyDescent="0.25">
      <c r="A582" s="147"/>
      <c r="B582" s="147"/>
      <c r="C582" s="160"/>
    </row>
    <row r="583" spans="1:3" x14ac:dyDescent="0.25">
      <c r="A583" s="147"/>
      <c r="B583" s="147"/>
      <c r="C583" s="160"/>
    </row>
    <row r="584" spans="1:3" x14ac:dyDescent="0.25">
      <c r="A584" s="147"/>
      <c r="B584" s="147"/>
      <c r="C584" s="160"/>
    </row>
    <row r="585" spans="1:3" x14ac:dyDescent="0.25">
      <c r="A585" s="147"/>
      <c r="B585" s="147"/>
      <c r="C585" s="160"/>
    </row>
    <row r="586" spans="1:3" x14ac:dyDescent="0.25">
      <c r="A586" s="147"/>
      <c r="B586" s="147"/>
      <c r="C586" s="160"/>
    </row>
    <row r="587" spans="1:3" x14ac:dyDescent="0.25">
      <c r="A587" s="147"/>
      <c r="B587" s="147"/>
      <c r="C587" s="160"/>
    </row>
    <row r="588" spans="1:3" x14ac:dyDescent="0.25">
      <c r="A588" s="147"/>
      <c r="B588" s="147"/>
      <c r="C588" s="160"/>
    </row>
    <row r="589" spans="1:3" x14ac:dyDescent="0.25">
      <c r="A589" s="147"/>
      <c r="B589" s="147"/>
      <c r="C589" s="160"/>
    </row>
    <row r="590" spans="1:3" x14ac:dyDescent="0.25">
      <c r="A590" s="147"/>
      <c r="B590" s="147"/>
      <c r="C590" s="160"/>
    </row>
    <row r="591" spans="1:3" x14ac:dyDescent="0.25">
      <c r="A591" s="147"/>
      <c r="B591" s="147"/>
      <c r="C591" s="160"/>
    </row>
    <row r="592" spans="1:3" x14ac:dyDescent="0.25">
      <c r="A592" s="147"/>
      <c r="B592" s="147"/>
      <c r="C592" s="160"/>
    </row>
    <row r="593" spans="1:3" x14ac:dyDescent="0.25">
      <c r="A593" s="147"/>
      <c r="B593" s="147"/>
      <c r="C593" s="160"/>
    </row>
    <row r="594" spans="1:3" x14ac:dyDescent="0.25">
      <c r="A594" s="147"/>
      <c r="B594" s="147"/>
      <c r="C594" s="160"/>
    </row>
    <row r="595" spans="1:3" x14ac:dyDescent="0.25">
      <c r="A595" s="147"/>
      <c r="B595" s="147"/>
      <c r="C595" s="160"/>
    </row>
    <row r="596" spans="1:3" x14ac:dyDescent="0.25">
      <c r="A596" s="147"/>
      <c r="B596" s="147"/>
      <c r="C596" s="160"/>
    </row>
    <row r="597" spans="1:3" x14ac:dyDescent="0.25">
      <c r="A597" s="147"/>
      <c r="B597" s="147"/>
      <c r="C597" s="160"/>
    </row>
    <row r="598" spans="1:3" x14ac:dyDescent="0.25">
      <c r="A598" s="147"/>
      <c r="B598" s="147"/>
      <c r="C598" s="160"/>
    </row>
    <row r="599" spans="1:3" x14ac:dyDescent="0.25">
      <c r="A599" s="147"/>
      <c r="B599" s="147"/>
      <c r="C599" s="160"/>
    </row>
    <row r="600" spans="1:3" x14ac:dyDescent="0.25">
      <c r="A600" s="147"/>
      <c r="B600" s="147"/>
      <c r="C600" s="160"/>
    </row>
    <row r="601" spans="1:3" x14ac:dyDescent="0.25">
      <c r="A601" s="147"/>
      <c r="B601" s="147"/>
      <c r="C601" s="160"/>
    </row>
    <row r="602" spans="1:3" x14ac:dyDescent="0.25">
      <c r="A602" s="147"/>
      <c r="B602" s="147"/>
      <c r="C602" s="160"/>
    </row>
    <row r="603" spans="1:3" x14ac:dyDescent="0.25">
      <c r="A603" s="147"/>
      <c r="B603" s="147"/>
      <c r="C603" s="160"/>
    </row>
    <row r="604" spans="1:3" x14ac:dyDescent="0.25">
      <c r="A604" s="147"/>
      <c r="B604" s="147"/>
      <c r="C604" s="160"/>
    </row>
    <row r="605" spans="1:3" x14ac:dyDescent="0.25">
      <c r="A605" s="147"/>
      <c r="B605" s="147"/>
      <c r="C605" s="160"/>
    </row>
    <row r="606" spans="1:3" x14ac:dyDescent="0.25">
      <c r="A606" s="147"/>
      <c r="B606" s="147"/>
      <c r="C606" s="160"/>
    </row>
    <row r="607" spans="1:3" x14ac:dyDescent="0.25">
      <c r="A607" s="147"/>
      <c r="B607" s="147"/>
      <c r="C607" s="160"/>
    </row>
    <row r="608" spans="1:3" x14ac:dyDescent="0.25">
      <c r="A608" s="147"/>
      <c r="B608" s="147"/>
      <c r="C608" s="160"/>
    </row>
    <row r="609" spans="1:3" x14ac:dyDescent="0.25">
      <c r="A609" s="147"/>
      <c r="B609" s="147"/>
      <c r="C609" s="160"/>
    </row>
    <row r="610" spans="1:3" x14ac:dyDescent="0.25">
      <c r="A610" s="147"/>
      <c r="B610" s="147"/>
      <c r="C610" s="160"/>
    </row>
    <row r="611" spans="1:3" x14ac:dyDescent="0.25">
      <c r="A611" s="147"/>
      <c r="B611" s="147"/>
      <c r="C611" s="160"/>
    </row>
    <row r="612" spans="1:3" x14ac:dyDescent="0.25">
      <c r="A612" s="147"/>
      <c r="B612" s="147"/>
      <c r="C612" s="160"/>
    </row>
    <row r="613" spans="1:3" x14ac:dyDescent="0.25">
      <c r="A613" s="147"/>
      <c r="B613" s="147"/>
      <c r="C613" s="160"/>
    </row>
    <row r="614" spans="1:3" x14ac:dyDescent="0.25">
      <c r="A614" s="147"/>
      <c r="B614" s="147"/>
      <c r="C614" s="160"/>
    </row>
    <row r="615" spans="1:3" x14ac:dyDescent="0.25">
      <c r="A615" s="147"/>
      <c r="B615" s="147"/>
      <c r="C615" s="160"/>
    </row>
    <row r="616" spans="1:3" x14ac:dyDescent="0.25">
      <c r="A616" s="147"/>
      <c r="B616" s="147"/>
      <c r="C616" s="160"/>
    </row>
    <row r="617" spans="1:3" x14ac:dyDescent="0.25">
      <c r="A617" s="147"/>
      <c r="B617" s="147"/>
      <c r="C617" s="160"/>
    </row>
    <row r="618" spans="1:3" x14ac:dyDescent="0.25">
      <c r="A618" s="147"/>
      <c r="B618" s="147"/>
      <c r="C618" s="160"/>
    </row>
    <row r="619" spans="1:3" x14ac:dyDescent="0.25">
      <c r="A619" s="147"/>
      <c r="B619" s="147"/>
      <c r="C619" s="160"/>
    </row>
    <row r="620" spans="1:3" x14ac:dyDescent="0.25">
      <c r="A620" s="147"/>
      <c r="B620" s="147"/>
      <c r="C620" s="160"/>
    </row>
    <row r="621" spans="1:3" x14ac:dyDescent="0.25">
      <c r="A621" s="147"/>
      <c r="B621" s="147"/>
      <c r="C621" s="160"/>
    </row>
    <row r="622" spans="1:3" x14ac:dyDescent="0.25">
      <c r="A622" s="147"/>
      <c r="B622" s="147"/>
      <c r="C622" s="160"/>
    </row>
    <row r="623" spans="1:3" x14ac:dyDescent="0.25">
      <c r="A623" s="147"/>
      <c r="B623" s="147"/>
      <c r="C623" s="160"/>
    </row>
    <row r="624" spans="1:3" x14ac:dyDescent="0.25">
      <c r="A624" s="147"/>
      <c r="B624" s="147"/>
      <c r="C624" s="160"/>
    </row>
    <row r="625" spans="1:3" x14ac:dyDescent="0.25">
      <c r="A625" s="147"/>
      <c r="B625" s="147"/>
      <c r="C625" s="160"/>
    </row>
    <row r="626" spans="1:3" x14ac:dyDescent="0.25">
      <c r="A626" s="147"/>
      <c r="B626" s="147"/>
      <c r="C626" s="160"/>
    </row>
    <row r="627" spans="1:3" x14ac:dyDescent="0.25">
      <c r="A627" s="147"/>
      <c r="B627" s="147"/>
      <c r="C627" s="160"/>
    </row>
    <row r="628" spans="1:3" x14ac:dyDescent="0.25">
      <c r="A628" s="147"/>
      <c r="B628" s="147"/>
      <c r="C628" s="160"/>
    </row>
    <row r="629" spans="1:3" x14ac:dyDescent="0.25">
      <c r="A629" s="147"/>
      <c r="B629" s="147"/>
      <c r="C629" s="160"/>
    </row>
    <row r="630" spans="1:3" x14ac:dyDescent="0.25">
      <c r="A630" s="147"/>
      <c r="B630" s="147"/>
      <c r="C630" s="160"/>
    </row>
    <row r="631" spans="1:3" x14ac:dyDescent="0.25">
      <c r="A631" s="147"/>
      <c r="B631" s="147"/>
      <c r="C631" s="160"/>
    </row>
    <row r="632" spans="1:3" x14ac:dyDescent="0.25">
      <c r="A632" s="147"/>
      <c r="B632" s="147"/>
      <c r="C632" s="160"/>
    </row>
    <row r="633" spans="1:3" x14ac:dyDescent="0.25">
      <c r="A633" s="147"/>
      <c r="B633" s="147"/>
      <c r="C633" s="160"/>
    </row>
    <row r="634" spans="1:3" x14ac:dyDescent="0.25">
      <c r="A634" s="147"/>
      <c r="B634" s="147"/>
      <c r="C634" s="160"/>
    </row>
    <row r="635" spans="1:3" x14ac:dyDescent="0.25">
      <c r="A635" s="147"/>
      <c r="B635" s="147"/>
      <c r="C635" s="160"/>
    </row>
    <row r="636" spans="1:3" x14ac:dyDescent="0.25">
      <c r="A636" s="147"/>
      <c r="B636" s="147"/>
      <c r="C636" s="160"/>
    </row>
    <row r="637" spans="1:3" x14ac:dyDescent="0.25">
      <c r="A637" s="147"/>
      <c r="B637" s="147"/>
      <c r="C637" s="160"/>
    </row>
    <row r="638" spans="1:3" x14ac:dyDescent="0.25">
      <c r="A638" s="147"/>
      <c r="B638" s="147"/>
      <c r="C638" s="160"/>
    </row>
    <row r="639" spans="1:3" x14ac:dyDescent="0.25">
      <c r="A639" s="147"/>
      <c r="B639" s="147"/>
      <c r="C639" s="160"/>
    </row>
    <row r="640" spans="1:3" x14ac:dyDescent="0.25">
      <c r="A640" s="147"/>
      <c r="B640" s="147"/>
      <c r="C640" s="160"/>
    </row>
    <row r="641" spans="1:3" x14ac:dyDescent="0.25">
      <c r="A641" s="147"/>
      <c r="B641" s="147"/>
      <c r="C641" s="160"/>
    </row>
    <row r="642" spans="1:3" x14ac:dyDescent="0.25">
      <c r="A642" s="147"/>
      <c r="B642" s="147"/>
      <c r="C642" s="160"/>
    </row>
    <row r="643" spans="1:3" x14ac:dyDescent="0.25">
      <c r="A643" s="147"/>
      <c r="B643" s="147"/>
      <c r="C643" s="160"/>
    </row>
    <row r="644" spans="1:3" x14ac:dyDescent="0.25">
      <c r="A644" s="147"/>
      <c r="B644" s="147"/>
      <c r="C644" s="160"/>
    </row>
    <row r="645" spans="1:3" x14ac:dyDescent="0.25">
      <c r="A645" s="147"/>
      <c r="B645" s="147"/>
      <c r="C645" s="160"/>
    </row>
    <row r="646" spans="1:3" x14ac:dyDescent="0.25">
      <c r="A646" s="147"/>
      <c r="B646" s="147"/>
      <c r="C646" s="160"/>
    </row>
    <row r="647" spans="1:3" x14ac:dyDescent="0.25">
      <c r="A647" s="147"/>
      <c r="B647" s="147"/>
      <c r="C647" s="160"/>
    </row>
    <row r="648" spans="1:3" x14ac:dyDescent="0.25">
      <c r="A648" s="147"/>
      <c r="B648" s="147"/>
      <c r="C648" s="160"/>
    </row>
    <row r="649" spans="1:3" x14ac:dyDescent="0.25">
      <c r="A649" s="147"/>
      <c r="B649" s="147"/>
      <c r="C649" s="160"/>
    </row>
    <row r="650" spans="1:3" x14ac:dyDescent="0.25">
      <c r="A650" s="147"/>
      <c r="B650" s="147"/>
      <c r="C650" s="160"/>
    </row>
    <row r="651" spans="1:3" x14ac:dyDescent="0.25">
      <c r="A651" s="147"/>
      <c r="B651" s="147"/>
      <c r="C651" s="160"/>
    </row>
    <row r="652" spans="1:3" x14ac:dyDescent="0.25">
      <c r="A652" s="147"/>
      <c r="B652" s="147"/>
      <c r="C652" s="160"/>
    </row>
    <row r="653" spans="1:3" x14ac:dyDescent="0.25">
      <c r="A653" s="147"/>
      <c r="B653" s="147"/>
      <c r="C653" s="160"/>
    </row>
    <row r="654" spans="1:3" x14ac:dyDescent="0.25">
      <c r="A654" s="147"/>
      <c r="B654" s="147"/>
      <c r="C654" s="160"/>
    </row>
    <row r="655" spans="1:3" x14ac:dyDescent="0.25">
      <c r="A655" s="147"/>
      <c r="B655" s="147"/>
      <c r="C655" s="160"/>
    </row>
    <row r="656" spans="1:3" x14ac:dyDescent="0.25">
      <c r="A656" s="147"/>
      <c r="B656" s="147"/>
      <c r="C656" s="160"/>
    </row>
    <row r="657" spans="1:3" x14ac:dyDescent="0.25">
      <c r="A657" s="147"/>
      <c r="B657" s="147"/>
      <c r="C657" s="160"/>
    </row>
    <row r="658" spans="1:3" x14ac:dyDescent="0.25">
      <c r="A658" s="147"/>
      <c r="B658" s="147"/>
      <c r="C658" s="160"/>
    </row>
    <row r="659" spans="1:3" x14ac:dyDescent="0.25">
      <c r="A659" s="147"/>
      <c r="B659" s="147"/>
      <c r="C659" s="160"/>
    </row>
    <row r="660" spans="1:3" x14ac:dyDescent="0.25">
      <c r="A660" s="147"/>
      <c r="B660" s="147"/>
      <c r="C660" s="160"/>
    </row>
    <row r="661" spans="1:3" x14ac:dyDescent="0.25">
      <c r="A661" s="147"/>
      <c r="B661" s="147"/>
      <c r="C661" s="160"/>
    </row>
    <row r="662" spans="1:3" x14ac:dyDescent="0.25">
      <c r="A662" s="147"/>
      <c r="B662" s="147"/>
      <c r="C662" s="160"/>
    </row>
    <row r="663" spans="1:3" x14ac:dyDescent="0.25">
      <c r="A663" s="147"/>
      <c r="B663" s="147"/>
      <c r="C663" s="160"/>
    </row>
    <row r="664" spans="1:3" x14ac:dyDescent="0.25">
      <c r="A664" s="147"/>
      <c r="B664" s="147"/>
      <c r="C664" s="160"/>
    </row>
    <row r="665" spans="1:3" x14ac:dyDescent="0.25">
      <c r="A665" s="147"/>
      <c r="B665" s="147"/>
      <c r="C665" s="160"/>
    </row>
    <row r="666" spans="1:3" x14ac:dyDescent="0.25">
      <c r="A666" s="147"/>
      <c r="B666" s="147"/>
      <c r="C666" s="160"/>
    </row>
    <row r="667" spans="1:3" x14ac:dyDescent="0.25">
      <c r="A667" s="147"/>
      <c r="B667" s="147"/>
      <c r="C667" s="160"/>
    </row>
    <row r="668" spans="1:3" x14ac:dyDescent="0.25">
      <c r="A668" s="147"/>
      <c r="B668" s="147"/>
      <c r="C668" s="160"/>
    </row>
    <row r="669" spans="1:3" x14ac:dyDescent="0.25">
      <c r="A669" s="147"/>
      <c r="B669" s="147"/>
      <c r="C669" s="160"/>
    </row>
    <row r="670" spans="1:3" x14ac:dyDescent="0.25">
      <c r="A670" s="147"/>
      <c r="B670" s="147"/>
      <c r="C670" s="160"/>
    </row>
    <row r="671" spans="1:3" x14ac:dyDescent="0.25">
      <c r="A671" s="147"/>
      <c r="B671" s="147"/>
      <c r="C671" s="160"/>
    </row>
    <row r="672" spans="1:3" x14ac:dyDescent="0.25">
      <c r="A672" s="147"/>
      <c r="B672" s="147"/>
      <c r="C672" s="160"/>
    </row>
    <row r="673" spans="1:3" x14ac:dyDescent="0.25">
      <c r="A673" s="147"/>
      <c r="B673" s="147"/>
      <c r="C673" s="160"/>
    </row>
    <row r="674" spans="1:3" x14ac:dyDescent="0.25">
      <c r="A674" s="147"/>
      <c r="B674" s="147"/>
      <c r="C674" s="160"/>
    </row>
    <row r="675" spans="1:3" x14ac:dyDescent="0.25">
      <c r="A675" s="147"/>
      <c r="B675" s="147"/>
      <c r="C675" s="160"/>
    </row>
    <row r="676" spans="1:3" x14ac:dyDescent="0.25">
      <c r="A676" s="147"/>
      <c r="B676" s="147"/>
      <c r="C676" s="160"/>
    </row>
    <row r="677" spans="1:3" x14ac:dyDescent="0.25">
      <c r="A677" s="147"/>
      <c r="B677" s="147"/>
      <c r="C677" s="160"/>
    </row>
    <row r="678" spans="1:3" x14ac:dyDescent="0.25">
      <c r="A678" s="147"/>
      <c r="B678" s="147"/>
      <c r="C678" s="160"/>
    </row>
    <row r="679" spans="1:3" x14ac:dyDescent="0.25">
      <c r="A679" s="147"/>
      <c r="B679" s="147"/>
      <c r="C679" s="160"/>
    </row>
    <row r="680" spans="1:3" x14ac:dyDescent="0.25">
      <c r="A680" s="147"/>
      <c r="B680" s="147"/>
      <c r="C680" s="160"/>
    </row>
    <row r="681" spans="1:3" x14ac:dyDescent="0.25">
      <c r="A681" s="147"/>
      <c r="B681" s="147"/>
      <c r="C681" s="160"/>
    </row>
    <row r="682" spans="1:3" x14ac:dyDescent="0.25">
      <c r="A682" s="147"/>
      <c r="B682" s="147"/>
      <c r="C682" s="160"/>
    </row>
    <row r="683" spans="1:3" x14ac:dyDescent="0.25">
      <c r="A683" s="147"/>
      <c r="B683" s="147"/>
      <c r="C683" s="160"/>
    </row>
    <row r="684" spans="1:3" x14ac:dyDescent="0.25">
      <c r="A684" s="147"/>
      <c r="B684" s="147"/>
      <c r="C684" s="160"/>
    </row>
    <row r="685" spans="1:3" x14ac:dyDescent="0.25">
      <c r="A685" s="147"/>
      <c r="B685" s="147"/>
      <c r="C685" s="160"/>
    </row>
    <row r="686" spans="1:3" x14ac:dyDescent="0.25">
      <c r="A686" s="147"/>
      <c r="B686" s="147"/>
      <c r="C686" s="160"/>
    </row>
    <row r="687" spans="1:3" x14ac:dyDescent="0.25">
      <c r="A687" s="147"/>
      <c r="B687" s="147"/>
      <c r="C687" s="160"/>
    </row>
    <row r="688" spans="1:3" x14ac:dyDescent="0.25">
      <c r="A688" s="147"/>
      <c r="B688" s="147"/>
      <c r="C688" s="160"/>
    </row>
    <row r="689" spans="1:3" x14ac:dyDescent="0.25">
      <c r="A689" s="147"/>
      <c r="B689" s="147"/>
      <c r="C689" s="160"/>
    </row>
    <row r="690" spans="1:3" x14ac:dyDescent="0.25">
      <c r="A690" s="147"/>
      <c r="B690" s="147"/>
      <c r="C690" s="160"/>
    </row>
    <row r="691" spans="1:3" x14ac:dyDescent="0.25">
      <c r="A691" s="147"/>
      <c r="B691" s="147"/>
      <c r="C691" s="160"/>
    </row>
    <row r="692" spans="1:3" x14ac:dyDescent="0.25">
      <c r="A692" s="147"/>
      <c r="B692" s="147"/>
      <c r="C692" s="160"/>
    </row>
    <row r="693" spans="1:3" x14ac:dyDescent="0.25">
      <c r="A693" s="147"/>
      <c r="B693" s="147"/>
      <c r="C693" s="160"/>
    </row>
    <row r="694" spans="1:3" x14ac:dyDescent="0.25">
      <c r="A694" s="147"/>
      <c r="B694" s="147"/>
      <c r="C694" s="160"/>
    </row>
    <row r="695" spans="1:3" x14ac:dyDescent="0.25">
      <c r="A695" s="147"/>
      <c r="B695" s="147"/>
      <c r="C695" s="160"/>
    </row>
    <row r="696" spans="1:3" x14ac:dyDescent="0.25">
      <c r="A696" s="147"/>
      <c r="B696" s="147"/>
      <c r="C696" s="160"/>
    </row>
    <row r="697" spans="1:3" x14ac:dyDescent="0.25">
      <c r="A697" s="147"/>
      <c r="B697" s="147"/>
      <c r="C697" s="160"/>
    </row>
    <row r="698" spans="1:3" x14ac:dyDescent="0.25">
      <c r="A698" s="147"/>
      <c r="B698" s="147"/>
      <c r="C698" s="160"/>
    </row>
    <row r="699" spans="1:3" x14ac:dyDescent="0.25">
      <c r="A699" s="147"/>
      <c r="B699" s="147"/>
      <c r="C699" s="160"/>
    </row>
    <row r="700" spans="1:3" x14ac:dyDescent="0.25">
      <c r="A700" s="147"/>
      <c r="B700" s="147"/>
      <c r="C700" s="160"/>
    </row>
    <row r="701" spans="1:3" x14ac:dyDescent="0.25">
      <c r="A701" s="147"/>
      <c r="B701" s="147"/>
      <c r="C701" s="160"/>
    </row>
    <row r="702" spans="1:3" x14ac:dyDescent="0.25">
      <c r="A702" s="147"/>
      <c r="B702" s="147"/>
      <c r="C702" s="160"/>
    </row>
    <row r="703" spans="1:3" x14ac:dyDescent="0.25">
      <c r="A703" s="147"/>
      <c r="B703" s="147"/>
      <c r="C703" s="160"/>
    </row>
    <row r="704" spans="1:3" x14ac:dyDescent="0.25">
      <c r="A704" s="147"/>
      <c r="B704" s="147"/>
      <c r="C704" s="160"/>
    </row>
    <row r="705" spans="1:3" x14ac:dyDescent="0.25">
      <c r="A705" s="147"/>
      <c r="B705" s="147"/>
      <c r="C705" s="160"/>
    </row>
    <row r="706" spans="1:3" x14ac:dyDescent="0.25">
      <c r="A706" s="147"/>
      <c r="B706" s="147"/>
      <c r="C706" s="160"/>
    </row>
    <row r="707" spans="1:3" x14ac:dyDescent="0.25">
      <c r="A707" s="147"/>
      <c r="B707" s="147"/>
      <c r="C707" s="160"/>
    </row>
    <row r="708" spans="1:3" x14ac:dyDescent="0.25">
      <c r="A708" s="147"/>
      <c r="B708" s="147"/>
      <c r="C708" s="160"/>
    </row>
    <row r="709" spans="1:3" x14ac:dyDescent="0.25">
      <c r="A709" s="147"/>
      <c r="B709" s="147"/>
      <c r="C709" s="160"/>
    </row>
    <row r="710" spans="1:3" x14ac:dyDescent="0.25">
      <c r="A710" s="147"/>
      <c r="B710" s="147"/>
      <c r="C710" s="160"/>
    </row>
    <row r="711" spans="1:3" x14ac:dyDescent="0.25">
      <c r="A711" s="147"/>
      <c r="B711" s="147"/>
      <c r="C711" s="160"/>
    </row>
    <row r="712" spans="1:3" x14ac:dyDescent="0.25">
      <c r="A712" s="147"/>
      <c r="B712" s="147"/>
      <c r="C712" s="160"/>
    </row>
    <row r="713" spans="1:3" x14ac:dyDescent="0.25">
      <c r="A713" s="147"/>
      <c r="B713" s="147"/>
      <c r="C713" s="160"/>
    </row>
    <row r="714" spans="1:3" x14ac:dyDescent="0.25">
      <c r="A714" s="147"/>
      <c r="B714" s="147"/>
      <c r="C714" s="160"/>
    </row>
    <row r="715" spans="1:3" x14ac:dyDescent="0.25">
      <c r="A715" s="147"/>
      <c r="B715" s="147"/>
      <c r="C715" s="160"/>
    </row>
    <row r="716" spans="1:3" x14ac:dyDescent="0.25">
      <c r="A716" s="147"/>
      <c r="B716" s="147"/>
      <c r="C716" s="160"/>
    </row>
    <row r="717" spans="1:3" x14ac:dyDescent="0.25">
      <c r="A717" s="147"/>
      <c r="B717" s="147"/>
      <c r="C717" s="160"/>
    </row>
    <row r="718" spans="1:3" x14ac:dyDescent="0.25">
      <c r="A718" s="147"/>
      <c r="B718" s="147"/>
      <c r="C718" s="160"/>
    </row>
    <row r="719" spans="1:3" x14ac:dyDescent="0.25">
      <c r="A719" s="147"/>
      <c r="B719" s="147"/>
      <c r="C719" s="160"/>
    </row>
    <row r="720" spans="1:3" x14ac:dyDescent="0.25">
      <c r="A720" s="147"/>
      <c r="B720" s="147"/>
      <c r="C720" s="160"/>
    </row>
    <row r="721" spans="1:3" x14ac:dyDescent="0.25">
      <c r="A721" s="147"/>
      <c r="B721" s="147"/>
      <c r="C721" s="160"/>
    </row>
    <row r="722" spans="1:3" x14ac:dyDescent="0.25">
      <c r="A722" s="147"/>
      <c r="B722" s="147"/>
      <c r="C722" s="160"/>
    </row>
    <row r="723" spans="1:3" x14ac:dyDescent="0.25">
      <c r="A723" s="147"/>
      <c r="B723" s="147"/>
      <c r="C723" s="160"/>
    </row>
    <row r="724" spans="1:3" x14ac:dyDescent="0.25">
      <c r="A724" s="147"/>
      <c r="B724" s="147"/>
      <c r="C724" s="160"/>
    </row>
    <row r="725" spans="1:3" x14ac:dyDescent="0.25">
      <c r="A725" s="147"/>
      <c r="B725" s="147"/>
      <c r="C725" s="160"/>
    </row>
    <row r="726" spans="1:3" x14ac:dyDescent="0.25">
      <c r="A726" s="147"/>
      <c r="B726" s="147"/>
      <c r="C726" s="160"/>
    </row>
    <row r="727" spans="1:3" x14ac:dyDescent="0.25">
      <c r="A727" s="147"/>
      <c r="B727" s="147"/>
      <c r="C727" s="160"/>
    </row>
    <row r="728" spans="1:3" x14ac:dyDescent="0.25">
      <c r="A728" s="147"/>
      <c r="B728" s="147"/>
      <c r="C728" s="160"/>
    </row>
    <row r="729" spans="1:3" x14ac:dyDescent="0.25">
      <c r="A729" s="147"/>
      <c r="B729" s="147"/>
      <c r="C729" s="160"/>
    </row>
    <row r="730" spans="1:3" x14ac:dyDescent="0.25">
      <c r="A730" s="147"/>
      <c r="B730" s="147"/>
      <c r="C730" s="160"/>
    </row>
    <row r="731" spans="1:3" x14ac:dyDescent="0.25">
      <c r="A731" s="147"/>
      <c r="B731" s="147"/>
      <c r="C731" s="160"/>
    </row>
    <row r="732" spans="1:3" x14ac:dyDescent="0.25">
      <c r="A732" s="147"/>
      <c r="B732" s="147"/>
      <c r="C732" s="160"/>
    </row>
    <row r="733" spans="1:3" x14ac:dyDescent="0.25">
      <c r="A733" s="147"/>
      <c r="B733" s="147"/>
      <c r="C733" s="160"/>
    </row>
    <row r="734" spans="1:3" x14ac:dyDescent="0.25">
      <c r="A734" s="147"/>
      <c r="B734" s="147"/>
      <c r="C734" s="160"/>
    </row>
    <row r="735" spans="1:3" x14ac:dyDescent="0.25">
      <c r="A735" s="147"/>
      <c r="B735" s="147"/>
      <c r="C735" s="160"/>
    </row>
    <row r="736" spans="1:3" x14ac:dyDescent="0.25">
      <c r="A736" s="147"/>
      <c r="B736" s="147"/>
      <c r="C736" s="160"/>
    </row>
    <row r="737" spans="1:3" x14ac:dyDescent="0.25">
      <c r="A737" s="147"/>
      <c r="B737" s="147"/>
      <c r="C737" s="160"/>
    </row>
    <row r="738" spans="1:3" x14ac:dyDescent="0.25">
      <c r="A738" s="147"/>
      <c r="B738" s="147"/>
      <c r="C738" s="160"/>
    </row>
    <row r="739" spans="1:3" x14ac:dyDescent="0.25">
      <c r="A739" s="147"/>
      <c r="B739" s="147"/>
      <c r="C739" s="160"/>
    </row>
    <row r="740" spans="1:3" x14ac:dyDescent="0.25">
      <c r="A740" s="147"/>
      <c r="B740" s="147"/>
      <c r="C740" s="160"/>
    </row>
    <row r="741" spans="1:3" x14ac:dyDescent="0.25">
      <c r="A741" s="147"/>
      <c r="B741" s="147"/>
      <c r="C741" s="160"/>
    </row>
    <row r="742" spans="1:3" x14ac:dyDescent="0.25">
      <c r="A742" s="147"/>
      <c r="B742" s="147"/>
      <c r="C742" s="160"/>
    </row>
    <row r="743" spans="1:3" x14ac:dyDescent="0.25">
      <c r="A743" s="147"/>
      <c r="B743" s="147"/>
      <c r="C743" s="160"/>
    </row>
    <row r="744" spans="1:3" x14ac:dyDescent="0.25">
      <c r="A744" s="147"/>
      <c r="B744" s="147"/>
      <c r="C744" s="160"/>
    </row>
    <row r="745" spans="1:3" x14ac:dyDescent="0.25">
      <c r="A745" s="147"/>
      <c r="B745" s="147"/>
      <c r="C745" s="160"/>
    </row>
    <row r="746" spans="1:3" x14ac:dyDescent="0.25">
      <c r="A746" s="147"/>
      <c r="B746" s="147"/>
      <c r="C746" s="160"/>
    </row>
    <row r="747" spans="1:3" x14ac:dyDescent="0.25">
      <c r="A747" s="147"/>
      <c r="B747" s="147"/>
      <c r="C747" s="160"/>
    </row>
    <row r="748" spans="1:3" x14ac:dyDescent="0.25">
      <c r="A748" s="147"/>
      <c r="B748" s="147"/>
      <c r="C748" s="160"/>
    </row>
    <row r="749" spans="1:3" x14ac:dyDescent="0.25">
      <c r="A749" s="147"/>
      <c r="B749" s="147"/>
      <c r="C749" s="160"/>
    </row>
    <row r="750" spans="1:3" x14ac:dyDescent="0.25">
      <c r="A750" s="147"/>
      <c r="B750" s="147"/>
      <c r="C750" s="160"/>
    </row>
    <row r="751" spans="1:3" x14ac:dyDescent="0.25">
      <c r="A751" s="147"/>
      <c r="B751" s="147"/>
      <c r="C751" s="160"/>
    </row>
    <row r="752" spans="1:3" x14ac:dyDescent="0.25">
      <c r="A752" s="147"/>
      <c r="B752" s="147"/>
      <c r="C752" s="160"/>
    </row>
    <row r="753" spans="1:3" x14ac:dyDescent="0.25">
      <c r="A753" s="147"/>
      <c r="B753" s="147"/>
      <c r="C753" s="160"/>
    </row>
    <row r="754" spans="1:3" x14ac:dyDescent="0.25">
      <c r="A754" s="147"/>
      <c r="B754" s="147"/>
      <c r="C754" s="160"/>
    </row>
    <row r="755" spans="1:3" x14ac:dyDescent="0.25">
      <c r="A755" s="147"/>
      <c r="B755" s="147"/>
      <c r="C755" s="160"/>
    </row>
    <row r="756" spans="1:3" x14ac:dyDescent="0.25">
      <c r="A756" s="147"/>
      <c r="B756" s="147"/>
      <c r="C756" s="160"/>
    </row>
    <row r="757" spans="1:3" x14ac:dyDescent="0.25">
      <c r="A757" s="147"/>
      <c r="B757" s="147"/>
      <c r="C757" s="160"/>
    </row>
    <row r="758" spans="1:3" x14ac:dyDescent="0.25">
      <c r="A758" s="147"/>
      <c r="B758" s="147"/>
      <c r="C758" s="160"/>
    </row>
    <row r="759" spans="1:3" x14ac:dyDescent="0.25">
      <c r="A759" s="147"/>
      <c r="B759" s="147"/>
      <c r="C759" s="160"/>
    </row>
    <row r="760" spans="1:3" x14ac:dyDescent="0.25">
      <c r="A760" s="147"/>
      <c r="B760" s="147"/>
      <c r="C760" s="160"/>
    </row>
    <row r="761" spans="1:3" x14ac:dyDescent="0.25">
      <c r="A761" s="147"/>
      <c r="B761" s="147"/>
      <c r="C761" s="160"/>
    </row>
    <row r="762" spans="1:3" x14ac:dyDescent="0.25">
      <c r="A762" s="147"/>
      <c r="B762" s="147"/>
      <c r="C762" s="160"/>
    </row>
    <row r="763" spans="1:3" x14ac:dyDescent="0.25">
      <c r="A763" s="147"/>
      <c r="B763" s="147"/>
      <c r="C763" s="160"/>
    </row>
    <row r="764" spans="1:3" x14ac:dyDescent="0.25">
      <c r="A764" s="147"/>
      <c r="B764" s="147"/>
      <c r="C764" s="160"/>
    </row>
    <row r="765" spans="1:3" x14ac:dyDescent="0.25">
      <c r="A765" s="147"/>
      <c r="B765" s="147"/>
      <c r="C765" s="160"/>
    </row>
    <row r="766" spans="1:3" x14ac:dyDescent="0.25">
      <c r="A766" s="147"/>
      <c r="B766" s="147"/>
      <c r="C766" s="160"/>
    </row>
    <row r="767" spans="1:3" x14ac:dyDescent="0.25">
      <c r="A767" s="147"/>
      <c r="B767" s="147"/>
      <c r="C767" s="160"/>
    </row>
    <row r="768" spans="1:3" x14ac:dyDescent="0.25">
      <c r="A768" s="147"/>
      <c r="B768" s="147"/>
      <c r="C768" s="160"/>
    </row>
    <row r="769" spans="1:3" x14ac:dyDescent="0.25">
      <c r="A769" s="147"/>
      <c r="B769" s="147"/>
      <c r="C769" s="160"/>
    </row>
    <row r="770" spans="1:3" x14ac:dyDescent="0.25">
      <c r="A770" s="147"/>
      <c r="B770" s="147"/>
      <c r="C770" s="160"/>
    </row>
    <row r="771" spans="1:3" x14ac:dyDescent="0.25">
      <c r="A771" s="147"/>
      <c r="B771" s="147"/>
      <c r="C771" s="160"/>
    </row>
    <row r="772" spans="1:3" x14ac:dyDescent="0.25">
      <c r="A772" s="147"/>
      <c r="B772" s="147"/>
      <c r="C772" s="160"/>
    </row>
    <row r="773" spans="1:3" x14ac:dyDescent="0.25">
      <c r="A773" s="147"/>
      <c r="B773" s="147"/>
      <c r="C773" s="160"/>
    </row>
    <row r="774" spans="1:3" x14ac:dyDescent="0.25">
      <c r="A774" s="147"/>
      <c r="B774" s="147"/>
      <c r="C774" s="160"/>
    </row>
    <row r="775" spans="1:3" x14ac:dyDescent="0.25">
      <c r="A775" s="147"/>
      <c r="B775" s="147"/>
      <c r="C775" s="160"/>
    </row>
    <row r="776" spans="1:3" x14ac:dyDescent="0.25">
      <c r="A776" s="147"/>
      <c r="B776" s="147"/>
      <c r="C776" s="160"/>
    </row>
    <row r="777" spans="1:3" x14ac:dyDescent="0.25">
      <c r="A777" s="147"/>
      <c r="B777" s="147"/>
      <c r="C777" s="160"/>
    </row>
    <row r="778" spans="1:3" x14ac:dyDescent="0.25">
      <c r="A778" s="147"/>
      <c r="B778" s="147"/>
      <c r="C778" s="160"/>
    </row>
    <row r="779" spans="1:3" x14ac:dyDescent="0.25">
      <c r="A779" s="147"/>
      <c r="B779" s="147"/>
      <c r="C779" s="160"/>
    </row>
    <row r="780" spans="1:3" x14ac:dyDescent="0.25">
      <c r="A780" s="147"/>
      <c r="B780" s="147"/>
      <c r="C780" s="160"/>
    </row>
    <row r="781" spans="1:3" x14ac:dyDescent="0.25">
      <c r="A781" s="147"/>
      <c r="B781" s="147"/>
      <c r="C781" s="160"/>
    </row>
    <row r="782" spans="1:3" x14ac:dyDescent="0.25">
      <c r="A782" s="147"/>
      <c r="B782" s="147"/>
      <c r="C782" s="160"/>
    </row>
    <row r="783" spans="1:3" x14ac:dyDescent="0.25">
      <c r="A783" s="147"/>
      <c r="B783" s="147"/>
      <c r="C783" s="160"/>
    </row>
    <row r="784" spans="1:3" x14ac:dyDescent="0.25">
      <c r="A784" s="147"/>
      <c r="B784" s="147"/>
      <c r="C784" s="160"/>
    </row>
    <row r="785" spans="1:3" x14ac:dyDescent="0.25">
      <c r="A785" s="147"/>
      <c r="B785" s="147"/>
      <c r="C785" s="160"/>
    </row>
    <row r="786" spans="1:3" x14ac:dyDescent="0.25">
      <c r="A786" s="147"/>
      <c r="B786" s="147"/>
      <c r="C786" s="160"/>
    </row>
    <row r="787" spans="1:3" x14ac:dyDescent="0.25">
      <c r="A787" s="147"/>
      <c r="B787" s="147"/>
      <c r="C787" s="160"/>
    </row>
    <row r="788" spans="1:3" x14ac:dyDescent="0.25">
      <c r="A788" s="147"/>
      <c r="B788" s="147"/>
      <c r="C788" s="160"/>
    </row>
    <row r="789" spans="1:3" x14ac:dyDescent="0.25">
      <c r="A789" s="147"/>
      <c r="B789" s="147"/>
      <c r="C789" s="160"/>
    </row>
    <row r="790" spans="1:3" x14ac:dyDescent="0.25">
      <c r="A790" s="147"/>
      <c r="B790" s="147"/>
      <c r="C790" s="160"/>
    </row>
    <row r="791" spans="1:3" x14ac:dyDescent="0.25">
      <c r="A791" s="147"/>
      <c r="B791" s="147"/>
      <c r="C791" s="160"/>
    </row>
    <row r="792" spans="1:3" x14ac:dyDescent="0.25">
      <c r="A792" s="147"/>
      <c r="B792" s="147"/>
      <c r="C792" s="160"/>
    </row>
    <row r="793" spans="1:3" x14ac:dyDescent="0.25">
      <c r="A793" s="147"/>
      <c r="B793" s="147"/>
      <c r="C793" s="160"/>
    </row>
    <row r="794" spans="1:3" x14ac:dyDescent="0.25">
      <c r="A794" s="147"/>
      <c r="B794" s="147"/>
      <c r="C794" s="160"/>
    </row>
    <row r="795" spans="1:3" x14ac:dyDescent="0.25">
      <c r="A795" s="147"/>
      <c r="B795" s="147"/>
      <c r="C795" s="160"/>
    </row>
    <row r="796" spans="1:3" x14ac:dyDescent="0.25">
      <c r="A796" s="147"/>
      <c r="B796" s="147"/>
      <c r="C796" s="160"/>
    </row>
    <row r="797" spans="1:3" x14ac:dyDescent="0.25">
      <c r="A797" s="147"/>
      <c r="B797" s="147"/>
      <c r="C797" s="160"/>
    </row>
    <row r="798" spans="1:3" x14ac:dyDescent="0.25">
      <c r="A798" s="147"/>
      <c r="B798" s="147"/>
      <c r="C798" s="160"/>
    </row>
    <row r="799" spans="1:3" x14ac:dyDescent="0.25">
      <c r="A799" s="147"/>
      <c r="B799" s="147"/>
      <c r="C799" s="160"/>
    </row>
    <row r="800" spans="1:3" x14ac:dyDescent="0.25">
      <c r="A800" s="147"/>
      <c r="B800" s="147"/>
      <c r="C800" s="160"/>
    </row>
    <row r="801" spans="1:3" x14ac:dyDescent="0.25">
      <c r="A801" s="147"/>
      <c r="B801" s="147"/>
      <c r="C801" s="160"/>
    </row>
    <row r="802" spans="1:3" x14ac:dyDescent="0.25">
      <c r="A802" s="147"/>
      <c r="B802" s="147"/>
      <c r="C802" s="160"/>
    </row>
    <row r="803" spans="1:3" x14ac:dyDescent="0.25">
      <c r="A803" s="147"/>
      <c r="B803" s="147"/>
      <c r="C803" s="160"/>
    </row>
    <row r="804" spans="1:3" x14ac:dyDescent="0.25">
      <c r="A804" s="147"/>
      <c r="B804" s="147"/>
      <c r="C804" s="160"/>
    </row>
    <row r="805" spans="1:3" x14ac:dyDescent="0.25">
      <c r="A805" s="147"/>
      <c r="B805" s="147"/>
      <c r="C805" s="160"/>
    </row>
    <row r="806" spans="1:3" x14ac:dyDescent="0.25">
      <c r="A806" s="147"/>
      <c r="B806" s="147"/>
      <c r="C806" s="160"/>
    </row>
    <row r="807" spans="1:3" x14ac:dyDescent="0.25">
      <c r="A807" s="147"/>
      <c r="B807" s="147"/>
      <c r="C807" s="160"/>
    </row>
    <row r="808" spans="1:3" x14ac:dyDescent="0.25">
      <c r="A808" s="147"/>
      <c r="B808" s="147"/>
      <c r="C808" s="160"/>
    </row>
    <row r="809" spans="1:3" x14ac:dyDescent="0.25">
      <c r="A809" s="147"/>
      <c r="B809" s="147"/>
      <c r="C809" s="160"/>
    </row>
    <row r="810" spans="1:3" x14ac:dyDescent="0.25">
      <c r="A810" s="147"/>
      <c r="B810" s="147"/>
      <c r="C810" s="160"/>
    </row>
    <row r="811" spans="1:3" x14ac:dyDescent="0.25">
      <c r="A811" s="147"/>
      <c r="B811" s="147"/>
      <c r="C811" s="160"/>
    </row>
    <row r="812" spans="1:3" x14ac:dyDescent="0.25">
      <c r="A812" s="147"/>
      <c r="B812" s="147"/>
      <c r="C812" s="160"/>
    </row>
    <row r="813" spans="1:3" x14ac:dyDescent="0.25">
      <c r="A813" s="147"/>
      <c r="B813" s="147"/>
      <c r="C813" s="160"/>
    </row>
    <row r="814" spans="1:3" x14ac:dyDescent="0.25">
      <c r="A814" s="147"/>
      <c r="B814" s="147"/>
      <c r="C814" s="160"/>
    </row>
    <row r="815" spans="1:3" x14ac:dyDescent="0.25">
      <c r="A815" s="147"/>
      <c r="B815" s="147"/>
      <c r="C815" s="160"/>
    </row>
    <row r="816" spans="1:3" x14ac:dyDescent="0.25">
      <c r="A816" s="147"/>
      <c r="B816" s="147"/>
      <c r="C816" s="160"/>
    </row>
    <row r="817" spans="1:3" x14ac:dyDescent="0.25">
      <c r="A817" s="147"/>
      <c r="B817" s="147"/>
      <c r="C817" s="160"/>
    </row>
    <row r="818" spans="1:3" x14ac:dyDescent="0.25">
      <c r="A818" s="147"/>
      <c r="B818" s="147"/>
      <c r="C818" s="160"/>
    </row>
    <row r="819" spans="1:3" x14ac:dyDescent="0.25">
      <c r="A819" s="147"/>
      <c r="B819" s="147"/>
      <c r="C819" s="160"/>
    </row>
    <row r="820" spans="1:3" x14ac:dyDescent="0.25">
      <c r="A820" s="147"/>
      <c r="B820" s="147"/>
      <c r="C820" s="160"/>
    </row>
    <row r="821" spans="1:3" x14ac:dyDescent="0.25">
      <c r="A821" s="147"/>
      <c r="B821" s="147"/>
      <c r="C821" s="160"/>
    </row>
    <row r="822" spans="1:3" x14ac:dyDescent="0.25">
      <c r="A822" s="147"/>
      <c r="B822" s="147"/>
      <c r="C822" s="160"/>
    </row>
    <row r="823" spans="1:3" x14ac:dyDescent="0.25">
      <c r="A823" s="147"/>
      <c r="B823" s="147"/>
      <c r="C823" s="160"/>
    </row>
    <row r="824" spans="1:3" x14ac:dyDescent="0.25">
      <c r="A824" s="147"/>
      <c r="B824" s="147"/>
      <c r="C824" s="160"/>
    </row>
    <row r="825" spans="1:3" x14ac:dyDescent="0.25">
      <c r="A825" s="147"/>
      <c r="B825" s="147"/>
      <c r="C825" s="160"/>
    </row>
    <row r="826" spans="1:3" x14ac:dyDescent="0.25">
      <c r="A826" s="147"/>
      <c r="B826" s="147"/>
      <c r="C826" s="160"/>
    </row>
    <row r="827" spans="1:3" x14ac:dyDescent="0.25">
      <c r="A827" s="147"/>
      <c r="B827" s="147"/>
      <c r="C827" s="160"/>
    </row>
    <row r="828" spans="1:3" x14ac:dyDescent="0.25">
      <c r="A828" s="147"/>
      <c r="B828" s="147"/>
      <c r="C828" s="160"/>
    </row>
    <row r="829" spans="1:3" x14ac:dyDescent="0.25">
      <c r="A829" s="147"/>
      <c r="B829" s="147"/>
      <c r="C829" s="160"/>
    </row>
    <row r="830" spans="1:3" x14ac:dyDescent="0.25">
      <c r="A830" s="147"/>
      <c r="B830" s="147"/>
      <c r="C830" s="160"/>
    </row>
    <row r="831" spans="1:3" x14ac:dyDescent="0.25">
      <c r="A831" s="147"/>
      <c r="B831" s="147"/>
      <c r="C831" s="160"/>
    </row>
    <row r="832" spans="1:3" x14ac:dyDescent="0.25">
      <c r="A832" s="147"/>
      <c r="B832" s="147"/>
      <c r="C832" s="160"/>
    </row>
    <row r="833" spans="1:3" x14ac:dyDescent="0.25">
      <c r="A833" s="147"/>
      <c r="B833" s="147"/>
      <c r="C833" s="160"/>
    </row>
    <row r="834" spans="1:3" x14ac:dyDescent="0.25">
      <c r="A834" s="147"/>
      <c r="B834" s="147"/>
      <c r="C834" s="160"/>
    </row>
    <row r="835" spans="1:3" x14ac:dyDescent="0.25">
      <c r="A835" s="147"/>
      <c r="B835" s="147"/>
      <c r="C835" s="160"/>
    </row>
    <row r="836" spans="1:3" x14ac:dyDescent="0.25">
      <c r="A836" s="147"/>
      <c r="B836" s="147"/>
      <c r="C836" s="160"/>
    </row>
    <row r="837" spans="1:3" x14ac:dyDescent="0.25">
      <c r="A837" s="147"/>
      <c r="B837" s="147"/>
      <c r="C837" s="160"/>
    </row>
    <row r="838" spans="1:3" x14ac:dyDescent="0.25">
      <c r="A838" s="147"/>
      <c r="B838" s="147"/>
      <c r="C838" s="160"/>
    </row>
    <row r="839" spans="1:3" x14ac:dyDescent="0.25">
      <c r="A839" s="147"/>
      <c r="B839" s="147"/>
      <c r="C839" s="160"/>
    </row>
    <row r="840" spans="1:3" x14ac:dyDescent="0.25">
      <c r="A840" s="147"/>
      <c r="B840" s="147"/>
      <c r="C840" s="160"/>
    </row>
    <row r="841" spans="1:3" x14ac:dyDescent="0.25">
      <c r="A841" s="147"/>
      <c r="B841" s="147"/>
      <c r="C841" s="160"/>
    </row>
    <row r="842" spans="1:3" x14ac:dyDescent="0.25">
      <c r="A842" s="147"/>
      <c r="B842" s="147"/>
      <c r="C842" s="160"/>
    </row>
    <row r="843" spans="1:3" x14ac:dyDescent="0.25">
      <c r="A843" s="147"/>
      <c r="B843" s="147"/>
      <c r="C843" s="160"/>
    </row>
    <row r="844" spans="1:3" x14ac:dyDescent="0.25">
      <c r="A844" s="147"/>
      <c r="B844" s="147"/>
      <c r="C844" s="160"/>
    </row>
    <row r="845" spans="1:3" x14ac:dyDescent="0.25">
      <c r="A845" s="147"/>
      <c r="B845" s="147"/>
      <c r="C845" s="160"/>
    </row>
    <row r="846" spans="1:3" x14ac:dyDescent="0.25">
      <c r="A846" s="147"/>
      <c r="B846" s="147"/>
      <c r="C846" s="160"/>
    </row>
    <row r="847" spans="1:3" x14ac:dyDescent="0.25">
      <c r="A847" s="147"/>
      <c r="B847" s="147"/>
      <c r="C847" s="160"/>
    </row>
    <row r="848" spans="1:3" x14ac:dyDescent="0.25">
      <c r="A848" s="147"/>
      <c r="B848" s="147"/>
      <c r="C848" s="160"/>
    </row>
    <row r="849" spans="1:3" x14ac:dyDescent="0.25">
      <c r="A849" s="147"/>
      <c r="B849" s="147"/>
      <c r="C849" s="160"/>
    </row>
    <row r="850" spans="1:3" x14ac:dyDescent="0.25">
      <c r="A850" s="147"/>
      <c r="B850" s="147"/>
      <c r="C850" s="160"/>
    </row>
    <row r="851" spans="1:3" x14ac:dyDescent="0.25">
      <c r="A851" s="147"/>
      <c r="B851" s="147"/>
      <c r="C851" s="160"/>
    </row>
    <row r="852" spans="1:3" x14ac:dyDescent="0.25">
      <c r="A852" s="147"/>
      <c r="B852" s="147"/>
      <c r="C852" s="160"/>
    </row>
    <row r="853" spans="1:3" x14ac:dyDescent="0.25">
      <c r="A853" s="147"/>
      <c r="B853" s="147"/>
      <c r="C853" s="160"/>
    </row>
    <row r="854" spans="1:3" x14ac:dyDescent="0.25">
      <c r="A854" s="147"/>
      <c r="B854" s="147"/>
      <c r="C854" s="160"/>
    </row>
    <row r="855" spans="1:3" x14ac:dyDescent="0.25">
      <c r="A855" s="147"/>
      <c r="B855" s="147"/>
      <c r="C855" s="160"/>
    </row>
    <row r="856" spans="1:3" x14ac:dyDescent="0.25">
      <c r="A856" s="147"/>
      <c r="B856" s="147"/>
      <c r="C856" s="160"/>
    </row>
    <row r="857" spans="1:3" x14ac:dyDescent="0.25">
      <c r="A857" s="147"/>
      <c r="B857" s="147"/>
      <c r="C857" s="160"/>
    </row>
    <row r="858" spans="1:3" x14ac:dyDescent="0.25">
      <c r="A858" s="147"/>
      <c r="B858" s="147"/>
      <c r="C858" s="160"/>
    </row>
    <row r="859" spans="1:3" x14ac:dyDescent="0.25">
      <c r="A859" s="147"/>
      <c r="B859" s="147"/>
      <c r="C859" s="160"/>
    </row>
    <row r="860" spans="1:3" x14ac:dyDescent="0.25">
      <c r="A860" s="147"/>
      <c r="B860" s="147"/>
      <c r="C860" s="160"/>
    </row>
    <row r="861" spans="1:3" x14ac:dyDescent="0.25">
      <c r="A861" s="147"/>
      <c r="B861" s="147"/>
      <c r="C861" s="160"/>
    </row>
    <row r="862" spans="1:3" x14ac:dyDescent="0.25">
      <c r="A862" s="147"/>
      <c r="B862" s="147"/>
      <c r="C862" s="160"/>
    </row>
    <row r="863" spans="1:3" x14ac:dyDescent="0.25">
      <c r="A863" s="147"/>
      <c r="B863" s="147"/>
      <c r="C863" s="160"/>
    </row>
    <row r="864" spans="1:3" x14ac:dyDescent="0.25">
      <c r="A864" s="147"/>
      <c r="B864" s="147"/>
      <c r="C864" s="160"/>
    </row>
    <row r="865" spans="1:3" x14ac:dyDescent="0.25">
      <c r="A865" s="147"/>
      <c r="B865" s="147"/>
      <c r="C865" s="160"/>
    </row>
    <row r="866" spans="1:3" x14ac:dyDescent="0.25">
      <c r="A866" s="147"/>
      <c r="B866" s="147"/>
      <c r="C866" s="160"/>
    </row>
    <row r="867" spans="1:3" x14ac:dyDescent="0.25">
      <c r="A867" s="147"/>
      <c r="B867" s="147"/>
      <c r="C867" s="160"/>
    </row>
    <row r="868" spans="1:3" x14ac:dyDescent="0.25">
      <c r="A868" s="147"/>
      <c r="B868" s="147"/>
      <c r="C868" s="160"/>
    </row>
    <row r="869" spans="1:3" x14ac:dyDescent="0.25">
      <c r="A869" s="147"/>
      <c r="B869" s="147"/>
      <c r="C869" s="160"/>
    </row>
    <row r="870" spans="1:3" x14ac:dyDescent="0.25">
      <c r="A870" s="147"/>
      <c r="B870" s="147"/>
      <c r="C870" s="160"/>
    </row>
    <row r="871" spans="1:3" x14ac:dyDescent="0.25">
      <c r="A871" s="147"/>
      <c r="B871" s="147"/>
      <c r="C871" s="160"/>
    </row>
    <row r="872" spans="1:3" x14ac:dyDescent="0.25">
      <c r="A872" s="147"/>
      <c r="B872" s="147"/>
      <c r="C872" s="160"/>
    </row>
    <row r="873" spans="1:3" x14ac:dyDescent="0.25">
      <c r="A873" s="147"/>
      <c r="B873" s="147"/>
      <c r="C873" s="160"/>
    </row>
    <row r="874" spans="1:3" x14ac:dyDescent="0.25">
      <c r="A874" s="147"/>
      <c r="B874" s="147"/>
      <c r="C874" s="160"/>
    </row>
    <row r="875" spans="1:3" x14ac:dyDescent="0.25">
      <c r="A875" s="147"/>
      <c r="B875" s="147"/>
      <c r="C875" s="160"/>
    </row>
    <row r="876" spans="1:3" x14ac:dyDescent="0.25">
      <c r="A876" s="147"/>
      <c r="B876" s="147"/>
      <c r="C876" s="160"/>
    </row>
    <row r="877" spans="1:3" x14ac:dyDescent="0.25">
      <c r="A877" s="147"/>
      <c r="B877" s="147"/>
      <c r="C877" s="160"/>
    </row>
    <row r="878" spans="1:3" x14ac:dyDescent="0.25">
      <c r="A878" s="147"/>
      <c r="B878" s="147"/>
      <c r="C878" s="160"/>
    </row>
    <row r="879" spans="1:3" x14ac:dyDescent="0.25">
      <c r="A879" s="147"/>
      <c r="B879" s="147"/>
      <c r="C879" s="160"/>
    </row>
    <row r="880" spans="1:3" x14ac:dyDescent="0.25">
      <c r="A880" s="147"/>
      <c r="B880" s="147"/>
      <c r="C880" s="160"/>
    </row>
    <row r="881" spans="1:3" x14ac:dyDescent="0.25">
      <c r="A881" s="147"/>
      <c r="B881" s="147"/>
      <c r="C881" s="160"/>
    </row>
    <row r="882" spans="1:3" x14ac:dyDescent="0.25">
      <c r="A882" s="147"/>
      <c r="B882" s="147"/>
      <c r="C882" s="160"/>
    </row>
    <row r="883" spans="1:3" x14ac:dyDescent="0.25">
      <c r="A883" s="147"/>
      <c r="B883" s="147"/>
      <c r="C883" s="160"/>
    </row>
    <row r="884" spans="1:3" x14ac:dyDescent="0.25">
      <c r="A884" s="147"/>
      <c r="B884" s="147"/>
      <c r="C884" s="160"/>
    </row>
    <row r="885" spans="1:3" x14ac:dyDescent="0.25">
      <c r="A885" s="147"/>
      <c r="B885" s="147"/>
      <c r="C885" s="160"/>
    </row>
    <row r="886" spans="1:3" x14ac:dyDescent="0.25">
      <c r="A886" s="147"/>
      <c r="B886" s="147"/>
      <c r="C886" s="160"/>
    </row>
    <row r="887" spans="1:3" x14ac:dyDescent="0.25">
      <c r="A887" s="147"/>
      <c r="B887" s="147"/>
      <c r="C887" s="160"/>
    </row>
    <row r="888" spans="1:3" x14ac:dyDescent="0.25">
      <c r="A888" s="147"/>
      <c r="B888" s="147"/>
      <c r="C888" s="160"/>
    </row>
    <row r="889" spans="1:3" x14ac:dyDescent="0.25">
      <c r="A889" s="147"/>
      <c r="B889" s="147"/>
      <c r="C889" s="160"/>
    </row>
    <row r="890" spans="1:3" x14ac:dyDescent="0.25">
      <c r="A890" s="147"/>
      <c r="B890" s="147"/>
      <c r="C890" s="160"/>
    </row>
    <row r="891" spans="1:3" x14ac:dyDescent="0.25">
      <c r="A891" s="147"/>
      <c r="B891" s="147"/>
      <c r="C891" s="160"/>
    </row>
    <row r="892" spans="1:3" x14ac:dyDescent="0.25">
      <c r="A892" s="147"/>
      <c r="B892" s="147"/>
      <c r="C892" s="160"/>
    </row>
    <row r="893" spans="1:3" x14ac:dyDescent="0.25">
      <c r="A893" s="147"/>
      <c r="B893" s="147"/>
      <c r="C893" s="160"/>
    </row>
    <row r="894" spans="1:3" x14ac:dyDescent="0.25">
      <c r="A894" s="147"/>
      <c r="B894" s="147"/>
      <c r="C894" s="160"/>
    </row>
    <row r="895" spans="1:3" x14ac:dyDescent="0.25">
      <c r="A895" s="147"/>
      <c r="B895" s="147"/>
      <c r="C895" s="160"/>
    </row>
    <row r="896" spans="1:3" x14ac:dyDescent="0.25">
      <c r="A896" s="147"/>
      <c r="B896" s="147"/>
      <c r="C896" s="160"/>
    </row>
    <row r="897" spans="1:3" x14ac:dyDescent="0.25">
      <c r="A897" s="147"/>
      <c r="B897" s="147"/>
      <c r="C897" s="160"/>
    </row>
    <row r="898" spans="1:3" x14ac:dyDescent="0.25">
      <c r="A898" s="147"/>
      <c r="B898" s="147"/>
      <c r="C898" s="160"/>
    </row>
    <row r="899" spans="1:3" x14ac:dyDescent="0.25">
      <c r="A899" s="147"/>
      <c r="B899" s="147"/>
      <c r="C899" s="160"/>
    </row>
    <row r="900" spans="1:3" x14ac:dyDescent="0.25">
      <c r="A900" s="147"/>
      <c r="B900" s="147"/>
      <c r="C900" s="160"/>
    </row>
    <row r="901" spans="1:3" x14ac:dyDescent="0.25">
      <c r="A901" s="147"/>
      <c r="B901" s="147"/>
      <c r="C901" s="160"/>
    </row>
    <row r="902" spans="1:3" x14ac:dyDescent="0.25">
      <c r="A902" s="147"/>
      <c r="B902" s="147"/>
      <c r="C902" s="160"/>
    </row>
    <row r="903" spans="1:3" x14ac:dyDescent="0.25">
      <c r="A903" s="147"/>
      <c r="B903" s="147"/>
      <c r="C903" s="160"/>
    </row>
    <row r="904" spans="1:3" x14ac:dyDescent="0.25">
      <c r="A904" s="147"/>
      <c r="B904" s="147"/>
      <c r="C904" s="160"/>
    </row>
    <row r="905" spans="1:3" x14ac:dyDescent="0.25">
      <c r="A905" s="147"/>
      <c r="B905" s="147"/>
      <c r="C905" s="160"/>
    </row>
    <row r="906" spans="1:3" x14ac:dyDescent="0.25">
      <c r="A906" s="147"/>
      <c r="B906" s="147"/>
      <c r="C906" s="160"/>
    </row>
    <row r="907" spans="1:3" x14ac:dyDescent="0.25">
      <c r="A907" s="147"/>
      <c r="B907" s="147"/>
      <c r="C907" s="160"/>
    </row>
    <row r="908" spans="1:3" x14ac:dyDescent="0.25">
      <c r="A908" s="147"/>
      <c r="B908" s="147"/>
      <c r="C908" s="160"/>
    </row>
    <row r="909" spans="1:3" x14ac:dyDescent="0.25">
      <c r="A909" s="147"/>
      <c r="B909" s="147"/>
      <c r="C909" s="160"/>
    </row>
    <row r="910" spans="1:3" x14ac:dyDescent="0.25">
      <c r="A910" s="147"/>
      <c r="B910" s="147"/>
      <c r="C910" s="160"/>
    </row>
    <row r="911" spans="1:3" x14ac:dyDescent="0.25">
      <c r="A911" s="147"/>
      <c r="B911" s="147"/>
      <c r="C911" s="160"/>
    </row>
    <row r="912" spans="1:3" x14ac:dyDescent="0.25">
      <c r="A912" s="147"/>
      <c r="B912" s="147"/>
      <c r="C912" s="160"/>
    </row>
    <row r="913" spans="1:3" x14ac:dyDescent="0.25">
      <c r="A913" s="147"/>
      <c r="B913" s="147"/>
      <c r="C913" s="160"/>
    </row>
    <row r="914" spans="1:3" x14ac:dyDescent="0.25">
      <c r="A914" s="147"/>
      <c r="B914" s="147"/>
      <c r="C914" s="160"/>
    </row>
    <row r="915" spans="1:3" x14ac:dyDescent="0.25">
      <c r="A915" s="147"/>
      <c r="B915" s="147"/>
      <c r="C915" s="160"/>
    </row>
    <row r="916" spans="1:3" x14ac:dyDescent="0.25">
      <c r="A916" s="147"/>
      <c r="B916" s="147"/>
      <c r="C916" s="160"/>
    </row>
    <row r="917" spans="1:3" x14ac:dyDescent="0.25">
      <c r="A917" s="147"/>
      <c r="B917" s="147"/>
      <c r="C917" s="160"/>
    </row>
    <row r="918" spans="1:3" x14ac:dyDescent="0.25">
      <c r="A918" s="147"/>
      <c r="B918" s="147"/>
      <c r="C918" s="160"/>
    </row>
    <row r="919" spans="1:3" x14ac:dyDescent="0.25">
      <c r="A919" s="147"/>
      <c r="B919" s="147"/>
      <c r="C919" s="160"/>
    </row>
    <row r="920" spans="1:3" x14ac:dyDescent="0.25">
      <c r="A920" s="147"/>
      <c r="B920" s="147"/>
      <c r="C920" s="160"/>
    </row>
    <row r="921" spans="1:3" x14ac:dyDescent="0.25">
      <c r="A921" s="147"/>
      <c r="B921" s="147"/>
      <c r="C921" s="160"/>
    </row>
    <row r="922" spans="1:3" x14ac:dyDescent="0.25">
      <c r="A922" s="147"/>
      <c r="B922" s="147"/>
      <c r="C922" s="160"/>
    </row>
    <row r="923" spans="1:3" x14ac:dyDescent="0.25">
      <c r="A923" s="147"/>
      <c r="B923" s="147"/>
      <c r="C923" s="160"/>
    </row>
    <row r="924" spans="1:3" x14ac:dyDescent="0.25">
      <c r="A924" s="147"/>
      <c r="B924" s="147"/>
      <c r="C924" s="160"/>
    </row>
    <row r="925" spans="1:3" x14ac:dyDescent="0.25">
      <c r="A925" s="147"/>
      <c r="B925" s="147"/>
      <c r="C925" s="160"/>
    </row>
    <row r="926" spans="1:3" x14ac:dyDescent="0.25">
      <c r="A926" s="147"/>
      <c r="B926" s="147"/>
      <c r="C926" s="160"/>
    </row>
    <row r="927" spans="1:3" x14ac:dyDescent="0.25">
      <c r="A927" s="147"/>
      <c r="B927" s="147"/>
      <c r="C927" s="160"/>
    </row>
    <row r="928" spans="1:3" x14ac:dyDescent="0.25">
      <c r="A928" s="147"/>
      <c r="B928" s="147"/>
      <c r="C928" s="160"/>
    </row>
    <row r="929" spans="1:3" x14ac:dyDescent="0.25">
      <c r="A929" s="147"/>
      <c r="B929" s="147"/>
      <c r="C929" s="160"/>
    </row>
    <row r="930" spans="1:3" x14ac:dyDescent="0.25">
      <c r="A930" s="147"/>
      <c r="B930" s="147"/>
      <c r="C930" s="160"/>
    </row>
    <row r="931" spans="1:3" x14ac:dyDescent="0.25">
      <c r="A931" s="147"/>
      <c r="B931" s="147"/>
      <c r="C931" s="160"/>
    </row>
    <row r="932" spans="1:3" x14ac:dyDescent="0.25">
      <c r="A932" s="147"/>
      <c r="B932" s="147"/>
      <c r="C932" s="160"/>
    </row>
    <row r="933" spans="1:3" x14ac:dyDescent="0.25">
      <c r="A933" s="147"/>
      <c r="B933" s="147"/>
      <c r="C933" s="160"/>
    </row>
    <row r="934" spans="1:3" x14ac:dyDescent="0.25">
      <c r="A934" s="147"/>
      <c r="B934" s="147"/>
      <c r="C934" s="160"/>
    </row>
    <row r="935" spans="1:3" x14ac:dyDescent="0.25">
      <c r="A935" s="147"/>
      <c r="B935" s="147"/>
      <c r="C935" s="160"/>
    </row>
    <row r="936" spans="1:3" x14ac:dyDescent="0.25">
      <c r="A936" s="147"/>
      <c r="B936" s="147"/>
      <c r="C936" s="160"/>
    </row>
    <row r="937" spans="1:3" x14ac:dyDescent="0.25">
      <c r="A937" s="147"/>
      <c r="B937" s="147"/>
      <c r="C937" s="160"/>
    </row>
    <row r="938" spans="1:3" x14ac:dyDescent="0.25">
      <c r="A938" s="147"/>
      <c r="B938" s="147"/>
      <c r="C938" s="160"/>
    </row>
    <row r="939" spans="1:3" x14ac:dyDescent="0.25">
      <c r="A939" s="147"/>
      <c r="B939" s="147"/>
      <c r="C939" s="160"/>
    </row>
    <row r="940" spans="1:3" x14ac:dyDescent="0.25">
      <c r="A940" s="147"/>
      <c r="B940" s="147"/>
      <c r="C940" s="160"/>
    </row>
    <row r="941" spans="1:3" x14ac:dyDescent="0.25">
      <c r="A941" s="147"/>
      <c r="B941" s="147"/>
      <c r="C941" s="160"/>
    </row>
    <row r="942" spans="1:3" x14ac:dyDescent="0.25">
      <c r="A942" s="147"/>
      <c r="B942" s="147"/>
      <c r="C942" s="160"/>
    </row>
    <row r="943" spans="1:3" x14ac:dyDescent="0.25">
      <c r="A943" s="147"/>
      <c r="B943" s="147"/>
      <c r="C943" s="160"/>
    </row>
    <row r="944" spans="1:3" x14ac:dyDescent="0.25">
      <c r="A944" s="147"/>
      <c r="B944" s="147"/>
      <c r="C944" s="160"/>
    </row>
    <row r="945" spans="1:3" x14ac:dyDescent="0.25">
      <c r="A945" s="147"/>
      <c r="B945" s="147"/>
      <c r="C945" s="160"/>
    </row>
    <row r="946" spans="1:3" x14ac:dyDescent="0.25">
      <c r="A946" s="147"/>
      <c r="B946" s="147"/>
      <c r="C946" s="160"/>
    </row>
    <row r="947" spans="1:3" x14ac:dyDescent="0.25">
      <c r="A947" s="147"/>
      <c r="B947" s="147"/>
      <c r="C947" s="160"/>
    </row>
    <row r="948" spans="1:3" x14ac:dyDescent="0.25">
      <c r="A948" s="147"/>
      <c r="B948" s="147"/>
      <c r="C948" s="160"/>
    </row>
    <row r="949" spans="1:3" x14ac:dyDescent="0.25">
      <c r="A949" s="147"/>
      <c r="B949" s="147"/>
      <c r="C949" s="160"/>
    </row>
    <row r="950" spans="1:3" x14ac:dyDescent="0.25">
      <c r="A950" s="147"/>
      <c r="B950" s="147"/>
      <c r="C950" s="160"/>
    </row>
    <row r="951" spans="1:3" x14ac:dyDescent="0.25">
      <c r="A951" s="147"/>
      <c r="B951" s="147"/>
      <c r="C951" s="160"/>
    </row>
    <row r="952" spans="1:3" x14ac:dyDescent="0.25">
      <c r="A952" s="147"/>
      <c r="B952" s="147"/>
      <c r="C952" s="160"/>
    </row>
    <row r="953" spans="1:3" x14ac:dyDescent="0.25">
      <c r="A953" s="147"/>
      <c r="B953" s="147"/>
      <c r="C953" s="160"/>
    </row>
    <row r="954" spans="1:3" x14ac:dyDescent="0.25">
      <c r="A954" s="147"/>
      <c r="B954" s="147"/>
      <c r="C954" s="160"/>
    </row>
    <row r="955" spans="1:3" x14ac:dyDescent="0.25">
      <c r="A955" s="147"/>
      <c r="B955" s="147"/>
      <c r="C955" s="160"/>
    </row>
    <row r="956" spans="1:3" x14ac:dyDescent="0.25">
      <c r="A956" s="147"/>
      <c r="B956" s="147"/>
      <c r="C956" s="160"/>
    </row>
    <row r="957" spans="1:3" x14ac:dyDescent="0.25">
      <c r="A957" s="147"/>
      <c r="B957" s="147"/>
      <c r="C957" s="160"/>
    </row>
    <row r="958" spans="1:3" x14ac:dyDescent="0.25">
      <c r="A958" s="147"/>
      <c r="B958" s="147"/>
      <c r="C958" s="160"/>
    </row>
    <row r="959" spans="1:3" x14ac:dyDescent="0.25">
      <c r="A959" s="147"/>
      <c r="B959" s="147"/>
      <c r="C959" s="160"/>
    </row>
    <row r="960" spans="1:3" x14ac:dyDescent="0.25">
      <c r="A960" s="147"/>
      <c r="B960" s="147"/>
      <c r="C960" s="160"/>
    </row>
    <row r="961" spans="1:3" x14ac:dyDescent="0.25">
      <c r="A961" s="147"/>
      <c r="B961" s="147"/>
      <c r="C961" s="160"/>
    </row>
    <row r="962" spans="1:3" x14ac:dyDescent="0.25">
      <c r="A962" s="147"/>
      <c r="B962" s="147"/>
      <c r="C962" s="160"/>
    </row>
    <row r="963" spans="1:3" x14ac:dyDescent="0.25">
      <c r="A963" s="147"/>
      <c r="B963" s="147"/>
      <c r="C963" s="160"/>
    </row>
    <row r="964" spans="1:3" x14ac:dyDescent="0.25">
      <c r="A964" s="147"/>
      <c r="B964" s="147"/>
      <c r="C964" s="160"/>
    </row>
    <row r="965" spans="1:3" x14ac:dyDescent="0.25">
      <c r="A965" s="147"/>
      <c r="B965" s="147"/>
      <c r="C965" s="160"/>
    </row>
    <row r="966" spans="1:3" x14ac:dyDescent="0.25">
      <c r="A966" s="147"/>
      <c r="B966" s="147"/>
      <c r="C966" s="160"/>
    </row>
    <row r="967" spans="1:3" x14ac:dyDescent="0.25">
      <c r="A967" s="147"/>
      <c r="B967" s="147"/>
      <c r="C967" s="160"/>
    </row>
    <row r="968" spans="1:3" x14ac:dyDescent="0.25">
      <c r="A968" s="147"/>
      <c r="B968" s="147"/>
      <c r="C968" s="160"/>
    </row>
    <row r="969" spans="1:3" x14ac:dyDescent="0.25">
      <c r="A969" s="147"/>
      <c r="B969" s="147"/>
      <c r="C969" s="160"/>
    </row>
    <row r="970" spans="1:3" x14ac:dyDescent="0.25">
      <c r="A970" s="147"/>
      <c r="B970" s="147"/>
      <c r="C970" s="160"/>
    </row>
    <row r="971" spans="1:3" x14ac:dyDescent="0.25">
      <c r="A971" s="147"/>
      <c r="B971" s="147"/>
      <c r="C971" s="160"/>
    </row>
    <row r="972" spans="1:3" x14ac:dyDescent="0.25">
      <c r="A972" s="147"/>
      <c r="B972" s="147"/>
      <c r="C972" s="160"/>
    </row>
    <row r="973" spans="1:3" x14ac:dyDescent="0.25">
      <c r="A973" s="147"/>
      <c r="B973" s="147"/>
      <c r="C973" s="160"/>
    </row>
    <row r="974" spans="1:3" x14ac:dyDescent="0.25">
      <c r="A974" s="147"/>
      <c r="B974" s="147"/>
      <c r="C974" s="160"/>
    </row>
    <row r="975" spans="1:3" x14ac:dyDescent="0.25">
      <c r="A975" s="147"/>
      <c r="B975" s="147"/>
      <c r="C975" s="160"/>
    </row>
    <row r="976" spans="1:3" x14ac:dyDescent="0.25">
      <c r="A976" s="147"/>
      <c r="B976" s="147"/>
      <c r="C976" s="160"/>
    </row>
    <row r="977" spans="1:3" x14ac:dyDescent="0.25">
      <c r="A977" s="147"/>
      <c r="B977" s="147"/>
      <c r="C977" s="160"/>
    </row>
    <row r="978" spans="1:3" x14ac:dyDescent="0.25">
      <c r="A978" s="147"/>
      <c r="B978" s="147"/>
      <c r="C978" s="160"/>
    </row>
    <row r="979" spans="1:3" x14ac:dyDescent="0.25">
      <c r="A979" s="147"/>
      <c r="B979" s="147"/>
      <c r="C979" s="160"/>
    </row>
    <row r="980" spans="1:3" x14ac:dyDescent="0.25">
      <c r="A980" s="147"/>
      <c r="B980" s="147"/>
      <c r="C980" s="160"/>
    </row>
    <row r="981" spans="1:3" x14ac:dyDescent="0.25">
      <c r="A981" s="147"/>
      <c r="B981" s="147"/>
      <c r="C981" s="160"/>
    </row>
    <row r="982" spans="1:3" x14ac:dyDescent="0.25">
      <c r="A982" s="147"/>
      <c r="B982" s="147"/>
      <c r="C982" s="160"/>
    </row>
    <row r="983" spans="1:3" x14ac:dyDescent="0.25">
      <c r="A983" s="147"/>
      <c r="B983" s="147"/>
      <c r="C983" s="160"/>
    </row>
    <row r="984" spans="1:3" x14ac:dyDescent="0.25">
      <c r="A984" s="147"/>
      <c r="B984" s="147"/>
      <c r="C984" s="160"/>
    </row>
    <row r="985" spans="1:3" x14ac:dyDescent="0.25">
      <c r="A985" s="147"/>
      <c r="B985" s="147"/>
      <c r="C985" s="160"/>
    </row>
    <row r="986" spans="1:3" x14ac:dyDescent="0.25">
      <c r="A986" s="147"/>
      <c r="B986" s="147"/>
      <c r="C986" s="160"/>
    </row>
    <row r="987" spans="1:3" x14ac:dyDescent="0.25">
      <c r="A987" s="147"/>
      <c r="B987" s="147"/>
      <c r="C987" s="160"/>
    </row>
    <row r="988" spans="1:3" x14ac:dyDescent="0.25">
      <c r="A988" s="147"/>
      <c r="B988" s="147"/>
      <c r="C988" s="160"/>
    </row>
    <row r="989" spans="1:3" x14ac:dyDescent="0.25">
      <c r="A989" s="147"/>
      <c r="B989" s="147"/>
      <c r="C989" s="160"/>
    </row>
    <row r="990" spans="1:3" x14ac:dyDescent="0.25">
      <c r="A990" s="147"/>
      <c r="B990" s="147"/>
      <c r="C990" s="160"/>
    </row>
    <row r="991" spans="1:3" x14ac:dyDescent="0.25">
      <c r="A991" s="147"/>
      <c r="B991" s="147"/>
      <c r="C991" s="160"/>
    </row>
    <row r="992" spans="1:3" x14ac:dyDescent="0.25">
      <c r="A992" s="147"/>
      <c r="B992" s="147"/>
      <c r="C992" s="160"/>
    </row>
    <row r="993" spans="1:3" x14ac:dyDescent="0.25">
      <c r="A993" s="147"/>
      <c r="B993" s="147"/>
      <c r="C993" s="160"/>
    </row>
    <row r="994" spans="1:3" x14ac:dyDescent="0.25">
      <c r="A994" s="147"/>
      <c r="B994" s="147"/>
      <c r="C994" s="160"/>
    </row>
    <row r="995" spans="1:3" x14ac:dyDescent="0.25">
      <c r="A995" s="147"/>
      <c r="B995" s="147"/>
      <c r="C995" s="160"/>
    </row>
    <row r="996" spans="1:3" x14ac:dyDescent="0.25">
      <c r="A996" s="147"/>
      <c r="B996" s="147"/>
      <c r="C996" s="160"/>
    </row>
    <row r="997" spans="1:3" x14ac:dyDescent="0.25">
      <c r="A997" s="147"/>
      <c r="B997" s="147"/>
      <c r="C997" s="160"/>
    </row>
    <row r="998" spans="1:3" x14ac:dyDescent="0.25">
      <c r="A998" s="147"/>
      <c r="B998" s="147"/>
      <c r="C998" s="160"/>
    </row>
    <row r="999" spans="1:3" x14ac:dyDescent="0.25">
      <c r="A999" s="147"/>
      <c r="B999" s="147"/>
      <c r="C999" s="160"/>
    </row>
    <row r="1000" spans="1:3" x14ac:dyDescent="0.25">
      <c r="A1000" s="147"/>
      <c r="B1000" s="147"/>
      <c r="C1000" s="160"/>
    </row>
    <row r="1001" spans="1:3" x14ac:dyDescent="0.25">
      <c r="A1001" s="147"/>
      <c r="B1001" s="147"/>
      <c r="C1001" s="160"/>
    </row>
  </sheetData>
  <conditionalFormatting sqref="A16:A296">
    <cfRule type="timePeriod" dxfId="4" priority="1" timePeriod="today">
      <formula>FLOOR(A16,1)=TODAY()</formula>
    </cfRule>
  </conditionalFormatting>
  <conditionalFormatting sqref="A3:C296">
    <cfRule type="expression" dxfId="3" priority="2">
      <formula>OR(MOD(ROW(),7)=0,MOD(ROW(),7)=1)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816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.75" customHeight="1" x14ac:dyDescent="0.25"/>
  <cols>
    <col min="1" max="1" width="11.109375" customWidth="1"/>
    <col min="2" max="2" width="6.44140625" customWidth="1"/>
    <col min="3" max="3" width="8.109375" customWidth="1"/>
    <col min="4" max="4" width="9.109375" customWidth="1"/>
    <col min="5" max="5" width="11" customWidth="1"/>
    <col min="6" max="6" width="8.88671875" customWidth="1"/>
    <col min="7" max="7" width="8.6640625" customWidth="1"/>
    <col min="8" max="8" width="9.109375" hidden="1" customWidth="1"/>
    <col min="9" max="9" width="9.44140625" customWidth="1"/>
    <col min="10" max="10" width="6.44140625" customWidth="1"/>
  </cols>
  <sheetData>
    <row r="1" spans="1:28" x14ac:dyDescent="0.25">
      <c r="A1" s="170" t="str">
        <f>'R(t) Polska'!A1</f>
        <v>ver. 0.89</v>
      </c>
      <c r="B1" s="234"/>
      <c r="C1" s="402" t="s">
        <v>115</v>
      </c>
      <c r="D1" s="362"/>
      <c r="E1" s="362"/>
      <c r="F1" s="362"/>
      <c r="G1" s="362"/>
      <c r="H1" s="362"/>
      <c r="I1" s="363"/>
      <c r="J1" s="235"/>
      <c r="K1" s="89"/>
      <c r="L1" s="89"/>
      <c r="M1" s="89"/>
      <c r="N1" s="89"/>
      <c r="O1" s="89"/>
      <c r="P1" s="89"/>
      <c r="Q1" s="89"/>
      <c r="R1" s="89"/>
      <c r="S1" s="89"/>
    </row>
    <row r="2" spans="1:28" x14ac:dyDescent="0.25">
      <c r="A2" s="10" t="s">
        <v>7</v>
      </c>
      <c r="B2" s="236" t="s">
        <v>9</v>
      </c>
      <c r="C2" s="237" t="s">
        <v>116</v>
      </c>
      <c r="D2" s="238" t="s">
        <v>117</v>
      </c>
      <c r="E2" s="239" t="s">
        <v>118</v>
      </c>
      <c r="F2" s="240" t="s">
        <v>119</v>
      </c>
      <c r="G2" s="241" t="s">
        <v>120</v>
      </c>
      <c r="H2" s="240" t="s">
        <v>121</v>
      </c>
      <c r="I2" s="236" t="s">
        <v>122</v>
      </c>
      <c r="J2" s="242" t="s">
        <v>25</v>
      </c>
      <c r="K2" s="89"/>
      <c r="L2" s="89"/>
      <c r="M2" s="89"/>
      <c r="N2" s="89"/>
      <c r="O2" s="89"/>
      <c r="P2" s="89"/>
      <c r="Q2" s="89"/>
      <c r="R2" s="89"/>
      <c r="S2" s="89"/>
    </row>
    <row r="3" spans="1:28" x14ac:dyDescent="0.25">
      <c r="A3" s="32">
        <v>44075</v>
      </c>
      <c r="B3" s="243">
        <v>1</v>
      </c>
      <c r="C3" s="244">
        <v>0</v>
      </c>
      <c r="D3" s="245">
        <v>0</v>
      </c>
      <c r="E3" s="246">
        <v>48541</v>
      </c>
      <c r="F3" s="247">
        <f t="shared" ref="F3:F74" si="0">IF(ISBLANK(C3),"",SUM(C3+D3))</f>
        <v>0</v>
      </c>
      <c r="G3" s="248">
        <v>0</v>
      </c>
      <c r="H3" s="247" t="e">
        <f t="shared" ref="H3:H74" ca="1" si="1">$N$32*EXP($O$32*B3)</f>
        <v>#N/A</v>
      </c>
      <c r="I3" s="249">
        <f t="shared" ref="I3:I74" si="2">IF(ISBLANK(E3),"",E3+F3)</f>
        <v>48541</v>
      </c>
      <c r="J3" s="250"/>
      <c r="K3" s="89"/>
      <c r="L3" s="88"/>
      <c r="M3" s="88"/>
      <c r="N3" s="88"/>
      <c r="O3" s="89"/>
      <c r="P3" s="89"/>
      <c r="Q3" s="89"/>
      <c r="R3" s="89"/>
      <c r="S3" s="89"/>
    </row>
    <row r="4" spans="1:28" x14ac:dyDescent="0.25">
      <c r="A4" s="32">
        <v>44076</v>
      </c>
      <c r="B4" s="251">
        <f t="shared" ref="B4:B74" si="3">B3+1</f>
        <v>2</v>
      </c>
      <c r="C4" s="252">
        <v>47</v>
      </c>
      <c r="D4" s="253">
        <v>12</v>
      </c>
      <c r="E4" s="124">
        <v>48482</v>
      </c>
      <c r="F4" s="247">
        <f t="shared" si="0"/>
        <v>59</v>
      </c>
      <c r="G4" s="248">
        <v>0</v>
      </c>
      <c r="H4" s="247" t="e">
        <f t="shared" ca="1" si="1"/>
        <v>#N/A</v>
      </c>
      <c r="I4" s="249">
        <f t="shared" si="2"/>
        <v>48541</v>
      </c>
      <c r="J4" s="250"/>
      <c r="K4" s="89"/>
      <c r="L4" s="89"/>
      <c r="M4" s="89"/>
      <c r="N4" s="89"/>
      <c r="O4" s="89"/>
      <c r="P4" s="89"/>
      <c r="Q4" s="89"/>
      <c r="R4" s="89"/>
      <c r="S4" s="89"/>
    </row>
    <row r="5" spans="1:28" x14ac:dyDescent="0.25">
      <c r="A5" s="32">
        <v>44077</v>
      </c>
      <c r="B5" s="251">
        <f t="shared" si="3"/>
        <v>3</v>
      </c>
      <c r="C5" s="252">
        <v>54</v>
      </c>
      <c r="D5" s="253">
        <v>15</v>
      </c>
      <c r="E5" s="124">
        <v>48472</v>
      </c>
      <c r="F5" s="247">
        <f t="shared" si="0"/>
        <v>69</v>
      </c>
      <c r="G5" s="254">
        <f t="shared" ref="G5:G74" si="4">IF(ISBLANK(C5),"",F5-F4)</f>
        <v>10</v>
      </c>
      <c r="H5" s="247" t="e">
        <f t="shared" ca="1" si="1"/>
        <v>#N/A</v>
      </c>
      <c r="I5" s="249">
        <f t="shared" si="2"/>
        <v>48541</v>
      </c>
      <c r="J5" s="250" t="str">
        <f t="shared" ref="J5:J9" si="5">IF(ISBLANK(C5),"",IF((I5-I4)&lt;&gt;0,I4-I5,""))</f>
        <v/>
      </c>
      <c r="K5" s="89"/>
      <c r="L5" s="88"/>
      <c r="M5" s="89"/>
      <c r="N5" s="89"/>
      <c r="O5" s="89"/>
      <c r="P5" s="89"/>
      <c r="Q5" s="89"/>
      <c r="R5" s="89"/>
      <c r="S5" s="89"/>
    </row>
    <row r="6" spans="1:28" x14ac:dyDescent="0.25">
      <c r="A6" s="32">
        <v>44078</v>
      </c>
      <c r="B6" s="251">
        <f t="shared" si="3"/>
        <v>4</v>
      </c>
      <c r="C6" s="252">
        <v>54</v>
      </c>
      <c r="D6" s="253">
        <v>22</v>
      </c>
      <c r="E6" s="124">
        <v>48465</v>
      </c>
      <c r="F6" s="247">
        <f t="shared" si="0"/>
        <v>76</v>
      </c>
      <c r="G6" s="254">
        <f t="shared" si="4"/>
        <v>7</v>
      </c>
      <c r="H6" s="247" t="e">
        <f t="shared" ca="1" si="1"/>
        <v>#N/A</v>
      </c>
      <c r="I6" s="249">
        <f t="shared" si="2"/>
        <v>48541</v>
      </c>
      <c r="J6" s="250" t="str">
        <f t="shared" si="5"/>
        <v/>
      </c>
      <c r="K6" s="89"/>
      <c r="L6" s="89"/>
      <c r="M6" s="89"/>
      <c r="N6" s="89"/>
      <c r="O6" s="89"/>
      <c r="P6" s="89"/>
      <c r="Q6" s="89"/>
      <c r="R6" s="89"/>
      <c r="S6" s="89"/>
    </row>
    <row r="7" spans="1:28" x14ac:dyDescent="0.25">
      <c r="A7" s="61">
        <v>44079</v>
      </c>
      <c r="B7" s="255">
        <f t="shared" si="3"/>
        <v>5</v>
      </c>
      <c r="C7" s="256">
        <v>54</v>
      </c>
      <c r="D7" s="257">
        <v>22</v>
      </c>
      <c r="E7" s="258">
        <v>48465</v>
      </c>
      <c r="F7" s="259">
        <f t="shared" si="0"/>
        <v>76</v>
      </c>
      <c r="G7" s="260">
        <f t="shared" si="4"/>
        <v>0</v>
      </c>
      <c r="H7" s="259" t="e">
        <f t="shared" ca="1" si="1"/>
        <v>#N/A</v>
      </c>
      <c r="I7" s="261">
        <f t="shared" si="2"/>
        <v>48541</v>
      </c>
      <c r="J7" s="250" t="str">
        <f t="shared" si="5"/>
        <v/>
      </c>
      <c r="K7" s="88"/>
      <c r="L7" s="88"/>
      <c r="M7" s="88"/>
      <c r="N7" s="88"/>
      <c r="O7" s="88"/>
      <c r="P7" s="88"/>
      <c r="Q7" s="88"/>
      <c r="R7" s="88"/>
      <c r="S7" s="88"/>
      <c r="T7" s="90"/>
      <c r="U7" s="90"/>
      <c r="V7" s="90"/>
      <c r="W7" s="90"/>
      <c r="X7" s="90"/>
      <c r="Y7" s="90"/>
      <c r="Z7" s="90"/>
      <c r="AA7" s="90"/>
      <c r="AB7" s="90"/>
    </row>
    <row r="8" spans="1:28" x14ac:dyDescent="0.25">
      <c r="A8" s="61">
        <v>44080</v>
      </c>
      <c r="B8" s="255">
        <f t="shared" si="3"/>
        <v>6</v>
      </c>
      <c r="C8" s="256">
        <v>54</v>
      </c>
      <c r="D8" s="257">
        <v>22</v>
      </c>
      <c r="E8" s="258">
        <v>48465</v>
      </c>
      <c r="F8" s="259">
        <f t="shared" si="0"/>
        <v>76</v>
      </c>
      <c r="G8" s="260">
        <f t="shared" si="4"/>
        <v>0</v>
      </c>
      <c r="H8" s="259" t="e">
        <f t="shared" ca="1" si="1"/>
        <v>#N/A</v>
      </c>
      <c r="I8" s="261">
        <f t="shared" si="2"/>
        <v>48541</v>
      </c>
      <c r="J8" s="250" t="str">
        <f t="shared" si="5"/>
        <v/>
      </c>
      <c r="K8" s="88"/>
      <c r="L8" s="88"/>
      <c r="M8" s="88"/>
      <c r="N8" s="88"/>
      <c r="O8" s="88"/>
      <c r="P8" s="88"/>
      <c r="Q8" s="88"/>
      <c r="R8" s="88"/>
      <c r="S8" s="88"/>
      <c r="T8" s="90"/>
      <c r="U8" s="90"/>
      <c r="V8" s="90"/>
      <c r="W8" s="90"/>
      <c r="X8" s="90"/>
      <c r="Y8" s="90"/>
      <c r="Z8" s="90"/>
      <c r="AA8" s="90"/>
      <c r="AB8" s="90"/>
    </row>
    <row r="9" spans="1:28" x14ac:dyDescent="0.25">
      <c r="A9" s="32">
        <v>44081</v>
      </c>
      <c r="B9" s="251">
        <f t="shared" si="3"/>
        <v>7</v>
      </c>
      <c r="C9" s="252">
        <v>45</v>
      </c>
      <c r="D9" s="253">
        <v>35</v>
      </c>
      <c r="E9" s="124">
        <v>48461</v>
      </c>
      <c r="F9" s="247">
        <f t="shared" si="0"/>
        <v>80</v>
      </c>
      <c r="G9" s="254">
        <f t="shared" si="4"/>
        <v>4</v>
      </c>
      <c r="H9" s="247" t="e">
        <f t="shared" ca="1" si="1"/>
        <v>#N/A</v>
      </c>
      <c r="I9" s="249">
        <f t="shared" si="2"/>
        <v>48541</v>
      </c>
      <c r="J9" s="250" t="str">
        <f t="shared" si="5"/>
        <v/>
      </c>
      <c r="K9" s="89"/>
      <c r="L9" s="89"/>
      <c r="M9" s="89"/>
      <c r="N9" s="89"/>
      <c r="O9" s="89"/>
      <c r="P9" s="89"/>
      <c r="Q9" s="89"/>
      <c r="R9" s="89"/>
      <c r="S9" s="89"/>
    </row>
    <row r="10" spans="1:28" x14ac:dyDescent="0.25">
      <c r="A10" s="32">
        <v>44082</v>
      </c>
      <c r="B10" s="251">
        <f t="shared" si="3"/>
        <v>8</v>
      </c>
      <c r="C10" s="252">
        <v>37</v>
      </c>
      <c r="D10" s="253">
        <v>58</v>
      </c>
      <c r="E10" s="124">
        <v>48389</v>
      </c>
      <c r="F10" s="247">
        <f t="shared" si="0"/>
        <v>95</v>
      </c>
      <c r="G10" s="254">
        <f t="shared" si="4"/>
        <v>15</v>
      </c>
      <c r="H10" s="247" t="e">
        <f t="shared" ca="1" si="1"/>
        <v>#N/A</v>
      </c>
      <c r="I10" s="249">
        <f t="shared" si="2"/>
        <v>48484</v>
      </c>
      <c r="J10" s="262">
        <f t="shared" ref="J10:J74" si="6">IF(ISBLANK(C10),"",IF((I10-I9)&lt;&gt;0,I10-I9,""))</f>
        <v>-57</v>
      </c>
      <c r="K10" s="89"/>
      <c r="L10" s="89"/>
      <c r="M10" s="89"/>
      <c r="N10" s="89"/>
      <c r="O10" s="89"/>
      <c r="P10" s="89"/>
      <c r="Q10" s="89"/>
      <c r="R10" s="89"/>
      <c r="S10" s="89"/>
    </row>
    <row r="11" spans="1:28" x14ac:dyDescent="0.25">
      <c r="A11" s="32">
        <v>44083</v>
      </c>
      <c r="B11" s="251">
        <f t="shared" si="3"/>
        <v>9</v>
      </c>
      <c r="C11" s="252">
        <v>45</v>
      </c>
      <c r="D11" s="253">
        <v>87</v>
      </c>
      <c r="E11" s="124">
        <v>48352</v>
      </c>
      <c r="F11" s="247">
        <f t="shared" si="0"/>
        <v>132</v>
      </c>
      <c r="G11" s="254">
        <f t="shared" si="4"/>
        <v>37</v>
      </c>
      <c r="H11" s="247" t="e">
        <f t="shared" ca="1" si="1"/>
        <v>#N/A</v>
      </c>
      <c r="I11" s="249">
        <f t="shared" si="2"/>
        <v>48484</v>
      </c>
      <c r="J11" s="250" t="str">
        <f t="shared" si="6"/>
        <v/>
      </c>
      <c r="K11" s="89"/>
      <c r="L11" s="89"/>
      <c r="M11" s="89"/>
      <c r="N11" s="89"/>
      <c r="O11" s="89"/>
      <c r="P11" s="89"/>
      <c r="Q11" s="89"/>
      <c r="R11" s="89"/>
      <c r="S11" s="89"/>
    </row>
    <row r="12" spans="1:28" x14ac:dyDescent="0.25">
      <c r="A12" s="32">
        <v>44084</v>
      </c>
      <c r="B12" s="251">
        <f t="shared" si="3"/>
        <v>10</v>
      </c>
      <c r="C12" s="252">
        <v>51</v>
      </c>
      <c r="D12" s="253">
        <v>100</v>
      </c>
      <c r="E12" s="124">
        <v>48333</v>
      </c>
      <c r="F12" s="247">
        <f t="shared" si="0"/>
        <v>151</v>
      </c>
      <c r="G12" s="254">
        <f t="shared" si="4"/>
        <v>19</v>
      </c>
      <c r="H12" s="247" t="e">
        <f t="shared" ca="1" si="1"/>
        <v>#N/A</v>
      </c>
      <c r="I12" s="249">
        <f t="shared" si="2"/>
        <v>48484</v>
      </c>
      <c r="J12" s="250" t="str">
        <f t="shared" si="6"/>
        <v/>
      </c>
      <c r="K12" s="89"/>
      <c r="L12" s="89"/>
      <c r="M12" s="89"/>
      <c r="N12" s="89"/>
      <c r="O12" s="89"/>
      <c r="P12" s="89"/>
      <c r="Q12" s="89"/>
      <c r="R12" s="89"/>
      <c r="S12" s="89"/>
    </row>
    <row r="13" spans="1:28" x14ac:dyDescent="0.25">
      <c r="A13" s="32">
        <v>44085</v>
      </c>
      <c r="B13" s="251">
        <f t="shared" si="3"/>
        <v>11</v>
      </c>
      <c r="C13" s="252">
        <v>50</v>
      </c>
      <c r="D13" s="253">
        <v>124</v>
      </c>
      <c r="E13" s="124">
        <v>48310</v>
      </c>
      <c r="F13" s="247">
        <f t="shared" si="0"/>
        <v>174</v>
      </c>
      <c r="G13" s="254">
        <f t="shared" si="4"/>
        <v>23</v>
      </c>
      <c r="H13" s="247" t="e">
        <f t="shared" ca="1" si="1"/>
        <v>#N/A</v>
      </c>
      <c r="I13" s="249">
        <f t="shared" si="2"/>
        <v>48484</v>
      </c>
      <c r="J13" s="250" t="str">
        <f t="shared" si="6"/>
        <v/>
      </c>
      <c r="K13" s="89"/>
      <c r="L13" s="89"/>
      <c r="M13" s="89"/>
      <c r="N13" s="89"/>
      <c r="O13" s="89"/>
      <c r="P13" s="89"/>
      <c r="Q13" s="89"/>
      <c r="R13" s="89"/>
      <c r="S13" s="89"/>
    </row>
    <row r="14" spans="1:28" x14ac:dyDescent="0.25">
      <c r="A14" s="61">
        <v>44086</v>
      </c>
      <c r="B14" s="255">
        <f t="shared" si="3"/>
        <v>12</v>
      </c>
      <c r="C14" s="256">
        <v>50</v>
      </c>
      <c r="D14" s="257">
        <v>124</v>
      </c>
      <c r="E14" s="258">
        <v>48310</v>
      </c>
      <c r="F14" s="259">
        <f t="shared" si="0"/>
        <v>174</v>
      </c>
      <c r="G14" s="260">
        <f t="shared" si="4"/>
        <v>0</v>
      </c>
      <c r="H14" s="259" t="e">
        <f t="shared" ca="1" si="1"/>
        <v>#N/A</v>
      </c>
      <c r="I14" s="261">
        <f t="shared" si="2"/>
        <v>48484</v>
      </c>
      <c r="J14" s="250" t="str">
        <f t="shared" si="6"/>
        <v/>
      </c>
      <c r="K14" s="88"/>
      <c r="L14" s="88"/>
      <c r="M14" s="88"/>
      <c r="N14" s="88"/>
      <c r="O14" s="88"/>
      <c r="P14" s="88"/>
      <c r="Q14" s="88"/>
      <c r="R14" s="88"/>
      <c r="S14" s="88"/>
      <c r="T14" s="90"/>
      <c r="U14" s="90"/>
      <c r="V14" s="90"/>
      <c r="W14" s="90"/>
      <c r="X14" s="90"/>
      <c r="Y14" s="90"/>
      <c r="Z14" s="90"/>
      <c r="AA14" s="90"/>
      <c r="AB14" s="90"/>
    </row>
    <row r="15" spans="1:28" x14ac:dyDescent="0.25">
      <c r="A15" s="61">
        <v>44087</v>
      </c>
      <c r="B15" s="255">
        <f t="shared" si="3"/>
        <v>13</v>
      </c>
      <c r="C15" s="256">
        <v>50</v>
      </c>
      <c r="D15" s="257">
        <v>124</v>
      </c>
      <c r="E15" s="258">
        <v>48310</v>
      </c>
      <c r="F15" s="259">
        <f t="shared" si="0"/>
        <v>174</v>
      </c>
      <c r="G15" s="260">
        <f t="shared" si="4"/>
        <v>0</v>
      </c>
      <c r="H15" s="259" t="e">
        <f t="shared" ca="1" si="1"/>
        <v>#N/A</v>
      </c>
      <c r="I15" s="261">
        <f t="shared" si="2"/>
        <v>48484</v>
      </c>
      <c r="J15" s="250" t="str">
        <f t="shared" si="6"/>
        <v/>
      </c>
      <c r="K15" s="88"/>
      <c r="L15" s="88"/>
      <c r="M15" s="88"/>
      <c r="N15" s="88"/>
      <c r="O15" s="88"/>
      <c r="P15" s="88"/>
      <c r="Q15" s="88"/>
      <c r="R15" s="88"/>
      <c r="S15" s="88"/>
      <c r="T15" s="90"/>
      <c r="U15" s="90"/>
      <c r="V15" s="90"/>
      <c r="W15" s="90"/>
      <c r="X15" s="90"/>
      <c r="Y15" s="90"/>
      <c r="Z15" s="90"/>
      <c r="AA15" s="90"/>
      <c r="AB15" s="90"/>
    </row>
    <row r="16" spans="1:28" x14ac:dyDescent="0.25">
      <c r="A16" s="32">
        <v>44088</v>
      </c>
      <c r="B16" s="251">
        <f t="shared" si="3"/>
        <v>14</v>
      </c>
      <c r="C16" s="252">
        <v>43</v>
      </c>
      <c r="D16" s="253">
        <v>134</v>
      </c>
      <c r="E16" s="124">
        <v>48308</v>
      </c>
      <c r="F16" s="247">
        <f t="shared" si="0"/>
        <v>177</v>
      </c>
      <c r="G16" s="254">
        <f t="shared" si="4"/>
        <v>3</v>
      </c>
      <c r="H16" s="247" t="e">
        <f t="shared" ca="1" si="1"/>
        <v>#N/A</v>
      </c>
      <c r="I16" s="249">
        <f t="shared" si="2"/>
        <v>48485</v>
      </c>
      <c r="J16" s="262">
        <f t="shared" si="6"/>
        <v>1</v>
      </c>
      <c r="K16" s="89"/>
      <c r="L16" s="89"/>
      <c r="M16" s="89"/>
      <c r="N16" s="89"/>
      <c r="O16" s="89"/>
      <c r="P16" s="89"/>
      <c r="Q16" s="89"/>
      <c r="R16" s="89"/>
      <c r="S16" s="89"/>
    </row>
    <row r="17" spans="1:28" x14ac:dyDescent="0.25">
      <c r="A17" s="32">
        <v>44089</v>
      </c>
      <c r="B17" s="251">
        <f t="shared" si="3"/>
        <v>15</v>
      </c>
      <c r="C17" s="252">
        <v>54</v>
      </c>
      <c r="D17" s="253">
        <v>133</v>
      </c>
      <c r="E17" s="124">
        <v>48298</v>
      </c>
      <c r="F17" s="247">
        <f t="shared" si="0"/>
        <v>187</v>
      </c>
      <c r="G17" s="254">
        <f t="shared" si="4"/>
        <v>10</v>
      </c>
      <c r="H17" s="247" t="e">
        <f t="shared" ca="1" si="1"/>
        <v>#N/A</v>
      </c>
      <c r="I17" s="249">
        <f t="shared" si="2"/>
        <v>48485</v>
      </c>
      <c r="J17" s="262" t="str">
        <f t="shared" si="6"/>
        <v/>
      </c>
      <c r="K17" s="89"/>
      <c r="L17" s="89"/>
      <c r="M17" s="89"/>
      <c r="N17" s="89"/>
      <c r="O17" s="89"/>
      <c r="P17" s="89"/>
      <c r="Q17" s="89"/>
      <c r="R17" s="89"/>
      <c r="S17" s="89"/>
    </row>
    <row r="18" spans="1:28" x14ac:dyDescent="0.25">
      <c r="A18" s="32">
        <v>44090</v>
      </c>
      <c r="B18" s="251">
        <f t="shared" si="3"/>
        <v>16</v>
      </c>
      <c r="C18" s="252">
        <v>61</v>
      </c>
      <c r="D18" s="253">
        <v>170</v>
      </c>
      <c r="E18" s="124">
        <v>48253</v>
      </c>
      <c r="F18" s="247">
        <f t="shared" si="0"/>
        <v>231</v>
      </c>
      <c r="G18" s="254">
        <f t="shared" si="4"/>
        <v>44</v>
      </c>
      <c r="H18" s="247" t="e">
        <f t="shared" ca="1" si="1"/>
        <v>#N/A</v>
      </c>
      <c r="I18" s="249">
        <f t="shared" si="2"/>
        <v>48484</v>
      </c>
      <c r="J18" s="262">
        <f t="shared" si="6"/>
        <v>-1</v>
      </c>
      <c r="K18" s="89"/>
      <c r="L18" s="89"/>
      <c r="M18" s="89"/>
      <c r="N18" s="89"/>
      <c r="O18" s="89"/>
      <c r="P18" s="89"/>
      <c r="Q18" s="89"/>
      <c r="R18" s="89"/>
      <c r="S18" s="89"/>
    </row>
    <row r="19" spans="1:28" x14ac:dyDescent="0.25">
      <c r="A19" s="32">
        <v>44091</v>
      </c>
      <c r="B19" s="251">
        <f t="shared" si="3"/>
        <v>17</v>
      </c>
      <c r="C19" s="252">
        <v>64</v>
      </c>
      <c r="D19" s="253">
        <v>204</v>
      </c>
      <c r="E19" s="124">
        <v>48216</v>
      </c>
      <c r="F19" s="247">
        <f t="shared" si="0"/>
        <v>268</v>
      </c>
      <c r="G19" s="254">
        <f t="shared" si="4"/>
        <v>37</v>
      </c>
      <c r="H19" s="247" t="e">
        <f t="shared" ca="1" si="1"/>
        <v>#N/A</v>
      </c>
      <c r="I19" s="249">
        <f t="shared" si="2"/>
        <v>48484</v>
      </c>
      <c r="J19" s="250" t="str">
        <f t="shared" si="6"/>
        <v/>
      </c>
      <c r="K19" s="89"/>
      <c r="L19" s="89"/>
      <c r="M19" s="89"/>
      <c r="N19" s="89"/>
      <c r="O19" s="89"/>
      <c r="P19" s="89"/>
      <c r="Q19" s="89"/>
      <c r="R19" s="89"/>
      <c r="S19" s="89"/>
    </row>
    <row r="20" spans="1:28" x14ac:dyDescent="0.25">
      <c r="A20" s="32">
        <v>44092</v>
      </c>
      <c r="B20" s="251">
        <f t="shared" si="3"/>
        <v>18</v>
      </c>
      <c r="C20" s="252">
        <v>80</v>
      </c>
      <c r="D20" s="253">
        <v>246</v>
      </c>
      <c r="E20" s="124">
        <v>48158</v>
      </c>
      <c r="F20" s="247">
        <f t="shared" si="0"/>
        <v>326</v>
      </c>
      <c r="G20" s="254">
        <f t="shared" si="4"/>
        <v>58</v>
      </c>
      <c r="H20" s="247" t="e">
        <f t="shared" ca="1" si="1"/>
        <v>#N/A</v>
      </c>
      <c r="I20" s="249">
        <f t="shared" si="2"/>
        <v>48484</v>
      </c>
      <c r="J20" s="250" t="str">
        <f t="shared" si="6"/>
        <v/>
      </c>
      <c r="K20" s="89"/>
      <c r="L20" s="89"/>
      <c r="M20" s="89"/>
      <c r="N20" s="89"/>
      <c r="O20" s="89"/>
      <c r="P20" s="89"/>
      <c r="Q20" s="89"/>
      <c r="R20" s="89"/>
      <c r="S20" s="89"/>
    </row>
    <row r="21" spans="1:28" x14ac:dyDescent="0.25">
      <c r="A21" s="61">
        <v>44093</v>
      </c>
      <c r="B21" s="255">
        <f t="shared" si="3"/>
        <v>19</v>
      </c>
      <c r="C21" s="256">
        <v>80</v>
      </c>
      <c r="D21" s="257">
        <v>246</v>
      </c>
      <c r="E21" s="258">
        <v>48158</v>
      </c>
      <c r="F21" s="259">
        <f t="shared" si="0"/>
        <v>326</v>
      </c>
      <c r="G21" s="260">
        <f t="shared" si="4"/>
        <v>0</v>
      </c>
      <c r="H21" s="259" t="e">
        <f t="shared" ca="1" si="1"/>
        <v>#N/A</v>
      </c>
      <c r="I21" s="261">
        <f t="shared" si="2"/>
        <v>48484</v>
      </c>
      <c r="J21" s="250" t="str">
        <f t="shared" si="6"/>
        <v/>
      </c>
      <c r="K21" s="88"/>
      <c r="L21" s="88"/>
      <c r="M21" s="88"/>
      <c r="N21" s="88"/>
      <c r="O21" s="88"/>
      <c r="P21" s="88"/>
      <c r="Q21" s="88"/>
      <c r="R21" s="88"/>
      <c r="S21" s="88"/>
      <c r="T21" s="90"/>
      <c r="U21" s="90"/>
      <c r="V21" s="90"/>
      <c r="W21" s="90"/>
      <c r="X21" s="90"/>
      <c r="Y21" s="90"/>
      <c r="Z21" s="90"/>
      <c r="AA21" s="90"/>
      <c r="AB21" s="90"/>
    </row>
    <row r="22" spans="1:28" x14ac:dyDescent="0.25">
      <c r="A22" s="61">
        <v>44094</v>
      </c>
      <c r="B22" s="255">
        <f t="shared" si="3"/>
        <v>20</v>
      </c>
      <c r="C22" s="256">
        <v>80</v>
      </c>
      <c r="D22" s="257">
        <v>246</v>
      </c>
      <c r="E22" s="258">
        <v>48158</v>
      </c>
      <c r="F22" s="259">
        <f t="shared" si="0"/>
        <v>326</v>
      </c>
      <c r="G22" s="260">
        <f t="shared" si="4"/>
        <v>0</v>
      </c>
      <c r="H22" s="259" t="e">
        <f t="shared" ca="1" si="1"/>
        <v>#N/A</v>
      </c>
      <c r="I22" s="261">
        <f t="shared" si="2"/>
        <v>48484</v>
      </c>
      <c r="J22" s="250" t="str">
        <f t="shared" si="6"/>
        <v/>
      </c>
      <c r="K22" s="88"/>
      <c r="L22" s="88"/>
      <c r="M22" s="88"/>
      <c r="N22" s="88"/>
      <c r="O22" s="88"/>
      <c r="P22" s="88"/>
      <c r="Q22" s="88"/>
      <c r="R22" s="88"/>
      <c r="S22" s="88"/>
      <c r="T22" s="90"/>
      <c r="U22" s="90"/>
      <c r="V22" s="90"/>
      <c r="W22" s="90"/>
      <c r="X22" s="90"/>
      <c r="Y22" s="90"/>
      <c r="Z22" s="90"/>
      <c r="AA22" s="90"/>
      <c r="AB22" s="90"/>
    </row>
    <row r="23" spans="1:28" x14ac:dyDescent="0.25">
      <c r="A23" s="32">
        <v>44095</v>
      </c>
      <c r="B23" s="251">
        <f t="shared" si="3"/>
        <v>21</v>
      </c>
      <c r="C23" s="252">
        <v>71</v>
      </c>
      <c r="D23" s="253">
        <v>213</v>
      </c>
      <c r="E23" s="124">
        <v>48200</v>
      </c>
      <c r="F23" s="247">
        <f t="shared" si="0"/>
        <v>284</v>
      </c>
      <c r="G23" s="254">
        <f t="shared" si="4"/>
        <v>-42</v>
      </c>
      <c r="H23" s="247" t="e">
        <f t="shared" ca="1" si="1"/>
        <v>#N/A</v>
      </c>
      <c r="I23" s="249">
        <f t="shared" si="2"/>
        <v>48484</v>
      </c>
      <c r="J23" s="250" t="str">
        <f t="shared" si="6"/>
        <v/>
      </c>
      <c r="K23" s="89"/>
      <c r="L23" s="89"/>
      <c r="M23" s="89"/>
      <c r="N23" s="89"/>
      <c r="O23" s="89"/>
      <c r="P23" s="89"/>
      <c r="Q23" s="89"/>
      <c r="R23" s="89"/>
      <c r="S23" s="89"/>
    </row>
    <row r="24" spans="1:28" x14ac:dyDescent="0.25">
      <c r="A24" s="32">
        <v>44096</v>
      </c>
      <c r="B24" s="251">
        <f t="shared" si="3"/>
        <v>22</v>
      </c>
      <c r="C24" s="252">
        <v>68</v>
      </c>
      <c r="D24" s="253">
        <v>185</v>
      </c>
      <c r="E24" s="124">
        <v>48231</v>
      </c>
      <c r="F24" s="247">
        <f t="shared" si="0"/>
        <v>253</v>
      </c>
      <c r="G24" s="254">
        <f t="shared" si="4"/>
        <v>-31</v>
      </c>
      <c r="H24" s="247" t="e">
        <f t="shared" ca="1" si="1"/>
        <v>#N/A</v>
      </c>
      <c r="I24" s="249">
        <f t="shared" si="2"/>
        <v>48484</v>
      </c>
      <c r="J24" s="250" t="str">
        <f t="shared" si="6"/>
        <v/>
      </c>
      <c r="K24" s="89"/>
      <c r="L24" s="89"/>
      <c r="M24" s="89"/>
      <c r="N24" s="89"/>
      <c r="O24" s="89"/>
      <c r="P24" s="89"/>
      <c r="Q24" s="89"/>
      <c r="R24" s="89"/>
      <c r="S24" s="89"/>
    </row>
    <row r="25" spans="1:28" x14ac:dyDescent="0.25">
      <c r="A25" s="32">
        <v>44097</v>
      </c>
      <c r="B25" s="251">
        <f t="shared" si="3"/>
        <v>23</v>
      </c>
      <c r="C25" s="252">
        <v>72</v>
      </c>
      <c r="D25" s="253">
        <v>218</v>
      </c>
      <c r="E25" s="124">
        <v>48194</v>
      </c>
      <c r="F25" s="247">
        <f t="shared" si="0"/>
        <v>290</v>
      </c>
      <c r="G25" s="254">
        <f t="shared" si="4"/>
        <v>37</v>
      </c>
      <c r="H25" s="247" t="e">
        <f t="shared" ca="1" si="1"/>
        <v>#N/A</v>
      </c>
      <c r="I25" s="249">
        <f t="shared" si="2"/>
        <v>48484</v>
      </c>
      <c r="J25" s="250" t="str">
        <f t="shared" si="6"/>
        <v/>
      </c>
      <c r="K25" s="89"/>
      <c r="L25" s="89"/>
      <c r="M25" s="89"/>
      <c r="N25" s="89"/>
      <c r="O25" s="89"/>
      <c r="P25" s="89"/>
      <c r="Q25" s="89"/>
      <c r="R25" s="89"/>
      <c r="S25" s="89"/>
    </row>
    <row r="26" spans="1:28" x14ac:dyDescent="0.25">
      <c r="A26" s="32">
        <v>44098</v>
      </c>
      <c r="B26" s="251">
        <f t="shared" si="3"/>
        <v>24</v>
      </c>
      <c r="C26" s="252">
        <v>92</v>
      </c>
      <c r="D26" s="253">
        <v>274</v>
      </c>
      <c r="E26" s="124">
        <v>48118</v>
      </c>
      <c r="F26" s="247">
        <f t="shared" si="0"/>
        <v>366</v>
      </c>
      <c r="G26" s="254">
        <f t="shared" si="4"/>
        <v>76</v>
      </c>
      <c r="H26" s="247" t="e">
        <f t="shared" ca="1" si="1"/>
        <v>#N/A</v>
      </c>
      <c r="I26" s="249">
        <f t="shared" si="2"/>
        <v>48484</v>
      </c>
      <c r="J26" s="250" t="str">
        <f t="shared" si="6"/>
        <v/>
      </c>
      <c r="K26" s="89"/>
      <c r="L26" s="89"/>
      <c r="M26" s="89"/>
      <c r="N26" s="89"/>
      <c r="O26" s="89"/>
      <c r="P26" s="89"/>
      <c r="Q26" s="89"/>
      <c r="R26" s="89"/>
      <c r="S26" s="89"/>
    </row>
    <row r="27" spans="1:28" x14ac:dyDescent="0.25">
      <c r="A27" s="32">
        <v>44099</v>
      </c>
      <c r="B27" s="251">
        <f t="shared" si="3"/>
        <v>25</v>
      </c>
      <c r="C27" s="252">
        <v>106</v>
      </c>
      <c r="D27" s="253">
        <v>321</v>
      </c>
      <c r="E27" s="124">
        <v>48057</v>
      </c>
      <c r="F27" s="247">
        <f t="shared" si="0"/>
        <v>427</v>
      </c>
      <c r="G27" s="254">
        <f t="shared" si="4"/>
        <v>61</v>
      </c>
      <c r="H27" s="247" t="e">
        <f t="shared" ca="1" si="1"/>
        <v>#N/A</v>
      </c>
      <c r="I27" s="249">
        <f t="shared" si="2"/>
        <v>48484</v>
      </c>
      <c r="J27" s="250" t="str">
        <f t="shared" si="6"/>
        <v/>
      </c>
      <c r="K27" s="89"/>
      <c r="L27" s="89"/>
      <c r="M27" s="89"/>
      <c r="N27" s="89"/>
      <c r="O27" s="89"/>
      <c r="P27" s="89"/>
      <c r="Q27" s="89"/>
      <c r="R27" s="89"/>
      <c r="S27" s="89"/>
    </row>
    <row r="28" spans="1:28" x14ac:dyDescent="0.25">
      <c r="A28" s="61">
        <v>44100</v>
      </c>
      <c r="B28" s="255">
        <f t="shared" si="3"/>
        <v>26</v>
      </c>
      <c r="C28" s="256">
        <v>106</v>
      </c>
      <c r="D28" s="257">
        <v>321</v>
      </c>
      <c r="E28" s="258">
        <v>48057</v>
      </c>
      <c r="F28" s="259">
        <f t="shared" si="0"/>
        <v>427</v>
      </c>
      <c r="G28" s="260">
        <f t="shared" si="4"/>
        <v>0</v>
      </c>
      <c r="H28" s="259" t="e">
        <f t="shared" ca="1" si="1"/>
        <v>#N/A</v>
      </c>
      <c r="I28" s="261">
        <f t="shared" si="2"/>
        <v>48484</v>
      </c>
      <c r="J28" s="250" t="str">
        <f t="shared" si="6"/>
        <v/>
      </c>
      <c r="K28" s="88"/>
      <c r="L28" s="88"/>
      <c r="M28" s="88"/>
      <c r="N28" s="88"/>
      <c r="O28" s="88"/>
      <c r="P28" s="88"/>
      <c r="Q28" s="88"/>
      <c r="R28" s="88"/>
      <c r="S28" s="88"/>
      <c r="T28" s="90"/>
      <c r="U28" s="90"/>
      <c r="V28" s="90"/>
      <c r="W28" s="90"/>
      <c r="X28" s="90"/>
      <c r="Y28" s="90"/>
      <c r="Z28" s="90"/>
      <c r="AA28" s="90"/>
      <c r="AB28" s="90"/>
    </row>
    <row r="29" spans="1:28" x14ac:dyDescent="0.25">
      <c r="A29" s="61">
        <v>44101</v>
      </c>
      <c r="B29" s="255">
        <f t="shared" si="3"/>
        <v>27</v>
      </c>
      <c r="C29" s="256">
        <v>106</v>
      </c>
      <c r="D29" s="257">
        <v>321</v>
      </c>
      <c r="E29" s="258">
        <v>48057</v>
      </c>
      <c r="F29" s="259">
        <f t="shared" si="0"/>
        <v>427</v>
      </c>
      <c r="G29" s="260">
        <f t="shared" si="4"/>
        <v>0</v>
      </c>
      <c r="H29" s="259" t="e">
        <f t="shared" ca="1" si="1"/>
        <v>#N/A</v>
      </c>
      <c r="I29" s="261">
        <f t="shared" si="2"/>
        <v>48484</v>
      </c>
      <c r="J29" s="250" t="str">
        <f t="shared" si="6"/>
        <v/>
      </c>
      <c r="K29" s="88"/>
      <c r="L29" s="88"/>
      <c r="M29" s="88"/>
      <c r="N29" s="88"/>
      <c r="O29" s="88"/>
      <c r="P29" s="88"/>
      <c r="Q29" s="88"/>
      <c r="R29" s="88"/>
      <c r="S29" s="88"/>
      <c r="T29" s="90"/>
      <c r="U29" s="90"/>
      <c r="V29" s="90"/>
      <c r="W29" s="90"/>
      <c r="X29" s="90"/>
      <c r="Y29" s="90"/>
      <c r="Z29" s="90"/>
      <c r="AA29" s="90"/>
      <c r="AB29" s="90"/>
    </row>
    <row r="30" spans="1:28" x14ac:dyDescent="0.25">
      <c r="A30" s="32">
        <v>44102</v>
      </c>
      <c r="B30" s="251">
        <f t="shared" si="3"/>
        <v>28</v>
      </c>
      <c r="C30" s="252">
        <v>96</v>
      </c>
      <c r="D30" s="253">
        <v>288</v>
      </c>
      <c r="E30" s="124">
        <v>48100</v>
      </c>
      <c r="F30" s="247">
        <f t="shared" si="0"/>
        <v>384</v>
      </c>
      <c r="G30" s="254">
        <f t="shared" si="4"/>
        <v>-43</v>
      </c>
      <c r="H30" s="247" t="e">
        <f t="shared" ca="1" si="1"/>
        <v>#N/A</v>
      </c>
      <c r="I30" s="249">
        <f t="shared" si="2"/>
        <v>48484</v>
      </c>
      <c r="J30" s="250" t="str">
        <f t="shared" si="6"/>
        <v/>
      </c>
      <c r="K30" s="89"/>
      <c r="L30" s="89"/>
      <c r="M30" s="89"/>
      <c r="N30" s="89"/>
      <c r="O30" s="89"/>
      <c r="P30" s="89"/>
      <c r="Q30" s="89"/>
      <c r="R30" s="89"/>
      <c r="S30" s="89"/>
    </row>
    <row r="31" spans="1:28" x14ac:dyDescent="0.25">
      <c r="A31" s="32">
        <v>44103</v>
      </c>
      <c r="B31" s="251">
        <f t="shared" si="3"/>
        <v>29</v>
      </c>
      <c r="C31" s="252">
        <v>89</v>
      </c>
      <c r="D31" s="253">
        <v>289</v>
      </c>
      <c r="E31" s="124">
        <v>48116</v>
      </c>
      <c r="F31" s="247">
        <f t="shared" si="0"/>
        <v>378</v>
      </c>
      <c r="G31" s="254">
        <f t="shared" si="4"/>
        <v>-6</v>
      </c>
      <c r="H31" s="247" t="e">
        <f t="shared" ca="1" si="1"/>
        <v>#N/A</v>
      </c>
      <c r="I31" s="249">
        <f t="shared" si="2"/>
        <v>48494</v>
      </c>
      <c r="J31" s="262">
        <f t="shared" si="6"/>
        <v>10</v>
      </c>
      <c r="K31" s="89"/>
      <c r="L31" s="89"/>
      <c r="M31" s="403" t="s">
        <v>123</v>
      </c>
      <c r="N31" s="362"/>
      <c r="O31" s="362"/>
      <c r="P31" s="362"/>
      <c r="Q31" s="363"/>
      <c r="R31" s="89"/>
      <c r="S31" s="89"/>
    </row>
    <row r="32" spans="1:28" x14ac:dyDescent="0.25">
      <c r="A32" s="32">
        <v>44104</v>
      </c>
      <c r="B32" s="251">
        <f t="shared" si="3"/>
        <v>30</v>
      </c>
      <c r="C32" s="252">
        <v>104</v>
      </c>
      <c r="D32" s="253">
        <v>343</v>
      </c>
      <c r="E32" s="124">
        <v>48047</v>
      </c>
      <c r="F32" s="247">
        <f t="shared" si="0"/>
        <v>447</v>
      </c>
      <c r="G32" s="254">
        <f t="shared" si="4"/>
        <v>69</v>
      </c>
      <c r="H32" s="247" t="e">
        <f t="shared" ca="1" si="1"/>
        <v>#N/A</v>
      </c>
      <c r="I32" s="249">
        <f t="shared" si="2"/>
        <v>48494</v>
      </c>
      <c r="J32" s="262" t="str">
        <f t="shared" si="6"/>
        <v/>
      </c>
      <c r="K32" s="89"/>
      <c r="L32" s="89"/>
      <c r="M32" s="263" t="e">
        <f t="array" aca="1" ref="M32" ca="1">LOGEST(F4:INDIRECT(ADDRESS((MATCH(TODAY(),A1:A1000,0)-1),6.1),4),B4:INDIRECT(ADDRESS((MATCH(TODAY(),A1:A1000,0)-1),2.1),4),1,1)</f>
        <v>#N/A</v>
      </c>
      <c r="N32" s="264"/>
      <c r="O32" s="264" t="e">
        <f ca="1">LN(M32)</f>
        <v>#N/A</v>
      </c>
      <c r="P32" s="404" t="e">
        <f ca="1">"y="&amp;ROUND($N$32,4)&amp;"*exp("&amp;ROUND($O$32,4)&amp;"*x)"</f>
        <v>#N/A</v>
      </c>
      <c r="Q32" s="405"/>
      <c r="R32" s="89"/>
      <c r="S32" s="89"/>
    </row>
    <row r="33" spans="1:28" x14ac:dyDescent="0.25">
      <c r="A33" s="32">
        <v>44105</v>
      </c>
      <c r="B33" s="251">
        <f t="shared" si="3"/>
        <v>31</v>
      </c>
      <c r="C33" s="252">
        <v>109</v>
      </c>
      <c r="D33" s="253">
        <v>422</v>
      </c>
      <c r="E33" s="124">
        <v>47943</v>
      </c>
      <c r="F33" s="247">
        <f t="shared" si="0"/>
        <v>531</v>
      </c>
      <c r="G33" s="254">
        <f t="shared" si="4"/>
        <v>84</v>
      </c>
      <c r="H33" s="247" t="e">
        <f t="shared" ca="1" si="1"/>
        <v>#N/A</v>
      </c>
      <c r="I33" s="249">
        <f t="shared" si="2"/>
        <v>48474</v>
      </c>
      <c r="J33" s="262">
        <f t="shared" si="6"/>
        <v>-20</v>
      </c>
      <c r="K33" s="89"/>
      <c r="L33" s="89"/>
      <c r="M33" s="265"/>
      <c r="N33" s="266"/>
      <c r="O33" s="266"/>
      <c r="P33" s="266"/>
      <c r="Q33" s="267"/>
      <c r="R33" s="89"/>
      <c r="S33" s="89"/>
    </row>
    <row r="34" spans="1:28" x14ac:dyDescent="0.25">
      <c r="A34" s="32">
        <v>44106</v>
      </c>
      <c r="B34" s="251">
        <f t="shared" si="3"/>
        <v>32</v>
      </c>
      <c r="C34" s="252">
        <v>116</v>
      </c>
      <c r="D34" s="253">
        <v>458</v>
      </c>
      <c r="E34" s="124">
        <v>47910</v>
      </c>
      <c r="F34" s="247">
        <f t="shared" si="0"/>
        <v>574</v>
      </c>
      <c r="G34" s="254">
        <f t="shared" si="4"/>
        <v>43</v>
      </c>
      <c r="H34" s="247" t="e">
        <f t="shared" ca="1" si="1"/>
        <v>#N/A</v>
      </c>
      <c r="I34" s="249">
        <f t="shared" si="2"/>
        <v>48484</v>
      </c>
      <c r="J34" s="262">
        <f t="shared" si="6"/>
        <v>10</v>
      </c>
      <c r="K34" s="89"/>
      <c r="L34" s="89"/>
      <c r="M34" s="265"/>
      <c r="N34" s="266"/>
      <c r="O34" s="266"/>
      <c r="P34" s="268" t="str">
        <f>"R^2="&amp;ROUND(M34,4)</f>
        <v>R^2=0</v>
      </c>
      <c r="Q34" s="267"/>
      <c r="R34" s="89"/>
      <c r="S34" s="89"/>
    </row>
    <row r="35" spans="1:28" x14ac:dyDescent="0.25">
      <c r="A35" s="61">
        <v>44107</v>
      </c>
      <c r="B35" s="255">
        <f t="shared" si="3"/>
        <v>33</v>
      </c>
      <c r="C35" s="256">
        <v>116</v>
      </c>
      <c r="D35" s="257">
        <v>458</v>
      </c>
      <c r="E35" s="258">
        <v>47910</v>
      </c>
      <c r="F35" s="259">
        <f t="shared" si="0"/>
        <v>574</v>
      </c>
      <c r="G35" s="260">
        <f t="shared" si="4"/>
        <v>0</v>
      </c>
      <c r="H35" s="259" t="e">
        <f t="shared" ca="1" si="1"/>
        <v>#N/A</v>
      </c>
      <c r="I35" s="261">
        <f t="shared" si="2"/>
        <v>48484</v>
      </c>
      <c r="J35" s="250" t="str">
        <f t="shared" si="6"/>
        <v/>
      </c>
      <c r="K35" s="89"/>
      <c r="L35" s="88"/>
      <c r="M35" s="269"/>
      <c r="N35" s="270"/>
      <c r="O35" s="270"/>
      <c r="P35" s="270"/>
      <c r="Q35" s="271"/>
      <c r="R35" s="88"/>
      <c r="S35" s="89"/>
      <c r="T35" s="90"/>
      <c r="U35" s="90"/>
      <c r="V35" s="90"/>
      <c r="W35" s="90"/>
      <c r="X35" s="90"/>
      <c r="Y35" s="90"/>
      <c r="Z35" s="90"/>
      <c r="AA35" s="90"/>
      <c r="AB35" s="90"/>
    </row>
    <row r="36" spans="1:28" x14ac:dyDescent="0.25">
      <c r="A36" s="61">
        <v>44108</v>
      </c>
      <c r="B36" s="255">
        <f t="shared" si="3"/>
        <v>34</v>
      </c>
      <c r="C36" s="256">
        <v>116</v>
      </c>
      <c r="D36" s="257">
        <v>458</v>
      </c>
      <c r="E36" s="258">
        <v>47910</v>
      </c>
      <c r="F36" s="259">
        <f t="shared" si="0"/>
        <v>574</v>
      </c>
      <c r="G36" s="260">
        <f t="shared" si="4"/>
        <v>0</v>
      </c>
      <c r="H36" s="259" t="e">
        <f t="shared" ca="1" si="1"/>
        <v>#N/A</v>
      </c>
      <c r="I36" s="261">
        <f t="shared" si="2"/>
        <v>48484</v>
      </c>
      <c r="J36" s="250" t="str">
        <f t="shared" si="6"/>
        <v/>
      </c>
      <c r="K36" s="89"/>
      <c r="L36" s="272"/>
      <c r="M36" s="273"/>
      <c r="N36" s="274"/>
      <c r="O36" s="274"/>
      <c r="P36" s="274"/>
      <c r="Q36" s="275"/>
      <c r="R36" s="88"/>
      <c r="S36" s="88"/>
      <c r="T36" s="90"/>
      <c r="U36" s="90"/>
      <c r="V36" s="90"/>
      <c r="W36" s="90"/>
      <c r="X36" s="90"/>
      <c r="Y36" s="90"/>
      <c r="Z36" s="90"/>
      <c r="AA36" s="90"/>
      <c r="AB36" s="90"/>
    </row>
    <row r="37" spans="1:28" x14ac:dyDescent="0.25">
      <c r="A37" s="32">
        <v>44109</v>
      </c>
      <c r="B37" s="251">
        <f t="shared" si="3"/>
        <v>35</v>
      </c>
      <c r="C37" s="244">
        <v>94</v>
      </c>
      <c r="D37" s="245">
        <v>418</v>
      </c>
      <c r="E37" s="246">
        <v>47973</v>
      </c>
      <c r="F37" s="247">
        <f t="shared" si="0"/>
        <v>512</v>
      </c>
      <c r="G37" s="254">
        <f t="shared" si="4"/>
        <v>-62</v>
      </c>
      <c r="H37" s="247" t="e">
        <f t="shared" ca="1" si="1"/>
        <v>#N/A</v>
      </c>
      <c r="I37" s="249">
        <f t="shared" si="2"/>
        <v>48485</v>
      </c>
      <c r="J37" s="262">
        <f t="shared" si="6"/>
        <v>1</v>
      </c>
      <c r="K37" s="89"/>
      <c r="L37" s="89"/>
      <c r="M37" s="89"/>
      <c r="N37" s="89"/>
      <c r="O37" s="89"/>
      <c r="P37" s="89"/>
      <c r="Q37" s="89"/>
      <c r="R37" s="89"/>
      <c r="S37" s="88"/>
    </row>
    <row r="38" spans="1:28" x14ac:dyDescent="0.25">
      <c r="A38" s="32">
        <v>44110</v>
      </c>
      <c r="B38" s="251">
        <f t="shared" si="3"/>
        <v>36</v>
      </c>
      <c r="C38" s="276">
        <v>86</v>
      </c>
      <c r="D38" s="277">
        <v>401</v>
      </c>
      <c r="E38" s="278">
        <v>47997</v>
      </c>
      <c r="F38" s="247">
        <f t="shared" si="0"/>
        <v>487</v>
      </c>
      <c r="G38" s="254">
        <f t="shared" si="4"/>
        <v>-25</v>
      </c>
      <c r="H38" s="247" t="e">
        <f t="shared" ca="1" si="1"/>
        <v>#N/A</v>
      </c>
      <c r="I38" s="249">
        <f t="shared" si="2"/>
        <v>48484</v>
      </c>
      <c r="J38" s="262">
        <f t="shared" si="6"/>
        <v>-1</v>
      </c>
      <c r="K38" s="89"/>
      <c r="L38" s="89"/>
      <c r="M38" s="89"/>
      <c r="N38" s="89"/>
      <c r="O38" s="89"/>
      <c r="P38" s="89"/>
      <c r="Q38" s="89"/>
      <c r="R38" s="89"/>
      <c r="S38" s="89"/>
    </row>
    <row r="39" spans="1:28" x14ac:dyDescent="0.25">
      <c r="A39" s="32">
        <v>44111</v>
      </c>
      <c r="B39" s="251">
        <f t="shared" si="3"/>
        <v>37</v>
      </c>
      <c r="C39" s="276">
        <v>110</v>
      </c>
      <c r="D39" s="277">
        <v>498</v>
      </c>
      <c r="E39" s="278">
        <v>47876</v>
      </c>
      <c r="F39" s="247">
        <f t="shared" si="0"/>
        <v>608</v>
      </c>
      <c r="G39" s="254">
        <f t="shared" si="4"/>
        <v>121</v>
      </c>
      <c r="H39" s="247" t="e">
        <f t="shared" ca="1" si="1"/>
        <v>#N/A</v>
      </c>
      <c r="I39" s="249">
        <f t="shared" si="2"/>
        <v>48484</v>
      </c>
      <c r="J39" s="262" t="str">
        <f t="shared" si="6"/>
        <v/>
      </c>
      <c r="K39" s="89"/>
      <c r="L39" s="89"/>
      <c r="M39" s="403" t="s">
        <v>124</v>
      </c>
      <c r="N39" s="362"/>
      <c r="O39" s="362"/>
      <c r="P39" s="362"/>
      <c r="Q39" s="363"/>
      <c r="R39" s="89"/>
      <c r="S39" s="89"/>
    </row>
    <row r="40" spans="1:28" x14ac:dyDescent="0.25">
      <c r="A40" s="32">
        <v>44112</v>
      </c>
      <c r="B40" s="251">
        <f t="shared" si="3"/>
        <v>38</v>
      </c>
      <c r="C40" s="276">
        <v>147</v>
      </c>
      <c r="D40" s="277">
        <v>674</v>
      </c>
      <c r="E40" s="278">
        <v>47663</v>
      </c>
      <c r="F40" s="247">
        <f t="shared" si="0"/>
        <v>821</v>
      </c>
      <c r="G40" s="254">
        <f t="shared" si="4"/>
        <v>213</v>
      </c>
      <c r="H40" s="247" t="e">
        <f t="shared" ca="1" si="1"/>
        <v>#N/A</v>
      </c>
      <c r="I40" s="249">
        <f t="shared" si="2"/>
        <v>48484</v>
      </c>
      <c r="J40" s="262" t="str">
        <f t="shared" si="6"/>
        <v/>
      </c>
      <c r="K40" s="89"/>
      <c r="L40" s="89"/>
      <c r="M40" s="263" t="e">
        <f t="array" aca="1" ref="M40" ca="1">LOGEST(F4:INDIRECT(ADDRESS(MATCH(TODAY(),A1:A1000,0),6.1),4),B4:INDIRECT(ADDRESS(MATCH(TODAY(),A1:A1000,0),2.1),4),1,1)</f>
        <v>#N/A</v>
      </c>
      <c r="N40" s="264"/>
      <c r="O40" s="264" t="e">
        <f ca="1">LN(M40)</f>
        <v>#N/A</v>
      </c>
      <c r="P40" s="404" t="e">
        <f ca="1">"y="&amp;ROUND($N$40,4)&amp;"*exp("&amp;ROUND($O$40,4)&amp;"*x)"</f>
        <v>#N/A</v>
      </c>
      <c r="Q40" s="405"/>
      <c r="R40" s="89"/>
      <c r="S40" s="89"/>
    </row>
    <row r="41" spans="1:28" x14ac:dyDescent="0.25">
      <c r="A41" s="32">
        <v>44113</v>
      </c>
      <c r="B41" s="251">
        <f t="shared" si="3"/>
        <v>39</v>
      </c>
      <c r="C41" s="276">
        <v>208</v>
      </c>
      <c r="D41" s="277">
        <v>811</v>
      </c>
      <c r="E41" s="278">
        <v>47465</v>
      </c>
      <c r="F41" s="247">
        <f t="shared" si="0"/>
        <v>1019</v>
      </c>
      <c r="G41" s="254">
        <f t="shared" si="4"/>
        <v>198</v>
      </c>
      <c r="H41" s="247" t="e">
        <f t="shared" ca="1" si="1"/>
        <v>#N/A</v>
      </c>
      <c r="I41" s="249">
        <f t="shared" si="2"/>
        <v>48484</v>
      </c>
      <c r="J41" s="262" t="str">
        <f t="shared" si="6"/>
        <v/>
      </c>
      <c r="K41" s="89"/>
      <c r="L41" s="89"/>
      <c r="M41" s="265"/>
      <c r="N41" s="266"/>
      <c r="O41" s="266"/>
      <c r="P41" s="266"/>
      <c r="Q41" s="267"/>
      <c r="R41" s="89"/>
      <c r="S41" s="89"/>
    </row>
    <row r="42" spans="1:28" x14ac:dyDescent="0.25">
      <c r="A42" s="61">
        <v>44114</v>
      </c>
      <c r="B42" s="255">
        <f t="shared" si="3"/>
        <v>40</v>
      </c>
      <c r="C42" s="279">
        <v>208</v>
      </c>
      <c r="D42" s="280">
        <v>811</v>
      </c>
      <c r="E42" s="281">
        <v>47465</v>
      </c>
      <c r="F42" s="259">
        <f t="shared" si="0"/>
        <v>1019</v>
      </c>
      <c r="G42" s="260">
        <f t="shared" si="4"/>
        <v>0</v>
      </c>
      <c r="H42" s="259" t="e">
        <f t="shared" ca="1" si="1"/>
        <v>#N/A</v>
      </c>
      <c r="I42" s="261">
        <f t="shared" si="2"/>
        <v>48484</v>
      </c>
      <c r="J42" s="250" t="str">
        <f t="shared" si="6"/>
        <v/>
      </c>
      <c r="K42" s="89"/>
      <c r="L42" s="89"/>
      <c r="M42" s="265"/>
      <c r="N42" s="266"/>
      <c r="O42" s="266"/>
      <c r="P42" s="268" t="str">
        <f>"R^2="&amp;ROUND(M42,4)</f>
        <v>R^2=0</v>
      </c>
      <c r="Q42" s="267"/>
      <c r="R42" s="89"/>
      <c r="S42" s="89"/>
      <c r="T42" s="90"/>
      <c r="U42" s="90"/>
      <c r="V42" s="90"/>
      <c r="W42" s="90"/>
      <c r="X42" s="90"/>
      <c r="Y42" s="90"/>
      <c r="Z42" s="90"/>
      <c r="AA42" s="90"/>
      <c r="AB42" s="90"/>
    </row>
    <row r="43" spans="1:28" x14ac:dyDescent="0.25">
      <c r="A43" s="61">
        <v>44115</v>
      </c>
      <c r="B43" s="255">
        <f t="shared" si="3"/>
        <v>41</v>
      </c>
      <c r="C43" s="279">
        <v>208</v>
      </c>
      <c r="D43" s="280">
        <v>811</v>
      </c>
      <c r="E43" s="281">
        <v>47465</v>
      </c>
      <c r="F43" s="259">
        <f t="shared" si="0"/>
        <v>1019</v>
      </c>
      <c r="G43" s="260">
        <f t="shared" si="4"/>
        <v>0</v>
      </c>
      <c r="H43" s="259" t="e">
        <f t="shared" ca="1" si="1"/>
        <v>#N/A</v>
      </c>
      <c r="I43" s="261">
        <f t="shared" si="2"/>
        <v>48484</v>
      </c>
      <c r="J43" s="250" t="str">
        <f t="shared" si="6"/>
        <v/>
      </c>
      <c r="K43" s="89"/>
      <c r="L43" s="89"/>
      <c r="M43" s="269"/>
      <c r="N43" s="270"/>
      <c r="O43" s="270"/>
      <c r="P43" s="270"/>
      <c r="Q43" s="271"/>
      <c r="R43" s="89"/>
      <c r="S43" s="88"/>
      <c r="T43" s="90"/>
      <c r="U43" s="90"/>
      <c r="V43" s="90"/>
      <c r="W43" s="90"/>
      <c r="X43" s="90"/>
      <c r="Y43" s="90"/>
      <c r="Z43" s="90"/>
      <c r="AA43" s="90"/>
      <c r="AB43" s="90"/>
    </row>
    <row r="44" spans="1:28" x14ac:dyDescent="0.25">
      <c r="A44" s="32">
        <v>44116</v>
      </c>
      <c r="B44" s="251">
        <f t="shared" si="3"/>
        <v>42</v>
      </c>
      <c r="C44" s="276">
        <v>264</v>
      </c>
      <c r="D44" s="277">
        <v>821</v>
      </c>
      <c r="E44" s="278">
        <v>47399</v>
      </c>
      <c r="F44" s="247">
        <f t="shared" si="0"/>
        <v>1085</v>
      </c>
      <c r="G44" s="254">
        <f t="shared" si="4"/>
        <v>66</v>
      </c>
      <c r="H44" s="247" t="e">
        <f t="shared" ca="1" si="1"/>
        <v>#N/A</v>
      </c>
      <c r="I44" s="249">
        <f t="shared" si="2"/>
        <v>48484</v>
      </c>
      <c r="J44" s="262" t="str">
        <f t="shared" si="6"/>
        <v/>
      </c>
      <c r="K44" s="89"/>
      <c r="L44" s="89"/>
      <c r="M44" s="273"/>
      <c r="N44" s="274"/>
      <c r="O44" s="274"/>
      <c r="P44" s="274"/>
      <c r="Q44" s="275"/>
      <c r="R44" s="89"/>
      <c r="S44" s="88"/>
    </row>
    <row r="45" spans="1:28" x14ac:dyDescent="0.25">
      <c r="A45" s="32">
        <v>44117</v>
      </c>
      <c r="B45" s="251">
        <f t="shared" si="3"/>
        <v>43</v>
      </c>
      <c r="C45" s="276">
        <v>284</v>
      </c>
      <c r="D45" s="277">
        <v>801</v>
      </c>
      <c r="E45" s="278">
        <v>47399</v>
      </c>
      <c r="F45" s="247">
        <f t="shared" si="0"/>
        <v>1085</v>
      </c>
      <c r="G45" s="254">
        <f t="shared" si="4"/>
        <v>0</v>
      </c>
      <c r="H45" s="247" t="e">
        <f t="shared" ca="1" si="1"/>
        <v>#N/A</v>
      </c>
      <c r="I45" s="249">
        <f t="shared" si="2"/>
        <v>48484</v>
      </c>
      <c r="J45" s="262" t="str">
        <f t="shared" si="6"/>
        <v/>
      </c>
      <c r="K45" s="89"/>
      <c r="L45" s="89"/>
      <c r="M45" s="89"/>
      <c r="N45" s="89"/>
      <c r="O45" s="89"/>
      <c r="P45" s="89"/>
      <c r="Q45" s="89"/>
      <c r="R45" s="89"/>
      <c r="S45" s="89"/>
    </row>
    <row r="46" spans="1:28" x14ac:dyDescent="0.25">
      <c r="A46" s="32">
        <v>44118</v>
      </c>
      <c r="B46" s="251">
        <f t="shared" si="3"/>
        <v>44</v>
      </c>
      <c r="C46" s="276">
        <v>375</v>
      </c>
      <c r="D46" s="277">
        <v>1037</v>
      </c>
      <c r="E46" s="278">
        <v>47072</v>
      </c>
      <c r="F46" s="247">
        <f t="shared" si="0"/>
        <v>1412</v>
      </c>
      <c r="G46" s="254">
        <f t="shared" si="4"/>
        <v>327</v>
      </c>
      <c r="H46" s="247" t="e">
        <f t="shared" ca="1" si="1"/>
        <v>#N/A</v>
      </c>
      <c r="I46" s="249">
        <f t="shared" si="2"/>
        <v>48484</v>
      </c>
      <c r="J46" s="262" t="str">
        <f t="shared" si="6"/>
        <v/>
      </c>
      <c r="K46" s="89"/>
      <c r="L46" s="89"/>
      <c r="M46" s="89"/>
      <c r="N46" s="89"/>
      <c r="O46" s="89"/>
      <c r="P46" s="89"/>
      <c r="Q46" s="89"/>
      <c r="R46" s="89"/>
      <c r="S46" s="89"/>
    </row>
    <row r="47" spans="1:28" x14ac:dyDescent="0.25">
      <c r="A47" s="32">
        <v>44119</v>
      </c>
      <c r="B47" s="251">
        <f t="shared" si="3"/>
        <v>45</v>
      </c>
      <c r="C47" s="276">
        <v>483</v>
      </c>
      <c r="D47" s="277">
        <v>1382</v>
      </c>
      <c r="E47" s="278">
        <v>46619</v>
      </c>
      <c r="F47" s="247">
        <f t="shared" si="0"/>
        <v>1865</v>
      </c>
      <c r="G47" s="254">
        <f t="shared" si="4"/>
        <v>453</v>
      </c>
      <c r="H47" s="247" t="e">
        <f t="shared" ca="1" si="1"/>
        <v>#N/A</v>
      </c>
      <c r="I47" s="249">
        <f t="shared" si="2"/>
        <v>48484</v>
      </c>
      <c r="J47" s="262" t="str">
        <f t="shared" si="6"/>
        <v/>
      </c>
      <c r="K47" s="89"/>
      <c r="L47" s="89"/>
      <c r="M47" s="89"/>
      <c r="N47" s="89"/>
      <c r="O47" s="89"/>
      <c r="P47" s="89"/>
      <c r="Q47" s="89"/>
      <c r="R47" s="89"/>
      <c r="S47" s="89"/>
    </row>
    <row r="48" spans="1:28" x14ac:dyDescent="0.25">
      <c r="A48" s="32">
        <v>44120</v>
      </c>
      <c r="B48" s="251">
        <f t="shared" si="3"/>
        <v>46</v>
      </c>
      <c r="C48" s="276">
        <v>553</v>
      </c>
      <c r="D48" s="277">
        <v>1604</v>
      </c>
      <c r="E48" s="278">
        <v>46327</v>
      </c>
      <c r="F48" s="247">
        <f t="shared" si="0"/>
        <v>2157</v>
      </c>
      <c r="G48" s="254">
        <f t="shared" si="4"/>
        <v>292</v>
      </c>
      <c r="H48" s="247" t="e">
        <f t="shared" ca="1" si="1"/>
        <v>#N/A</v>
      </c>
      <c r="I48" s="249">
        <f t="shared" si="2"/>
        <v>48484</v>
      </c>
      <c r="J48" s="262" t="str">
        <f t="shared" si="6"/>
        <v/>
      </c>
      <c r="K48" s="282" t="s">
        <v>125</v>
      </c>
      <c r="L48" s="89"/>
      <c r="M48" s="89"/>
      <c r="N48" s="89"/>
      <c r="O48" s="89"/>
      <c r="P48" s="89"/>
      <c r="Q48" s="89"/>
      <c r="R48" s="89"/>
      <c r="S48" s="89"/>
    </row>
    <row r="49" spans="1:28" x14ac:dyDescent="0.25">
      <c r="A49" s="61">
        <v>44121</v>
      </c>
      <c r="B49" s="255">
        <f t="shared" si="3"/>
        <v>47</v>
      </c>
      <c r="C49" s="279">
        <v>6731</v>
      </c>
      <c r="D49" s="280">
        <v>7582</v>
      </c>
      <c r="E49" s="281">
        <v>34171</v>
      </c>
      <c r="F49" s="247">
        <f t="shared" si="0"/>
        <v>14313</v>
      </c>
      <c r="G49" s="254">
        <f t="shared" si="4"/>
        <v>12156</v>
      </c>
      <c r="H49" s="259" t="e">
        <f t="shared" ca="1" si="1"/>
        <v>#N/A</v>
      </c>
      <c r="I49" s="261">
        <f t="shared" si="2"/>
        <v>48484</v>
      </c>
      <c r="J49" s="250" t="str">
        <f t="shared" si="6"/>
        <v/>
      </c>
      <c r="K49" s="282" t="s">
        <v>126</v>
      </c>
      <c r="L49" s="89"/>
      <c r="M49" s="89"/>
      <c r="N49" s="89"/>
      <c r="O49" s="89"/>
      <c r="P49" s="89"/>
      <c r="Q49" s="89"/>
      <c r="R49" s="89"/>
      <c r="S49" s="89"/>
      <c r="T49" s="90"/>
      <c r="U49" s="90"/>
      <c r="V49" s="90"/>
      <c r="W49" s="90"/>
      <c r="X49" s="90"/>
      <c r="Y49" s="90"/>
      <c r="Z49" s="90"/>
      <c r="AA49" s="90"/>
      <c r="AB49" s="90"/>
    </row>
    <row r="50" spans="1:28" x14ac:dyDescent="0.25">
      <c r="A50" s="61">
        <v>44122</v>
      </c>
      <c r="B50" s="255">
        <f t="shared" si="3"/>
        <v>48</v>
      </c>
      <c r="C50" s="279">
        <v>6731</v>
      </c>
      <c r="D50" s="280">
        <v>7582</v>
      </c>
      <c r="E50" s="281">
        <v>34171</v>
      </c>
      <c r="F50" s="247">
        <f t="shared" si="0"/>
        <v>14313</v>
      </c>
      <c r="G50" s="254">
        <f t="shared" si="4"/>
        <v>0</v>
      </c>
      <c r="H50" s="259" t="e">
        <f t="shared" ca="1" si="1"/>
        <v>#N/A</v>
      </c>
      <c r="I50" s="261">
        <f t="shared" si="2"/>
        <v>48484</v>
      </c>
      <c r="J50" s="250" t="str">
        <f t="shared" si="6"/>
        <v/>
      </c>
      <c r="K50" s="88"/>
      <c r="L50" s="88"/>
      <c r="M50" s="88"/>
      <c r="N50" s="88"/>
      <c r="O50" s="88"/>
      <c r="P50" s="88"/>
      <c r="Q50" s="88"/>
      <c r="R50" s="88"/>
      <c r="S50" s="88"/>
      <c r="T50" s="90"/>
      <c r="U50" s="90"/>
      <c r="V50" s="90"/>
      <c r="W50" s="90"/>
      <c r="X50" s="90"/>
      <c r="Y50" s="90"/>
      <c r="Z50" s="90"/>
      <c r="AA50" s="90"/>
      <c r="AB50" s="90"/>
    </row>
    <row r="51" spans="1:28" x14ac:dyDescent="0.25">
      <c r="A51" s="32">
        <v>44123</v>
      </c>
      <c r="B51" s="251">
        <f t="shared" si="3"/>
        <v>49</v>
      </c>
      <c r="C51" s="276">
        <v>6731</v>
      </c>
      <c r="D51" s="277">
        <v>7582</v>
      </c>
      <c r="E51" s="278">
        <v>34171</v>
      </c>
      <c r="F51" s="247">
        <f t="shared" si="0"/>
        <v>14313</v>
      </c>
      <c r="G51" s="254">
        <f t="shared" si="4"/>
        <v>0</v>
      </c>
      <c r="H51" s="247" t="e">
        <f t="shared" ca="1" si="1"/>
        <v>#N/A</v>
      </c>
      <c r="I51" s="249">
        <f t="shared" si="2"/>
        <v>48484</v>
      </c>
      <c r="J51" s="262" t="str">
        <f t="shared" si="6"/>
        <v/>
      </c>
      <c r="K51" s="283" t="s">
        <v>127</v>
      </c>
      <c r="L51" s="88"/>
      <c r="M51" s="88"/>
      <c r="N51" s="88"/>
      <c r="O51" s="88"/>
      <c r="P51" s="88"/>
      <c r="Q51" s="88"/>
      <c r="R51" s="88"/>
      <c r="S51" s="88"/>
    </row>
    <row r="52" spans="1:28" x14ac:dyDescent="0.25">
      <c r="A52" s="32">
        <v>44124</v>
      </c>
      <c r="B52" s="251">
        <f t="shared" si="3"/>
        <v>50</v>
      </c>
      <c r="C52" s="276">
        <f>115+221+5778</f>
        <v>6114</v>
      </c>
      <c r="D52" s="277">
        <f>138+606+5503</f>
        <v>6247</v>
      </c>
      <c r="E52" s="278">
        <f>15007+14111+1187</f>
        <v>30305</v>
      </c>
      <c r="F52" s="247">
        <f t="shared" si="0"/>
        <v>12361</v>
      </c>
      <c r="G52" s="254">
        <f t="shared" si="4"/>
        <v>-1952</v>
      </c>
      <c r="H52" s="247" t="e">
        <f t="shared" ca="1" si="1"/>
        <v>#N/A</v>
      </c>
      <c r="I52" s="249">
        <f t="shared" si="2"/>
        <v>42666</v>
      </c>
      <c r="J52" s="262">
        <f t="shared" si="6"/>
        <v>-5818</v>
      </c>
      <c r="K52" s="282" t="s">
        <v>128</v>
      </c>
      <c r="L52" s="89"/>
      <c r="M52" s="89"/>
      <c r="N52" s="89"/>
      <c r="O52" s="89"/>
      <c r="P52" s="89"/>
      <c r="Q52" s="89"/>
      <c r="R52" s="89"/>
      <c r="S52" s="89"/>
    </row>
    <row r="53" spans="1:28" x14ac:dyDescent="0.25">
      <c r="A53" s="32">
        <v>44125</v>
      </c>
      <c r="B53" s="251">
        <f t="shared" si="3"/>
        <v>51</v>
      </c>
      <c r="C53" s="276">
        <f>171+298+5778</f>
        <v>6247</v>
      </c>
      <c r="D53" s="277">
        <f>206+961+5503</f>
        <v>6670</v>
      </c>
      <c r="E53" s="278">
        <f>14883+13679+1187</f>
        <v>29749</v>
      </c>
      <c r="F53" s="247">
        <f t="shared" si="0"/>
        <v>12917</v>
      </c>
      <c r="G53" s="254">
        <f t="shared" si="4"/>
        <v>556</v>
      </c>
      <c r="H53" s="247" t="e">
        <f t="shared" ca="1" si="1"/>
        <v>#N/A</v>
      </c>
      <c r="I53" s="249">
        <f t="shared" si="2"/>
        <v>42666</v>
      </c>
      <c r="J53" s="262" t="str">
        <f t="shared" si="6"/>
        <v/>
      </c>
      <c r="K53" s="282" t="s">
        <v>129</v>
      </c>
      <c r="L53" s="89"/>
      <c r="M53" s="89"/>
      <c r="N53" s="89"/>
      <c r="O53" s="89"/>
      <c r="P53" s="89"/>
      <c r="Q53" s="89"/>
      <c r="R53" s="89"/>
      <c r="S53" s="89"/>
    </row>
    <row r="54" spans="1:28" x14ac:dyDescent="0.25">
      <c r="A54" s="32">
        <v>44126</v>
      </c>
      <c r="B54" s="251">
        <f t="shared" si="3"/>
        <v>52</v>
      </c>
      <c r="C54" s="276">
        <f>207+369+5778</f>
        <v>6354</v>
      </c>
      <c r="D54" s="277">
        <f>267+1202+5503</f>
        <v>6972</v>
      </c>
      <c r="E54" s="278">
        <f>14786+13367+1187</f>
        <v>29340</v>
      </c>
      <c r="F54" s="247">
        <f t="shared" si="0"/>
        <v>13326</v>
      </c>
      <c r="G54" s="254">
        <f t="shared" si="4"/>
        <v>409</v>
      </c>
      <c r="H54" s="247" t="e">
        <f t="shared" ca="1" si="1"/>
        <v>#N/A</v>
      </c>
      <c r="I54" s="249">
        <f t="shared" si="2"/>
        <v>42666</v>
      </c>
      <c r="J54" s="262" t="str">
        <f t="shared" si="6"/>
        <v/>
      </c>
      <c r="K54" s="89"/>
      <c r="L54" s="89"/>
      <c r="M54" s="89"/>
      <c r="N54" s="89"/>
      <c r="O54" s="89"/>
      <c r="P54" s="89"/>
      <c r="Q54" s="89"/>
      <c r="R54" s="89"/>
      <c r="S54" s="89"/>
    </row>
    <row r="55" spans="1:28" x14ac:dyDescent="0.25">
      <c r="A55" s="32">
        <v>44127</v>
      </c>
      <c r="B55" s="251">
        <f t="shared" si="3"/>
        <v>53</v>
      </c>
      <c r="C55" s="276">
        <f>306+410+5778</f>
        <v>6494</v>
      </c>
      <c r="D55" s="277">
        <f>245+1270+5503</f>
        <v>7018</v>
      </c>
      <c r="E55" s="278">
        <f>14709+13258+1187</f>
        <v>29154</v>
      </c>
      <c r="F55" s="247">
        <f t="shared" si="0"/>
        <v>13512</v>
      </c>
      <c r="G55" s="254">
        <f t="shared" si="4"/>
        <v>186</v>
      </c>
      <c r="H55" s="247" t="e">
        <f t="shared" ca="1" si="1"/>
        <v>#N/A</v>
      </c>
      <c r="I55" s="249">
        <f t="shared" si="2"/>
        <v>42666</v>
      </c>
      <c r="J55" s="262" t="str">
        <f t="shared" si="6"/>
        <v/>
      </c>
      <c r="K55" s="89"/>
      <c r="L55" s="89"/>
      <c r="M55" s="89"/>
      <c r="N55" s="89"/>
      <c r="O55" s="89"/>
      <c r="P55" s="89"/>
      <c r="Q55" s="89"/>
      <c r="R55" s="89"/>
      <c r="S55" s="89"/>
    </row>
    <row r="56" spans="1:28" x14ac:dyDescent="0.25">
      <c r="A56" s="61">
        <v>44128</v>
      </c>
      <c r="B56" s="255">
        <f t="shared" si="3"/>
        <v>54</v>
      </c>
      <c r="C56" s="279">
        <f t="shared" ref="C56:C57" si="7">306+410+5778+5503</f>
        <v>11997</v>
      </c>
      <c r="D56" s="280">
        <f t="shared" ref="D56:D57" si="8">245+1270+13258</f>
        <v>14773</v>
      </c>
      <c r="E56" s="281">
        <f t="shared" ref="E56:E57" si="9">14709+1187</f>
        <v>15896</v>
      </c>
      <c r="F56" s="259">
        <f t="shared" si="0"/>
        <v>26770</v>
      </c>
      <c r="G56" s="260">
        <f t="shared" si="4"/>
        <v>13258</v>
      </c>
      <c r="H56" s="259" t="e">
        <f t="shared" ca="1" si="1"/>
        <v>#N/A</v>
      </c>
      <c r="I56" s="261">
        <f t="shared" si="2"/>
        <v>42666</v>
      </c>
      <c r="J56" s="250" t="str">
        <f t="shared" si="6"/>
        <v/>
      </c>
      <c r="K56" s="282" t="s">
        <v>130</v>
      </c>
      <c r="L56" s="89"/>
      <c r="M56" s="89"/>
      <c r="N56" s="89"/>
      <c r="O56" s="89"/>
      <c r="P56" s="89"/>
      <c r="Q56" s="89"/>
      <c r="R56" s="89"/>
      <c r="S56" s="89"/>
    </row>
    <row r="57" spans="1:28" x14ac:dyDescent="0.25">
      <c r="A57" s="61">
        <v>44129</v>
      </c>
      <c r="B57" s="255">
        <f t="shared" si="3"/>
        <v>55</v>
      </c>
      <c r="C57" s="279">
        <f t="shared" si="7"/>
        <v>11997</v>
      </c>
      <c r="D57" s="280">
        <f t="shared" si="8"/>
        <v>14773</v>
      </c>
      <c r="E57" s="281">
        <f t="shared" si="9"/>
        <v>15896</v>
      </c>
      <c r="F57" s="259">
        <f t="shared" si="0"/>
        <v>26770</v>
      </c>
      <c r="G57" s="260">
        <f t="shared" si="4"/>
        <v>0</v>
      </c>
      <c r="H57" s="259" t="e">
        <f t="shared" ca="1" si="1"/>
        <v>#N/A</v>
      </c>
      <c r="I57" s="261">
        <f t="shared" si="2"/>
        <v>42666</v>
      </c>
      <c r="J57" s="250" t="str">
        <f t="shared" si="6"/>
        <v/>
      </c>
      <c r="K57" s="88"/>
      <c r="L57" s="88"/>
      <c r="M57" s="88"/>
      <c r="N57" s="88"/>
      <c r="O57" s="88"/>
      <c r="P57" s="88"/>
      <c r="Q57" s="88"/>
      <c r="R57" s="88"/>
      <c r="S57" s="88"/>
    </row>
    <row r="58" spans="1:28" x14ac:dyDescent="0.25">
      <c r="A58" s="32">
        <v>44130</v>
      </c>
      <c r="B58" s="251">
        <f t="shared" si="3"/>
        <v>56</v>
      </c>
      <c r="C58" s="276">
        <f>236+410+5778+5503</f>
        <v>11927</v>
      </c>
      <c r="D58" s="277">
        <f>254+1270+13258</f>
        <v>14782</v>
      </c>
      <c r="E58" s="278">
        <f>14769+1187</f>
        <v>15956</v>
      </c>
      <c r="F58" s="247">
        <f t="shared" si="0"/>
        <v>26709</v>
      </c>
      <c r="G58" s="254">
        <f t="shared" si="4"/>
        <v>-61</v>
      </c>
      <c r="H58" s="247" t="e">
        <f t="shared" ca="1" si="1"/>
        <v>#N/A</v>
      </c>
      <c r="I58" s="249">
        <f t="shared" si="2"/>
        <v>42665</v>
      </c>
      <c r="J58" s="262">
        <f t="shared" si="6"/>
        <v>-1</v>
      </c>
      <c r="K58" s="283" t="s">
        <v>131</v>
      </c>
      <c r="L58" s="88"/>
      <c r="M58" s="88"/>
      <c r="N58" s="88"/>
      <c r="O58" s="88"/>
      <c r="P58" s="88"/>
      <c r="Q58" s="88"/>
      <c r="R58" s="88"/>
      <c r="S58" s="88"/>
    </row>
    <row r="59" spans="1:28" x14ac:dyDescent="0.25">
      <c r="A59" s="32">
        <v>44131</v>
      </c>
      <c r="B59" s="251">
        <f t="shared" si="3"/>
        <v>57</v>
      </c>
      <c r="C59" s="276">
        <f>302+410+5778+5503</f>
        <v>11993</v>
      </c>
      <c r="D59" s="277">
        <f>294+1270+13258</f>
        <v>14822</v>
      </c>
      <c r="E59" s="278">
        <f>14664+1187</f>
        <v>15851</v>
      </c>
      <c r="F59" s="247">
        <f t="shared" si="0"/>
        <v>26815</v>
      </c>
      <c r="G59" s="254">
        <f t="shared" si="4"/>
        <v>106</v>
      </c>
      <c r="H59" s="247" t="e">
        <f t="shared" ca="1" si="1"/>
        <v>#N/A</v>
      </c>
      <c r="I59" s="249">
        <f t="shared" si="2"/>
        <v>42666</v>
      </c>
      <c r="J59" s="262">
        <f t="shared" si="6"/>
        <v>1</v>
      </c>
      <c r="K59" s="89"/>
      <c r="L59" s="89"/>
      <c r="M59" s="89"/>
      <c r="N59" s="89"/>
      <c r="O59" s="89"/>
      <c r="P59" s="89"/>
      <c r="Q59" s="89"/>
      <c r="R59" s="89"/>
      <c r="S59" s="89"/>
    </row>
    <row r="60" spans="1:28" x14ac:dyDescent="0.25">
      <c r="A60" s="32">
        <v>44132</v>
      </c>
      <c r="B60" s="251">
        <f t="shared" si="3"/>
        <v>58</v>
      </c>
      <c r="C60" s="276">
        <f>349+410+5778+5503</f>
        <v>12040</v>
      </c>
      <c r="D60" s="277">
        <f>355+1270+13258</f>
        <v>14883</v>
      </c>
      <c r="E60" s="278">
        <f>14556+1187</f>
        <v>15743</v>
      </c>
      <c r="F60" s="247">
        <f t="shared" si="0"/>
        <v>26923</v>
      </c>
      <c r="G60" s="254">
        <f t="shared" si="4"/>
        <v>108</v>
      </c>
      <c r="H60" s="247" t="e">
        <f t="shared" ca="1" si="1"/>
        <v>#N/A</v>
      </c>
      <c r="I60" s="249">
        <f t="shared" si="2"/>
        <v>42666</v>
      </c>
      <c r="J60" s="262" t="str">
        <f t="shared" si="6"/>
        <v/>
      </c>
      <c r="K60" s="89"/>
      <c r="L60" s="89"/>
      <c r="M60" s="89"/>
      <c r="N60" s="89"/>
      <c r="O60" s="89"/>
      <c r="P60" s="89"/>
      <c r="Q60" s="89"/>
      <c r="R60" s="89"/>
      <c r="S60" s="89"/>
    </row>
    <row r="61" spans="1:28" x14ac:dyDescent="0.25">
      <c r="A61" s="32">
        <v>44133</v>
      </c>
      <c r="B61" s="251">
        <f t="shared" si="3"/>
        <v>59</v>
      </c>
      <c r="C61" s="276">
        <f>445+410+5778+5503</f>
        <v>12136</v>
      </c>
      <c r="D61" s="277">
        <f>506+1270+13258</f>
        <v>15034</v>
      </c>
      <c r="E61" s="278">
        <f>14309+1187</f>
        <v>15496</v>
      </c>
      <c r="F61" s="247">
        <f t="shared" si="0"/>
        <v>27170</v>
      </c>
      <c r="G61" s="254">
        <f t="shared" si="4"/>
        <v>247</v>
      </c>
      <c r="H61" s="247" t="e">
        <f t="shared" ca="1" si="1"/>
        <v>#N/A</v>
      </c>
      <c r="I61" s="249">
        <f t="shared" si="2"/>
        <v>42666</v>
      </c>
      <c r="J61" s="262" t="str">
        <f t="shared" si="6"/>
        <v/>
      </c>
      <c r="K61" s="89"/>
      <c r="L61" s="89"/>
      <c r="M61" s="89"/>
      <c r="N61" s="89"/>
      <c r="O61" s="89"/>
      <c r="P61" s="89"/>
      <c r="Q61" s="89"/>
      <c r="R61" s="89"/>
      <c r="S61" s="89"/>
    </row>
    <row r="62" spans="1:28" x14ac:dyDescent="0.25">
      <c r="A62" s="32">
        <v>44134</v>
      </c>
      <c r="B62" s="251">
        <f t="shared" si="3"/>
        <v>60</v>
      </c>
      <c r="C62" s="276">
        <f t="shared" ref="C62:C64" si="10">483+410+5778+5503</f>
        <v>12174</v>
      </c>
      <c r="D62" s="277">
        <f t="shared" ref="D62:D64" si="11">510+1270+13258</f>
        <v>15038</v>
      </c>
      <c r="E62" s="278">
        <f t="shared" ref="E62:E64" si="12">14258+1187</f>
        <v>15445</v>
      </c>
      <c r="F62" s="247">
        <f t="shared" si="0"/>
        <v>27212</v>
      </c>
      <c r="G62" s="254">
        <f t="shared" si="4"/>
        <v>42</v>
      </c>
      <c r="H62" s="247" t="e">
        <f t="shared" ca="1" si="1"/>
        <v>#N/A</v>
      </c>
      <c r="I62" s="249">
        <f t="shared" si="2"/>
        <v>42657</v>
      </c>
      <c r="J62" s="262">
        <f t="shared" si="6"/>
        <v>-9</v>
      </c>
      <c r="K62" s="89"/>
      <c r="L62" s="89"/>
      <c r="M62" s="89"/>
      <c r="N62" s="89"/>
      <c r="O62" s="89"/>
      <c r="P62" s="89"/>
      <c r="Q62" s="89"/>
      <c r="R62" s="89"/>
      <c r="S62" s="89"/>
    </row>
    <row r="63" spans="1:28" x14ac:dyDescent="0.25">
      <c r="A63" s="61">
        <v>44135</v>
      </c>
      <c r="B63" s="255">
        <f t="shared" si="3"/>
        <v>61</v>
      </c>
      <c r="C63" s="279">
        <f t="shared" si="10"/>
        <v>12174</v>
      </c>
      <c r="D63" s="280">
        <f t="shared" si="11"/>
        <v>15038</v>
      </c>
      <c r="E63" s="281">
        <f t="shared" si="12"/>
        <v>15445</v>
      </c>
      <c r="F63" s="259">
        <f t="shared" si="0"/>
        <v>27212</v>
      </c>
      <c r="G63" s="260">
        <f t="shared" si="4"/>
        <v>0</v>
      </c>
      <c r="H63" s="259" t="e">
        <f t="shared" ca="1" si="1"/>
        <v>#N/A</v>
      </c>
      <c r="I63" s="261">
        <f t="shared" si="2"/>
        <v>42657</v>
      </c>
      <c r="J63" s="250" t="str">
        <f t="shared" si="6"/>
        <v/>
      </c>
      <c r="K63" s="89"/>
      <c r="L63" s="89"/>
      <c r="M63" s="89"/>
      <c r="N63" s="89"/>
      <c r="O63" s="89"/>
      <c r="P63" s="89"/>
      <c r="Q63" s="89"/>
      <c r="R63" s="89"/>
      <c r="S63" s="89"/>
    </row>
    <row r="64" spans="1:28" x14ac:dyDescent="0.25">
      <c r="A64" s="61">
        <v>44136</v>
      </c>
      <c r="B64" s="255">
        <f t="shared" si="3"/>
        <v>62</v>
      </c>
      <c r="C64" s="279">
        <f t="shared" si="10"/>
        <v>12174</v>
      </c>
      <c r="D64" s="280">
        <f t="shared" si="11"/>
        <v>15038</v>
      </c>
      <c r="E64" s="281">
        <f t="shared" si="12"/>
        <v>15445</v>
      </c>
      <c r="F64" s="259">
        <f t="shared" si="0"/>
        <v>27212</v>
      </c>
      <c r="G64" s="260">
        <f t="shared" si="4"/>
        <v>0</v>
      </c>
      <c r="H64" s="259" t="e">
        <f t="shared" ca="1" si="1"/>
        <v>#N/A</v>
      </c>
      <c r="I64" s="261">
        <f t="shared" si="2"/>
        <v>42657</v>
      </c>
      <c r="J64" s="250" t="str">
        <f t="shared" si="6"/>
        <v/>
      </c>
      <c r="K64" s="89"/>
      <c r="L64" s="89"/>
      <c r="M64" s="89"/>
      <c r="N64" s="89"/>
      <c r="O64" s="89"/>
      <c r="P64" s="89"/>
      <c r="Q64" s="89"/>
      <c r="R64" s="89"/>
      <c r="S64" s="89"/>
    </row>
    <row r="65" spans="1:19" x14ac:dyDescent="0.25">
      <c r="A65" s="32">
        <v>44137</v>
      </c>
      <c r="B65" s="251">
        <f t="shared" si="3"/>
        <v>63</v>
      </c>
      <c r="C65" s="276">
        <f>316+410+5778+5503</f>
        <v>12007</v>
      </c>
      <c r="D65" s="277">
        <f>345+1270+13258</f>
        <v>14873</v>
      </c>
      <c r="E65" s="278">
        <f>14599+1187</f>
        <v>15786</v>
      </c>
      <c r="F65" s="247">
        <f t="shared" si="0"/>
        <v>26880</v>
      </c>
      <c r="G65" s="254">
        <f t="shared" si="4"/>
        <v>-332</v>
      </c>
      <c r="H65" s="247" t="e">
        <f t="shared" ca="1" si="1"/>
        <v>#N/A</v>
      </c>
      <c r="I65" s="249">
        <f t="shared" si="2"/>
        <v>42666</v>
      </c>
      <c r="J65" s="262">
        <f t="shared" si="6"/>
        <v>9</v>
      </c>
      <c r="K65" s="89"/>
      <c r="L65" s="89"/>
      <c r="M65" s="89"/>
      <c r="N65" s="89"/>
      <c r="O65" s="89"/>
      <c r="P65" s="89"/>
      <c r="Q65" s="89"/>
      <c r="R65" s="89"/>
      <c r="S65" s="89"/>
    </row>
    <row r="66" spans="1:19" x14ac:dyDescent="0.25">
      <c r="A66" s="32">
        <v>44138</v>
      </c>
      <c r="B66" s="251">
        <f t="shared" si="3"/>
        <v>64</v>
      </c>
      <c r="C66" s="276">
        <f>345+410+5778+5503</f>
        <v>12036</v>
      </c>
      <c r="D66" s="277">
        <f>328+1270+13258</f>
        <v>14856</v>
      </c>
      <c r="E66" s="278">
        <f>14587+1187</f>
        <v>15774</v>
      </c>
      <c r="F66" s="247">
        <f t="shared" si="0"/>
        <v>26892</v>
      </c>
      <c r="G66" s="254">
        <f t="shared" si="4"/>
        <v>12</v>
      </c>
      <c r="H66" s="247" t="e">
        <f t="shared" ca="1" si="1"/>
        <v>#N/A</v>
      </c>
      <c r="I66" s="249">
        <f t="shared" si="2"/>
        <v>42666</v>
      </c>
      <c r="J66" s="262" t="str">
        <f t="shared" si="6"/>
        <v/>
      </c>
      <c r="K66" s="89"/>
      <c r="L66" s="89"/>
      <c r="M66" s="89"/>
      <c r="N66" s="89"/>
      <c r="O66" s="89"/>
      <c r="P66" s="89"/>
      <c r="Q66" s="89"/>
      <c r="R66" s="89"/>
      <c r="S66" s="89"/>
    </row>
    <row r="67" spans="1:19" x14ac:dyDescent="0.25">
      <c r="A67" s="32">
        <v>44139</v>
      </c>
      <c r="B67" s="251">
        <f t="shared" si="3"/>
        <v>65</v>
      </c>
      <c r="C67" s="276">
        <f>397+410+5778+5503</f>
        <v>12088</v>
      </c>
      <c r="D67" s="277">
        <f>394+1270+13258</f>
        <v>14922</v>
      </c>
      <c r="E67" s="278">
        <f>14469+1187</f>
        <v>15656</v>
      </c>
      <c r="F67" s="247">
        <f t="shared" si="0"/>
        <v>27010</v>
      </c>
      <c r="G67" s="254">
        <f t="shared" si="4"/>
        <v>118</v>
      </c>
      <c r="H67" s="247" t="e">
        <f t="shared" ca="1" si="1"/>
        <v>#N/A</v>
      </c>
      <c r="I67" s="249">
        <f t="shared" si="2"/>
        <v>42666</v>
      </c>
      <c r="J67" s="262" t="str">
        <f t="shared" si="6"/>
        <v/>
      </c>
      <c r="K67" s="89"/>
      <c r="L67" s="89"/>
      <c r="M67" s="89"/>
      <c r="N67" s="89"/>
      <c r="O67" s="89"/>
      <c r="P67" s="89"/>
      <c r="Q67" s="89"/>
      <c r="R67" s="89"/>
      <c r="S67" s="89"/>
    </row>
    <row r="68" spans="1:19" x14ac:dyDescent="0.25">
      <c r="A68" s="32">
        <v>44140</v>
      </c>
      <c r="B68" s="251">
        <f t="shared" si="3"/>
        <v>66</v>
      </c>
      <c r="C68" s="276">
        <f t="shared" ref="C68:C71" si="13">439+410+5778+5503</f>
        <v>12130</v>
      </c>
      <c r="D68" s="277">
        <f t="shared" ref="D68:D71" si="14">489+1270+13258</f>
        <v>15017</v>
      </c>
      <c r="E68" s="278">
        <f t="shared" ref="E68:E71" si="15">14332+1187</f>
        <v>15519</v>
      </c>
      <c r="F68" s="247">
        <f t="shared" si="0"/>
        <v>27147</v>
      </c>
      <c r="G68" s="254">
        <f t="shared" si="4"/>
        <v>137</v>
      </c>
      <c r="H68" s="247" t="e">
        <f t="shared" ca="1" si="1"/>
        <v>#N/A</v>
      </c>
      <c r="I68" s="249">
        <f t="shared" si="2"/>
        <v>42666</v>
      </c>
      <c r="J68" s="262" t="str">
        <f t="shared" si="6"/>
        <v/>
      </c>
      <c r="K68" s="89"/>
      <c r="L68" s="89"/>
      <c r="M68" s="89"/>
      <c r="N68" s="89"/>
      <c r="O68" s="89"/>
      <c r="P68" s="89"/>
      <c r="Q68" s="89"/>
      <c r="R68" s="89"/>
      <c r="S68" s="89"/>
    </row>
    <row r="69" spans="1:19" x14ac:dyDescent="0.25">
      <c r="A69" s="32">
        <v>44141</v>
      </c>
      <c r="B69" s="251">
        <f t="shared" si="3"/>
        <v>67</v>
      </c>
      <c r="C69" s="276">
        <f t="shared" si="13"/>
        <v>12130</v>
      </c>
      <c r="D69" s="277">
        <f t="shared" si="14"/>
        <v>15017</v>
      </c>
      <c r="E69" s="278">
        <f t="shared" si="15"/>
        <v>15519</v>
      </c>
      <c r="F69" s="247">
        <f t="shared" si="0"/>
        <v>27147</v>
      </c>
      <c r="G69" s="254">
        <f t="shared" si="4"/>
        <v>0</v>
      </c>
      <c r="H69" s="247" t="e">
        <f t="shared" ca="1" si="1"/>
        <v>#N/A</v>
      </c>
      <c r="I69" s="249">
        <f t="shared" si="2"/>
        <v>42666</v>
      </c>
      <c r="J69" s="262" t="str">
        <f t="shared" si="6"/>
        <v/>
      </c>
      <c r="K69" s="282" t="s">
        <v>132</v>
      </c>
      <c r="L69" s="89"/>
      <c r="M69" s="89"/>
      <c r="N69" s="89"/>
      <c r="O69" s="89"/>
      <c r="P69" s="89"/>
      <c r="Q69" s="89"/>
      <c r="R69" s="89"/>
      <c r="S69" s="89"/>
    </row>
    <row r="70" spans="1:19" x14ac:dyDescent="0.25">
      <c r="A70" s="61">
        <v>44142</v>
      </c>
      <c r="B70" s="255">
        <f t="shared" si="3"/>
        <v>68</v>
      </c>
      <c r="C70" s="276">
        <f t="shared" si="13"/>
        <v>12130</v>
      </c>
      <c r="D70" s="277">
        <f t="shared" si="14"/>
        <v>15017</v>
      </c>
      <c r="E70" s="278">
        <f t="shared" si="15"/>
        <v>15519</v>
      </c>
      <c r="F70" s="259">
        <f t="shared" si="0"/>
        <v>27147</v>
      </c>
      <c r="G70" s="260">
        <f t="shared" si="4"/>
        <v>0</v>
      </c>
      <c r="H70" s="259" t="e">
        <f t="shared" ca="1" si="1"/>
        <v>#N/A</v>
      </c>
      <c r="I70" s="261">
        <f t="shared" si="2"/>
        <v>42666</v>
      </c>
      <c r="J70" s="250" t="str">
        <f t="shared" si="6"/>
        <v/>
      </c>
      <c r="K70" s="89"/>
      <c r="L70" s="89"/>
      <c r="M70" s="89"/>
      <c r="N70" s="89"/>
      <c r="O70" s="89"/>
      <c r="P70" s="89"/>
      <c r="Q70" s="89"/>
      <c r="R70" s="89"/>
      <c r="S70" s="89"/>
    </row>
    <row r="71" spans="1:19" x14ac:dyDescent="0.25">
      <c r="A71" s="61">
        <v>44143</v>
      </c>
      <c r="B71" s="255">
        <f t="shared" si="3"/>
        <v>69</v>
      </c>
      <c r="C71" s="276">
        <f t="shared" si="13"/>
        <v>12130</v>
      </c>
      <c r="D71" s="277">
        <f t="shared" si="14"/>
        <v>15017</v>
      </c>
      <c r="E71" s="278">
        <f t="shared" si="15"/>
        <v>15519</v>
      </c>
      <c r="F71" s="259">
        <f t="shared" si="0"/>
        <v>27147</v>
      </c>
      <c r="G71" s="260">
        <f t="shared" si="4"/>
        <v>0</v>
      </c>
      <c r="H71" s="259" t="e">
        <f t="shared" ca="1" si="1"/>
        <v>#N/A</v>
      </c>
      <c r="I71" s="261">
        <f t="shared" si="2"/>
        <v>42666</v>
      </c>
      <c r="J71" s="250" t="str">
        <f t="shared" si="6"/>
        <v/>
      </c>
      <c r="K71" s="89"/>
      <c r="L71" s="89"/>
      <c r="M71" s="89"/>
      <c r="N71" s="89"/>
      <c r="O71" s="89"/>
      <c r="P71" s="89"/>
      <c r="Q71" s="89"/>
      <c r="R71" s="89"/>
      <c r="S71" s="89"/>
    </row>
    <row r="72" spans="1:19" x14ac:dyDescent="0.25">
      <c r="A72" s="32">
        <v>44144</v>
      </c>
      <c r="B72" s="251">
        <f t="shared" si="3"/>
        <v>70</v>
      </c>
      <c r="C72" s="276"/>
      <c r="D72" s="277"/>
      <c r="E72" s="278"/>
      <c r="F72" s="247" t="str">
        <f t="shared" si="0"/>
        <v/>
      </c>
      <c r="G72" s="254" t="str">
        <f t="shared" si="4"/>
        <v/>
      </c>
      <c r="H72" s="247" t="e">
        <f t="shared" ca="1" si="1"/>
        <v>#N/A</v>
      </c>
      <c r="I72" s="249" t="str">
        <f t="shared" si="2"/>
        <v/>
      </c>
      <c r="J72" s="262" t="str">
        <f t="shared" si="6"/>
        <v/>
      </c>
      <c r="K72" s="89"/>
      <c r="L72" s="89"/>
      <c r="M72" s="89"/>
      <c r="N72" s="89"/>
      <c r="O72" s="89"/>
      <c r="P72" s="89"/>
      <c r="Q72" s="89"/>
      <c r="R72" s="89"/>
      <c r="S72" s="89"/>
    </row>
    <row r="73" spans="1:19" x14ac:dyDescent="0.25">
      <c r="A73" s="32">
        <v>44145</v>
      </c>
      <c r="B73" s="251">
        <f t="shared" si="3"/>
        <v>71</v>
      </c>
      <c r="C73" s="276"/>
      <c r="D73" s="277"/>
      <c r="E73" s="278"/>
      <c r="F73" s="247" t="str">
        <f t="shared" si="0"/>
        <v/>
      </c>
      <c r="G73" s="254" t="str">
        <f t="shared" si="4"/>
        <v/>
      </c>
      <c r="H73" s="247" t="e">
        <f t="shared" ca="1" si="1"/>
        <v>#N/A</v>
      </c>
      <c r="I73" s="249" t="str">
        <f t="shared" si="2"/>
        <v/>
      </c>
      <c r="J73" s="262" t="str">
        <f t="shared" si="6"/>
        <v/>
      </c>
      <c r="K73" s="89"/>
      <c r="L73" s="89"/>
      <c r="M73" s="89"/>
      <c r="N73" s="89"/>
      <c r="O73" s="89"/>
      <c r="P73" s="89"/>
      <c r="Q73" s="89"/>
      <c r="R73" s="89"/>
      <c r="S73" s="89"/>
    </row>
    <row r="74" spans="1:19" x14ac:dyDescent="0.25">
      <c r="A74" s="32">
        <v>44146</v>
      </c>
      <c r="B74" s="251">
        <f t="shared" si="3"/>
        <v>72</v>
      </c>
      <c r="C74" s="276"/>
      <c r="D74" s="277"/>
      <c r="E74" s="278"/>
      <c r="F74" s="247" t="str">
        <f t="shared" si="0"/>
        <v/>
      </c>
      <c r="G74" s="254" t="str">
        <f t="shared" si="4"/>
        <v/>
      </c>
      <c r="H74" s="247" t="e">
        <f t="shared" ca="1" si="1"/>
        <v>#N/A</v>
      </c>
      <c r="I74" s="249" t="str">
        <f t="shared" si="2"/>
        <v/>
      </c>
      <c r="J74" s="262" t="str">
        <f t="shared" si="6"/>
        <v/>
      </c>
      <c r="K74" s="89"/>
      <c r="L74" s="89"/>
      <c r="M74" s="89"/>
      <c r="N74" s="89"/>
      <c r="O74" s="89"/>
      <c r="P74" s="89"/>
      <c r="Q74" s="89"/>
      <c r="R74" s="89"/>
      <c r="S74" s="89"/>
    </row>
    <row r="75" spans="1:19" x14ac:dyDescent="0.25">
      <c r="A75" s="147"/>
      <c r="B75" s="284"/>
      <c r="C75" s="285"/>
      <c r="D75" s="286"/>
      <c r="E75" s="287"/>
      <c r="F75" s="288"/>
      <c r="G75" s="289"/>
      <c r="H75" s="288"/>
      <c r="I75" s="290"/>
      <c r="J75" s="291"/>
    </row>
    <row r="76" spans="1:19" x14ac:dyDescent="0.25">
      <c r="A76" s="147"/>
      <c r="B76" s="284"/>
      <c r="C76" s="285"/>
      <c r="D76" s="286"/>
      <c r="E76" s="287"/>
      <c r="F76" s="288"/>
      <c r="G76" s="289"/>
      <c r="H76" s="288"/>
      <c r="I76" s="290"/>
      <c r="J76" s="291"/>
    </row>
    <row r="77" spans="1:19" x14ac:dyDescent="0.25">
      <c r="A77" s="147"/>
      <c r="B77" s="284"/>
      <c r="C77" s="285"/>
      <c r="D77" s="286"/>
      <c r="E77" s="287"/>
      <c r="F77" s="288"/>
      <c r="G77" s="289"/>
      <c r="H77" s="288"/>
      <c r="I77" s="290"/>
      <c r="J77" s="291"/>
    </row>
    <row r="78" spans="1:19" x14ac:dyDescent="0.25">
      <c r="A78" s="147"/>
      <c r="B78" s="284"/>
      <c r="C78" s="285"/>
      <c r="D78" s="286"/>
      <c r="E78" s="287"/>
      <c r="F78" s="288"/>
      <c r="G78" s="289"/>
      <c r="H78" s="288"/>
      <c r="I78" s="290"/>
      <c r="J78" s="291"/>
    </row>
    <row r="79" spans="1:19" x14ac:dyDescent="0.25">
      <c r="A79" s="147"/>
      <c r="B79" s="284"/>
      <c r="C79" s="285"/>
      <c r="D79" s="286"/>
      <c r="E79" s="287"/>
      <c r="F79" s="288"/>
      <c r="G79" s="289"/>
      <c r="H79" s="288"/>
      <c r="I79" s="290"/>
      <c r="J79" s="291"/>
    </row>
    <row r="80" spans="1:19" x14ac:dyDescent="0.25">
      <c r="A80" s="147"/>
      <c r="B80" s="284"/>
      <c r="C80" s="285"/>
      <c r="D80" s="286"/>
      <c r="E80" s="287"/>
      <c r="F80" s="288"/>
      <c r="G80" s="289"/>
      <c r="H80" s="288"/>
      <c r="I80" s="290"/>
      <c r="J80" s="291"/>
    </row>
    <row r="81" spans="1:10" x14ac:dyDescent="0.25">
      <c r="A81" s="147"/>
      <c r="B81" s="284"/>
      <c r="C81" s="285"/>
      <c r="D81" s="286"/>
      <c r="E81" s="287"/>
      <c r="F81" s="288"/>
      <c r="G81" s="289"/>
      <c r="H81" s="288"/>
      <c r="I81" s="290"/>
      <c r="J81" s="291"/>
    </row>
    <row r="82" spans="1:10" x14ac:dyDescent="0.25">
      <c r="A82" s="147"/>
      <c r="B82" s="284"/>
      <c r="C82" s="285"/>
      <c r="D82" s="286"/>
      <c r="E82" s="287"/>
      <c r="F82" s="288"/>
      <c r="G82" s="289"/>
      <c r="H82" s="288"/>
      <c r="I82" s="290"/>
      <c r="J82" s="291"/>
    </row>
    <row r="83" spans="1:10" x14ac:dyDescent="0.25">
      <c r="A83" s="147"/>
      <c r="B83" s="284"/>
      <c r="C83" s="285"/>
      <c r="D83" s="286"/>
      <c r="E83" s="287"/>
      <c r="F83" s="288"/>
      <c r="G83" s="289"/>
      <c r="H83" s="288"/>
      <c r="I83" s="290"/>
      <c r="J83" s="291"/>
    </row>
    <row r="84" spans="1:10" x14ac:dyDescent="0.25">
      <c r="A84" s="147"/>
      <c r="B84" s="284"/>
      <c r="C84" s="285"/>
      <c r="D84" s="286"/>
      <c r="E84" s="287"/>
      <c r="F84" s="288"/>
      <c r="G84" s="289"/>
      <c r="H84" s="288"/>
      <c r="I84" s="290"/>
      <c r="J84" s="291"/>
    </row>
    <row r="85" spans="1:10" x14ac:dyDescent="0.25">
      <c r="A85" s="147"/>
      <c r="B85" s="284"/>
      <c r="C85" s="285"/>
      <c r="D85" s="286"/>
      <c r="E85" s="287"/>
      <c r="F85" s="288"/>
      <c r="G85" s="289"/>
      <c r="H85" s="288"/>
      <c r="I85" s="290"/>
      <c r="J85" s="291"/>
    </row>
    <row r="86" spans="1:10" x14ac:dyDescent="0.25">
      <c r="A86" s="147"/>
      <c r="B86" s="284"/>
      <c r="C86" s="285"/>
      <c r="D86" s="286"/>
      <c r="E86" s="287"/>
      <c r="F86" s="288"/>
      <c r="G86" s="289"/>
      <c r="H86" s="288"/>
      <c r="I86" s="290"/>
      <c r="J86" s="291"/>
    </row>
    <row r="87" spans="1:10" x14ac:dyDescent="0.25">
      <c r="A87" s="147"/>
      <c r="B87" s="284"/>
      <c r="C87" s="285"/>
      <c r="D87" s="286"/>
      <c r="E87" s="287"/>
      <c r="F87" s="288"/>
      <c r="G87" s="289"/>
      <c r="H87" s="288"/>
      <c r="I87" s="290"/>
      <c r="J87" s="291"/>
    </row>
    <row r="88" spans="1:10" x14ac:dyDescent="0.25">
      <c r="A88" s="147"/>
      <c r="B88" s="284"/>
      <c r="C88" s="285"/>
      <c r="D88" s="286"/>
      <c r="E88" s="287"/>
      <c r="F88" s="288"/>
      <c r="G88" s="289"/>
      <c r="H88" s="288"/>
      <c r="I88" s="290"/>
      <c r="J88" s="291"/>
    </row>
    <row r="89" spans="1:10" x14ac:dyDescent="0.25">
      <c r="A89" s="147"/>
      <c r="B89" s="284"/>
      <c r="C89" s="285"/>
      <c r="D89" s="286"/>
      <c r="E89" s="287"/>
      <c r="F89" s="288"/>
      <c r="G89" s="289"/>
      <c r="H89" s="288"/>
      <c r="I89" s="290"/>
      <c r="J89" s="291"/>
    </row>
    <row r="90" spans="1:10" x14ac:dyDescent="0.25">
      <c r="A90" s="147"/>
      <c r="B90" s="284"/>
      <c r="C90" s="285"/>
      <c r="D90" s="286"/>
      <c r="E90" s="287"/>
      <c r="F90" s="288"/>
      <c r="G90" s="289"/>
      <c r="H90" s="288"/>
      <c r="I90" s="290"/>
      <c r="J90" s="291"/>
    </row>
    <row r="91" spans="1:10" x14ac:dyDescent="0.25">
      <c r="A91" s="147"/>
      <c r="B91" s="284"/>
      <c r="C91" s="285"/>
      <c r="D91" s="286"/>
      <c r="E91" s="287"/>
      <c r="F91" s="288"/>
      <c r="G91" s="289"/>
      <c r="H91" s="288"/>
      <c r="I91" s="290"/>
      <c r="J91" s="291"/>
    </row>
    <row r="92" spans="1:10" x14ac:dyDescent="0.25">
      <c r="A92" s="147"/>
      <c r="B92" s="284"/>
      <c r="C92" s="285"/>
      <c r="D92" s="286"/>
      <c r="E92" s="287"/>
      <c r="F92" s="288"/>
      <c r="G92" s="289"/>
      <c r="H92" s="288"/>
      <c r="I92" s="290"/>
      <c r="J92" s="291"/>
    </row>
    <row r="93" spans="1:10" x14ac:dyDescent="0.25">
      <c r="A93" s="147"/>
      <c r="B93" s="284"/>
      <c r="C93" s="285"/>
      <c r="D93" s="286"/>
      <c r="E93" s="287"/>
      <c r="F93" s="288"/>
      <c r="G93" s="289"/>
      <c r="H93" s="288"/>
      <c r="I93" s="290"/>
      <c r="J93" s="291"/>
    </row>
    <row r="94" spans="1:10" x14ac:dyDescent="0.25">
      <c r="A94" s="147"/>
      <c r="B94" s="284"/>
      <c r="C94" s="285"/>
      <c r="D94" s="286"/>
      <c r="E94" s="287"/>
      <c r="F94" s="288"/>
      <c r="G94" s="289"/>
      <c r="H94" s="288"/>
      <c r="I94" s="290"/>
      <c r="J94" s="291"/>
    </row>
    <row r="95" spans="1:10" x14ac:dyDescent="0.25">
      <c r="A95" s="147"/>
      <c r="B95" s="284"/>
      <c r="C95" s="285"/>
      <c r="D95" s="286"/>
      <c r="E95" s="287"/>
      <c r="F95" s="288"/>
      <c r="G95" s="289"/>
      <c r="H95" s="288"/>
      <c r="I95" s="290"/>
      <c r="J95" s="291"/>
    </row>
    <row r="96" spans="1:10" x14ac:dyDescent="0.25">
      <c r="A96" s="147"/>
      <c r="B96" s="284"/>
      <c r="C96" s="285"/>
      <c r="D96" s="286"/>
      <c r="E96" s="287"/>
      <c r="F96" s="288"/>
      <c r="G96" s="289"/>
      <c r="H96" s="288"/>
      <c r="I96" s="290"/>
      <c r="J96" s="291"/>
    </row>
    <row r="97" spans="1:10" x14ac:dyDescent="0.25">
      <c r="A97" s="147"/>
      <c r="B97" s="284"/>
      <c r="C97" s="285"/>
      <c r="D97" s="286"/>
      <c r="E97" s="287"/>
      <c r="F97" s="288"/>
      <c r="G97" s="289"/>
      <c r="H97" s="288"/>
      <c r="I97" s="290"/>
      <c r="J97" s="291"/>
    </row>
    <row r="98" spans="1:10" x14ac:dyDescent="0.25">
      <c r="A98" s="147"/>
      <c r="B98" s="284"/>
      <c r="C98" s="285"/>
      <c r="D98" s="286"/>
      <c r="E98" s="287"/>
      <c r="F98" s="288"/>
      <c r="G98" s="289"/>
      <c r="H98" s="288"/>
      <c r="I98" s="290"/>
      <c r="J98" s="291"/>
    </row>
    <row r="99" spans="1:10" x14ac:dyDescent="0.25">
      <c r="A99" s="147"/>
      <c r="B99" s="284"/>
      <c r="C99" s="285"/>
      <c r="D99" s="286"/>
      <c r="E99" s="287"/>
      <c r="F99" s="288"/>
      <c r="G99" s="289"/>
      <c r="H99" s="288"/>
      <c r="I99" s="290"/>
      <c r="J99" s="291"/>
    </row>
    <row r="100" spans="1:10" x14ac:dyDescent="0.25">
      <c r="A100" s="147"/>
      <c r="B100" s="284"/>
      <c r="C100" s="285"/>
      <c r="D100" s="286"/>
      <c r="E100" s="287"/>
      <c r="F100" s="288"/>
      <c r="G100" s="289"/>
      <c r="H100" s="288"/>
      <c r="I100" s="290"/>
      <c r="J100" s="291"/>
    </row>
    <row r="101" spans="1:10" x14ac:dyDescent="0.25">
      <c r="A101" s="147"/>
      <c r="B101" s="284"/>
      <c r="C101" s="285"/>
      <c r="D101" s="286"/>
      <c r="E101" s="287"/>
      <c r="F101" s="288"/>
      <c r="G101" s="289"/>
      <c r="H101" s="288"/>
      <c r="I101" s="290"/>
      <c r="J101" s="291"/>
    </row>
    <row r="102" spans="1:10" x14ac:dyDescent="0.25">
      <c r="A102" s="147"/>
      <c r="B102" s="284"/>
      <c r="C102" s="285"/>
      <c r="D102" s="286"/>
      <c r="E102" s="287"/>
      <c r="F102" s="288"/>
      <c r="G102" s="289"/>
      <c r="H102" s="288"/>
      <c r="I102" s="290"/>
      <c r="J102" s="291"/>
    </row>
    <row r="103" spans="1:10" x14ac:dyDescent="0.25">
      <c r="A103" s="147"/>
      <c r="B103" s="284"/>
      <c r="C103" s="285"/>
      <c r="D103" s="286"/>
      <c r="E103" s="287"/>
      <c r="F103" s="288"/>
      <c r="G103" s="289"/>
      <c r="H103" s="288"/>
      <c r="I103" s="290"/>
      <c r="J103" s="291"/>
    </row>
    <row r="104" spans="1:10" x14ac:dyDescent="0.25">
      <c r="A104" s="147"/>
      <c r="B104" s="284"/>
      <c r="C104" s="285"/>
      <c r="D104" s="286"/>
      <c r="E104" s="287"/>
      <c r="F104" s="288"/>
      <c r="G104" s="289"/>
      <c r="H104" s="288"/>
      <c r="I104" s="290"/>
      <c r="J104" s="291"/>
    </row>
    <row r="105" spans="1:10" x14ac:dyDescent="0.25">
      <c r="A105" s="147"/>
      <c r="B105" s="284"/>
      <c r="C105" s="285"/>
      <c r="D105" s="286"/>
      <c r="E105" s="287"/>
      <c r="F105" s="288"/>
      <c r="G105" s="289"/>
      <c r="H105" s="288"/>
      <c r="I105" s="290"/>
      <c r="J105" s="291"/>
    </row>
    <row r="106" spans="1:10" x14ac:dyDescent="0.25">
      <c r="A106" s="147"/>
      <c r="B106" s="284"/>
      <c r="C106" s="285"/>
      <c r="D106" s="286"/>
      <c r="E106" s="287"/>
      <c r="F106" s="288"/>
      <c r="G106" s="289"/>
      <c r="H106" s="288"/>
      <c r="I106" s="290"/>
      <c r="J106" s="291"/>
    </row>
    <row r="107" spans="1:10" x14ac:dyDescent="0.25">
      <c r="A107" s="147"/>
      <c r="B107" s="284"/>
      <c r="C107" s="285"/>
      <c r="D107" s="286"/>
      <c r="E107" s="287"/>
      <c r="F107" s="288"/>
      <c r="G107" s="289"/>
      <c r="H107" s="288"/>
      <c r="I107" s="290"/>
      <c r="J107" s="291"/>
    </row>
    <row r="108" spans="1:10" x14ac:dyDescent="0.25">
      <c r="A108" s="147"/>
      <c r="B108" s="284"/>
      <c r="C108" s="285"/>
      <c r="D108" s="286"/>
      <c r="E108" s="287"/>
      <c r="F108" s="288"/>
      <c r="G108" s="289"/>
      <c r="H108" s="288"/>
      <c r="I108" s="290"/>
      <c r="J108" s="291"/>
    </row>
    <row r="109" spans="1:10" x14ac:dyDescent="0.25">
      <c r="A109" s="147"/>
      <c r="B109" s="284"/>
      <c r="C109" s="285"/>
      <c r="D109" s="286"/>
      <c r="E109" s="287"/>
      <c r="F109" s="288"/>
      <c r="G109" s="289"/>
      <c r="H109" s="288"/>
      <c r="I109" s="290"/>
      <c r="J109" s="291"/>
    </row>
    <row r="110" spans="1:10" x14ac:dyDescent="0.25">
      <c r="A110" s="147"/>
      <c r="B110" s="284"/>
      <c r="C110" s="285"/>
      <c r="D110" s="286"/>
      <c r="E110" s="287"/>
      <c r="F110" s="288"/>
      <c r="G110" s="289"/>
      <c r="H110" s="288"/>
      <c r="I110" s="290"/>
      <c r="J110" s="291"/>
    </row>
    <row r="111" spans="1:10" x14ac:dyDescent="0.25">
      <c r="A111" s="147"/>
      <c r="B111" s="284"/>
      <c r="C111" s="285"/>
      <c r="D111" s="286"/>
      <c r="E111" s="287"/>
      <c r="F111" s="288"/>
      <c r="G111" s="289"/>
      <c r="H111" s="288"/>
      <c r="I111" s="290"/>
      <c r="J111" s="291"/>
    </row>
    <row r="112" spans="1:10" x14ac:dyDescent="0.25">
      <c r="A112" s="147"/>
      <c r="B112" s="284"/>
      <c r="C112" s="285"/>
      <c r="D112" s="286"/>
      <c r="E112" s="287"/>
      <c r="F112" s="288"/>
      <c r="G112" s="289"/>
      <c r="H112" s="288"/>
      <c r="I112" s="290"/>
      <c r="J112" s="291"/>
    </row>
    <row r="113" spans="1:10" x14ac:dyDescent="0.25">
      <c r="A113" s="147"/>
      <c r="B113" s="284"/>
      <c r="C113" s="285"/>
      <c r="D113" s="286"/>
      <c r="E113" s="287"/>
      <c r="F113" s="288"/>
      <c r="G113" s="289"/>
      <c r="H113" s="288"/>
      <c r="I113" s="290"/>
      <c r="J113" s="291"/>
    </row>
    <row r="114" spans="1:10" x14ac:dyDescent="0.25">
      <c r="A114" s="147"/>
      <c r="B114" s="284"/>
      <c r="C114" s="285"/>
      <c r="D114" s="286"/>
      <c r="E114" s="287"/>
      <c r="F114" s="288"/>
      <c r="G114" s="289"/>
      <c r="H114" s="288"/>
      <c r="I114" s="290"/>
      <c r="J114" s="291"/>
    </row>
    <row r="115" spans="1:10" x14ac:dyDescent="0.25">
      <c r="A115" s="147"/>
      <c r="B115" s="284"/>
      <c r="C115" s="285"/>
      <c r="D115" s="286"/>
      <c r="E115" s="287"/>
      <c r="F115" s="288"/>
      <c r="G115" s="289"/>
      <c r="H115" s="288"/>
      <c r="I115" s="290"/>
      <c r="J115" s="291"/>
    </row>
    <row r="116" spans="1:10" x14ac:dyDescent="0.25">
      <c r="A116" s="147"/>
      <c r="B116" s="284"/>
      <c r="C116" s="285"/>
      <c r="D116" s="286"/>
      <c r="E116" s="287"/>
      <c r="F116" s="288"/>
      <c r="G116" s="289"/>
      <c r="H116" s="288"/>
      <c r="I116" s="290"/>
      <c r="J116" s="291"/>
    </row>
    <row r="117" spans="1:10" x14ac:dyDescent="0.25">
      <c r="A117" s="147"/>
      <c r="B117" s="284"/>
      <c r="C117" s="285"/>
      <c r="D117" s="286"/>
      <c r="E117" s="287"/>
      <c r="F117" s="288"/>
      <c r="G117" s="289"/>
      <c r="H117" s="288"/>
      <c r="I117" s="290"/>
      <c r="J117" s="291"/>
    </row>
    <row r="118" spans="1:10" x14ac:dyDescent="0.25">
      <c r="A118" s="147"/>
      <c r="B118" s="284"/>
      <c r="C118" s="285"/>
      <c r="D118" s="286"/>
      <c r="E118" s="287"/>
      <c r="F118" s="288"/>
      <c r="G118" s="289"/>
      <c r="H118" s="288"/>
      <c r="I118" s="290"/>
      <c r="J118" s="291"/>
    </row>
    <row r="119" spans="1:10" x14ac:dyDescent="0.25">
      <c r="A119" s="147"/>
      <c r="B119" s="284"/>
      <c r="C119" s="285"/>
      <c r="D119" s="286"/>
      <c r="E119" s="287"/>
      <c r="F119" s="288"/>
      <c r="G119" s="289"/>
      <c r="H119" s="288"/>
      <c r="I119" s="290"/>
      <c r="J119" s="291"/>
    </row>
    <row r="120" spans="1:10" x14ac:dyDescent="0.25">
      <c r="A120" s="147"/>
      <c r="B120" s="284"/>
      <c r="C120" s="285"/>
      <c r="D120" s="286"/>
      <c r="E120" s="287"/>
      <c r="F120" s="288"/>
      <c r="G120" s="289"/>
      <c r="H120" s="288"/>
      <c r="I120" s="290"/>
      <c r="J120" s="291"/>
    </row>
    <row r="121" spans="1:10" x14ac:dyDescent="0.25">
      <c r="A121" s="147"/>
      <c r="B121" s="284"/>
      <c r="C121" s="285"/>
      <c r="D121" s="286"/>
      <c r="E121" s="287"/>
      <c r="F121" s="288"/>
      <c r="G121" s="289"/>
      <c r="H121" s="288"/>
      <c r="I121" s="290"/>
      <c r="J121" s="291"/>
    </row>
    <row r="122" spans="1:10" x14ac:dyDescent="0.25">
      <c r="A122" s="147"/>
      <c r="B122" s="284"/>
      <c r="C122" s="285"/>
      <c r="D122" s="286"/>
      <c r="E122" s="287"/>
      <c r="F122" s="288"/>
      <c r="G122" s="289"/>
      <c r="H122" s="288"/>
      <c r="I122" s="290"/>
      <c r="J122" s="291"/>
    </row>
    <row r="123" spans="1:10" x14ac:dyDescent="0.25">
      <c r="A123" s="147"/>
      <c r="B123" s="284"/>
      <c r="C123" s="285"/>
      <c r="D123" s="286"/>
      <c r="E123" s="287"/>
      <c r="F123" s="288"/>
      <c r="G123" s="289"/>
      <c r="H123" s="288"/>
      <c r="I123" s="290"/>
      <c r="J123" s="291"/>
    </row>
    <row r="124" spans="1:10" x14ac:dyDescent="0.25">
      <c r="A124" s="147"/>
      <c r="B124" s="284"/>
      <c r="C124" s="285"/>
      <c r="D124" s="286"/>
      <c r="E124" s="287"/>
      <c r="F124" s="288"/>
      <c r="G124" s="289"/>
      <c r="H124" s="288"/>
      <c r="I124" s="290"/>
      <c r="J124" s="291"/>
    </row>
    <row r="125" spans="1:10" x14ac:dyDescent="0.25">
      <c r="A125" s="147"/>
      <c r="B125" s="284"/>
      <c r="C125" s="285"/>
      <c r="D125" s="286"/>
      <c r="E125" s="287"/>
      <c r="F125" s="288"/>
      <c r="G125" s="289"/>
      <c r="H125" s="288"/>
      <c r="I125" s="290"/>
      <c r="J125" s="291"/>
    </row>
    <row r="126" spans="1:10" x14ac:dyDescent="0.25">
      <c r="A126" s="147"/>
      <c r="B126" s="284"/>
      <c r="C126" s="285"/>
      <c r="D126" s="286"/>
      <c r="E126" s="287"/>
      <c r="F126" s="288"/>
      <c r="G126" s="289"/>
      <c r="H126" s="288"/>
      <c r="I126" s="290"/>
      <c r="J126" s="291"/>
    </row>
    <row r="127" spans="1:10" x14ac:dyDescent="0.25">
      <c r="A127" s="147"/>
      <c r="B127" s="284"/>
      <c r="C127" s="285"/>
      <c r="D127" s="286"/>
      <c r="E127" s="287"/>
      <c r="F127" s="288"/>
      <c r="G127" s="289"/>
      <c r="H127" s="288"/>
      <c r="I127" s="290"/>
      <c r="J127" s="291"/>
    </row>
    <row r="128" spans="1:10" x14ac:dyDescent="0.25">
      <c r="A128" s="147"/>
      <c r="B128" s="284"/>
      <c r="C128" s="285"/>
      <c r="D128" s="286"/>
      <c r="E128" s="287"/>
      <c r="F128" s="288"/>
      <c r="G128" s="289"/>
      <c r="H128" s="288"/>
      <c r="I128" s="290"/>
      <c r="J128" s="291"/>
    </row>
    <row r="129" spans="1:10" x14ac:dyDescent="0.25">
      <c r="A129" s="147"/>
      <c r="B129" s="284"/>
      <c r="C129" s="285"/>
      <c r="D129" s="286"/>
      <c r="E129" s="287"/>
      <c r="F129" s="288"/>
      <c r="G129" s="289"/>
      <c r="H129" s="288"/>
      <c r="I129" s="290"/>
      <c r="J129" s="291"/>
    </row>
    <row r="130" spans="1:10" x14ac:dyDescent="0.25">
      <c r="A130" s="147"/>
      <c r="B130" s="284"/>
      <c r="C130" s="285"/>
      <c r="D130" s="286"/>
      <c r="E130" s="287"/>
      <c r="F130" s="288"/>
      <c r="G130" s="289"/>
      <c r="H130" s="288"/>
      <c r="I130" s="290"/>
      <c r="J130" s="291"/>
    </row>
    <row r="131" spans="1:10" x14ac:dyDescent="0.25">
      <c r="A131" s="147"/>
      <c r="B131" s="284"/>
      <c r="C131" s="285"/>
      <c r="D131" s="286"/>
      <c r="E131" s="287"/>
      <c r="F131" s="288"/>
      <c r="G131" s="289"/>
      <c r="H131" s="288"/>
      <c r="I131" s="290"/>
      <c r="J131" s="291"/>
    </row>
    <row r="132" spans="1:10" x14ac:dyDescent="0.25">
      <c r="A132" s="147"/>
      <c r="B132" s="284"/>
      <c r="C132" s="285"/>
      <c r="D132" s="286"/>
      <c r="E132" s="287"/>
      <c r="F132" s="288"/>
      <c r="G132" s="289"/>
      <c r="H132" s="288"/>
      <c r="I132" s="290"/>
      <c r="J132" s="291"/>
    </row>
    <row r="133" spans="1:10" x14ac:dyDescent="0.25">
      <c r="A133" s="147"/>
      <c r="B133" s="284"/>
      <c r="C133" s="285"/>
      <c r="D133" s="286"/>
      <c r="E133" s="287"/>
      <c r="F133" s="288"/>
      <c r="G133" s="289"/>
      <c r="H133" s="288"/>
      <c r="I133" s="290"/>
      <c r="J133" s="291"/>
    </row>
    <row r="134" spans="1:10" x14ac:dyDescent="0.25">
      <c r="A134" s="147"/>
      <c r="B134" s="284"/>
      <c r="C134" s="285"/>
      <c r="D134" s="286"/>
      <c r="E134" s="287"/>
      <c r="F134" s="288"/>
      <c r="G134" s="289"/>
      <c r="H134" s="288"/>
      <c r="I134" s="290"/>
      <c r="J134" s="291"/>
    </row>
    <row r="135" spans="1:10" x14ac:dyDescent="0.25">
      <c r="A135" s="147"/>
      <c r="B135" s="284"/>
      <c r="C135" s="285"/>
      <c r="D135" s="286"/>
      <c r="E135" s="287"/>
      <c r="F135" s="288"/>
      <c r="G135" s="289"/>
      <c r="H135" s="288"/>
      <c r="I135" s="290"/>
      <c r="J135" s="291"/>
    </row>
    <row r="136" spans="1:10" x14ac:dyDescent="0.25">
      <c r="A136" s="147"/>
      <c r="B136" s="284"/>
      <c r="C136" s="285"/>
      <c r="D136" s="286"/>
      <c r="E136" s="287"/>
      <c r="F136" s="288"/>
      <c r="G136" s="289"/>
      <c r="H136" s="288"/>
      <c r="I136" s="290"/>
      <c r="J136" s="291"/>
    </row>
    <row r="137" spans="1:10" x14ac:dyDescent="0.25">
      <c r="A137" s="147"/>
      <c r="B137" s="284"/>
      <c r="C137" s="285"/>
      <c r="D137" s="286"/>
      <c r="E137" s="287"/>
      <c r="F137" s="288"/>
      <c r="G137" s="289"/>
      <c r="H137" s="288"/>
      <c r="I137" s="290"/>
      <c r="J137" s="291"/>
    </row>
    <row r="138" spans="1:10" x14ac:dyDescent="0.25">
      <c r="A138" s="147"/>
      <c r="B138" s="284"/>
      <c r="C138" s="285"/>
      <c r="D138" s="286"/>
      <c r="E138" s="287"/>
      <c r="F138" s="288"/>
      <c r="G138" s="289"/>
      <c r="H138" s="288"/>
      <c r="I138" s="290"/>
      <c r="J138" s="291"/>
    </row>
    <row r="139" spans="1:10" x14ac:dyDescent="0.25">
      <c r="A139" s="147"/>
      <c r="B139" s="284"/>
      <c r="C139" s="285"/>
      <c r="D139" s="286"/>
      <c r="E139" s="287"/>
      <c r="F139" s="288"/>
      <c r="G139" s="289"/>
      <c r="H139" s="288"/>
      <c r="I139" s="290"/>
      <c r="J139" s="291"/>
    </row>
    <row r="140" spans="1:10" x14ac:dyDescent="0.25">
      <c r="A140" s="147"/>
      <c r="B140" s="284"/>
      <c r="C140" s="285"/>
      <c r="D140" s="286"/>
      <c r="E140" s="287"/>
      <c r="F140" s="288"/>
      <c r="G140" s="289"/>
      <c r="H140" s="288"/>
      <c r="I140" s="290"/>
      <c r="J140" s="291"/>
    </row>
    <row r="141" spans="1:10" x14ac:dyDescent="0.25">
      <c r="A141" s="147"/>
      <c r="B141" s="284"/>
      <c r="C141" s="285"/>
      <c r="D141" s="286"/>
      <c r="E141" s="287"/>
      <c r="F141" s="288"/>
      <c r="G141" s="289"/>
      <c r="H141" s="288"/>
      <c r="I141" s="290"/>
      <c r="J141" s="291"/>
    </row>
    <row r="142" spans="1:10" x14ac:dyDescent="0.25">
      <c r="A142" s="147"/>
      <c r="B142" s="284"/>
      <c r="C142" s="285"/>
      <c r="D142" s="286"/>
      <c r="E142" s="287"/>
      <c r="F142" s="288"/>
      <c r="G142" s="289"/>
      <c r="H142" s="288"/>
      <c r="I142" s="290"/>
      <c r="J142" s="291"/>
    </row>
    <row r="143" spans="1:10" x14ac:dyDescent="0.25">
      <c r="A143" s="147"/>
      <c r="B143" s="284"/>
      <c r="C143" s="285"/>
      <c r="D143" s="286"/>
      <c r="E143" s="287"/>
      <c r="F143" s="288"/>
      <c r="G143" s="289"/>
      <c r="H143" s="288"/>
      <c r="I143" s="290"/>
      <c r="J143" s="291"/>
    </row>
    <row r="144" spans="1:10" x14ac:dyDescent="0.25">
      <c r="A144" s="147"/>
      <c r="B144" s="284"/>
      <c r="C144" s="285"/>
      <c r="D144" s="286"/>
      <c r="E144" s="287"/>
      <c r="F144" s="288"/>
      <c r="G144" s="289"/>
      <c r="H144" s="288"/>
      <c r="I144" s="290"/>
      <c r="J144" s="291"/>
    </row>
    <row r="145" spans="1:10" x14ac:dyDescent="0.25">
      <c r="A145" s="147"/>
      <c r="B145" s="284"/>
      <c r="C145" s="285"/>
      <c r="D145" s="286"/>
      <c r="E145" s="287"/>
      <c r="F145" s="288"/>
      <c r="G145" s="289"/>
      <c r="H145" s="288"/>
      <c r="I145" s="290"/>
      <c r="J145" s="291"/>
    </row>
    <row r="146" spans="1:10" x14ac:dyDescent="0.25">
      <c r="A146" s="147"/>
      <c r="B146" s="284"/>
      <c r="C146" s="285"/>
      <c r="D146" s="286"/>
      <c r="E146" s="287"/>
      <c r="F146" s="288"/>
      <c r="G146" s="289"/>
      <c r="H146" s="288"/>
      <c r="I146" s="290"/>
      <c r="J146" s="291"/>
    </row>
    <row r="147" spans="1:10" x14ac:dyDescent="0.25">
      <c r="A147" s="147"/>
      <c r="B147" s="284"/>
      <c r="C147" s="285"/>
      <c r="D147" s="286"/>
      <c r="E147" s="287"/>
      <c r="F147" s="288"/>
      <c r="G147" s="289"/>
      <c r="H147" s="288"/>
      <c r="I147" s="290"/>
      <c r="J147" s="291"/>
    </row>
    <row r="148" spans="1:10" x14ac:dyDescent="0.25">
      <c r="A148" s="147"/>
      <c r="B148" s="284"/>
      <c r="C148" s="285"/>
      <c r="D148" s="286"/>
      <c r="E148" s="287"/>
      <c r="F148" s="288"/>
      <c r="G148" s="289"/>
      <c r="H148" s="288"/>
      <c r="I148" s="290"/>
      <c r="J148" s="291"/>
    </row>
    <row r="149" spans="1:10" x14ac:dyDescent="0.25">
      <c r="A149" s="147"/>
      <c r="B149" s="284"/>
      <c r="C149" s="285"/>
      <c r="D149" s="286"/>
      <c r="E149" s="287"/>
      <c r="F149" s="288"/>
      <c r="G149" s="289"/>
      <c r="H149" s="288"/>
      <c r="I149" s="290"/>
      <c r="J149" s="291"/>
    </row>
    <row r="150" spans="1:10" x14ac:dyDescent="0.25">
      <c r="A150" s="147"/>
      <c r="B150" s="284"/>
      <c r="C150" s="285"/>
      <c r="D150" s="286"/>
      <c r="E150" s="287"/>
      <c r="F150" s="288"/>
      <c r="G150" s="289"/>
      <c r="H150" s="288"/>
      <c r="I150" s="290"/>
      <c r="J150" s="291"/>
    </row>
    <row r="151" spans="1:10" x14ac:dyDescent="0.25">
      <c r="A151" s="147"/>
      <c r="B151" s="284"/>
      <c r="C151" s="285"/>
      <c r="D151" s="286"/>
      <c r="E151" s="287"/>
      <c r="F151" s="288"/>
      <c r="G151" s="289"/>
      <c r="H151" s="288"/>
      <c r="I151" s="290"/>
      <c r="J151" s="291"/>
    </row>
    <row r="152" spans="1:10" x14ac:dyDescent="0.25">
      <c r="A152" s="147"/>
      <c r="B152" s="284"/>
      <c r="C152" s="285"/>
      <c r="D152" s="286"/>
      <c r="E152" s="287"/>
      <c r="F152" s="288"/>
      <c r="G152" s="289"/>
      <c r="H152" s="288"/>
      <c r="I152" s="290"/>
      <c r="J152" s="291"/>
    </row>
    <row r="153" spans="1:10" x14ac:dyDescent="0.25">
      <c r="A153" s="147"/>
      <c r="B153" s="284"/>
      <c r="C153" s="285"/>
      <c r="D153" s="286"/>
      <c r="E153" s="287"/>
      <c r="F153" s="288"/>
      <c r="G153" s="289"/>
      <c r="H153" s="288"/>
      <c r="I153" s="290"/>
      <c r="J153" s="291"/>
    </row>
    <row r="154" spans="1:10" x14ac:dyDescent="0.25">
      <c r="A154" s="147"/>
      <c r="B154" s="284"/>
      <c r="C154" s="285"/>
      <c r="D154" s="286"/>
      <c r="E154" s="287"/>
      <c r="F154" s="288"/>
      <c r="G154" s="289"/>
      <c r="H154" s="288"/>
      <c r="I154" s="290"/>
      <c r="J154" s="291"/>
    </row>
    <row r="155" spans="1:10" x14ac:dyDescent="0.25">
      <c r="A155" s="147"/>
      <c r="B155" s="284"/>
      <c r="C155" s="285"/>
      <c r="D155" s="286"/>
      <c r="E155" s="287"/>
      <c r="F155" s="288"/>
      <c r="G155" s="289"/>
      <c r="H155" s="288"/>
      <c r="I155" s="290"/>
      <c r="J155" s="291"/>
    </row>
    <row r="156" spans="1:10" x14ac:dyDescent="0.25">
      <c r="A156" s="147"/>
      <c r="B156" s="284"/>
      <c r="C156" s="285"/>
      <c r="D156" s="286"/>
      <c r="E156" s="287"/>
      <c r="F156" s="288"/>
      <c r="G156" s="289"/>
      <c r="H156" s="288"/>
      <c r="I156" s="290"/>
      <c r="J156" s="291"/>
    </row>
    <row r="157" spans="1:10" x14ac:dyDescent="0.25">
      <c r="A157" s="147"/>
      <c r="B157" s="284"/>
      <c r="C157" s="285"/>
      <c r="D157" s="286"/>
      <c r="E157" s="287"/>
      <c r="F157" s="288"/>
      <c r="G157" s="289"/>
      <c r="H157" s="288"/>
      <c r="I157" s="290"/>
      <c r="J157" s="291"/>
    </row>
    <row r="158" spans="1:10" x14ac:dyDescent="0.25">
      <c r="A158" s="147"/>
      <c r="B158" s="284"/>
      <c r="C158" s="285"/>
      <c r="D158" s="286"/>
      <c r="E158" s="287"/>
      <c r="F158" s="288"/>
      <c r="G158" s="289"/>
      <c r="H158" s="288"/>
      <c r="I158" s="290"/>
      <c r="J158" s="291"/>
    </row>
    <row r="159" spans="1:10" x14ac:dyDescent="0.25">
      <c r="A159" s="147"/>
      <c r="B159" s="284"/>
      <c r="C159" s="285"/>
      <c r="D159" s="286"/>
      <c r="E159" s="287"/>
      <c r="F159" s="288"/>
      <c r="G159" s="289"/>
      <c r="H159" s="288"/>
      <c r="I159" s="290"/>
      <c r="J159" s="291"/>
    </row>
    <row r="160" spans="1:10" x14ac:dyDescent="0.25">
      <c r="A160" s="147"/>
      <c r="B160" s="284"/>
      <c r="C160" s="285"/>
      <c r="D160" s="286"/>
      <c r="E160" s="287"/>
      <c r="F160" s="288"/>
      <c r="G160" s="289"/>
      <c r="H160" s="288"/>
      <c r="I160" s="290"/>
      <c r="J160" s="291"/>
    </row>
    <row r="161" spans="1:10" x14ac:dyDescent="0.25">
      <c r="A161" s="147"/>
      <c r="B161" s="284"/>
      <c r="C161" s="285"/>
      <c r="D161" s="286"/>
      <c r="E161" s="287"/>
      <c r="F161" s="288"/>
      <c r="G161" s="289"/>
      <c r="H161" s="288"/>
      <c r="I161" s="290"/>
      <c r="J161" s="291"/>
    </row>
    <row r="162" spans="1:10" x14ac:dyDescent="0.25">
      <c r="A162" s="147"/>
      <c r="B162" s="284"/>
      <c r="C162" s="285"/>
      <c r="D162" s="286"/>
      <c r="E162" s="287"/>
      <c r="F162" s="288"/>
      <c r="G162" s="289"/>
      <c r="H162" s="288"/>
      <c r="I162" s="290"/>
      <c r="J162" s="291"/>
    </row>
    <row r="163" spans="1:10" x14ac:dyDescent="0.25">
      <c r="A163" s="147"/>
      <c r="B163" s="284"/>
      <c r="C163" s="285"/>
      <c r="D163" s="286"/>
      <c r="E163" s="287"/>
      <c r="F163" s="288"/>
      <c r="G163" s="289"/>
      <c r="H163" s="288"/>
      <c r="I163" s="290"/>
      <c r="J163" s="291"/>
    </row>
    <row r="164" spans="1:10" x14ac:dyDescent="0.25">
      <c r="A164" s="147"/>
      <c r="B164" s="284"/>
      <c r="C164" s="285"/>
      <c r="D164" s="286"/>
      <c r="E164" s="287"/>
      <c r="F164" s="288"/>
      <c r="G164" s="289"/>
      <c r="H164" s="288"/>
      <c r="I164" s="290"/>
      <c r="J164" s="291"/>
    </row>
    <row r="165" spans="1:10" x14ac:dyDescent="0.25">
      <c r="A165" s="147"/>
      <c r="B165" s="284"/>
      <c r="C165" s="285"/>
      <c r="D165" s="286"/>
      <c r="E165" s="287"/>
      <c r="F165" s="288"/>
      <c r="G165" s="289"/>
      <c r="H165" s="288"/>
      <c r="I165" s="290"/>
      <c r="J165" s="291"/>
    </row>
    <row r="166" spans="1:10" x14ac:dyDescent="0.25">
      <c r="A166" s="147"/>
      <c r="B166" s="284"/>
      <c r="C166" s="285"/>
      <c r="D166" s="286"/>
      <c r="E166" s="287"/>
      <c r="F166" s="288"/>
      <c r="G166" s="289"/>
      <c r="H166" s="288"/>
      <c r="I166" s="290"/>
      <c r="J166" s="291"/>
    </row>
    <row r="167" spans="1:10" x14ac:dyDescent="0.25">
      <c r="A167" s="147"/>
      <c r="B167" s="284"/>
      <c r="C167" s="285"/>
      <c r="D167" s="286"/>
      <c r="E167" s="287"/>
      <c r="F167" s="288"/>
      <c r="G167" s="289"/>
      <c r="H167" s="288"/>
      <c r="I167" s="290"/>
      <c r="J167" s="291"/>
    </row>
    <row r="168" spans="1:10" x14ac:dyDescent="0.25">
      <c r="A168" s="147"/>
      <c r="B168" s="284"/>
      <c r="C168" s="285"/>
      <c r="D168" s="286"/>
      <c r="E168" s="287"/>
      <c r="F168" s="288"/>
      <c r="G168" s="289"/>
      <c r="H168" s="288"/>
      <c r="I168" s="290"/>
      <c r="J168" s="291"/>
    </row>
    <row r="169" spans="1:10" x14ac:dyDescent="0.25">
      <c r="A169" s="147"/>
      <c r="B169" s="284"/>
      <c r="C169" s="285"/>
      <c r="D169" s="286"/>
      <c r="E169" s="287"/>
      <c r="F169" s="288"/>
      <c r="G169" s="289"/>
      <c r="H169" s="288"/>
      <c r="I169" s="290"/>
      <c r="J169" s="291"/>
    </row>
    <row r="170" spans="1:10" x14ac:dyDescent="0.25">
      <c r="A170" s="147"/>
      <c r="B170" s="284"/>
      <c r="C170" s="285"/>
      <c r="D170" s="286"/>
      <c r="E170" s="287"/>
      <c r="F170" s="288"/>
      <c r="G170" s="289"/>
      <c r="H170" s="288"/>
      <c r="I170" s="290"/>
      <c r="J170" s="291"/>
    </row>
    <row r="171" spans="1:10" x14ac:dyDescent="0.25">
      <c r="A171" s="147"/>
      <c r="B171" s="284"/>
      <c r="C171" s="285"/>
      <c r="D171" s="286"/>
      <c r="E171" s="287"/>
      <c r="F171" s="288"/>
      <c r="G171" s="289"/>
      <c r="H171" s="288"/>
      <c r="I171" s="290"/>
      <c r="J171" s="291"/>
    </row>
    <row r="172" spans="1:10" x14ac:dyDescent="0.25">
      <c r="A172" s="147"/>
      <c r="B172" s="284"/>
      <c r="C172" s="285"/>
      <c r="D172" s="286"/>
      <c r="E172" s="287"/>
      <c r="F172" s="288"/>
      <c r="G172" s="289"/>
      <c r="H172" s="288"/>
      <c r="I172" s="290"/>
      <c r="J172" s="291"/>
    </row>
    <row r="173" spans="1:10" x14ac:dyDescent="0.25">
      <c r="A173" s="147"/>
      <c r="B173" s="284"/>
      <c r="C173" s="285"/>
      <c r="D173" s="286"/>
      <c r="E173" s="287"/>
      <c r="F173" s="288"/>
      <c r="G173" s="289"/>
      <c r="H173" s="288"/>
      <c r="I173" s="290"/>
      <c r="J173" s="291"/>
    </row>
    <row r="174" spans="1:10" x14ac:dyDescent="0.25">
      <c r="A174" s="147"/>
      <c r="B174" s="284"/>
      <c r="C174" s="285"/>
      <c r="D174" s="286"/>
      <c r="E174" s="287"/>
      <c r="F174" s="288"/>
      <c r="G174" s="289"/>
      <c r="H174" s="288"/>
      <c r="I174" s="290"/>
      <c r="J174" s="291"/>
    </row>
    <row r="175" spans="1:10" x14ac:dyDescent="0.25">
      <c r="A175" s="147"/>
      <c r="B175" s="284"/>
      <c r="C175" s="285"/>
      <c r="D175" s="286"/>
      <c r="E175" s="287"/>
      <c r="F175" s="288"/>
      <c r="G175" s="289"/>
      <c r="H175" s="288"/>
      <c r="I175" s="290"/>
      <c r="J175" s="291"/>
    </row>
    <row r="176" spans="1:10" x14ac:dyDescent="0.25">
      <c r="A176" s="147"/>
      <c r="B176" s="284"/>
      <c r="C176" s="285"/>
      <c r="D176" s="286"/>
      <c r="E176" s="287"/>
      <c r="F176" s="288"/>
      <c r="G176" s="289"/>
      <c r="H176" s="288"/>
      <c r="I176" s="290"/>
      <c r="J176" s="291"/>
    </row>
    <row r="177" spans="1:10" x14ac:dyDescent="0.25">
      <c r="A177" s="147"/>
      <c r="B177" s="284"/>
      <c r="C177" s="285"/>
      <c r="D177" s="286"/>
      <c r="E177" s="287"/>
      <c r="F177" s="288"/>
      <c r="G177" s="289"/>
      <c r="H177" s="288"/>
      <c r="I177" s="290"/>
      <c r="J177" s="291"/>
    </row>
    <row r="178" spans="1:10" x14ac:dyDescent="0.25">
      <c r="A178" s="147"/>
      <c r="B178" s="284"/>
      <c r="C178" s="285"/>
      <c r="D178" s="286"/>
      <c r="E178" s="287"/>
      <c r="F178" s="288"/>
      <c r="G178" s="289"/>
      <c r="H178" s="288"/>
      <c r="I178" s="290"/>
      <c r="J178" s="291"/>
    </row>
    <row r="179" spans="1:10" x14ac:dyDescent="0.25">
      <c r="A179" s="147"/>
      <c r="B179" s="284"/>
      <c r="C179" s="285"/>
      <c r="D179" s="286"/>
      <c r="E179" s="287"/>
      <c r="F179" s="288"/>
      <c r="G179" s="289"/>
      <c r="H179" s="288"/>
      <c r="I179" s="290"/>
      <c r="J179" s="291"/>
    </row>
    <row r="180" spans="1:10" x14ac:dyDescent="0.25">
      <c r="A180" s="147"/>
      <c r="B180" s="284"/>
      <c r="C180" s="285"/>
      <c r="D180" s="286"/>
      <c r="E180" s="287"/>
      <c r="F180" s="288"/>
      <c r="G180" s="289"/>
      <c r="H180" s="288"/>
      <c r="I180" s="290"/>
      <c r="J180" s="291"/>
    </row>
    <row r="181" spans="1:10" x14ac:dyDescent="0.25">
      <c r="A181" s="147"/>
      <c r="B181" s="284"/>
      <c r="C181" s="285"/>
      <c r="D181" s="286"/>
      <c r="E181" s="287"/>
      <c r="F181" s="288"/>
      <c r="G181" s="289"/>
      <c r="H181" s="288"/>
      <c r="I181" s="290"/>
      <c r="J181" s="291"/>
    </row>
    <row r="182" spans="1:10" x14ac:dyDescent="0.25">
      <c r="A182" s="147"/>
      <c r="B182" s="284"/>
      <c r="C182" s="285"/>
      <c r="D182" s="286"/>
      <c r="E182" s="287"/>
      <c r="F182" s="288"/>
      <c r="G182" s="289"/>
      <c r="H182" s="288"/>
      <c r="I182" s="290"/>
      <c r="J182" s="291"/>
    </row>
    <row r="183" spans="1:10" x14ac:dyDescent="0.25">
      <c r="A183" s="147"/>
      <c r="B183" s="284"/>
      <c r="C183" s="285"/>
      <c r="D183" s="286"/>
      <c r="E183" s="287"/>
      <c r="F183" s="288"/>
      <c r="G183" s="289"/>
      <c r="H183" s="288"/>
      <c r="I183" s="290"/>
      <c r="J183" s="291"/>
    </row>
    <row r="184" spans="1:10" x14ac:dyDescent="0.25">
      <c r="A184" s="147"/>
      <c r="B184" s="284"/>
      <c r="C184" s="285"/>
      <c r="D184" s="286"/>
      <c r="E184" s="287"/>
      <c r="F184" s="288"/>
      <c r="G184" s="289"/>
      <c r="H184" s="288"/>
      <c r="I184" s="290"/>
      <c r="J184" s="291"/>
    </row>
    <row r="185" spans="1:10" x14ac:dyDescent="0.25">
      <c r="A185" s="147"/>
      <c r="B185" s="284"/>
      <c r="C185" s="285"/>
      <c r="D185" s="286"/>
      <c r="E185" s="287"/>
      <c r="F185" s="288"/>
      <c r="G185" s="289"/>
      <c r="H185" s="288"/>
      <c r="I185" s="290"/>
      <c r="J185" s="291"/>
    </row>
    <row r="186" spans="1:10" x14ac:dyDescent="0.25">
      <c r="A186" s="147"/>
      <c r="B186" s="284"/>
      <c r="C186" s="285"/>
      <c r="D186" s="286"/>
      <c r="E186" s="287"/>
      <c r="F186" s="288"/>
      <c r="G186" s="289"/>
      <c r="H186" s="288"/>
      <c r="I186" s="290"/>
      <c r="J186" s="291"/>
    </row>
    <row r="187" spans="1:10" x14ac:dyDescent="0.25">
      <c r="A187" s="147"/>
      <c r="B187" s="284"/>
      <c r="C187" s="285"/>
      <c r="D187" s="286"/>
      <c r="E187" s="287"/>
      <c r="F187" s="288"/>
      <c r="G187" s="289"/>
      <c r="H187" s="288"/>
      <c r="I187" s="290"/>
      <c r="J187" s="291"/>
    </row>
    <row r="188" spans="1:10" x14ac:dyDescent="0.25">
      <c r="A188" s="147"/>
      <c r="B188" s="284"/>
      <c r="C188" s="285"/>
      <c r="D188" s="286"/>
      <c r="E188" s="287"/>
      <c r="F188" s="288"/>
      <c r="G188" s="289"/>
      <c r="H188" s="288"/>
      <c r="I188" s="290"/>
      <c r="J188" s="291"/>
    </row>
    <row r="189" spans="1:10" x14ac:dyDescent="0.25">
      <c r="A189" s="147"/>
      <c r="B189" s="284"/>
      <c r="C189" s="285"/>
      <c r="D189" s="286"/>
      <c r="E189" s="287"/>
      <c r="F189" s="288"/>
      <c r="G189" s="289"/>
      <c r="H189" s="288"/>
      <c r="I189" s="290"/>
      <c r="J189" s="291"/>
    </row>
    <row r="190" spans="1:10" x14ac:dyDescent="0.25">
      <c r="A190" s="147"/>
      <c r="B190" s="284"/>
      <c r="C190" s="285"/>
      <c r="D190" s="286"/>
      <c r="E190" s="287"/>
      <c r="F190" s="288"/>
      <c r="G190" s="289"/>
      <c r="H190" s="288"/>
      <c r="I190" s="290"/>
      <c r="J190" s="291"/>
    </row>
    <row r="191" spans="1:10" x14ac:dyDescent="0.25">
      <c r="A191" s="147"/>
      <c r="B191" s="284"/>
      <c r="C191" s="285"/>
      <c r="D191" s="286"/>
      <c r="E191" s="287"/>
      <c r="F191" s="288"/>
      <c r="G191" s="289"/>
      <c r="H191" s="288"/>
      <c r="I191" s="290"/>
      <c r="J191" s="291"/>
    </row>
    <row r="192" spans="1:10" x14ac:dyDescent="0.25">
      <c r="A192" s="147"/>
      <c r="B192" s="284"/>
      <c r="C192" s="285"/>
      <c r="D192" s="286"/>
      <c r="E192" s="287"/>
      <c r="F192" s="288"/>
      <c r="G192" s="289"/>
      <c r="H192" s="288"/>
      <c r="I192" s="290"/>
      <c r="J192" s="291"/>
    </row>
    <row r="193" spans="1:10" x14ac:dyDescent="0.25">
      <c r="A193" s="147"/>
      <c r="B193" s="284"/>
      <c r="C193" s="285"/>
      <c r="D193" s="286"/>
      <c r="E193" s="287"/>
      <c r="F193" s="288"/>
      <c r="G193" s="289"/>
      <c r="H193" s="288"/>
      <c r="I193" s="290"/>
      <c r="J193" s="291"/>
    </row>
    <row r="194" spans="1:10" x14ac:dyDescent="0.25">
      <c r="A194" s="147"/>
      <c r="B194" s="284"/>
      <c r="C194" s="285"/>
      <c r="D194" s="286"/>
      <c r="E194" s="287"/>
      <c r="F194" s="288"/>
      <c r="G194" s="289"/>
      <c r="H194" s="288"/>
      <c r="I194" s="290"/>
      <c r="J194" s="291"/>
    </row>
    <row r="195" spans="1:10" x14ac:dyDescent="0.25">
      <c r="A195" s="147"/>
      <c r="B195" s="284"/>
      <c r="C195" s="285"/>
      <c r="D195" s="286"/>
      <c r="E195" s="287"/>
      <c r="F195" s="288"/>
      <c r="G195" s="289"/>
      <c r="H195" s="288"/>
      <c r="I195" s="290"/>
      <c r="J195" s="291"/>
    </row>
    <row r="196" spans="1:10" x14ac:dyDescent="0.25">
      <c r="A196" s="147"/>
      <c r="B196" s="284"/>
      <c r="C196" s="285"/>
      <c r="D196" s="286"/>
      <c r="E196" s="287"/>
      <c r="F196" s="288"/>
      <c r="G196" s="289"/>
      <c r="H196" s="288"/>
      <c r="I196" s="290"/>
      <c r="J196" s="291"/>
    </row>
    <row r="197" spans="1:10" x14ac:dyDescent="0.25">
      <c r="A197" s="147"/>
      <c r="B197" s="284"/>
      <c r="C197" s="285"/>
      <c r="D197" s="286"/>
      <c r="E197" s="287"/>
      <c r="F197" s="288"/>
      <c r="G197" s="289"/>
      <c r="H197" s="288"/>
      <c r="I197" s="290"/>
      <c r="J197" s="291"/>
    </row>
    <row r="198" spans="1:10" x14ac:dyDescent="0.25">
      <c r="A198" s="147"/>
      <c r="B198" s="284"/>
      <c r="C198" s="285"/>
      <c r="D198" s="286"/>
      <c r="E198" s="287"/>
      <c r="F198" s="288"/>
      <c r="G198" s="289"/>
      <c r="H198" s="288"/>
      <c r="I198" s="290"/>
      <c r="J198" s="291"/>
    </row>
    <row r="199" spans="1:10" x14ac:dyDescent="0.25">
      <c r="A199" s="147"/>
      <c r="B199" s="284"/>
      <c r="C199" s="285"/>
      <c r="D199" s="286"/>
      <c r="E199" s="287"/>
      <c r="F199" s="288"/>
      <c r="G199" s="289"/>
      <c r="H199" s="288"/>
      <c r="I199" s="290"/>
      <c r="J199" s="291"/>
    </row>
    <row r="200" spans="1:10" x14ac:dyDescent="0.25">
      <c r="A200" s="147"/>
      <c r="B200" s="284"/>
      <c r="C200" s="285"/>
      <c r="D200" s="286"/>
      <c r="E200" s="287"/>
      <c r="F200" s="288"/>
      <c r="G200" s="289"/>
      <c r="H200" s="288"/>
      <c r="I200" s="290"/>
      <c r="J200" s="291"/>
    </row>
    <row r="201" spans="1:10" x14ac:dyDescent="0.25">
      <c r="A201" s="147"/>
      <c r="B201" s="284"/>
      <c r="C201" s="285"/>
      <c r="D201" s="286"/>
      <c r="E201" s="287"/>
      <c r="F201" s="288"/>
      <c r="G201" s="289"/>
      <c r="H201" s="288"/>
      <c r="I201" s="290"/>
      <c r="J201" s="291"/>
    </row>
    <row r="202" spans="1:10" x14ac:dyDescent="0.25">
      <c r="A202" s="147"/>
      <c r="B202" s="284"/>
      <c r="C202" s="285"/>
      <c r="D202" s="286"/>
      <c r="E202" s="287"/>
      <c r="F202" s="288"/>
      <c r="G202" s="289"/>
      <c r="H202" s="288"/>
      <c r="I202" s="290"/>
      <c r="J202" s="291"/>
    </row>
    <row r="203" spans="1:10" x14ac:dyDescent="0.25">
      <c r="A203" s="147"/>
      <c r="B203" s="284"/>
      <c r="C203" s="285"/>
      <c r="D203" s="286"/>
      <c r="E203" s="287"/>
      <c r="F203" s="288"/>
      <c r="G203" s="289"/>
      <c r="H203" s="288"/>
      <c r="I203" s="290"/>
      <c r="J203" s="291"/>
    </row>
    <row r="204" spans="1:10" x14ac:dyDescent="0.25">
      <c r="A204" s="147"/>
      <c r="B204" s="284"/>
      <c r="C204" s="285"/>
      <c r="D204" s="286"/>
      <c r="E204" s="287"/>
      <c r="F204" s="288"/>
      <c r="G204" s="289"/>
      <c r="H204" s="288"/>
      <c r="I204" s="290"/>
      <c r="J204" s="291"/>
    </row>
    <row r="205" spans="1:10" x14ac:dyDescent="0.25">
      <c r="A205" s="147"/>
      <c r="B205" s="284"/>
      <c r="C205" s="285"/>
      <c r="D205" s="286"/>
      <c r="E205" s="287"/>
      <c r="F205" s="288"/>
      <c r="G205" s="289"/>
      <c r="H205" s="288"/>
      <c r="I205" s="290"/>
      <c r="J205" s="291"/>
    </row>
    <row r="206" spans="1:10" x14ac:dyDescent="0.25">
      <c r="A206" s="147"/>
      <c r="B206" s="284"/>
      <c r="C206" s="285"/>
      <c r="D206" s="286"/>
      <c r="E206" s="287"/>
      <c r="F206" s="288"/>
      <c r="G206" s="289"/>
      <c r="H206" s="288"/>
      <c r="I206" s="290"/>
      <c r="J206" s="291"/>
    </row>
    <row r="207" spans="1:10" x14ac:dyDescent="0.25">
      <c r="A207" s="147"/>
      <c r="B207" s="284"/>
      <c r="C207" s="285"/>
      <c r="D207" s="286"/>
      <c r="E207" s="287"/>
      <c r="F207" s="288"/>
      <c r="G207" s="289"/>
      <c r="H207" s="288"/>
      <c r="I207" s="290"/>
      <c r="J207" s="291"/>
    </row>
    <row r="208" spans="1:10" x14ac:dyDescent="0.25">
      <c r="A208" s="147"/>
      <c r="B208" s="284"/>
      <c r="C208" s="285"/>
      <c r="D208" s="286"/>
      <c r="E208" s="287"/>
      <c r="F208" s="288"/>
      <c r="G208" s="289"/>
      <c r="H208" s="288"/>
      <c r="I208" s="290"/>
      <c r="J208" s="291"/>
    </row>
    <row r="209" spans="1:10" x14ac:dyDescent="0.25">
      <c r="A209" s="147"/>
      <c r="B209" s="284"/>
      <c r="C209" s="285"/>
      <c r="D209" s="286"/>
      <c r="E209" s="287"/>
      <c r="F209" s="288"/>
      <c r="G209" s="289"/>
      <c r="H209" s="288"/>
      <c r="I209" s="290"/>
      <c r="J209" s="291"/>
    </row>
    <row r="210" spans="1:10" x14ac:dyDescent="0.25">
      <c r="A210" s="147"/>
      <c r="B210" s="284"/>
      <c r="C210" s="285"/>
      <c r="D210" s="286"/>
      <c r="E210" s="287"/>
      <c r="F210" s="288"/>
      <c r="G210" s="289"/>
      <c r="H210" s="288"/>
      <c r="I210" s="290"/>
      <c r="J210" s="291"/>
    </row>
    <row r="211" spans="1:10" x14ac:dyDescent="0.25">
      <c r="A211" s="147"/>
      <c r="B211" s="284"/>
      <c r="C211" s="285"/>
      <c r="D211" s="286"/>
      <c r="E211" s="287"/>
      <c r="F211" s="288"/>
      <c r="G211" s="289"/>
      <c r="H211" s="288"/>
      <c r="I211" s="290"/>
      <c r="J211" s="291"/>
    </row>
    <row r="212" spans="1:10" x14ac:dyDescent="0.25">
      <c r="A212" s="147"/>
      <c r="B212" s="284"/>
      <c r="C212" s="285"/>
      <c r="D212" s="286"/>
      <c r="E212" s="287"/>
      <c r="F212" s="288"/>
      <c r="G212" s="289"/>
      <c r="H212" s="288"/>
      <c r="I212" s="290"/>
      <c r="J212" s="291"/>
    </row>
    <row r="213" spans="1:10" x14ac:dyDescent="0.25">
      <c r="A213" s="147"/>
      <c r="B213" s="284"/>
      <c r="C213" s="285"/>
      <c r="D213" s="286"/>
      <c r="E213" s="287"/>
      <c r="F213" s="288"/>
      <c r="G213" s="289"/>
      <c r="H213" s="288"/>
      <c r="I213" s="290"/>
      <c r="J213" s="291"/>
    </row>
    <row r="214" spans="1:10" x14ac:dyDescent="0.25">
      <c r="A214" s="147"/>
      <c r="B214" s="284"/>
      <c r="C214" s="285"/>
      <c r="D214" s="286"/>
      <c r="E214" s="287"/>
      <c r="F214" s="288"/>
      <c r="G214" s="289"/>
      <c r="H214" s="288"/>
      <c r="I214" s="290"/>
      <c r="J214" s="291"/>
    </row>
    <row r="215" spans="1:10" x14ac:dyDescent="0.25">
      <c r="A215" s="147"/>
      <c r="B215" s="284"/>
      <c r="C215" s="285"/>
      <c r="D215" s="286"/>
      <c r="E215" s="287"/>
      <c r="F215" s="288"/>
      <c r="G215" s="289"/>
      <c r="H215" s="288"/>
      <c r="I215" s="290"/>
      <c r="J215" s="291"/>
    </row>
    <row r="216" spans="1:10" x14ac:dyDescent="0.25">
      <c r="A216" s="147"/>
      <c r="B216" s="284"/>
      <c r="C216" s="285"/>
      <c r="D216" s="286"/>
      <c r="E216" s="287"/>
      <c r="F216" s="288"/>
      <c r="G216" s="289"/>
      <c r="H216" s="288"/>
      <c r="I216" s="290"/>
      <c r="J216" s="291"/>
    </row>
    <row r="217" spans="1:10" x14ac:dyDescent="0.25">
      <c r="A217" s="147"/>
      <c r="B217" s="284"/>
      <c r="C217" s="285"/>
      <c r="D217" s="286"/>
      <c r="E217" s="287"/>
      <c r="F217" s="288"/>
      <c r="G217" s="289"/>
      <c r="H217" s="288"/>
      <c r="I217" s="290"/>
      <c r="J217" s="291"/>
    </row>
    <row r="218" spans="1:10" x14ac:dyDescent="0.25">
      <c r="A218" s="147"/>
      <c r="B218" s="284"/>
      <c r="C218" s="285"/>
      <c r="D218" s="286"/>
      <c r="E218" s="287"/>
      <c r="F218" s="288"/>
      <c r="G218" s="289"/>
      <c r="H218" s="288"/>
      <c r="I218" s="290"/>
      <c r="J218" s="291"/>
    </row>
    <row r="219" spans="1:10" x14ac:dyDescent="0.25">
      <c r="A219" s="147"/>
      <c r="B219" s="284"/>
      <c r="C219" s="285"/>
      <c r="D219" s="286"/>
      <c r="E219" s="287"/>
      <c r="F219" s="288"/>
      <c r="G219" s="289"/>
      <c r="H219" s="288"/>
      <c r="I219" s="290"/>
      <c r="J219" s="291"/>
    </row>
    <row r="220" spans="1:10" x14ac:dyDescent="0.25">
      <c r="A220" s="147"/>
      <c r="B220" s="284"/>
      <c r="C220" s="285"/>
      <c r="D220" s="286"/>
      <c r="E220" s="287"/>
      <c r="F220" s="288"/>
      <c r="G220" s="289"/>
      <c r="H220" s="288"/>
      <c r="I220" s="290"/>
      <c r="J220" s="291"/>
    </row>
    <row r="221" spans="1:10" x14ac:dyDescent="0.25">
      <c r="A221" s="147"/>
      <c r="B221" s="284"/>
      <c r="C221" s="285"/>
      <c r="D221" s="286"/>
      <c r="E221" s="287"/>
      <c r="F221" s="288"/>
      <c r="G221" s="289"/>
      <c r="H221" s="288"/>
      <c r="I221" s="290"/>
      <c r="J221" s="291"/>
    </row>
    <row r="222" spans="1:10" x14ac:dyDescent="0.25">
      <c r="A222" s="147"/>
      <c r="B222" s="284"/>
      <c r="C222" s="285"/>
      <c r="D222" s="286"/>
      <c r="E222" s="287"/>
      <c r="F222" s="288"/>
      <c r="G222" s="289"/>
      <c r="H222" s="288"/>
      <c r="I222" s="290"/>
      <c r="J222" s="291"/>
    </row>
    <row r="223" spans="1:10" x14ac:dyDescent="0.25">
      <c r="A223" s="147"/>
      <c r="B223" s="284"/>
      <c r="C223" s="285"/>
      <c r="D223" s="286"/>
      <c r="E223" s="287"/>
      <c r="F223" s="288"/>
      <c r="G223" s="289"/>
      <c r="H223" s="288"/>
      <c r="I223" s="290"/>
      <c r="J223" s="291"/>
    </row>
    <row r="224" spans="1:10" x14ac:dyDescent="0.25">
      <c r="A224" s="147"/>
      <c r="B224" s="284"/>
      <c r="C224" s="285"/>
      <c r="D224" s="286"/>
      <c r="E224" s="287"/>
      <c r="F224" s="288"/>
      <c r="G224" s="289"/>
      <c r="H224" s="288"/>
      <c r="I224" s="290"/>
      <c r="J224" s="291"/>
    </row>
    <row r="225" spans="1:10" x14ac:dyDescent="0.25">
      <c r="A225" s="147"/>
      <c r="B225" s="284"/>
      <c r="C225" s="285"/>
      <c r="D225" s="286"/>
      <c r="E225" s="287"/>
      <c r="F225" s="288"/>
      <c r="G225" s="289"/>
      <c r="H225" s="288"/>
      <c r="I225" s="290"/>
      <c r="J225" s="291"/>
    </row>
    <row r="226" spans="1:10" x14ac:dyDescent="0.25">
      <c r="A226" s="147"/>
      <c r="B226" s="284"/>
      <c r="C226" s="285"/>
      <c r="D226" s="286"/>
      <c r="E226" s="287"/>
      <c r="F226" s="288"/>
      <c r="G226" s="289"/>
      <c r="H226" s="288"/>
      <c r="I226" s="290"/>
      <c r="J226" s="291"/>
    </row>
    <row r="227" spans="1:10" x14ac:dyDescent="0.25">
      <c r="A227" s="147"/>
      <c r="B227" s="284"/>
      <c r="C227" s="285"/>
      <c r="D227" s="286"/>
      <c r="E227" s="287"/>
      <c r="F227" s="288"/>
      <c r="G227" s="289"/>
      <c r="H227" s="288"/>
      <c r="I227" s="290"/>
      <c r="J227" s="291"/>
    </row>
    <row r="228" spans="1:10" x14ac:dyDescent="0.25">
      <c r="A228" s="147"/>
      <c r="B228" s="284"/>
      <c r="C228" s="285"/>
      <c r="D228" s="286"/>
      <c r="E228" s="287"/>
      <c r="F228" s="288"/>
      <c r="G228" s="289"/>
      <c r="H228" s="288"/>
      <c r="I228" s="290"/>
      <c r="J228" s="291"/>
    </row>
    <row r="229" spans="1:10" x14ac:dyDescent="0.25">
      <c r="A229" s="147"/>
      <c r="B229" s="284"/>
      <c r="C229" s="285"/>
      <c r="D229" s="286"/>
      <c r="E229" s="287"/>
      <c r="F229" s="288"/>
      <c r="G229" s="289"/>
      <c r="H229" s="288"/>
      <c r="I229" s="290"/>
      <c r="J229" s="291"/>
    </row>
    <row r="230" spans="1:10" x14ac:dyDescent="0.25">
      <c r="A230" s="147"/>
      <c r="B230" s="284"/>
      <c r="C230" s="285"/>
      <c r="D230" s="286"/>
      <c r="E230" s="287"/>
      <c r="F230" s="288"/>
      <c r="G230" s="289"/>
      <c r="H230" s="288"/>
      <c r="I230" s="290"/>
      <c r="J230" s="291"/>
    </row>
    <row r="231" spans="1:10" x14ac:dyDescent="0.25">
      <c r="A231" s="147"/>
      <c r="B231" s="284"/>
      <c r="C231" s="285"/>
      <c r="D231" s="286"/>
      <c r="E231" s="287"/>
      <c r="F231" s="288"/>
      <c r="G231" s="289"/>
      <c r="H231" s="288"/>
      <c r="I231" s="290"/>
      <c r="J231" s="291"/>
    </row>
    <row r="232" spans="1:10" x14ac:dyDescent="0.25">
      <c r="A232" s="147"/>
      <c r="B232" s="284"/>
      <c r="C232" s="285"/>
      <c r="D232" s="286"/>
      <c r="E232" s="287"/>
      <c r="F232" s="288"/>
      <c r="G232" s="289"/>
      <c r="H232" s="288"/>
      <c r="I232" s="290"/>
      <c r="J232" s="291"/>
    </row>
    <row r="233" spans="1:10" x14ac:dyDescent="0.25">
      <c r="A233" s="147"/>
      <c r="B233" s="284"/>
      <c r="C233" s="285"/>
      <c r="D233" s="286"/>
      <c r="E233" s="287"/>
      <c r="F233" s="288"/>
      <c r="G233" s="289"/>
      <c r="H233" s="288"/>
      <c r="I233" s="290"/>
      <c r="J233" s="291"/>
    </row>
    <row r="234" spans="1:10" x14ac:dyDescent="0.25">
      <c r="A234" s="147"/>
      <c r="B234" s="284"/>
      <c r="C234" s="285"/>
      <c r="D234" s="286"/>
      <c r="E234" s="287"/>
      <c r="F234" s="288"/>
      <c r="G234" s="289"/>
      <c r="H234" s="288"/>
      <c r="I234" s="290"/>
      <c r="J234" s="291"/>
    </row>
    <row r="235" spans="1:10" x14ac:dyDescent="0.25">
      <c r="A235" s="147"/>
      <c r="B235" s="284"/>
      <c r="C235" s="285"/>
      <c r="D235" s="286"/>
      <c r="E235" s="287"/>
      <c r="F235" s="288"/>
      <c r="G235" s="289"/>
      <c r="H235" s="288"/>
      <c r="I235" s="290"/>
      <c r="J235" s="291"/>
    </row>
    <row r="236" spans="1:10" x14ac:dyDescent="0.25">
      <c r="A236" s="147"/>
      <c r="B236" s="284"/>
      <c r="C236" s="285"/>
      <c r="D236" s="286"/>
      <c r="E236" s="287"/>
      <c r="F236" s="288"/>
      <c r="G236" s="289"/>
      <c r="H236" s="288"/>
      <c r="I236" s="290"/>
      <c r="J236" s="291"/>
    </row>
    <row r="237" spans="1:10" x14ac:dyDescent="0.25">
      <c r="A237" s="147"/>
      <c r="B237" s="284"/>
      <c r="C237" s="285"/>
      <c r="D237" s="286"/>
      <c r="E237" s="287"/>
      <c r="F237" s="288"/>
      <c r="G237" s="289"/>
      <c r="H237" s="288"/>
      <c r="I237" s="290"/>
      <c r="J237" s="291"/>
    </row>
    <row r="238" spans="1:10" x14ac:dyDescent="0.25">
      <c r="A238" s="147"/>
      <c r="B238" s="284"/>
      <c r="C238" s="285"/>
      <c r="D238" s="286"/>
      <c r="E238" s="287"/>
      <c r="F238" s="288"/>
      <c r="G238" s="289"/>
      <c r="H238" s="288"/>
      <c r="I238" s="290"/>
      <c r="J238" s="291"/>
    </row>
    <row r="239" spans="1:10" x14ac:dyDescent="0.25">
      <c r="A239" s="147"/>
      <c r="B239" s="284"/>
      <c r="C239" s="285"/>
      <c r="D239" s="286"/>
      <c r="E239" s="287"/>
      <c r="F239" s="288"/>
      <c r="G239" s="289"/>
      <c r="H239" s="288"/>
      <c r="I239" s="290"/>
      <c r="J239" s="291"/>
    </row>
    <row r="240" spans="1:10" x14ac:dyDescent="0.25">
      <c r="A240" s="147"/>
      <c r="B240" s="284"/>
      <c r="C240" s="285"/>
      <c r="D240" s="286"/>
      <c r="E240" s="287"/>
      <c r="F240" s="288"/>
      <c r="G240" s="289"/>
      <c r="H240" s="288"/>
      <c r="I240" s="290"/>
      <c r="J240" s="291"/>
    </row>
    <row r="241" spans="1:10" x14ac:dyDescent="0.25">
      <c r="A241" s="147"/>
      <c r="B241" s="284"/>
      <c r="C241" s="285"/>
      <c r="D241" s="286"/>
      <c r="E241" s="287"/>
      <c r="F241" s="288"/>
      <c r="G241" s="289"/>
      <c r="H241" s="288"/>
      <c r="I241" s="290"/>
      <c r="J241" s="291"/>
    </row>
    <row r="242" spans="1:10" x14ac:dyDescent="0.25">
      <c r="A242" s="147"/>
      <c r="B242" s="284"/>
      <c r="C242" s="285"/>
      <c r="D242" s="286"/>
      <c r="E242" s="287"/>
      <c r="F242" s="288"/>
      <c r="G242" s="289"/>
      <c r="H242" s="288"/>
      <c r="I242" s="290"/>
      <c r="J242" s="291"/>
    </row>
    <row r="243" spans="1:10" x14ac:dyDescent="0.25">
      <c r="A243" s="147"/>
      <c r="B243" s="284"/>
      <c r="C243" s="285"/>
      <c r="D243" s="286"/>
      <c r="E243" s="287"/>
      <c r="F243" s="288"/>
      <c r="G243" s="289"/>
      <c r="H243" s="288"/>
      <c r="I243" s="290"/>
      <c r="J243" s="291"/>
    </row>
    <row r="244" spans="1:10" x14ac:dyDescent="0.25">
      <c r="A244" s="147"/>
      <c r="B244" s="284"/>
      <c r="C244" s="285"/>
      <c r="D244" s="286"/>
      <c r="E244" s="287"/>
      <c r="F244" s="288"/>
      <c r="G244" s="289"/>
      <c r="H244" s="288"/>
      <c r="I244" s="290"/>
      <c r="J244" s="291"/>
    </row>
    <row r="245" spans="1:10" x14ac:dyDescent="0.25">
      <c r="A245" s="147"/>
      <c r="B245" s="284"/>
      <c r="C245" s="285"/>
      <c r="D245" s="286"/>
      <c r="E245" s="287"/>
      <c r="F245" s="288"/>
      <c r="G245" s="289"/>
      <c r="H245" s="288"/>
      <c r="I245" s="290"/>
      <c r="J245" s="291"/>
    </row>
    <row r="246" spans="1:10" x14ac:dyDescent="0.25">
      <c r="A246" s="147"/>
      <c r="B246" s="284"/>
      <c r="C246" s="285"/>
      <c r="D246" s="286"/>
      <c r="E246" s="287"/>
      <c r="F246" s="288"/>
      <c r="G246" s="289"/>
      <c r="H246" s="288"/>
      <c r="I246" s="290"/>
      <c r="J246" s="291"/>
    </row>
    <row r="247" spans="1:10" x14ac:dyDescent="0.25">
      <c r="A247" s="147"/>
      <c r="B247" s="284"/>
      <c r="C247" s="285"/>
      <c r="D247" s="286"/>
      <c r="E247" s="287"/>
      <c r="F247" s="288"/>
      <c r="G247" s="289"/>
      <c r="H247" s="288"/>
      <c r="I247" s="290"/>
      <c r="J247" s="291"/>
    </row>
    <row r="248" spans="1:10" x14ac:dyDescent="0.25">
      <c r="A248" s="147"/>
      <c r="B248" s="284"/>
      <c r="C248" s="285"/>
      <c r="D248" s="286"/>
      <c r="E248" s="287"/>
      <c r="F248" s="288"/>
      <c r="G248" s="289"/>
      <c r="H248" s="288"/>
      <c r="I248" s="290"/>
      <c r="J248" s="291"/>
    </row>
    <row r="249" spans="1:10" x14ac:dyDescent="0.25">
      <c r="A249" s="147"/>
      <c r="B249" s="284"/>
      <c r="C249" s="285"/>
      <c r="D249" s="286"/>
      <c r="E249" s="287"/>
      <c r="F249" s="288"/>
      <c r="G249" s="289"/>
      <c r="H249" s="288"/>
      <c r="I249" s="290"/>
      <c r="J249" s="291"/>
    </row>
    <row r="250" spans="1:10" x14ac:dyDescent="0.25">
      <c r="A250" s="147"/>
      <c r="B250" s="284"/>
      <c r="C250" s="285"/>
      <c r="D250" s="286"/>
      <c r="E250" s="287"/>
      <c r="F250" s="288"/>
      <c r="G250" s="289"/>
      <c r="H250" s="288"/>
      <c r="I250" s="290"/>
      <c r="J250" s="291"/>
    </row>
    <row r="251" spans="1:10" x14ac:dyDescent="0.25">
      <c r="A251" s="147"/>
      <c r="B251" s="284"/>
      <c r="C251" s="285"/>
      <c r="D251" s="286"/>
      <c r="E251" s="287"/>
      <c r="F251" s="288"/>
      <c r="G251" s="289"/>
      <c r="H251" s="288"/>
      <c r="I251" s="290"/>
      <c r="J251" s="291"/>
    </row>
    <row r="252" spans="1:10" x14ac:dyDescent="0.25">
      <c r="A252" s="147"/>
      <c r="B252" s="284"/>
      <c r="C252" s="285"/>
      <c r="D252" s="286"/>
      <c r="E252" s="287"/>
      <c r="F252" s="288"/>
      <c r="G252" s="289"/>
      <c r="H252" s="288"/>
      <c r="I252" s="290"/>
      <c r="J252" s="291"/>
    </row>
    <row r="253" spans="1:10" x14ac:dyDescent="0.25">
      <c r="A253" s="147"/>
      <c r="B253" s="284"/>
      <c r="C253" s="285"/>
      <c r="D253" s="286"/>
      <c r="E253" s="287"/>
      <c r="F253" s="288"/>
      <c r="G253" s="289"/>
      <c r="H253" s="288"/>
      <c r="I253" s="290"/>
      <c r="J253" s="291"/>
    </row>
    <row r="254" spans="1:10" x14ac:dyDescent="0.25">
      <c r="A254" s="147"/>
      <c r="B254" s="284"/>
      <c r="C254" s="285"/>
      <c r="D254" s="286"/>
      <c r="E254" s="287"/>
      <c r="F254" s="288"/>
      <c r="G254" s="289"/>
      <c r="H254" s="288"/>
      <c r="I254" s="290"/>
      <c r="J254" s="291"/>
    </row>
    <row r="255" spans="1:10" x14ac:dyDescent="0.25">
      <c r="A255" s="147"/>
      <c r="B255" s="284"/>
      <c r="C255" s="285"/>
      <c r="D255" s="286"/>
      <c r="E255" s="287"/>
      <c r="F255" s="288"/>
      <c r="G255" s="289"/>
      <c r="H255" s="288"/>
      <c r="I255" s="290"/>
      <c r="J255" s="291"/>
    </row>
    <row r="256" spans="1:10" x14ac:dyDescent="0.25">
      <c r="A256" s="147"/>
      <c r="B256" s="284"/>
      <c r="C256" s="285"/>
      <c r="D256" s="286"/>
      <c r="E256" s="287"/>
      <c r="F256" s="288"/>
      <c r="G256" s="289"/>
      <c r="H256" s="288"/>
      <c r="I256" s="290"/>
      <c r="J256" s="291"/>
    </row>
    <row r="257" spans="1:10" x14ac:dyDescent="0.25">
      <c r="A257" s="147"/>
      <c r="B257" s="284"/>
      <c r="C257" s="285"/>
      <c r="D257" s="286"/>
      <c r="E257" s="287"/>
      <c r="F257" s="288"/>
      <c r="G257" s="289"/>
      <c r="H257" s="288"/>
      <c r="I257" s="290"/>
      <c r="J257" s="291"/>
    </row>
    <row r="258" spans="1:10" x14ac:dyDescent="0.25">
      <c r="A258" s="147"/>
      <c r="B258" s="284"/>
      <c r="C258" s="285"/>
      <c r="D258" s="286"/>
      <c r="E258" s="287"/>
      <c r="F258" s="288"/>
      <c r="G258" s="289"/>
      <c r="H258" s="288"/>
      <c r="I258" s="290"/>
      <c r="J258" s="291"/>
    </row>
    <row r="259" spans="1:10" x14ac:dyDescent="0.25">
      <c r="A259" s="147"/>
      <c r="B259" s="284"/>
      <c r="C259" s="285"/>
      <c r="D259" s="286"/>
      <c r="E259" s="287"/>
      <c r="F259" s="288"/>
      <c r="G259" s="289"/>
      <c r="H259" s="288"/>
      <c r="I259" s="290"/>
      <c r="J259" s="291"/>
    </row>
    <row r="260" spans="1:10" x14ac:dyDescent="0.25">
      <c r="A260" s="147"/>
      <c r="B260" s="284"/>
      <c r="C260" s="285"/>
      <c r="D260" s="286"/>
      <c r="E260" s="287"/>
      <c r="F260" s="288"/>
      <c r="G260" s="289"/>
      <c r="H260" s="288"/>
      <c r="I260" s="290"/>
      <c r="J260" s="291"/>
    </row>
    <row r="261" spans="1:10" x14ac:dyDescent="0.25">
      <c r="A261" s="147"/>
      <c r="B261" s="284"/>
      <c r="C261" s="285"/>
      <c r="D261" s="286"/>
      <c r="E261" s="287"/>
      <c r="F261" s="288"/>
      <c r="G261" s="289"/>
      <c r="H261" s="288"/>
      <c r="I261" s="290"/>
      <c r="J261" s="291"/>
    </row>
    <row r="262" spans="1:10" x14ac:dyDescent="0.25">
      <c r="A262" s="147"/>
      <c r="B262" s="284"/>
      <c r="C262" s="285"/>
      <c r="D262" s="286"/>
      <c r="E262" s="287"/>
      <c r="F262" s="288"/>
      <c r="G262" s="289"/>
      <c r="H262" s="288"/>
      <c r="I262" s="290"/>
      <c r="J262" s="291"/>
    </row>
    <row r="263" spans="1:10" x14ac:dyDescent="0.25">
      <c r="A263" s="147"/>
      <c r="B263" s="284"/>
      <c r="C263" s="285"/>
      <c r="D263" s="286"/>
      <c r="E263" s="287"/>
      <c r="F263" s="288"/>
      <c r="G263" s="289"/>
      <c r="H263" s="288"/>
      <c r="I263" s="290"/>
      <c r="J263" s="291"/>
    </row>
    <row r="264" spans="1:10" x14ac:dyDescent="0.25">
      <c r="A264" s="147"/>
      <c r="B264" s="284"/>
      <c r="C264" s="285"/>
      <c r="D264" s="286"/>
      <c r="E264" s="287"/>
      <c r="F264" s="288"/>
      <c r="G264" s="289"/>
      <c r="H264" s="288"/>
      <c r="I264" s="290"/>
      <c r="J264" s="291"/>
    </row>
    <row r="265" spans="1:10" x14ac:dyDescent="0.25">
      <c r="A265" s="147"/>
      <c r="B265" s="284"/>
      <c r="C265" s="285"/>
      <c r="D265" s="286"/>
      <c r="E265" s="287"/>
      <c r="F265" s="288"/>
      <c r="G265" s="289"/>
      <c r="H265" s="288"/>
      <c r="I265" s="290"/>
      <c r="J265" s="291"/>
    </row>
    <row r="266" spans="1:10" x14ac:dyDescent="0.25">
      <c r="A266" s="147"/>
      <c r="B266" s="284"/>
      <c r="C266" s="285"/>
      <c r="D266" s="286"/>
      <c r="E266" s="287"/>
      <c r="F266" s="288"/>
      <c r="G266" s="289"/>
      <c r="H266" s="288"/>
      <c r="I266" s="290"/>
      <c r="J266" s="291"/>
    </row>
    <row r="267" spans="1:10" x14ac:dyDescent="0.25">
      <c r="A267" s="147"/>
      <c r="B267" s="284"/>
      <c r="C267" s="285"/>
      <c r="D267" s="286"/>
      <c r="E267" s="287"/>
      <c r="F267" s="288"/>
      <c r="G267" s="289"/>
      <c r="H267" s="288"/>
      <c r="I267" s="290"/>
      <c r="J267" s="291"/>
    </row>
    <row r="268" spans="1:10" x14ac:dyDescent="0.25">
      <c r="A268" s="147"/>
      <c r="B268" s="284"/>
      <c r="C268" s="285"/>
      <c r="D268" s="286"/>
      <c r="E268" s="287"/>
      <c r="F268" s="288"/>
      <c r="G268" s="289"/>
      <c r="H268" s="288"/>
      <c r="I268" s="290"/>
      <c r="J268" s="291"/>
    </row>
    <row r="269" spans="1:10" x14ac:dyDescent="0.25">
      <c r="A269" s="147"/>
      <c r="B269" s="284"/>
      <c r="C269" s="285"/>
      <c r="D269" s="286"/>
      <c r="E269" s="287"/>
      <c r="F269" s="288"/>
      <c r="G269" s="289"/>
      <c r="H269" s="288"/>
      <c r="I269" s="290"/>
      <c r="J269" s="291"/>
    </row>
    <row r="270" spans="1:10" x14ac:dyDescent="0.25">
      <c r="A270" s="147"/>
      <c r="B270" s="284"/>
      <c r="C270" s="285"/>
      <c r="D270" s="286"/>
      <c r="E270" s="287"/>
      <c r="F270" s="288"/>
      <c r="G270" s="289"/>
      <c r="H270" s="288"/>
      <c r="I270" s="290"/>
      <c r="J270" s="291"/>
    </row>
    <row r="271" spans="1:10" x14ac:dyDescent="0.25">
      <c r="A271" s="147"/>
      <c r="B271" s="284"/>
      <c r="C271" s="285"/>
      <c r="D271" s="286"/>
      <c r="E271" s="287"/>
      <c r="F271" s="288"/>
      <c r="G271" s="289"/>
      <c r="H271" s="288"/>
      <c r="I271" s="290"/>
      <c r="J271" s="291"/>
    </row>
    <row r="272" spans="1:10" x14ac:dyDescent="0.25">
      <c r="A272" s="147"/>
      <c r="B272" s="284"/>
      <c r="C272" s="285"/>
      <c r="D272" s="286"/>
      <c r="E272" s="287"/>
      <c r="F272" s="288"/>
      <c r="G272" s="289"/>
      <c r="H272" s="288"/>
      <c r="I272" s="290"/>
      <c r="J272" s="291"/>
    </row>
    <row r="273" spans="1:10" x14ac:dyDescent="0.25">
      <c r="A273" s="147"/>
      <c r="B273" s="284"/>
      <c r="C273" s="285"/>
      <c r="D273" s="286"/>
      <c r="E273" s="287"/>
      <c r="F273" s="288"/>
      <c r="G273" s="289"/>
      <c r="H273" s="288"/>
      <c r="I273" s="290"/>
      <c r="J273" s="291"/>
    </row>
    <row r="274" spans="1:10" x14ac:dyDescent="0.25">
      <c r="A274" s="147"/>
      <c r="B274" s="284"/>
      <c r="C274" s="285"/>
      <c r="D274" s="286"/>
      <c r="E274" s="287"/>
      <c r="F274" s="288"/>
      <c r="G274" s="289"/>
      <c r="H274" s="288"/>
      <c r="I274" s="290"/>
      <c r="J274" s="291"/>
    </row>
    <row r="275" spans="1:10" x14ac:dyDescent="0.25">
      <c r="A275" s="147"/>
      <c r="B275" s="284"/>
      <c r="C275" s="285"/>
      <c r="D275" s="286"/>
      <c r="E275" s="287"/>
      <c r="F275" s="288"/>
      <c r="G275" s="289"/>
      <c r="H275" s="288"/>
      <c r="I275" s="290"/>
      <c r="J275" s="291"/>
    </row>
    <row r="276" spans="1:10" x14ac:dyDescent="0.25">
      <c r="A276" s="147"/>
      <c r="B276" s="284"/>
      <c r="C276" s="285"/>
      <c r="D276" s="286"/>
      <c r="E276" s="287"/>
      <c r="F276" s="288"/>
      <c r="G276" s="289"/>
      <c r="H276" s="288"/>
      <c r="I276" s="290"/>
      <c r="J276" s="291"/>
    </row>
    <row r="277" spans="1:10" x14ac:dyDescent="0.25">
      <c r="A277" s="147"/>
      <c r="B277" s="284"/>
      <c r="C277" s="285"/>
      <c r="D277" s="286"/>
      <c r="E277" s="287"/>
      <c r="F277" s="288"/>
      <c r="G277" s="289"/>
      <c r="H277" s="288"/>
      <c r="I277" s="290"/>
      <c r="J277" s="291"/>
    </row>
    <row r="278" spans="1:10" x14ac:dyDescent="0.25">
      <c r="A278" s="147"/>
      <c r="B278" s="284"/>
      <c r="C278" s="285"/>
      <c r="D278" s="286"/>
      <c r="E278" s="287"/>
      <c r="F278" s="288"/>
      <c r="G278" s="289"/>
      <c r="H278" s="288"/>
      <c r="I278" s="290"/>
      <c r="J278" s="291"/>
    </row>
    <row r="279" spans="1:10" x14ac:dyDescent="0.25">
      <c r="A279" s="147"/>
      <c r="B279" s="284"/>
      <c r="C279" s="285"/>
      <c r="D279" s="286"/>
      <c r="E279" s="287"/>
      <c r="F279" s="288"/>
      <c r="G279" s="289"/>
      <c r="H279" s="288"/>
      <c r="I279" s="290"/>
      <c r="J279" s="291"/>
    </row>
    <row r="280" spans="1:10" x14ac:dyDescent="0.25">
      <c r="A280" s="147"/>
      <c r="B280" s="284"/>
      <c r="C280" s="285"/>
      <c r="D280" s="286"/>
      <c r="E280" s="287"/>
      <c r="F280" s="288"/>
      <c r="G280" s="289"/>
      <c r="H280" s="288"/>
      <c r="I280" s="290"/>
      <c r="J280" s="291"/>
    </row>
    <row r="281" spans="1:10" x14ac:dyDescent="0.25">
      <c r="A281" s="147"/>
      <c r="B281" s="284"/>
      <c r="C281" s="285"/>
      <c r="D281" s="286"/>
      <c r="E281" s="287"/>
      <c r="F281" s="288"/>
      <c r="G281" s="289"/>
      <c r="H281" s="288"/>
      <c r="I281" s="290"/>
      <c r="J281" s="291"/>
    </row>
    <row r="282" spans="1:10" x14ac:dyDescent="0.25">
      <c r="A282" s="147"/>
      <c r="B282" s="284"/>
      <c r="C282" s="285"/>
      <c r="D282" s="286"/>
      <c r="E282" s="287"/>
      <c r="F282" s="288"/>
      <c r="G282" s="289"/>
      <c r="H282" s="288"/>
      <c r="I282" s="290"/>
      <c r="J282" s="291"/>
    </row>
    <row r="283" spans="1:10" x14ac:dyDescent="0.25">
      <c r="A283" s="147"/>
      <c r="B283" s="284"/>
      <c r="C283" s="285"/>
      <c r="D283" s="286"/>
      <c r="E283" s="287"/>
      <c r="F283" s="288"/>
      <c r="G283" s="289"/>
      <c r="H283" s="288"/>
      <c r="I283" s="290"/>
      <c r="J283" s="291"/>
    </row>
    <row r="284" spans="1:10" x14ac:dyDescent="0.25">
      <c r="A284" s="147"/>
      <c r="B284" s="284"/>
      <c r="C284" s="285"/>
      <c r="D284" s="286"/>
      <c r="E284" s="287"/>
      <c r="F284" s="288"/>
      <c r="G284" s="289"/>
      <c r="H284" s="288"/>
      <c r="I284" s="290"/>
      <c r="J284" s="291"/>
    </row>
    <row r="285" spans="1:10" x14ac:dyDescent="0.25">
      <c r="A285" s="147"/>
      <c r="B285" s="284"/>
      <c r="C285" s="285"/>
      <c r="D285" s="286"/>
      <c r="E285" s="287"/>
      <c r="F285" s="288"/>
      <c r="G285" s="289"/>
      <c r="H285" s="288"/>
      <c r="I285" s="290"/>
      <c r="J285" s="291"/>
    </row>
    <row r="286" spans="1:10" x14ac:dyDescent="0.25">
      <c r="A286" s="147"/>
      <c r="B286" s="284"/>
      <c r="C286" s="285"/>
      <c r="D286" s="286"/>
      <c r="E286" s="287"/>
      <c r="F286" s="288"/>
      <c r="G286" s="289"/>
      <c r="H286" s="288"/>
      <c r="I286" s="290"/>
      <c r="J286" s="291"/>
    </row>
    <row r="287" spans="1:10" x14ac:dyDescent="0.25">
      <c r="A287" s="147"/>
      <c r="B287" s="284"/>
      <c r="C287" s="285"/>
      <c r="D287" s="286"/>
      <c r="E287" s="287"/>
      <c r="F287" s="288"/>
      <c r="G287" s="289"/>
      <c r="H287" s="288"/>
      <c r="I287" s="290"/>
      <c r="J287" s="291"/>
    </row>
    <row r="288" spans="1:10" x14ac:dyDescent="0.25">
      <c r="A288" s="147"/>
      <c r="B288" s="284"/>
      <c r="C288" s="285"/>
      <c r="D288" s="286"/>
      <c r="E288" s="287"/>
      <c r="F288" s="288"/>
      <c r="G288" s="289"/>
      <c r="H288" s="288"/>
      <c r="I288" s="290"/>
      <c r="J288" s="291"/>
    </row>
    <row r="289" spans="1:10" x14ac:dyDescent="0.25">
      <c r="A289" s="147"/>
      <c r="B289" s="284"/>
      <c r="C289" s="285"/>
      <c r="D289" s="286"/>
      <c r="E289" s="287"/>
      <c r="F289" s="288"/>
      <c r="G289" s="289"/>
      <c r="H289" s="288"/>
      <c r="I289" s="290"/>
      <c r="J289" s="291"/>
    </row>
    <row r="290" spans="1:10" x14ac:dyDescent="0.25">
      <c r="A290" s="147"/>
      <c r="B290" s="284"/>
      <c r="C290" s="285"/>
      <c r="D290" s="286"/>
      <c r="E290" s="287"/>
      <c r="F290" s="288"/>
      <c r="G290" s="289"/>
      <c r="H290" s="288"/>
      <c r="I290" s="290"/>
      <c r="J290" s="291"/>
    </row>
    <row r="291" spans="1:10" x14ac:dyDescent="0.25">
      <c r="A291" s="147"/>
      <c r="B291" s="284"/>
      <c r="C291" s="285"/>
      <c r="D291" s="286"/>
      <c r="E291" s="287"/>
      <c r="F291" s="288"/>
      <c r="G291" s="289"/>
      <c r="H291" s="288"/>
      <c r="I291" s="290"/>
      <c r="J291" s="291"/>
    </row>
    <row r="292" spans="1:10" x14ac:dyDescent="0.25">
      <c r="A292" s="147"/>
      <c r="B292" s="284"/>
      <c r="C292" s="285"/>
      <c r="D292" s="286"/>
      <c r="E292" s="287"/>
      <c r="F292" s="288"/>
      <c r="G292" s="289"/>
      <c r="H292" s="288"/>
      <c r="I292" s="290"/>
      <c r="J292" s="291"/>
    </row>
    <row r="293" spans="1:10" x14ac:dyDescent="0.25">
      <c r="A293" s="147"/>
      <c r="B293" s="284"/>
      <c r="C293" s="285"/>
      <c r="D293" s="286"/>
      <c r="E293" s="287"/>
      <c r="F293" s="288"/>
      <c r="G293" s="289"/>
      <c r="H293" s="288"/>
      <c r="I293" s="290"/>
      <c r="J293" s="291"/>
    </row>
    <row r="294" spans="1:10" x14ac:dyDescent="0.25">
      <c r="A294" s="147"/>
      <c r="B294" s="284"/>
      <c r="C294" s="285"/>
      <c r="D294" s="286"/>
      <c r="E294" s="287"/>
      <c r="F294" s="288"/>
      <c r="G294" s="289"/>
      <c r="H294" s="288"/>
      <c r="I294" s="290"/>
      <c r="J294" s="291"/>
    </row>
    <row r="295" spans="1:10" x14ac:dyDescent="0.25">
      <c r="A295" s="147"/>
      <c r="B295" s="284"/>
      <c r="C295" s="285"/>
      <c r="D295" s="286"/>
      <c r="E295" s="287"/>
      <c r="F295" s="288"/>
      <c r="G295" s="289"/>
      <c r="H295" s="288"/>
      <c r="I295" s="290"/>
      <c r="J295" s="291"/>
    </row>
    <row r="296" spans="1:10" x14ac:dyDescent="0.25">
      <c r="A296" s="147"/>
      <c r="B296" s="284"/>
      <c r="C296" s="285"/>
      <c r="D296" s="286"/>
      <c r="E296" s="287"/>
      <c r="F296" s="288"/>
      <c r="G296" s="289"/>
      <c r="H296" s="288"/>
      <c r="I296" s="290"/>
      <c r="J296" s="291"/>
    </row>
    <row r="297" spans="1:10" x14ac:dyDescent="0.25">
      <c r="A297" s="147"/>
      <c r="B297" s="284"/>
      <c r="C297" s="285"/>
      <c r="D297" s="286"/>
      <c r="E297" s="287"/>
      <c r="F297" s="288"/>
      <c r="G297" s="289"/>
      <c r="H297" s="288"/>
      <c r="I297" s="290"/>
      <c r="J297" s="291"/>
    </row>
    <row r="298" spans="1:10" x14ac:dyDescent="0.25">
      <c r="A298" s="147"/>
      <c r="B298" s="284"/>
      <c r="C298" s="285"/>
      <c r="D298" s="286"/>
      <c r="E298" s="287"/>
      <c r="F298" s="288"/>
      <c r="G298" s="289"/>
      <c r="H298" s="288"/>
      <c r="I298" s="290"/>
      <c r="J298" s="291"/>
    </row>
    <row r="299" spans="1:10" x14ac:dyDescent="0.25">
      <c r="A299" s="147"/>
      <c r="B299" s="284"/>
      <c r="C299" s="285"/>
      <c r="D299" s="286"/>
      <c r="E299" s="287"/>
      <c r="F299" s="288"/>
      <c r="G299" s="289"/>
      <c r="H299" s="288"/>
      <c r="I299" s="290"/>
      <c r="J299" s="291"/>
    </row>
    <row r="300" spans="1:10" x14ac:dyDescent="0.25">
      <c r="A300" s="147"/>
      <c r="B300" s="284"/>
      <c r="C300" s="285"/>
      <c r="D300" s="286"/>
      <c r="E300" s="287"/>
      <c r="F300" s="288"/>
      <c r="G300" s="289"/>
      <c r="H300" s="288"/>
      <c r="I300" s="290"/>
      <c r="J300" s="291"/>
    </row>
    <row r="301" spans="1:10" x14ac:dyDescent="0.25">
      <c r="A301" s="147"/>
      <c r="B301" s="284"/>
      <c r="C301" s="285"/>
      <c r="D301" s="286"/>
      <c r="E301" s="287"/>
      <c r="F301" s="288"/>
      <c r="G301" s="289"/>
      <c r="H301" s="288"/>
      <c r="I301" s="290"/>
      <c r="J301" s="291"/>
    </row>
    <row r="302" spans="1:10" x14ac:dyDescent="0.25">
      <c r="A302" s="147"/>
      <c r="B302" s="284"/>
      <c r="C302" s="285"/>
      <c r="D302" s="286"/>
      <c r="E302" s="287"/>
      <c r="F302" s="288"/>
      <c r="G302" s="289"/>
      <c r="H302" s="288"/>
      <c r="I302" s="290"/>
      <c r="J302" s="291"/>
    </row>
    <row r="303" spans="1:10" x14ac:dyDescent="0.25">
      <c r="A303" s="147"/>
      <c r="B303" s="284"/>
      <c r="C303" s="285"/>
      <c r="D303" s="286"/>
      <c r="E303" s="287"/>
      <c r="F303" s="288"/>
      <c r="G303" s="289"/>
      <c r="H303" s="288"/>
      <c r="I303" s="290"/>
      <c r="J303" s="291"/>
    </row>
    <row r="304" spans="1:10" x14ac:dyDescent="0.25">
      <c r="A304" s="147"/>
      <c r="B304" s="284"/>
      <c r="C304" s="285"/>
      <c r="D304" s="286"/>
      <c r="E304" s="287"/>
      <c r="F304" s="288"/>
      <c r="G304" s="289"/>
      <c r="H304" s="288"/>
      <c r="I304" s="290"/>
      <c r="J304" s="291"/>
    </row>
    <row r="305" spans="1:10" x14ac:dyDescent="0.25">
      <c r="A305" s="147"/>
      <c r="B305" s="284"/>
      <c r="C305" s="285"/>
      <c r="D305" s="286"/>
      <c r="E305" s="287"/>
      <c r="F305" s="288"/>
      <c r="G305" s="289"/>
      <c r="H305" s="288"/>
      <c r="I305" s="290"/>
      <c r="J305" s="291"/>
    </row>
    <row r="306" spans="1:10" x14ac:dyDescent="0.25">
      <c r="A306" s="147"/>
      <c r="B306" s="284"/>
      <c r="C306" s="285"/>
      <c r="D306" s="286"/>
      <c r="E306" s="287"/>
      <c r="F306" s="288"/>
      <c r="G306" s="289"/>
      <c r="H306" s="288"/>
      <c r="I306" s="290"/>
      <c r="J306" s="291"/>
    </row>
    <row r="307" spans="1:10" x14ac:dyDescent="0.25">
      <c r="A307" s="147"/>
      <c r="B307" s="284"/>
      <c r="C307" s="285"/>
      <c r="D307" s="286"/>
      <c r="E307" s="287"/>
      <c r="F307" s="288"/>
      <c r="G307" s="289"/>
      <c r="H307" s="288"/>
      <c r="I307" s="290"/>
      <c r="J307" s="291"/>
    </row>
    <row r="308" spans="1:10" x14ac:dyDescent="0.25">
      <c r="A308" s="147"/>
      <c r="B308" s="284"/>
      <c r="C308" s="285"/>
      <c r="D308" s="286"/>
      <c r="E308" s="287"/>
      <c r="F308" s="288"/>
      <c r="G308" s="289"/>
      <c r="H308" s="288"/>
      <c r="I308" s="290"/>
      <c r="J308" s="291"/>
    </row>
    <row r="309" spans="1:10" x14ac:dyDescent="0.25">
      <c r="A309" s="147"/>
      <c r="B309" s="284"/>
      <c r="C309" s="285"/>
      <c r="D309" s="286"/>
      <c r="E309" s="287"/>
      <c r="F309" s="288"/>
      <c r="G309" s="289"/>
      <c r="H309" s="288"/>
      <c r="I309" s="290"/>
      <c r="J309" s="291"/>
    </row>
    <row r="310" spans="1:10" x14ac:dyDescent="0.25">
      <c r="A310" s="147"/>
      <c r="B310" s="284"/>
      <c r="C310" s="285"/>
      <c r="D310" s="286"/>
      <c r="E310" s="287"/>
      <c r="F310" s="288"/>
      <c r="G310" s="289"/>
      <c r="H310" s="288"/>
      <c r="I310" s="290"/>
      <c r="J310" s="291"/>
    </row>
    <row r="311" spans="1:10" x14ac:dyDescent="0.25">
      <c r="A311" s="147"/>
      <c r="B311" s="284"/>
      <c r="C311" s="285"/>
      <c r="D311" s="286"/>
      <c r="E311" s="287"/>
      <c r="F311" s="288"/>
      <c r="G311" s="289"/>
      <c r="H311" s="288"/>
      <c r="I311" s="290"/>
      <c r="J311" s="291"/>
    </row>
    <row r="312" spans="1:10" x14ac:dyDescent="0.25">
      <c r="A312" s="147"/>
      <c r="B312" s="284"/>
      <c r="C312" s="285"/>
      <c r="D312" s="286"/>
      <c r="E312" s="287"/>
      <c r="F312" s="288"/>
      <c r="G312" s="289"/>
      <c r="H312" s="288"/>
      <c r="I312" s="290"/>
      <c r="J312" s="291"/>
    </row>
    <row r="313" spans="1:10" x14ac:dyDescent="0.25">
      <c r="A313" s="147"/>
      <c r="B313" s="284"/>
      <c r="C313" s="285"/>
      <c r="D313" s="286"/>
      <c r="E313" s="287"/>
      <c r="F313" s="288"/>
      <c r="G313" s="289"/>
      <c r="H313" s="288"/>
      <c r="I313" s="290"/>
      <c r="J313" s="291"/>
    </row>
    <row r="314" spans="1:10" x14ac:dyDescent="0.25">
      <c r="A314" s="147"/>
      <c r="B314" s="284"/>
      <c r="C314" s="285"/>
      <c r="D314" s="286"/>
      <c r="E314" s="287"/>
      <c r="F314" s="288"/>
      <c r="G314" s="289"/>
      <c r="H314" s="288"/>
      <c r="I314" s="290"/>
      <c r="J314" s="291"/>
    </row>
    <row r="315" spans="1:10" x14ac:dyDescent="0.25">
      <c r="A315" s="147"/>
      <c r="B315" s="284"/>
      <c r="C315" s="285"/>
      <c r="D315" s="286"/>
      <c r="E315" s="287"/>
      <c r="F315" s="288"/>
      <c r="G315" s="289"/>
      <c r="H315" s="288"/>
      <c r="I315" s="290"/>
      <c r="J315" s="291"/>
    </row>
    <row r="316" spans="1:10" x14ac:dyDescent="0.25">
      <c r="A316" s="147"/>
      <c r="B316" s="284"/>
      <c r="C316" s="285"/>
      <c r="D316" s="286"/>
      <c r="E316" s="287"/>
      <c r="F316" s="288"/>
      <c r="G316" s="289"/>
      <c r="H316" s="288"/>
      <c r="I316" s="290"/>
      <c r="J316" s="291"/>
    </row>
    <row r="317" spans="1:10" x14ac:dyDescent="0.25">
      <c r="A317" s="147"/>
      <c r="B317" s="284"/>
      <c r="C317" s="285"/>
      <c r="D317" s="286"/>
      <c r="E317" s="287"/>
      <c r="F317" s="288"/>
      <c r="G317" s="289"/>
      <c r="H317" s="288"/>
      <c r="I317" s="290"/>
      <c r="J317" s="291"/>
    </row>
    <row r="318" spans="1:10" x14ac:dyDescent="0.25">
      <c r="A318" s="147"/>
      <c r="B318" s="284"/>
      <c r="C318" s="285"/>
      <c r="D318" s="286"/>
      <c r="E318" s="287"/>
      <c r="F318" s="288"/>
      <c r="G318" s="289"/>
      <c r="H318" s="288"/>
      <c r="I318" s="290"/>
      <c r="J318" s="291"/>
    </row>
    <row r="319" spans="1:10" x14ac:dyDescent="0.25">
      <c r="A319" s="147"/>
      <c r="B319" s="284"/>
      <c r="C319" s="285"/>
      <c r="D319" s="286"/>
      <c r="E319" s="287"/>
      <c r="F319" s="288"/>
      <c r="G319" s="289"/>
      <c r="H319" s="288"/>
      <c r="I319" s="290"/>
      <c r="J319" s="291"/>
    </row>
    <row r="320" spans="1:10" x14ac:dyDescent="0.25">
      <c r="A320" s="147"/>
      <c r="B320" s="284"/>
      <c r="C320" s="285"/>
      <c r="D320" s="286"/>
      <c r="E320" s="287"/>
      <c r="F320" s="288"/>
      <c r="G320" s="289"/>
      <c r="H320" s="288"/>
      <c r="I320" s="290"/>
      <c r="J320" s="291"/>
    </row>
    <row r="321" spans="1:10" x14ac:dyDescent="0.25">
      <c r="A321" s="147"/>
      <c r="B321" s="284"/>
      <c r="C321" s="285"/>
      <c r="D321" s="286"/>
      <c r="E321" s="287"/>
      <c r="F321" s="288"/>
      <c r="G321" s="289"/>
      <c r="H321" s="288"/>
      <c r="I321" s="290"/>
      <c r="J321" s="291"/>
    </row>
    <row r="322" spans="1:10" x14ac:dyDescent="0.25">
      <c r="A322" s="147"/>
      <c r="B322" s="284"/>
      <c r="C322" s="285"/>
      <c r="D322" s="286"/>
      <c r="E322" s="287"/>
      <c r="F322" s="288"/>
      <c r="G322" s="289"/>
      <c r="H322" s="288"/>
      <c r="I322" s="290"/>
      <c r="J322" s="291"/>
    </row>
    <row r="323" spans="1:10" x14ac:dyDescent="0.25">
      <c r="A323" s="147"/>
      <c r="B323" s="284"/>
      <c r="C323" s="285"/>
      <c r="D323" s="286"/>
      <c r="E323" s="287"/>
      <c r="F323" s="288"/>
      <c r="G323" s="289"/>
      <c r="H323" s="288"/>
      <c r="I323" s="290"/>
      <c r="J323" s="291"/>
    </row>
    <row r="324" spans="1:10" x14ac:dyDescent="0.25">
      <c r="A324" s="147"/>
      <c r="B324" s="284"/>
      <c r="C324" s="285"/>
      <c r="D324" s="286"/>
      <c r="E324" s="287"/>
      <c r="F324" s="288"/>
      <c r="G324" s="289"/>
      <c r="H324" s="288"/>
      <c r="I324" s="290"/>
      <c r="J324" s="291"/>
    </row>
    <row r="325" spans="1:10" x14ac:dyDescent="0.25">
      <c r="A325" s="147"/>
      <c r="B325" s="284"/>
      <c r="C325" s="285"/>
      <c r="D325" s="286"/>
      <c r="E325" s="287"/>
      <c r="F325" s="288"/>
      <c r="G325" s="289"/>
      <c r="H325" s="288"/>
      <c r="I325" s="290"/>
      <c r="J325" s="291"/>
    </row>
    <row r="326" spans="1:10" x14ac:dyDescent="0.25">
      <c r="A326" s="147"/>
      <c r="B326" s="284"/>
      <c r="C326" s="285"/>
      <c r="D326" s="286"/>
      <c r="E326" s="287"/>
      <c r="F326" s="288"/>
      <c r="G326" s="289"/>
      <c r="H326" s="288"/>
      <c r="I326" s="290"/>
      <c r="J326" s="291"/>
    </row>
    <row r="327" spans="1:10" x14ac:dyDescent="0.25">
      <c r="A327" s="147"/>
      <c r="B327" s="284"/>
      <c r="C327" s="285"/>
      <c r="D327" s="286"/>
      <c r="E327" s="287"/>
      <c r="F327" s="288"/>
      <c r="G327" s="289"/>
      <c r="H327" s="288"/>
      <c r="I327" s="290"/>
      <c r="J327" s="291"/>
    </row>
    <row r="328" spans="1:10" x14ac:dyDescent="0.25">
      <c r="A328" s="147"/>
      <c r="B328" s="284"/>
      <c r="C328" s="285"/>
      <c r="D328" s="286"/>
      <c r="E328" s="287"/>
      <c r="F328" s="288"/>
      <c r="G328" s="289"/>
      <c r="H328" s="288"/>
      <c r="I328" s="290"/>
      <c r="J328" s="291"/>
    </row>
    <row r="329" spans="1:10" x14ac:dyDescent="0.25">
      <c r="A329" s="147"/>
      <c r="B329" s="284"/>
      <c r="C329" s="285"/>
      <c r="D329" s="286"/>
      <c r="E329" s="287"/>
      <c r="F329" s="288"/>
      <c r="G329" s="289"/>
      <c r="H329" s="288"/>
      <c r="I329" s="290"/>
      <c r="J329" s="291"/>
    </row>
    <row r="330" spans="1:10" x14ac:dyDescent="0.25">
      <c r="A330" s="147"/>
      <c r="B330" s="284"/>
      <c r="C330" s="285"/>
      <c r="D330" s="286"/>
      <c r="E330" s="287"/>
      <c r="F330" s="288"/>
      <c r="G330" s="289"/>
      <c r="H330" s="288"/>
      <c r="I330" s="290"/>
      <c r="J330" s="291"/>
    </row>
    <row r="331" spans="1:10" x14ac:dyDescent="0.25">
      <c r="A331" s="147"/>
      <c r="B331" s="284"/>
      <c r="C331" s="285"/>
      <c r="D331" s="286"/>
      <c r="E331" s="287"/>
      <c r="F331" s="288"/>
      <c r="G331" s="289"/>
      <c r="H331" s="288"/>
      <c r="I331" s="290"/>
      <c r="J331" s="291"/>
    </row>
    <row r="332" spans="1:10" x14ac:dyDescent="0.25">
      <c r="A332" s="147"/>
      <c r="B332" s="284"/>
      <c r="C332" s="285"/>
      <c r="D332" s="286"/>
      <c r="E332" s="287"/>
      <c r="F332" s="288"/>
      <c r="G332" s="289"/>
      <c r="H332" s="288"/>
      <c r="I332" s="290"/>
      <c r="J332" s="291"/>
    </row>
    <row r="333" spans="1:10" x14ac:dyDescent="0.25">
      <c r="A333" s="147"/>
      <c r="B333" s="284"/>
      <c r="C333" s="285"/>
      <c r="D333" s="286"/>
      <c r="E333" s="287"/>
      <c r="F333" s="288"/>
      <c r="G333" s="289"/>
      <c r="H333" s="288"/>
      <c r="I333" s="290"/>
      <c r="J333" s="291"/>
    </row>
    <row r="334" spans="1:10" x14ac:dyDescent="0.25">
      <c r="A334" s="147"/>
      <c r="B334" s="284"/>
      <c r="C334" s="285"/>
      <c r="D334" s="286"/>
      <c r="E334" s="287"/>
      <c r="F334" s="288"/>
      <c r="G334" s="289"/>
      <c r="H334" s="288"/>
      <c r="I334" s="290"/>
      <c r="J334" s="291"/>
    </row>
    <row r="335" spans="1:10" x14ac:dyDescent="0.25">
      <c r="A335" s="147"/>
      <c r="B335" s="284"/>
      <c r="C335" s="285"/>
      <c r="D335" s="286"/>
      <c r="E335" s="287"/>
      <c r="F335" s="288"/>
      <c r="G335" s="289"/>
      <c r="H335" s="288"/>
      <c r="I335" s="290"/>
      <c r="J335" s="291"/>
    </row>
    <row r="336" spans="1:10" x14ac:dyDescent="0.25">
      <c r="A336" s="147"/>
      <c r="B336" s="284"/>
      <c r="C336" s="285"/>
      <c r="D336" s="286"/>
      <c r="E336" s="287"/>
      <c r="F336" s="288"/>
      <c r="G336" s="289"/>
      <c r="H336" s="288"/>
      <c r="I336" s="290"/>
      <c r="J336" s="291"/>
    </row>
    <row r="337" spans="1:10" x14ac:dyDescent="0.25">
      <c r="A337" s="147"/>
      <c r="B337" s="284"/>
      <c r="C337" s="285"/>
      <c r="D337" s="286"/>
      <c r="E337" s="287"/>
      <c r="F337" s="288"/>
      <c r="G337" s="289"/>
      <c r="H337" s="288"/>
      <c r="I337" s="290"/>
      <c r="J337" s="291"/>
    </row>
    <row r="338" spans="1:10" x14ac:dyDescent="0.25">
      <c r="A338" s="147"/>
      <c r="B338" s="284"/>
      <c r="C338" s="285"/>
      <c r="D338" s="286"/>
      <c r="E338" s="287"/>
      <c r="F338" s="288"/>
      <c r="G338" s="289"/>
      <c r="H338" s="288"/>
      <c r="I338" s="290"/>
      <c r="J338" s="291"/>
    </row>
    <row r="339" spans="1:10" x14ac:dyDescent="0.25">
      <c r="A339" s="147"/>
      <c r="B339" s="284"/>
      <c r="C339" s="285"/>
      <c r="D339" s="286"/>
      <c r="E339" s="287"/>
      <c r="F339" s="288"/>
      <c r="G339" s="289"/>
      <c r="H339" s="288"/>
      <c r="I339" s="290"/>
      <c r="J339" s="291"/>
    </row>
    <row r="340" spans="1:10" x14ac:dyDescent="0.25">
      <c r="A340" s="147"/>
      <c r="B340" s="284"/>
      <c r="C340" s="285"/>
      <c r="D340" s="286"/>
      <c r="E340" s="287"/>
      <c r="F340" s="288"/>
      <c r="G340" s="289"/>
      <c r="H340" s="288"/>
      <c r="I340" s="290"/>
      <c r="J340" s="291"/>
    </row>
    <row r="341" spans="1:10" x14ac:dyDescent="0.25">
      <c r="A341" s="147"/>
      <c r="B341" s="284"/>
      <c r="C341" s="285"/>
      <c r="D341" s="286"/>
      <c r="E341" s="287"/>
      <c r="F341" s="288"/>
      <c r="G341" s="289"/>
      <c r="H341" s="288"/>
      <c r="I341" s="290"/>
      <c r="J341" s="291"/>
    </row>
    <row r="342" spans="1:10" x14ac:dyDescent="0.25">
      <c r="A342" s="147"/>
      <c r="B342" s="284"/>
      <c r="C342" s="285"/>
      <c r="D342" s="286"/>
      <c r="E342" s="287"/>
      <c r="F342" s="288"/>
      <c r="G342" s="289"/>
      <c r="H342" s="288"/>
      <c r="I342" s="290"/>
      <c r="J342" s="291"/>
    </row>
    <row r="343" spans="1:10" x14ac:dyDescent="0.25">
      <c r="A343" s="147"/>
      <c r="B343" s="284"/>
      <c r="C343" s="285"/>
      <c r="D343" s="286"/>
      <c r="E343" s="287"/>
      <c r="F343" s="288"/>
      <c r="G343" s="289"/>
      <c r="H343" s="288"/>
      <c r="I343" s="290"/>
      <c r="J343" s="291"/>
    </row>
    <row r="344" spans="1:10" x14ac:dyDescent="0.25">
      <c r="A344" s="147"/>
      <c r="B344" s="284"/>
      <c r="C344" s="285"/>
      <c r="D344" s="286"/>
      <c r="E344" s="287"/>
      <c r="F344" s="288"/>
      <c r="G344" s="289"/>
      <c r="H344" s="288"/>
      <c r="I344" s="290"/>
      <c r="J344" s="291"/>
    </row>
    <row r="345" spans="1:10" x14ac:dyDescent="0.25">
      <c r="A345" s="147"/>
      <c r="B345" s="284"/>
      <c r="C345" s="285"/>
      <c r="D345" s="286"/>
      <c r="E345" s="287"/>
      <c r="F345" s="288"/>
      <c r="G345" s="289"/>
      <c r="H345" s="288"/>
      <c r="I345" s="290"/>
      <c r="J345" s="291"/>
    </row>
    <row r="346" spans="1:10" x14ac:dyDescent="0.25">
      <c r="A346" s="147"/>
      <c r="B346" s="284"/>
      <c r="C346" s="285"/>
      <c r="D346" s="286"/>
      <c r="E346" s="287"/>
      <c r="F346" s="288"/>
      <c r="G346" s="289"/>
      <c r="H346" s="288"/>
      <c r="I346" s="290"/>
      <c r="J346" s="291"/>
    </row>
    <row r="347" spans="1:10" x14ac:dyDescent="0.25">
      <c r="A347" s="147"/>
      <c r="B347" s="284"/>
      <c r="C347" s="285"/>
      <c r="D347" s="286"/>
      <c r="E347" s="287"/>
      <c r="F347" s="288"/>
      <c r="G347" s="289"/>
      <c r="H347" s="288"/>
      <c r="I347" s="290"/>
      <c r="J347" s="291"/>
    </row>
    <row r="348" spans="1:10" x14ac:dyDescent="0.25">
      <c r="A348" s="147"/>
      <c r="B348" s="284"/>
      <c r="C348" s="285"/>
      <c r="D348" s="286"/>
      <c r="E348" s="287"/>
      <c r="F348" s="288"/>
      <c r="G348" s="289"/>
      <c r="H348" s="288"/>
      <c r="I348" s="290"/>
      <c r="J348" s="291"/>
    </row>
    <row r="349" spans="1:10" x14ac:dyDescent="0.25">
      <c r="A349" s="147"/>
      <c r="B349" s="284"/>
      <c r="C349" s="285"/>
      <c r="D349" s="286"/>
      <c r="E349" s="287"/>
      <c r="F349" s="288"/>
      <c r="G349" s="289"/>
      <c r="H349" s="288"/>
      <c r="I349" s="290"/>
      <c r="J349" s="291"/>
    </row>
    <row r="350" spans="1:10" x14ac:dyDescent="0.25">
      <c r="A350" s="147"/>
      <c r="B350" s="284"/>
      <c r="C350" s="285"/>
      <c r="D350" s="286"/>
      <c r="E350" s="287"/>
      <c r="F350" s="288"/>
      <c r="G350" s="289"/>
      <c r="H350" s="288"/>
      <c r="I350" s="290"/>
      <c r="J350" s="291"/>
    </row>
    <row r="351" spans="1:10" x14ac:dyDescent="0.25">
      <c r="A351" s="147"/>
      <c r="B351" s="284"/>
      <c r="C351" s="285"/>
      <c r="D351" s="286"/>
      <c r="E351" s="287"/>
      <c r="F351" s="288"/>
      <c r="G351" s="289"/>
      <c r="H351" s="288"/>
      <c r="I351" s="290"/>
      <c r="J351" s="291"/>
    </row>
    <row r="352" spans="1:10" x14ac:dyDescent="0.25">
      <c r="A352" s="147"/>
      <c r="B352" s="284"/>
      <c r="C352" s="285"/>
      <c r="D352" s="286"/>
      <c r="E352" s="287"/>
      <c r="F352" s="288"/>
      <c r="G352" s="289"/>
      <c r="H352" s="288"/>
      <c r="I352" s="290"/>
      <c r="J352" s="291"/>
    </row>
    <row r="353" spans="1:10" x14ac:dyDescent="0.25">
      <c r="A353" s="147"/>
      <c r="B353" s="284"/>
      <c r="C353" s="285"/>
      <c r="D353" s="286"/>
      <c r="E353" s="287"/>
      <c r="F353" s="288"/>
      <c r="G353" s="289"/>
      <c r="H353" s="288"/>
      <c r="I353" s="290"/>
      <c r="J353" s="291"/>
    </row>
    <row r="354" spans="1:10" x14ac:dyDescent="0.25">
      <c r="A354" s="147"/>
      <c r="B354" s="284"/>
      <c r="C354" s="285"/>
      <c r="D354" s="286"/>
      <c r="E354" s="287"/>
      <c r="F354" s="288"/>
      <c r="G354" s="289"/>
      <c r="H354" s="288"/>
      <c r="I354" s="290"/>
      <c r="J354" s="291"/>
    </row>
    <row r="355" spans="1:10" x14ac:dyDescent="0.25">
      <c r="A355" s="147"/>
      <c r="B355" s="284"/>
      <c r="C355" s="285"/>
      <c r="D355" s="286"/>
      <c r="E355" s="287"/>
      <c r="F355" s="288"/>
      <c r="G355" s="289"/>
      <c r="H355" s="288"/>
      <c r="I355" s="290"/>
      <c r="J355" s="291"/>
    </row>
    <row r="356" spans="1:10" x14ac:dyDescent="0.25">
      <c r="A356" s="147"/>
      <c r="B356" s="284"/>
      <c r="C356" s="285"/>
      <c r="D356" s="286"/>
      <c r="E356" s="287"/>
      <c r="F356" s="288"/>
      <c r="G356" s="289"/>
      <c r="H356" s="288"/>
      <c r="I356" s="290"/>
      <c r="J356" s="291"/>
    </row>
    <row r="357" spans="1:10" x14ac:dyDescent="0.25">
      <c r="A357" s="147"/>
      <c r="B357" s="284"/>
      <c r="C357" s="285"/>
      <c r="D357" s="286"/>
      <c r="E357" s="287"/>
      <c r="F357" s="288"/>
      <c r="G357" s="289"/>
      <c r="H357" s="288"/>
      <c r="I357" s="290"/>
      <c r="J357" s="291"/>
    </row>
    <row r="358" spans="1:10" x14ac:dyDescent="0.25">
      <c r="A358" s="147"/>
      <c r="B358" s="284"/>
      <c r="C358" s="285"/>
      <c r="D358" s="286"/>
      <c r="E358" s="287"/>
      <c r="F358" s="288"/>
      <c r="G358" s="289"/>
      <c r="H358" s="288"/>
      <c r="I358" s="290"/>
      <c r="J358" s="291"/>
    </row>
    <row r="359" spans="1:10" x14ac:dyDescent="0.25">
      <c r="A359" s="147"/>
      <c r="B359" s="284"/>
      <c r="C359" s="285"/>
      <c r="D359" s="286"/>
      <c r="E359" s="287"/>
      <c r="F359" s="288"/>
      <c r="G359" s="289"/>
      <c r="H359" s="288"/>
      <c r="I359" s="290"/>
      <c r="J359" s="291"/>
    </row>
    <row r="360" spans="1:10" x14ac:dyDescent="0.25">
      <c r="A360" s="147"/>
      <c r="B360" s="284"/>
      <c r="C360" s="285"/>
      <c r="D360" s="286"/>
      <c r="E360" s="287"/>
      <c r="F360" s="288"/>
      <c r="G360" s="289"/>
      <c r="H360" s="288"/>
      <c r="I360" s="290"/>
      <c r="J360" s="291"/>
    </row>
    <row r="361" spans="1:10" x14ac:dyDescent="0.25">
      <c r="A361" s="147"/>
      <c r="B361" s="284"/>
      <c r="C361" s="285"/>
      <c r="D361" s="286"/>
      <c r="E361" s="287"/>
      <c r="F361" s="288"/>
      <c r="G361" s="289"/>
      <c r="H361" s="288"/>
      <c r="I361" s="290"/>
      <c r="J361" s="291"/>
    </row>
    <row r="362" spans="1:10" x14ac:dyDescent="0.25">
      <c r="A362" s="147"/>
      <c r="B362" s="284"/>
      <c r="C362" s="285"/>
      <c r="D362" s="286"/>
      <c r="E362" s="287"/>
      <c r="F362" s="288"/>
      <c r="G362" s="289"/>
      <c r="H362" s="288"/>
      <c r="I362" s="290"/>
      <c r="J362" s="291"/>
    </row>
    <row r="363" spans="1:10" x14ac:dyDescent="0.25">
      <c r="A363" s="147"/>
      <c r="B363" s="284"/>
      <c r="C363" s="285"/>
      <c r="D363" s="286"/>
      <c r="E363" s="287"/>
      <c r="F363" s="288"/>
      <c r="G363" s="289"/>
      <c r="H363" s="288"/>
      <c r="I363" s="290"/>
      <c r="J363" s="291"/>
    </row>
    <row r="364" spans="1:10" x14ac:dyDescent="0.25">
      <c r="A364" s="147"/>
      <c r="B364" s="284"/>
      <c r="C364" s="285"/>
      <c r="D364" s="286"/>
      <c r="E364" s="287"/>
      <c r="F364" s="288"/>
      <c r="G364" s="289"/>
      <c r="H364" s="288"/>
      <c r="I364" s="290"/>
      <c r="J364" s="291"/>
    </row>
    <row r="365" spans="1:10" x14ac:dyDescent="0.25">
      <c r="A365" s="147"/>
      <c r="B365" s="284"/>
      <c r="C365" s="285"/>
      <c r="D365" s="286"/>
      <c r="E365" s="287"/>
      <c r="F365" s="288"/>
      <c r="G365" s="289"/>
      <c r="H365" s="288"/>
      <c r="I365" s="290"/>
      <c r="J365" s="291"/>
    </row>
    <row r="366" spans="1:10" x14ac:dyDescent="0.25">
      <c r="A366" s="147"/>
      <c r="B366" s="284"/>
      <c r="C366" s="285"/>
      <c r="D366" s="286"/>
      <c r="E366" s="287"/>
      <c r="F366" s="288"/>
      <c r="G366" s="289"/>
      <c r="H366" s="288"/>
      <c r="I366" s="290"/>
      <c r="J366" s="291"/>
    </row>
    <row r="367" spans="1:10" x14ac:dyDescent="0.25">
      <c r="A367" s="147"/>
      <c r="B367" s="284"/>
      <c r="C367" s="285"/>
      <c r="D367" s="286"/>
      <c r="E367" s="287"/>
      <c r="F367" s="288"/>
      <c r="G367" s="289"/>
      <c r="H367" s="288"/>
      <c r="I367" s="290"/>
      <c r="J367" s="291"/>
    </row>
    <row r="368" spans="1:10" x14ac:dyDescent="0.25">
      <c r="A368" s="147"/>
      <c r="B368" s="284"/>
      <c r="C368" s="285"/>
      <c r="D368" s="286"/>
      <c r="E368" s="287"/>
      <c r="F368" s="288"/>
      <c r="G368" s="289"/>
      <c r="H368" s="288"/>
      <c r="I368" s="290"/>
      <c r="J368" s="291"/>
    </row>
    <row r="369" spans="1:10" x14ac:dyDescent="0.25">
      <c r="A369" s="147"/>
      <c r="B369" s="284"/>
      <c r="C369" s="285"/>
      <c r="D369" s="286"/>
      <c r="E369" s="287"/>
      <c r="F369" s="288"/>
      <c r="G369" s="289"/>
      <c r="H369" s="288"/>
      <c r="I369" s="290"/>
      <c r="J369" s="291"/>
    </row>
    <row r="370" spans="1:10" x14ac:dyDescent="0.25">
      <c r="A370" s="147"/>
      <c r="B370" s="284"/>
      <c r="C370" s="285"/>
      <c r="D370" s="286"/>
      <c r="E370" s="287"/>
      <c r="F370" s="288"/>
      <c r="G370" s="289"/>
      <c r="H370" s="288"/>
      <c r="I370" s="290"/>
      <c r="J370" s="291"/>
    </row>
    <row r="371" spans="1:10" x14ac:dyDescent="0.25">
      <c r="A371" s="147"/>
      <c r="B371" s="284"/>
      <c r="C371" s="285"/>
      <c r="D371" s="286"/>
      <c r="E371" s="287"/>
      <c r="F371" s="288"/>
      <c r="G371" s="289"/>
      <c r="H371" s="288"/>
      <c r="I371" s="290"/>
      <c r="J371" s="291"/>
    </row>
    <row r="372" spans="1:10" x14ac:dyDescent="0.25">
      <c r="A372" s="147"/>
      <c r="B372" s="284"/>
      <c r="C372" s="285"/>
      <c r="D372" s="286"/>
      <c r="E372" s="287"/>
      <c r="F372" s="288"/>
      <c r="G372" s="289"/>
      <c r="H372" s="288"/>
      <c r="I372" s="290"/>
      <c r="J372" s="291"/>
    </row>
    <row r="373" spans="1:10" x14ac:dyDescent="0.25">
      <c r="A373" s="147"/>
      <c r="B373" s="284"/>
      <c r="C373" s="285"/>
      <c r="D373" s="286"/>
      <c r="E373" s="287"/>
      <c r="F373" s="288"/>
      <c r="G373" s="289"/>
      <c r="H373" s="288"/>
      <c r="I373" s="290"/>
      <c r="J373" s="291"/>
    </row>
    <row r="374" spans="1:10" x14ac:dyDescent="0.25">
      <c r="A374" s="147"/>
      <c r="B374" s="284"/>
      <c r="C374" s="285"/>
      <c r="D374" s="286"/>
      <c r="E374" s="287"/>
      <c r="F374" s="288"/>
      <c r="G374" s="289"/>
      <c r="H374" s="288"/>
      <c r="I374" s="290"/>
      <c r="J374" s="291"/>
    </row>
    <row r="375" spans="1:10" x14ac:dyDescent="0.25">
      <c r="A375" s="147"/>
      <c r="B375" s="284"/>
      <c r="C375" s="285"/>
      <c r="D375" s="286"/>
      <c r="E375" s="287"/>
      <c r="F375" s="288"/>
      <c r="G375" s="289"/>
      <c r="H375" s="288"/>
      <c r="I375" s="290"/>
      <c r="J375" s="291"/>
    </row>
    <row r="376" spans="1:10" x14ac:dyDescent="0.25">
      <c r="A376" s="147"/>
      <c r="B376" s="284"/>
      <c r="C376" s="285"/>
      <c r="D376" s="286"/>
      <c r="E376" s="287"/>
      <c r="F376" s="288"/>
      <c r="G376" s="289"/>
      <c r="H376" s="288"/>
      <c r="I376" s="290"/>
      <c r="J376" s="291"/>
    </row>
    <row r="377" spans="1:10" x14ac:dyDescent="0.25">
      <c r="A377" s="147"/>
      <c r="B377" s="284"/>
      <c r="C377" s="285"/>
      <c r="D377" s="286"/>
      <c r="E377" s="287"/>
      <c r="F377" s="288"/>
      <c r="G377" s="289"/>
      <c r="H377" s="288"/>
      <c r="I377" s="290"/>
      <c r="J377" s="291"/>
    </row>
    <row r="378" spans="1:10" x14ac:dyDescent="0.25">
      <c r="A378" s="147"/>
      <c r="B378" s="284"/>
      <c r="C378" s="285"/>
      <c r="D378" s="286"/>
      <c r="E378" s="287"/>
      <c r="F378" s="288"/>
      <c r="G378" s="289"/>
      <c r="H378" s="288"/>
      <c r="I378" s="290"/>
      <c r="J378" s="291"/>
    </row>
    <row r="379" spans="1:10" x14ac:dyDescent="0.25">
      <c r="A379" s="147"/>
      <c r="B379" s="284"/>
      <c r="C379" s="285"/>
      <c r="D379" s="286"/>
      <c r="E379" s="287"/>
      <c r="F379" s="288"/>
      <c r="G379" s="289"/>
      <c r="H379" s="288"/>
      <c r="I379" s="290"/>
      <c r="J379" s="291"/>
    </row>
    <row r="380" spans="1:10" x14ac:dyDescent="0.25">
      <c r="A380" s="147"/>
      <c r="B380" s="284"/>
      <c r="C380" s="285"/>
      <c r="D380" s="286"/>
      <c r="E380" s="287"/>
      <c r="F380" s="288"/>
      <c r="G380" s="289"/>
      <c r="H380" s="288"/>
      <c r="I380" s="290"/>
      <c r="J380" s="291"/>
    </row>
    <row r="381" spans="1:10" x14ac:dyDescent="0.25">
      <c r="A381" s="147"/>
      <c r="B381" s="284"/>
      <c r="C381" s="285"/>
      <c r="D381" s="286"/>
      <c r="E381" s="287"/>
      <c r="F381" s="288"/>
      <c r="G381" s="289"/>
      <c r="H381" s="288"/>
      <c r="I381" s="290"/>
      <c r="J381" s="291"/>
    </row>
    <row r="382" spans="1:10" x14ac:dyDescent="0.25">
      <c r="A382" s="147"/>
      <c r="B382" s="284"/>
      <c r="C382" s="285"/>
      <c r="D382" s="286"/>
      <c r="E382" s="287"/>
      <c r="F382" s="288"/>
      <c r="G382" s="289"/>
      <c r="H382" s="288"/>
      <c r="I382" s="290"/>
      <c r="J382" s="291"/>
    </row>
    <row r="383" spans="1:10" x14ac:dyDescent="0.25">
      <c r="A383" s="147"/>
      <c r="B383" s="284"/>
      <c r="C383" s="285"/>
      <c r="D383" s="286"/>
      <c r="E383" s="287"/>
      <c r="F383" s="288"/>
      <c r="G383" s="289"/>
      <c r="H383" s="288"/>
      <c r="I383" s="290"/>
      <c r="J383" s="291"/>
    </row>
    <row r="384" spans="1:10" x14ac:dyDescent="0.25">
      <c r="A384" s="147"/>
      <c r="B384" s="284"/>
      <c r="C384" s="285"/>
      <c r="D384" s="286"/>
      <c r="E384" s="287"/>
      <c r="F384" s="288"/>
      <c r="G384" s="289"/>
      <c r="H384" s="288"/>
      <c r="I384" s="290"/>
      <c r="J384" s="291"/>
    </row>
    <row r="385" spans="1:10" x14ac:dyDescent="0.25">
      <c r="A385" s="147"/>
      <c r="B385" s="284"/>
      <c r="C385" s="285"/>
      <c r="D385" s="286"/>
      <c r="E385" s="287"/>
      <c r="F385" s="288"/>
      <c r="G385" s="289"/>
      <c r="H385" s="288"/>
      <c r="I385" s="290"/>
      <c r="J385" s="291"/>
    </row>
    <row r="386" spans="1:10" x14ac:dyDescent="0.25">
      <c r="A386" s="147"/>
      <c r="B386" s="284"/>
      <c r="C386" s="285"/>
      <c r="D386" s="286"/>
      <c r="E386" s="287"/>
      <c r="F386" s="288"/>
      <c r="G386" s="289"/>
      <c r="H386" s="288"/>
      <c r="I386" s="290"/>
      <c r="J386" s="291"/>
    </row>
    <row r="387" spans="1:10" x14ac:dyDescent="0.25">
      <c r="A387" s="147"/>
      <c r="B387" s="284"/>
      <c r="C387" s="285"/>
      <c r="D387" s="286"/>
      <c r="E387" s="287"/>
      <c r="F387" s="288"/>
      <c r="G387" s="289"/>
      <c r="H387" s="288"/>
      <c r="I387" s="290"/>
      <c r="J387" s="291"/>
    </row>
    <row r="388" spans="1:10" x14ac:dyDescent="0.25">
      <c r="A388" s="147"/>
      <c r="B388" s="284"/>
      <c r="C388" s="285"/>
      <c r="D388" s="286"/>
      <c r="E388" s="287"/>
      <c r="F388" s="288"/>
      <c r="G388" s="289"/>
      <c r="H388" s="288"/>
      <c r="I388" s="290"/>
      <c r="J388" s="291"/>
    </row>
    <row r="389" spans="1:10" x14ac:dyDescent="0.25">
      <c r="A389" s="147"/>
      <c r="B389" s="284"/>
      <c r="C389" s="285"/>
      <c r="D389" s="286"/>
      <c r="E389" s="287"/>
      <c r="F389" s="288"/>
      <c r="G389" s="289"/>
      <c r="H389" s="288"/>
      <c r="I389" s="290"/>
      <c r="J389" s="291"/>
    </row>
    <row r="390" spans="1:10" x14ac:dyDescent="0.25">
      <c r="A390" s="147"/>
      <c r="B390" s="284"/>
      <c r="C390" s="285"/>
      <c r="D390" s="286"/>
      <c r="E390" s="287"/>
      <c r="F390" s="288"/>
      <c r="G390" s="289"/>
      <c r="H390" s="288"/>
      <c r="I390" s="290"/>
      <c r="J390" s="291"/>
    </row>
    <row r="391" spans="1:10" x14ac:dyDescent="0.25">
      <c r="A391" s="147"/>
      <c r="B391" s="284"/>
      <c r="C391" s="285"/>
      <c r="D391" s="286"/>
      <c r="E391" s="287"/>
      <c r="F391" s="288"/>
      <c r="G391" s="289"/>
      <c r="H391" s="288"/>
      <c r="I391" s="290"/>
      <c r="J391" s="291"/>
    </row>
    <row r="392" spans="1:10" x14ac:dyDescent="0.25">
      <c r="A392" s="147"/>
      <c r="B392" s="284"/>
      <c r="C392" s="285"/>
      <c r="D392" s="286"/>
      <c r="E392" s="287"/>
      <c r="F392" s="288"/>
      <c r="G392" s="289"/>
      <c r="H392" s="288"/>
      <c r="I392" s="290"/>
      <c r="J392" s="291"/>
    </row>
    <row r="393" spans="1:10" x14ac:dyDescent="0.25">
      <c r="A393" s="147"/>
      <c r="B393" s="284"/>
      <c r="C393" s="285"/>
      <c r="D393" s="286"/>
      <c r="E393" s="287"/>
      <c r="F393" s="288"/>
      <c r="G393" s="289"/>
      <c r="H393" s="288"/>
      <c r="I393" s="290"/>
      <c r="J393" s="291"/>
    </row>
    <row r="394" spans="1:10" x14ac:dyDescent="0.25">
      <c r="A394" s="147"/>
      <c r="B394" s="284"/>
      <c r="C394" s="285"/>
      <c r="D394" s="286"/>
      <c r="E394" s="287"/>
      <c r="F394" s="288"/>
      <c r="G394" s="289"/>
      <c r="H394" s="288"/>
      <c r="I394" s="290"/>
      <c r="J394" s="291"/>
    </row>
    <row r="395" spans="1:10" x14ac:dyDescent="0.25">
      <c r="A395" s="147"/>
      <c r="B395" s="284"/>
      <c r="C395" s="285"/>
      <c r="D395" s="286"/>
      <c r="E395" s="287"/>
      <c r="F395" s="288"/>
      <c r="G395" s="289"/>
      <c r="H395" s="288"/>
      <c r="I395" s="290"/>
      <c r="J395" s="291"/>
    </row>
    <row r="396" spans="1:10" x14ac:dyDescent="0.25">
      <c r="A396" s="147"/>
      <c r="B396" s="284"/>
      <c r="C396" s="285"/>
      <c r="D396" s="286"/>
      <c r="E396" s="287"/>
      <c r="F396" s="288"/>
      <c r="G396" s="289"/>
      <c r="H396" s="288"/>
      <c r="I396" s="290"/>
      <c r="J396" s="291"/>
    </row>
    <row r="397" spans="1:10" x14ac:dyDescent="0.25">
      <c r="A397" s="147"/>
      <c r="B397" s="284"/>
      <c r="C397" s="285"/>
      <c r="D397" s="286"/>
      <c r="E397" s="287"/>
      <c r="F397" s="288"/>
      <c r="G397" s="289"/>
      <c r="H397" s="288"/>
      <c r="I397" s="290"/>
      <c r="J397" s="291"/>
    </row>
    <row r="398" spans="1:10" x14ac:dyDescent="0.25">
      <c r="A398" s="147"/>
      <c r="B398" s="284"/>
      <c r="C398" s="285"/>
      <c r="D398" s="286"/>
      <c r="E398" s="287"/>
      <c r="F398" s="288"/>
      <c r="G398" s="289"/>
      <c r="H398" s="288"/>
      <c r="I398" s="290"/>
      <c r="J398" s="291"/>
    </row>
    <row r="399" spans="1:10" x14ac:dyDescent="0.25">
      <c r="A399" s="147"/>
      <c r="B399" s="284"/>
      <c r="C399" s="285"/>
      <c r="D399" s="286"/>
      <c r="E399" s="287"/>
      <c r="F399" s="288"/>
      <c r="G399" s="289"/>
      <c r="H399" s="288"/>
      <c r="I399" s="290"/>
      <c r="J399" s="291"/>
    </row>
    <row r="400" spans="1:10" x14ac:dyDescent="0.25">
      <c r="A400" s="147"/>
      <c r="B400" s="284"/>
      <c r="C400" s="285"/>
      <c r="D400" s="286"/>
      <c r="E400" s="287"/>
      <c r="F400" s="288"/>
      <c r="G400" s="289"/>
      <c r="H400" s="288"/>
      <c r="I400" s="290"/>
      <c r="J400" s="291"/>
    </row>
    <row r="401" spans="1:10" x14ac:dyDescent="0.25">
      <c r="A401" s="147"/>
      <c r="B401" s="284"/>
      <c r="C401" s="285"/>
      <c r="D401" s="286"/>
      <c r="E401" s="287"/>
      <c r="F401" s="288"/>
      <c r="G401" s="289"/>
      <c r="H401" s="288"/>
      <c r="I401" s="290"/>
      <c r="J401" s="291"/>
    </row>
    <row r="402" spans="1:10" x14ac:dyDescent="0.25">
      <c r="A402" s="147"/>
      <c r="B402" s="284"/>
      <c r="C402" s="285"/>
      <c r="D402" s="286"/>
      <c r="E402" s="287"/>
      <c r="F402" s="288"/>
      <c r="G402" s="289"/>
      <c r="H402" s="288"/>
      <c r="I402" s="290"/>
      <c r="J402" s="291"/>
    </row>
    <row r="403" spans="1:10" x14ac:dyDescent="0.25">
      <c r="A403" s="147"/>
      <c r="B403" s="284"/>
      <c r="C403" s="285"/>
      <c r="D403" s="286"/>
      <c r="E403" s="287"/>
      <c r="F403" s="288"/>
      <c r="G403" s="289"/>
      <c r="H403" s="288"/>
      <c r="I403" s="290"/>
      <c r="J403" s="291"/>
    </row>
    <row r="404" spans="1:10" x14ac:dyDescent="0.25">
      <c r="A404" s="147"/>
      <c r="B404" s="284"/>
      <c r="C404" s="285"/>
      <c r="D404" s="286"/>
      <c r="E404" s="287"/>
      <c r="F404" s="288"/>
      <c r="G404" s="289"/>
      <c r="H404" s="288"/>
      <c r="I404" s="290"/>
      <c r="J404" s="291"/>
    </row>
    <row r="405" spans="1:10" x14ac:dyDescent="0.25">
      <c r="A405" s="147"/>
      <c r="B405" s="284"/>
      <c r="C405" s="285"/>
      <c r="D405" s="286"/>
      <c r="E405" s="287"/>
      <c r="F405" s="288"/>
      <c r="G405" s="289"/>
      <c r="H405" s="288"/>
      <c r="I405" s="290"/>
      <c r="J405" s="291"/>
    </row>
    <row r="406" spans="1:10" x14ac:dyDescent="0.25">
      <c r="A406" s="147"/>
      <c r="B406" s="284"/>
      <c r="C406" s="285"/>
      <c r="D406" s="286"/>
      <c r="E406" s="287"/>
      <c r="F406" s="288"/>
      <c r="G406" s="289"/>
      <c r="H406" s="288"/>
      <c r="I406" s="290"/>
      <c r="J406" s="291"/>
    </row>
    <row r="407" spans="1:10" x14ac:dyDescent="0.25">
      <c r="A407" s="147"/>
      <c r="B407" s="284"/>
      <c r="C407" s="285"/>
      <c r="D407" s="286"/>
      <c r="E407" s="287"/>
      <c r="F407" s="288"/>
      <c r="G407" s="289"/>
      <c r="H407" s="288"/>
      <c r="I407" s="290"/>
      <c r="J407" s="291"/>
    </row>
    <row r="408" spans="1:10" x14ac:dyDescent="0.25">
      <c r="A408" s="147"/>
      <c r="B408" s="284"/>
      <c r="C408" s="285"/>
      <c r="D408" s="286"/>
      <c r="E408" s="287"/>
      <c r="F408" s="288"/>
      <c r="G408" s="289"/>
      <c r="H408" s="288"/>
      <c r="I408" s="290"/>
      <c r="J408" s="291"/>
    </row>
    <row r="409" spans="1:10" x14ac:dyDescent="0.25">
      <c r="A409" s="147"/>
      <c r="B409" s="284"/>
      <c r="C409" s="285"/>
      <c r="D409" s="286"/>
      <c r="E409" s="287"/>
      <c r="F409" s="288"/>
      <c r="G409" s="289"/>
      <c r="H409" s="288"/>
      <c r="I409" s="290"/>
      <c r="J409" s="291"/>
    </row>
    <row r="410" spans="1:10" x14ac:dyDescent="0.25">
      <c r="A410" s="147"/>
      <c r="B410" s="284"/>
      <c r="C410" s="285"/>
      <c r="D410" s="286"/>
      <c r="E410" s="287"/>
      <c r="F410" s="288"/>
      <c r="G410" s="289"/>
      <c r="H410" s="288"/>
      <c r="I410" s="290"/>
      <c r="J410" s="291"/>
    </row>
    <row r="411" spans="1:10" x14ac:dyDescent="0.25">
      <c r="A411" s="147"/>
      <c r="B411" s="284"/>
      <c r="C411" s="285"/>
      <c r="D411" s="286"/>
      <c r="E411" s="287"/>
      <c r="F411" s="288"/>
      <c r="G411" s="289"/>
      <c r="H411" s="288"/>
      <c r="I411" s="290"/>
      <c r="J411" s="291"/>
    </row>
    <row r="412" spans="1:10" x14ac:dyDescent="0.25">
      <c r="A412" s="147"/>
      <c r="B412" s="284"/>
      <c r="C412" s="285"/>
      <c r="D412" s="286"/>
      <c r="E412" s="287"/>
      <c r="F412" s="288"/>
      <c r="G412" s="289"/>
      <c r="H412" s="288"/>
      <c r="I412" s="290"/>
      <c r="J412" s="291"/>
    </row>
    <row r="413" spans="1:10" x14ac:dyDescent="0.25">
      <c r="A413" s="147"/>
      <c r="B413" s="284"/>
      <c r="C413" s="285"/>
      <c r="D413" s="286"/>
      <c r="E413" s="287"/>
      <c r="F413" s="288"/>
      <c r="G413" s="289"/>
      <c r="H413" s="288"/>
      <c r="I413" s="290"/>
      <c r="J413" s="291"/>
    </row>
    <row r="414" spans="1:10" x14ac:dyDescent="0.25">
      <c r="A414" s="147"/>
      <c r="B414" s="284"/>
      <c r="C414" s="285"/>
      <c r="D414" s="286"/>
      <c r="E414" s="287"/>
      <c r="F414" s="288"/>
      <c r="G414" s="289"/>
      <c r="H414" s="288"/>
      <c r="I414" s="290"/>
      <c r="J414" s="291"/>
    </row>
    <row r="415" spans="1:10" x14ac:dyDescent="0.25">
      <c r="A415" s="147"/>
      <c r="B415" s="284"/>
      <c r="C415" s="285"/>
      <c r="D415" s="286"/>
      <c r="E415" s="287"/>
      <c r="F415" s="288"/>
      <c r="G415" s="289"/>
      <c r="H415" s="288"/>
      <c r="I415" s="290"/>
      <c r="J415" s="291"/>
    </row>
    <row r="416" spans="1:10" x14ac:dyDescent="0.25">
      <c r="A416" s="147"/>
      <c r="B416" s="284"/>
      <c r="C416" s="285"/>
      <c r="D416" s="286"/>
      <c r="E416" s="287"/>
      <c r="F416" s="288"/>
      <c r="G416" s="289"/>
      <c r="H416" s="288"/>
      <c r="I416" s="290"/>
      <c r="J416" s="291"/>
    </row>
    <row r="417" spans="1:10" x14ac:dyDescent="0.25">
      <c r="A417" s="147"/>
      <c r="B417" s="284"/>
      <c r="C417" s="285"/>
      <c r="D417" s="286"/>
      <c r="E417" s="287"/>
      <c r="F417" s="288"/>
      <c r="G417" s="289"/>
      <c r="H417" s="288"/>
      <c r="I417" s="290"/>
      <c r="J417" s="291"/>
    </row>
    <row r="418" spans="1:10" x14ac:dyDescent="0.25">
      <c r="A418" s="147"/>
      <c r="B418" s="284"/>
      <c r="C418" s="285"/>
      <c r="D418" s="286"/>
      <c r="E418" s="287"/>
      <c r="F418" s="288"/>
      <c r="G418" s="289"/>
      <c r="H418" s="288"/>
      <c r="I418" s="290"/>
      <c r="J418" s="291"/>
    </row>
    <row r="419" spans="1:10" x14ac:dyDescent="0.25">
      <c r="A419" s="147"/>
      <c r="B419" s="284"/>
      <c r="C419" s="285"/>
      <c r="D419" s="286"/>
      <c r="E419" s="287"/>
      <c r="F419" s="288"/>
      <c r="G419" s="289"/>
      <c r="H419" s="288"/>
      <c r="I419" s="290"/>
      <c r="J419" s="291"/>
    </row>
    <row r="420" spans="1:10" x14ac:dyDescent="0.25">
      <c r="A420" s="147"/>
      <c r="B420" s="284"/>
      <c r="C420" s="285"/>
      <c r="D420" s="286"/>
      <c r="E420" s="287"/>
      <c r="F420" s="288"/>
      <c r="G420" s="289"/>
      <c r="H420" s="288"/>
      <c r="I420" s="290"/>
      <c r="J420" s="291"/>
    </row>
    <row r="421" spans="1:10" x14ac:dyDescent="0.25">
      <c r="A421" s="147"/>
      <c r="B421" s="284"/>
      <c r="C421" s="285"/>
      <c r="D421" s="286"/>
      <c r="E421" s="287"/>
      <c r="F421" s="288"/>
      <c r="G421" s="289"/>
      <c r="H421" s="288"/>
      <c r="I421" s="290"/>
      <c r="J421" s="291"/>
    </row>
    <row r="422" spans="1:10" x14ac:dyDescent="0.25">
      <c r="A422" s="147"/>
      <c r="B422" s="284"/>
      <c r="C422" s="285"/>
      <c r="D422" s="286"/>
      <c r="E422" s="287"/>
      <c r="F422" s="288"/>
      <c r="G422" s="289"/>
      <c r="H422" s="288"/>
      <c r="I422" s="290"/>
      <c r="J422" s="291"/>
    </row>
    <row r="423" spans="1:10" x14ac:dyDescent="0.25">
      <c r="A423" s="147"/>
      <c r="B423" s="284"/>
      <c r="C423" s="285"/>
      <c r="D423" s="286"/>
      <c r="E423" s="287"/>
      <c r="F423" s="288"/>
      <c r="G423" s="289"/>
      <c r="H423" s="288"/>
      <c r="I423" s="290"/>
      <c r="J423" s="291"/>
    </row>
    <row r="424" spans="1:10" x14ac:dyDescent="0.25">
      <c r="A424" s="147"/>
      <c r="B424" s="284"/>
      <c r="C424" s="285"/>
      <c r="D424" s="286"/>
      <c r="E424" s="287"/>
      <c r="F424" s="288"/>
      <c r="G424" s="289"/>
      <c r="H424" s="288"/>
      <c r="I424" s="290"/>
      <c r="J424" s="291"/>
    </row>
    <row r="425" spans="1:10" x14ac:dyDescent="0.25">
      <c r="A425" s="147"/>
      <c r="B425" s="284"/>
      <c r="C425" s="285"/>
      <c r="D425" s="286"/>
      <c r="E425" s="287"/>
      <c r="F425" s="288"/>
      <c r="G425" s="289"/>
      <c r="H425" s="288"/>
      <c r="I425" s="290"/>
      <c r="J425" s="291"/>
    </row>
    <row r="426" spans="1:10" x14ac:dyDescent="0.25">
      <c r="A426" s="147"/>
      <c r="B426" s="284"/>
      <c r="C426" s="285"/>
      <c r="D426" s="286"/>
      <c r="E426" s="287"/>
      <c r="F426" s="288"/>
      <c r="G426" s="289"/>
      <c r="H426" s="288"/>
      <c r="I426" s="290"/>
      <c r="J426" s="291"/>
    </row>
    <row r="427" spans="1:10" x14ac:dyDescent="0.25">
      <c r="A427" s="147"/>
      <c r="B427" s="284"/>
      <c r="C427" s="285"/>
      <c r="D427" s="286"/>
      <c r="E427" s="287"/>
      <c r="F427" s="288"/>
      <c r="G427" s="289"/>
      <c r="H427" s="288"/>
      <c r="I427" s="290"/>
      <c r="J427" s="291"/>
    </row>
    <row r="428" spans="1:10" x14ac:dyDescent="0.25">
      <c r="A428" s="147"/>
      <c r="B428" s="284"/>
      <c r="C428" s="285"/>
      <c r="D428" s="286"/>
      <c r="E428" s="287"/>
      <c r="F428" s="288"/>
      <c r="G428" s="289"/>
      <c r="H428" s="288"/>
      <c r="I428" s="290"/>
      <c r="J428" s="291"/>
    </row>
    <row r="429" spans="1:10" x14ac:dyDescent="0.25">
      <c r="A429" s="147"/>
      <c r="B429" s="284"/>
      <c r="C429" s="285"/>
      <c r="D429" s="286"/>
      <c r="E429" s="287"/>
      <c r="F429" s="288"/>
      <c r="G429" s="289"/>
      <c r="H429" s="288"/>
      <c r="I429" s="290"/>
      <c r="J429" s="291"/>
    </row>
    <row r="430" spans="1:10" x14ac:dyDescent="0.25">
      <c r="A430" s="147"/>
      <c r="B430" s="284"/>
      <c r="C430" s="285"/>
      <c r="D430" s="286"/>
      <c r="E430" s="287"/>
      <c r="F430" s="288"/>
      <c r="G430" s="289"/>
      <c r="H430" s="288"/>
      <c r="I430" s="290"/>
      <c r="J430" s="291"/>
    </row>
    <row r="431" spans="1:10" x14ac:dyDescent="0.25">
      <c r="A431" s="147"/>
      <c r="B431" s="284"/>
      <c r="C431" s="285"/>
      <c r="D431" s="286"/>
      <c r="E431" s="287"/>
      <c r="F431" s="288"/>
      <c r="G431" s="289"/>
      <c r="H431" s="288"/>
      <c r="I431" s="290"/>
      <c r="J431" s="291"/>
    </row>
    <row r="432" spans="1:10" x14ac:dyDescent="0.25">
      <c r="A432" s="147"/>
      <c r="B432" s="284"/>
      <c r="C432" s="285"/>
      <c r="D432" s="286"/>
      <c r="E432" s="287"/>
      <c r="F432" s="288"/>
      <c r="G432" s="289"/>
      <c r="H432" s="288"/>
      <c r="I432" s="290"/>
      <c r="J432" s="291"/>
    </row>
    <row r="433" spans="1:10" x14ac:dyDescent="0.25">
      <c r="A433" s="147"/>
      <c r="B433" s="284"/>
      <c r="C433" s="285"/>
      <c r="D433" s="286"/>
      <c r="E433" s="287"/>
      <c r="F433" s="288"/>
      <c r="G433" s="289"/>
      <c r="H433" s="288"/>
      <c r="I433" s="290"/>
      <c r="J433" s="291"/>
    </row>
    <row r="434" spans="1:10" x14ac:dyDescent="0.25">
      <c r="A434" s="147"/>
      <c r="B434" s="284"/>
      <c r="C434" s="285"/>
      <c r="D434" s="286"/>
      <c r="E434" s="287"/>
      <c r="F434" s="288"/>
      <c r="G434" s="289"/>
      <c r="H434" s="288"/>
      <c r="I434" s="290"/>
      <c r="J434" s="291"/>
    </row>
    <row r="435" spans="1:10" x14ac:dyDescent="0.25">
      <c r="A435" s="147"/>
      <c r="B435" s="284"/>
      <c r="C435" s="285"/>
      <c r="D435" s="286"/>
      <c r="E435" s="287"/>
      <c r="F435" s="288"/>
      <c r="G435" s="289"/>
      <c r="H435" s="288"/>
      <c r="I435" s="290"/>
      <c r="J435" s="291"/>
    </row>
    <row r="436" spans="1:10" x14ac:dyDescent="0.25">
      <c r="A436" s="147"/>
      <c r="B436" s="284"/>
      <c r="C436" s="285"/>
      <c r="D436" s="286"/>
      <c r="E436" s="287"/>
      <c r="F436" s="288"/>
      <c r="G436" s="289"/>
      <c r="H436" s="288"/>
      <c r="I436" s="290"/>
      <c r="J436" s="291"/>
    </row>
    <row r="437" spans="1:10" x14ac:dyDescent="0.25">
      <c r="A437" s="147"/>
      <c r="B437" s="284"/>
      <c r="C437" s="285"/>
      <c r="D437" s="286"/>
      <c r="E437" s="287"/>
      <c r="F437" s="288"/>
      <c r="G437" s="289"/>
      <c r="H437" s="288"/>
      <c r="I437" s="290"/>
      <c r="J437" s="291"/>
    </row>
    <row r="438" spans="1:10" x14ac:dyDescent="0.25">
      <c r="A438" s="147"/>
      <c r="B438" s="284"/>
      <c r="C438" s="285"/>
      <c r="D438" s="286"/>
      <c r="E438" s="287"/>
      <c r="F438" s="288"/>
      <c r="G438" s="289"/>
      <c r="H438" s="288"/>
      <c r="I438" s="290"/>
      <c r="J438" s="291"/>
    </row>
    <row r="439" spans="1:10" x14ac:dyDescent="0.25">
      <c r="A439" s="147"/>
      <c r="B439" s="284"/>
      <c r="C439" s="285"/>
      <c r="D439" s="286"/>
      <c r="E439" s="287"/>
      <c r="F439" s="288"/>
      <c r="G439" s="289"/>
      <c r="H439" s="288"/>
      <c r="I439" s="290"/>
      <c r="J439" s="291"/>
    </row>
    <row r="440" spans="1:10" x14ac:dyDescent="0.25">
      <c r="A440" s="147"/>
      <c r="B440" s="284"/>
      <c r="C440" s="285"/>
      <c r="D440" s="286"/>
      <c r="E440" s="287"/>
      <c r="F440" s="288"/>
      <c r="G440" s="289"/>
      <c r="H440" s="288"/>
      <c r="I440" s="290"/>
      <c r="J440" s="291"/>
    </row>
    <row r="441" spans="1:10" x14ac:dyDescent="0.25">
      <c r="A441" s="147"/>
      <c r="B441" s="284"/>
      <c r="C441" s="285"/>
      <c r="D441" s="286"/>
      <c r="E441" s="287"/>
      <c r="F441" s="288"/>
      <c r="G441" s="289"/>
      <c r="H441" s="288"/>
      <c r="I441" s="290"/>
      <c r="J441" s="291"/>
    </row>
    <row r="442" spans="1:10" x14ac:dyDescent="0.25">
      <c r="A442" s="147"/>
      <c r="B442" s="284"/>
      <c r="C442" s="285"/>
      <c r="D442" s="286"/>
      <c r="E442" s="287"/>
      <c r="F442" s="288"/>
      <c r="G442" s="289"/>
      <c r="H442" s="288"/>
      <c r="I442" s="290"/>
      <c r="J442" s="291"/>
    </row>
    <row r="443" spans="1:10" x14ac:dyDescent="0.25">
      <c r="A443" s="147"/>
      <c r="B443" s="284"/>
      <c r="C443" s="285"/>
      <c r="D443" s="286"/>
      <c r="E443" s="287"/>
      <c r="F443" s="288"/>
      <c r="G443" s="289"/>
      <c r="H443" s="288"/>
      <c r="I443" s="290"/>
      <c r="J443" s="291"/>
    </row>
    <row r="444" spans="1:10" x14ac:dyDescent="0.25">
      <c r="A444" s="147"/>
      <c r="B444" s="284"/>
      <c r="C444" s="285"/>
      <c r="D444" s="286"/>
      <c r="E444" s="287"/>
      <c r="F444" s="288"/>
      <c r="G444" s="289"/>
      <c r="H444" s="288"/>
      <c r="I444" s="290"/>
      <c r="J444" s="291"/>
    </row>
    <row r="445" spans="1:10" x14ac:dyDescent="0.25">
      <c r="A445" s="147"/>
      <c r="B445" s="284"/>
      <c r="C445" s="285"/>
      <c r="D445" s="286"/>
      <c r="E445" s="287"/>
      <c r="F445" s="288"/>
      <c r="G445" s="289"/>
      <c r="H445" s="288"/>
      <c r="I445" s="290"/>
      <c r="J445" s="291"/>
    </row>
    <row r="446" spans="1:10" x14ac:dyDescent="0.25">
      <c r="A446" s="147"/>
      <c r="B446" s="284"/>
      <c r="C446" s="285"/>
      <c r="D446" s="286"/>
      <c r="E446" s="287"/>
      <c r="F446" s="288"/>
      <c r="G446" s="289"/>
      <c r="H446" s="288"/>
      <c r="I446" s="290"/>
      <c r="J446" s="291"/>
    </row>
    <row r="447" spans="1:10" x14ac:dyDescent="0.25">
      <c r="A447" s="147"/>
      <c r="B447" s="284"/>
      <c r="C447" s="285"/>
      <c r="D447" s="286"/>
      <c r="E447" s="287"/>
      <c r="F447" s="288"/>
      <c r="G447" s="289"/>
      <c r="H447" s="288"/>
      <c r="I447" s="290"/>
      <c r="J447" s="291"/>
    </row>
    <row r="448" spans="1:10" x14ac:dyDescent="0.25">
      <c r="A448" s="147"/>
      <c r="B448" s="284"/>
      <c r="C448" s="285"/>
      <c r="D448" s="286"/>
      <c r="E448" s="287"/>
      <c r="F448" s="288"/>
      <c r="G448" s="289"/>
      <c r="H448" s="288"/>
      <c r="I448" s="290"/>
      <c r="J448" s="291"/>
    </row>
    <row r="449" spans="1:10" x14ac:dyDescent="0.25">
      <c r="A449" s="147"/>
      <c r="B449" s="284"/>
      <c r="C449" s="285"/>
      <c r="D449" s="286"/>
      <c r="E449" s="287"/>
      <c r="F449" s="288"/>
      <c r="G449" s="289"/>
      <c r="H449" s="288"/>
      <c r="I449" s="290"/>
      <c r="J449" s="291"/>
    </row>
    <row r="450" spans="1:10" x14ac:dyDescent="0.25">
      <c r="A450" s="147"/>
      <c r="B450" s="284"/>
      <c r="C450" s="285"/>
      <c r="D450" s="286"/>
      <c r="E450" s="287"/>
      <c r="F450" s="288"/>
      <c r="G450" s="289"/>
      <c r="H450" s="288"/>
      <c r="I450" s="290"/>
      <c r="J450" s="291"/>
    </row>
    <row r="451" spans="1:10" x14ac:dyDescent="0.25">
      <c r="A451" s="147"/>
      <c r="B451" s="284"/>
      <c r="C451" s="285"/>
      <c r="D451" s="286"/>
      <c r="E451" s="287"/>
      <c r="F451" s="288"/>
      <c r="G451" s="289"/>
      <c r="H451" s="288"/>
      <c r="I451" s="290"/>
      <c r="J451" s="291"/>
    </row>
    <row r="452" spans="1:10" x14ac:dyDescent="0.25">
      <c r="A452" s="147"/>
      <c r="B452" s="284"/>
      <c r="C452" s="285"/>
      <c r="D452" s="286"/>
      <c r="E452" s="287"/>
      <c r="F452" s="288"/>
      <c r="G452" s="289"/>
      <c r="H452" s="288"/>
      <c r="I452" s="290"/>
      <c r="J452" s="291"/>
    </row>
    <row r="453" spans="1:10" x14ac:dyDescent="0.25">
      <c r="A453" s="147"/>
      <c r="B453" s="284"/>
      <c r="C453" s="285"/>
      <c r="D453" s="286"/>
      <c r="E453" s="287"/>
      <c r="F453" s="288"/>
      <c r="G453" s="289"/>
      <c r="H453" s="288"/>
      <c r="I453" s="290"/>
      <c r="J453" s="291"/>
    </row>
    <row r="454" spans="1:10" x14ac:dyDescent="0.25">
      <c r="A454" s="147"/>
      <c r="B454" s="284"/>
      <c r="C454" s="285"/>
      <c r="D454" s="286"/>
      <c r="E454" s="287"/>
      <c r="F454" s="288"/>
      <c r="G454" s="289"/>
      <c r="H454" s="288"/>
      <c r="I454" s="290"/>
      <c r="J454" s="291"/>
    </row>
    <row r="455" spans="1:10" x14ac:dyDescent="0.25">
      <c r="A455" s="147"/>
      <c r="B455" s="284"/>
      <c r="C455" s="285"/>
      <c r="D455" s="286"/>
      <c r="E455" s="287"/>
      <c r="F455" s="288"/>
      <c r="G455" s="289"/>
      <c r="H455" s="288"/>
      <c r="I455" s="290"/>
      <c r="J455" s="291"/>
    </row>
    <row r="456" spans="1:10" x14ac:dyDescent="0.25">
      <c r="A456" s="147"/>
      <c r="B456" s="284"/>
      <c r="C456" s="285"/>
      <c r="D456" s="286"/>
      <c r="E456" s="287"/>
      <c r="F456" s="288"/>
      <c r="G456" s="289"/>
      <c r="H456" s="288"/>
      <c r="I456" s="290"/>
      <c r="J456" s="291"/>
    </row>
    <row r="457" spans="1:10" x14ac:dyDescent="0.25">
      <c r="A457" s="147"/>
      <c r="B457" s="284"/>
      <c r="C457" s="285"/>
      <c r="D457" s="286"/>
      <c r="E457" s="287"/>
      <c r="F457" s="288"/>
      <c r="G457" s="289"/>
      <c r="H457" s="288"/>
      <c r="I457" s="290"/>
      <c r="J457" s="291"/>
    </row>
    <row r="458" spans="1:10" x14ac:dyDescent="0.25">
      <c r="A458" s="147"/>
      <c r="B458" s="284"/>
      <c r="C458" s="285"/>
      <c r="D458" s="286"/>
      <c r="E458" s="287"/>
      <c r="F458" s="288"/>
      <c r="G458" s="289"/>
      <c r="H458" s="288"/>
      <c r="I458" s="290"/>
      <c r="J458" s="291"/>
    </row>
    <row r="459" spans="1:10" x14ac:dyDescent="0.25">
      <c r="A459" s="147"/>
      <c r="B459" s="284"/>
      <c r="C459" s="285"/>
      <c r="D459" s="286"/>
      <c r="E459" s="287"/>
      <c r="F459" s="288"/>
      <c r="G459" s="289"/>
      <c r="H459" s="288"/>
      <c r="I459" s="290"/>
      <c r="J459" s="291"/>
    </row>
    <row r="460" spans="1:10" x14ac:dyDescent="0.25">
      <c r="A460" s="147"/>
      <c r="B460" s="284"/>
      <c r="C460" s="285"/>
      <c r="D460" s="286"/>
      <c r="E460" s="287"/>
      <c r="F460" s="288"/>
      <c r="G460" s="289"/>
      <c r="H460" s="288"/>
      <c r="I460" s="290"/>
      <c r="J460" s="291"/>
    </row>
    <row r="461" spans="1:10" x14ac:dyDescent="0.25">
      <c r="A461" s="147"/>
      <c r="B461" s="284"/>
      <c r="C461" s="285"/>
      <c r="D461" s="286"/>
      <c r="E461" s="287"/>
      <c r="F461" s="288"/>
      <c r="G461" s="289"/>
      <c r="H461" s="288"/>
      <c r="I461" s="290"/>
      <c r="J461" s="291"/>
    </row>
    <row r="462" spans="1:10" x14ac:dyDescent="0.25">
      <c r="A462" s="147"/>
      <c r="B462" s="284"/>
      <c r="C462" s="285"/>
      <c r="D462" s="286"/>
      <c r="E462" s="287"/>
      <c r="F462" s="288"/>
      <c r="G462" s="289"/>
      <c r="H462" s="288"/>
      <c r="I462" s="290"/>
      <c r="J462" s="291"/>
    </row>
    <row r="463" spans="1:10" x14ac:dyDescent="0.25">
      <c r="A463" s="147"/>
      <c r="B463" s="284"/>
      <c r="C463" s="285"/>
      <c r="D463" s="286"/>
      <c r="E463" s="287"/>
      <c r="F463" s="288"/>
      <c r="G463" s="289"/>
      <c r="H463" s="288"/>
      <c r="I463" s="290"/>
      <c r="J463" s="291"/>
    </row>
    <row r="464" spans="1:10" x14ac:dyDescent="0.25">
      <c r="A464" s="147"/>
      <c r="B464" s="284"/>
      <c r="C464" s="285"/>
      <c r="D464" s="286"/>
      <c r="E464" s="287"/>
      <c r="F464" s="288"/>
      <c r="G464" s="289"/>
      <c r="H464" s="288"/>
      <c r="I464" s="290"/>
      <c r="J464" s="291"/>
    </row>
    <row r="465" spans="1:10" x14ac:dyDescent="0.25">
      <c r="A465" s="147"/>
      <c r="B465" s="284"/>
      <c r="C465" s="285"/>
      <c r="D465" s="286"/>
      <c r="E465" s="287"/>
      <c r="F465" s="288"/>
      <c r="G465" s="289"/>
      <c r="H465" s="288"/>
      <c r="I465" s="290"/>
      <c r="J465" s="291"/>
    </row>
    <row r="466" spans="1:10" x14ac:dyDescent="0.25">
      <c r="A466" s="147"/>
      <c r="B466" s="284"/>
      <c r="C466" s="285"/>
      <c r="D466" s="286"/>
      <c r="E466" s="287"/>
      <c r="F466" s="288"/>
      <c r="G466" s="289"/>
      <c r="H466" s="288"/>
      <c r="I466" s="290"/>
      <c r="J466" s="291"/>
    </row>
    <row r="467" spans="1:10" x14ac:dyDescent="0.25">
      <c r="A467" s="147"/>
      <c r="B467" s="284"/>
      <c r="C467" s="285"/>
      <c r="D467" s="286"/>
      <c r="E467" s="287"/>
      <c r="F467" s="288"/>
      <c r="G467" s="289"/>
      <c r="H467" s="288"/>
      <c r="I467" s="290"/>
      <c r="J467" s="291"/>
    </row>
    <row r="468" spans="1:10" x14ac:dyDescent="0.25">
      <c r="A468" s="147"/>
      <c r="B468" s="284"/>
      <c r="C468" s="285"/>
      <c r="D468" s="286"/>
      <c r="E468" s="287"/>
      <c r="F468" s="288"/>
      <c r="G468" s="289"/>
      <c r="H468" s="288"/>
      <c r="I468" s="290"/>
      <c r="J468" s="291"/>
    </row>
    <row r="469" spans="1:10" x14ac:dyDescent="0.25">
      <c r="A469" s="147"/>
      <c r="B469" s="284"/>
      <c r="C469" s="285"/>
      <c r="D469" s="286"/>
      <c r="E469" s="287"/>
      <c r="F469" s="288"/>
      <c r="G469" s="289"/>
      <c r="H469" s="288"/>
      <c r="I469" s="290"/>
      <c r="J469" s="291"/>
    </row>
    <row r="470" spans="1:10" x14ac:dyDescent="0.25">
      <c r="A470" s="147"/>
      <c r="B470" s="284"/>
      <c r="C470" s="285"/>
      <c r="D470" s="286"/>
      <c r="E470" s="287"/>
      <c r="F470" s="288"/>
      <c r="G470" s="289"/>
      <c r="H470" s="288"/>
      <c r="I470" s="290"/>
      <c r="J470" s="291"/>
    </row>
    <row r="471" spans="1:10" x14ac:dyDescent="0.25">
      <c r="A471" s="147"/>
      <c r="B471" s="284"/>
      <c r="C471" s="285"/>
      <c r="D471" s="286"/>
      <c r="E471" s="287"/>
      <c r="F471" s="288"/>
      <c r="G471" s="289"/>
      <c r="H471" s="288"/>
      <c r="I471" s="290"/>
      <c r="J471" s="291"/>
    </row>
    <row r="472" spans="1:10" x14ac:dyDescent="0.25">
      <c r="A472" s="147"/>
      <c r="B472" s="284"/>
      <c r="C472" s="285"/>
      <c r="D472" s="286"/>
      <c r="E472" s="287"/>
      <c r="F472" s="288"/>
      <c r="G472" s="289"/>
      <c r="H472" s="288"/>
      <c r="I472" s="290"/>
      <c r="J472" s="291"/>
    </row>
    <row r="473" spans="1:10" x14ac:dyDescent="0.25">
      <c r="A473" s="147"/>
      <c r="B473" s="284"/>
      <c r="C473" s="285"/>
      <c r="D473" s="286"/>
      <c r="E473" s="287"/>
      <c r="F473" s="288"/>
      <c r="G473" s="289"/>
      <c r="H473" s="288"/>
      <c r="I473" s="290"/>
      <c r="J473" s="291"/>
    </row>
    <row r="474" spans="1:10" x14ac:dyDescent="0.25">
      <c r="A474" s="147"/>
      <c r="B474" s="284"/>
      <c r="C474" s="285"/>
      <c r="D474" s="286"/>
      <c r="E474" s="287"/>
      <c r="F474" s="288"/>
      <c r="G474" s="289"/>
      <c r="H474" s="288"/>
      <c r="I474" s="290"/>
      <c r="J474" s="291"/>
    </row>
    <row r="475" spans="1:10" x14ac:dyDescent="0.25">
      <c r="A475" s="147"/>
      <c r="B475" s="284"/>
      <c r="C475" s="285"/>
      <c r="D475" s="286"/>
      <c r="E475" s="287"/>
      <c r="F475" s="288"/>
      <c r="G475" s="289"/>
      <c r="H475" s="288"/>
      <c r="I475" s="290"/>
      <c r="J475" s="291"/>
    </row>
    <row r="476" spans="1:10" x14ac:dyDescent="0.25">
      <c r="A476" s="147"/>
      <c r="B476" s="284"/>
      <c r="C476" s="285"/>
      <c r="D476" s="286"/>
      <c r="E476" s="287"/>
      <c r="F476" s="288"/>
      <c r="G476" s="289"/>
      <c r="H476" s="288"/>
      <c r="I476" s="290"/>
      <c r="J476" s="291"/>
    </row>
    <row r="477" spans="1:10" x14ac:dyDescent="0.25">
      <c r="A477" s="147"/>
      <c r="B477" s="284"/>
      <c r="C477" s="285"/>
      <c r="D477" s="286"/>
      <c r="E477" s="287"/>
      <c r="F477" s="288"/>
      <c r="G477" s="289"/>
      <c r="H477" s="288"/>
      <c r="I477" s="290"/>
      <c r="J477" s="291"/>
    </row>
    <row r="478" spans="1:10" x14ac:dyDescent="0.25">
      <c r="A478" s="147"/>
      <c r="B478" s="284"/>
      <c r="C478" s="285"/>
      <c r="D478" s="286"/>
      <c r="E478" s="287"/>
      <c r="F478" s="288"/>
      <c r="G478" s="289"/>
      <c r="H478" s="288"/>
      <c r="I478" s="290"/>
      <c r="J478" s="291"/>
    </row>
    <row r="479" spans="1:10" x14ac:dyDescent="0.25">
      <c r="A479" s="147"/>
      <c r="B479" s="284"/>
      <c r="C479" s="285"/>
      <c r="D479" s="286"/>
      <c r="E479" s="287"/>
      <c r="F479" s="288"/>
      <c r="G479" s="289"/>
      <c r="H479" s="288"/>
      <c r="I479" s="290"/>
      <c r="J479" s="291"/>
    </row>
    <row r="480" spans="1:10" x14ac:dyDescent="0.25">
      <c r="A480" s="147"/>
      <c r="B480" s="284"/>
      <c r="C480" s="285"/>
      <c r="D480" s="286"/>
      <c r="E480" s="287"/>
      <c r="F480" s="288"/>
      <c r="G480" s="289"/>
      <c r="H480" s="288"/>
      <c r="I480" s="290"/>
      <c r="J480" s="291"/>
    </row>
    <row r="481" spans="1:10" x14ac:dyDescent="0.25">
      <c r="A481" s="147"/>
      <c r="B481" s="284"/>
      <c r="C481" s="285"/>
      <c r="D481" s="286"/>
      <c r="E481" s="287"/>
      <c r="F481" s="288"/>
      <c r="G481" s="289"/>
      <c r="H481" s="288"/>
      <c r="I481" s="290"/>
      <c r="J481" s="291"/>
    </row>
    <row r="482" spans="1:10" x14ac:dyDescent="0.25">
      <c r="A482" s="147"/>
      <c r="B482" s="284"/>
      <c r="C482" s="285"/>
      <c r="D482" s="286"/>
      <c r="E482" s="287"/>
      <c r="F482" s="288"/>
      <c r="G482" s="289"/>
      <c r="H482" s="288"/>
      <c r="I482" s="290"/>
      <c r="J482" s="291"/>
    </row>
    <row r="483" spans="1:10" x14ac:dyDescent="0.25">
      <c r="A483" s="147"/>
      <c r="B483" s="284"/>
      <c r="C483" s="285"/>
      <c r="D483" s="286"/>
      <c r="E483" s="287"/>
      <c r="F483" s="288"/>
      <c r="G483" s="289"/>
      <c r="H483" s="288"/>
      <c r="I483" s="290"/>
      <c r="J483" s="291"/>
    </row>
    <row r="484" spans="1:10" x14ac:dyDescent="0.25">
      <c r="A484" s="147"/>
      <c r="B484" s="284"/>
      <c r="C484" s="285"/>
      <c r="D484" s="286"/>
      <c r="E484" s="287"/>
      <c r="F484" s="288"/>
      <c r="G484" s="289"/>
      <c r="H484" s="288"/>
      <c r="I484" s="290"/>
      <c r="J484" s="291"/>
    </row>
    <row r="485" spans="1:10" x14ac:dyDescent="0.25">
      <c r="A485" s="147"/>
      <c r="B485" s="284"/>
      <c r="C485" s="285"/>
      <c r="D485" s="286"/>
      <c r="E485" s="287"/>
      <c r="F485" s="288"/>
      <c r="G485" s="289"/>
      <c r="H485" s="288"/>
      <c r="I485" s="290"/>
      <c r="J485" s="291"/>
    </row>
    <row r="486" spans="1:10" x14ac:dyDescent="0.25">
      <c r="A486" s="147"/>
      <c r="B486" s="284"/>
      <c r="C486" s="285"/>
      <c r="D486" s="286"/>
      <c r="E486" s="287"/>
      <c r="F486" s="288"/>
      <c r="G486" s="289"/>
      <c r="H486" s="288"/>
      <c r="I486" s="290"/>
      <c r="J486" s="291"/>
    </row>
    <row r="487" spans="1:10" x14ac:dyDescent="0.25">
      <c r="A487" s="147"/>
      <c r="B487" s="284"/>
      <c r="C487" s="285"/>
      <c r="D487" s="286"/>
      <c r="E487" s="287"/>
      <c r="F487" s="288"/>
      <c r="G487" s="289"/>
      <c r="H487" s="288"/>
      <c r="I487" s="290"/>
      <c r="J487" s="291"/>
    </row>
    <row r="488" spans="1:10" x14ac:dyDescent="0.25">
      <c r="A488" s="147"/>
      <c r="B488" s="284"/>
      <c r="C488" s="285"/>
      <c r="D488" s="286"/>
      <c r="E488" s="287"/>
      <c r="F488" s="288"/>
      <c r="G488" s="289"/>
      <c r="H488" s="288"/>
      <c r="I488" s="290"/>
      <c r="J488" s="291"/>
    </row>
    <row r="489" spans="1:10" x14ac:dyDescent="0.25">
      <c r="A489" s="147"/>
      <c r="B489" s="284"/>
      <c r="C489" s="285"/>
      <c r="D489" s="286"/>
      <c r="E489" s="287"/>
      <c r="F489" s="288"/>
      <c r="G489" s="289"/>
      <c r="H489" s="288"/>
      <c r="I489" s="290"/>
      <c r="J489" s="291"/>
    </row>
    <row r="490" spans="1:10" x14ac:dyDescent="0.25">
      <c r="A490" s="147"/>
      <c r="B490" s="284"/>
      <c r="C490" s="285"/>
      <c r="D490" s="286"/>
      <c r="E490" s="287"/>
      <c r="F490" s="288"/>
      <c r="G490" s="289"/>
      <c r="H490" s="288"/>
      <c r="I490" s="290"/>
      <c r="J490" s="291"/>
    </row>
    <row r="491" spans="1:10" x14ac:dyDescent="0.25">
      <c r="A491" s="147"/>
      <c r="B491" s="284"/>
      <c r="C491" s="285"/>
      <c r="D491" s="286"/>
      <c r="E491" s="287"/>
      <c r="F491" s="288"/>
      <c r="G491" s="289"/>
      <c r="H491" s="288"/>
      <c r="I491" s="290"/>
      <c r="J491" s="291"/>
    </row>
    <row r="492" spans="1:10" x14ac:dyDescent="0.25">
      <c r="A492" s="147"/>
      <c r="B492" s="284"/>
      <c r="C492" s="285"/>
      <c r="D492" s="286"/>
      <c r="E492" s="287"/>
      <c r="F492" s="288"/>
      <c r="G492" s="289"/>
      <c r="H492" s="288"/>
      <c r="I492" s="290"/>
      <c r="J492" s="291"/>
    </row>
    <row r="493" spans="1:10" x14ac:dyDescent="0.25">
      <c r="A493" s="147"/>
      <c r="B493" s="284"/>
      <c r="C493" s="285"/>
      <c r="D493" s="286"/>
      <c r="E493" s="287"/>
      <c r="F493" s="288"/>
      <c r="G493" s="289"/>
      <c r="H493" s="288"/>
      <c r="I493" s="290"/>
      <c r="J493" s="291"/>
    </row>
    <row r="494" spans="1:10" x14ac:dyDescent="0.25">
      <c r="A494" s="147"/>
      <c r="B494" s="284"/>
      <c r="C494" s="285"/>
      <c r="D494" s="286"/>
      <c r="E494" s="287"/>
      <c r="F494" s="288"/>
      <c r="G494" s="289"/>
      <c r="H494" s="288"/>
      <c r="I494" s="290"/>
      <c r="J494" s="291"/>
    </row>
    <row r="495" spans="1:10" x14ac:dyDescent="0.25">
      <c r="A495" s="147"/>
      <c r="B495" s="284"/>
      <c r="C495" s="285"/>
      <c r="D495" s="286"/>
      <c r="E495" s="287"/>
      <c r="F495" s="288"/>
      <c r="G495" s="289"/>
      <c r="H495" s="288"/>
      <c r="I495" s="290"/>
      <c r="J495" s="291"/>
    </row>
    <row r="496" spans="1:10" x14ac:dyDescent="0.25">
      <c r="A496" s="147"/>
      <c r="B496" s="284"/>
      <c r="C496" s="285"/>
      <c r="D496" s="286"/>
      <c r="E496" s="287"/>
      <c r="F496" s="288"/>
      <c r="G496" s="289"/>
      <c r="H496" s="288"/>
      <c r="I496" s="290"/>
      <c r="J496" s="291"/>
    </row>
    <row r="497" spans="1:10" x14ac:dyDescent="0.25">
      <c r="A497" s="147"/>
      <c r="B497" s="284"/>
      <c r="C497" s="285"/>
      <c r="D497" s="286"/>
      <c r="E497" s="287"/>
      <c r="F497" s="288"/>
      <c r="G497" s="289"/>
      <c r="H497" s="288"/>
      <c r="I497" s="290"/>
      <c r="J497" s="291"/>
    </row>
    <row r="498" spans="1:10" x14ac:dyDescent="0.25">
      <c r="A498" s="147"/>
      <c r="B498" s="284"/>
      <c r="C498" s="285"/>
      <c r="D498" s="286"/>
      <c r="E498" s="287"/>
      <c r="F498" s="288"/>
      <c r="G498" s="289"/>
      <c r="H498" s="288"/>
      <c r="I498" s="290"/>
      <c r="J498" s="291"/>
    </row>
    <row r="499" spans="1:10" x14ac:dyDescent="0.25">
      <c r="A499" s="147"/>
      <c r="B499" s="284"/>
      <c r="C499" s="285"/>
      <c r="D499" s="286"/>
      <c r="E499" s="287"/>
      <c r="F499" s="288"/>
      <c r="G499" s="289"/>
      <c r="H499" s="288"/>
      <c r="I499" s="290"/>
      <c r="J499" s="291"/>
    </row>
    <row r="500" spans="1:10" x14ac:dyDescent="0.25">
      <c r="A500" s="147"/>
      <c r="B500" s="284"/>
      <c r="C500" s="285"/>
      <c r="D500" s="286"/>
      <c r="E500" s="287"/>
      <c r="F500" s="288"/>
      <c r="G500" s="289"/>
      <c r="H500" s="288"/>
      <c r="I500" s="290"/>
      <c r="J500" s="291"/>
    </row>
    <row r="501" spans="1:10" x14ac:dyDescent="0.25">
      <c r="A501" s="147"/>
      <c r="B501" s="284"/>
      <c r="C501" s="285"/>
      <c r="D501" s="286"/>
      <c r="E501" s="287"/>
      <c r="F501" s="288"/>
      <c r="G501" s="289"/>
      <c r="H501" s="288"/>
      <c r="I501" s="290"/>
      <c r="J501" s="291"/>
    </row>
    <row r="502" spans="1:10" x14ac:dyDescent="0.25">
      <c r="A502" s="147"/>
      <c r="B502" s="284"/>
      <c r="C502" s="285"/>
      <c r="D502" s="286"/>
      <c r="E502" s="287"/>
      <c r="F502" s="288"/>
      <c r="G502" s="289"/>
      <c r="H502" s="288"/>
      <c r="I502" s="290"/>
      <c r="J502" s="291"/>
    </row>
    <row r="503" spans="1:10" x14ac:dyDescent="0.25">
      <c r="A503" s="147"/>
      <c r="B503" s="284"/>
      <c r="C503" s="285"/>
      <c r="D503" s="286"/>
      <c r="E503" s="287"/>
      <c r="F503" s="288"/>
      <c r="G503" s="289"/>
      <c r="H503" s="288"/>
      <c r="I503" s="290"/>
      <c r="J503" s="291"/>
    </row>
    <row r="504" spans="1:10" x14ac:dyDescent="0.25">
      <c r="A504" s="147"/>
      <c r="B504" s="284"/>
      <c r="C504" s="285"/>
      <c r="D504" s="286"/>
      <c r="E504" s="287"/>
      <c r="F504" s="288"/>
      <c r="G504" s="289"/>
      <c r="H504" s="288"/>
      <c r="I504" s="290"/>
      <c r="J504" s="291"/>
    </row>
    <row r="505" spans="1:10" x14ac:dyDescent="0.25">
      <c r="A505" s="147"/>
      <c r="B505" s="284"/>
      <c r="C505" s="285"/>
      <c r="D505" s="286"/>
      <c r="E505" s="287"/>
      <c r="F505" s="288"/>
      <c r="G505" s="289"/>
      <c r="H505" s="288"/>
      <c r="I505" s="290"/>
      <c r="J505" s="291"/>
    </row>
    <row r="506" spans="1:10" x14ac:dyDescent="0.25">
      <c r="A506" s="147"/>
      <c r="B506" s="284"/>
      <c r="C506" s="285"/>
      <c r="D506" s="286"/>
      <c r="E506" s="287"/>
      <c r="F506" s="288"/>
      <c r="G506" s="289"/>
      <c r="H506" s="288"/>
      <c r="I506" s="290"/>
      <c r="J506" s="291"/>
    </row>
    <row r="507" spans="1:10" x14ac:dyDescent="0.25">
      <c r="A507" s="147"/>
      <c r="B507" s="284"/>
      <c r="C507" s="285"/>
      <c r="D507" s="286"/>
      <c r="E507" s="287"/>
      <c r="F507" s="288"/>
      <c r="G507" s="289"/>
      <c r="H507" s="288"/>
      <c r="I507" s="290"/>
      <c r="J507" s="291"/>
    </row>
    <row r="508" spans="1:10" x14ac:dyDescent="0.25">
      <c r="A508" s="147"/>
      <c r="B508" s="284"/>
      <c r="C508" s="285"/>
      <c r="D508" s="286"/>
      <c r="E508" s="287"/>
      <c r="F508" s="288"/>
      <c r="G508" s="289"/>
      <c r="H508" s="288"/>
      <c r="I508" s="290"/>
      <c r="J508" s="291"/>
    </row>
    <row r="509" spans="1:10" x14ac:dyDescent="0.25">
      <c r="A509" s="147"/>
      <c r="B509" s="284"/>
      <c r="C509" s="285"/>
      <c r="D509" s="286"/>
      <c r="E509" s="287"/>
      <c r="F509" s="288"/>
      <c r="G509" s="289"/>
      <c r="H509" s="288"/>
      <c r="I509" s="290"/>
      <c r="J509" s="291"/>
    </row>
    <row r="510" spans="1:10" x14ac:dyDescent="0.25">
      <c r="A510" s="147"/>
      <c r="B510" s="284"/>
      <c r="C510" s="285"/>
      <c r="D510" s="286"/>
      <c r="E510" s="287"/>
      <c r="F510" s="288"/>
      <c r="G510" s="289"/>
      <c r="H510" s="288"/>
      <c r="I510" s="290"/>
      <c r="J510" s="291"/>
    </row>
    <row r="511" spans="1:10" x14ac:dyDescent="0.25">
      <c r="A511" s="147"/>
      <c r="B511" s="284"/>
      <c r="C511" s="285"/>
      <c r="D511" s="286"/>
      <c r="E511" s="287"/>
      <c r="F511" s="288"/>
      <c r="G511" s="289"/>
      <c r="H511" s="288"/>
      <c r="I511" s="290"/>
      <c r="J511" s="291"/>
    </row>
    <row r="512" spans="1:10" x14ac:dyDescent="0.25">
      <c r="A512" s="147"/>
      <c r="B512" s="284"/>
      <c r="C512" s="285"/>
      <c r="D512" s="286"/>
      <c r="E512" s="287"/>
      <c r="F512" s="288"/>
      <c r="G512" s="289"/>
      <c r="H512" s="288"/>
      <c r="I512" s="290"/>
      <c r="J512" s="291"/>
    </row>
    <row r="513" spans="1:10" x14ac:dyDescent="0.25">
      <c r="A513" s="147"/>
      <c r="B513" s="284"/>
      <c r="C513" s="285"/>
      <c r="D513" s="286"/>
      <c r="E513" s="287"/>
      <c r="F513" s="288"/>
      <c r="G513" s="289"/>
      <c r="H513" s="288"/>
      <c r="I513" s="290"/>
      <c r="J513" s="291"/>
    </row>
    <row r="514" spans="1:10" x14ac:dyDescent="0.25">
      <c r="A514" s="147"/>
      <c r="B514" s="284"/>
      <c r="C514" s="285"/>
      <c r="D514" s="286"/>
      <c r="E514" s="287"/>
      <c r="F514" s="288"/>
      <c r="G514" s="289"/>
      <c r="H514" s="288"/>
      <c r="I514" s="290"/>
      <c r="J514" s="291"/>
    </row>
    <row r="515" spans="1:10" x14ac:dyDescent="0.25">
      <c r="A515" s="147"/>
      <c r="B515" s="284"/>
      <c r="C515" s="285"/>
      <c r="D515" s="286"/>
      <c r="E515" s="287"/>
      <c r="F515" s="288"/>
      <c r="G515" s="289"/>
      <c r="H515" s="288"/>
      <c r="I515" s="290"/>
      <c r="J515" s="291"/>
    </row>
    <row r="516" spans="1:10" x14ac:dyDescent="0.25">
      <c r="A516" s="147"/>
      <c r="B516" s="284"/>
      <c r="C516" s="285"/>
      <c r="D516" s="286"/>
      <c r="E516" s="287"/>
      <c r="F516" s="288"/>
      <c r="G516" s="289"/>
      <c r="H516" s="288"/>
      <c r="I516" s="290"/>
      <c r="J516" s="291"/>
    </row>
    <row r="517" spans="1:10" x14ac:dyDescent="0.25">
      <c r="A517" s="147"/>
      <c r="B517" s="284"/>
      <c r="C517" s="285"/>
      <c r="D517" s="286"/>
      <c r="E517" s="287"/>
      <c r="F517" s="288"/>
      <c r="G517" s="289"/>
      <c r="H517" s="288"/>
      <c r="I517" s="290"/>
      <c r="J517" s="291"/>
    </row>
    <row r="518" spans="1:10" x14ac:dyDescent="0.25">
      <c r="A518" s="147"/>
      <c r="B518" s="284"/>
      <c r="C518" s="285"/>
      <c r="D518" s="286"/>
      <c r="E518" s="287"/>
      <c r="F518" s="288"/>
      <c r="G518" s="289"/>
      <c r="H518" s="288"/>
      <c r="I518" s="290"/>
      <c r="J518" s="291"/>
    </row>
    <row r="519" spans="1:10" x14ac:dyDescent="0.25">
      <c r="A519" s="147"/>
      <c r="B519" s="284"/>
      <c r="C519" s="285"/>
      <c r="D519" s="286"/>
      <c r="E519" s="287"/>
      <c r="F519" s="288"/>
      <c r="G519" s="289"/>
      <c r="H519" s="288"/>
      <c r="I519" s="290"/>
      <c r="J519" s="291"/>
    </row>
    <row r="520" spans="1:10" x14ac:dyDescent="0.25">
      <c r="A520" s="147"/>
      <c r="B520" s="284"/>
      <c r="C520" s="285"/>
      <c r="D520" s="286"/>
      <c r="E520" s="287"/>
      <c r="F520" s="288"/>
      <c r="G520" s="289"/>
      <c r="H520" s="288"/>
      <c r="I520" s="290"/>
      <c r="J520" s="291"/>
    </row>
    <row r="521" spans="1:10" x14ac:dyDescent="0.25">
      <c r="A521" s="147"/>
      <c r="B521" s="284"/>
      <c r="C521" s="285"/>
      <c r="D521" s="286"/>
      <c r="E521" s="287"/>
      <c r="F521" s="288"/>
      <c r="G521" s="289"/>
      <c r="H521" s="288"/>
      <c r="I521" s="290"/>
      <c r="J521" s="291"/>
    </row>
    <row r="522" spans="1:10" x14ac:dyDescent="0.25">
      <c r="A522" s="147"/>
      <c r="B522" s="284"/>
      <c r="C522" s="285"/>
      <c r="D522" s="286"/>
      <c r="E522" s="287"/>
      <c r="F522" s="288"/>
      <c r="G522" s="289"/>
      <c r="H522" s="288"/>
      <c r="I522" s="290"/>
      <c r="J522" s="291"/>
    </row>
    <row r="523" spans="1:10" x14ac:dyDescent="0.25">
      <c r="A523" s="147"/>
      <c r="B523" s="284"/>
      <c r="C523" s="285"/>
      <c r="D523" s="286"/>
      <c r="E523" s="287"/>
      <c r="F523" s="288"/>
      <c r="G523" s="289"/>
      <c r="H523" s="288"/>
      <c r="I523" s="290"/>
      <c r="J523" s="291"/>
    </row>
    <row r="524" spans="1:10" x14ac:dyDescent="0.25">
      <c r="A524" s="147"/>
      <c r="B524" s="284"/>
      <c r="C524" s="285"/>
      <c r="D524" s="286"/>
      <c r="E524" s="287"/>
      <c r="F524" s="288"/>
      <c r="G524" s="289"/>
      <c r="H524" s="288"/>
      <c r="I524" s="290"/>
      <c r="J524" s="291"/>
    </row>
    <row r="525" spans="1:10" x14ac:dyDescent="0.25">
      <c r="A525" s="147"/>
      <c r="B525" s="284"/>
      <c r="C525" s="285"/>
      <c r="D525" s="286"/>
      <c r="E525" s="287"/>
      <c r="F525" s="288"/>
      <c r="G525" s="289"/>
      <c r="H525" s="288"/>
      <c r="I525" s="290"/>
      <c r="J525" s="291"/>
    </row>
    <row r="526" spans="1:10" x14ac:dyDescent="0.25">
      <c r="A526" s="147"/>
      <c r="B526" s="284"/>
      <c r="C526" s="285"/>
      <c r="D526" s="286"/>
      <c r="E526" s="287"/>
      <c r="F526" s="288"/>
      <c r="G526" s="289"/>
      <c r="H526" s="288"/>
      <c r="I526" s="290"/>
      <c r="J526" s="291"/>
    </row>
    <row r="527" spans="1:10" x14ac:dyDescent="0.25">
      <c r="A527" s="147"/>
      <c r="B527" s="284"/>
      <c r="C527" s="285"/>
      <c r="D527" s="286"/>
      <c r="E527" s="287"/>
      <c r="F527" s="288"/>
      <c r="G527" s="289"/>
      <c r="H527" s="288"/>
      <c r="I527" s="290"/>
      <c r="J527" s="291"/>
    </row>
    <row r="528" spans="1:10" x14ac:dyDescent="0.25">
      <c r="A528" s="147"/>
      <c r="B528" s="284"/>
      <c r="C528" s="285"/>
      <c r="D528" s="286"/>
      <c r="E528" s="287"/>
      <c r="F528" s="288"/>
      <c r="G528" s="289"/>
      <c r="H528" s="288"/>
      <c r="I528" s="290"/>
      <c r="J528" s="291"/>
    </row>
    <row r="529" spans="1:10" x14ac:dyDescent="0.25">
      <c r="A529" s="147"/>
      <c r="B529" s="284"/>
      <c r="C529" s="285"/>
      <c r="D529" s="286"/>
      <c r="E529" s="287"/>
      <c r="F529" s="288"/>
      <c r="G529" s="289"/>
      <c r="H529" s="288"/>
      <c r="I529" s="290"/>
      <c r="J529" s="291"/>
    </row>
    <row r="530" spans="1:10" x14ac:dyDescent="0.25">
      <c r="A530" s="147"/>
      <c r="B530" s="284"/>
      <c r="C530" s="285"/>
      <c r="D530" s="286"/>
      <c r="E530" s="287"/>
      <c r="F530" s="288"/>
      <c r="G530" s="289"/>
      <c r="H530" s="288"/>
      <c r="I530" s="290"/>
      <c r="J530" s="291"/>
    </row>
    <row r="531" spans="1:10" x14ac:dyDescent="0.25">
      <c r="A531" s="147"/>
      <c r="B531" s="284"/>
      <c r="C531" s="285"/>
      <c r="D531" s="286"/>
      <c r="E531" s="287"/>
      <c r="F531" s="288"/>
      <c r="G531" s="289"/>
      <c r="H531" s="288"/>
      <c r="I531" s="290"/>
      <c r="J531" s="291"/>
    </row>
    <row r="532" spans="1:10" x14ac:dyDescent="0.25">
      <c r="A532" s="147"/>
      <c r="B532" s="284"/>
      <c r="C532" s="285"/>
      <c r="D532" s="286"/>
      <c r="E532" s="287"/>
      <c r="F532" s="288"/>
      <c r="G532" s="289"/>
      <c r="H532" s="288"/>
      <c r="I532" s="290"/>
      <c r="J532" s="291"/>
    </row>
    <row r="533" spans="1:10" x14ac:dyDescent="0.25">
      <c r="A533" s="147"/>
      <c r="B533" s="284"/>
      <c r="C533" s="285"/>
      <c r="D533" s="286"/>
      <c r="E533" s="287"/>
      <c r="F533" s="288"/>
      <c r="G533" s="289"/>
      <c r="H533" s="288"/>
      <c r="I533" s="290"/>
      <c r="J533" s="291"/>
    </row>
    <row r="534" spans="1:10" x14ac:dyDescent="0.25">
      <c r="A534" s="147"/>
      <c r="B534" s="284"/>
      <c r="C534" s="285"/>
      <c r="D534" s="286"/>
      <c r="E534" s="287"/>
      <c r="F534" s="288"/>
      <c r="G534" s="289"/>
      <c r="H534" s="288"/>
      <c r="I534" s="290"/>
      <c r="J534" s="291"/>
    </row>
    <row r="535" spans="1:10" x14ac:dyDescent="0.25">
      <c r="A535" s="147"/>
      <c r="B535" s="284"/>
      <c r="C535" s="285"/>
      <c r="D535" s="286"/>
      <c r="E535" s="287"/>
      <c r="F535" s="288"/>
      <c r="G535" s="289"/>
      <c r="H535" s="288"/>
      <c r="I535" s="290"/>
      <c r="J535" s="291"/>
    </row>
    <row r="536" spans="1:10" x14ac:dyDescent="0.25">
      <c r="A536" s="147"/>
      <c r="B536" s="284"/>
      <c r="C536" s="285"/>
      <c r="D536" s="286"/>
      <c r="E536" s="287"/>
      <c r="F536" s="288"/>
      <c r="G536" s="289"/>
      <c r="H536" s="288"/>
      <c r="I536" s="290"/>
      <c r="J536" s="291"/>
    </row>
    <row r="537" spans="1:10" x14ac:dyDescent="0.25">
      <c r="A537" s="147"/>
      <c r="B537" s="284"/>
      <c r="C537" s="285"/>
      <c r="D537" s="286"/>
      <c r="E537" s="287"/>
      <c r="F537" s="288"/>
      <c r="G537" s="289"/>
      <c r="H537" s="288"/>
      <c r="I537" s="290"/>
      <c r="J537" s="291"/>
    </row>
    <row r="538" spans="1:10" x14ac:dyDescent="0.25">
      <c r="A538" s="147"/>
      <c r="B538" s="284"/>
      <c r="C538" s="285"/>
      <c r="D538" s="286"/>
      <c r="E538" s="287"/>
      <c r="F538" s="288"/>
      <c r="G538" s="289"/>
      <c r="H538" s="288"/>
      <c r="I538" s="290"/>
      <c r="J538" s="291"/>
    </row>
    <row r="539" spans="1:10" x14ac:dyDescent="0.25">
      <c r="A539" s="147"/>
      <c r="B539" s="284"/>
      <c r="C539" s="285"/>
      <c r="D539" s="286"/>
      <c r="E539" s="287"/>
      <c r="F539" s="288"/>
      <c r="G539" s="289"/>
      <c r="H539" s="288"/>
      <c r="I539" s="290"/>
      <c r="J539" s="291"/>
    </row>
    <row r="540" spans="1:10" x14ac:dyDescent="0.25">
      <c r="A540" s="147"/>
      <c r="B540" s="284"/>
      <c r="C540" s="285"/>
      <c r="D540" s="286"/>
      <c r="E540" s="287"/>
      <c r="F540" s="288"/>
      <c r="G540" s="289"/>
      <c r="H540" s="288"/>
      <c r="I540" s="290"/>
      <c r="J540" s="291"/>
    </row>
    <row r="541" spans="1:10" x14ac:dyDescent="0.25">
      <c r="A541" s="147"/>
      <c r="B541" s="284"/>
      <c r="C541" s="285"/>
      <c r="D541" s="286"/>
      <c r="E541" s="287"/>
      <c r="F541" s="288"/>
      <c r="G541" s="289"/>
      <c r="H541" s="288"/>
      <c r="I541" s="290"/>
      <c r="J541" s="291"/>
    </row>
    <row r="542" spans="1:10" x14ac:dyDescent="0.25">
      <c r="A542" s="147"/>
      <c r="B542" s="284"/>
      <c r="C542" s="285"/>
      <c r="D542" s="286"/>
      <c r="E542" s="287"/>
      <c r="F542" s="288"/>
      <c r="G542" s="289"/>
      <c r="H542" s="288"/>
      <c r="I542" s="290"/>
      <c r="J542" s="291"/>
    </row>
    <row r="543" spans="1:10" x14ac:dyDescent="0.25">
      <c r="A543" s="147"/>
      <c r="B543" s="284"/>
      <c r="C543" s="285"/>
      <c r="D543" s="286"/>
      <c r="E543" s="287"/>
      <c r="F543" s="288"/>
      <c r="G543" s="289"/>
      <c r="H543" s="288"/>
      <c r="I543" s="290"/>
      <c r="J543" s="291"/>
    </row>
    <row r="544" spans="1:10" x14ac:dyDescent="0.25">
      <c r="A544" s="147"/>
      <c r="B544" s="284"/>
      <c r="C544" s="285"/>
      <c r="D544" s="286"/>
      <c r="E544" s="287"/>
      <c r="F544" s="288"/>
      <c r="G544" s="289"/>
      <c r="H544" s="288"/>
      <c r="I544" s="290"/>
      <c r="J544" s="291"/>
    </row>
    <row r="545" spans="1:10" x14ac:dyDescent="0.25">
      <c r="A545" s="147"/>
      <c r="B545" s="284"/>
      <c r="C545" s="285"/>
      <c r="D545" s="286"/>
      <c r="E545" s="287"/>
      <c r="F545" s="288"/>
      <c r="G545" s="289"/>
      <c r="H545" s="288"/>
      <c r="I545" s="290"/>
      <c r="J545" s="291"/>
    </row>
    <row r="546" spans="1:10" x14ac:dyDescent="0.25">
      <c r="A546" s="147"/>
      <c r="B546" s="284"/>
      <c r="C546" s="285"/>
      <c r="D546" s="286"/>
      <c r="E546" s="287"/>
      <c r="F546" s="288"/>
      <c r="G546" s="289"/>
      <c r="H546" s="288"/>
      <c r="I546" s="290"/>
      <c r="J546" s="291"/>
    </row>
    <row r="547" spans="1:10" x14ac:dyDescent="0.25">
      <c r="A547" s="147"/>
      <c r="B547" s="284"/>
      <c r="C547" s="285"/>
      <c r="D547" s="286"/>
      <c r="E547" s="287"/>
      <c r="F547" s="288"/>
      <c r="G547" s="289"/>
      <c r="H547" s="288"/>
      <c r="I547" s="290"/>
      <c r="J547" s="291"/>
    </row>
    <row r="548" spans="1:10" x14ac:dyDescent="0.25">
      <c r="A548" s="147"/>
      <c r="B548" s="284"/>
      <c r="C548" s="285"/>
      <c r="D548" s="286"/>
      <c r="E548" s="287"/>
      <c r="F548" s="288"/>
      <c r="G548" s="289"/>
      <c r="H548" s="288"/>
      <c r="I548" s="290"/>
      <c r="J548" s="291"/>
    </row>
    <row r="549" spans="1:10" x14ac:dyDescent="0.25">
      <c r="A549" s="147"/>
      <c r="B549" s="284"/>
      <c r="C549" s="285"/>
      <c r="D549" s="286"/>
      <c r="E549" s="287"/>
      <c r="F549" s="288"/>
      <c r="G549" s="289"/>
      <c r="H549" s="288"/>
      <c r="I549" s="290"/>
      <c r="J549" s="291"/>
    </row>
    <row r="550" spans="1:10" x14ac:dyDescent="0.25">
      <c r="A550" s="147"/>
      <c r="B550" s="284"/>
      <c r="C550" s="285"/>
      <c r="D550" s="286"/>
      <c r="E550" s="287"/>
      <c r="F550" s="288"/>
      <c r="G550" s="289"/>
      <c r="H550" s="288"/>
      <c r="I550" s="290"/>
      <c r="J550" s="291"/>
    </row>
    <row r="551" spans="1:10" x14ac:dyDescent="0.25">
      <c r="A551" s="147"/>
      <c r="B551" s="284"/>
      <c r="C551" s="285"/>
      <c r="D551" s="286"/>
      <c r="E551" s="287"/>
      <c r="F551" s="288"/>
      <c r="G551" s="289"/>
      <c r="H551" s="288"/>
      <c r="I551" s="290"/>
      <c r="J551" s="291"/>
    </row>
    <row r="552" spans="1:10" x14ac:dyDescent="0.25">
      <c r="A552" s="147"/>
      <c r="B552" s="284"/>
      <c r="C552" s="285"/>
      <c r="D552" s="286"/>
      <c r="E552" s="287"/>
      <c r="F552" s="288"/>
      <c r="G552" s="289"/>
      <c r="H552" s="288"/>
      <c r="I552" s="290"/>
      <c r="J552" s="291"/>
    </row>
    <row r="553" spans="1:10" x14ac:dyDescent="0.25">
      <c r="A553" s="147"/>
      <c r="B553" s="284"/>
      <c r="C553" s="285"/>
      <c r="D553" s="286"/>
      <c r="E553" s="287"/>
      <c r="F553" s="288"/>
      <c r="G553" s="289"/>
      <c r="H553" s="288"/>
      <c r="I553" s="290"/>
      <c r="J553" s="291"/>
    </row>
    <row r="554" spans="1:10" x14ac:dyDescent="0.25">
      <c r="A554" s="147"/>
      <c r="B554" s="284"/>
      <c r="C554" s="285"/>
      <c r="D554" s="286"/>
      <c r="E554" s="287"/>
      <c r="F554" s="288"/>
      <c r="G554" s="289"/>
      <c r="H554" s="288"/>
      <c r="I554" s="290"/>
      <c r="J554" s="291"/>
    </row>
    <row r="555" spans="1:10" x14ac:dyDescent="0.25">
      <c r="A555" s="147"/>
      <c r="B555" s="284"/>
      <c r="C555" s="285"/>
      <c r="D555" s="286"/>
      <c r="E555" s="287"/>
      <c r="F555" s="288"/>
      <c r="G555" s="289"/>
      <c r="H555" s="288"/>
      <c r="I555" s="290"/>
      <c r="J555" s="291"/>
    </row>
    <row r="556" spans="1:10" x14ac:dyDescent="0.25">
      <c r="A556" s="147"/>
      <c r="B556" s="284"/>
      <c r="C556" s="285"/>
      <c r="D556" s="286"/>
      <c r="E556" s="287"/>
      <c r="F556" s="288"/>
      <c r="G556" s="289"/>
      <c r="H556" s="288"/>
      <c r="I556" s="290"/>
      <c r="J556" s="291"/>
    </row>
    <row r="557" spans="1:10" x14ac:dyDescent="0.25">
      <c r="A557" s="147"/>
      <c r="B557" s="284"/>
      <c r="C557" s="285"/>
      <c r="D557" s="286"/>
      <c r="E557" s="287"/>
      <c r="F557" s="288"/>
      <c r="G557" s="289"/>
      <c r="H557" s="288"/>
      <c r="I557" s="290"/>
      <c r="J557" s="291"/>
    </row>
    <row r="558" spans="1:10" x14ac:dyDescent="0.25">
      <c r="A558" s="147"/>
      <c r="B558" s="284"/>
      <c r="C558" s="285"/>
      <c r="D558" s="286"/>
      <c r="E558" s="287"/>
      <c r="F558" s="288"/>
      <c r="G558" s="289"/>
      <c r="H558" s="288"/>
      <c r="I558" s="290"/>
      <c r="J558" s="291"/>
    </row>
    <row r="559" spans="1:10" x14ac:dyDescent="0.25">
      <c r="A559" s="147"/>
      <c r="B559" s="284"/>
      <c r="C559" s="285"/>
      <c r="D559" s="286"/>
      <c r="E559" s="287"/>
      <c r="F559" s="288"/>
      <c r="G559" s="289"/>
      <c r="H559" s="288"/>
      <c r="I559" s="290"/>
      <c r="J559" s="291"/>
    </row>
    <row r="560" spans="1:10" x14ac:dyDescent="0.25">
      <c r="A560" s="147"/>
      <c r="B560" s="284"/>
      <c r="C560" s="285"/>
      <c r="D560" s="286"/>
      <c r="E560" s="287"/>
      <c r="F560" s="288"/>
      <c r="G560" s="289"/>
      <c r="H560" s="288"/>
      <c r="I560" s="290"/>
      <c r="J560" s="291"/>
    </row>
    <row r="561" spans="1:10" x14ac:dyDescent="0.25">
      <c r="A561" s="147"/>
      <c r="B561" s="284"/>
      <c r="C561" s="285"/>
      <c r="D561" s="286"/>
      <c r="E561" s="287"/>
      <c r="F561" s="288"/>
      <c r="G561" s="289"/>
      <c r="H561" s="288"/>
      <c r="I561" s="290"/>
      <c r="J561" s="291"/>
    </row>
    <row r="562" spans="1:10" x14ac:dyDescent="0.25">
      <c r="A562" s="147"/>
      <c r="B562" s="284"/>
      <c r="C562" s="285"/>
      <c r="D562" s="286"/>
      <c r="E562" s="287"/>
      <c r="F562" s="288"/>
      <c r="G562" s="289"/>
      <c r="H562" s="288"/>
      <c r="I562" s="290"/>
      <c r="J562" s="291"/>
    </row>
    <row r="563" spans="1:10" x14ac:dyDescent="0.25">
      <c r="A563" s="147"/>
      <c r="B563" s="284"/>
      <c r="C563" s="285"/>
      <c r="D563" s="286"/>
      <c r="E563" s="287"/>
      <c r="F563" s="288"/>
      <c r="G563" s="289"/>
      <c r="H563" s="288"/>
      <c r="I563" s="290"/>
      <c r="J563" s="291"/>
    </row>
    <row r="564" spans="1:10" x14ac:dyDescent="0.25">
      <c r="A564" s="147"/>
      <c r="B564" s="284"/>
      <c r="C564" s="285"/>
      <c r="D564" s="286"/>
      <c r="E564" s="287"/>
      <c r="F564" s="288"/>
      <c r="G564" s="289"/>
      <c r="H564" s="288"/>
      <c r="I564" s="290"/>
      <c r="J564" s="291"/>
    </row>
    <row r="565" spans="1:10" x14ac:dyDescent="0.25">
      <c r="A565" s="147"/>
      <c r="B565" s="284"/>
      <c r="C565" s="285"/>
      <c r="D565" s="286"/>
      <c r="E565" s="287"/>
      <c r="F565" s="288"/>
      <c r="G565" s="289"/>
      <c r="H565" s="288"/>
      <c r="I565" s="290"/>
      <c r="J565" s="291"/>
    </row>
    <row r="566" spans="1:10" x14ac:dyDescent="0.25">
      <c r="A566" s="147"/>
      <c r="B566" s="284"/>
      <c r="C566" s="285"/>
      <c r="D566" s="286"/>
      <c r="E566" s="287"/>
      <c r="F566" s="288"/>
      <c r="G566" s="289"/>
      <c r="H566" s="288"/>
      <c r="I566" s="290"/>
      <c r="J566" s="291"/>
    </row>
    <row r="567" spans="1:10" x14ac:dyDescent="0.25">
      <c r="A567" s="147"/>
      <c r="B567" s="284"/>
      <c r="C567" s="285"/>
      <c r="D567" s="286"/>
      <c r="E567" s="287"/>
      <c r="F567" s="288"/>
      <c r="G567" s="289"/>
      <c r="H567" s="288"/>
      <c r="I567" s="290"/>
      <c r="J567" s="291"/>
    </row>
    <row r="568" spans="1:10" x14ac:dyDescent="0.25">
      <c r="A568" s="147"/>
      <c r="B568" s="284"/>
      <c r="C568" s="285"/>
      <c r="D568" s="286"/>
      <c r="E568" s="287"/>
      <c r="F568" s="288"/>
      <c r="G568" s="289"/>
      <c r="H568" s="288"/>
      <c r="I568" s="290"/>
      <c r="J568" s="291"/>
    </row>
    <row r="569" spans="1:10" x14ac:dyDescent="0.25">
      <c r="A569" s="147"/>
      <c r="B569" s="284"/>
      <c r="C569" s="285"/>
      <c r="D569" s="286"/>
      <c r="E569" s="287"/>
      <c r="F569" s="288"/>
      <c r="G569" s="289"/>
      <c r="H569" s="288"/>
      <c r="I569" s="290"/>
      <c r="J569" s="291"/>
    </row>
    <row r="570" spans="1:10" x14ac:dyDescent="0.25">
      <c r="A570" s="147"/>
      <c r="B570" s="284"/>
      <c r="C570" s="285"/>
      <c r="D570" s="286"/>
      <c r="E570" s="287"/>
      <c r="F570" s="288"/>
      <c r="G570" s="289"/>
      <c r="H570" s="288"/>
      <c r="I570" s="290"/>
      <c r="J570" s="291"/>
    </row>
    <row r="571" spans="1:10" x14ac:dyDescent="0.25">
      <c r="A571" s="147"/>
      <c r="B571" s="284"/>
      <c r="C571" s="285"/>
      <c r="D571" s="286"/>
      <c r="E571" s="287"/>
      <c r="F571" s="288"/>
      <c r="G571" s="289"/>
      <c r="H571" s="288"/>
      <c r="I571" s="290"/>
      <c r="J571" s="291"/>
    </row>
    <row r="572" spans="1:10" x14ac:dyDescent="0.25">
      <c r="A572" s="147"/>
      <c r="B572" s="284"/>
      <c r="C572" s="285"/>
      <c r="D572" s="286"/>
      <c r="E572" s="287"/>
      <c r="F572" s="288"/>
      <c r="G572" s="289"/>
      <c r="H572" s="288"/>
      <c r="I572" s="290"/>
      <c r="J572" s="291"/>
    </row>
    <row r="573" spans="1:10" x14ac:dyDescent="0.25">
      <c r="A573" s="147"/>
      <c r="B573" s="284"/>
      <c r="C573" s="285"/>
      <c r="D573" s="286"/>
      <c r="E573" s="287"/>
      <c r="F573" s="288"/>
      <c r="G573" s="289"/>
      <c r="H573" s="288"/>
      <c r="I573" s="290"/>
      <c r="J573" s="291"/>
    </row>
    <row r="574" spans="1:10" x14ac:dyDescent="0.25">
      <c r="A574" s="147"/>
      <c r="B574" s="284"/>
      <c r="C574" s="285"/>
      <c r="D574" s="286"/>
      <c r="E574" s="287"/>
      <c r="F574" s="288"/>
      <c r="G574" s="289"/>
      <c r="H574" s="288"/>
      <c r="I574" s="290"/>
      <c r="J574" s="291"/>
    </row>
    <row r="575" spans="1:10" x14ac:dyDescent="0.25">
      <c r="A575" s="147"/>
      <c r="B575" s="284"/>
      <c r="C575" s="285"/>
      <c r="D575" s="286"/>
      <c r="E575" s="287"/>
      <c r="F575" s="288"/>
      <c r="G575" s="289"/>
      <c r="H575" s="288"/>
      <c r="I575" s="290"/>
      <c r="J575" s="291"/>
    </row>
    <row r="576" spans="1:10" x14ac:dyDescent="0.25">
      <c r="A576" s="147"/>
      <c r="B576" s="284"/>
      <c r="C576" s="285"/>
      <c r="D576" s="286"/>
      <c r="E576" s="287"/>
      <c r="F576" s="288"/>
      <c r="G576" s="289"/>
      <c r="H576" s="288"/>
      <c r="I576" s="290"/>
      <c r="J576" s="291"/>
    </row>
    <row r="577" spans="1:10" x14ac:dyDescent="0.25">
      <c r="A577" s="147"/>
      <c r="B577" s="284"/>
      <c r="C577" s="285"/>
      <c r="D577" s="286"/>
      <c r="E577" s="287"/>
      <c r="F577" s="288"/>
      <c r="G577" s="289"/>
      <c r="H577" s="288"/>
      <c r="I577" s="290"/>
      <c r="J577" s="291"/>
    </row>
    <row r="578" spans="1:10" x14ac:dyDescent="0.25">
      <c r="A578" s="147"/>
      <c r="B578" s="284"/>
      <c r="C578" s="285"/>
      <c r="D578" s="286"/>
      <c r="E578" s="287"/>
      <c r="F578" s="288"/>
      <c r="G578" s="289"/>
      <c r="H578" s="288"/>
      <c r="I578" s="290"/>
      <c r="J578" s="291"/>
    </row>
    <row r="579" spans="1:10" x14ac:dyDescent="0.25">
      <c r="A579" s="147"/>
      <c r="B579" s="284"/>
      <c r="C579" s="285"/>
      <c r="D579" s="286"/>
      <c r="E579" s="287"/>
      <c r="F579" s="288"/>
      <c r="G579" s="289"/>
      <c r="H579" s="288"/>
      <c r="I579" s="290"/>
      <c r="J579" s="291"/>
    </row>
    <row r="580" spans="1:10" x14ac:dyDescent="0.25">
      <c r="A580" s="147"/>
      <c r="B580" s="284"/>
      <c r="C580" s="285"/>
      <c r="D580" s="286"/>
      <c r="E580" s="287"/>
      <c r="F580" s="288"/>
      <c r="G580" s="289"/>
      <c r="H580" s="288"/>
      <c r="I580" s="290"/>
      <c r="J580" s="291"/>
    </row>
    <row r="581" spans="1:10" x14ac:dyDescent="0.25">
      <c r="A581" s="147"/>
      <c r="B581" s="284"/>
      <c r="C581" s="285"/>
      <c r="D581" s="286"/>
      <c r="E581" s="287"/>
      <c r="F581" s="288"/>
      <c r="G581" s="289"/>
      <c r="H581" s="288"/>
      <c r="I581" s="290"/>
      <c r="J581" s="291"/>
    </row>
    <row r="582" spans="1:10" x14ac:dyDescent="0.25">
      <c r="A582" s="147"/>
      <c r="B582" s="284"/>
      <c r="C582" s="285"/>
      <c r="D582" s="286"/>
      <c r="E582" s="287"/>
      <c r="F582" s="288"/>
      <c r="G582" s="289"/>
      <c r="H582" s="288"/>
      <c r="I582" s="290"/>
      <c r="J582" s="291"/>
    </row>
    <row r="583" spans="1:10" x14ac:dyDescent="0.25">
      <c r="A583" s="147"/>
      <c r="B583" s="284"/>
      <c r="C583" s="285"/>
      <c r="D583" s="286"/>
      <c r="E583" s="287"/>
      <c r="F583" s="288"/>
      <c r="G583" s="289"/>
      <c r="H583" s="288"/>
      <c r="I583" s="290"/>
      <c r="J583" s="291"/>
    </row>
    <row r="584" spans="1:10" x14ac:dyDescent="0.25">
      <c r="A584" s="147"/>
      <c r="B584" s="284"/>
      <c r="C584" s="285"/>
      <c r="D584" s="286"/>
      <c r="E584" s="287"/>
      <c r="F584" s="288"/>
      <c r="G584" s="289"/>
      <c r="H584" s="288"/>
      <c r="I584" s="290"/>
      <c r="J584" s="291"/>
    </row>
    <row r="585" spans="1:10" x14ac:dyDescent="0.25">
      <c r="A585" s="147"/>
      <c r="B585" s="284"/>
      <c r="C585" s="285"/>
      <c r="D585" s="286"/>
      <c r="E585" s="287"/>
      <c r="F585" s="288"/>
      <c r="G585" s="289"/>
      <c r="H585" s="288"/>
      <c r="I585" s="290"/>
      <c r="J585" s="291"/>
    </row>
    <row r="586" spans="1:10" x14ac:dyDescent="0.25">
      <c r="A586" s="147"/>
      <c r="B586" s="284"/>
      <c r="C586" s="285"/>
      <c r="D586" s="286"/>
      <c r="E586" s="287"/>
      <c r="F586" s="288"/>
      <c r="G586" s="289"/>
      <c r="H586" s="288"/>
      <c r="I586" s="290"/>
      <c r="J586" s="291"/>
    </row>
    <row r="587" spans="1:10" x14ac:dyDescent="0.25">
      <c r="A587" s="147"/>
      <c r="B587" s="284"/>
      <c r="C587" s="285"/>
      <c r="D587" s="286"/>
      <c r="E587" s="287"/>
      <c r="F587" s="288"/>
      <c r="G587" s="289"/>
      <c r="H587" s="288"/>
      <c r="I587" s="290"/>
      <c r="J587" s="291"/>
    </row>
    <row r="588" spans="1:10" x14ac:dyDescent="0.25">
      <c r="A588" s="147"/>
      <c r="B588" s="284"/>
      <c r="C588" s="285"/>
      <c r="D588" s="286"/>
      <c r="E588" s="287"/>
      <c r="F588" s="288"/>
      <c r="G588" s="289"/>
      <c r="H588" s="288"/>
      <c r="I588" s="290"/>
      <c r="J588" s="291"/>
    </row>
    <row r="589" spans="1:10" x14ac:dyDescent="0.25">
      <c r="A589" s="147"/>
      <c r="B589" s="284"/>
      <c r="C589" s="285"/>
      <c r="D589" s="286"/>
      <c r="E589" s="287"/>
      <c r="F589" s="288"/>
      <c r="G589" s="289"/>
      <c r="H589" s="288"/>
      <c r="I589" s="290"/>
      <c r="J589" s="291"/>
    </row>
    <row r="590" spans="1:10" x14ac:dyDescent="0.25">
      <c r="A590" s="147"/>
      <c r="B590" s="284"/>
      <c r="C590" s="285"/>
      <c r="D590" s="286"/>
      <c r="E590" s="287"/>
      <c r="F590" s="288"/>
      <c r="G590" s="289"/>
      <c r="H590" s="288"/>
      <c r="I590" s="290"/>
      <c r="J590" s="291"/>
    </row>
    <row r="591" spans="1:10" x14ac:dyDescent="0.25">
      <c r="A591" s="147"/>
      <c r="B591" s="284"/>
      <c r="C591" s="285"/>
      <c r="D591" s="286"/>
      <c r="E591" s="287"/>
      <c r="F591" s="288"/>
      <c r="G591" s="289"/>
      <c r="H591" s="288"/>
      <c r="I591" s="290"/>
      <c r="J591" s="291"/>
    </row>
    <row r="592" spans="1:10" x14ac:dyDescent="0.25">
      <c r="A592" s="147"/>
      <c r="B592" s="284"/>
      <c r="C592" s="285"/>
      <c r="D592" s="286"/>
      <c r="E592" s="287"/>
      <c r="F592" s="288"/>
      <c r="G592" s="289"/>
      <c r="H592" s="288"/>
      <c r="I592" s="290"/>
      <c r="J592" s="291"/>
    </row>
    <row r="593" spans="1:10" x14ac:dyDescent="0.25">
      <c r="A593" s="147"/>
      <c r="B593" s="284"/>
      <c r="C593" s="285"/>
      <c r="D593" s="286"/>
      <c r="E593" s="287"/>
      <c r="F593" s="288"/>
      <c r="G593" s="289"/>
      <c r="H593" s="288"/>
      <c r="I593" s="290"/>
      <c r="J593" s="291"/>
    </row>
    <row r="594" spans="1:10" x14ac:dyDescent="0.25">
      <c r="A594" s="147"/>
      <c r="B594" s="284"/>
      <c r="C594" s="285"/>
      <c r="D594" s="286"/>
      <c r="E594" s="287"/>
      <c r="F594" s="288"/>
      <c r="G594" s="289"/>
      <c r="H594" s="288"/>
      <c r="I594" s="290"/>
      <c r="J594" s="291"/>
    </row>
    <row r="595" spans="1:10" x14ac:dyDescent="0.25">
      <c r="A595" s="147"/>
      <c r="B595" s="284"/>
      <c r="C595" s="285"/>
      <c r="D595" s="286"/>
      <c r="E595" s="287"/>
      <c r="F595" s="288"/>
      <c r="G595" s="289"/>
      <c r="H595" s="288"/>
      <c r="I595" s="290"/>
      <c r="J595" s="291"/>
    </row>
    <row r="596" spans="1:10" x14ac:dyDescent="0.25">
      <c r="A596" s="147"/>
      <c r="B596" s="284"/>
      <c r="C596" s="285"/>
      <c r="D596" s="286"/>
      <c r="E596" s="287"/>
      <c r="F596" s="288"/>
      <c r="G596" s="289"/>
      <c r="H596" s="288"/>
      <c r="I596" s="290"/>
      <c r="J596" s="291"/>
    </row>
    <row r="597" spans="1:10" x14ac:dyDescent="0.25">
      <c r="A597" s="147"/>
      <c r="B597" s="284"/>
      <c r="C597" s="285"/>
      <c r="D597" s="286"/>
      <c r="E597" s="287"/>
      <c r="F597" s="288"/>
      <c r="G597" s="289"/>
      <c r="H597" s="288"/>
      <c r="I597" s="290"/>
      <c r="J597" s="291"/>
    </row>
    <row r="598" spans="1:10" x14ac:dyDescent="0.25">
      <c r="A598" s="147"/>
      <c r="B598" s="284"/>
      <c r="C598" s="285"/>
      <c r="D598" s="286"/>
      <c r="E598" s="287"/>
      <c r="F598" s="288"/>
      <c r="G598" s="289"/>
      <c r="H598" s="288"/>
      <c r="I598" s="290"/>
      <c r="J598" s="291"/>
    </row>
    <row r="599" spans="1:10" x14ac:dyDescent="0.25">
      <c r="A599" s="147"/>
      <c r="B599" s="284"/>
      <c r="C599" s="285"/>
      <c r="D599" s="286"/>
      <c r="E599" s="287"/>
      <c r="F599" s="288"/>
      <c r="G599" s="289"/>
      <c r="H599" s="288"/>
      <c r="I599" s="290"/>
      <c r="J599" s="291"/>
    </row>
    <row r="600" spans="1:10" x14ac:dyDescent="0.25">
      <c r="A600" s="147"/>
      <c r="B600" s="284"/>
      <c r="C600" s="285"/>
      <c r="D600" s="286"/>
      <c r="E600" s="287"/>
      <c r="F600" s="288"/>
      <c r="G600" s="289"/>
      <c r="H600" s="288"/>
      <c r="I600" s="290"/>
      <c r="J600" s="291"/>
    </row>
    <row r="601" spans="1:10" x14ac:dyDescent="0.25">
      <c r="A601" s="147"/>
      <c r="B601" s="284"/>
      <c r="C601" s="285"/>
      <c r="D601" s="286"/>
      <c r="E601" s="287"/>
      <c r="F601" s="288"/>
      <c r="G601" s="289"/>
      <c r="H601" s="288"/>
      <c r="I601" s="290"/>
      <c r="J601" s="291"/>
    </row>
    <row r="602" spans="1:10" x14ac:dyDescent="0.25">
      <c r="A602" s="147"/>
      <c r="B602" s="284"/>
      <c r="C602" s="285"/>
      <c r="D602" s="286"/>
      <c r="E602" s="287"/>
      <c r="F602" s="288"/>
      <c r="G602" s="289"/>
      <c r="H602" s="288"/>
      <c r="I602" s="290"/>
      <c r="J602" s="291"/>
    </row>
    <row r="603" spans="1:10" x14ac:dyDescent="0.25">
      <c r="A603" s="147"/>
      <c r="B603" s="284"/>
      <c r="C603" s="285"/>
      <c r="D603" s="286"/>
      <c r="E603" s="287"/>
      <c r="F603" s="288"/>
      <c r="G603" s="289"/>
      <c r="H603" s="288"/>
      <c r="I603" s="290"/>
      <c r="J603" s="291"/>
    </row>
    <row r="604" spans="1:10" x14ac:dyDescent="0.25">
      <c r="A604" s="147"/>
      <c r="B604" s="284"/>
      <c r="C604" s="285"/>
      <c r="D604" s="286"/>
      <c r="E604" s="287"/>
      <c r="F604" s="288"/>
      <c r="G604" s="289"/>
      <c r="H604" s="288"/>
      <c r="I604" s="290"/>
      <c r="J604" s="291"/>
    </row>
    <row r="605" spans="1:10" x14ac:dyDescent="0.25">
      <c r="A605" s="147"/>
      <c r="B605" s="284"/>
      <c r="C605" s="285"/>
      <c r="D605" s="286"/>
      <c r="E605" s="287"/>
      <c r="F605" s="288"/>
      <c r="G605" s="289"/>
      <c r="H605" s="288"/>
      <c r="I605" s="290"/>
      <c r="J605" s="291"/>
    </row>
    <row r="606" spans="1:10" x14ac:dyDescent="0.25">
      <c r="A606" s="147"/>
      <c r="B606" s="284"/>
      <c r="C606" s="285"/>
      <c r="D606" s="286"/>
      <c r="E606" s="287"/>
      <c r="F606" s="288"/>
      <c r="G606" s="289"/>
      <c r="H606" s="288"/>
      <c r="I606" s="290"/>
      <c r="J606" s="291"/>
    </row>
    <row r="607" spans="1:10" x14ac:dyDescent="0.25">
      <c r="A607" s="147"/>
      <c r="B607" s="284"/>
      <c r="C607" s="285"/>
      <c r="D607" s="286"/>
      <c r="E607" s="287"/>
      <c r="F607" s="288"/>
      <c r="G607" s="289"/>
      <c r="H607" s="288"/>
      <c r="I607" s="290"/>
      <c r="J607" s="291"/>
    </row>
    <row r="608" spans="1:10" x14ac:dyDescent="0.25">
      <c r="A608" s="147"/>
      <c r="B608" s="284"/>
      <c r="C608" s="285"/>
      <c r="D608" s="286"/>
      <c r="E608" s="287"/>
      <c r="F608" s="288"/>
      <c r="G608" s="289"/>
      <c r="H608" s="288"/>
      <c r="I608" s="290"/>
      <c r="J608" s="291"/>
    </row>
    <row r="609" spans="1:10" x14ac:dyDescent="0.25">
      <c r="A609" s="147"/>
      <c r="B609" s="284"/>
      <c r="C609" s="285"/>
      <c r="D609" s="286"/>
      <c r="E609" s="287"/>
      <c r="F609" s="288"/>
      <c r="G609" s="289"/>
      <c r="H609" s="288"/>
      <c r="I609" s="290"/>
      <c r="J609" s="291"/>
    </row>
    <row r="610" spans="1:10" x14ac:dyDescent="0.25">
      <c r="A610" s="147"/>
      <c r="B610" s="284"/>
      <c r="C610" s="285"/>
      <c r="D610" s="286"/>
      <c r="E610" s="287"/>
      <c r="F610" s="288"/>
      <c r="G610" s="289"/>
      <c r="H610" s="288"/>
      <c r="I610" s="290"/>
      <c r="J610" s="291"/>
    </row>
    <row r="611" spans="1:10" x14ac:dyDescent="0.25">
      <c r="A611" s="147"/>
      <c r="B611" s="284"/>
      <c r="C611" s="285"/>
      <c r="D611" s="286"/>
      <c r="E611" s="287"/>
      <c r="F611" s="288"/>
      <c r="G611" s="289"/>
      <c r="H611" s="288"/>
      <c r="I611" s="290"/>
      <c r="J611" s="291"/>
    </row>
    <row r="612" spans="1:10" x14ac:dyDescent="0.25">
      <c r="A612" s="147"/>
      <c r="B612" s="284"/>
      <c r="C612" s="285"/>
      <c r="D612" s="286"/>
      <c r="E612" s="287"/>
      <c r="F612" s="288"/>
      <c r="G612" s="289"/>
      <c r="H612" s="288"/>
      <c r="I612" s="290"/>
      <c r="J612" s="291"/>
    </row>
    <row r="613" spans="1:10" x14ac:dyDescent="0.25">
      <c r="A613" s="147"/>
      <c r="B613" s="284"/>
      <c r="C613" s="285"/>
      <c r="D613" s="286"/>
      <c r="E613" s="287"/>
      <c r="F613" s="288"/>
      <c r="G613" s="289"/>
      <c r="H613" s="288"/>
      <c r="I613" s="290"/>
      <c r="J613" s="291"/>
    </row>
    <row r="614" spans="1:10" x14ac:dyDescent="0.25">
      <c r="A614" s="147"/>
      <c r="B614" s="284"/>
      <c r="C614" s="285"/>
      <c r="D614" s="286"/>
      <c r="E614" s="287"/>
      <c r="F614" s="288"/>
      <c r="G614" s="289"/>
      <c r="H614" s="288"/>
      <c r="I614" s="290"/>
      <c r="J614" s="291"/>
    </row>
    <row r="615" spans="1:10" x14ac:dyDescent="0.25">
      <c r="A615" s="147"/>
      <c r="B615" s="284"/>
      <c r="C615" s="285"/>
      <c r="D615" s="286"/>
      <c r="E615" s="287"/>
      <c r="F615" s="288"/>
      <c r="G615" s="289"/>
      <c r="H615" s="288"/>
      <c r="I615" s="290"/>
      <c r="J615" s="291"/>
    </row>
    <row r="616" spans="1:10" x14ac:dyDescent="0.25">
      <c r="A616" s="147"/>
      <c r="B616" s="284"/>
      <c r="C616" s="285"/>
      <c r="D616" s="286"/>
      <c r="E616" s="287"/>
      <c r="F616" s="288"/>
      <c r="G616" s="289"/>
      <c r="H616" s="288"/>
      <c r="I616" s="290"/>
      <c r="J616" s="291"/>
    </row>
    <row r="617" spans="1:10" x14ac:dyDescent="0.25">
      <c r="A617" s="147"/>
      <c r="B617" s="284"/>
      <c r="C617" s="285"/>
      <c r="D617" s="286"/>
      <c r="E617" s="287"/>
      <c r="F617" s="288"/>
      <c r="G617" s="289"/>
      <c r="H617" s="288"/>
      <c r="I617" s="290"/>
      <c r="J617" s="291"/>
    </row>
    <row r="618" spans="1:10" x14ac:dyDescent="0.25">
      <c r="A618" s="147"/>
      <c r="B618" s="284"/>
      <c r="C618" s="285"/>
      <c r="D618" s="286"/>
      <c r="E618" s="287"/>
      <c r="F618" s="288"/>
      <c r="G618" s="289"/>
      <c r="H618" s="288"/>
      <c r="I618" s="290"/>
      <c r="J618" s="291"/>
    </row>
    <row r="619" spans="1:10" x14ac:dyDescent="0.25">
      <c r="A619" s="147"/>
      <c r="B619" s="284"/>
      <c r="C619" s="285"/>
      <c r="D619" s="286"/>
      <c r="E619" s="287"/>
      <c r="F619" s="288"/>
      <c r="G619" s="289"/>
      <c r="H619" s="288"/>
      <c r="I619" s="290"/>
      <c r="J619" s="291"/>
    </row>
    <row r="620" spans="1:10" x14ac:dyDescent="0.25">
      <c r="A620" s="147"/>
      <c r="B620" s="284"/>
      <c r="C620" s="285"/>
      <c r="D620" s="286"/>
      <c r="E620" s="287"/>
      <c r="F620" s="288"/>
      <c r="G620" s="289"/>
      <c r="H620" s="288"/>
      <c r="I620" s="290"/>
      <c r="J620" s="291"/>
    </row>
    <row r="621" spans="1:10" x14ac:dyDescent="0.25">
      <c r="A621" s="147"/>
      <c r="B621" s="284"/>
      <c r="C621" s="285"/>
      <c r="D621" s="286"/>
      <c r="E621" s="287"/>
      <c r="F621" s="288"/>
      <c r="G621" s="289"/>
      <c r="H621" s="288"/>
      <c r="I621" s="290"/>
      <c r="J621" s="291"/>
    </row>
    <row r="622" spans="1:10" x14ac:dyDescent="0.25">
      <c r="A622" s="147"/>
      <c r="B622" s="284"/>
      <c r="C622" s="285"/>
      <c r="D622" s="286"/>
      <c r="E622" s="287"/>
      <c r="F622" s="288"/>
      <c r="G622" s="289"/>
      <c r="H622" s="288"/>
      <c r="I622" s="290"/>
      <c r="J622" s="291"/>
    </row>
    <row r="623" spans="1:10" x14ac:dyDescent="0.25">
      <c r="A623" s="147"/>
      <c r="B623" s="284"/>
      <c r="C623" s="285"/>
      <c r="D623" s="286"/>
      <c r="E623" s="287"/>
      <c r="F623" s="288"/>
      <c r="G623" s="289"/>
      <c r="H623" s="288"/>
      <c r="I623" s="290"/>
      <c r="J623" s="291"/>
    </row>
    <row r="624" spans="1:10" x14ac:dyDescent="0.25">
      <c r="A624" s="147"/>
      <c r="B624" s="284"/>
      <c r="C624" s="285"/>
      <c r="D624" s="286"/>
      <c r="E624" s="287"/>
      <c r="F624" s="288"/>
      <c r="G624" s="289"/>
      <c r="H624" s="288"/>
      <c r="I624" s="290"/>
      <c r="J624" s="291"/>
    </row>
    <row r="625" spans="1:10" x14ac:dyDescent="0.25">
      <c r="A625" s="147"/>
      <c r="B625" s="284"/>
      <c r="C625" s="285"/>
      <c r="D625" s="286"/>
      <c r="E625" s="287"/>
      <c r="F625" s="288"/>
      <c r="G625" s="289"/>
      <c r="H625" s="288"/>
      <c r="I625" s="290"/>
      <c r="J625" s="291"/>
    </row>
    <row r="626" spans="1:10" x14ac:dyDescent="0.25">
      <c r="A626" s="147"/>
      <c r="B626" s="284"/>
      <c r="C626" s="285"/>
      <c r="D626" s="286"/>
      <c r="E626" s="287"/>
      <c r="F626" s="288"/>
      <c r="G626" s="289"/>
      <c r="H626" s="288"/>
      <c r="I626" s="290"/>
      <c r="J626" s="291"/>
    </row>
    <row r="627" spans="1:10" x14ac:dyDescent="0.25">
      <c r="A627" s="147"/>
      <c r="B627" s="284"/>
      <c r="C627" s="285"/>
      <c r="D627" s="286"/>
      <c r="E627" s="287"/>
      <c r="F627" s="288"/>
      <c r="G627" s="289"/>
      <c r="H627" s="288"/>
      <c r="I627" s="290"/>
      <c r="J627" s="291"/>
    </row>
    <row r="628" spans="1:10" x14ac:dyDescent="0.25">
      <c r="A628" s="147"/>
      <c r="B628" s="284"/>
      <c r="C628" s="285"/>
      <c r="D628" s="286"/>
      <c r="E628" s="287"/>
      <c r="F628" s="288"/>
      <c r="G628" s="289"/>
      <c r="H628" s="288"/>
      <c r="I628" s="290"/>
      <c r="J628" s="291"/>
    </row>
    <row r="629" spans="1:10" x14ac:dyDescent="0.25">
      <c r="A629" s="147"/>
      <c r="B629" s="284"/>
      <c r="C629" s="285"/>
      <c r="D629" s="286"/>
      <c r="E629" s="287"/>
      <c r="F629" s="288"/>
      <c r="G629" s="289"/>
      <c r="H629" s="288"/>
      <c r="I629" s="290"/>
      <c r="J629" s="291"/>
    </row>
    <row r="630" spans="1:10" x14ac:dyDescent="0.25">
      <c r="A630" s="147"/>
      <c r="B630" s="284"/>
      <c r="C630" s="285"/>
      <c r="D630" s="286"/>
      <c r="E630" s="287"/>
      <c r="F630" s="288"/>
      <c r="G630" s="289"/>
      <c r="H630" s="288"/>
      <c r="I630" s="290"/>
      <c r="J630" s="291"/>
    </row>
    <row r="631" spans="1:10" x14ac:dyDescent="0.25">
      <c r="A631" s="147"/>
      <c r="B631" s="284"/>
      <c r="C631" s="285"/>
      <c r="D631" s="286"/>
      <c r="E631" s="287"/>
      <c r="F631" s="288"/>
      <c r="G631" s="289"/>
      <c r="H631" s="288"/>
      <c r="I631" s="290"/>
      <c r="J631" s="291"/>
    </row>
    <row r="632" spans="1:10" x14ac:dyDescent="0.25">
      <c r="A632" s="147"/>
      <c r="B632" s="284"/>
      <c r="C632" s="285"/>
      <c r="D632" s="286"/>
      <c r="E632" s="287"/>
      <c r="F632" s="288"/>
      <c r="G632" s="289"/>
      <c r="H632" s="288"/>
      <c r="I632" s="290"/>
      <c r="J632" s="291"/>
    </row>
    <row r="633" spans="1:10" x14ac:dyDescent="0.25">
      <c r="A633" s="147"/>
      <c r="B633" s="284"/>
      <c r="C633" s="285"/>
      <c r="D633" s="286"/>
      <c r="E633" s="287"/>
      <c r="F633" s="288"/>
      <c r="G633" s="289"/>
      <c r="H633" s="288"/>
      <c r="I633" s="290"/>
      <c r="J633" s="291"/>
    </row>
    <row r="634" spans="1:10" x14ac:dyDescent="0.25">
      <c r="A634" s="147"/>
      <c r="B634" s="284"/>
      <c r="C634" s="285"/>
      <c r="D634" s="286"/>
      <c r="E634" s="287"/>
      <c r="F634" s="288"/>
      <c r="G634" s="289"/>
      <c r="H634" s="288"/>
      <c r="I634" s="290"/>
      <c r="J634" s="291"/>
    </row>
    <row r="635" spans="1:10" x14ac:dyDescent="0.25">
      <c r="A635" s="147"/>
      <c r="B635" s="284"/>
      <c r="C635" s="285"/>
      <c r="D635" s="286"/>
      <c r="E635" s="287"/>
      <c r="F635" s="288"/>
      <c r="G635" s="289"/>
      <c r="H635" s="288"/>
      <c r="I635" s="290"/>
      <c r="J635" s="291"/>
    </row>
    <row r="636" spans="1:10" x14ac:dyDescent="0.25">
      <c r="A636" s="147"/>
      <c r="B636" s="284"/>
      <c r="C636" s="285"/>
      <c r="D636" s="286"/>
      <c r="E636" s="287"/>
      <c r="F636" s="288"/>
      <c r="G636" s="289"/>
      <c r="H636" s="288"/>
      <c r="I636" s="290"/>
      <c r="J636" s="291"/>
    </row>
    <row r="637" spans="1:10" x14ac:dyDescent="0.25">
      <c r="A637" s="147"/>
      <c r="B637" s="284"/>
      <c r="C637" s="285"/>
      <c r="D637" s="286"/>
      <c r="E637" s="287"/>
      <c r="F637" s="288"/>
      <c r="G637" s="289"/>
      <c r="H637" s="288"/>
      <c r="I637" s="290"/>
      <c r="J637" s="291"/>
    </row>
    <row r="638" spans="1:10" x14ac:dyDescent="0.25">
      <c r="A638" s="147"/>
      <c r="B638" s="284"/>
      <c r="C638" s="285"/>
      <c r="D638" s="286"/>
      <c r="E638" s="287"/>
      <c r="F638" s="288"/>
      <c r="G638" s="289"/>
      <c r="H638" s="288"/>
      <c r="I638" s="290"/>
      <c r="J638" s="291"/>
    </row>
    <row r="639" spans="1:10" x14ac:dyDescent="0.25">
      <c r="A639" s="147"/>
      <c r="B639" s="284"/>
      <c r="C639" s="285"/>
      <c r="D639" s="286"/>
      <c r="E639" s="287"/>
      <c r="F639" s="288"/>
      <c r="G639" s="289"/>
      <c r="H639" s="288"/>
      <c r="I639" s="290"/>
      <c r="J639" s="291"/>
    </row>
    <row r="640" spans="1:10" x14ac:dyDescent="0.25">
      <c r="A640" s="147"/>
      <c r="B640" s="284"/>
      <c r="C640" s="285"/>
      <c r="D640" s="286"/>
      <c r="E640" s="287"/>
      <c r="F640" s="288"/>
      <c r="G640" s="289"/>
      <c r="H640" s="288"/>
      <c r="I640" s="290"/>
      <c r="J640" s="291"/>
    </row>
    <row r="641" spans="1:10" x14ac:dyDescent="0.25">
      <c r="A641" s="147"/>
      <c r="B641" s="284"/>
      <c r="C641" s="285"/>
      <c r="D641" s="286"/>
      <c r="E641" s="287"/>
      <c r="F641" s="288"/>
      <c r="G641" s="289"/>
      <c r="H641" s="288"/>
      <c r="I641" s="290"/>
      <c r="J641" s="291"/>
    </row>
    <row r="642" spans="1:10" x14ac:dyDescent="0.25">
      <c r="A642" s="147"/>
      <c r="B642" s="284"/>
      <c r="C642" s="285"/>
      <c r="D642" s="286"/>
      <c r="E642" s="287"/>
      <c r="F642" s="288"/>
      <c r="G642" s="289"/>
      <c r="H642" s="288"/>
      <c r="I642" s="290"/>
      <c r="J642" s="291"/>
    </row>
    <row r="643" spans="1:10" x14ac:dyDescent="0.25">
      <c r="A643" s="147"/>
      <c r="B643" s="284"/>
      <c r="C643" s="285"/>
      <c r="D643" s="286"/>
      <c r="E643" s="287"/>
      <c r="F643" s="288"/>
      <c r="G643" s="289"/>
      <c r="H643" s="288"/>
      <c r="I643" s="290"/>
      <c r="J643" s="291"/>
    </row>
    <row r="644" spans="1:10" x14ac:dyDescent="0.25">
      <c r="A644" s="147"/>
      <c r="B644" s="284"/>
      <c r="C644" s="285"/>
      <c r="D644" s="286"/>
      <c r="E644" s="287"/>
      <c r="F644" s="288"/>
      <c r="G644" s="289"/>
      <c r="H644" s="288"/>
      <c r="I644" s="290"/>
      <c r="J644" s="291"/>
    </row>
    <row r="645" spans="1:10" x14ac:dyDescent="0.25">
      <c r="A645" s="147"/>
      <c r="B645" s="284"/>
      <c r="C645" s="285"/>
      <c r="D645" s="286"/>
      <c r="E645" s="287"/>
      <c r="F645" s="288"/>
      <c r="G645" s="289"/>
      <c r="H645" s="288"/>
      <c r="I645" s="290"/>
      <c r="J645" s="291"/>
    </row>
    <row r="646" spans="1:10" x14ac:dyDescent="0.25">
      <c r="A646" s="147"/>
      <c r="B646" s="284"/>
      <c r="C646" s="285"/>
      <c r="D646" s="286"/>
      <c r="E646" s="287"/>
      <c r="F646" s="288"/>
      <c r="G646" s="289"/>
      <c r="H646" s="288"/>
      <c r="I646" s="290"/>
      <c r="J646" s="291"/>
    </row>
    <row r="647" spans="1:10" x14ac:dyDescent="0.25">
      <c r="A647" s="147"/>
      <c r="B647" s="284"/>
      <c r="C647" s="285"/>
      <c r="D647" s="286"/>
      <c r="E647" s="287"/>
      <c r="F647" s="288"/>
      <c r="G647" s="289"/>
      <c r="H647" s="288"/>
      <c r="I647" s="290"/>
      <c r="J647" s="291"/>
    </row>
    <row r="648" spans="1:10" x14ac:dyDescent="0.25">
      <c r="A648" s="147"/>
      <c r="B648" s="284"/>
      <c r="C648" s="285"/>
      <c r="D648" s="286"/>
      <c r="E648" s="287"/>
      <c r="F648" s="288"/>
      <c r="G648" s="289"/>
      <c r="H648" s="288"/>
      <c r="I648" s="290"/>
      <c r="J648" s="291"/>
    </row>
    <row r="649" spans="1:10" x14ac:dyDescent="0.25">
      <c r="A649" s="147"/>
      <c r="B649" s="284"/>
      <c r="C649" s="285"/>
      <c r="D649" s="286"/>
      <c r="E649" s="287"/>
      <c r="F649" s="288"/>
      <c r="G649" s="289"/>
      <c r="H649" s="288"/>
      <c r="I649" s="290"/>
      <c r="J649" s="291"/>
    </row>
    <row r="650" spans="1:10" x14ac:dyDescent="0.25">
      <c r="A650" s="147"/>
      <c r="B650" s="284"/>
      <c r="C650" s="285"/>
      <c r="D650" s="286"/>
      <c r="E650" s="287"/>
      <c r="F650" s="288"/>
      <c r="G650" s="289"/>
      <c r="H650" s="288"/>
      <c r="I650" s="290"/>
      <c r="J650" s="291"/>
    </row>
    <row r="651" spans="1:10" x14ac:dyDescent="0.25">
      <c r="A651" s="147"/>
      <c r="B651" s="284"/>
      <c r="C651" s="285"/>
      <c r="D651" s="286"/>
      <c r="E651" s="287"/>
      <c r="F651" s="288"/>
      <c r="G651" s="289"/>
      <c r="H651" s="288"/>
      <c r="I651" s="290"/>
      <c r="J651" s="291"/>
    </row>
    <row r="652" spans="1:10" x14ac:dyDescent="0.25">
      <c r="A652" s="147"/>
      <c r="B652" s="284"/>
      <c r="C652" s="285"/>
      <c r="D652" s="286"/>
      <c r="E652" s="287"/>
      <c r="F652" s="288"/>
      <c r="G652" s="289"/>
      <c r="H652" s="288"/>
      <c r="I652" s="290"/>
      <c r="J652" s="291"/>
    </row>
    <row r="653" spans="1:10" x14ac:dyDescent="0.25">
      <c r="A653" s="147"/>
      <c r="B653" s="284"/>
      <c r="C653" s="285"/>
      <c r="D653" s="286"/>
      <c r="E653" s="287"/>
      <c r="F653" s="288"/>
      <c r="G653" s="289"/>
      <c r="H653" s="288"/>
      <c r="I653" s="290"/>
      <c r="J653" s="291"/>
    </row>
    <row r="654" spans="1:10" x14ac:dyDescent="0.25">
      <c r="A654" s="147"/>
      <c r="B654" s="284"/>
      <c r="C654" s="285"/>
      <c r="D654" s="286"/>
      <c r="E654" s="287"/>
      <c r="F654" s="288"/>
      <c r="G654" s="289"/>
      <c r="H654" s="288"/>
      <c r="I654" s="290"/>
      <c r="J654" s="291"/>
    </row>
    <row r="655" spans="1:10" x14ac:dyDescent="0.25">
      <c r="A655" s="147"/>
      <c r="B655" s="284"/>
      <c r="C655" s="285"/>
      <c r="D655" s="286"/>
      <c r="E655" s="287"/>
      <c r="F655" s="288"/>
      <c r="G655" s="289"/>
      <c r="H655" s="288"/>
      <c r="I655" s="290"/>
      <c r="J655" s="291"/>
    </row>
    <row r="656" spans="1:10" x14ac:dyDescent="0.25">
      <c r="A656" s="147"/>
      <c r="B656" s="284"/>
      <c r="C656" s="285"/>
      <c r="D656" s="286"/>
      <c r="E656" s="287"/>
      <c r="F656" s="288"/>
      <c r="G656" s="289"/>
      <c r="H656" s="288"/>
      <c r="I656" s="290"/>
      <c r="J656" s="291"/>
    </row>
    <row r="657" spans="1:10" x14ac:dyDescent="0.25">
      <c r="A657" s="147"/>
      <c r="B657" s="284"/>
      <c r="C657" s="285"/>
      <c r="D657" s="286"/>
      <c r="E657" s="287"/>
      <c r="F657" s="288"/>
      <c r="G657" s="289"/>
      <c r="H657" s="288"/>
      <c r="I657" s="290"/>
      <c r="J657" s="291"/>
    </row>
    <row r="658" spans="1:10" x14ac:dyDescent="0.25">
      <c r="A658" s="147"/>
      <c r="B658" s="284"/>
      <c r="C658" s="285"/>
      <c r="D658" s="286"/>
      <c r="E658" s="287"/>
      <c r="F658" s="288"/>
      <c r="G658" s="289"/>
      <c r="H658" s="288"/>
      <c r="I658" s="290"/>
      <c r="J658" s="291"/>
    </row>
    <row r="659" spans="1:10" x14ac:dyDescent="0.25">
      <c r="A659" s="147"/>
      <c r="B659" s="284"/>
      <c r="C659" s="285"/>
      <c r="D659" s="286"/>
      <c r="E659" s="287"/>
      <c r="F659" s="288"/>
      <c r="G659" s="289"/>
      <c r="H659" s="288"/>
      <c r="I659" s="290"/>
      <c r="J659" s="291"/>
    </row>
    <row r="660" spans="1:10" x14ac:dyDescent="0.25">
      <c r="A660" s="147"/>
      <c r="B660" s="284"/>
      <c r="C660" s="285"/>
      <c r="D660" s="286"/>
      <c r="E660" s="287"/>
      <c r="F660" s="288"/>
      <c r="G660" s="289"/>
      <c r="H660" s="288"/>
      <c r="I660" s="290"/>
      <c r="J660" s="291"/>
    </row>
    <row r="661" spans="1:10" x14ac:dyDescent="0.25">
      <c r="A661" s="147"/>
      <c r="B661" s="284"/>
      <c r="C661" s="285"/>
      <c r="D661" s="286"/>
      <c r="E661" s="287"/>
      <c r="F661" s="288"/>
      <c r="G661" s="289"/>
      <c r="H661" s="288"/>
      <c r="I661" s="290"/>
      <c r="J661" s="291"/>
    </row>
    <row r="662" spans="1:10" x14ac:dyDescent="0.25">
      <c r="A662" s="147"/>
      <c r="B662" s="284"/>
      <c r="C662" s="285"/>
      <c r="D662" s="286"/>
      <c r="E662" s="287"/>
      <c r="F662" s="288"/>
      <c r="G662" s="289"/>
      <c r="H662" s="288"/>
      <c r="I662" s="290"/>
      <c r="J662" s="291"/>
    </row>
    <row r="663" spans="1:10" x14ac:dyDescent="0.25">
      <c r="A663" s="147"/>
      <c r="B663" s="284"/>
      <c r="C663" s="285"/>
      <c r="D663" s="286"/>
      <c r="E663" s="287"/>
      <c r="F663" s="288"/>
      <c r="G663" s="289"/>
      <c r="H663" s="288"/>
      <c r="I663" s="290"/>
      <c r="J663" s="291"/>
    </row>
    <row r="664" spans="1:10" x14ac:dyDescent="0.25">
      <c r="A664" s="147"/>
      <c r="B664" s="284"/>
      <c r="C664" s="285"/>
      <c r="D664" s="286"/>
      <c r="E664" s="287"/>
      <c r="F664" s="288"/>
      <c r="G664" s="289"/>
      <c r="H664" s="288"/>
      <c r="I664" s="290"/>
      <c r="J664" s="291"/>
    </row>
    <row r="665" spans="1:10" x14ac:dyDescent="0.25">
      <c r="A665" s="147"/>
      <c r="B665" s="284"/>
      <c r="C665" s="285"/>
      <c r="D665" s="286"/>
      <c r="E665" s="287"/>
      <c r="F665" s="288"/>
      <c r="G665" s="289"/>
      <c r="H665" s="288"/>
      <c r="I665" s="290"/>
      <c r="J665" s="291"/>
    </row>
    <row r="666" spans="1:10" x14ac:dyDescent="0.25">
      <c r="A666" s="147"/>
      <c r="B666" s="284"/>
      <c r="C666" s="285"/>
      <c r="D666" s="286"/>
      <c r="E666" s="287"/>
      <c r="F666" s="288"/>
      <c r="G666" s="289"/>
      <c r="H666" s="288"/>
      <c r="I666" s="290"/>
      <c r="J666" s="291"/>
    </row>
    <row r="667" spans="1:10" x14ac:dyDescent="0.25">
      <c r="A667" s="147"/>
      <c r="B667" s="284"/>
      <c r="C667" s="285"/>
      <c r="D667" s="286"/>
      <c r="E667" s="287"/>
      <c r="F667" s="288"/>
      <c r="G667" s="289"/>
      <c r="H667" s="288"/>
      <c r="I667" s="290"/>
      <c r="J667" s="291"/>
    </row>
    <row r="668" spans="1:10" x14ac:dyDescent="0.25">
      <c r="A668" s="147"/>
      <c r="B668" s="284"/>
      <c r="C668" s="285"/>
      <c r="D668" s="286"/>
      <c r="E668" s="287"/>
      <c r="F668" s="288"/>
      <c r="G668" s="289"/>
      <c r="H668" s="288"/>
      <c r="I668" s="290"/>
      <c r="J668" s="291"/>
    </row>
    <row r="669" spans="1:10" x14ac:dyDescent="0.25">
      <c r="A669" s="147"/>
      <c r="B669" s="284"/>
      <c r="C669" s="285"/>
      <c r="D669" s="286"/>
      <c r="E669" s="287"/>
      <c r="F669" s="288"/>
      <c r="G669" s="289"/>
      <c r="H669" s="288"/>
      <c r="I669" s="290"/>
      <c r="J669" s="291"/>
    </row>
    <row r="670" spans="1:10" x14ac:dyDescent="0.25">
      <c r="A670" s="147"/>
      <c r="B670" s="284"/>
      <c r="C670" s="285"/>
      <c r="D670" s="286"/>
      <c r="E670" s="287"/>
      <c r="F670" s="288"/>
      <c r="G670" s="289"/>
      <c r="H670" s="288"/>
      <c r="I670" s="290"/>
      <c r="J670" s="291"/>
    </row>
    <row r="671" spans="1:10" x14ac:dyDescent="0.25">
      <c r="A671" s="147"/>
      <c r="B671" s="284"/>
      <c r="C671" s="285"/>
      <c r="D671" s="286"/>
      <c r="E671" s="287"/>
      <c r="F671" s="288"/>
      <c r="G671" s="289"/>
      <c r="H671" s="288"/>
      <c r="I671" s="290"/>
      <c r="J671" s="291"/>
    </row>
    <row r="672" spans="1:10" x14ac:dyDescent="0.25">
      <c r="A672" s="147"/>
      <c r="B672" s="284"/>
      <c r="C672" s="285"/>
      <c r="D672" s="286"/>
      <c r="E672" s="287"/>
      <c r="F672" s="288"/>
      <c r="G672" s="289"/>
      <c r="H672" s="288"/>
      <c r="I672" s="290"/>
      <c r="J672" s="291"/>
    </row>
    <row r="673" spans="1:10" x14ac:dyDescent="0.25">
      <c r="A673" s="147"/>
      <c r="B673" s="284"/>
      <c r="C673" s="285"/>
      <c r="D673" s="286"/>
      <c r="E673" s="287"/>
      <c r="F673" s="288"/>
      <c r="G673" s="289"/>
      <c r="H673" s="288"/>
      <c r="I673" s="290"/>
      <c r="J673" s="291"/>
    </row>
    <row r="674" spans="1:10" x14ac:dyDescent="0.25">
      <c r="A674" s="147"/>
      <c r="B674" s="284"/>
      <c r="C674" s="285"/>
      <c r="D674" s="286"/>
      <c r="E674" s="287"/>
      <c r="F674" s="288"/>
      <c r="G674" s="289"/>
      <c r="H674" s="288"/>
      <c r="I674" s="290"/>
      <c r="J674" s="291"/>
    </row>
    <row r="675" spans="1:10" x14ac:dyDescent="0.25">
      <c r="A675" s="147"/>
      <c r="B675" s="284"/>
      <c r="C675" s="285"/>
      <c r="D675" s="286"/>
      <c r="E675" s="287"/>
      <c r="F675" s="288"/>
      <c r="G675" s="289"/>
      <c r="H675" s="288"/>
      <c r="I675" s="290"/>
      <c r="J675" s="291"/>
    </row>
    <row r="676" spans="1:10" x14ac:dyDescent="0.25">
      <c r="A676" s="147"/>
      <c r="B676" s="284"/>
      <c r="C676" s="285"/>
      <c r="D676" s="286"/>
      <c r="E676" s="287"/>
      <c r="F676" s="288"/>
      <c r="G676" s="289"/>
      <c r="H676" s="288"/>
      <c r="I676" s="290"/>
      <c r="J676" s="291"/>
    </row>
    <row r="677" spans="1:10" x14ac:dyDescent="0.25">
      <c r="A677" s="147"/>
      <c r="B677" s="284"/>
      <c r="C677" s="285"/>
      <c r="D677" s="286"/>
      <c r="E677" s="287"/>
      <c r="F677" s="288"/>
      <c r="G677" s="289"/>
      <c r="H677" s="288"/>
      <c r="I677" s="290"/>
      <c r="J677" s="291"/>
    </row>
    <row r="678" spans="1:10" x14ac:dyDescent="0.25">
      <c r="A678" s="147"/>
      <c r="B678" s="284"/>
      <c r="C678" s="285"/>
      <c r="D678" s="286"/>
      <c r="E678" s="287"/>
      <c r="F678" s="288"/>
      <c r="G678" s="289"/>
      <c r="H678" s="288"/>
      <c r="I678" s="290"/>
      <c r="J678" s="291"/>
    </row>
    <row r="679" spans="1:10" x14ac:dyDescent="0.25">
      <c r="A679" s="147"/>
      <c r="B679" s="284"/>
      <c r="C679" s="285"/>
      <c r="D679" s="286"/>
      <c r="E679" s="287"/>
      <c r="F679" s="288"/>
      <c r="G679" s="289"/>
      <c r="H679" s="288"/>
      <c r="I679" s="290"/>
      <c r="J679" s="291"/>
    </row>
    <row r="680" spans="1:10" x14ac:dyDescent="0.25">
      <c r="A680" s="147"/>
      <c r="B680" s="284"/>
      <c r="C680" s="285"/>
      <c r="D680" s="286"/>
      <c r="E680" s="287"/>
      <c r="F680" s="288"/>
      <c r="G680" s="289"/>
      <c r="H680" s="288"/>
      <c r="I680" s="290"/>
      <c r="J680" s="291"/>
    </row>
    <row r="681" spans="1:10" x14ac:dyDescent="0.25">
      <c r="A681" s="147"/>
      <c r="B681" s="284"/>
      <c r="C681" s="285"/>
      <c r="D681" s="286"/>
      <c r="E681" s="287"/>
      <c r="F681" s="288"/>
      <c r="G681" s="289"/>
      <c r="H681" s="288"/>
      <c r="I681" s="290"/>
      <c r="J681" s="291"/>
    </row>
    <row r="682" spans="1:10" x14ac:dyDescent="0.25">
      <c r="A682" s="147"/>
      <c r="B682" s="284"/>
      <c r="C682" s="285"/>
      <c r="D682" s="286"/>
      <c r="E682" s="287"/>
      <c r="F682" s="288"/>
      <c r="G682" s="289"/>
      <c r="H682" s="288"/>
      <c r="I682" s="290"/>
      <c r="J682" s="291"/>
    </row>
    <row r="683" spans="1:10" x14ac:dyDescent="0.25">
      <c r="A683" s="147"/>
      <c r="B683" s="284"/>
      <c r="C683" s="285"/>
      <c r="D683" s="286"/>
      <c r="E683" s="287"/>
      <c r="F683" s="288"/>
      <c r="G683" s="289"/>
      <c r="H683" s="288"/>
      <c r="I683" s="290"/>
      <c r="J683" s="291"/>
    </row>
    <row r="684" spans="1:10" x14ac:dyDescent="0.25">
      <c r="A684" s="147"/>
      <c r="B684" s="284"/>
      <c r="C684" s="285"/>
      <c r="D684" s="286"/>
      <c r="E684" s="287"/>
      <c r="F684" s="288"/>
      <c r="G684" s="289"/>
      <c r="H684" s="288"/>
      <c r="I684" s="290"/>
      <c r="J684" s="291"/>
    </row>
    <row r="685" spans="1:10" x14ac:dyDescent="0.25">
      <c r="A685" s="147"/>
      <c r="B685" s="284"/>
      <c r="C685" s="285"/>
      <c r="D685" s="286"/>
      <c r="E685" s="287"/>
      <c r="F685" s="288"/>
      <c r="G685" s="289"/>
      <c r="H685" s="288"/>
      <c r="I685" s="290"/>
      <c r="J685" s="291"/>
    </row>
    <row r="686" spans="1:10" x14ac:dyDescent="0.25">
      <c r="A686" s="147"/>
      <c r="B686" s="284"/>
      <c r="C686" s="285"/>
      <c r="D686" s="286"/>
      <c r="E686" s="287"/>
      <c r="F686" s="288"/>
      <c r="G686" s="289"/>
      <c r="H686" s="288"/>
      <c r="I686" s="290"/>
      <c r="J686" s="291"/>
    </row>
    <row r="687" spans="1:10" x14ac:dyDescent="0.25">
      <c r="A687" s="147"/>
      <c r="B687" s="284"/>
      <c r="C687" s="285"/>
      <c r="D687" s="286"/>
      <c r="E687" s="287"/>
      <c r="F687" s="288"/>
      <c r="G687" s="289"/>
      <c r="H687" s="288"/>
      <c r="I687" s="290"/>
      <c r="J687" s="291"/>
    </row>
    <row r="688" spans="1:10" x14ac:dyDescent="0.25">
      <c r="A688" s="147"/>
      <c r="B688" s="284"/>
      <c r="C688" s="285"/>
      <c r="D688" s="286"/>
      <c r="E688" s="287"/>
      <c r="F688" s="288"/>
      <c r="G688" s="289"/>
      <c r="H688" s="288"/>
      <c r="I688" s="290"/>
      <c r="J688" s="291"/>
    </row>
    <row r="689" spans="1:10" x14ac:dyDescent="0.25">
      <c r="A689" s="147"/>
      <c r="B689" s="284"/>
      <c r="C689" s="285"/>
      <c r="D689" s="286"/>
      <c r="E689" s="287"/>
      <c r="F689" s="288"/>
      <c r="G689" s="289"/>
      <c r="H689" s="288"/>
      <c r="I689" s="290"/>
      <c r="J689" s="291"/>
    </row>
    <row r="690" spans="1:10" x14ac:dyDescent="0.25">
      <c r="A690" s="147"/>
      <c r="B690" s="284"/>
      <c r="C690" s="285"/>
      <c r="D690" s="286"/>
      <c r="E690" s="287"/>
      <c r="F690" s="288"/>
      <c r="G690" s="289"/>
      <c r="H690" s="288"/>
      <c r="I690" s="290"/>
      <c r="J690" s="291"/>
    </row>
    <row r="691" spans="1:10" x14ac:dyDescent="0.25">
      <c r="A691" s="147"/>
      <c r="B691" s="284"/>
      <c r="C691" s="285"/>
      <c r="D691" s="286"/>
      <c r="E691" s="287"/>
      <c r="F691" s="288"/>
      <c r="G691" s="289"/>
      <c r="H691" s="288"/>
      <c r="I691" s="290"/>
      <c r="J691" s="291"/>
    </row>
    <row r="692" spans="1:10" x14ac:dyDescent="0.25">
      <c r="A692" s="147"/>
      <c r="B692" s="284"/>
      <c r="C692" s="285"/>
      <c r="D692" s="286"/>
      <c r="E692" s="287"/>
      <c r="F692" s="288"/>
      <c r="G692" s="289"/>
      <c r="H692" s="288"/>
      <c r="I692" s="290"/>
      <c r="J692" s="291"/>
    </row>
    <row r="693" spans="1:10" x14ac:dyDescent="0.25">
      <c r="A693" s="147"/>
      <c r="B693" s="284"/>
      <c r="C693" s="285"/>
      <c r="D693" s="286"/>
      <c r="E693" s="287"/>
      <c r="F693" s="288"/>
      <c r="G693" s="289"/>
      <c r="H693" s="288"/>
      <c r="I693" s="290"/>
      <c r="J693" s="291"/>
    </row>
    <row r="694" spans="1:10" x14ac:dyDescent="0.25">
      <c r="A694" s="147"/>
      <c r="B694" s="284"/>
      <c r="C694" s="285"/>
      <c r="D694" s="286"/>
      <c r="E694" s="287"/>
      <c r="F694" s="288"/>
      <c r="G694" s="289"/>
      <c r="H694" s="288"/>
      <c r="I694" s="290"/>
      <c r="J694" s="291"/>
    </row>
    <row r="695" spans="1:10" x14ac:dyDescent="0.25">
      <c r="A695" s="147"/>
      <c r="B695" s="284"/>
      <c r="C695" s="285"/>
      <c r="D695" s="286"/>
      <c r="E695" s="287"/>
      <c r="F695" s="288"/>
      <c r="G695" s="289"/>
      <c r="H695" s="288"/>
      <c r="I695" s="290"/>
      <c r="J695" s="291"/>
    </row>
    <row r="696" spans="1:10" x14ac:dyDescent="0.25">
      <c r="A696" s="147"/>
      <c r="B696" s="284"/>
      <c r="C696" s="285"/>
      <c r="D696" s="286"/>
      <c r="E696" s="287"/>
      <c r="F696" s="288"/>
      <c r="G696" s="289"/>
      <c r="H696" s="288"/>
      <c r="I696" s="290"/>
      <c r="J696" s="291"/>
    </row>
    <row r="697" spans="1:10" x14ac:dyDescent="0.25">
      <c r="A697" s="147"/>
      <c r="B697" s="284"/>
      <c r="C697" s="285"/>
      <c r="D697" s="286"/>
      <c r="E697" s="287"/>
      <c r="F697" s="288"/>
      <c r="G697" s="289"/>
      <c r="H697" s="288"/>
      <c r="I697" s="290"/>
      <c r="J697" s="291"/>
    </row>
    <row r="698" spans="1:10" x14ac:dyDescent="0.25">
      <c r="A698" s="147"/>
      <c r="B698" s="284"/>
      <c r="C698" s="285"/>
      <c r="D698" s="286"/>
      <c r="E698" s="287"/>
      <c r="F698" s="288"/>
      <c r="G698" s="289"/>
      <c r="H698" s="288"/>
      <c r="I698" s="290"/>
      <c r="J698" s="291"/>
    </row>
    <row r="699" spans="1:10" x14ac:dyDescent="0.25">
      <c r="A699" s="147"/>
      <c r="B699" s="284"/>
      <c r="C699" s="285"/>
      <c r="D699" s="286"/>
      <c r="E699" s="287"/>
      <c r="F699" s="288"/>
      <c r="G699" s="289"/>
      <c r="H699" s="288"/>
      <c r="I699" s="290"/>
      <c r="J699" s="291"/>
    </row>
    <row r="700" spans="1:10" x14ac:dyDescent="0.25">
      <c r="A700" s="147"/>
      <c r="B700" s="284"/>
      <c r="C700" s="285"/>
      <c r="D700" s="286"/>
      <c r="E700" s="287"/>
      <c r="F700" s="288"/>
      <c r="G700" s="289"/>
      <c r="H700" s="288"/>
      <c r="I700" s="290"/>
      <c r="J700" s="291"/>
    </row>
    <row r="701" spans="1:10" x14ac:dyDescent="0.25">
      <c r="A701" s="147"/>
      <c r="B701" s="284"/>
      <c r="C701" s="285"/>
      <c r="D701" s="286"/>
      <c r="E701" s="287"/>
      <c r="F701" s="288"/>
      <c r="G701" s="289"/>
      <c r="H701" s="288"/>
      <c r="I701" s="290"/>
      <c r="J701" s="291"/>
    </row>
    <row r="702" spans="1:10" x14ac:dyDescent="0.25">
      <c r="A702" s="147"/>
      <c r="B702" s="284"/>
      <c r="C702" s="285"/>
      <c r="D702" s="286"/>
      <c r="E702" s="287"/>
      <c r="F702" s="288"/>
      <c r="G702" s="289"/>
      <c r="H702" s="288"/>
      <c r="I702" s="290"/>
      <c r="J702" s="291"/>
    </row>
    <row r="703" spans="1:10" x14ac:dyDescent="0.25">
      <c r="A703" s="147"/>
      <c r="B703" s="284"/>
      <c r="C703" s="285"/>
      <c r="D703" s="286"/>
      <c r="E703" s="287"/>
      <c r="F703" s="288"/>
      <c r="G703" s="289"/>
      <c r="H703" s="288"/>
      <c r="I703" s="290"/>
      <c r="J703" s="291"/>
    </row>
    <row r="704" spans="1:10" x14ac:dyDescent="0.25">
      <c r="A704" s="147"/>
      <c r="B704" s="284"/>
      <c r="C704" s="285"/>
      <c r="D704" s="286"/>
      <c r="E704" s="287"/>
      <c r="F704" s="288"/>
      <c r="G704" s="289"/>
      <c r="H704" s="288"/>
      <c r="I704" s="290"/>
      <c r="J704" s="291"/>
    </row>
    <row r="705" spans="1:10" x14ac:dyDescent="0.25">
      <c r="A705" s="147"/>
      <c r="B705" s="284"/>
      <c r="C705" s="285"/>
      <c r="D705" s="286"/>
      <c r="E705" s="287"/>
      <c r="F705" s="288"/>
      <c r="G705" s="289"/>
      <c r="H705" s="288"/>
      <c r="I705" s="290"/>
      <c r="J705" s="291"/>
    </row>
    <row r="706" spans="1:10" x14ac:dyDescent="0.25">
      <c r="A706" s="147"/>
      <c r="B706" s="284"/>
      <c r="C706" s="285"/>
      <c r="D706" s="286"/>
      <c r="E706" s="287"/>
      <c r="F706" s="288"/>
      <c r="G706" s="289"/>
      <c r="H706" s="288"/>
      <c r="I706" s="290"/>
      <c r="J706" s="291"/>
    </row>
    <row r="707" spans="1:10" x14ac:dyDescent="0.25">
      <c r="A707" s="147"/>
      <c r="B707" s="284"/>
      <c r="C707" s="285"/>
      <c r="D707" s="286"/>
      <c r="E707" s="287"/>
      <c r="F707" s="288"/>
      <c r="G707" s="289"/>
      <c r="H707" s="288"/>
      <c r="I707" s="290"/>
      <c r="J707" s="291"/>
    </row>
    <row r="708" spans="1:10" x14ac:dyDescent="0.25">
      <c r="A708" s="147"/>
      <c r="B708" s="284"/>
      <c r="C708" s="285"/>
      <c r="D708" s="286"/>
      <c r="E708" s="287"/>
      <c r="F708" s="288"/>
      <c r="G708" s="289"/>
      <c r="H708" s="288"/>
      <c r="I708" s="290"/>
      <c r="J708" s="291"/>
    </row>
    <row r="709" spans="1:10" x14ac:dyDescent="0.25">
      <c r="A709" s="147"/>
      <c r="B709" s="284"/>
      <c r="C709" s="285"/>
      <c r="D709" s="286"/>
      <c r="E709" s="287"/>
      <c r="F709" s="288"/>
      <c r="G709" s="289"/>
      <c r="H709" s="288"/>
      <c r="I709" s="290"/>
      <c r="J709" s="291"/>
    </row>
    <row r="710" spans="1:10" x14ac:dyDescent="0.25">
      <c r="A710" s="147"/>
      <c r="B710" s="284"/>
      <c r="C710" s="285"/>
      <c r="D710" s="286"/>
      <c r="E710" s="287"/>
      <c r="F710" s="288"/>
      <c r="G710" s="289"/>
      <c r="H710" s="288"/>
      <c r="I710" s="290"/>
      <c r="J710" s="291"/>
    </row>
    <row r="711" spans="1:10" x14ac:dyDescent="0.25">
      <c r="A711" s="147"/>
      <c r="B711" s="284"/>
      <c r="C711" s="285"/>
      <c r="D711" s="286"/>
      <c r="E711" s="287"/>
      <c r="F711" s="288"/>
      <c r="G711" s="289"/>
      <c r="H711" s="288"/>
      <c r="I711" s="290"/>
      <c r="J711" s="291"/>
    </row>
    <row r="712" spans="1:10" x14ac:dyDescent="0.25">
      <c r="A712" s="147"/>
      <c r="B712" s="284"/>
      <c r="C712" s="285"/>
      <c r="D712" s="286"/>
      <c r="E712" s="287"/>
      <c r="F712" s="288"/>
      <c r="G712" s="289"/>
      <c r="H712" s="288"/>
      <c r="I712" s="290"/>
      <c r="J712" s="291"/>
    </row>
    <row r="713" spans="1:10" x14ac:dyDescent="0.25">
      <c r="A713" s="147"/>
      <c r="B713" s="284"/>
      <c r="C713" s="285"/>
      <c r="D713" s="286"/>
      <c r="E713" s="287"/>
      <c r="F713" s="288"/>
      <c r="G713" s="289"/>
      <c r="H713" s="288"/>
      <c r="I713" s="290"/>
      <c r="J713" s="291"/>
    </row>
    <row r="714" spans="1:10" x14ac:dyDescent="0.25">
      <c r="A714" s="147"/>
      <c r="B714" s="284"/>
      <c r="C714" s="285"/>
      <c r="D714" s="286"/>
      <c r="E714" s="287"/>
      <c r="F714" s="288"/>
      <c r="G714" s="289"/>
      <c r="H714" s="288"/>
      <c r="I714" s="290"/>
      <c r="J714" s="291"/>
    </row>
    <row r="715" spans="1:10" x14ac:dyDescent="0.25">
      <c r="A715" s="147"/>
      <c r="B715" s="284"/>
      <c r="C715" s="285"/>
      <c r="D715" s="286"/>
      <c r="E715" s="287"/>
      <c r="F715" s="288"/>
      <c r="G715" s="289"/>
      <c r="H715" s="288"/>
      <c r="I715" s="290"/>
      <c r="J715" s="291"/>
    </row>
    <row r="716" spans="1:10" x14ac:dyDescent="0.25">
      <c r="A716" s="147"/>
      <c r="B716" s="284"/>
      <c r="C716" s="285"/>
      <c r="D716" s="286"/>
      <c r="E716" s="287"/>
      <c r="F716" s="288"/>
      <c r="G716" s="289"/>
      <c r="H716" s="288"/>
      <c r="I716" s="290"/>
      <c r="J716" s="291"/>
    </row>
    <row r="717" spans="1:10" x14ac:dyDescent="0.25">
      <c r="A717" s="147"/>
      <c r="B717" s="284"/>
      <c r="C717" s="285"/>
      <c r="D717" s="286"/>
      <c r="E717" s="287"/>
      <c r="F717" s="288"/>
      <c r="G717" s="289"/>
      <c r="H717" s="288"/>
      <c r="I717" s="290"/>
      <c r="J717" s="291"/>
    </row>
    <row r="718" spans="1:10" x14ac:dyDescent="0.25">
      <c r="A718" s="147"/>
      <c r="B718" s="284"/>
      <c r="C718" s="285"/>
      <c r="D718" s="286"/>
      <c r="E718" s="287"/>
      <c r="F718" s="288"/>
      <c r="G718" s="289"/>
      <c r="H718" s="288"/>
      <c r="I718" s="290"/>
      <c r="J718" s="291"/>
    </row>
    <row r="719" spans="1:10" x14ac:dyDescent="0.25">
      <c r="A719" s="147"/>
      <c r="B719" s="284"/>
      <c r="C719" s="285"/>
      <c r="D719" s="286"/>
      <c r="E719" s="287"/>
      <c r="F719" s="288"/>
      <c r="G719" s="289"/>
      <c r="H719" s="288"/>
      <c r="I719" s="290"/>
      <c r="J719" s="291"/>
    </row>
    <row r="720" spans="1:10" x14ac:dyDescent="0.25">
      <c r="A720" s="147"/>
      <c r="B720" s="284"/>
      <c r="C720" s="285"/>
      <c r="D720" s="286"/>
      <c r="E720" s="287"/>
      <c r="F720" s="288"/>
      <c r="G720" s="289"/>
      <c r="H720" s="288"/>
      <c r="I720" s="290"/>
      <c r="J720" s="291"/>
    </row>
    <row r="721" spans="1:10" x14ac:dyDescent="0.25">
      <c r="A721" s="147"/>
      <c r="B721" s="284"/>
      <c r="C721" s="285"/>
      <c r="D721" s="286"/>
      <c r="E721" s="287"/>
      <c r="F721" s="288"/>
      <c r="G721" s="289"/>
      <c r="H721" s="288"/>
      <c r="I721" s="290"/>
      <c r="J721" s="291"/>
    </row>
    <row r="722" spans="1:10" x14ac:dyDescent="0.25">
      <c r="A722" s="147"/>
      <c r="B722" s="284"/>
      <c r="C722" s="285"/>
      <c r="D722" s="286"/>
      <c r="E722" s="287"/>
      <c r="F722" s="288"/>
      <c r="G722" s="289"/>
      <c r="H722" s="288"/>
      <c r="I722" s="290"/>
      <c r="J722" s="291"/>
    </row>
    <row r="723" spans="1:10" x14ac:dyDescent="0.25">
      <c r="A723" s="147"/>
      <c r="B723" s="284"/>
      <c r="C723" s="285"/>
      <c r="D723" s="286"/>
      <c r="E723" s="287"/>
      <c r="F723" s="288"/>
      <c r="G723" s="289"/>
      <c r="H723" s="288"/>
      <c r="I723" s="290"/>
      <c r="J723" s="291"/>
    </row>
    <row r="724" spans="1:10" x14ac:dyDescent="0.25">
      <c r="A724" s="147"/>
      <c r="B724" s="284"/>
      <c r="C724" s="285"/>
      <c r="D724" s="286"/>
      <c r="E724" s="287"/>
      <c r="F724" s="288"/>
      <c r="G724" s="289"/>
      <c r="H724" s="288"/>
      <c r="I724" s="290"/>
      <c r="J724" s="291"/>
    </row>
    <row r="725" spans="1:10" x14ac:dyDescent="0.25">
      <c r="A725" s="147"/>
      <c r="B725" s="284"/>
      <c r="C725" s="285"/>
      <c r="D725" s="286"/>
      <c r="E725" s="287"/>
      <c r="F725" s="288"/>
      <c r="G725" s="289"/>
      <c r="H725" s="288"/>
      <c r="I725" s="290"/>
      <c r="J725" s="291"/>
    </row>
    <row r="726" spans="1:10" x14ac:dyDescent="0.25">
      <c r="A726" s="147"/>
      <c r="B726" s="284"/>
      <c r="C726" s="285"/>
      <c r="D726" s="286"/>
      <c r="E726" s="287"/>
      <c r="F726" s="288"/>
      <c r="G726" s="289"/>
      <c r="H726" s="288"/>
      <c r="I726" s="290"/>
      <c r="J726" s="291"/>
    </row>
    <row r="727" spans="1:10" x14ac:dyDescent="0.25">
      <c r="A727" s="147"/>
      <c r="B727" s="284"/>
      <c r="C727" s="285"/>
      <c r="D727" s="286"/>
      <c r="E727" s="287"/>
      <c r="F727" s="288"/>
      <c r="G727" s="289"/>
      <c r="H727" s="288"/>
      <c r="I727" s="290"/>
      <c r="J727" s="291"/>
    </row>
    <row r="728" spans="1:10" x14ac:dyDescent="0.25">
      <c r="A728" s="147"/>
      <c r="B728" s="284"/>
      <c r="C728" s="285"/>
      <c r="D728" s="286"/>
      <c r="E728" s="287"/>
      <c r="F728" s="288"/>
      <c r="G728" s="289"/>
      <c r="H728" s="288"/>
      <c r="I728" s="290"/>
      <c r="J728" s="291"/>
    </row>
    <row r="729" spans="1:10" x14ac:dyDescent="0.25">
      <c r="A729" s="147"/>
      <c r="B729" s="284"/>
      <c r="C729" s="285"/>
      <c r="D729" s="286"/>
      <c r="E729" s="287"/>
      <c r="F729" s="288"/>
      <c r="G729" s="289"/>
      <c r="H729" s="288"/>
      <c r="I729" s="290"/>
      <c r="J729" s="291"/>
    </row>
    <row r="730" spans="1:10" x14ac:dyDescent="0.25">
      <c r="A730" s="147"/>
      <c r="B730" s="284"/>
      <c r="C730" s="285"/>
      <c r="D730" s="286"/>
      <c r="E730" s="287"/>
      <c r="F730" s="288"/>
      <c r="G730" s="289"/>
      <c r="H730" s="288"/>
      <c r="I730" s="290"/>
      <c r="J730" s="291"/>
    </row>
    <row r="731" spans="1:10" x14ac:dyDescent="0.25">
      <c r="A731" s="147"/>
      <c r="B731" s="284"/>
      <c r="C731" s="285"/>
      <c r="D731" s="286"/>
      <c r="E731" s="287"/>
      <c r="F731" s="288"/>
      <c r="G731" s="289"/>
      <c r="H731" s="288"/>
      <c r="I731" s="290"/>
      <c r="J731" s="291"/>
    </row>
    <row r="732" spans="1:10" x14ac:dyDescent="0.25">
      <c r="A732" s="147"/>
      <c r="B732" s="284"/>
      <c r="C732" s="285"/>
      <c r="D732" s="286"/>
      <c r="E732" s="287"/>
      <c r="F732" s="288"/>
      <c r="G732" s="289"/>
      <c r="H732" s="288"/>
      <c r="I732" s="290"/>
      <c r="J732" s="291"/>
    </row>
    <row r="733" spans="1:10" x14ac:dyDescent="0.25">
      <c r="A733" s="147"/>
      <c r="B733" s="284"/>
      <c r="C733" s="285"/>
      <c r="D733" s="286"/>
      <c r="E733" s="287"/>
      <c r="F733" s="288"/>
      <c r="G733" s="289"/>
      <c r="H733" s="288"/>
      <c r="I733" s="290"/>
      <c r="J733" s="291"/>
    </row>
    <row r="734" spans="1:10" x14ac:dyDescent="0.25">
      <c r="A734" s="147"/>
      <c r="B734" s="284"/>
      <c r="C734" s="285"/>
      <c r="D734" s="286"/>
      <c r="E734" s="287"/>
      <c r="F734" s="288"/>
      <c r="G734" s="289"/>
      <c r="H734" s="288"/>
      <c r="I734" s="290"/>
      <c r="J734" s="291"/>
    </row>
    <row r="735" spans="1:10" x14ac:dyDescent="0.25">
      <c r="A735" s="147"/>
      <c r="B735" s="284"/>
      <c r="C735" s="285"/>
      <c r="D735" s="286"/>
      <c r="E735" s="287"/>
      <c r="F735" s="288"/>
      <c r="G735" s="289"/>
      <c r="H735" s="288"/>
      <c r="I735" s="290"/>
      <c r="J735" s="291"/>
    </row>
    <row r="736" spans="1:10" x14ac:dyDescent="0.25">
      <c r="A736" s="147"/>
      <c r="B736" s="284"/>
      <c r="C736" s="285"/>
      <c r="D736" s="286"/>
      <c r="E736" s="287"/>
      <c r="F736" s="288"/>
      <c r="G736" s="289"/>
      <c r="H736" s="288"/>
      <c r="I736" s="290"/>
      <c r="J736" s="291"/>
    </row>
    <row r="737" spans="1:10" x14ac:dyDescent="0.25">
      <c r="A737" s="147"/>
      <c r="B737" s="284"/>
      <c r="C737" s="285"/>
      <c r="D737" s="286"/>
      <c r="E737" s="287"/>
      <c r="F737" s="288"/>
      <c r="G737" s="289"/>
      <c r="H737" s="288"/>
      <c r="I737" s="290"/>
      <c r="J737" s="291"/>
    </row>
    <row r="738" spans="1:10" x14ac:dyDescent="0.25">
      <c r="A738" s="147"/>
      <c r="B738" s="284"/>
      <c r="C738" s="285"/>
      <c r="D738" s="286"/>
      <c r="E738" s="287"/>
      <c r="F738" s="288"/>
      <c r="G738" s="289"/>
      <c r="H738" s="288"/>
      <c r="I738" s="290"/>
      <c r="J738" s="291"/>
    </row>
    <row r="739" spans="1:10" x14ac:dyDescent="0.25">
      <c r="A739" s="147"/>
      <c r="B739" s="284"/>
      <c r="C739" s="285"/>
      <c r="D739" s="286"/>
      <c r="E739" s="287"/>
      <c r="F739" s="288"/>
      <c r="G739" s="289"/>
      <c r="H739" s="288"/>
      <c r="I739" s="290"/>
      <c r="J739" s="291"/>
    </row>
    <row r="740" spans="1:10" x14ac:dyDescent="0.25">
      <c r="A740" s="147"/>
      <c r="B740" s="284"/>
      <c r="C740" s="285"/>
      <c r="D740" s="286"/>
      <c r="E740" s="287"/>
      <c r="F740" s="288"/>
      <c r="G740" s="289"/>
      <c r="H740" s="288"/>
      <c r="I740" s="290"/>
      <c r="J740" s="291"/>
    </row>
    <row r="741" spans="1:10" x14ac:dyDescent="0.25">
      <c r="A741" s="147"/>
      <c r="B741" s="284"/>
      <c r="C741" s="285"/>
      <c r="D741" s="286"/>
      <c r="E741" s="287"/>
      <c r="F741" s="288"/>
      <c r="G741" s="289"/>
      <c r="H741" s="288"/>
      <c r="I741" s="290"/>
      <c r="J741" s="291"/>
    </row>
    <row r="742" spans="1:10" x14ac:dyDescent="0.25">
      <c r="A742" s="147"/>
      <c r="B742" s="284"/>
      <c r="C742" s="285"/>
      <c r="D742" s="286"/>
      <c r="E742" s="287"/>
      <c r="F742" s="288"/>
      <c r="G742" s="289"/>
      <c r="H742" s="288"/>
      <c r="I742" s="290"/>
      <c r="J742" s="291"/>
    </row>
    <row r="743" spans="1:10" x14ac:dyDescent="0.25">
      <c r="A743" s="147"/>
      <c r="B743" s="284"/>
      <c r="C743" s="285"/>
      <c r="D743" s="286"/>
      <c r="E743" s="287"/>
      <c r="F743" s="288"/>
      <c r="G743" s="289"/>
      <c r="H743" s="288"/>
      <c r="I743" s="290"/>
      <c r="J743" s="291"/>
    </row>
    <row r="744" spans="1:10" x14ac:dyDescent="0.25">
      <c r="A744" s="147"/>
      <c r="B744" s="284"/>
      <c r="C744" s="285"/>
      <c r="D744" s="286"/>
      <c r="E744" s="287"/>
      <c r="F744" s="288"/>
      <c r="G744" s="289"/>
      <c r="H744" s="288"/>
      <c r="I744" s="290"/>
      <c r="J744" s="291"/>
    </row>
    <row r="745" spans="1:10" x14ac:dyDescent="0.25">
      <c r="A745" s="147"/>
      <c r="B745" s="284"/>
      <c r="C745" s="285"/>
      <c r="D745" s="286"/>
      <c r="E745" s="287"/>
      <c r="F745" s="288"/>
      <c r="G745" s="289"/>
      <c r="H745" s="288"/>
      <c r="I745" s="290"/>
      <c r="J745" s="291"/>
    </row>
    <row r="746" spans="1:10" x14ac:dyDescent="0.25">
      <c r="A746" s="147"/>
      <c r="B746" s="284"/>
      <c r="C746" s="285"/>
      <c r="D746" s="286"/>
      <c r="E746" s="287"/>
      <c r="F746" s="288"/>
      <c r="G746" s="289"/>
      <c r="H746" s="288"/>
      <c r="I746" s="290"/>
      <c r="J746" s="291"/>
    </row>
    <row r="747" spans="1:10" x14ac:dyDescent="0.25">
      <c r="A747" s="147"/>
      <c r="B747" s="284"/>
      <c r="C747" s="285"/>
      <c r="D747" s="286"/>
      <c r="E747" s="287"/>
      <c r="F747" s="288"/>
      <c r="G747" s="289"/>
      <c r="H747" s="288"/>
      <c r="I747" s="290"/>
      <c r="J747" s="291"/>
    </row>
    <row r="748" spans="1:10" x14ac:dyDescent="0.25">
      <c r="A748" s="147"/>
      <c r="B748" s="284"/>
      <c r="C748" s="285"/>
      <c r="D748" s="286"/>
      <c r="E748" s="287"/>
      <c r="F748" s="288"/>
      <c r="G748" s="289"/>
      <c r="H748" s="288"/>
      <c r="I748" s="290"/>
      <c r="J748" s="291"/>
    </row>
    <row r="749" spans="1:10" x14ac:dyDescent="0.25">
      <c r="A749" s="147"/>
      <c r="B749" s="284"/>
      <c r="C749" s="285"/>
      <c r="D749" s="286"/>
      <c r="E749" s="287"/>
      <c r="F749" s="288"/>
      <c r="G749" s="289"/>
      <c r="H749" s="288"/>
      <c r="I749" s="290"/>
      <c r="J749" s="291"/>
    </row>
    <row r="750" spans="1:10" x14ac:dyDescent="0.25">
      <c r="A750" s="147"/>
      <c r="B750" s="284"/>
      <c r="C750" s="285"/>
      <c r="D750" s="286"/>
      <c r="E750" s="287"/>
      <c r="F750" s="288"/>
      <c r="G750" s="289"/>
      <c r="H750" s="288"/>
      <c r="I750" s="290"/>
      <c r="J750" s="291"/>
    </row>
    <row r="751" spans="1:10" x14ac:dyDescent="0.25">
      <c r="A751" s="147"/>
      <c r="B751" s="284"/>
      <c r="C751" s="285"/>
      <c r="D751" s="286"/>
      <c r="E751" s="287"/>
      <c r="F751" s="288"/>
      <c r="G751" s="289"/>
      <c r="H751" s="288"/>
      <c r="I751" s="290"/>
      <c r="J751" s="291"/>
    </row>
    <row r="752" spans="1:10" x14ac:dyDescent="0.25">
      <c r="A752" s="147"/>
      <c r="B752" s="284"/>
      <c r="C752" s="285"/>
      <c r="D752" s="286"/>
      <c r="E752" s="287"/>
      <c r="F752" s="288"/>
      <c r="G752" s="289"/>
      <c r="H752" s="288"/>
      <c r="I752" s="290"/>
      <c r="J752" s="291"/>
    </row>
    <row r="753" spans="1:10" x14ac:dyDescent="0.25">
      <c r="A753" s="147"/>
      <c r="B753" s="284"/>
      <c r="C753" s="285"/>
      <c r="D753" s="286"/>
      <c r="E753" s="287"/>
      <c r="F753" s="288"/>
      <c r="G753" s="289"/>
      <c r="H753" s="288"/>
      <c r="I753" s="290"/>
      <c r="J753" s="291"/>
    </row>
    <row r="754" spans="1:10" x14ac:dyDescent="0.25">
      <c r="A754" s="147"/>
      <c r="B754" s="284"/>
      <c r="C754" s="285"/>
      <c r="D754" s="286"/>
      <c r="E754" s="287"/>
      <c r="F754" s="288"/>
      <c r="G754" s="289"/>
      <c r="H754" s="288"/>
      <c r="I754" s="290"/>
      <c r="J754" s="291"/>
    </row>
    <row r="755" spans="1:10" x14ac:dyDescent="0.25">
      <c r="A755" s="147"/>
      <c r="B755" s="284"/>
      <c r="C755" s="285"/>
      <c r="D755" s="286"/>
      <c r="E755" s="287"/>
      <c r="F755" s="288"/>
      <c r="G755" s="289"/>
      <c r="H755" s="288"/>
      <c r="I755" s="290"/>
      <c r="J755" s="291"/>
    </row>
    <row r="756" spans="1:10" x14ac:dyDescent="0.25">
      <c r="A756" s="147"/>
      <c r="B756" s="284"/>
      <c r="C756" s="285"/>
      <c r="D756" s="286"/>
      <c r="E756" s="287"/>
      <c r="F756" s="288"/>
      <c r="G756" s="289"/>
      <c r="H756" s="288"/>
      <c r="I756" s="290"/>
      <c r="J756" s="291"/>
    </row>
    <row r="757" spans="1:10" x14ac:dyDescent="0.25">
      <c r="A757" s="147"/>
      <c r="B757" s="284"/>
      <c r="C757" s="285"/>
      <c r="D757" s="286"/>
      <c r="E757" s="287"/>
      <c r="F757" s="288"/>
      <c r="G757" s="289"/>
      <c r="H757" s="288"/>
      <c r="I757" s="290"/>
      <c r="J757" s="291"/>
    </row>
    <row r="758" spans="1:10" x14ac:dyDescent="0.25">
      <c r="A758" s="147"/>
      <c r="B758" s="284"/>
      <c r="C758" s="285"/>
      <c r="D758" s="286"/>
      <c r="E758" s="287"/>
      <c r="F758" s="288"/>
      <c r="G758" s="289"/>
      <c r="H758" s="288"/>
      <c r="I758" s="290"/>
      <c r="J758" s="291"/>
    </row>
    <row r="759" spans="1:10" x14ac:dyDescent="0.25">
      <c r="A759" s="147"/>
      <c r="B759" s="284"/>
      <c r="C759" s="285"/>
      <c r="D759" s="286"/>
      <c r="E759" s="287"/>
      <c r="F759" s="288"/>
      <c r="G759" s="289"/>
      <c r="H759" s="288"/>
      <c r="I759" s="290"/>
      <c r="J759" s="291"/>
    </row>
    <row r="760" spans="1:10" x14ac:dyDescent="0.25">
      <c r="A760" s="147"/>
      <c r="B760" s="284"/>
      <c r="C760" s="285"/>
      <c r="D760" s="286"/>
      <c r="E760" s="287"/>
      <c r="F760" s="288"/>
      <c r="G760" s="289"/>
      <c r="H760" s="288"/>
      <c r="I760" s="290"/>
      <c r="J760" s="291"/>
    </row>
    <row r="761" spans="1:10" x14ac:dyDescent="0.25">
      <c r="A761" s="147"/>
      <c r="B761" s="284"/>
      <c r="C761" s="285"/>
      <c r="D761" s="286"/>
      <c r="E761" s="287"/>
      <c r="F761" s="288"/>
      <c r="G761" s="289"/>
      <c r="H761" s="288"/>
      <c r="I761" s="290"/>
      <c r="J761" s="291"/>
    </row>
    <row r="762" spans="1:10" x14ac:dyDescent="0.25">
      <c r="A762" s="147"/>
      <c r="B762" s="284"/>
      <c r="C762" s="285"/>
      <c r="D762" s="286"/>
      <c r="E762" s="287"/>
      <c r="F762" s="288"/>
      <c r="G762" s="289"/>
      <c r="H762" s="288"/>
      <c r="I762" s="290"/>
      <c r="J762" s="291"/>
    </row>
    <row r="763" spans="1:10" x14ac:dyDescent="0.25">
      <c r="A763" s="147"/>
      <c r="B763" s="284"/>
      <c r="C763" s="285"/>
      <c r="D763" s="286"/>
      <c r="E763" s="287"/>
      <c r="F763" s="288"/>
      <c r="G763" s="289"/>
      <c r="H763" s="288"/>
      <c r="I763" s="290"/>
      <c r="J763" s="291"/>
    </row>
    <row r="764" spans="1:10" x14ac:dyDescent="0.25">
      <c r="A764" s="147"/>
      <c r="B764" s="284"/>
      <c r="C764" s="285"/>
      <c r="D764" s="286"/>
      <c r="E764" s="287"/>
      <c r="F764" s="288"/>
      <c r="G764" s="289"/>
      <c r="H764" s="288"/>
      <c r="I764" s="290"/>
      <c r="J764" s="291"/>
    </row>
    <row r="765" spans="1:10" x14ac:dyDescent="0.25">
      <c r="A765" s="147"/>
      <c r="B765" s="284"/>
      <c r="C765" s="285"/>
      <c r="D765" s="286"/>
      <c r="E765" s="287"/>
      <c r="F765" s="288"/>
      <c r="G765" s="289"/>
      <c r="H765" s="288"/>
      <c r="I765" s="290"/>
      <c r="J765" s="291"/>
    </row>
    <row r="766" spans="1:10" x14ac:dyDescent="0.25">
      <c r="A766" s="147"/>
      <c r="B766" s="284"/>
      <c r="C766" s="285"/>
      <c r="D766" s="286"/>
      <c r="E766" s="287"/>
      <c r="F766" s="288"/>
      <c r="G766" s="289"/>
      <c r="H766" s="288"/>
      <c r="I766" s="290"/>
      <c r="J766" s="291"/>
    </row>
    <row r="767" spans="1:10" x14ac:dyDescent="0.25">
      <c r="A767" s="147"/>
      <c r="B767" s="284"/>
      <c r="C767" s="285"/>
      <c r="D767" s="286"/>
      <c r="E767" s="287"/>
      <c r="F767" s="288"/>
      <c r="G767" s="289"/>
      <c r="H767" s="288"/>
      <c r="I767" s="290"/>
      <c r="J767" s="291"/>
    </row>
    <row r="768" spans="1:10" x14ac:dyDescent="0.25">
      <c r="A768" s="147"/>
      <c r="B768" s="284"/>
      <c r="C768" s="285"/>
      <c r="D768" s="286"/>
      <c r="E768" s="287"/>
      <c r="F768" s="288"/>
      <c r="G768" s="289"/>
      <c r="H768" s="288"/>
      <c r="I768" s="290"/>
      <c r="J768" s="291"/>
    </row>
    <row r="769" spans="1:10" x14ac:dyDescent="0.25">
      <c r="A769" s="147"/>
      <c r="B769" s="284"/>
      <c r="C769" s="285"/>
      <c r="D769" s="286"/>
      <c r="E769" s="287"/>
      <c r="F769" s="288"/>
      <c r="G769" s="289"/>
      <c r="H769" s="288"/>
      <c r="I769" s="290"/>
      <c r="J769" s="291"/>
    </row>
    <row r="770" spans="1:10" x14ac:dyDescent="0.25">
      <c r="A770" s="147"/>
      <c r="B770" s="284"/>
      <c r="C770" s="285"/>
      <c r="D770" s="286"/>
      <c r="E770" s="287"/>
      <c r="F770" s="288"/>
      <c r="G770" s="289"/>
      <c r="H770" s="288"/>
      <c r="I770" s="290"/>
      <c r="J770" s="291"/>
    </row>
    <row r="771" spans="1:10" x14ac:dyDescent="0.25">
      <c r="A771" s="147"/>
      <c r="B771" s="284"/>
      <c r="C771" s="285"/>
      <c r="D771" s="286"/>
      <c r="E771" s="287"/>
      <c r="F771" s="288"/>
      <c r="G771" s="289"/>
      <c r="H771" s="288"/>
      <c r="I771" s="290"/>
      <c r="J771" s="291"/>
    </row>
    <row r="772" spans="1:10" x14ac:dyDescent="0.25">
      <c r="A772" s="147"/>
      <c r="B772" s="284"/>
      <c r="C772" s="285"/>
      <c r="D772" s="286"/>
      <c r="E772" s="287"/>
      <c r="F772" s="288"/>
      <c r="G772" s="289"/>
      <c r="H772" s="288"/>
      <c r="I772" s="290"/>
      <c r="J772" s="291"/>
    </row>
    <row r="773" spans="1:10" x14ac:dyDescent="0.25">
      <c r="A773" s="147"/>
      <c r="B773" s="284"/>
      <c r="C773" s="285"/>
      <c r="D773" s="286"/>
      <c r="E773" s="287"/>
      <c r="F773" s="288"/>
      <c r="G773" s="289"/>
      <c r="H773" s="288"/>
      <c r="I773" s="290"/>
      <c r="J773" s="291"/>
    </row>
    <row r="774" spans="1:10" x14ac:dyDescent="0.25">
      <c r="A774" s="147"/>
      <c r="B774" s="284"/>
      <c r="C774" s="285"/>
      <c r="D774" s="286"/>
      <c r="E774" s="287"/>
      <c r="F774" s="288"/>
      <c r="G774" s="289"/>
      <c r="H774" s="288"/>
      <c r="I774" s="290"/>
      <c r="J774" s="291"/>
    </row>
    <row r="775" spans="1:10" x14ac:dyDescent="0.25">
      <c r="A775" s="147"/>
      <c r="B775" s="284"/>
      <c r="C775" s="285"/>
      <c r="D775" s="286"/>
      <c r="E775" s="287"/>
      <c r="F775" s="288"/>
      <c r="G775" s="289"/>
      <c r="H775" s="288"/>
      <c r="I775" s="290"/>
      <c r="J775" s="291"/>
    </row>
    <row r="776" spans="1:10" x14ac:dyDescent="0.25">
      <c r="A776" s="147"/>
      <c r="B776" s="284"/>
      <c r="C776" s="285"/>
      <c r="D776" s="286"/>
      <c r="E776" s="287"/>
      <c r="F776" s="288"/>
      <c r="G776" s="289"/>
      <c r="H776" s="288"/>
      <c r="I776" s="290"/>
      <c r="J776" s="291"/>
    </row>
    <row r="777" spans="1:10" x14ac:dyDescent="0.25">
      <c r="A777" s="147"/>
      <c r="B777" s="284"/>
      <c r="C777" s="285"/>
      <c r="D777" s="286"/>
      <c r="E777" s="287"/>
      <c r="F777" s="288"/>
      <c r="G777" s="289"/>
      <c r="H777" s="288"/>
      <c r="I777" s="290"/>
      <c r="J777" s="291"/>
    </row>
    <row r="778" spans="1:10" x14ac:dyDescent="0.25">
      <c r="A778" s="147"/>
      <c r="B778" s="284"/>
      <c r="C778" s="285"/>
      <c r="D778" s="286"/>
      <c r="E778" s="287"/>
      <c r="F778" s="288"/>
      <c r="G778" s="289"/>
      <c r="H778" s="288"/>
      <c r="I778" s="290"/>
      <c r="J778" s="291"/>
    </row>
    <row r="779" spans="1:10" x14ac:dyDescent="0.25">
      <c r="A779" s="147"/>
      <c r="B779" s="284"/>
      <c r="C779" s="285"/>
      <c r="D779" s="286"/>
      <c r="E779" s="287"/>
      <c r="F779" s="288"/>
      <c r="G779" s="289"/>
      <c r="H779" s="288"/>
      <c r="I779" s="290"/>
      <c r="J779" s="291"/>
    </row>
    <row r="780" spans="1:10" x14ac:dyDescent="0.25">
      <c r="A780" s="147"/>
      <c r="B780" s="284"/>
      <c r="C780" s="285"/>
      <c r="D780" s="286"/>
      <c r="E780" s="287"/>
      <c r="F780" s="288"/>
      <c r="G780" s="289"/>
      <c r="H780" s="288"/>
      <c r="I780" s="290"/>
      <c r="J780" s="291"/>
    </row>
    <row r="781" spans="1:10" x14ac:dyDescent="0.25">
      <c r="A781" s="147"/>
      <c r="B781" s="284"/>
      <c r="C781" s="285"/>
      <c r="D781" s="286"/>
      <c r="E781" s="287"/>
      <c r="F781" s="288"/>
      <c r="G781" s="289"/>
      <c r="H781" s="288"/>
      <c r="I781" s="290"/>
      <c r="J781" s="291"/>
    </row>
    <row r="782" spans="1:10" x14ac:dyDescent="0.25">
      <c r="A782" s="147"/>
      <c r="B782" s="284"/>
      <c r="C782" s="285"/>
      <c r="D782" s="286"/>
      <c r="E782" s="287"/>
      <c r="F782" s="288"/>
      <c r="G782" s="289"/>
      <c r="H782" s="288"/>
      <c r="I782" s="290"/>
      <c r="J782" s="291"/>
    </row>
    <row r="783" spans="1:10" x14ac:dyDescent="0.25">
      <c r="A783" s="147"/>
      <c r="B783" s="284"/>
      <c r="C783" s="285"/>
      <c r="D783" s="286"/>
      <c r="E783" s="287"/>
      <c r="F783" s="288"/>
      <c r="G783" s="289"/>
      <c r="H783" s="288"/>
      <c r="I783" s="290"/>
      <c r="J783" s="291"/>
    </row>
    <row r="784" spans="1:10" x14ac:dyDescent="0.25">
      <c r="A784" s="147"/>
      <c r="B784" s="284"/>
      <c r="C784" s="285"/>
      <c r="D784" s="286"/>
      <c r="E784" s="287"/>
      <c r="F784" s="288"/>
      <c r="G784" s="289"/>
      <c r="H784" s="288"/>
      <c r="I784" s="290"/>
      <c r="J784" s="291"/>
    </row>
    <row r="785" spans="1:10" x14ac:dyDescent="0.25">
      <c r="A785" s="147"/>
      <c r="B785" s="284"/>
      <c r="C785" s="285"/>
      <c r="D785" s="286"/>
      <c r="E785" s="287"/>
      <c r="F785" s="288"/>
      <c r="G785" s="289"/>
      <c r="H785" s="288"/>
      <c r="I785" s="290"/>
      <c r="J785" s="291"/>
    </row>
    <row r="786" spans="1:10" x14ac:dyDescent="0.25">
      <c r="A786" s="147"/>
      <c r="B786" s="284"/>
      <c r="C786" s="285"/>
      <c r="D786" s="286"/>
      <c r="E786" s="287"/>
      <c r="F786" s="288"/>
      <c r="G786" s="289"/>
      <c r="H786" s="288"/>
      <c r="I786" s="290"/>
      <c r="J786" s="291"/>
    </row>
    <row r="787" spans="1:10" x14ac:dyDescent="0.25">
      <c r="A787" s="147"/>
      <c r="B787" s="284"/>
      <c r="C787" s="285"/>
      <c r="D787" s="286"/>
      <c r="E787" s="287"/>
      <c r="F787" s="288"/>
      <c r="G787" s="289"/>
      <c r="H787" s="288"/>
      <c r="I787" s="290"/>
      <c r="J787" s="291"/>
    </row>
    <row r="788" spans="1:10" x14ac:dyDescent="0.25">
      <c r="A788" s="147"/>
      <c r="B788" s="284"/>
      <c r="C788" s="285"/>
      <c r="D788" s="286"/>
      <c r="E788" s="287"/>
      <c r="F788" s="288"/>
      <c r="G788" s="289"/>
      <c r="H788" s="288"/>
      <c r="I788" s="290"/>
      <c r="J788" s="291"/>
    </row>
    <row r="789" spans="1:10" x14ac:dyDescent="0.25">
      <c r="A789" s="147"/>
      <c r="B789" s="284"/>
      <c r="C789" s="285"/>
      <c r="D789" s="286"/>
      <c r="E789" s="287"/>
      <c r="F789" s="288"/>
      <c r="G789" s="289"/>
      <c r="H789" s="288"/>
      <c r="I789" s="290"/>
      <c r="J789" s="291"/>
    </row>
    <row r="790" spans="1:10" x14ac:dyDescent="0.25">
      <c r="A790" s="147"/>
      <c r="B790" s="284"/>
      <c r="C790" s="285"/>
      <c r="D790" s="286"/>
      <c r="E790" s="287"/>
      <c r="F790" s="288"/>
      <c r="G790" s="289"/>
      <c r="H790" s="288"/>
      <c r="I790" s="290"/>
      <c r="J790" s="291"/>
    </row>
    <row r="791" spans="1:10" x14ac:dyDescent="0.25">
      <c r="A791" s="147"/>
      <c r="B791" s="284"/>
      <c r="C791" s="285"/>
      <c r="D791" s="286"/>
      <c r="E791" s="287"/>
      <c r="F791" s="288"/>
      <c r="G791" s="289"/>
      <c r="H791" s="288"/>
      <c r="I791" s="290"/>
      <c r="J791" s="291"/>
    </row>
    <row r="792" spans="1:10" x14ac:dyDescent="0.25">
      <c r="A792" s="147"/>
      <c r="B792" s="284"/>
      <c r="C792" s="285"/>
      <c r="D792" s="286"/>
      <c r="E792" s="287"/>
      <c r="F792" s="288"/>
      <c r="G792" s="289"/>
      <c r="H792" s="288"/>
      <c r="I792" s="290"/>
      <c r="J792" s="291"/>
    </row>
    <row r="793" spans="1:10" x14ac:dyDescent="0.25">
      <c r="A793" s="147"/>
      <c r="B793" s="284"/>
      <c r="C793" s="285"/>
      <c r="D793" s="286"/>
      <c r="E793" s="287"/>
      <c r="F793" s="288"/>
      <c r="G793" s="289"/>
      <c r="H793" s="288"/>
      <c r="I793" s="290"/>
      <c r="J793" s="291"/>
    </row>
    <row r="794" spans="1:10" x14ac:dyDescent="0.25">
      <c r="A794" s="147"/>
      <c r="B794" s="284"/>
      <c r="C794" s="285"/>
      <c r="D794" s="286"/>
      <c r="E794" s="287"/>
      <c r="F794" s="288"/>
      <c r="G794" s="289"/>
      <c r="H794" s="288"/>
      <c r="I794" s="290"/>
      <c r="J794" s="291"/>
    </row>
    <row r="795" spans="1:10" x14ac:dyDescent="0.25">
      <c r="A795" s="147"/>
      <c r="B795" s="284"/>
      <c r="C795" s="285"/>
      <c r="D795" s="286"/>
      <c r="E795" s="287"/>
      <c r="F795" s="288"/>
      <c r="G795" s="289"/>
      <c r="H795" s="288"/>
      <c r="I795" s="290"/>
      <c r="J795" s="291"/>
    </row>
    <row r="796" spans="1:10" x14ac:dyDescent="0.25">
      <c r="A796" s="147"/>
      <c r="B796" s="284"/>
      <c r="C796" s="285"/>
      <c r="D796" s="286"/>
      <c r="E796" s="287"/>
      <c r="F796" s="288"/>
      <c r="G796" s="289"/>
      <c r="H796" s="288"/>
      <c r="I796" s="290"/>
      <c r="J796" s="291"/>
    </row>
    <row r="797" spans="1:10" x14ac:dyDescent="0.25">
      <c r="A797" s="147"/>
      <c r="B797" s="284"/>
      <c r="C797" s="285"/>
      <c r="D797" s="286"/>
      <c r="E797" s="287"/>
      <c r="F797" s="288"/>
      <c r="G797" s="289"/>
      <c r="H797" s="288"/>
      <c r="I797" s="290"/>
      <c r="J797" s="291"/>
    </row>
    <row r="798" spans="1:10" x14ac:dyDescent="0.25">
      <c r="A798" s="147"/>
      <c r="B798" s="284"/>
      <c r="C798" s="285"/>
      <c r="D798" s="286"/>
      <c r="E798" s="287"/>
      <c r="F798" s="288"/>
      <c r="G798" s="289"/>
      <c r="H798" s="288"/>
      <c r="I798" s="290"/>
      <c r="J798" s="291"/>
    </row>
    <row r="799" spans="1:10" x14ac:dyDescent="0.25">
      <c r="A799" s="147"/>
      <c r="B799" s="284"/>
      <c r="C799" s="285"/>
      <c r="D799" s="286"/>
      <c r="E799" s="287"/>
      <c r="F799" s="288"/>
      <c r="G799" s="289"/>
      <c r="H799" s="288"/>
      <c r="I799" s="290"/>
      <c r="J799" s="291"/>
    </row>
    <row r="800" spans="1:10" x14ac:dyDescent="0.25">
      <c r="A800" s="147"/>
      <c r="B800" s="284"/>
      <c r="C800" s="285"/>
      <c r="D800" s="286"/>
      <c r="E800" s="287"/>
      <c r="F800" s="288"/>
      <c r="G800" s="289"/>
      <c r="H800" s="288"/>
      <c r="I800" s="290"/>
      <c r="J800" s="291"/>
    </row>
    <row r="801" spans="1:10" x14ac:dyDescent="0.25">
      <c r="A801" s="147"/>
      <c r="B801" s="284"/>
      <c r="C801" s="285"/>
      <c r="D801" s="286"/>
      <c r="E801" s="287"/>
      <c r="F801" s="288"/>
      <c r="G801" s="289"/>
      <c r="H801" s="288"/>
      <c r="I801" s="290"/>
      <c r="J801" s="291"/>
    </row>
    <row r="802" spans="1:10" x14ac:dyDescent="0.25">
      <c r="A802" s="147"/>
      <c r="B802" s="284"/>
      <c r="C802" s="285"/>
      <c r="D802" s="286"/>
      <c r="E802" s="287"/>
      <c r="F802" s="288"/>
      <c r="G802" s="289"/>
      <c r="H802" s="288"/>
      <c r="I802" s="290"/>
      <c r="J802" s="291"/>
    </row>
    <row r="803" spans="1:10" x14ac:dyDescent="0.25">
      <c r="A803" s="147"/>
      <c r="B803" s="284"/>
      <c r="C803" s="285"/>
      <c r="D803" s="286"/>
      <c r="E803" s="287"/>
      <c r="F803" s="288"/>
      <c r="G803" s="289"/>
      <c r="H803" s="288"/>
      <c r="I803" s="290"/>
      <c r="J803" s="291"/>
    </row>
    <row r="804" spans="1:10" x14ac:dyDescent="0.25">
      <c r="A804" s="147"/>
      <c r="B804" s="284"/>
      <c r="C804" s="285"/>
      <c r="D804" s="286"/>
      <c r="E804" s="287"/>
      <c r="F804" s="288"/>
      <c r="G804" s="289"/>
      <c r="H804" s="288"/>
      <c r="I804" s="290"/>
      <c r="J804" s="291"/>
    </row>
    <row r="805" spans="1:10" x14ac:dyDescent="0.25">
      <c r="A805" s="147"/>
      <c r="B805" s="284"/>
      <c r="C805" s="285"/>
      <c r="D805" s="286"/>
      <c r="E805" s="287"/>
      <c r="F805" s="288"/>
      <c r="G805" s="289"/>
      <c r="H805" s="288"/>
      <c r="I805" s="290"/>
      <c r="J805" s="291"/>
    </row>
    <row r="806" spans="1:10" x14ac:dyDescent="0.25">
      <c r="A806" s="147"/>
      <c r="B806" s="284"/>
      <c r="C806" s="285"/>
      <c r="D806" s="286"/>
      <c r="E806" s="287"/>
      <c r="F806" s="288"/>
      <c r="G806" s="289"/>
      <c r="H806" s="288"/>
      <c r="I806" s="290"/>
      <c r="J806" s="291"/>
    </row>
    <row r="807" spans="1:10" x14ac:dyDescent="0.25">
      <c r="A807" s="147"/>
      <c r="B807" s="284"/>
      <c r="C807" s="285"/>
      <c r="D807" s="286"/>
      <c r="E807" s="287"/>
      <c r="F807" s="288"/>
      <c r="G807" s="289"/>
      <c r="H807" s="288"/>
      <c r="I807" s="290"/>
      <c r="J807" s="291"/>
    </row>
    <row r="808" spans="1:10" x14ac:dyDescent="0.25">
      <c r="A808" s="147"/>
      <c r="B808" s="284"/>
      <c r="C808" s="285"/>
      <c r="D808" s="286"/>
      <c r="E808" s="287"/>
      <c r="F808" s="288"/>
      <c r="G808" s="289"/>
      <c r="H808" s="288"/>
      <c r="I808" s="290"/>
      <c r="J808" s="291"/>
    </row>
    <row r="809" spans="1:10" x14ac:dyDescent="0.25">
      <c r="A809" s="147"/>
      <c r="B809" s="284"/>
      <c r="C809" s="285"/>
      <c r="D809" s="286"/>
      <c r="E809" s="287"/>
      <c r="F809" s="288"/>
      <c r="G809" s="289"/>
      <c r="H809" s="288"/>
      <c r="I809" s="290"/>
      <c r="J809" s="291"/>
    </row>
    <row r="810" spans="1:10" x14ac:dyDescent="0.25">
      <c r="A810" s="147"/>
      <c r="B810" s="284"/>
      <c r="C810" s="285"/>
      <c r="D810" s="286"/>
      <c r="E810" s="287"/>
      <c r="F810" s="288"/>
      <c r="G810" s="289"/>
      <c r="H810" s="288"/>
      <c r="I810" s="290"/>
      <c r="J810" s="291"/>
    </row>
    <row r="811" spans="1:10" x14ac:dyDescent="0.25">
      <c r="A811" s="147"/>
      <c r="B811" s="284"/>
      <c r="C811" s="285"/>
      <c r="D811" s="286"/>
      <c r="E811" s="287"/>
      <c r="F811" s="288"/>
      <c r="G811" s="289"/>
      <c r="H811" s="288"/>
      <c r="I811" s="290"/>
      <c r="J811" s="291"/>
    </row>
    <row r="812" spans="1:10" x14ac:dyDescent="0.25">
      <c r="A812" s="147"/>
      <c r="B812" s="284"/>
      <c r="C812" s="285"/>
      <c r="D812" s="286"/>
      <c r="E812" s="287"/>
      <c r="F812" s="288"/>
      <c r="G812" s="289"/>
      <c r="H812" s="288"/>
      <c r="I812" s="290"/>
      <c r="J812" s="291"/>
    </row>
    <row r="813" spans="1:10" x14ac:dyDescent="0.25">
      <c r="A813" s="147"/>
      <c r="B813" s="284"/>
      <c r="C813" s="285"/>
      <c r="D813" s="286"/>
      <c r="E813" s="287"/>
      <c r="F813" s="288"/>
      <c r="G813" s="289"/>
      <c r="H813" s="288"/>
      <c r="I813" s="290"/>
      <c r="J813" s="291"/>
    </row>
    <row r="814" spans="1:10" x14ac:dyDescent="0.25">
      <c r="A814" s="147"/>
      <c r="B814" s="284"/>
      <c r="C814" s="285"/>
      <c r="D814" s="286"/>
      <c r="E814" s="287"/>
      <c r="F814" s="288"/>
      <c r="G814" s="289"/>
      <c r="H814" s="288"/>
      <c r="I814" s="290"/>
      <c r="J814" s="291"/>
    </row>
    <row r="815" spans="1:10" x14ac:dyDescent="0.25">
      <c r="A815" s="147"/>
      <c r="B815" s="284"/>
      <c r="C815" s="285"/>
      <c r="D815" s="286"/>
      <c r="E815" s="287"/>
      <c r="F815" s="288"/>
      <c r="G815" s="289"/>
      <c r="H815" s="288"/>
      <c r="I815" s="290"/>
      <c r="J815" s="291"/>
    </row>
    <row r="816" spans="1:10" x14ac:dyDescent="0.25">
      <c r="A816" s="147"/>
      <c r="B816" s="284"/>
      <c r="C816" s="285"/>
      <c r="D816" s="286"/>
      <c r="E816" s="287"/>
      <c r="F816" s="288"/>
      <c r="G816" s="289"/>
      <c r="H816" s="288"/>
      <c r="I816" s="290"/>
      <c r="J816" s="291"/>
    </row>
  </sheetData>
  <mergeCells count="5">
    <mergeCell ref="C1:I1"/>
    <mergeCell ref="M31:Q31"/>
    <mergeCell ref="P32:Q32"/>
    <mergeCell ref="M39:Q39"/>
    <mergeCell ref="P40:Q40"/>
  </mergeCells>
  <conditionalFormatting sqref="A1:A816">
    <cfRule type="timePeriod" dxfId="2" priority="1" timePeriod="today">
      <formula>FLOOR(A1,1)=TODAY()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C1:I8"/>
  <sheetViews>
    <sheetView showGridLines="0" workbookViewId="0"/>
  </sheetViews>
  <sheetFormatPr defaultColWidth="14.44140625" defaultRowHeight="15.75" customHeight="1" x14ac:dyDescent="0.25"/>
  <sheetData>
    <row r="1" spans="3:9" x14ac:dyDescent="0.25">
      <c r="I1" s="232" t="s">
        <v>133</v>
      </c>
    </row>
    <row r="2" spans="3:9" x14ac:dyDescent="0.25">
      <c r="C2" s="151" t="s">
        <v>134</v>
      </c>
      <c r="D2" s="90"/>
      <c r="E2" s="90"/>
      <c r="F2" s="90"/>
      <c r="G2" s="90"/>
      <c r="I2" s="232" t="s">
        <v>135</v>
      </c>
    </row>
    <row r="3" spans="3:9" x14ac:dyDescent="0.25">
      <c r="C3" s="151" t="s">
        <v>136</v>
      </c>
      <c r="D3" s="90"/>
      <c r="E3" s="90"/>
      <c r="F3" s="90"/>
      <c r="G3" s="90"/>
      <c r="I3" s="232" t="s">
        <v>137</v>
      </c>
    </row>
    <row r="4" spans="3:9" x14ac:dyDescent="0.25">
      <c r="I4" s="232" t="s">
        <v>138</v>
      </c>
    </row>
    <row r="5" spans="3:9" ht="15.75" customHeight="1" x14ac:dyDescent="0.5">
      <c r="C5" s="292" t="s">
        <v>139</v>
      </c>
    </row>
    <row r="8" spans="3:9" x14ac:dyDescent="0.25">
      <c r="D8" s="232" t="s">
        <v>140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E100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4.44140625" defaultRowHeight="15.75" customHeight="1" x14ac:dyDescent="0.25"/>
  <cols>
    <col min="1" max="1" width="11.109375" customWidth="1"/>
    <col min="2" max="2" width="5.6640625" customWidth="1"/>
    <col min="3" max="3" width="5.6640625" hidden="1" customWidth="1"/>
    <col min="4" max="4" width="7.88671875" customWidth="1"/>
    <col min="5" max="5" width="8.109375" customWidth="1"/>
    <col min="6" max="7" width="8.44140625" customWidth="1"/>
    <col min="8" max="8" width="8.5546875" customWidth="1"/>
    <col min="9" max="9" width="7.5546875" customWidth="1"/>
    <col min="10" max="10" width="8.44140625" customWidth="1"/>
    <col min="11" max="11" width="7.5546875" customWidth="1"/>
    <col min="12" max="12" width="8.109375" customWidth="1"/>
    <col min="13" max="13" width="7.5546875" customWidth="1"/>
    <col min="14" max="14" width="8.33203125" customWidth="1"/>
    <col min="15" max="15" width="7.5546875" customWidth="1"/>
    <col min="16" max="16" width="8.109375" customWidth="1"/>
    <col min="17" max="17" width="7.5546875" customWidth="1"/>
    <col min="18" max="18" width="8.33203125" customWidth="1"/>
    <col min="19" max="19" width="7.5546875" customWidth="1"/>
    <col min="20" max="20" width="8.109375" customWidth="1"/>
    <col min="21" max="21" width="7.5546875" customWidth="1"/>
    <col min="22" max="22" width="8.44140625" customWidth="1"/>
    <col min="23" max="23" width="7.5546875" customWidth="1"/>
    <col min="24" max="24" width="8.109375" customWidth="1"/>
    <col min="25" max="25" width="7.5546875" customWidth="1"/>
    <col min="26" max="26" width="8.33203125" customWidth="1"/>
    <col min="27" max="27" width="7.5546875" customWidth="1"/>
    <col min="28" max="28" width="8.109375" customWidth="1"/>
    <col min="29" max="29" width="7.5546875" customWidth="1"/>
    <col min="30" max="30" width="8.44140625" customWidth="1"/>
    <col min="31" max="31" width="7.5546875" customWidth="1"/>
    <col min="32" max="32" width="8.109375" customWidth="1"/>
    <col min="33" max="33" width="7.5546875" customWidth="1"/>
    <col min="34" max="34" width="8.33203125" customWidth="1"/>
    <col min="35" max="35" width="7.5546875" customWidth="1"/>
    <col min="36" max="36" width="8.109375" customWidth="1"/>
    <col min="37" max="37" width="7.5546875" customWidth="1"/>
    <col min="38" max="38" width="8.44140625" customWidth="1"/>
    <col min="39" max="39" width="7.5546875" customWidth="1"/>
    <col min="40" max="40" width="8.109375" customWidth="1"/>
    <col min="41" max="41" width="7.5546875" customWidth="1"/>
    <col min="42" max="42" width="8.33203125" customWidth="1"/>
    <col min="43" max="43" width="7.5546875" customWidth="1"/>
    <col min="44" max="44" width="8.109375" customWidth="1"/>
    <col min="45" max="45" width="7.5546875" customWidth="1"/>
    <col min="46" max="46" width="8.44140625" customWidth="1"/>
    <col min="47" max="47" width="7.5546875" customWidth="1"/>
    <col min="48" max="48" width="8.109375" customWidth="1"/>
    <col min="49" max="49" width="7.5546875" customWidth="1"/>
    <col min="50" max="50" width="8.33203125" customWidth="1"/>
    <col min="51" max="51" width="7.5546875" customWidth="1"/>
    <col min="52" max="52" width="8.109375" customWidth="1"/>
    <col min="53" max="53" width="7.5546875" customWidth="1"/>
    <col min="54" max="54" width="8.44140625" customWidth="1"/>
    <col min="55" max="55" width="7.5546875" customWidth="1"/>
    <col min="56" max="56" width="8.109375" customWidth="1"/>
    <col min="57" max="57" width="7.5546875" customWidth="1"/>
    <col min="58" max="58" width="8.33203125" customWidth="1"/>
    <col min="59" max="59" width="7.5546875" customWidth="1"/>
    <col min="60" max="60" width="8.109375" customWidth="1"/>
    <col min="61" max="61" width="7.5546875" customWidth="1"/>
    <col min="62" max="62" width="8.44140625" customWidth="1"/>
    <col min="63" max="63" width="7.5546875" customWidth="1"/>
    <col min="64" max="64" width="8.109375" customWidth="1"/>
    <col min="65" max="65" width="7.5546875" customWidth="1"/>
    <col min="66" max="66" width="8.33203125" customWidth="1"/>
    <col min="67" max="67" width="7.5546875" customWidth="1"/>
    <col min="68" max="68" width="8.109375" customWidth="1"/>
    <col min="69" max="69" width="7.5546875" customWidth="1"/>
    <col min="70" max="70" width="8.44140625" customWidth="1"/>
    <col min="71" max="71" width="7.5546875" customWidth="1"/>
    <col min="72" max="72" width="8.109375" customWidth="1"/>
    <col min="73" max="73" width="7.44140625" customWidth="1"/>
    <col min="74" max="74" width="8.33203125" customWidth="1"/>
  </cols>
  <sheetData>
    <row r="1" spans="1:83" x14ac:dyDescent="0.25">
      <c r="A1" s="293" t="str">
        <f>'R(t) Polska'!A1</f>
        <v>ver. 0.89</v>
      </c>
      <c r="B1" s="294"/>
      <c r="C1" s="295"/>
      <c r="D1" s="406" t="s">
        <v>141</v>
      </c>
      <c r="E1" s="362"/>
      <c r="F1" s="362"/>
      <c r="G1" s="362"/>
      <c r="H1" s="362"/>
      <c r="I1" s="362"/>
      <c r="J1" s="363"/>
      <c r="K1" s="406" t="s">
        <v>90</v>
      </c>
      <c r="L1" s="362"/>
      <c r="M1" s="362"/>
      <c r="N1" s="362"/>
      <c r="O1" s="406" t="s">
        <v>91</v>
      </c>
      <c r="P1" s="362"/>
      <c r="Q1" s="362"/>
      <c r="R1" s="362"/>
      <c r="S1" s="406" t="s">
        <v>92</v>
      </c>
      <c r="T1" s="362"/>
      <c r="U1" s="362"/>
      <c r="V1" s="362"/>
      <c r="W1" s="406" t="s">
        <v>93</v>
      </c>
      <c r="X1" s="362"/>
      <c r="Y1" s="362"/>
      <c r="Z1" s="362"/>
      <c r="AA1" s="406" t="s">
        <v>94</v>
      </c>
      <c r="AB1" s="362"/>
      <c r="AC1" s="362"/>
      <c r="AD1" s="362"/>
      <c r="AE1" s="406" t="s">
        <v>95</v>
      </c>
      <c r="AF1" s="362"/>
      <c r="AG1" s="362"/>
      <c r="AH1" s="362"/>
      <c r="AI1" s="406" t="s">
        <v>96</v>
      </c>
      <c r="AJ1" s="362"/>
      <c r="AK1" s="362"/>
      <c r="AL1" s="362"/>
      <c r="AM1" s="406" t="s">
        <v>97</v>
      </c>
      <c r="AN1" s="362"/>
      <c r="AO1" s="362"/>
      <c r="AP1" s="362"/>
      <c r="AQ1" s="406" t="s">
        <v>98</v>
      </c>
      <c r="AR1" s="362"/>
      <c r="AS1" s="362"/>
      <c r="AT1" s="362"/>
      <c r="AU1" s="406" t="s">
        <v>99</v>
      </c>
      <c r="AV1" s="362"/>
      <c r="AW1" s="362"/>
      <c r="AX1" s="362"/>
      <c r="AY1" s="406" t="s">
        <v>100</v>
      </c>
      <c r="AZ1" s="362"/>
      <c r="BA1" s="362"/>
      <c r="BB1" s="363"/>
      <c r="BC1" s="406" t="s">
        <v>101</v>
      </c>
      <c r="BD1" s="362"/>
      <c r="BE1" s="362"/>
      <c r="BF1" s="363"/>
      <c r="BG1" s="406" t="s">
        <v>102</v>
      </c>
      <c r="BH1" s="362"/>
      <c r="BI1" s="362"/>
      <c r="BJ1" s="363"/>
      <c r="BK1" s="406" t="s">
        <v>103</v>
      </c>
      <c r="BL1" s="362"/>
      <c r="BM1" s="362"/>
      <c r="BN1" s="363"/>
      <c r="BO1" s="406" t="s">
        <v>104</v>
      </c>
      <c r="BP1" s="362"/>
      <c r="BQ1" s="362"/>
      <c r="BR1" s="363"/>
      <c r="BS1" s="406" t="s">
        <v>105</v>
      </c>
      <c r="BT1" s="362"/>
      <c r="BU1" s="362"/>
      <c r="BV1" s="363"/>
      <c r="BW1" s="296"/>
      <c r="BX1" s="296"/>
      <c r="BY1" s="296"/>
      <c r="BZ1" s="296"/>
      <c r="CA1" s="296"/>
      <c r="CB1" s="296"/>
      <c r="CC1" s="296"/>
      <c r="CD1" s="296"/>
      <c r="CE1" s="296"/>
    </row>
    <row r="2" spans="1:83" x14ac:dyDescent="0.25">
      <c r="A2" s="297" t="s">
        <v>7</v>
      </c>
      <c r="B2" s="298" t="s">
        <v>9</v>
      </c>
      <c r="C2" s="299"/>
      <c r="D2" s="300" t="s">
        <v>142</v>
      </c>
      <c r="E2" s="301" t="s">
        <v>12</v>
      </c>
      <c r="F2" s="302" t="s">
        <v>15</v>
      </c>
      <c r="G2" s="303" t="s">
        <v>143</v>
      </c>
      <c r="H2" s="304" t="s">
        <v>11</v>
      </c>
      <c r="I2" s="298" t="s">
        <v>13</v>
      </c>
      <c r="J2" s="305" t="s">
        <v>14</v>
      </c>
      <c r="K2" s="306" t="s">
        <v>142</v>
      </c>
      <c r="L2" s="307" t="s">
        <v>12</v>
      </c>
      <c r="M2" s="308" t="s">
        <v>11</v>
      </c>
      <c r="N2" s="309" t="s">
        <v>13</v>
      </c>
      <c r="O2" s="306" t="s">
        <v>142</v>
      </c>
      <c r="P2" s="310" t="s">
        <v>12</v>
      </c>
      <c r="Q2" s="308" t="s">
        <v>11</v>
      </c>
      <c r="R2" s="311" t="s">
        <v>13</v>
      </c>
      <c r="S2" s="312" t="s">
        <v>142</v>
      </c>
      <c r="T2" s="307" t="s">
        <v>12</v>
      </c>
      <c r="U2" s="308" t="s">
        <v>11</v>
      </c>
      <c r="V2" s="309" t="s">
        <v>13</v>
      </c>
      <c r="W2" s="306" t="s">
        <v>142</v>
      </c>
      <c r="X2" s="307" t="s">
        <v>12</v>
      </c>
      <c r="Y2" s="308" t="s">
        <v>11</v>
      </c>
      <c r="Z2" s="311" t="s">
        <v>13</v>
      </c>
      <c r="AA2" s="312" t="s">
        <v>142</v>
      </c>
      <c r="AB2" s="307" t="s">
        <v>12</v>
      </c>
      <c r="AC2" s="308" t="s">
        <v>11</v>
      </c>
      <c r="AD2" s="309" t="s">
        <v>13</v>
      </c>
      <c r="AE2" s="306" t="s">
        <v>142</v>
      </c>
      <c r="AF2" s="307" t="s">
        <v>12</v>
      </c>
      <c r="AG2" s="308" t="s">
        <v>11</v>
      </c>
      <c r="AH2" s="311" t="s">
        <v>13</v>
      </c>
      <c r="AI2" s="312" t="s">
        <v>142</v>
      </c>
      <c r="AJ2" s="307" t="s">
        <v>12</v>
      </c>
      <c r="AK2" s="308" t="s">
        <v>11</v>
      </c>
      <c r="AL2" s="309" t="s">
        <v>13</v>
      </c>
      <c r="AM2" s="306" t="s">
        <v>142</v>
      </c>
      <c r="AN2" s="307" t="s">
        <v>12</v>
      </c>
      <c r="AO2" s="308" t="s">
        <v>11</v>
      </c>
      <c r="AP2" s="311" t="s">
        <v>13</v>
      </c>
      <c r="AQ2" s="312" t="s">
        <v>142</v>
      </c>
      <c r="AR2" s="310" t="s">
        <v>12</v>
      </c>
      <c r="AS2" s="308" t="s">
        <v>11</v>
      </c>
      <c r="AT2" s="309" t="s">
        <v>13</v>
      </c>
      <c r="AU2" s="306" t="s">
        <v>142</v>
      </c>
      <c r="AV2" s="307" t="s">
        <v>12</v>
      </c>
      <c r="AW2" s="308" t="s">
        <v>11</v>
      </c>
      <c r="AX2" s="311" t="s">
        <v>13</v>
      </c>
      <c r="AY2" s="312" t="s">
        <v>142</v>
      </c>
      <c r="AZ2" s="307" t="s">
        <v>12</v>
      </c>
      <c r="BA2" s="308" t="s">
        <v>11</v>
      </c>
      <c r="BB2" s="309" t="s">
        <v>13</v>
      </c>
      <c r="BC2" s="306" t="s">
        <v>142</v>
      </c>
      <c r="BD2" s="307" t="s">
        <v>12</v>
      </c>
      <c r="BE2" s="308" t="s">
        <v>11</v>
      </c>
      <c r="BF2" s="311" t="s">
        <v>13</v>
      </c>
      <c r="BG2" s="312" t="s">
        <v>142</v>
      </c>
      <c r="BH2" s="307" t="s">
        <v>12</v>
      </c>
      <c r="BI2" s="308" t="s">
        <v>11</v>
      </c>
      <c r="BJ2" s="309" t="s">
        <v>13</v>
      </c>
      <c r="BK2" s="306" t="s">
        <v>142</v>
      </c>
      <c r="BL2" s="307" t="s">
        <v>12</v>
      </c>
      <c r="BM2" s="308" t="s">
        <v>11</v>
      </c>
      <c r="BN2" s="311" t="s">
        <v>13</v>
      </c>
      <c r="BO2" s="312" t="s">
        <v>142</v>
      </c>
      <c r="BP2" s="307" t="s">
        <v>12</v>
      </c>
      <c r="BQ2" s="308" t="s">
        <v>11</v>
      </c>
      <c r="BR2" s="309" t="s">
        <v>13</v>
      </c>
      <c r="BS2" s="306" t="s">
        <v>142</v>
      </c>
      <c r="BT2" s="307" t="s">
        <v>12</v>
      </c>
      <c r="BU2" s="308" t="s">
        <v>11</v>
      </c>
      <c r="BV2" s="309" t="s">
        <v>13</v>
      </c>
      <c r="BW2" s="90"/>
      <c r="BX2" s="90"/>
      <c r="BY2" s="90"/>
      <c r="BZ2" s="90"/>
      <c r="CA2" s="90"/>
      <c r="CB2" s="90"/>
      <c r="CC2" s="90"/>
      <c r="CD2" s="90"/>
      <c r="CE2" s="90"/>
    </row>
    <row r="3" spans="1:83" x14ac:dyDescent="0.25">
      <c r="A3" s="313">
        <v>43893</v>
      </c>
      <c r="B3" s="314">
        <v>0</v>
      </c>
      <c r="C3" s="315"/>
      <c r="D3" s="316">
        <v>0</v>
      </c>
      <c r="E3" s="317">
        <v>0</v>
      </c>
      <c r="F3" s="318">
        <v>0</v>
      </c>
      <c r="G3" s="319"/>
      <c r="H3" s="320">
        <v>0</v>
      </c>
      <c r="I3" s="321">
        <v>0</v>
      </c>
      <c r="J3" s="322">
        <v>0</v>
      </c>
      <c r="K3" s="323">
        <v>0</v>
      </c>
      <c r="L3" s="119">
        <v>0</v>
      </c>
      <c r="M3" s="324">
        <v>0</v>
      </c>
      <c r="N3" s="325">
        <v>0</v>
      </c>
      <c r="O3" s="326">
        <v>0</v>
      </c>
      <c r="P3" s="327">
        <v>0</v>
      </c>
      <c r="Q3" s="324">
        <v>0</v>
      </c>
      <c r="R3" s="328">
        <v>0</v>
      </c>
      <c r="S3" s="329">
        <v>0</v>
      </c>
      <c r="T3" s="119">
        <v>0</v>
      </c>
      <c r="U3" s="324">
        <v>0</v>
      </c>
      <c r="V3" s="325">
        <v>0</v>
      </c>
      <c r="W3" s="326">
        <v>1</v>
      </c>
      <c r="X3" s="119">
        <v>0</v>
      </c>
      <c r="Y3" s="324">
        <v>1</v>
      </c>
      <c r="Z3" s="328">
        <v>0</v>
      </c>
      <c r="AA3" s="329">
        <v>0</v>
      </c>
      <c r="AB3" s="119">
        <v>0</v>
      </c>
      <c r="AC3" s="324">
        <v>0</v>
      </c>
      <c r="AD3" s="325">
        <v>0</v>
      </c>
      <c r="AE3" s="326">
        <v>0</v>
      </c>
      <c r="AF3" s="119">
        <v>0</v>
      </c>
      <c r="AG3" s="324">
        <v>0</v>
      </c>
      <c r="AH3" s="328">
        <v>0</v>
      </c>
      <c r="AI3" s="329">
        <v>0</v>
      </c>
      <c r="AJ3" s="119">
        <v>0</v>
      </c>
      <c r="AK3" s="324">
        <v>0</v>
      </c>
      <c r="AL3" s="325">
        <v>0</v>
      </c>
      <c r="AM3" s="326">
        <v>0</v>
      </c>
      <c r="AN3" s="119">
        <v>0</v>
      </c>
      <c r="AO3" s="324">
        <v>0</v>
      </c>
      <c r="AP3" s="328">
        <v>0</v>
      </c>
      <c r="AQ3" s="329">
        <v>0</v>
      </c>
      <c r="AR3" s="327">
        <v>0</v>
      </c>
      <c r="AS3" s="324">
        <v>0</v>
      </c>
      <c r="AT3" s="325">
        <v>0</v>
      </c>
      <c r="AU3" s="326">
        <v>0</v>
      </c>
      <c r="AV3" s="119">
        <v>0</v>
      </c>
      <c r="AW3" s="324">
        <v>0</v>
      </c>
      <c r="AX3" s="328">
        <v>0</v>
      </c>
      <c r="AY3" s="329">
        <v>0</v>
      </c>
      <c r="AZ3" s="119">
        <v>0</v>
      </c>
      <c r="BA3" s="324">
        <v>0</v>
      </c>
      <c r="BB3" s="325">
        <v>0</v>
      </c>
      <c r="BC3" s="326">
        <v>0</v>
      </c>
      <c r="BD3" s="119">
        <v>0</v>
      </c>
      <c r="BE3" s="324">
        <v>0</v>
      </c>
      <c r="BF3" s="328">
        <v>0</v>
      </c>
      <c r="BG3" s="329">
        <v>0</v>
      </c>
      <c r="BH3" s="119">
        <v>0</v>
      </c>
      <c r="BI3" s="324">
        <v>0</v>
      </c>
      <c r="BJ3" s="325">
        <v>0</v>
      </c>
      <c r="BK3" s="326">
        <v>0</v>
      </c>
      <c r="BL3" s="119">
        <v>0</v>
      </c>
      <c r="BM3" s="324">
        <v>0</v>
      </c>
      <c r="BN3" s="328">
        <v>0</v>
      </c>
      <c r="BO3" s="329">
        <v>0</v>
      </c>
      <c r="BP3" s="119">
        <v>0</v>
      </c>
      <c r="BQ3" s="324">
        <v>0</v>
      </c>
      <c r="BR3" s="325">
        <v>0</v>
      </c>
      <c r="BS3" s="329">
        <v>0</v>
      </c>
      <c r="BT3" s="119">
        <v>0</v>
      </c>
      <c r="BU3" s="324">
        <v>0</v>
      </c>
      <c r="BV3" s="325">
        <v>0</v>
      </c>
      <c r="BW3" s="233"/>
      <c r="BX3" s="233"/>
      <c r="BY3" s="233"/>
      <c r="BZ3" s="233"/>
      <c r="CA3" s="233"/>
      <c r="CB3" s="233"/>
      <c r="CC3" s="233"/>
      <c r="CD3" s="233"/>
      <c r="CE3" s="233"/>
    </row>
    <row r="4" spans="1:83" x14ac:dyDescent="0.25">
      <c r="A4" s="313">
        <v>43894</v>
      </c>
      <c r="B4" s="314">
        <v>1</v>
      </c>
      <c r="C4" s="315"/>
      <c r="D4" s="316">
        <v>1</v>
      </c>
      <c r="E4" s="317">
        <v>0</v>
      </c>
      <c r="F4" s="318">
        <v>0</v>
      </c>
      <c r="G4" s="319"/>
      <c r="H4" s="330">
        <f t="shared" ref="H4:I4" si="0">IF(ISBLANK(D4),,H3+D4)</f>
        <v>1</v>
      </c>
      <c r="I4" s="331">
        <f t="shared" si="0"/>
        <v>0</v>
      </c>
      <c r="J4" s="332">
        <f t="shared" ref="J4:J299" si="1">IF(ISBLANK(F4),,F4-F3)</f>
        <v>0</v>
      </c>
      <c r="K4" s="333">
        <f t="shared" ref="K4:L4" si="2">IF(ISBLANK(M4),,M4-M3)</f>
        <v>0</v>
      </c>
      <c r="L4" s="334">
        <f t="shared" si="2"/>
        <v>0</v>
      </c>
      <c r="M4" s="335">
        <v>0</v>
      </c>
      <c r="N4" s="336">
        <v>0</v>
      </c>
      <c r="O4" s="337">
        <f t="shared" ref="O4:P4" si="3">IF(ISBLANK(Q4),,Q4-Q3)</f>
        <v>0</v>
      </c>
      <c r="P4" s="338">
        <f t="shared" si="3"/>
        <v>0</v>
      </c>
      <c r="Q4" s="335">
        <v>0</v>
      </c>
      <c r="R4" s="339">
        <v>0</v>
      </c>
      <c r="S4" s="316">
        <f t="shared" ref="S4:T4" si="4">IF(ISBLANK(U4),,U4-U3)</f>
        <v>0</v>
      </c>
      <c r="T4" s="334">
        <f t="shared" si="4"/>
        <v>0</v>
      </c>
      <c r="U4" s="335">
        <v>0</v>
      </c>
      <c r="V4" s="336">
        <v>0</v>
      </c>
      <c r="W4" s="337">
        <f t="shared" ref="W4:X4" si="5">IF(ISBLANK(Y4),,Y4-Y3)</f>
        <v>0</v>
      </c>
      <c r="X4" s="334">
        <f t="shared" si="5"/>
        <v>0</v>
      </c>
      <c r="Y4" s="335">
        <v>1</v>
      </c>
      <c r="Z4" s="340">
        <v>0</v>
      </c>
      <c r="AA4" s="316">
        <f t="shared" ref="AA4:AB4" si="6">IF(ISBLANK(AC4),,AC4-AC3)</f>
        <v>0</v>
      </c>
      <c r="AB4" s="334">
        <f t="shared" si="6"/>
        <v>0</v>
      </c>
      <c r="AC4" s="335">
        <v>0</v>
      </c>
      <c r="AD4" s="336">
        <v>0</v>
      </c>
      <c r="AE4" s="337">
        <f t="shared" ref="AE4:AF4" si="7">IF(ISBLANK(AG4),,AG4-AG3)</f>
        <v>0</v>
      </c>
      <c r="AF4" s="334">
        <f t="shared" si="7"/>
        <v>0</v>
      </c>
      <c r="AG4" s="335">
        <v>0</v>
      </c>
      <c r="AH4" s="339">
        <v>0</v>
      </c>
      <c r="AI4" s="316">
        <f t="shared" ref="AI4:AJ4" si="8">IF(ISBLANK(AK4),,AK4-AK3)</f>
        <v>0</v>
      </c>
      <c r="AJ4" s="334">
        <f t="shared" si="8"/>
        <v>0</v>
      </c>
      <c r="AK4" s="335">
        <v>0</v>
      </c>
      <c r="AL4" s="336">
        <v>0</v>
      </c>
      <c r="AM4" s="337">
        <f t="shared" ref="AM4:AN4" si="9">IF(ISBLANK(AO4),,AO4-AO3)</f>
        <v>0</v>
      </c>
      <c r="AN4" s="334">
        <f t="shared" si="9"/>
        <v>0</v>
      </c>
      <c r="AO4" s="335">
        <v>0</v>
      </c>
      <c r="AP4" s="339">
        <v>0</v>
      </c>
      <c r="AQ4" s="316">
        <f t="shared" ref="AQ4:AR4" si="10">IF(ISBLANK(AS4),,AS4-AS3)</f>
        <v>0</v>
      </c>
      <c r="AR4" s="338">
        <f t="shared" si="10"/>
        <v>0</v>
      </c>
      <c r="AS4" s="335">
        <v>0</v>
      </c>
      <c r="AT4" s="336">
        <v>0</v>
      </c>
      <c r="AU4" s="337">
        <f t="shared" ref="AU4:AV4" si="11">IF(ISBLANK(AW4),,AW4-AW3)</f>
        <v>0</v>
      </c>
      <c r="AV4" s="334">
        <f t="shared" si="11"/>
        <v>0</v>
      </c>
      <c r="AW4" s="335">
        <v>0</v>
      </c>
      <c r="AX4" s="339">
        <v>0</v>
      </c>
      <c r="AY4" s="316">
        <f t="shared" ref="AY4:AZ4" si="12">IF(ISBLANK(BA4),,BA4-BA3)</f>
        <v>0</v>
      </c>
      <c r="AZ4" s="334">
        <f t="shared" si="12"/>
        <v>0</v>
      </c>
      <c r="BA4" s="335">
        <v>0</v>
      </c>
      <c r="BB4" s="336">
        <v>0</v>
      </c>
      <c r="BC4" s="337">
        <f t="shared" ref="BC4:BD4" si="13">IF(ISBLANK(BE4),,BE4-BE3)</f>
        <v>0</v>
      </c>
      <c r="BD4" s="334">
        <f t="shared" si="13"/>
        <v>0</v>
      </c>
      <c r="BE4" s="335">
        <v>0</v>
      </c>
      <c r="BF4" s="339">
        <v>0</v>
      </c>
      <c r="BG4" s="316">
        <f t="shared" ref="BG4:BH4" si="14">IF(ISBLANK(BI4),,BI4-BI3)</f>
        <v>0</v>
      </c>
      <c r="BH4" s="334">
        <f t="shared" si="14"/>
        <v>0</v>
      </c>
      <c r="BI4" s="335">
        <v>0</v>
      </c>
      <c r="BJ4" s="336">
        <v>0</v>
      </c>
      <c r="BK4" s="337">
        <f t="shared" ref="BK4:BL4" si="15">IF(ISBLANK(BM4),,BM4-BM3)</f>
        <v>0</v>
      </c>
      <c r="BL4" s="334">
        <f t="shared" si="15"/>
        <v>0</v>
      </c>
      <c r="BM4" s="335">
        <v>0</v>
      </c>
      <c r="BN4" s="339">
        <v>0</v>
      </c>
      <c r="BO4" s="316">
        <f t="shared" ref="BO4:BP4" si="16">IF(ISBLANK(BQ4),,BQ4-BQ3)</f>
        <v>0</v>
      </c>
      <c r="BP4" s="334">
        <f t="shared" si="16"/>
        <v>0</v>
      </c>
      <c r="BQ4" s="335">
        <v>0</v>
      </c>
      <c r="BR4" s="336">
        <v>0</v>
      </c>
      <c r="BS4" s="316">
        <f t="shared" ref="BS4:BT4" si="17">IF(ISBLANK(BU4),,BU4-BU3)</f>
        <v>0</v>
      </c>
      <c r="BT4" s="334">
        <f t="shared" si="17"/>
        <v>0</v>
      </c>
      <c r="BU4" s="335">
        <v>0</v>
      </c>
      <c r="BV4" s="336">
        <v>0</v>
      </c>
      <c r="BW4" s="233"/>
      <c r="BX4" s="233"/>
      <c r="BY4" s="233"/>
      <c r="BZ4" s="233"/>
      <c r="CA4" s="233"/>
      <c r="CB4" s="233"/>
      <c r="CC4" s="233"/>
      <c r="CD4" s="233"/>
      <c r="CE4" s="233"/>
    </row>
    <row r="5" spans="1:83" x14ac:dyDescent="0.25">
      <c r="A5" s="313">
        <v>43895</v>
      </c>
      <c r="B5" s="314">
        <v>2</v>
      </c>
      <c r="C5" s="315"/>
      <c r="D5" s="316">
        <v>0</v>
      </c>
      <c r="E5" s="317">
        <v>0</v>
      </c>
      <c r="F5" s="318">
        <v>0</v>
      </c>
      <c r="G5" s="319"/>
      <c r="H5" s="330">
        <f t="shared" ref="H5:I5" si="18">IF(ISBLANK(D5),,H4+D5)</f>
        <v>1</v>
      </c>
      <c r="I5" s="331">
        <f t="shared" si="18"/>
        <v>0</v>
      </c>
      <c r="J5" s="332">
        <f t="shared" si="1"/>
        <v>0</v>
      </c>
      <c r="K5" s="333">
        <f t="shared" ref="K5:L5" si="19">IF(ISBLANK(M5),,M5-M4)</f>
        <v>0</v>
      </c>
      <c r="L5" s="334">
        <f t="shared" si="19"/>
        <v>0</v>
      </c>
      <c r="M5" s="335">
        <v>0</v>
      </c>
      <c r="N5" s="336">
        <v>0</v>
      </c>
      <c r="O5" s="337">
        <f t="shared" ref="O5:P5" si="20">IF(ISBLANK(Q5),,Q5-Q4)</f>
        <v>0</v>
      </c>
      <c r="P5" s="338">
        <f t="shared" si="20"/>
        <v>0</v>
      </c>
      <c r="Q5" s="335">
        <v>0</v>
      </c>
      <c r="R5" s="339">
        <v>0</v>
      </c>
      <c r="S5" s="316">
        <f t="shared" ref="S5:T5" si="21">IF(ISBLANK(U5),,U5-U4)</f>
        <v>0</v>
      </c>
      <c r="T5" s="334">
        <f t="shared" si="21"/>
        <v>0</v>
      </c>
      <c r="U5" s="335">
        <v>0</v>
      </c>
      <c r="V5" s="336">
        <v>0</v>
      </c>
      <c r="W5" s="337">
        <f t="shared" ref="W5:X5" si="22">IF(ISBLANK(Y5),,Y5-Y4)</f>
        <v>0</v>
      </c>
      <c r="X5" s="334">
        <f t="shared" si="22"/>
        <v>0</v>
      </c>
      <c r="Y5" s="335">
        <v>1</v>
      </c>
      <c r="Z5" s="340">
        <v>0</v>
      </c>
      <c r="AA5" s="316">
        <f t="shared" ref="AA5:AB5" si="23">IF(ISBLANK(AC5),,AC5-AC4)</f>
        <v>0</v>
      </c>
      <c r="AB5" s="334">
        <f t="shared" si="23"/>
        <v>0</v>
      </c>
      <c r="AC5" s="335">
        <v>0</v>
      </c>
      <c r="AD5" s="336">
        <v>0</v>
      </c>
      <c r="AE5" s="337">
        <f t="shared" ref="AE5:AF5" si="24">IF(ISBLANK(AG5),,AG5-AG4)</f>
        <v>0</v>
      </c>
      <c r="AF5" s="334">
        <f t="shared" si="24"/>
        <v>0</v>
      </c>
      <c r="AG5" s="335">
        <v>0</v>
      </c>
      <c r="AH5" s="339">
        <v>0</v>
      </c>
      <c r="AI5" s="316">
        <f t="shared" ref="AI5:AJ5" si="25">IF(ISBLANK(AK5),,AK5-AK4)</f>
        <v>0</v>
      </c>
      <c r="AJ5" s="334">
        <f t="shared" si="25"/>
        <v>0</v>
      </c>
      <c r="AK5" s="335">
        <v>0</v>
      </c>
      <c r="AL5" s="336">
        <v>0</v>
      </c>
      <c r="AM5" s="337">
        <f t="shared" ref="AM5:AN5" si="26">IF(ISBLANK(AO5),,AO5-AO4)</f>
        <v>0</v>
      </c>
      <c r="AN5" s="334">
        <f t="shared" si="26"/>
        <v>0</v>
      </c>
      <c r="AO5" s="335">
        <v>0</v>
      </c>
      <c r="AP5" s="339">
        <v>0</v>
      </c>
      <c r="AQ5" s="316">
        <f t="shared" ref="AQ5:AR5" si="27">IF(ISBLANK(AS5),,AS5-AS4)</f>
        <v>0</v>
      </c>
      <c r="AR5" s="338">
        <f t="shared" si="27"/>
        <v>0</v>
      </c>
      <c r="AS5" s="335">
        <v>0</v>
      </c>
      <c r="AT5" s="336">
        <v>0</v>
      </c>
      <c r="AU5" s="337">
        <f t="shared" ref="AU5:AV5" si="28">IF(ISBLANK(AW5),,AW5-AW4)</f>
        <v>0</v>
      </c>
      <c r="AV5" s="334">
        <f t="shared" si="28"/>
        <v>0</v>
      </c>
      <c r="AW5" s="335">
        <v>0</v>
      </c>
      <c r="AX5" s="339">
        <v>0</v>
      </c>
      <c r="AY5" s="316">
        <f t="shared" ref="AY5:AZ5" si="29">IF(ISBLANK(BA5),,BA5-BA4)</f>
        <v>0</v>
      </c>
      <c r="AZ5" s="334">
        <f t="shared" si="29"/>
        <v>0</v>
      </c>
      <c r="BA5" s="335">
        <v>0</v>
      </c>
      <c r="BB5" s="336">
        <v>0</v>
      </c>
      <c r="BC5" s="337">
        <f t="shared" ref="BC5:BD5" si="30">IF(ISBLANK(BE5),,BE5-BE4)</f>
        <v>0</v>
      </c>
      <c r="BD5" s="334">
        <f t="shared" si="30"/>
        <v>0</v>
      </c>
      <c r="BE5" s="335">
        <v>0</v>
      </c>
      <c r="BF5" s="339">
        <v>0</v>
      </c>
      <c r="BG5" s="316">
        <f t="shared" ref="BG5:BH5" si="31">IF(ISBLANK(BI5),,BI5-BI4)</f>
        <v>0</v>
      </c>
      <c r="BH5" s="334">
        <f t="shared" si="31"/>
        <v>0</v>
      </c>
      <c r="BI5" s="335">
        <v>0</v>
      </c>
      <c r="BJ5" s="336">
        <v>0</v>
      </c>
      <c r="BK5" s="337">
        <f t="shared" ref="BK5:BL5" si="32">IF(ISBLANK(BM5),,BM5-BM4)</f>
        <v>0</v>
      </c>
      <c r="BL5" s="334">
        <f t="shared" si="32"/>
        <v>0</v>
      </c>
      <c r="BM5" s="335">
        <v>0</v>
      </c>
      <c r="BN5" s="339">
        <v>0</v>
      </c>
      <c r="BO5" s="316">
        <f t="shared" ref="BO5:BP5" si="33">IF(ISBLANK(BQ5),,BQ5-BQ4)</f>
        <v>0</v>
      </c>
      <c r="BP5" s="334">
        <f t="shared" si="33"/>
        <v>0</v>
      </c>
      <c r="BQ5" s="335">
        <v>0</v>
      </c>
      <c r="BR5" s="336">
        <v>0</v>
      </c>
      <c r="BS5" s="316">
        <f t="shared" ref="BS5:BT5" si="34">IF(ISBLANK(BU5),,BU5-BU4)</f>
        <v>0</v>
      </c>
      <c r="BT5" s="334">
        <f t="shared" si="34"/>
        <v>0</v>
      </c>
      <c r="BU5" s="335">
        <v>0</v>
      </c>
      <c r="BV5" s="336">
        <v>0</v>
      </c>
      <c r="BW5" s="233"/>
      <c r="BX5" s="233"/>
      <c r="BY5" s="233"/>
      <c r="BZ5" s="233"/>
      <c r="CA5" s="233"/>
      <c r="CB5" s="233"/>
      <c r="CC5" s="233"/>
      <c r="CD5" s="233"/>
      <c r="CE5" s="233"/>
    </row>
    <row r="6" spans="1:83" x14ac:dyDescent="0.25">
      <c r="A6" s="313">
        <v>43896</v>
      </c>
      <c r="B6" s="314">
        <v>3</v>
      </c>
      <c r="C6" s="315"/>
      <c r="D6" s="316">
        <v>4</v>
      </c>
      <c r="E6" s="317">
        <v>0</v>
      </c>
      <c r="F6" s="318">
        <v>0</v>
      </c>
      <c r="G6" s="319"/>
      <c r="H6" s="330">
        <f t="shared" ref="H6:I6" si="35">IF(ISBLANK(D6),,H5+D6)</f>
        <v>5</v>
      </c>
      <c r="I6" s="331">
        <f t="shared" si="35"/>
        <v>0</v>
      </c>
      <c r="J6" s="332">
        <f t="shared" si="1"/>
        <v>0</v>
      </c>
      <c r="K6" s="333">
        <f t="shared" ref="K6:L6" si="36">IF(ISBLANK(M6),,M6-M5)</f>
        <v>1</v>
      </c>
      <c r="L6" s="334">
        <f t="shared" si="36"/>
        <v>0</v>
      </c>
      <c r="M6" s="335">
        <v>1</v>
      </c>
      <c r="N6" s="336">
        <v>0</v>
      </c>
      <c r="O6" s="337">
        <f t="shared" ref="O6:P6" si="37">IF(ISBLANK(Q6),,Q6-Q5)</f>
        <v>0</v>
      </c>
      <c r="P6" s="338">
        <f t="shared" si="37"/>
        <v>0</v>
      </c>
      <c r="Q6" s="335">
        <v>0</v>
      </c>
      <c r="R6" s="339">
        <v>0</v>
      </c>
      <c r="S6" s="316">
        <f t="shared" ref="S6:T6" si="38">IF(ISBLANK(U6),,U6-U5)</f>
        <v>0</v>
      </c>
      <c r="T6" s="334">
        <f t="shared" si="38"/>
        <v>0</v>
      </c>
      <c r="U6" s="335">
        <v>0</v>
      </c>
      <c r="V6" s="336">
        <v>0</v>
      </c>
      <c r="W6" s="337">
        <f t="shared" ref="W6:X6" si="39">IF(ISBLANK(Y6),,Y6-Y5)</f>
        <v>0</v>
      </c>
      <c r="X6" s="334">
        <f t="shared" si="39"/>
        <v>0</v>
      </c>
      <c r="Y6" s="335">
        <v>1</v>
      </c>
      <c r="Z6" s="340">
        <v>0</v>
      </c>
      <c r="AA6" s="316">
        <f t="shared" ref="AA6:AB6" si="40">IF(ISBLANK(AC6),,AC6-AC5)</f>
        <v>0</v>
      </c>
      <c r="AB6" s="334">
        <f t="shared" si="40"/>
        <v>0</v>
      </c>
      <c r="AC6" s="335">
        <v>0</v>
      </c>
      <c r="AD6" s="336">
        <v>0</v>
      </c>
      <c r="AE6" s="337">
        <f t="shared" ref="AE6:AF6" si="41">IF(ISBLANK(AG6),,AG6-AG5)</f>
        <v>0</v>
      </c>
      <c r="AF6" s="334">
        <f t="shared" si="41"/>
        <v>0</v>
      </c>
      <c r="AG6" s="335">
        <v>0</v>
      </c>
      <c r="AH6" s="339">
        <v>0</v>
      </c>
      <c r="AI6" s="316">
        <f t="shared" ref="AI6:AJ6" si="42">IF(ISBLANK(AK6),,AK6-AK5)</f>
        <v>0</v>
      </c>
      <c r="AJ6" s="334">
        <f t="shared" si="42"/>
        <v>0</v>
      </c>
      <c r="AK6" s="335">
        <v>0</v>
      </c>
      <c r="AL6" s="336">
        <v>0</v>
      </c>
      <c r="AM6" s="337">
        <f t="shared" ref="AM6:AN6" si="43">IF(ISBLANK(AO6),,AO6-AO5)</f>
        <v>0</v>
      </c>
      <c r="AN6" s="334">
        <f t="shared" si="43"/>
        <v>0</v>
      </c>
      <c r="AO6" s="335">
        <v>0</v>
      </c>
      <c r="AP6" s="339">
        <v>0</v>
      </c>
      <c r="AQ6" s="316">
        <f t="shared" ref="AQ6:AR6" si="44">IF(ISBLANK(AS6),,AS6-AS5)</f>
        <v>0</v>
      </c>
      <c r="AR6" s="338">
        <f t="shared" si="44"/>
        <v>0</v>
      </c>
      <c r="AS6" s="335">
        <v>0</v>
      </c>
      <c r="AT6" s="336">
        <v>0</v>
      </c>
      <c r="AU6" s="337">
        <f t="shared" ref="AU6:AV6" si="45">IF(ISBLANK(AW6),,AW6-AW5)</f>
        <v>0</v>
      </c>
      <c r="AV6" s="334">
        <f t="shared" si="45"/>
        <v>0</v>
      </c>
      <c r="AW6" s="335">
        <v>0</v>
      </c>
      <c r="AX6" s="339">
        <v>0</v>
      </c>
      <c r="AY6" s="316">
        <f t="shared" ref="AY6:AZ6" si="46">IF(ISBLANK(BA6),,BA6-BA5)</f>
        <v>0</v>
      </c>
      <c r="AZ6" s="334">
        <f t="shared" si="46"/>
        <v>0</v>
      </c>
      <c r="BA6" s="335">
        <v>0</v>
      </c>
      <c r="BB6" s="336">
        <v>0</v>
      </c>
      <c r="BC6" s="337">
        <f t="shared" ref="BC6:BD6" si="47">IF(ISBLANK(BE6),,BE6-BE5)</f>
        <v>0</v>
      </c>
      <c r="BD6" s="334">
        <f t="shared" si="47"/>
        <v>0</v>
      </c>
      <c r="BE6" s="335">
        <v>0</v>
      </c>
      <c r="BF6" s="339">
        <v>0</v>
      </c>
      <c r="BG6" s="316">
        <f t="shared" ref="BG6:BH6" si="48">IF(ISBLANK(BI6),,BI6-BI5)</f>
        <v>0</v>
      </c>
      <c r="BH6" s="334">
        <f t="shared" si="48"/>
        <v>0</v>
      </c>
      <c r="BI6" s="335">
        <v>0</v>
      </c>
      <c r="BJ6" s="336">
        <v>0</v>
      </c>
      <c r="BK6" s="337">
        <f t="shared" ref="BK6:BL6" si="49">IF(ISBLANK(BM6),,BM6-BM5)</f>
        <v>1</v>
      </c>
      <c r="BL6" s="334">
        <f t="shared" si="49"/>
        <v>0</v>
      </c>
      <c r="BM6" s="335">
        <v>1</v>
      </c>
      <c r="BN6" s="339">
        <v>0</v>
      </c>
      <c r="BO6" s="316">
        <f t="shared" ref="BO6:BP6" si="50">IF(ISBLANK(BQ6),,BQ6-BQ5)</f>
        <v>0</v>
      </c>
      <c r="BP6" s="334">
        <f t="shared" si="50"/>
        <v>0</v>
      </c>
      <c r="BQ6" s="335">
        <v>0</v>
      </c>
      <c r="BR6" s="336">
        <v>0</v>
      </c>
      <c r="BS6" s="316">
        <f t="shared" ref="BS6:BT6" si="51">IF(ISBLANK(BU6),,BU6-BU5)</f>
        <v>2</v>
      </c>
      <c r="BT6" s="334">
        <f t="shared" si="51"/>
        <v>0</v>
      </c>
      <c r="BU6" s="335">
        <v>2</v>
      </c>
      <c r="BV6" s="336">
        <v>0</v>
      </c>
      <c r="BW6" s="233"/>
      <c r="BX6" s="233"/>
      <c r="BY6" s="233"/>
      <c r="BZ6" s="233"/>
      <c r="CA6" s="233"/>
      <c r="CB6" s="233"/>
      <c r="CC6" s="233"/>
      <c r="CD6" s="233"/>
      <c r="CE6" s="233"/>
    </row>
    <row r="7" spans="1:83" x14ac:dyDescent="0.25">
      <c r="A7" s="313">
        <v>43897</v>
      </c>
      <c r="B7" s="314">
        <v>4</v>
      </c>
      <c r="C7" s="315"/>
      <c r="D7" s="316">
        <v>1</v>
      </c>
      <c r="E7" s="317">
        <v>0</v>
      </c>
      <c r="F7" s="318">
        <v>0</v>
      </c>
      <c r="G7" s="319"/>
      <c r="H7" s="330">
        <f t="shared" ref="H7:I7" si="52">IF(ISBLANK(D7),,H6+D7)</f>
        <v>6</v>
      </c>
      <c r="I7" s="331">
        <f t="shared" si="52"/>
        <v>0</v>
      </c>
      <c r="J7" s="332">
        <f t="shared" si="1"/>
        <v>0</v>
      </c>
      <c r="K7" s="333">
        <f t="shared" ref="K7:L7" si="53">IF(ISBLANK(M7),,M7-M6)</f>
        <v>0</v>
      </c>
      <c r="L7" s="334">
        <f t="shared" si="53"/>
        <v>0</v>
      </c>
      <c r="M7" s="335">
        <v>1</v>
      </c>
      <c r="N7" s="336">
        <v>0</v>
      </c>
      <c r="O7" s="337">
        <f t="shared" ref="O7:P7" si="54">IF(ISBLANK(Q7),,Q7-Q6)</f>
        <v>0</v>
      </c>
      <c r="P7" s="338">
        <f t="shared" si="54"/>
        <v>0</v>
      </c>
      <c r="Q7" s="335">
        <v>0</v>
      </c>
      <c r="R7" s="339">
        <v>0</v>
      </c>
      <c r="S7" s="316">
        <f t="shared" ref="S7:T7" si="55">IF(ISBLANK(U7),,U7-U6)</f>
        <v>0</v>
      </c>
      <c r="T7" s="334">
        <f t="shared" si="55"/>
        <v>0</v>
      </c>
      <c r="U7" s="335">
        <v>0</v>
      </c>
      <c r="V7" s="336">
        <v>0</v>
      </c>
      <c r="W7" s="337">
        <f t="shared" ref="W7:X7" si="56">IF(ISBLANK(Y7),,Y7-Y6)</f>
        <v>0</v>
      </c>
      <c r="X7" s="334">
        <f t="shared" si="56"/>
        <v>0</v>
      </c>
      <c r="Y7" s="335">
        <v>1</v>
      </c>
      <c r="Z7" s="340">
        <v>0</v>
      </c>
      <c r="AA7" s="316">
        <f t="shared" ref="AA7:AB7" si="57">IF(ISBLANK(AC7),,AC7-AC6)</f>
        <v>0</v>
      </c>
      <c r="AB7" s="334">
        <f t="shared" si="57"/>
        <v>0</v>
      </c>
      <c r="AC7" s="335">
        <v>0</v>
      </c>
      <c r="AD7" s="336">
        <v>0</v>
      </c>
      <c r="AE7" s="337">
        <f t="shared" ref="AE7:AF7" si="58">IF(ISBLANK(AG7),,AG7-AG6)</f>
        <v>0</v>
      </c>
      <c r="AF7" s="334">
        <f t="shared" si="58"/>
        <v>0</v>
      </c>
      <c r="AG7" s="335">
        <v>0</v>
      </c>
      <c r="AH7" s="339">
        <v>0</v>
      </c>
      <c r="AI7" s="316">
        <f t="shared" ref="AI7:AJ7" si="59">IF(ISBLANK(AK7),,AK7-AK6)</f>
        <v>0</v>
      </c>
      <c r="AJ7" s="334">
        <f t="shared" si="59"/>
        <v>0</v>
      </c>
      <c r="AK7" s="335">
        <v>0</v>
      </c>
      <c r="AL7" s="336">
        <v>0</v>
      </c>
      <c r="AM7" s="337">
        <f t="shared" ref="AM7:AN7" si="60">IF(ISBLANK(AO7),,AO7-AO6)</f>
        <v>0</v>
      </c>
      <c r="AN7" s="334">
        <f t="shared" si="60"/>
        <v>0</v>
      </c>
      <c r="AO7" s="335">
        <v>0</v>
      </c>
      <c r="AP7" s="339">
        <v>0</v>
      </c>
      <c r="AQ7" s="316">
        <f t="shared" ref="AQ7:AR7" si="61">IF(ISBLANK(AS7),,AS7-AS6)</f>
        <v>0</v>
      </c>
      <c r="AR7" s="338">
        <f t="shared" si="61"/>
        <v>0</v>
      </c>
      <c r="AS7" s="335">
        <v>0</v>
      </c>
      <c r="AT7" s="336">
        <v>0</v>
      </c>
      <c r="AU7" s="337">
        <f t="shared" ref="AU7:AV7" si="62">IF(ISBLANK(AW7),,AW7-AW6)</f>
        <v>0</v>
      </c>
      <c r="AV7" s="334">
        <f t="shared" si="62"/>
        <v>0</v>
      </c>
      <c r="AW7" s="335">
        <v>0</v>
      </c>
      <c r="AX7" s="339">
        <v>0</v>
      </c>
      <c r="AY7" s="316">
        <f t="shared" ref="AY7:AZ7" si="63">IF(ISBLANK(BA7),,BA7-BA6)</f>
        <v>0</v>
      </c>
      <c r="AZ7" s="334">
        <f t="shared" si="63"/>
        <v>0</v>
      </c>
      <c r="BA7" s="335">
        <v>0</v>
      </c>
      <c r="BB7" s="336">
        <v>0</v>
      </c>
      <c r="BC7" s="337">
        <f t="shared" ref="BC7:BD7" si="64">IF(ISBLANK(BE7),,BE7-BE6)</f>
        <v>0</v>
      </c>
      <c r="BD7" s="334">
        <f t="shared" si="64"/>
        <v>0</v>
      </c>
      <c r="BE7" s="335">
        <v>0</v>
      </c>
      <c r="BF7" s="339">
        <v>0</v>
      </c>
      <c r="BG7" s="316">
        <f t="shared" ref="BG7:BH7" si="65">IF(ISBLANK(BI7),,BI7-BI6)</f>
        <v>0</v>
      </c>
      <c r="BH7" s="334">
        <f t="shared" si="65"/>
        <v>0</v>
      </c>
      <c r="BI7" s="335">
        <v>0</v>
      </c>
      <c r="BJ7" s="336">
        <v>0</v>
      </c>
      <c r="BK7" s="337">
        <f t="shared" ref="BK7:BL7" si="66">IF(ISBLANK(BM7),,BM7-BM6)</f>
        <v>1</v>
      </c>
      <c r="BL7" s="334">
        <f t="shared" si="66"/>
        <v>0</v>
      </c>
      <c r="BM7" s="335">
        <v>2</v>
      </c>
      <c r="BN7" s="339">
        <v>0</v>
      </c>
      <c r="BO7" s="316">
        <f t="shared" ref="BO7:BP7" si="67">IF(ISBLANK(BQ7),,BQ7-BQ6)</f>
        <v>0</v>
      </c>
      <c r="BP7" s="334">
        <f t="shared" si="67"/>
        <v>0</v>
      </c>
      <c r="BQ7" s="335">
        <v>0</v>
      </c>
      <c r="BR7" s="336">
        <v>0</v>
      </c>
      <c r="BS7" s="316">
        <f t="shared" ref="BS7:BT7" si="68">IF(ISBLANK(BU7),,BU7-BU6)</f>
        <v>0</v>
      </c>
      <c r="BT7" s="334">
        <f t="shared" si="68"/>
        <v>0</v>
      </c>
      <c r="BU7" s="335">
        <v>2</v>
      </c>
      <c r="BV7" s="336">
        <v>0</v>
      </c>
      <c r="BW7" s="233"/>
      <c r="BX7" s="233"/>
      <c r="BY7" s="233"/>
      <c r="BZ7" s="233"/>
      <c r="CA7" s="233"/>
      <c r="CB7" s="233"/>
      <c r="CC7" s="233"/>
      <c r="CD7" s="233"/>
      <c r="CE7" s="233"/>
    </row>
    <row r="8" spans="1:83" x14ac:dyDescent="0.25">
      <c r="A8" s="313">
        <v>43898</v>
      </c>
      <c r="B8" s="314">
        <v>5</v>
      </c>
      <c r="C8" s="315"/>
      <c r="D8" s="316">
        <v>5</v>
      </c>
      <c r="E8" s="317">
        <v>0</v>
      </c>
      <c r="F8" s="318">
        <v>0</v>
      </c>
      <c r="G8" s="319"/>
      <c r="H8" s="330">
        <f t="shared" ref="H8:I8" si="69">IF(ISBLANK(D8),,H7+D8)</f>
        <v>11</v>
      </c>
      <c r="I8" s="331">
        <f t="shared" si="69"/>
        <v>0</v>
      </c>
      <c r="J8" s="332">
        <f t="shared" si="1"/>
        <v>0</v>
      </c>
      <c r="K8" s="333">
        <f t="shared" ref="K8:L8" si="70">IF(ISBLANK(M8),,M8-M7)</f>
        <v>1</v>
      </c>
      <c r="L8" s="334">
        <f t="shared" si="70"/>
        <v>0</v>
      </c>
      <c r="M8" s="335">
        <v>2</v>
      </c>
      <c r="N8" s="336">
        <v>0</v>
      </c>
      <c r="O8" s="337">
        <f t="shared" ref="O8:P8" si="71">IF(ISBLANK(Q8),,Q8-Q7)</f>
        <v>0</v>
      </c>
      <c r="P8" s="338">
        <f t="shared" si="71"/>
        <v>0</v>
      </c>
      <c r="Q8" s="335">
        <v>0</v>
      </c>
      <c r="R8" s="339">
        <v>0</v>
      </c>
      <c r="S8" s="316">
        <f t="shared" ref="S8:T8" si="72">IF(ISBLANK(U8),,U8-U7)</f>
        <v>0</v>
      </c>
      <c r="T8" s="334">
        <f t="shared" si="72"/>
        <v>0</v>
      </c>
      <c r="U8" s="335">
        <v>0</v>
      </c>
      <c r="V8" s="336">
        <v>0</v>
      </c>
      <c r="W8" s="337">
        <f t="shared" ref="W8:X8" si="73">IF(ISBLANK(Y8),,Y8-Y7)</f>
        <v>0</v>
      </c>
      <c r="X8" s="334">
        <f t="shared" si="73"/>
        <v>0</v>
      </c>
      <c r="Y8" s="335">
        <v>1</v>
      </c>
      <c r="Z8" s="340">
        <v>0</v>
      </c>
      <c r="AA8" s="316">
        <f t="shared" ref="AA8:AB8" si="74">IF(ISBLANK(AC8),,AC8-AC7)</f>
        <v>0</v>
      </c>
      <c r="AB8" s="334">
        <f t="shared" si="74"/>
        <v>0</v>
      </c>
      <c r="AC8" s="335">
        <v>0</v>
      </c>
      <c r="AD8" s="336">
        <v>0</v>
      </c>
      <c r="AE8" s="337">
        <f t="shared" ref="AE8:AF8" si="75">IF(ISBLANK(AG8),,AG8-AG7)</f>
        <v>0</v>
      </c>
      <c r="AF8" s="334">
        <f t="shared" si="75"/>
        <v>0</v>
      </c>
      <c r="AG8" s="335">
        <v>0</v>
      </c>
      <c r="AH8" s="339">
        <v>0</v>
      </c>
      <c r="AI8" s="316">
        <f t="shared" ref="AI8:AJ8" si="76">IF(ISBLANK(AK8),,AK8-AK7)</f>
        <v>2</v>
      </c>
      <c r="AJ8" s="334">
        <f t="shared" si="76"/>
        <v>0</v>
      </c>
      <c r="AK8" s="335">
        <v>2</v>
      </c>
      <c r="AL8" s="336">
        <v>0</v>
      </c>
      <c r="AM8" s="337">
        <f t="shared" ref="AM8:AN8" si="77">IF(ISBLANK(AO8),,AO8-AO7)</f>
        <v>0</v>
      </c>
      <c r="AN8" s="334">
        <f t="shared" si="77"/>
        <v>0</v>
      </c>
      <c r="AO8" s="335">
        <v>0</v>
      </c>
      <c r="AP8" s="339">
        <v>0</v>
      </c>
      <c r="AQ8" s="316">
        <f t="shared" ref="AQ8:AR8" si="78">IF(ISBLANK(AS8),,AS8-AS7)</f>
        <v>0</v>
      </c>
      <c r="AR8" s="338">
        <f t="shared" si="78"/>
        <v>0</v>
      </c>
      <c r="AS8" s="335">
        <v>0</v>
      </c>
      <c r="AT8" s="336">
        <v>0</v>
      </c>
      <c r="AU8" s="337">
        <f t="shared" ref="AU8:AV8" si="79">IF(ISBLANK(AW8),,AW8-AW7)</f>
        <v>0</v>
      </c>
      <c r="AV8" s="334">
        <f t="shared" si="79"/>
        <v>0</v>
      </c>
      <c r="AW8" s="335">
        <v>0</v>
      </c>
      <c r="AX8" s="339">
        <v>0</v>
      </c>
      <c r="AY8" s="316">
        <f t="shared" ref="AY8:AZ8" si="80">IF(ISBLANK(BA8),,BA8-BA7)</f>
        <v>0</v>
      </c>
      <c r="AZ8" s="334">
        <f t="shared" si="80"/>
        <v>0</v>
      </c>
      <c r="BA8" s="335">
        <v>0</v>
      </c>
      <c r="BB8" s="336">
        <v>0</v>
      </c>
      <c r="BC8" s="337">
        <f t="shared" ref="BC8:BD8" si="81">IF(ISBLANK(BE8),,BE8-BE7)</f>
        <v>2</v>
      </c>
      <c r="BD8" s="334">
        <f t="shared" si="81"/>
        <v>0</v>
      </c>
      <c r="BE8" s="335">
        <v>2</v>
      </c>
      <c r="BF8" s="339">
        <v>0</v>
      </c>
      <c r="BG8" s="316">
        <f t="shared" ref="BG8:BH8" si="82">IF(ISBLANK(BI8),,BI8-BI7)</f>
        <v>0</v>
      </c>
      <c r="BH8" s="334">
        <f t="shared" si="82"/>
        <v>0</v>
      </c>
      <c r="BI8" s="335">
        <v>0</v>
      </c>
      <c r="BJ8" s="336">
        <v>0</v>
      </c>
      <c r="BK8" s="337">
        <f t="shared" ref="BK8:BL8" si="83">IF(ISBLANK(BM8),,BM8-BM7)</f>
        <v>0</v>
      </c>
      <c r="BL8" s="334">
        <f t="shared" si="83"/>
        <v>0</v>
      </c>
      <c r="BM8" s="335">
        <v>2</v>
      </c>
      <c r="BN8" s="339">
        <v>0</v>
      </c>
      <c r="BO8" s="316">
        <f t="shared" ref="BO8:BP8" si="84">IF(ISBLANK(BQ8),,BQ8-BQ7)</f>
        <v>0</v>
      </c>
      <c r="BP8" s="334">
        <f t="shared" si="84"/>
        <v>0</v>
      </c>
      <c r="BQ8" s="335">
        <v>0</v>
      </c>
      <c r="BR8" s="336">
        <v>0</v>
      </c>
      <c r="BS8" s="316">
        <f t="shared" ref="BS8:BT8" si="85">IF(ISBLANK(BU8),,BU8-BU7)</f>
        <v>0</v>
      </c>
      <c r="BT8" s="334">
        <f t="shared" si="85"/>
        <v>0</v>
      </c>
      <c r="BU8" s="335">
        <v>2</v>
      </c>
      <c r="BV8" s="336">
        <v>0</v>
      </c>
      <c r="BW8" s="233"/>
      <c r="BX8" s="233"/>
      <c r="BY8" s="233"/>
      <c r="BZ8" s="233"/>
      <c r="CA8" s="233"/>
      <c r="CB8" s="233"/>
      <c r="CC8" s="233"/>
      <c r="CD8" s="233"/>
      <c r="CE8" s="233"/>
    </row>
    <row r="9" spans="1:83" x14ac:dyDescent="0.25">
      <c r="A9" s="313">
        <v>43899</v>
      </c>
      <c r="B9" s="314">
        <v>6</v>
      </c>
      <c r="C9" s="315"/>
      <c r="D9" s="316">
        <v>6</v>
      </c>
      <c r="E9" s="317">
        <v>0</v>
      </c>
      <c r="F9" s="318">
        <v>0</v>
      </c>
      <c r="G9" s="319"/>
      <c r="H9" s="330">
        <f t="shared" ref="H9:I9" si="86">IF(ISBLANK(D9),,H8+D9)</f>
        <v>17</v>
      </c>
      <c r="I9" s="331">
        <f t="shared" si="86"/>
        <v>0</v>
      </c>
      <c r="J9" s="332">
        <f t="shared" si="1"/>
        <v>0</v>
      </c>
      <c r="K9" s="333">
        <f t="shared" ref="K9:L9" si="87">IF(ISBLANK(M9),,M9-M8)</f>
        <v>1</v>
      </c>
      <c r="L9" s="334">
        <f t="shared" si="87"/>
        <v>0</v>
      </c>
      <c r="M9" s="335">
        <v>3</v>
      </c>
      <c r="N9" s="336">
        <v>0</v>
      </c>
      <c r="O9" s="337">
        <f t="shared" ref="O9:P9" si="88">IF(ISBLANK(Q9),,Q9-Q8)</f>
        <v>0</v>
      </c>
      <c r="P9" s="338">
        <f t="shared" si="88"/>
        <v>0</v>
      </c>
      <c r="Q9" s="335">
        <v>0</v>
      </c>
      <c r="R9" s="339">
        <v>0</v>
      </c>
      <c r="S9" s="316">
        <f t="shared" ref="S9:T9" si="89">IF(ISBLANK(U9),,U9-U8)</f>
        <v>0</v>
      </c>
      <c r="T9" s="334">
        <f t="shared" si="89"/>
        <v>0</v>
      </c>
      <c r="U9" s="335">
        <v>0</v>
      </c>
      <c r="V9" s="336">
        <v>0</v>
      </c>
      <c r="W9" s="337">
        <f t="shared" ref="W9:X9" si="90">IF(ISBLANK(Y9),,Y9-Y8)</f>
        <v>0</v>
      </c>
      <c r="X9" s="334">
        <f t="shared" si="90"/>
        <v>0</v>
      </c>
      <c r="Y9" s="335">
        <v>1</v>
      </c>
      <c r="Z9" s="340">
        <v>0</v>
      </c>
      <c r="AA9" s="316">
        <f t="shared" ref="AA9:AB9" si="91">IF(ISBLANK(AC9),,AC9-AC8)</f>
        <v>0</v>
      </c>
      <c r="AB9" s="334">
        <f t="shared" si="91"/>
        <v>0</v>
      </c>
      <c r="AC9" s="335">
        <v>0</v>
      </c>
      <c r="AD9" s="336">
        <v>0</v>
      </c>
      <c r="AE9" s="337">
        <f t="shared" ref="AE9:AF9" si="92">IF(ISBLANK(AG9),,AG9-AG8)</f>
        <v>1</v>
      </c>
      <c r="AF9" s="334">
        <f t="shared" si="92"/>
        <v>0</v>
      </c>
      <c r="AG9" s="335">
        <v>1</v>
      </c>
      <c r="AH9" s="339">
        <v>0</v>
      </c>
      <c r="AI9" s="316">
        <f t="shared" ref="AI9:AJ9" si="93">IF(ISBLANK(AK9),,AK9-AK8)</f>
        <v>0</v>
      </c>
      <c r="AJ9" s="334">
        <f t="shared" si="93"/>
        <v>0</v>
      </c>
      <c r="AK9" s="335">
        <v>2</v>
      </c>
      <c r="AL9" s="336">
        <v>0</v>
      </c>
      <c r="AM9" s="337">
        <f t="shared" ref="AM9:AN9" si="94">IF(ISBLANK(AO9),,AO9-AO8)</f>
        <v>0</v>
      </c>
      <c r="AN9" s="334">
        <f t="shared" si="94"/>
        <v>0</v>
      </c>
      <c r="AO9" s="335">
        <v>0</v>
      </c>
      <c r="AP9" s="339">
        <v>0</v>
      </c>
      <c r="AQ9" s="316">
        <f t="shared" ref="AQ9:AR9" si="95">IF(ISBLANK(AS9),,AS9-AS8)</f>
        <v>0</v>
      </c>
      <c r="AR9" s="338">
        <f t="shared" si="95"/>
        <v>0</v>
      </c>
      <c r="AS9" s="335">
        <v>0</v>
      </c>
      <c r="AT9" s="336">
        <v>0</v>
      </c>
      <c r="AU9" s="337">
        <f t="shared" ref="AU9:AV9" si="96">IF(ISBLANK(AW9),,AW9-AW8)</f>
        <v>0</v>
      </c>
      <c r="AV9" s="334">
        <f t="shared" si="96"/>
        <v>0</v>
      </c>
      <c r="AW9" s="335">
        <v>0</v>
      </c>
      <c r="AX9" s="339">
        <v>0</v>
      </c>
      <c r="AY9" s="316">
        <f t="shared" ref="AY9:AZ9" si="97">IF(ISBLANK(BA9),,BA9-BA8)</f>
        <v>0</v>
      </c>
      <c r="AZ9" s="334">
        <f t="shared" si="97"/>
        <v>0</v>
      </c>
      <c r="BA9" s="335">
        <v>0</v>
      </c>
      <c r="BB9" s="336">
        <v>0</v>
      </c>
      <c r="BC9" s="337">
        <f t="shared" ref="BC9:BD9" si="98">IF(ISBLANK(BE9),,BE9-BE8)</f>
        <v>3</v>
      </c>
      <c r="BD9" s="334">
        <f t="shared" si="98"/>
        <v>0</v>
      </c>
      <c r="BE9" s="335">
        <v>5</v>
      </c>
      <c r="BF9" s="339">
        <v>0</v>
      </c>
      <c r="BG9" s="316">
        <f t="shared" ref="BG9:BH9" si="99">IF(ISBLANK(BI9),,BI9-BI8)</f>
        <v>0</v>
      </c>
      <c r="BH9" s="334">
        <f t="shared" si="99"/>
        <v>0</v>
      </c>
      <c r="BI9" s="335">
        <v>0</v>
      </c>
      <c r="BJ9" s="336">
        <v>0</v>
      </c>
      <c r="BK9" s="337">
        <f t="shared" ref="BK9:BL9" si="100">IF(ISBLANK(BM9),,BM9-BM8)</f>
        <v>0</v>
      </c>
      <c r="BL9" s="334">
        <f t="shared" si="100"/>
        <v>0</v>
      </c>
      <c r="BM9" s="335">
        <v>2</v>
      </c>
      <c r="BN9" s="339">
        <v>0</v>
      </c>
      <c r="BO9" s="316">
        <f t="shared" ref="BO9:BP9" si="101">IF(ISBLANK(BQ9),,BQ9-BQ8)</f>
        <v>1</v>
      </c>
      <c r="BP9" s="334">
        <f t="shared" si="101"/>
        <v>0</v>
      </c>
      <c r="BQ9" s="335">
        <v>1</v>
      </c>
      <c r="BR9" s="336">
        <v>0</v>
      </c>
      <c r="BS9" s="316">
        <f t="shared" ref="BS9:BT9" si="102">IF(ISBLANK(BU9),,BU9-BU8)</f>
        <v>0</v>
      </c>
      <c r="BT9" s="334">
        <f t="shared" si="102"/>
        <v>0</v>
      </c>
      <c r="BU9" s="335">
        <v>2</v>
      </c>
      <c r="BV9" s="336">
        <v>0</v>
      </c>
      <c r="BW9" s="233"/>
      <c r="BX9" s="233"/>
      <c r="BY9" s="233"/>
      <c r="BZ9" s="233"/>
      <c r="CA9" s="233"/>
      <c r="CB9" s="233"/>
      <c r="CC9" s="233"/>
      <c r="CD9" s="233"/>
      <c r="CE9" s="233"/>
    </row>
    <row r="10" spans="1:83" x14ac:dyDescent="0.25">
      <c r="A10" s="313">
        <v>43900</v>
      </c>
      <c r="B10" s="314">
        <v>7</v>
      </c>
      <c r="C10" s="315"/>
      <c r="D10" s="316">
        <v>5</v>
      </c>
      <c r="E10" s="317">
        <v>0</v>
      </c>
      <c r="F10" s="318">
        <v>0</v>
      </c>
      <c r="G10" s="319"/>
      <c r="H10" s="330">
        <f t="shared" ref="H10:I10" si="103">IF(ISBLANK(D10),,H9+D10)</f>
        <v>22</v>
      </c>
      <c r="I10" s="331">
        <f t="shared" si="103"/>
        <v>0</v>
      </c>
      <c r="J10" s="332">
        <f t="shared" si="1"/>
        <v>0</v>
      </c>
      <c r="K10" s="333">
        <f t="shared" ref="K10:L10" si="104">IF(ISBLANK(M10),,M10-M9)</f>
        <v>1</v>
      </c>
      <c r="L10" s="334">
        <f t="shared" si="104"/>
        <v>0</v>
      </c>
      <c r="M10" s="335">
        <v>4</v>
      </c>
      <c r="N10" s="336">
        <v>0</v>
      </c>
      <c r="O10" s="337">
        <f t="shared" ref="O10:P10" si="105">IF(ISBLANK(Q10),,Q10-Q9)</f>
        <v>0</v>
      </c>
      <c r="P10" s="338">
        <f t="shared" si="105"/>
        <v>0</v>
      </c>
      <c r="Q10" s="335">
        <v>0</v>
      </c>
      <c r="R10" s="339">
        <v>0</v>
      </c>
      <c r="S10" s="316">
        <f t="shared" ref="S10:T10" si="106">IF(ISBLANK(U10),,U10-U9)</f>
        <v>1</v>
      </c>
      <c r="T10" s="334">
        <f t="shared" si="106"/>
        <v>0</v>
      </c>
      <c r="U10" s="335">
        <v>1</v>
      </c>
      <c r="V10" s="336">
        <v>0</v>
      </c>
      <c r="W10" s="337">
        <f t="shared" ref="W10:X10" si="107">IF(ISBLANK(Y10),,Y10-Y9)</f>
        <v>0</v>
      </c>
      <c r="X10" s="334">
        <f t="shared" si="107"/>
        <v>0</v>
      </c>
      <c r="Y10" s="335">
        <v>1</v>
      </c>
      <c r="Z10" s="340">
        <v>0</v>
      </c>
      <c r="AA10" s="316">
        <f t="shared" ref="AA10:AB10" si="108">IF(ISBLANK(AC10),,AC10-AC9)</f>
        <v>0</v>
      </c>
      <c r="AB10" s="334">
        <f t="shared" si="108"/>
        <v>0</v>
      </c>
      <c r="AC10" s="335">
        <v>0</v>
      </c>
      <c r="AD10" s="336">
        <v>0</v>
      </c>
      <c r="AE10" s="337">
        <f t="shared" ref="AE10:AF10" si="109">IF(ISBLANK(AG10),,AG10-AG9)</f>
        <v>0</v>
      </c>
      <c r="AF10" s="334">
        <f t="shared" si="109"/>
        <v>0</v>
      </c>
      <c r="AG10" s="335">
        <v>1</v>
      </c>
      <c r="AH10" s="339">
        <v>0</v>
      </c>
      <c r="AI10" s="316">
        <f t="shared" ref="AI10:AJ10" si="110">IF(ISBLANK(AK10),,AK10-AK9)</f>
        <v>1</v>
      </c>
      <c r="AJ10" s="334">
        <f t="shared" si="110"/>
        <v>0</v>
      </c>
      <c r="AK10" s="335">
        <v>3</v>
      </c>
      <c r="AL10" s="336">
        <v>0</v>
      </c>
      <c r="AM10" s="337">
        <f t="shared" ref="AM10:AN10" si="111">IF(ISBLANK(AO10),,AO10-AO9)</f>
        <v>0</v>
      </c>
      <c r="AN10" s="334">
        <f t="shared" si="111"/>
        <v>0</v>
      </c>
      <c r="AO10" s="335">
        <v>0</v>
      </c>
      <c r="AP10" s="339">
        <v>0</v>
      </c>
      <c r="AQ10" s="316">
        <f t="shared" ref="AQ10:AR10" si="112">IF(ISBLANK(AS10),,AS10-AS9)</f>
        <v>0</v>
      </c>
      <c r="AR10" s="338">
        <f t="shared" si="112"/>
        <v>0</v>
      </c>
      <c r="AS10" s="335">
        <v>0</v>
      </c>
      <c r="AT10" s="336">
        <v>0</v>
      </c>
      <c r="AU10" s="337">
        <f t="shared" ref="AU10:AV10" si="113">IF(ISBLANK(AW10),,AW10-AW9)</f>
        <v>0</v>
      </c>
      <c r="AV10" s="334">
        <f t="shared" si="113"/>
        <v>0</v>
      </c>
      <c r="AW10" s="335">
        <v>0</v>
      </c>
      <c r="AX10" s="339">
        <v>0</v>
      </c>
      <c r="AY10" s="316">
        <f t="shared" ref="AY10:AZ10" si="114">IF(ISBLANK(BA10),,BA10-BA9)</f>
        <v>0</v>
      </c>
      <c r="AZ10" s="334">
        <f t="shared" si="114"/>
        <v>0</v>
      </c>
      <c r="BA10" s="335">
        <v>0</v>
      </c>
      <c r="BB10" s="336">
        <v>0</v>
      </c>
      <c r="BC10" s="337">
        <f t="shared" ref="BC10:BD10" si="115">IF(ISBLANK(BE10),,BE10-BE9)</f>
        <v>2</v>
      </c>
      <c r="BD10" s="334">
        <f t="shared" si="115"/>
        <v>0</v>
      </c>
      <c r="BE10" s="335">
        <v>7</v>
      </c>
      <c r="BF10" s="339">
        <v>0</v>
      </c>
      <c r="BG10" s="316">
        <f t="shared" ref="BG10:BH10" si="116">IF(ISBLANK(BI10),,BI10-BI9)</f>
        <v>0</v>
      </c>
      <c r="BH10" s="334">
        <f t="shared" si="116"/>
        <v>0</v>
      </c>
      <c r="BI10" s="335">
        <v>0</v>
      </c>
      <c r="BJ10" s="336">
        <v>0</v>
      </c>
      <c r="BK10" s="337">
        <f t="shared" ref="BK10:BL10" si="117">IF(ISBLANK(BM10),,BM10-BM9)</f>
        <v>0</v>
      </c>
      <c r="BL10" s="334">
        <f t="shared" si="117"/>
        <v>0</v>
      </c>
      <c r="BM10" s="335">
        <v>2</v>
      </c>
      <c r="BN10" s="339">
        <v>0</v>
      </c>
      <c r="BO10" s="316">
        <f t="shared" ref="BO10:BP10" si="118">IF(ISBLANK(BQ10),,BQ10-BQ9)</f>
        <v>0</v>
      </c>
      <c r="BP10" s="334">
        <f t="shared" si="118"/>
        <v>0</v>
      </c>
      <c r="BQ10" s="335">
        <v>1</v>
      </c>
      <c r="BR10" s="336">
        <v>0</v>
      </c>
      <c r="BS10" s="316">
        <f t="shared" ref="BS10:BT10" si="119">IF(ISBLANK(BU10),,BU10-BU9)</f>
        <v>0</v>
      </c>
      <c r="BT10" s="334">
        <f t="shared" si="119"/>
        <v>0</v>
      </c>
      <c r="BU10" s="335">
        <v>2</v>
      </c>
      <c r="BV10" s="336">
        <v>0</v>
      </c>
      <c r="BW10" s="233"/>
      <c r="BX10" s="233"/>
      <c r="BY10" s="233"/>
      <c r="BZ10" s="233"/>
      <c r="CA10" s="233"/>
      <c r="CB10" s="233"/>
      <c r="CC10" s="233"/>
      <c r="CD10" s="233"/>
      <c r="CE10" s="233"/>
    </row>
    <row r="11" spans="1:83" x14ac:dyDescent="0.25">
      <c r="A11" s="313">
        <v>43901</v>
      </c>
      <c r="B11" s="314">
        <v>8</v>
      </c>
      <c r="C11" s="315"/>
      <c r="D11" s="316">
        <v>9</v>
      </c>
      <c r="E11" s="317">
        <v>0</v>
      </c>
      <c r="F11" s="318">
        <v>0</v>
      </c>
      <c r="G11" s="319"/>
      <c r="H11" s="330">
        <f t="shared" ref="H11:I11" si="120">IF(ISBLANK(D11),,H10+D11)</f>
        <v>31</v>
      </c>
      <c r="I11" s="331">
        <f t="shared" si="120"/>
        <v>0</v>
      </c>
      <c r="J11" s="332">
        <f t="shared" si="1"/>
        <v>0</v>
      </c>
      <c r="K11" s="333">
        <f t="shared" ref="K11:L11" si="121">IF(ISBLANK(M11),,M11-M10)</f>
        <v>0</v>
      </c>
      <c r="L11" s="334">
        <f t="shared" si="121"/>
        <v>0</v>
      </c>
      <c r="M11" s="335">
        <v>4</v>
      </c>
      <c r="N11" s="336">
        <v>0</v>
      </c>
      <c r="O11" s="337">
        <f t="shared" ref="O11:P11" si="122">IF(ISBLANK(Q11),,Q11-Q10)</f>
        <v>0</v>
      </c>
      <c r="P11" s="338">
        <f t="shared" si="122"/>
        <v>0</v>
      </c>
      <c r="Q11" s="335">
        <v>0</v>
      </c>
      <c r="R11" s="339">
        <v>0</v>
      </c>
      <c r="S11" s="316">
        <f t="shared" ref="S11:T11" si="123">IF(ISBLANK(U11),,U11-U10)</f>
        <v>1</v>
      </c>
      <c r="T11" s="334">
        <f t="shared" si="123"/>
        <v>0</v>
      </c>
      <c r="U11" s="335">
        <v>2</v>
      </c>
      <c r="V11" s="336">
        <v>0</v>
      </c>
      <c r="W11" s="337">
        <f t="shared" ref="W11:X11" si="124">IF(ISBLANK(Y11),,Y11-Y10)</f>
        <v>0</v>
      </c>
      <c r="X11" s="334">
        <f t="shared" si="124"/>
        <v>0</v>
      </c>
      <c r="Y11" s="335">
        <v>1</v>
      </c>
      <c r="Z11" s="340">
        <v>0</v>
      </c>
      <c r="AA11" s="316">
        <f t="shared" ref="AA11:AB11" si="125">IF(ISBLANK(AC11),,AC11-AC10)</f>
        <v>1</v>
      </c>
      <c r="AB11" s="334">
        <f t="shared" si="125"/>
        <v>0</v>
      </c>
      <c r="AC11" s="335">
        <v>1</v>
      </c>
      <c r="AD11" s="336">
        <v>0</v>
      </c>
      <c r="AE11" s="337">
        <f t="shared" ref="AE11:AF11" si="126">IF(ISBLANK(AG11),,AG11-AG10)</f>
        <v>0</v>
      </c>
      <c r="AF11" s="334">
        <f t="shared" si="126"/>
        <v>0</v>
      </c>
      <c r="AG11" s="335">
        <v>1</v>
      </c>
      <c r="AH11" s="339">
        <v>0</v>
      </c>
      <c r="AI11" s="316">
        <f t="shared" ref="AI11:AJ11" si="127">IF(ISBLANK(AK11),,AK11-AK10)</f>
        <v>1</v>
      </c>
      <c r="AJ11" s="334">
        <f t="shared" si="127"/>
        <v>0</v>
      </c>
      <c r="AK11" s="335">
        <v>4</v>
      </c>
      <c r="AL11" s="336">
        <v>0</v>
      </c>
      <c r="AM11" s="337">
        <f t="shared" ref="AM11:AN11" si="128">IF(ISBLANK(AO11),,AO11-AO10)</f>
        <v>1</v>
      </c>
      <c r="AN11" s="334">
        <f t="shared" si="128"/>
        <v>0</v>
      </c>
      <c r="AO11" s="335">
        <v>1</v>
      </c>
      <c r="AP11" s="339">
        <v>0</v>
      </c>
      <c r="AQ11" s="316">
        <f t="shared" ref="AQ11:AR11" si="129">IF(ISBLANK(AS11),,AS11-AS10)</f>
        <v>1</v>
      </c>
      <c r="AR11" s="338">
        <f t="shared" si="129"/>
        <v>0</v>
      </c>
      <c r="AS11" s="335">
        <v>1</v>
      </c>
      <c r="AT11" s="336">
        <v>0</v>
      </c>
      <c r="AU11" s="337">
        <f t="shared" ref="AU11:AV11" si="130">IF(ISBLANK(AW11),,AW11-AW10)</f>
        <v>0</v>
      </c>
      <c r="AV11" s="334">
        <f t="shared" si="130"/>
        <v>0</v>
      </c>
      <c r="AW11" s="335">
        <v>0</v>
      </c>
      <c r="AX11" s="339">
        <v>0</v>
      </c>
      <c r="AY11" s="316">
        <f t="shared" ref="AY11:AZ11" si="131">IF(ISBLANK(BA11),,BA11-BA10)</f>
        <v>0</v>
      </c>
      <c r="AZ11" s="334">
        <f t="shared" si="131"/>
        <v>0</v>
      </c>
      <c r="BA11" s="335">
        <v>0</v>
      </c>
      <c r="BB11" s="336">
        <v>0</v>
      </c>
      <c r="BC11" s="337">
        <f t="shared" ref="BC11:BD11" si="132">IF(ISBLANK(BE11),,BE11-BE10)</f>
        <v>1</v>
      </c>
      <c r="BD11" s="334">
        <f t="shared" si="132"/>
        <v>0</v>
      </c>
      <c r="BE11" s="335">
        <v>8</v>
      </c>
      <c r="BF11" s="339">
        <v>0</v>
      </c>
      <c r="BG11" s="316">
        <f t="shared" ref="BG11:BH11" si="133">IF(ISBLANK(BI11),,BI11-BI10)</f>
        <v>0</v>
      </c>
      <c r="BH11" s="334">
        <f t="shared" si="133"/>
        <v>0</v>
      </c>
      <c r="BI11" s="335">
        <v>0</v>
      </c>
      <c r="BJ11" s="336">
        <v>0</v>
      </c>
      <c r="BK11" s="337">
        <f t="shared" ref="BK11:BL11" si="134">IF(ISBLANK(BM11),,BM11-BM10)</f>
        <v>2</v>
      </c>
      <c r="BL11" s="334">
        <f t="shared" si="134"/>
        <v>0</v>
      </c>
      <c r="BM11" s="335">
        <v>4</v>
      </c>
      <c r="BN11" s="339">
        <v>0</v>
      </c>
      <c r="BO11" s="316">
        <f t="shared" ref="BO11:BP11" si="135">IF(ISBLANK(BQ11),,BQ11-BQ10)</f>
        <v>1</v>
      </c>
      <c r="BP11" s="334">
        <f t="shared" si="135"/>
        <v>0</v>
      </c>
      <c r="BQ11" s="335">
        <v>2</v>
      </c>
      <c r="BR11" s="336">
        <v>0</v>
      </c>
      <c r="BS11" s="316">
        <f t="shared" ref="BS11:BT11" si="136">IF(ISBLANK(BU11),,BU11-BU10)</f>
        <v>0</v>
      </c>
      <c r="BT11" s="334">
        <f t="shared" si="136"/>
        <v>0</v>
      </c>
      <c r="BU11" s="335">
        <v>2</v>
      </c>
      <c r="BV11" s="336">
        <v>0</v>
      </c>
      <c r="BW11" s="233"/>
      <c r="BX11" s="233"/>
      <c r="BY11" s="233"/>
      <c r="BZ11" s="233"/>
      <c r="CA11" s="233"/>
      <c r="CB11" s="233"/>
      <c r="CC11" s="233"/>
      <c r="CD11" s="233"/>
      <c r="CE11" s="233"/>
    </row>
    <row r="12" spans="1:83" x14ac:dyDescent="0.25">
      <c r="A12" s="313">
        <v>43902</v>
      </c>
      <c r="B12" s="314">
        <v>9</v>
      </c>
      <c r="C12" s="315"/>
      <c r="D12" s="316">
        <v>20</v>
      </c>
      <c r="E12" s="317">
        <v>1</v>
      </c>
      <c r="F12" s="318">
        <v>0</v>
      </c>
      <c r="G12" s="319"/>
      <c r="H12" s="330">
        <f t="shared" ref="H12:I12" si="137">IF(ISBLANK(D12),,H11+D12)</f>
        <v>51</v>
      </c>
      <c r="I12" s="331">
        <f t="shared" si="137"/>
        <v>1</v>
      </c>
      <c r="J12" s="332">
        <f t="shared" si="1"/>
        <v>0</v>
      </c>
      <c r="K12" s="333">
        <f t="shared" ref="K12:L12" si="138">IF(ISBLANK(M12),,M12-M11)</f>
        <v>3</v>
      </c>
      <c r="L12" s="334">
        <f t="shared" si="138"/>
        <v>0</v>
      </c>
      <c r="M12" s="335">
        <v>7</v>
      </c>
      <c r="N12" s="336">
        <v>0</v>
      </c>
      <c r="O12" s="337">
        <f t="shared" ref="O12:P12" si="139">IF(ISBLANK(Q12),,Q12-Q11)</f>
        <v>0</v>
      </c>
      <c r="P12" s="338">
        <f t="shared" si="139"/>
        <v>0</v>
      </c>
      <c r="Q12" s="335">
        <v>0</v>
      </c>
      <c r="R12" s="339">
        <v>0</v>
      </c>
      <c r="S12" s="316">
        <f t="shared" ref="S12:T12" si="140">IF(ISBLANK(U12),,U12-U11)</f>
        <v>4</v>
      </c>
      <c r="T12" s="334">
        <f t="shared" si="140"/>
        <v>0</v>
      </c>
      <c r="U12" s="335">
        <v>6</v>
      </c>
      <c r="V12" s="336">
        <v>0</v>
      </c>
      <c r="W12" s="337">
        <f t="shared" ref="W12:X12" si="141">IF(ISBLANK(Y12),,Y12-Y11)</f>
        <v>0</v>
      </c>
      <c r="X12" s="334">
        <f t="shared" si="141"/>
        <v>0</v>
      </c>
      <c r="Y12" s="335">
        <v>1</v>
      </c>
      <c r="Z12" s="340">
        <v>0</v>
      </c>
      <c r="AA12" s="316">
        <f t="shared" ref="AA12:AB12" si="142">IF(ISBLANK(AC12),,AC12-AC11)</f>
        <v>1</v>
      </c>
      <c r="AB12" s="334">
        <f t="shared" si="142"/>
        <v>0</v>
      </c>
      <c r="AC12" s="335">
        <v>2</v>
      </c>
      <c r="AD12" s="336">
        <v>0</v>
      </c>
      <c r="AE12" s="337">
        <f t="shared" ref="AE12:AF12" si="143">IF(ISBLANK(AG12),,AG12-AG11)</f>
        <v>0</v>
      </c>
      <c r="AF12" s="334">
        <f t="shared" si="143"/>
        <v>0</v>
      </c>
      <c r="AG12" s="335">
        <v>1</v>
      </c>
      <c r="AH12" s="339">
        <v>0</v>
      </c>
      <c r="AI12" s="316">
        <f t="shared" ref="AI12:AJ12" si="144">IF(ISBLANK(AK12),,AK12-AK11)</f>
        <v>2</v>
      </c>
      <c r="AJ12" s="334">
        <f t="shared" si="144"/>
        <v>0</v>
      </c>
      <c r="AK12" s="335">
        <v>6</v>
      </c>
      <c r="AL12" s="336">
        <v>0</v>
      </c>
      <c r="AM12" s="337">
        <f t="shared" ref="AM12:AN12" si="145">IF(ISBLANK(AO12),,AO12-AO11)</f>
        <v>1</v>
      </c>
      <c r="AN12" s="334">
        <f t="shared" si="145"/>
        <v>0</v>
      </c>
      <c r="AO12" s="335">
        <v>2</v>
      </c>
      <c r="AP12" s="339">
        <v>0</v>
      </c>
      <c r="AQ12" s="316">
        <f t="shared" ref="AQ12:AR12" si="146">IF(ISBLANK(AS12),,AS12-AS11)</f>
        <v>2</v>
      </c>
      <c r="AR12" s="338">
        <f t="shared" si="146"/>
        <v>0</v>
      </c>
      <c r="AS12" s="335">
        <v>3</v>
      </c>
      <c r="AT12" s="336">
        <v>0</v>
      </c>
      <c r="AU12" s="337">
        <f t="shared" ref="AU12:AV12" si="147">IF(ISBLANK(AW12),,AW12-AW11)</f>
        <v>0</v>
      </c>
      <c r="AV12" s="334">
        <f t="shared" si="147"/>
        <v>0</v>
      </c>
      <c r="AW12" s="335">
        <v>0</v>
      </c>
      <c r="AX12" s="339">
        <v>0</v>
      </c>
      <c r="AY12" s="316">
        <f t="shared" ref="AY12:AZ12" si="148">IF(ISBLANK(BA12),,BA12-BA11)</f>
        <v>0</v>
      </c>
      <c r="AZ12" s="334">
        <f t="shared" si="148"/>
        <v>0</v>
      </c>
      <c r="BA12" s="335">
        <v>0</v>
      </c>
      <c r="BB12" s="336">
        <v>0</v>
      </c>
      <c r="BC12" s="337">
        <f t="shared" ref="BC12:BD12" si="149">IF(ISBLANK(BE12),,BE12-BE11)</f>
        <v>3</v>
      </c>
      <c r="BD12" s="334">
        <f t="shared" si="149"/>
        <v>0</v>
      </c>
      <c r="BE12" s="335">
        <v>11</v>
      </c>
      <c r="BF12" s="339">
        <v>0</v>
      </c>
      <c r="BG12" s="316">
        <f t="shared" ref="BG12:BH12" si="150">IF(ISBLANK(BI12),,BI12-BI11)</f>
        <v>0</v>
      </c>
      <c r="BH12" s="334">
        <f t="shared" si="150"/>
        <v>0</v>
      </c>
      <c r="BI12" s="335">
        <v>0</v>
      </c>
      <c r="BJ12" s="336">
        <v>0</v>
      </c>
      <c r="BK12" s="337">
        <f t="shared" ref="BK12:BL12" si="151">IF(ISBLANK(BM12),,BM12-BM11)</f>
        <v>0</v>
      </c>
      <c r="BL12" s="334">
        <f t="shared" si="151"/>
        <v>0</v>
      </c>
      <c r="BM12" s="335">
        <v>4</v>
      </c>
      <c r="BN12" s="339">
        <v>0</v>
      </c>
      <c r="BO12" s="316">
        <f t="shared" ref="BO12:BP12" si="152">IF(ISBLANK(BQ12),,BQ12-BQ11)</f>
        <v>3</v>
      </c>
      <c r="BP12" s="334">
        <f t="shared" si="152"/>
        <v>1</v>
      </c>
      <c r="BQ12" s="335">
        <v>5</v>
      </c>
      <c r="BR12" s="336">
        <v>1</v>
      </c>
      <c r="BS12" s="316">
        <f t="shared" ref="BS12:BT12" si="153">IF(ISBLANK(BU12),,BU12-BU11)</f>
        <v>1</v>
      </c>
      <c r="BT12" s="334">
        <f t="shared" si="153"/>
        <v>0</v>
      </c>
      <c r="BU12" s="335">
        <v>3</v>
      </c>
      <c r="BV12" s="336">
        <v>0</v>
      </c>
      <c r="BW12" s="233"/>
      <c r="BX12" s="233"/>
      <c r="BY12" s="233"/>
      <c r="BZ12" s="233"/>
      <c r="CA12" s="233"/>
      <c r="CB12" s="233"/>
      <c r="CC12" s="233"/>
      <c r="CD12" s="233"/>
      <c r="CE12" s="233"/>
    </row>
    <row r="13" spans="1:83" x14ac:dyDescent="0.25">
      <c r="A13" s="313">
        <v>43903</v>
      </c>
      <c r="B13" s="314">
        <v>10</v>
      </c>
      <c r="C13" s="315"/>
      <c r="D13" s="316">
        <v>17</v>
      </c>
      <c r="E13" s="317">
        <v>1</v>
      </c>
      <c r="F13" s="318">
        <v>0</v>
      </c>
      <c r="G13" s="319"/>
      <c r="H13" s="330">
        <f t="shared" ref="H13:I13" si="154">IF(ISBLANK(D13),,H12+D13)</f>
        <v>68</v>
      </c>
      <c r="I13" s="331">
        <f t="shared" si="154"/>
        <v>2</v>
      </c>
      <c r="J13" s="332">
        <f t="shared" si="1"/>
        <v>0</v>
      </c>
      <c r="K13" s="333">
        <f t="shared" ref="K13:L13" si="155">IF(ISBLANK(M13),,M13-M12)</f>
        <v>1</v>
      </c>
      <c r="L13" s="334">
        <f t="shared" si="155"/>
        <v>1</v>
      </c>
      <c r="M13" s="335">
        <v>8</v>
      </c>
      <c r="N13" s="336">
        <v>1</v>
      </c>
      <c r="O13" s="337">
        <f t="shared" ref="O13:P13" si="156">IF(ISBLANK(Q13),,Q13-Q12)</f>
        <v>0</v>
      </c>
      <c r="P13" s="338">
        <f t="shared" si="156"/>
        <v>0</v>
      </c>
      <c r="Q13" s="335">
        <v>0</v>
      </c>
      <c r="R13" s="339">
        <v>0</v>
      </c>
      <c r="S13" s="316">
        <f t="shared" ref="S13:T13" si="157">IF(ISBLANK(U13),,U13-U12)</f>
        <v>1</v>
      </c>
      <c r="T13" s="334">
        <f t="shared" si="157"/>
        <v>0</v>
      </c>
      <c r="U13" s="335">
        <v>7</v>
      </c>
      <c r="V13" s="336">
        <v>0</v>
      </c>
      <c r="W13" s="337">
        <f t="shared" ref="W13:X13" si="158">IF(ISBLANK(Y13),,Y13-Y12)</f>
        <v>0</v>
      </c>
      <c r="X13" s="334">
        <f t="shared" si="158"/>
        <v>0</v>
      </c>
      <c r="Y13" s="335">
        <v>1</v>
      </c>
      <c r="Z13" s="340">
        <v>0</v>
      </c>
      <c r="AA13" s="316">
        <f t="shared" ref="AA13:AB13" si="159">IF(ISBLANK(AC13),,AC13-AC12)</f>
        <v>3</v>
      </c>
      <c r="AB13" s="334">
        <f t="shared" si="159"/>
        <v>0</v>
      </c>
      <c r="AC13" s="335">
        <v>5</v>
      </c>
      <c r="AD13" s="336">
        <v>0</v>
      </c>
      <c r="AE13" s="337">
        <f t="shared" ref="AE13:AF13" si="160">IF(ISBLANK(AG13),,AG13-AG12)</f>
        <v>0</v>
      </c>
      <c r="AF13" s="334">
        <f t="shared" si="160"/>
        <v>0</v>
      </c>
      <c r="AG13" s="335">
        <v>1</v>
      </c>
      <c r="AH13" s="339">
        <v>0</v>
      </c>
      <c r="AI13" s="316">
        <f t="shared" ref="AI13:AJ13" si="161">IF(ISBLANK(AK13),,AK13-AK12)</f>
        <v>5</v>
      </c>
      <c r="AJ13" s="334">
        <f t="shared" si="161"/>
        <v>0</v>
      </c>
      <c r="AK13" s="335">
        <v>11</v>
      </c>
      <c r="AL13" s="336">
        <v>0</v>
      </c>
      <c r="AM13" s="337">
        <f t="shared" ref="AM13:AN13" si="162">IF(ISBLANK(AO13),,AO13-AO12)</f>
        <v>0</v>
      </c>
      <c r="AN13" s="334">
        <f t="shared" si="162"/>
        <v>0</v>
      </c>
      <c r="AO13" s="335">
        <v>2</v>
      </c>
      <c r="AP13" s="339">
        <v>0</v>
      </c>
      <c r="AQ13" s="316">
        <f t="shared" ref="AQ13:AR13" si="163">IF(ISBLANK(AS13),,AS13-AS12)</f>
        <v>3</v>
      </c>
      <c r="AR13" s="338">
        <f t="shared" si="163"/>
        <v>0</v>
      </c>
      <c r="AS13" s="335">
        <v>6</v>
      </c>
      <c r="AT13" s="336">
        <v>0</v>
      </c>
      <c r="AU13" s="337">
        <f t="shared" ref="AU13:AV13" si="164">IF(ISBLANK(AW13),,AW13-AW12)</f>
        <v>0</v>
      </c>
      <c r="AV13" s="334">
        <f t="shared" si="164"/>
        <v>0</v>
      </c>
      <c r="AW13" s="335">
        <v>0</v>
      </c>
      <c r="AX13" s="339">
        <v>0</v>
      </c>
      <c r="AY13" s="316">
        <f t="shared" ref="AY13:AZ13" si="165">IF(ISBLANK(BA13),,BA13-BA12)</f>
        <v>0</v>
      </c>
      <c r="AZ13" s="334">
        <f t="shared" si="165"/>
        <v>0</v>
      </c>
      <c r="BA13" s="335">
        <v>0</v>
      </c>
      <c r="BB13" s="336">
        <v>0</v>
      </c>
      <c r="BC13" s="337">
        <f t="shared" ref="BC13:BD13" si="166">IF(ISBLANK(BE13),,BE13-BE12)</f>
        <v>1</v>
      </c>
      <c r="BD13" s="334">
        <f t="shared" si="166"/>
        <v>0</v>
      </c>
      <c r="BE13" s="335">
        <v>12</v>
      </c>
      <c r="BF13" s="339">
        <v>0</v>
      </c>
      <c r="BG13" s="316">
        <f t="shared" ref="BG13:BH13" si="167">IF(ISBLANK(BI13),,BI13-BI12)</f>
        <v>0</v>
      </c>
      <c r="BH13" s="334">
        <f t="shared" si="167"/>
        <v>0</v>
      </c>
      <c r="BI13" s="335">
        <v>0</v>
      </c>
      <c r="BJ13" s="336">
        <v>0</v>
      </c>
      <c r="BK13" s="337">
        <f t="shared" ref="BK13:BL13" si="168">IF(ISBLANK(BM13),,BM13-BM12)</f>
        <v>0</v>
      </c>
      <c r="BL13" s="334">
        <f t="shared" si="168"/>
        <v>0</v>
      </c>
      <c r="BM13" s="335">
        <v>4</v>
      </c>
      <c r="BN13" s="339">
        <v>0</v>
      </c>
      <c r="BO13" s="316">
        <f t="shared" ref="BO13:BP13" si="169">IF(ISBLANK(BQ13),,BQ13-BQ12)</f>
        <v>1</v>
      </c>
      <c r="BP13" s="334">
        <f t="shared" si="169"/>
        <v>0</v>
      </c>
      <c r="BQ13" s="335">
        <v>6</v>
      </c>
      <c r="BR13" s="336">
        <v>1</v>
      </c>
      <c r="BS13" s="316">
        <f t="shared" ref="BS13:BT13" si="170">IF(ISBLANK(BU13),,BU13-BU12)</f>
        <v>2</v>
      </c>
      <c r="BT13" s="334">
        <f t="shared" si="170"/>
        <v>0</v>
      </c>
      <c r="BU13" s="335">
        <v>5</v>
      </c>
      <c r="BV13" s="336">
        <v>0</v>
      </c>
      <c r="BW13" s="233"/>
      <c r="BX13" s="233"/>
      <c r="BY13" s="233"/>
      <c r="BZ13" s="233"/>
      <c r="CA13" s="233"/>
      <c r="CB13" s="233"/>
      <c r="CC13" s="233"/>
      <c r="CD13" s="233"/>
      <c r="CE13" s="233"/>
    </row>
    <row r="14" spans="1:83" x14ac:dyDescent="0.25">
      <c r="A14" s="313">
        <v>43904</v>
      </c>
      <c r="B14" s="314">
        <v>11</v>
      </c>
      <c r="C14" s="315"/>
      <c r="D14" s="316">
        <v>36</v>
      </c>
      <c r="E14" s="317">
        <v>1</v>
      </c>
      <c r="F14" s="318">
        <v>0</v>
      </c>
      <c r="G14" s="319"/>
      <c r="H14" s="330">
        <f t="shared" ref="H14:I14" si="171">IF(ISBLANK(D14),,H13+D14)</f>
        <v>104</v>
      </c>
      <c r="I14" s="331">
        <f t="shared" si="171"/>
        <v>3</v>
      </c>
      <c r="J14" s="332">
        <f t="shared" si="1"/>
        <v>0</v>
      </c>
      <c r="K14" s="333">
        <f t="shared" ref="K14:L14" si="172">IF(ISBLANK(M14),,M14-M13)</f>
        <v>5</v>
      </c>
      <c r="L14" s="334">
        <f t="shared" si="172"/>
        <v>0</v>
      </c>
      <c r="M14" s="335">
        <v>13</v>
      </c>
      <c r="N14" s="336">
        <v>1</v>
      </c>
      <c r="O14" s="337">
        <f t="shared" ref="O14:P14" si="173">IF(ISBLANK(Q14),,Q14-Q13)</f>
        <v>0</v>
      </c>
      <c r="P14" s="338">
        <f t="shared" si="173"/>
        <v>0</v>
      </c>
      <c r="Q14" s="335">
        <v>0</v>
      </c>
      <c r="R14" s="339">
        <v>0</v>
      </c>
      <c r="S14" s="316">
        <f t="shared" ref="S14:T14" si="174">IF(ISBLANK(U14),,U14-U13)</f>
        <v>8</v>
      </c>
      <c r="T14" s="334">
        <f t="shared" si="174"/>
        <v>1</v>
      </c>
      <c r="U14" s="335">
        <v>15</v>
      </c>
      <c r="V14" s="336">
        <v>1</v>
      </c>
      <c r="W14" s="337">
        <f t="shared" ref="W14:X14" si="175">IF(ISBLANK(Y14),,Y14-Y13)</f>
        <v>0</v>
      </c>
      <c r="X14" s="334">
        <f t="shared" si="175"/>
        <v>0</v>
      </c>
      <c r="Y14" s="335">
        <v>1</v>
      </c>
      <c r="Z14" s="340">
        <v>0</v>
      </c>
      <c r="AA14" s="316">
        <f t="shared" ref="AA14:AB14" si="176">IF(ISBLANK(AC14),,AC14-AC13)</f>
        <v>10</v>
      </c>
      <c r="AB14" s="334">
        <f t="shared" si="176"/>
        <v>0</v>
      </c>
      <c r="AC14" s="335">
        <v>15</v>
      </c>
      <c r="AD14" s="336">
        <v>0</v>
      </c>
      <c r="AE14" s="337">
        <f t="shared" ref="AE14:AF14" si="177">IF(ISBLANK(AG14),,AG14-AG13)</f>
        <v>0</v>
      </c>
      <c r="AF14" s="334">
        <f t="shared" si="177"/>
        <v>0</v>
      </c>
      <c r="AG14" s="335">
        <v>1</v>
      </c>
      <c r="AH14" s="339">
        <v>0</v>
      </c>
      <c r="AI14" s="316">
        <f t="shared" ref="AI14:AJ14" si="178">IF(ISBLANK(AK14),,AK14-AK13)</f>
        <v>5</v>
      </c>
      <c r="AJ14" s="334">
        <f t="shared" si="178"/>
        <v>0</v>
      </c>
      <c r="AK14" s="335">
        <v>16</v>
      </c>
      <c r="AL14" s="336">
        <v>0</v>
      </c>
      <c r="AM14" s="337">
        <f t="shared" ref="AM14:AN14" si="179">IF(ISBLANK(AO14),,AO14-AO13)</f>
        <v>2</v>
      </c>
      <c r="AN14" s="334">
        <f t="shared" si="179"/>
        <v>0</v>
      </c>
      <c r="AO14" s="335">
        <v>4</v>
      </c>
      <c r="AP14" s="339">
        <v>0</v>
      </c>
      <c r="AQ14" s="316">
        <f t="shared" ref="AQ14:AR14" si="180">IF(ISBLANK(AS14),,AS14-AS13)</f>
        <v>1</v>
      </c>
      <c r="AR14" s="338">
        <f t="shared" si="180"/>
        <v>0</v>
      </c>
      <c r="AS14" s="335">
        <v>7</v>
      </c>
      <c r="AT14" s="336">
        <v>0</v>
      </c>
      <c r="AU14" s="337">
        <f t="shared" ref="AU14:AV14" si="181">IF(ISBLANK(AW14),,AW14-AW13)</f>
        <v>0</v>
      </c>
      <c r="AV14" s="334">
        <f t="shared" si="181"/>
        <v>0</v>
      </c>
      <c r="AW14" s="335">
        <v>0</v>
      </c>
      <c r="AX14" s="339">
        <v>0</v>
      </c>
      <c r="AY14" s="316">
        <f t="shared" ref="AY14:AZ14" si="182">IF(ISBLANK(BA14),,BA14-BA13)</f>
        <v>2</v>
      </c>
      <c r="AZ14" s="334">
        <f t="shared" si="182"/>
        <v>0</v>
      </c>
      <c r="BA14" s="335">
        <v>2</v>
      </c>
      <c r="BB14" s="336">
        <v>0</v>
      </c>
      <c r="BC14" s="337">
        <f t="shared" ref="BC14:BD14" si="183">IF(ISBLANK(BE14),,BE14-BE13)</f>
        <v>0</v>
      </c>
      <c r="BD14" s="334">
        <f t="shared" si="183"/>
        <v>0</v>
      </c>
      <c r="BE14" s="335">
        <v>12</v>
      </c>
      <c r="BF14" s="339">
        <v>0</v>
      </c>
      <c r="BG14" s="316">
        <f t="shared" ref="BG14:BH14" si="184">IF(ISBLANK(BI14),,BI14-BI13)</f>
        <v>2</v>
      </c>
      <c r="BH14" s="334">
        <f t="shared" si="184"/>
        <v>0</v>
      </c>
      <c r="BI14" s="335">
        <v>2</v>
      </c>
      <c r="BJ14" s="336">
        <v>0</v>
      </c>
      <c r="BK14" s="337">
        <f t="shared" ref="BK14:BL14" si="185">IF(ISBLANK(BM14),,BM14-BM13)</f>
        <v>0</v>
      </c>
      <c r="BL14" s="334">
        <f t="shared" si="185"/>
        <v>0</v>
      </c>
      <c r="BM14" s="335">
        <v>4</v>
      </c>
      <c r="BN14" s="339">
        <v>0</v>
      </c>
      <c r="BO14" s="316">
        <f t="shared" ref="BO14:BP14" si="186">IF(ISBLANK(BQ14),,BQ14-BQ13)</f>
        <v>1</v>
      </c>
      <c r="BP14" s="334">
        <f t="shared" si="186"/>
        <v>0</v>
      </c>
      <c r="BQ14" s="335">
        <v>7</v>
      </c>
      <c r="BR14" s="336">
        <v>1</v>
      </c>
      <c r="BS14" s="316">
        <f t="shared" ref="BS14:BT14" si="187">IF(ISBLANK(BU14),,BU14-BU13)</f>
        <v>0</v>
      </c>
      <c r="BT14" s="334">
        <f t="shared" si="187"/>
        <v>0</v>
      </c>
      <c r="BU14" s="335">
        <v>5</v>
      </c>
      <c r="BV14" s="336">
        <v>0</v>
      </c>
      <c r="BW14" s="233"/>
      <c r="BX14" s="233"/>
      <c r="BY14" s="233"/>
      <c r="BZ14" s="233"/>
      <c r="CA14" s="233"/>
      <c r="CB14" s="233"/>
      <c r="CC14" s="233"/>
      <c r="CD14" s="233"/>
      <c r="CE14" s="233"/>
    </row>
    <row r="15" spans="1:83" x14ac:dyDescent="0.25">
      <c r="A15" s="313">
        <v>43905</v>
      </c>
      <c r="B15" s="314">
        <v>12</v>
      </c>
      <c r="C15" s="315"/>
      <c r="D15" s="316">
        <v>21</v>
      </c>
      <c r="E15" s="317">
        <v>0</v>
      </c>
      <c r="F15" s="318">
        <v>0</v>
      </c>
      <c r="G15" s="319"/>
      <c r="H15" s="330">
        <f t="shared" ref="H15:I15" si="188">IF(ISBLANK(D15),,H14+D15)</f>
        <v>125</v>
      </c>
      <c r="I15" s="331">
        <f t="shared" si="188"/>
        <v>3</v>
      </c>
      <c r="J15" s="332">
        <f t="shared" si="1"/>
        <v>0</v>
      </c>
      <c r="K15" s="333">
        <f t="shared" ref="K15:L15" si="189">IF(ISBLANK(M15),,M15-M14)</f>
        <v>2</v>
      </c>
      <c r="L15" s="334">
        <f t="shared" si="189"/>
        <v>0</v>
      </c>
      <c r="M15" s="335">
        <v>15</v>
      </c>
      <c r="N15" s="336">
        <v>1</v>
      </c>
      <c r="O15" s="337">
        <f t="shared" ref="O15:P15" si="190">IF(ISBLANK(Q15),,Q15-Q14)</f>
        <v>0</v>
      </c>
      <c r="P15" s="338">
        <f t="shared" si="190"/>
        <v>0</v>
      </c>
      <c r="Q15" s="335">
        <v>0</v>
      </c>
      <c r="R15" s="339">
        <v>0</v>
      </c>
      <c r="S15" s="316">
        <f t="shared" ref="S15:T15" si="191">IF(ISBLANK(U15),,U15-U14)</f>
        <v>2</v>
      </c>
      <c r="T15" s="334">
        <f t="shared" si="191"/>
        <v>0</v>
      </c>
      <c r="U15" s="335">
        <v>17</v>
      </c>
      <c r="V15" s="336">
        <v>1</v>
      </c>
      <c r="W15" s="337">
        <f t="shared" ref="W15:X15" si="192">IF(ISBLANK(Y15),,Y15-Y14)</f>
        <v>1</v>
      </c>
      <c r="X15" s="334">
        <f t="shared" si="192"/>
        <v>0</v>
      </c>
      <c r="Y15" s="335">
        <v>2</v>
      </c>
      <c r="Z15" s="340">
        <v>0</v>
      </c>
      <c r="AA15" s="316">
        <f t="shared" ref="AA15:AB15" si="193">IF(ISBLANK(AC15),,AC15-AC14)</f>
        <v>4</v>
      </c>
      <c r="AB15" s="334">
        <f t="shared" si="193"/>
        <v>0</v>
      </c>
      <c r="AC15" s="335">
        <v>19</v>
      </c>
      <c r="AD15" s="336">
        <v>0</v>
      </c>
      <c r="AE15" s="337">
        <f t="shared" ref="AE15:AF15" si="194">IF(ISBLANK(AG15),,AG15-AG14)</f>
        <v>0</v>
      </c>
      <c r="AF15" s="334">
        <f t="shared" si="194"/>
        <v>0</v>
      </c>
      <c r="AG15" s="335">
        <v>1</v>
      </c>
      <c r="AH15" s="339">
        <v>0</v>
      </c>
      <c r="AI15" s="316">
        <f t="shared" ref="AI15:AJ15" si="195">IF(ISBLANK(AK15),,AK15-AK14)</f>
        <v>6</v>
      </c>
      <c r="AJ15" s="334">
        <f t="shared" si="195"/>
        <v>0</v>
      </c>
      <c r="AK15" s="335">
        <v>22</v>
      </c>
      <c r="AL15" s="336">
        <v>0</v>
      </c>
      <c r="AM15" s="337">
        <f t="shared" ref="AM15:AN15" si="196">IF(ISBLANK(AO15),,AO15-AO14)</f>
        <v>0</v>
      </c>
      <c r="AN15" s="334">
        <f t="shared" si="196"/>
        <v>0</v>
      </c>
      <c r="AO15" s="335">
        <v>4</v>
      </c>
      <c r="AP15" s="339">
        <v>0</v>
      </c>
      <c r="AQ15" s="316">
        <f t="shared" ref="AQ15:AR15" si="197">IF(ISBLANK(AS15),,AS15-AS14)</f>
        <v>1</v>
      </c>
      <c r="AR15" s="338">
        <f t="shared" si="197"/>
        <v>0</v>
      </c>
      <c r="AS15" s="335">
        <v>8</v>
      </c>
      <c r="AT15" s="336">
        <v>0</v>
      </c>
      <c r="AU15" s="337">
        <f t="shared" ref="AU15:AV15" si="198">IF(ISBLANK(AW15),,AW15-AW14)</f>
        <v>0</v>
      </c>
      <c r="AV15" s="334">
        <f t="shared" si="198"/>
        <v>0</v>
      </c>
      <c r="AW15" s="335">
        <v>0</v>
      </c>
      <c r="AX15" s="339">
        <v>0</v>
      </c>
      <c r="AY15" s="316">
        <f t="shared" ref="AY15:AZ15" si="199">IF(ISBLANK(BA15),,BA15-BA14)</f>
        <v>0</v>
      </c>
      <c r="AZ15" s="334">
        <f t="shared" si="199"/>
        <v>0</v>
      </c>
      <c r="BA15" s="335">
        <v>2</v>
      </c>
      <c r="BB15" s="336">
        <v>0</v>
      </c>
      <c r="BC15" s="337">
        <f t="shared" ref="BC15:BD15" si="200">IF(ISBLANK(BE15),,BE15-BE14)</f>
        <v>2</v>
      </c>
      <c r="BD15" s="334">
        <f t="shared" si="200"/>
        <v>0</v>
      </c>
      <c r="BE15" s="335">
        <v>14</v>
      </c>
      <c r="BF15" s="339">
        <v>0</v>
      </c>
      <c r="BG15" s="316">
        <f t="shared" ref="BG15:BH15" si="201">IF(ISBLANK(BI15),,BI15-BI14)</f>
        <v>1</v>
      </c>
      <c r="BH15" s="334">
        <f t="shared" si="201"/>
        <v>0</v>
      </c>
      <c r="BI15" s="335">
        <v>3</v>
      </c>
      <c r="BJ15" s="336">
        <v>0</v>
      </c>
      <c r="BK15" s="337">
        <f t="shared" ref="BK15:BL15" si="202">IF(ISBLANK(BM15),,BM15-BM14)</f>
        <v>1</v>
      </c>
      <c r="BL15" s="334">
        <f t="shared" si="202"/>
        <v>0</v>
      </c>
      <c r="BM15" s="335">
        <v>5</v>
      </c>
      <c r="BN15" s="339">
        <v>0</v>
      </c>
      <c r="BO15" s="316">
        <f t="shared" ref="BO15:BP15" si="203">IF(ISBLANK(BQ15),,BQ15-BQ14)</f>
        <v>0</v>
      </c>
      <c r="BP15" s="334">
        <f t="shared" si="203"/>
        <v>0</v>
      </c>
      <c r="BQ15" s="335">
        <v>7</v>
      </c>
      <c r="BR15" s="336">
        <v>1</v>
      </c>
      <c r="BS15" s="316">
        <f t="shared" ref="BS15:BT15" si="204">IF(ISBLANK(BU15),,BU15-BU14)</f>
        <v>1</v>
      </c>
      <c r="BT15" s="334">
        <f t="shared" si="204"/>
        <v>0</v>
      </c>
      <c r="BU15" s="335">
        <v>6</v>
      </c>
      <c r="BV15" s="336">
        <v>0</v>
      </c>
      <c r="BW15" s="233"/>
      <c r="BX15" s="233"/>
      <c r="BY15" s="233"/>
      <c r="BZ15" s="233"/>
      <c r="CA15" s="233"/>
      <c r="CB15" s="233"/>
      <c r="CC15" s="233"/>
      <c r="CD15" s="233"/>
      <c r="CE15" s="233"/>
    </row>
    <row r="16" spans="1:83" x14ac:dyDescent="0.25">
      <c r="A16" s="313">
        <v>43906</v>
      </c>
      <c r="B16" s="314">
        <v>13</v>
      </c>
      <c r="C16" s="315"/>
      <c r="D16" s="316">
        <v>52</v>
      </c>
      <c r="E16" s="317">
        <v>1</v>
      </c>
      <c r="F16" s="318">
        <v>0</v>
      </c>
      <c r="G16" s="319"/>
      <c r="H16" s="330">
        <f t="shared" ref="H16:I16" si="205">IF(ISBLANK(D16),,H15+D16)</f>
        <v>177</v>
      </c>
      <c r="I16" s="331">
        <f t="shared" si="205"/>
        <v>4</v>
      </c>
      <c r="J16" s="332">
        <f t="shared" si="1"/>
        <v>0</v>
      </c>
      <c r="K16" s="333">
        <f t="shared" ref="K16:L16" si="206">IF(ISBLANK(M16),,M16-M15)</f>
        <v>12</v>
      </c>
      <c r="L16" s="334">
        <f t="shared" si="206"/>
        <v>0</v>
      </c>
      <c r="M16" s="335">
        <v>27</v>
      </c>
      <c r="N16" s="336">
        <v>1</v>
      </c>
      <c r="O16" s="337">
        <f t="shared" ref="O16:P16" si="207">IF(ISBLANK(Q16),,Q16-Q15)</f>
        <v>0</v>
      </c>
      <c r="P16" s="338">
        <f t="shared" si="207"/>
        <v>0</v>
      </c>
      <c r="Q16" s="335">
        <v>0</v>
      </c>
      <c r="R16" s="339">
        <v>0</v>
      </c>
      <c r="S16" s="316">
        <f t="shared" ref="S16:T16" si="208">IF(ISBLANK(U16),,U16-U15)</f>
        <v>1</v>
      </c>
      <c r="T16" s="334">
        <f t="shared" si="208"/>
        <v>0</v>
      </c>
      <c r="U16" s="335">
        <v>18</v>
      </c>
      <c r="V16" s="336">
        <v>1</v>
      </c>
      <c r="W16" s="337">
        <f t="shared" ref="W16:X16" si="209">IF(ISBLANK(Y16),,Y16-Y15)</f>
        <v>0</v>
      </c>
      <c r="X16" s="334">
        <f t="shared" si="209"/>
        <v>0</v>
      </c>
      <c r="Y16" s="335">
        <v>2</v>
      </c>
      <c r="Z16" s="340">
        <v>0</v>
      </c>
      <c r="AA16" s="316">
        <f t="shared" ref="AA16:AB16" si="210">IF(ISBLANK(AC16),,AC16-AC15)</f>
        <v>12</v>
      </c>
      <c r="AB16" s="334">
        <f t="shared" si="210"/>
        <v>0</v>
      </c>
      <c r="AC16" s="335">
        <v>31</v>
      </c>
      <c r="AD16" s="336">
        <v>0</v>
      </c>
      <c r="AE16" s="337">
        <f t="shared" ref="AE16:AF16" si="211">IF(ISBLANK(AG16),,AG16-AG15)</f>
        <v>1</v>
      </c>
      <c r="AF16" s="334">
        <f t="shared" si="211"/>
        <v>0</v>
      </c>
      <c r="AG16" s="335">
        <v>2</v>
      </c>
      <c r="AH16" s="339">
        <v>0</v>
      </c>
      <c r="AI16" s="316">
        <f t="shared" ref="AI16:AJ16" si="212">IF(ISBLANK(AK16),,AK16-AK15)</f>
        <v>13</v>
      </c>
      <c r="AJ16" s="334">
        <f t="shared" si="212"/>
        <v>0</v>
      </c>
      <c r="AK16" s="335">
        <v>35</v>
      </c>
      <c r="AL16" s="336">
        <v>0</v>
      </c>
      <c r="AM16" s="337">
        <f t="shared" ref="AM16:AN16" si="213">IF(ISBLANK(AO16),,AO16-AO15)</f>
        <v>2</v>
      </c>
      <c r="AN16" s="334">
        <f t="shared" si="213"/>
        <v>0</v>
      </c>
      <c r="AO16" s="335">
        <v>6</v>
      </c>
      <c r="AP16" s="339">
        <v>0</v>
      </c>
      <c r="AQ16" s="316">
        <f t="shared" ref="AQ16:AR16" si="214">IF(ISBLANK(AS16),,AS16-AS15)</f>
        <v>3</v>
      </c>
      <c r="AR16" s="338">
        <f t="shared" si="214"/>
        <v>1</v>
      </c>
      <c r="AS16" s="335">
        <v>11</v>
      </c>
      <c r="AT16" s="336">
        <v>1</v>
      </c>
      <c r="AU16" s="337">
        <f t="shared" ref="AU16:AV16" si="215">IF(ISBLANK(AW16),,AW16-AW15)</f>
        <v>0</v>
      </c>
      <c r="AV16" s="334">
        <f t="shared" si="215"/>
        <v>0</v>
      </c>
      <c r="AW16" s="335">
        <v>0</v>
      </c>
      <c r="AX16" s="339">
        <v>0</v>
      </c>
      <c r="AY16" s="316">
        <f t="shared" ref="AY16:AZ16" si="216">IF(ISBLANK(BA16),,BA16-BA15)</f>
        <v>0</v>
      </c>
      <c r="AZ16" s="334">
        <f t="shared" si="216"/>
        <v>0</v>
      </c>
      <c r="BA16" s="335">
        <v>2</v>
      </c>
      <c r="BB16" s="336">
        <v>0</v>
      </c>
      <c r="BC16" s="337">
        <f t="shared" ref="BC16:BD16" si="217">IF(ISBLANK(BE16),,BE16-BE15)</f>
        <v>4</v>
      </c>
      <c r="BD16" s="334">
        <f t="shared" si="217"/>
        <v>0</v>
      </c>
      <c r="BE16" s="335">
        <v>18</v>
      </c>
      <c r="BF16" s="339">
        <v>0</v>
      </c>
      <c r="BG16" s="316">
        <f t="shared" ref="BG16:BH16" si="218">IF(ISBLANK(BI16),,BI16-BI15)</f>
        <v>0</v>
      </c>
      <c r="BH16" s="334">
        <f t="shared" si="218"/>
        <v>0</v>
      </c>
      <c r="BI16" s="335">
        <v>3</v>
      </c>
      <c r="BJ16" s="336">
        <v>0</v>
      </c>
      <c r="BK16" s="337">
        <f t="shared" ref="BK16:BL16" si="219">IF(ISBLANK(BM16),,BM16-BM15)</f>
        <v>0</v>
      </c>
      <c r="BL16" s="334">
        <f t="shared" si="219"/>
        <v>0</v>
      </c>
      <c r="BM16" s="335">
        <v>5</v>
      </c>
      <c r="BN16" s="339">
        <v>0</v>
      </c>
      <c r="BO16" s="316">
        <f t="shared" ref="BO16:BP16" si="220">IF(ISBLANK(BQ16),,BQ16-BQ15)</f>
        <v>4</v>
      </c>
      <c r="BP16" s="334">
        <f t="shared" si="220"/>
        <v>0</v>
      </c>
      <c r="BQ16" s="335">
        <v>11</v>
      </c>
      <c r="BR16" s="336">
        <v>1</v>
      </c>
      <c r="BS16" s="316">
        <f t="shared" ref="BS16:BT16" si="221">IF(ISBLANK(BU16),,BU16-BU15)</f>
        <v>0</v>
      </c>
      <c r="BT16" s="334">
        <f t="shared" si="221"/>
        <v>0</v>
      </c>
      <c r="BU16" s="335">
        <v>6</v>
      </c>
      <c r="BV16" s="336">
        <v>0</v>
      </c>
      <c r="BW16" s="233"/>
      <c r="BX16" s="233"/>
      <c r="BY16" s="233"/>
      <c r="BZ16" s="233"/>
      <c r="CA16" s="233"/>
      <c r="CB16" s="233"/>
      <c r="CC16" s="233"/>
      <c r="CD16" s="233"/>
      <c r="CE16" s="233"/>
    </row>
    <row r="17" spans="1:83" x14ac:dyDescent="0.25">
      <c r="A17" s="313">
        <v>43907</v>
      </c>
      <c r="B17" s="314">
        <v>14</v>
      </c>
      <c r="C17" s="315"/>
      <c r="D17" s="316">
        <v>61</v>
      </c>
      <c r="E17" s="317">
        <v>1</v>
      </c>
      <c r="F17" s="318">
        <v>1</v>
      </c>
      <c r="G17" s="319"/>
      <c r="H17" s="330">
        <f t="shared" ref="H17:I17" si="222">IF(ISBLANK(D17),,H16+D17)</f>
        <v>238</v>
      </c>
      <c r="I17" s="331">
        <f t="shared" si="222"/>
        <v>5</v>
      </c>
      <c r="J17" s="332">
        <f t="shared" si="1"/>
        <v>1</v>
      </c>
      <c r="K17" s="333">
        <f t="shared" ref="K17:L17" si="223">IF(ISBLANK(M17),,M17-M16)</f>
        <v>11</v>
      </c>
      <c r="L17" s="334">
        <f t="shared" si="223"/>
        <v>1</v>
      </c>
      <c r="M17" s="335">
        <v>38</v>
      </c>
      <c r="N17" s="336">
        <v>2</v>
      </c>
      <c r="O17" s="337">
        <f t="shared" ref="O17:P17" si="224">IF(ISBLANK(Q17),,Q17-Q16)</f>
        <v>8</v>
      </c>
      <c r="P17" s="338">
        <f t="shared" si="224"/>
        <v>0</v>
      </c>
      <c r="Q17" s="335">
        <v>8</v>
      </c>
      <c r="R17" s="339">
        <v>0</v>
      </c>
      <c r="S17" s="316">
        <f t="shared" ref="S17:T17" si="225">IF(ISBLANK(U17),,U17-U16)</f>
        <v>4</v>
      </c>
      <c r="T17" s="334">
        <f t="shared" si="225"/>
        <v>0</v>
      </c>
      <c r="U17" s="335">
        <v>22</v>
      </c>
      <c r="V17" s="336">
        <v>1</v>
      </c>
      <c r="W17" s="337">
        <f t="shared" ref="W17:X17" si="226">IF(ISBLANK(Y17),,Y17-Y16)</f>
        <v>0</v>
      </c>
      <c r="X17" s="334">
        <f t="shared" si="226"/>
        <v>0</v>
      </c>
      <c r="Y17" s="335">
        <v>2</v>
      </c>
      <c r="Z17" s="340">
        <v>0</v>
      </c>
      <c r="AA17" s="316">
        <f t="shared" ref="AA17:AB17" si="227">IF(ISBLANK(AC17),,AC17-AC16)</f>
        <v>11</v>
      </c>
      <c r="AB17" s="334">
        <f t="shared" si="227"/>
        <v>0</v>
      </c>
      <c r="AC17" s="335">
        <v>42</v>
      </c>
      <c r="AD17" s="336">
        <v>0</v>
      </c>
      <c r="AE17" s="337">
        <f t="shared" ref="AE17:AF17" si="228">IF(ISBLANK(AG17),,AG17-AG16)</f>
        <v>3</v>
      </c>
      <c r="AF17" s="334">
        <f t="shared" si="228"/>
        <v>0</v>
      </c>
      <c r="AG17" s="335">
        <v>5</v>
      </c>
      <c r="AH17" s="339">
        <v>0</v>
      </c>
      <c r="AI17" s="316">
        <f t="shared" ref="AI17:AJ17" si="229">IF(ISBLANK(AK17),,AK17-AK16)</f>
        <v>3</v>
      </c>
      <c r="AJ17" s="334">
        <f t="shared" si="229"/>
        <v>0</v>
      </c>
      <c r="AK17" s="335">
        <v>38</v>
      </c>
      <c r="AL17" s="336">
        <v>0</v>
      </c>
      <c r="AM17" s="337">
        <f t="shared" ref="AM17:AN17" si="230">IF(ISBLANK(AO17),,AO17-AO16)</f>
        <v>2</v>
      </c>
      <c r="AN17" s="334">
        <f t="shared" si="230"/>
        <v>0</v>
      </c>
      <c r="AO17" s="335">
        <v>8</v>
      </c>
      <c r="AP17" s="339">
        <v>0</v>
      </c>
      <c r="AQ17" s="316">
        <f t="shared" ref="AQ17:AR17" si="231">IF(ISBLANK(AS17),,AS17-AS16)</f>
        <v>0</v>
      </c>
      <c r="AR17" s="338">
        <f t="shared" si="231"/>
        <v>0</v>
      </c>
      <c r="AS17" s="335">
        <v>11</v>
      </c>
      <c r="AT17" s="336">
        <v>1</v>
      </c>
      <c r="AU17" s="337">
        <f t="shared" ref="AU17:AV17" si="232">IF(ISBLANK(AW17),,AW17-AW16)</f>
        <v>1</v>
      </c>
      <c r="AV17" s="334">
        <f t="shared" si="232"/>
        <v>0</v>
      </c>
      <c r="AW17" s="335">
        <v>1</v>
      </c>
      <c r="AX17" s="339">
        <v>0</v>
      </c>
      <c r="AY17" s="316">
        <f t="shared" ref="AY17:AZ17" si="233">IF(ISBLANK(BA17),,BA17-BA16)</f>
        <v>6</v>
      </c>
      <c r="AZ17" s="334">
        <f t="shared" si="233"/>
        <v>0</v>
      </c>
      <c r="BA17" s="335">
        <v>8</v>
      </c>
      <c r="BB17" s="336">
        <v>0</v>
      </c>
      <c r="BC17" s="337">
        <f t="shared" ref="BC17:BD17" si="234">IF(ISBLANK(BE17),,BE17-BE16)</f>
        <v>6</v>
      </c>
      <c r="BD17" s="334">
        <f t="shared" si="234"/>
        <v>0</v>
      </c>
      <c r="BE17" s="335">
        <v>24</v>
      </c>
      <c r="BF17" s="339">
        <v>0</v>
      </c>
      <c r="BG17" s="316">
        <f t="shared" ref="BG17:BH17" si="235">IF(ISBLANK(BI17),,BI17-BI16)</f>
        <v>0</v>
      </c>
      <c r="BH17" s="334">
        <f t="shared" si="235"/>
        <v>0</v>
      </c>
      <c r="BI17" s="335">
        <v>3</v>
      </c>
      <c r="BJ17" s="336">
        <v>0</v>
      </c>
      <c r="BK17" s="337">
        <f t="shared" ref="BK17:BL17" si="236">IF(ISBLANK(BM17),,BM17-BM16)</f>
        <v>2</v>
      </c>
      <c r="BL17" s="334">
        <f t="shared" si="236"/>
        <v>0</v>
      </c>
      <c r="BM17" s="335">
        <v>7</v>
      </c>
      <c r="BN17" s="339">
        <v>0</v>
      </c>
      <c r="BO17" s="316">
        <f t="shared" ref="BO17:BP17" si="237">IF(ISBLANK(BQ17),,BQ17-BQ16)</f>
        <v>2</v>
      </c>
      <c r="BP17" s="334">
        <f t="shared" si="237"/>
        <v>0</v>
      </c>
      <c r="BQ17" s="335">
        <v>13</v>
      </c>
      <c r="BR17" s="336">
        <v>1</v>
      </c>
      <c r="BS17" s="316">
        <f t="shared" ref="BS17:BT17" si="238">IF(ISBLANK(BU17),,BU17-BU16)</f>
        <v>2</v>
      </c>
      <c r="BT17" s="334">
        <f t="shared" si="238"/>
        <v>0</v>
      </c>
      <c r="BU17" s="335">
        <v>8</v>
      </c>
      <c r="BV17" s="336">
        <v>0</v>
      </c>
      <c r="BW17" s="233"/>
      <c r="BX17" s="233"/>
      <c r="BY17" s="233"/>
      <c r="BZ17" s="233"/>
      <c r="CA17" s="233"/>
      <c r="CB17" s="233"/>
      <c r="CC17" s="233"/>
      <c r="CD17" s="233"/>
      <c r="CE17" s="233"/>
    </row>
    <row r="18" spans="1:83" x14ac:dyDescent="0.25">
      <c r="A18" s="313">
        <v>43908</v>
      </c>
      <c r="B18" s="314">
        <v>15</v>
      </c>
      <c r="C18" s="315"/>
      <c r="D18" s="316">
        <v>49</v>
      </c>
      <c r="E18" s="317">
        <v>0</v>
      </c>
      <c r="F18" s="318">
        <v>1</v>
      </c>
      <c r="G18" s="319"/>
      <c r="H18" s="330">
        <f t="shared" ref="H18:I18" si="239">IF(ISBLANK(D18),,H17+D18)</f>
        <v>287</v>
      </c>
      <c r="I18" s="331">
        <f t="shared" si="239"/>
        <v>5</v>
      </c>
      <c r="J18" s="332">
        <f t="shared" si="1"/>
        <v>0</v>
      </c>
      <c r="K18" s="333">
        <f t="shared" ref="K18:L18" si="240">IF(ISBLANK(M18),,M18-M17)</f>
        <v>2</v>
      </c>
      <c r="L18" s="334">
        <f t="shared" si="240"/>
        <v>0</v>
      </c>
      <c r="M18" s="335">
        <v>40</v>
      </c>
      <c r="N18" s="336">
        <v>2</v>
      </c>
      <c r="O18" s="337">
        <f t="shared" ref="O18:P18" si="241">IF(ISBLANK(Q18),,Q18-Q17)</f>
        <v>0</v>
      </c>
      <c r="P18" s="338">
        <f t="shared" si="241"/>
        <v>0</v>
      </c>
      <c r="Q18" s="335">
        <v>8</v>
      </c>
      <c r="R18" s="339">
        <v>0</v>
      </c>
      <c r="S18" s="316">
        <f t="shared" ref="S18:T18" si="242">IF(ISBLANK(U18),,U18-U17)</f>
        <v>0</v>
      </c>
      <c r="T18" s="334">
        <f t="shared" si="242"/>
        <v>0</v>
      </c>
      <c r="U18" s="335">
        <v>22</v>
      </c>
      <c r="V18" s="336">
        <v>1</v>
      </c>
      <c r="W18" s="337">
        <f t="shared" ref="W18:X18" si="243">IF(ISBLANK(Y18),,Y18-Y17)</f>
        <v>1</v>
      </c>
      <c r="X18" s="334">
        <f t="shared" si="243"/>
        <v>0</v>
      </c>
      <c r="Y18" s="335">
        <v>3</v>
      </c>
      <c r="Z18" s="340">
        <v>0</v>
      </c>
      <c r="AA18" s="316">
        <f t="shared" ref="AA18:AB18" si="244">IF(ISBLANK(AC18),,AC18-AC17)</f>
        <v>0</v>
      </c>
      <c r="AB18" s="334">
        <f t="shared" si="244"/>
        <v>0</v>
      </c>
      <c r="AC18" s="335">
        <v>42</v>
      </c>
      <c r="AD18" s="336">
        <v>0</v>
      </c>
      <c r="AE18" s="337">
        <f t="shared" ref="AE18:AF18" si="245">IF(ISBLANK(AG18),,AG18-AG17)</f>
        <v>1</v>
      </c>
      <c r="AF18" s="334">
        <f t="shared" si="245"/>
        <v>0</v>
      </c>
      <c r="AG18" s="335">
        <v>6</v>
      </c>
      <c r="AH18" s="339">
        <v>0</v>
      </c>
      <c r="AI18" s="316">
        <f t="shared" ref="AI18:AJ18" si="246">IF(ISBLANK(AK18),,AK18-AK17)</f>
        <v>28</v>
      </c>
      <c r="AJ18" s="334">
        <f t="shared" si="246"/>
        <v>0</v>
      </c>
      <c r="AK18" s="335">
        <v>66</v>
      </c>
      <c r="AL18" s="336">
        <v>0</v>
      </c>
      <c r="AM18" s="337">
        <f t="shared" ref="AM18:AN18" si="247">IF(ISBLANK(AO18),,AO18-AO17)</f>
        <v>1</v>
      </c>
      <c r="AN18" s="334">
        <f t="shared" si="247"/>
        <v>0</v>
      </c>
      <c r="AO18" s="335">
        <v>9</v>
      </c>
      <c r="AP18" s="339">
        <v>0</v>
      </c>
      <c r="AQ18" s="316">
        <f t="shared" ref="AQ18:AR18" si="248">IF(ISBLANK(AS18),,AS18-AS17)</f>
        <v>3</v>
      </c>
      <c r="AR18" s="338">
        <f t="shared" si="248"/>
        <v>0</v>
      </c>
      <c r="AS18" s="335">
        <v>14</v>
      </c>
      <c r="AT18" s="336">
        <v>1</v>
      </c>
      <c r="AU18" s="337">
        <f t="shared" ref="AU18:AV18" si="249">IF(ISBLANK(AW18),,AW18-AW17)</f>
        <v>0</v>
      </c>
      <c r="AV18" s="334">
        <f t="shared" si="249"/>
        <v>0</v>
      </c>
      <c r="AW18" s="335">
        <v>1</v>
      </c>
      <c r="AX18" s="339">
        <v>0</v>
      </c>
      <c r="AY18" s="316">
        <f t="shared" ref="AY18:AZ18" si="250">IF(ISBLANK(BA18),,BA18-BA17)</f>
        <v>1</v>
      </c>
      <c r="AZ18" s="334">
        <f t="shared" si="250"/>
        <v>0</v>
      </c>
      <c r="BA18" s="335">
        <v>9</v>
      </c>
      <c r="BB18" s="336">
        <v>0</v>
      </c>
      <c r="BC18" s="337">
        <f t="shared" ref="BC18:BD18" si="251">IF(ISBLANK(BE18),,BE18-BE17)</f>
        <v>6</v>
      </c>
      <c r="BD18" s="334">
        <f t="shared" si="251"/>
        <v>0</v>
      </c>
      <c r="BE18" s="335">
        <v>30</v>
      </c>
      <c r="BF18" s="339">
        <v>0</v>
      </c>
      <c r="BG18" s="316">
        <f t="shared" ref="BG18:BH18" si="252">IF(ISBLANK(BI18),,BI18-BI17)</f>
        <v>1</v>
      </c>
      <c r="BH18" s="334">
        <f t="shared" si="252"/>
        <v>0</v>
      </c>
      <c r="BI18" s="335">
        <v>4</v>
      </c>
      <c r="BJ18" s="336">
        <v>0</v>
      </c>
      <c r="BK18" s="337">
        <f t="shared" ref="BK18:BL18" si="253">IF(ISBLANK(BM18),,BM18-BM17)</f>
        <v>4</v>
      </c>
      <c r="BL18" s="334">
        <f t="shared" si="253"/>
        <v>0</v>
      </c>
      <c r="BM18" s="335">
        <v>11</v>
      </c>
      <c r="BN18" s="339">
        <v>0</v>
      </c>
      <c r="BO18" s="316">
        <f t="shared" ref="BO18:BP18" si="254">IF(ISBLANK(BQ18),,BQ18-BQ17)</f>
        <v>0</v>
      </c>
      <c r="BP18" s="334">
        <f t="shared" si="254"/>
        <v>0</v>
      </c>
      <c r="BQ18" s="335">
        <v>13</v>
      </c>
      <c r="BR18" s="336">
        <v>1</v>
      </c>
      <c r="BS18" s="316">
        <f t="shared" ref="BS18:BT18" si="255">IF(ISBLANK(BU18),,BU18-BU17)</f>
        <v>0</v>
      </c>
      <c r="BT18" s="334">
        <f t="shared" si="255"/>
        <v>0</v>
      </c>
      <c r="BU18" s="335">
        <v>8</v>
      </c>
      <c r="BV18" s="336">
        <v>0</v>
      </c>
      <c r="BW18" s="233"/>
      <c r="BX18" s="233"/>
      <c r="BY18" s="233"/>
      <c r="BZ18" s="233"/>
      <c r="CA18" s="233"/>
      <c r="CB18" s="233"/>
      <c r="CC18" s="233"/>
      <c r="CD18" s="233"/>
      <c r="CE18" s="233"/>
    </row>
    <row r="19" spans="1:83" x14ac:dyDescent="0.25">
      <c r="A19" s="313">
        <v>43909</v>
      </c>
      <c r="B19" s="314">
        <v>16</v>
      </c>
      <c r="C19" s="315"/>
      <c r="D19" s="316">
        <v>68</v>
      </c>
      <c r="E19" s="317">
        <v>0</v>
      </c>
      <c r="F19" s="318">
        <v>1</v>
      </c>
      <c r="G19" s="319"/>
      <c r="H19" s="330">
        <f t="shared" ref="H19:I19" si="256">IF(ISBLANK(D19),,H18+D19)</f>
        <v>355</v>
      </c>
      <c r="I19" s="331">
        <f t="shared" si="256"/>
        <v>5</v>
      </c>
      <c r="J19" s="332">
        <f t="shared" si="1"/>
        <v>0</v>
      </c>
      <c r="K19" s="333">
        <f t="shared" ref="K19:L19" si="257">IF(ISBLANK(M19),,M19-M18)</f>
        <v>13</v>
      </c>
      <c r="L19" s="334">
        <f t="shared" si="257"/>
        <v>0</v>
      </c>
      <c r="M19" s="335">
        <v>53</v>
      </c>
      <c r="N19" s="336">
        <v>2</v>
      </c>
      <c r="O19" s="337">
        <f t="shared" ref="O19:P19" si="258">IF(ISBLANK(Q19),,Q19-Q18)</f>
        <v>3</v>
      </c>
      <c r="P19" s="338">
        <f t="shared" si="258"/>
        <v>0</v>
      </c>
      <c r="Q19" s="335">
        <v>11</v>
      </c>
      <c r="R19" s="339">
        <v>0</v>
      </c>
      <c r="S19" s="316">
        <f t="shared" ref="S19:T19" si="259">IF(ISBLANK(U19),,U19-U18)</f>
        <v>3</v>
      </c>
      <c r="T19" s="334">
        <f t="shared" si="259"/>
        <v>0</v>
      </c>
      <c r="U19" s="335">
        <v>25</v>
      </c>
      <c r="V19" s="336">
        <v>1</v>
      </c>
      <c r="W19" s="337">
        <f t="shared" ref="W19:X19" si="260">IF(ISBLANK(Y19),,Y19-Y18)</f>
        <v>6</v>
      </c>
      <c r="X19" s="334">
        <f t="shared" si="260"/>
        <v>0</v>
      </c>
      <c r="Y19" s="335">
        <v>9</v>
      </c>
      <c r="Z19" s="340">
        <v>0</v>
      </c>
      <c r="AA19" s="316">
        <f t="shared" ref="AA19:AB19" si="261">IF(ISBLANK(AC19),,AC19-AC18)</f>
        <v>6</v>
      </c>
      <c r="AB19" s="334">
        <f t="shared" si="261"/>
        <v>0</v>
      </c>
      <c r="AC19" s="335">
        <v>48</v>
      </c>
      <c r="AD19" s="336">
        <v>0</v>
      </c>
      <c r="AE19" s="337">
        <f t="shared" ref="AE19:AF19" si="262">IF(ISBLANK(AG19),,AG19-AG18)</f>
        <v>1</v>
      </c>
      <c r="AF19" s="334">
        <f t="shared" si="262"/>
        <v>0</v>
      </c>
      <c r="AG19" s="335">
        <v>7</v>
      </c>
      <c r="AH19" s="339">
        <v>0</v>
      </c>
      <c r="AI19" s="316">
        <f t="shared" ref="AI19:AJ19" si="263">IF(ISBLANK(AK19),,AK19-AK18)</f>
        <v>16</v>
      </c>
      <c r="AJ19" s="334">
        <f t="shared" si="263"/>
        <v>0</v>
      </c>
      <c r="AK19" s="335">
        <v>82</v>
      </c>
      <c r="AL19" s="336">
        <v>0</v>
      </c>
      <c r="AM19" s="337">
        <f t="shared" ref="AM19:AN19" si="264">IF(ISBLANK(AO19),,AO19-AO18)</f>
        <v>1</v>
      </c>
      <c r="AN19" s="334">
        <f t="shared" si="264"/>
        <v>0</v>
      </c>
      <c r="AO19" s="335">
        <v>10</v>
      </c>
      <c r="AP19" s="339">
        <v>0</v>
      </c>
      <c r="AQ19" s="316">
        <f t="shared" ref="AQ19:AR19" si="265">IF(ISBLANK(AS19),,AS19-AS18)</f>
        <v>3</v>
      </c>
      <c r="AR19" s="338">
        <f t="shared" si="265"/>
        <v>0</v>
      </c>
      <c r="AS19" s="335">
        <v>17</v>
      </c>
      <c r="AT19" s="336">
        <v>1</v>
      </c>
      <c r="AU19" s="337">
        <f t="shared" ref="AU19:AV19" si="266">IF(ISBLANK(AW19),,AW19-AW18)</f>
        <v>0</v>
      </c>
      <c r="AV19" s="334">
        <f t="shared" si="266"/>
        <v>0</v>
      </c>
      <c r="AW19" s="335">
        <v>1</v>
      </c>
      <c r="AX19" s="339">
        <v>0</v>
      </c>
      <c r="AY19" s="316">
        <f t="shared" ref="AY19:AZ19" si="267">IF(ISBLANK(BA19),,BA19-BA18)</f>
        <v>0</v>
      </c>
      <c r="AZ19" s="334">
        <f t="shared" si="267"/>
        <v>0</v>
      </c>
      <c r="BA19" s="335">
        <v>9</v>
      </c>
      <c r="BB19" s="336">
        <v>0</v>
      </c>
      <c r="BC19" s="337">
        <f t="shared" ref="BC19:BD19" si="268">IF(ISBLANK(BE19),,BE19-BE18)</f>
        <v>12</v>
      </c>
      <c r="BD19" s="334">
        <f t="shared" si="268"/>
        <v>0</v>
      </c>
      <c r="BE19" s="335">
        <v>42</v>
      </c>
      <c r="BF19" s="339">
        <v>0</v>
      </c>
      <c r="BG19" s="316">
        <f t="shared" ref="BG19:BH19" si="269">IF(ISBLANK(BI19),,BI19-BI18)</f>
        <v>1</v>
      </c>
      <c r="BH19" s="334">
        <f t="shared" si="269"/>
        <v>0</v>
      </c>
      <c r="BI19" s="335">
        <v>5</v>
      </c>
      <c r="BJ19" s="336">
        <v>0</v>
      </c>
      <c r="BK19" s="337">
        <f t="shared" ref="BK19:BL19" si="270">IF(ISBLANK(BM19),,BM19-BM18)</f>
        <v>1</v>
      </c>
      <c r="BL19" s="334">
        <f t="shared" si="270"/>
        <v>0</v>
      </c>
      <c r="BM19" s="335">
        <v>12</v>
      </c>
      <c r="BN19" s="339">
        <v>0</v>
      </c>
      <c r="BO19" s="316">
        <f t="shared" ref="BO19:BP19" si="271">IF(ISBLANK(BQ19),,BQ19-BQ18)</f>
        <v>2</v>
      </c>
      <c r="BP19" s="334">
        <f t="shared" si="271"/>
        <v>0</v>
      </c>
      <c r="BQ19" s="335">
        <v>15</v>
      </c>
      <c r="BR19" s="336">
        <v>1</v>
      </c>
      <c r="BS19" s="316">
        <f t="shared" ref="BS19:BT19" si="272">IF(ISBLANK(BU19),,BU19-BU18)</f>
        <v>1</v>
      </c>
      <c r="BT19" s="334">
        <f t="shared" si="272"/>
        <v>0</v>
      </c>
      <c r="BU19" s="335">
        <v>9</v>
      </c>
      <c r="BV19" s="336">
        <v>0</v>
      </c>
      <c r="BW19" s="233"/>
      <c r="BX19" s="233"/>
      <c r="BY19" s="233"/>
      <c r="BZ19" s="233"/>
      <c r="CA19" s="233"/>
      <c r="CB19" s="233"/>
      <c r="CC19" s="233"/>
      <c r="CD19" s="233"/>
      <c r="CE19" s="233"/>
    </row>
    <row r="20" spans="1:83" x14ac:dyDescent="0.25">
      <c r="A20" s="313">
        <v>43910</v>
      </c>
      <c r="B20" s="314">
        <v>17</v>
      </c>
      <c r="C20" s="315"/>
      <c r="D20" s="316">
        <v>70</v>
      </c>
      <c r="E20" s="317">
        <v>0</v>
      </c>
      <c r="F20" s="318">
        <v>1</v>
      </c>
      <c r="G20" s="319"/>
      <c r="H20" s="330">
        <f t="shared" ref="H20:I20" si="273">IF(ISBLANK(D20),,H19+D20)</f>
        <v>425</v>
      </c>
      <c r="I20" s="331">
        <f t="shared" si="273"/>
        <v>5</v>
      </c>
      <c r="J20" s="332">
        <f t="shared" si="1"/>
        <v>0</v>
      </c>
      <c r="K20" s="333">
        <f t="shared" ref="K20:L20" si="274">IF(ISBLANK(M20),,M20-M19)</f>
        <v>5</v>
      </c>
      <c r="L20" s="334">
        <f t="shared" si="274"/>
        <v>0</v>
      </c>
      <c r="M20" s="335">
        <v>58</v>
      </c>
      <c r="N20" s="336">
        <v>2</v>
      </c>
      <c r="O20" s="337">
        <f t="shared" ref="O20:P20" si="275">IF(ISBLANK(Q20),,Q20-Q19)</f>
        <v>3</v>
      </c>
      <c r="P20" s="338">
        <f t="shared" si="275"/>
        <v>0</v>
      </c>
      <c r="Q20" s="335">
        <v>14</v>
      </c>
      <c r="R20" s="339">
        <v>0</v>
      </c>
      <c r="S20" s="316">
        <f t="shared" ref="S20:T20" si="276">IF(ISBLANK(U20),,U20-U19)</f>
        <v>3</v>
      </c>
      <c r="T20" s="334">
        <f t="shared" si="276"/>
        <v>0</v>
      </c>
      <c r="U20" s="335">
        <v>28</v>
      </c>
      <c r="V20" s="336">
        <v>1</v>
      </c>
      <c r="W20" s="337">
        <f t="shared" ref="W20:X20" si="277">IF(ISBLANK(Y20),,Y20-Y19)</f>
        <v>0</v>
      </c>
      <c r="X20" s="334">
        <f t="shared" si="277"/>
        <v>0</v>
      </c>
      <c r="Y20" s="335">
        <v>9</v>
      </c>
      <c r="Z20" s="340">
        <v>0</v>
      </c>
      <c r="AA20" s="316">
        <f t="shared" ref="AA20:AB20" si="278">IF(ISBLANK(AC20),,AC20-AC19)</f>
        <v>9</v>
      </c>
      <c r="AB20" s="334">
        <f t="shared" si="278"/>
        <v>0</v>
      </c>
      <c r="AC20" s="335">
        <v>57</v>
      </c>
      <c r="AD20" s="336">
        <v>0</v>
      </c>
      <c r="AE20" s="337">
        <f t="shared" ref="AE20:AF20" si="279">IF(ISBLANK(AG20),,AG20-AG19)</f>
        <v>7</v>
      </c>
      <c r="AF20" s="334">
        <f t="shared" si="279"/>
        <v>0</v>
      </c>
      <c r="AG20" s="335">
        <v>14</v>
      </c>
      <c r="AH20" s="339">
        <v>0</v>
      </c>
      <c r="AI20" s="316">
        <f t="shared" ref="AI20:AJ20" si="280">IF(ISBLANK(AK20),,AK20-AK19)</f>
        <v>25</v>
      </c>
      <c r="AJ20" s="334">
        <f t="shared" si="280"/>
        <v>0</v>
      </c>
      <c r="AK20" s="335">
        <v>107</v>
      </c>
      <c r="AL20" s="336">
        <v>0</v>
      </c>
      <c r="AM20" s="337">
        <f t="shared" ref="AM20:AN20" si="281">IF(ISBLANK(AO20),,AO20-AO19)</f>
        <v>0</v>
      </c>
      <c r="AN20" s="334">
        <f t="shared" si="281"/>
        <v>0</v>
      </c>
      <c r="AO20" s="335">
        <v>10</v>
      </c>
      <c r="AP20" s="339">
        <v>0</v>
      </c>
      <c r="AQ20" s="316">
        <f t="shared" ref="AQ20:AR20" si="282">IF(ISBLANK(AS20),,AS20-AS19)</f>
        <v>2</v>
      </c>
      <c r="AR20" s="338">
        <f t="shared" si="282"/>
        <v>0</v>
      </c>
      <c r="AS20" s="335">
        <v>19</v>
      </c>
      <c r="AT20" s="336">
        <v>1</v>
      </c>
      <c r="AU20" s="337">
        <f t="shared" ref="AU20:AV20" si="283">IF(ISBLANK(AW20),,AW20-AW19)</f>
        <v>2</v>
      </c>
      <c r="AV20" s="334">
        <f t="shared" si="283"/>
        <v>0</v>
      </c>
      <c r="AW20" s="335">
        <v>3</v>
      </c>
      <c r="AX20" s="339">
        <v>0</v>
      </c>
      <c r="AY20" s="316">
        <f t="shared" ref="AY20:AZ20" si="284">IF(ISBLANK(BA20),,BA20-BA19)</f>
        <v>1</v>
      </c>
      <c r="AZ20" s="334">
        <f t="shared" si="284"/>
        <v>0</v>
      </c>
      <c r="BA20" s="335">
        <v>10</v>
      </c>
      <c r="BB20" s="336">
        <v>0</v>
      </c>
      <c r="BC20" s="337">
        <f t="shared" ref="BC20:BD20" si="285">IF(ISBLANK(BE20),,BE20-BE19)</f>
        <v>4</v>
      </c>
      <c r="BD20" s="334">
        <f t="shared" si="285"/>
        <v>0</v>
      </c>
      <c r="BE20" s="335">
        <v>46</v>
      </c>
      <c r="BF20" s="339">
        <v>0</v>
      </c>
      <c r="BG20" s="316">
        <f t="shared" ref="BG20:BH20" si="286">IF(ISBLANK(BI20),,BI20-BI19)</f>
        <v>1</v>
      </c>
      <c r="BH20" s="334">
        <f t="shared" si="286"/>
        <v>0</v>
      </c>
      <c r="BI20" s="335">
        <v>6</v>
      </c>
      <c r="BJ20" s="336">
        <v>0</v>
      </c>
      <c r="BK20" s="337">
        <f t="shared" ref="BK20:BL20" si="287">IF(ISBLANK(BM20),,BM20-BM19)</f>
        <v>5</v>
      </c>
      <c r="BL20" s="334">
        <f t="shared" si="287"/>
        <v>0</v>
      </c>
      <c r="BM20" s="335">
        <v>17</v>
      </c>
      <c r="BN20" s="339">
        <v>0</v>
      </c>
      <c r="BO20" s="316">
        <f t="shared" ref="BO20:BP20" si="288">IF(ISBLANK(BQ20),,BQ20-BQ19)</f>
        <v>3</v>
      </c>
      <c r="BP20" s="334">
        <f t="shared" si="288"/>
        <v>0</v>
      </c>
      <c r="BQ20" s="335">
        <v>18</v>
      </c>
      <c r="BR20" s="336">
        <v>1</v>
      </c>
      <c r="BS20" s="316">
        <f t="shared" ref="BS20:BT20" si="289">IF(ISBLANK(BU20),,BU20-BU19)</f>
        <v>0</v>
      </c>
      <c r="BT20" s="334">
        <f t="shared" si="289"/>
        <v>0</v>
      </c>
      <c r="BU20" s="335">
        <v>9</v>
      </c>
      <c r="BV20" s="336">
        <v>0</v>
      </c>
      <c r="BW20" s="233"/>
      <c r="BX20" s="233"/>
      <c r="BY20" s="233"/>
      <c r="BZ20" s="233"/>
      <c r="CA20" s="233"/>
      <c r="CB20" s="233"/>
      <c r="CC20" s="233"/>
      <c r="CD20" s="233"/>
      <c r="CE20" s="233"/>
    </row>
    <row r="21" spans="1:83" x14ac:dyDescent="0.25">
      <c r="A21" s="313">
        <v>43911</v>
      </c>
      <c r="B21" s="314">
        <v>18</v>
      </c>
      <c r="C21" s="315"/>
      <c r="D21" s="316">
        <v>111</v>
      </c>
      <c r="E21" s="317">
        <v>0</v>
      </c>
      <c r="F21" s="318">
        <v>1</v>
      </c>
      <c r="G21" s="319"/>
      <c r="H21" s="330">
        <f t="shared" ref="H21:I21" si="290">IF(ISBLANK(D21),,H20+D21)</f>
        <v>536</v>
      </c>
      <c r="I21" s="331">
        <f t="shared" si="290"/>
        <v>5</v>
      </c>
      <c r="J21" s="332">
        <f t="shared" si="1"/>
        <v>0</v>
      </c>
      <c r="K21" s="333">
        <f t="shared" ref="K21:L21" si="291">IF(ISBLANK(M21),,M21-M20)</f>
        <v>8</v>
      </c>
      <c r="L21" s="334">
        <f t="shared" si="291"/>
        <v>0</v>
      </c>
      <c r="M21" s="335">
        <v>66</v>
      </c>
      <c r="N21" s="336">
        <v>2</v>
      </c>
      <c r="O21" s="337">
        <f t="shared" ref="O21:P21" si="292">IF(ISBLANK(Q21),,Q21-Q20)</f>
        <v>4</v>
      </c>
      <c r="P21" s="338">
        <f t="shared" si="292"/>
        <v>0</v>
      </c>
      <c r="Q21" s="335">
        <v>18</v>
      </c>
      <c r="R21" s="339">
        <v>0</v>
      </c>
      <c r="S21" s="316">
        <f t="shared" ref="S21:T21" si="293">IF(ISBLANK(U21),,U21-U20)</f>
        <v>3</v>
      </c>
      <c r="T21" s="334">
        <f t="shared" si="293"/>
        <v>0</v>
      </c>
      <c r="U21" s="335">
        <v>31</v>
      </c>
      <c r="V21" s="336">
        <v>1</v>
      </c>
      <c r="W21" s="337">
        <f t="shared" ref="W21:X21" si="294">IF(ISBLANK(Y21),,Y21-Y20)</f>
        <v>0</v>
      </c>
      <c r="X21" s="334">
        <f t="shared" si="294"/>
        <v>0</v>
      </c>
      <c r="Y21" s="335">
        <v>9</v>
      </c>
      <c r="Z21" s="340">
        <v>0</v>
      </c>
      <c r="AA21" s="316">
        <f t="shared" ref="AA21:AB21" si="295">IF(ISBLANK(AC21),,AC21-AC20)</f>
        <v>34</v>
      </c>
      <c r="AB21" s="334">
        <f t="shared" si="295"/>
        <v>0</v>
      </c>
      <c r="AC21" s="335">
        <v>91</v>
      </c>
      <c r="AD21" s="336">
        <v>0</v>
      </c>
      <c r="AE21" s="337">
        <f t="shared" ref="AE21:AF21" si="296">IF(ISBLANK(AG21),,AG21-AG20)</f>
        <v>2</v>
      </c>
      <c r="AF21" s="334">
        <f t="shared" si="296"/>
        <v>0</v>
      </c>
      <c r="AG21" s="335">
        <v>16</v>
      </c>
      <c r="AH21" s="339">
        <v>0</v>
      </c>
      <c r="AI21" s="316">
        <f t="shared" ref="AI21:AJ21" si="297">IF(ISBLANK(AK21),,AK21-AK20)</f>
        <v>20</v>
      </c>
      <c r="AJ21" s="334">
        <f t="shared" si="297"/>
        <v>0</v>
      </c>
      <c r="AK21" s="335">
        <v>127</v>
      </c>
      <c r="AL21" s="336">
        <v>0</v>
      </c>
      <c r="AM21" s="337">
        <f t="shared" ref="AM21:AN21" si="298">IF(ISBLANK(AO21),,AO21-AO20)</f>
        <v>0</v>
      </c>
      <c r="AN21" s="334">
        <f t="shared" si="298"/>
        <v>0</v>
      </c>
      <c r="AO21" s="335">
        <v>10</v>
      </c>
      <c r="AP21" s="339">
        <v>0</v>
      </c>
      <c r="AQ21" s="316">
        <f t="shared" ref="AQ21:AR21" si="299">IF(ISBLANK(AS21),,AS21-AS20)</f>
        <v>6</v>
      </c>
      <c r="AR21" s="338">
        <f t="shared" si="299"/>
        <v>0</v>
      </c>
      <c r="AS21" s="335">
        <v>25</v>
      </c>
      <c r="AT21" s="336">
        <v>1</v>
      </c>
      <c r="AU21" s="337">
        <f t="shared" ref="AU21:AV21" si="300">IF(ISBLANK(AW21),,AW21-AW20)</f>
        <v>2</v>
      </c>
      <c r="AV21" s="334">
        <f t="shared" si="300"/>
        <v>0</v>
      </c>
      <c r="AW21" s="335">
        <v>5</v>
      </c>
      <c r="AX21" s="339">
        <v>0</v>
      </c>
      <c r="AY21" s="316">
        <f t="shared" ref="AY21:AZ21" si="301">IF(ISBLANK(BA21),,BA21-BA20)</f>
        <v>4</v>
      </c>
      <c r="AZ21" s="334">
        <f t="shared" si="301"/>
        <v>0</v>
      </c>
      <c r="BA21" s="335">
        <v>14</v>
      </c>
      <c r="BB21" s="336">
        <v>0</v>
      </c>
      <c r="BC21" s="337">
        <f t="shared" ref="BC21:BD21" si="302">IF(ISBLANK(BE21),,BE21-BE20)</f>
        <v>10</v>
      </c>
      <c r="BD21" s="334">
        <f t="shared" si="302"/>
        <v>0</v>
      </c>
      <c r="BE21" s="335">
        <v>56</v>
      </c>
      <c r="BF21" s="339">
        <v>0</v>
      </c>
      <c r="BG21" s="316">
        <f t="shared" ref="BG21:BH21" si="303">IF(ISBLANK(BI21),,BI21-BI20)</f>
        <v>1</v>
      </c>
      <c r="BH21" s="334">
        <f t="shared" si="303"/>
        <v>0</v>
      </c>
      <c r="BI21" s="335">
        <v>7</v>
      </c>
      <c r="BJ21" s="336">
        <v>0</v>
      </c>
      <c r="BK21" s="337">
        <f t="shared" ref="BK21:BL21" si="304">IF(ISBLANK(BM21),,BM21-BM20)</f>
        <v>3</v>
      </c>
      <c r="BL21" s="334">
        <f t="shared" si="304"/>
        <v>0</v>
      </c>
      <c r="BM21" s="335">
        <v>20</v>
      </c>
      <c r="BN21" s="339">
        <v>0</v>
      </c>
      <c r="BO21" s="316">
        <f t="shared" ref="BO21:BP21" si="305">IF(ISBLANK(BQ21),,BQ21-BQ20)</f>
        <v>13</v>
      </c>
      <c r="BP21" s="334">
        <f t="shared" si="305"/>
        <v>0</v>
      </c>
      <c r="BQ21" s="335">
        <v>31</v>
      </c>
      <c r="BR21" s="336">
        <v>1</v>
      </c>
      <c r="BS21" s="316">
        <f t="shared" ref="BS21:BT21" si="306">IF(ISBLANK(BU21),,BU21-BU20)</f>
        <v>1</v>
      </c>
      <c r="BT21" s="334">
        <f t="shared" si="306"/>
        <v>0</v>
      </c>
      <c r="BU21" s="335">
        <v>10</v>
      </c>
      <c r="BV21" s="336">
        <v>0</v>
      </c>
      <c r="BW21" s="233"/>
      <c r="BX21" s="233"/>
      <c r="BY21" s="233"/>
      <c r="BZ21" s="233"/>
      <c r="CA21" s="233"/>
      <c r="CB21" s="233"/>
      <c r="CC21" s="233"/>
      <c r="CD21" s="233"/>
      <c r="CE21" s="233"/>
    </row>
    <row r="22" spans="1:83" x14ac:dyDescent="0.25">
      <c r="A22" s="313">
        <v>43912</v>
      </c>
      <c r="B22" s="314">
        <v>19</v>
      </c>
      <c r="C22" s="315"/>
      <c r="D22" s="316">
        <v>98</v>
      </c>
      <c r="E22" s="317">
        <v>2</v>
      </c>
      <c r="F22" s="318">
        <v>1</v>
      </c>
      <c r="G22" s="319"/>
      <c r="H22" s="330">
        <f t="shared" ref="H22:I22" si="307">IF(ISBLANK(D22),,H21+D22)</f>
        <v>634</v>
      </c>
      <c r="I22" s="331">
        <f t="shared" si="307"/>
        <v>7</v>
      </c>
      <c r="J22" s="332">
        <f t="shared" si="1"/>
        <v>0</v>
      </c>
      <c r="K22" s="333">
        <f t="shared" ref="K22:L22" si="308">IF(ISBLANK(M22),,M22-M21)</f>
        <v>13</v>
      </c>
      <c r="L22" s="334">
        <f t="shared" si="308"/>
        <v>0</v>
      </c>
      <c r="M22" s="335">
        <v>79</v>
      </c>
      <c r="N22" s="336">
        <v>2</v>
      </c>
      <c r="O22" s="337">
        <f t="shared" ref="O22:P22" si="309">IF(ISBLANK(Q22),,Q22-Q21)</f>
        <v>0</v>
      </c>
      <c r="P22" s="338">
        <f t="shared" si="309"/>
        <v>0</v>
      </c>
      <c r="Q22" s="335">
        <v>18</v>
      </c>
      <c r="R22" s="339">
        <v>0</v>
      </c>
      <c r="S22" s="316">
        <f t="shared" ref="S22:T22" si="310">IF(ISBLANK(U22),,U22-U21)</f>
        <v>8</v>
      </c>
      <c r="T22" s="334">
        <f t="shared" si="310"/>
        <v>0</v>
      </c>
      <c r="U22" s="335">
        <v>39</v>
      </c>
      <c r="V22" s="336">
        <v>1</v>
      </c>
      <c r="W22" s="337">
        <f t="shared" ref="W22:X22" si="311">IF(ISBLANK(Y22),,Y22-Y21)</f>
        <v>2</v>
      </c>
      <c r="X22" s="334">
        <f t="shared" si="311"/>
        <v>0</v>
      </c>
      <c r="Y22" s="335">
        <v>11</v>
      </c>
      <c r="Z22" s="340">
        <v>0</v>
      </c>
      <c r="AA22" s="316">
        <f t="shared" ref="AA22:AB22" si="312">IF(ISBLANK(AC22),,AC22-AC21)</f>
        <v>15</v>
      </c>
      <c r="AB22" s="334">
        <f t="shared" si="312"/>
        <v>0</v>
      </c>
      <c r="AC22" s="335">
        <v>106</v>
      </c>
      <c r="AD22" s="336">
        <v>0</v>
      </c>
      <c r="AE22" s="337">
        <f t="shared" ref="AE22:AF22" si="313">IF(ISBLANK(AG22),,AG22-AG21)</f>
        <v>8</v>
      </c>
      <c r="AF22" s="334">
        <f t="shared" si="313"/>
        <v>0</v>
      </c>
      <c r="AG22" s="335">
        <v>24</v>
      </c>
      <c r="AH22" s="339">
        <v>0</v>
      </c>
      <c r="AI22" s="316">
        <f t="shared" ref="AI22:AJ22" si="314">IF(ISBLANK(AK22),,AK22-AK21)</f>
        <v>20</v>
      </c>
      <c r="AJ22" s="334">
        <f t="shared" si="314"/>
        <v>1</v>
      </c>
      <c r="AK22" s="335">
        <v>147</v>
      </c>
      <c r="AL22" s="336">
        <v>1</v>
      </c>
      <c r="AM22" s="337">
        <f t="shared" ref="AM22:AN22" si="315">IF(ISBLANK(AO22),,AO22-AO21)</f>
        <v>4</v>
      </c>
      <c r="AN22" s="334">
        <f t="shared" si="315"/>
        <v>0</v>
      </c>
      <c r="AO22" s="335">
        <v>14</v>
      </c>
      <c r="AP22" s="339">
        <v>0</v>
      </c>
      <c r="AQ22" s="316">
        <f t="shared" ref="AQ22:AR22" si="316">IF(ISBLANK(AS22),,AS22-AS21)</f>
        <v>4</v>
      </c>
      <c r="AR22" s="338">
        <f t="shared" si="316"/>
        <v>0</v>
      </c>
      <c r="AS22" s="335">
        <v>29</v>
      </c>
      <c r="AT22" s="336">
        <v>1</v>
      </c>
      <c r="AU22" s="337">
        <f t="shared" ref="AU22:AV22" si="317">IF(ISBLANK(AW22),,AW22-AW21)</f>
        <v>1</v>
      </c>
      <c r="AV22" s="334">
        <f t="shared" si="317"/>
        <v>0</v>
      </c>
      <c r="AW22" s="335">
        <v>6</v>
      </c>
      <c r="AX22" s="339">
        <v>0</v>
      </c>
      <c r="AY22" s="316">
        <f t="shared" ref="AY22:AZ22" si="318">IF(ISBLANK(BA22),,BA22-BA21)</f>
        <v>3</v>
      </c>
      <c r="AZ22" s="334">
        <f t="shared" si="318"/>
        <v>0</v>
      </c>
      <c r="BA22" s="335">
        <v>17</v>
      </c>
      <c r="BB22" s="336">
        <v>0</v>
      </c>
      <c r="BC22" s="337">
        <f t="shared" ref="BC22:BD22" si="319">IF(ISBLANK(BE22),,BE22-BE21)</f>
        <v>10</v>
      </c>
      <c r="BD22" s="334">
        <f t="shared" si="319"/>
        <v>0</v>
      </c>
      <c r="BE22" s="335">
        <v>66</v>
      </c>
      <c r="BF22" s="339">
        <v>0</v>
      </c>
      <c r="BG22" s="316">
        <f t="shared" ref="BG22:BH22" si="320">IF(ISBLANK(BI22),,BI22-BI21)</f>
        <v>0</v>
      </c>
      <c r="BH22" s="334">
        <f t="shared" si="320"/>
        <v>0</v>
      </c>
      <c r="BI22" s="335">
        <v>7</v>
      </c>
      <c r="BJ22" s="336">
        <v>0</v>
      </c>
      <c r="BK22" s="337">
        <f t="shared" ref="BK22:BL22" si="321">IF(ISBLANK(BM22),,BM22-BM21)</f>
        <v>2</v>
      </c>
      <c r="BL22" s="334">
        <f t="shared" si="321"/>
        <v>0</v>
      </c>
      <c r="BM22" s="335">
        <v>22</v>
      </c>
      <c r="BN22" s="339">
        <v>0</v>
      </c>
      <c r="BO22" s="316">
        <f t="shared" ref="BO22:BP22" si="322">IF(ISBLANK(BQ22),,BQ22-BQ21)</f>
        <v>6</v>
      </c>
      <c r="BP22" s="334">
        <f t="shared" si="322"/>
        <v>1</v>
      </c>
      <c r="BQ22" s="335">
        <v>37</v>
      </c>
      <c r="BR22" s="336">
        <v>2</v>
      </c>
      <c r="BS22" s="316">
        <f t="shared" ref="BS22:BT22" si="323">IF(ISBLANK(BU22),,BU22-BU21)</f>
        <v>2</v>
      </c>
      <c r="BT22" s="334">
        <f t="shared" si="323"/>
        <v>0</v>
      </c>
      <c r="BU22" s="335">
        <v>12</v>
      </c>
      <c r="BV22" s="336">
        <v>0</v>
      </c>
      <c r="BW22" s="233"/>
      <c r="BX22" s="233"/>
      <c r="BY22" s="233"/>
      <c r="BZ22" s="233"/>
      <c r="CA22" s="233"/>
      <c r="CB22" s="233"/>
      <c r="CC22" s="233"/>
      <c r="CD22" s="233"/>
      <c r="CE22" s="233"/>
    </row>
    <row r="23" spans="1:83" x14ac:dyDescent="0.25">
      <c r="A23" s="313">
        <v>43913</v>
      </c>
      <c r="B23" s="314">
        <v>20</v>
      </c>
      <c r="C23" s="315"/>
      <c r="D23" s="316">
        <v>115</v>
      </c>
      <c r="E23" s="317">
        <v>1</v>
      </c>
      <c r="F23" s="318">
        <v>1</v>
      </c>
      <c r="G23" s="319"/>
      <c r="H23" s="330">
        <f t="shared" ref="H23:I23" si="324">IF(ISBLANK(D23),,H22+D23)</f>
        <v>749</v>
      </c>
      <c r="I23" s="331">
        <f t="shared" si="324"/>
        <v>8</v>
      </c>
      <c r="J23" s="332">
        <f t="shared" si="1"/>
        <v>0</v>
      </c>
      <c r="K23" s="333">
        <f t="shared" ref="K23:L23" si="325">IF(ISBLANK(M23),,M23-M22)</f>
        <v>22</v>
      </c>
      <c r="L23" s="334">
        <f t="shared" si="325"/>
        <v>0</v>
      </c>
      <c r="M23" s="335">
        <v>101</v>
      </c>
      <c r="N23" s="336">
        <v>2</v>
      </c>
      <c r="O23" s="337">
        <f t="shared" ref="O23:P23" si="326">IF(ISBLANK(Q23),,Q23-Q22)</f>
        <v>3</v>
      </c>
      <c r="P23" s="338">
        <f t="shared" si="326"/>
        <v>0</v>
      </c>
      <c r="Q23" s="335">
        <v>21</v>
      </c>
      <c r="R23" s="339">
        <v>0</v>
      </c>
      <c r="S23" s="316">
        <f t="shared" ref="S23:T23" si="327">IF(ISBLANK(U23),,U23-U22)</f>
        <v>9</v>
      </c>
      <c r="T23" s="334">
        <f t="shared" si="327"/>
        <v>0</v>
      </c>
      <c r="U23" s="335">
        <v>48</v>
      </c>
      <c r="V23" s="336">
        <v>1</v>
      </c>
      <c r="W23" s="337">
        <f t="shared" ref="W23:X23" si="328">IF(ISBLANK(Y23),,Y23-Y22)</f>
        <v>5</v>
      </c>
      <c r="X23" s="334">
        <f t="shared" si="328"/>
        <v>0</v>
      </c>
      <c r="Y23" s="335">
        <v>16</v>
      </c>
      <c r="Z23" s="340">
        <v>0</v>
      </c>
      <c r="AA23" s="316">
        <f t="shared" ref="AA23:AB23" si="329">IF(ISBLANK(AC23),,AC23-AC22)</f>
        <v>5</v>
      </c>
      <c r="AB23" s="334">
        <f t="shared" si="329"/>
        <v>0</v>
      </c>
      <c r="AC23" s="335">
        <v>111</v>
      </c>
      <c r="AD23" s="336">
        <v>0</v>
      </c>
      <c r="AE23" s="337">
        <f t="shared" ref="AE23:AF23" si="330">IF(ISBLANK(AG23),,AG23-AG22)</f>
        <v>9</v>
      </c>
      <c r="AF23" s="334">
        <f t="shared" si="330"/>
        <v>0</v>
      </c>
      <c r="AG23" s="335">
        <v>33</v>
      </c>
      <c r="AH23" s="339">
        <v>0</v>
      </c>
      <c r="AI23" s="316">
        <f t="shared" ref="AI23:AJ23" si="331">IF(ISBLANK(AK23),,AK23-AK22)</f>
        <v>28</v>
      </c>
      <c r="AJ23" s="334">
        <f t="shared" si="331"/>
        <v>0</v>
      </c>
      <c r="AK23" s="335">
        <v>175</v>
      </c>
      <c r="AL23" s="336">
        <v>1</v>
      </c>
      <c r="AM23" s="337">
        <f t="shared" ref="AM23:AN23" si="332">IF(ISBLANK(AO23),,AO23-AO22)</f>
        <v>5</v>
      </c>
      <c r="AN23" s="334">
        <f t="shared" si="332"/>
        <v>0</v>
      </c>
      <c r="AO23" s="335">
        <v>19</v>
      </c>
      <c r="AP23" s="339">
        <v>0</v>
      </c>
      <c r="AQ23" s="316">
        <f t="shared" ref="AQ23:AR23" si="333">IF(ISBLANK(AS23),,AS23-AS22)</f>
        <v>1</v>
      </c>
      <c r="AR23" s="338">
        <f t="shared" si="333"/>
        <v>0</v>
      </c>
      <c r="AS23" s="335">
        <v>30</v>
      </c>
      <c r="AT23" s="336">
        <v>1</v>
      </c>
      <c r="AU23" s="337">
        <f t="shared" ref="AU23:AV23" si="334">IF(ISBLANK(AW23),,AW23-AW22)</f>
        <v>1</v>
      </c>
      <c r="AV23" s="334">
        <f t="shared" si="334"/>
        <v>0</v>
      </c>
      <c r="AW23" s="335">
        <v>7</v>
      </c>
      <c r="AX23" s="339">
        <v>0</v>
      </c>
      <c r="AY23" s="316">
        <f t="shared" ref="AY23:AZ23" si="335">IF(ISBLANK(BA23),,BA23-BA22)</f>
        <v>4</v>
      </c>
      <c r="AZ23" s="334">
        <f t="shared" si="335"/>
        <v>0</v>
      </c>
      <c r="BA23" s="335">
        <v>21</v>
      </c>
      <c r="BB23" s="336">
        <v>0</v>
      </c>
      <c r="BC23" s="337">
        <f t="shared" ref="BC23:BD23" si="336">IF(ISBLANK(BE23),,BE23-BE22)</f>
        <v>11</v>
      </c>
      <c r="BD23" s="334">
        <f t="shared" si="336"/>
        <v>1</v>
      </c>
      <c r="BE23" s="335">
        <v>77</v>
      </c>
      <c r="BF23" s="339">
        <v>1</v>
      </c>
      <c r="BG23" s="316">
        <f t="shared" ref="BG23:BH23" si="337">IF(ISBLANK(BI23),,BI23-BI22)</f>
        <v>1</v>
      </c>
      <c r="BH23" s="334">
        <f t="shared" si="337"/>
        <v>0</v>
      </c>
      <c r="BI23" s="335">
        <v>8</v>
      </c>
      <c r="BJ23" s="336">
        <v>0</v>
      </c>
      <c r="BK23" s="337">
        <f t="shared" ref="BK23:BL23" si="338">IF(ISBLANK(BM23),,BM23-BM22)</f>
        <v>3</v>
      </c>
      <c r="BL23" s="334">
        <f t="shared" si="338"/>
        <v>0</v>
      </c>
      <c r="BM23" s="335">
        <v>25</v>
      </c>
      <c r="BN23" s="339">
        <v>0</v>
      </c>
      <c r="BO23" s="316">
        <f t="shared" ref="BO23:BP23" si="339">IF(ISBLANK(BQ23),,BQ23-BQ22)</f>
        <v>4</v>
      </c>
      <c r="BP23" s="334">
        <f t="shared" si="339"/>
        <v>0</v>
      </c>
      <c r="BQ23" s="335">
        <v>41</v>
      </c>
      <c r="BR23" s="336">
        <v>2</v>
      </c>
      <c r="BS23" s="316">
        <f t="shared" ref="BS23:BT23" si="340">IF(ISBLANK(BU23),,BU23-BU22)</f>
        <v>4</v>
      </c>
      <c r="BT23" s="334">
        <f t="shared" si="340"/>
        <v>0</v>
      </c>
      <c r="BU23" s="335">
        <v>16</v>
      </c>
      <c r="BV23" s="336">
        <v>0</v>
      </c>
      <c r="BW23" s="233"/>
      <c r="BX23" s="233"/>
      <c r="BY23" s="233"/>
      <c r="BZ23" s="233"/>
      <c r="CA23" s="233"/>
      <c r="CB23" s="233"/>
      <c r="CC23" s="233"/>
      <c r="CD23" s="233"/>
      <c r="CE23" s="233"/>
    </row>
    <row r="24" spans="1:83" x14ac:dyDescent="0.25">
      <c r="A24" s="313">
        <v>43914</v>
      </c>
      <c r="B24" s="314">
        <v>21</v>
      </c>
      <c r="C24" s="315"/>
      <c r="D24" s="316">
        <v>152</v>
      </c>
      <c r="E24" s="317">
        <v>2</v>
      </c>
      <c r="F24" s="318">
        <v>1</v>
      </c>
      <c r="G24" s="319"/>
      <c r="H24" s="330">
        <f t="shared" ref="H24:I24" si="341">IF(ISBLANK(D24),,H23+D24)</f>
        <v>901</v>
      </c>
      <c r="I24" s="331">
        <f t="shared" si="341"/>
        <v>10</v>
      </c>
      <c r="J24" s="332">
        <f t="shared" si="1"/>
        <v>0</v>
      </c>
      <c r="K24" s="333">
        <f t="shared" ref="K24:L24" si="342">IF(ISBLANK(M24),,M24-M23)</f>
        <v>33</v>
      </c>
      <c r="L24" s="334">
        <f t="shared" si="342"/>
        <v>0</v>
      </c>
      <c r="M24" s="335">
        <v>134</v>
      </c>
      <c r="N24" s="336">
        <v>2</v>
      </c>
      <c r="O24" s="337">
        <f t="shared" ref="O24:P24" si="343">IF(ISBLANK(Q24),,Q24-Q23)</f>
        <v>1</v>
      </c>
      <c r="P24" s="338">
        <f t="shared" si="343"/>
        <v>0</v>
      </c>
      <c r="Q24" s="335">
        <v>22</v>
      </c>
      <c r="R24" s="339">
        <v>0</v>
      </c>
      <c r="S24" s="316">
        <f t="shared" ref="S24:T24" si="344">IF(ISBLANK(U24),,U24-U23)</f>
        <v>6</v>
      </c>
      <c r="T24" s="334">
        <f t="shared" si="344"/>
        <v>1</v>
      </c>
      <c r="U24" s="335">
        <v>54</v>
      </c>
      <c r="V24" s="336">
        <v>2</v>
      </c>
      <c r="W24" s="337">
        <f t="shared" ref="W24:X24" si="345">IF(ISBLANK(Y24),,Y24-Y23)</f>
        <v>5</v>
      </c>
      <c r="X24" s="334">
        <f t="shared" si="345"/>
        <v>0</v>
      </c>
      <c r="Y24" s="335">
        <v>21</v>
      </c>
      <c r="Z24" s="340">
        <v>0</v>
      </c>
      <c r="AA24" s="316">
        <f t="shared" ref="AA24:AB24" si="346">IF(ISBLANK(AC24),,AC24-AC23)</f>
        <v>18</v>
      </c>
      <c r="AB24" s="334">
        <f t="shared" si="346"/>
        <v>0</v>
      </c>
      <c r="AC24" s="335">
        <v>129</v>
      </c>
      <c r="AD24" s="336">
        <v>0</v>
      </c>
      <c r="AE24" s="337">
        <f t="shared" ref="AE24:AF24" si="347">IF(ISBLANK(AG24),,AG24-AG23)</f>
        <v>16</v>
      </c>
      <c r="AF24" s="334">
        <f t="shared" si="347"/>
        <v>0</v>
      </c>
      <c r="AG24" s="335">
        <v>49</v>
      </c>
      <c r="AH24" s="339">
        <v>0</v>
      </c>
      <c r="AI24" s="316">
        <f t="shared" ref="AI24:AJ24" si="348">IF(ISBLANK(AK24),,AK24-AK23)</f>
        <v>37</v>
      </c>
      <c r="AJ24" s="334">
        <f t="shared" si="348"/>
        <v>0</v>
      </c>
      <c r="AK24" s="335">
        <v>212</v>
      </c>
      <c r="AL24" s="336">
        <v>1</v>
      </c>
      <c r="AM24" s="337">
        <f t="shared" ref="AM24:AN24" si="349">IF(ISBLANK(AO24),,AO24-AO23)</f>
        <v>2</v>
      </c>
      <c r="AN24" s="334">
        <f t="shared" si="349"/>
        <v>0</v>
      </c>
      <c r="AO24" s="335">
        <v>21</v>
      </c>
      <c r="AP24" s="339">
        <v>0</v>
      </c>
      <c r="AQ24" s="316">
        <f t="shared" ref="AQ24:AR24" si="350">IF(ISBLANK(AS24),,AS24-AS23)</f>
        <v>7</v>
      </c>
      <c r="AR24" s="338">
        <f t="shared" si="350"/>
        <v>0</v>
      </c>
      <c r="AS24" s="335">
        <v>37</v>
      </c>
      <c r="AT24" s="336">
        <v>1</v>
      </c>
      <c r="AU24" s="337">
        <f t="shared" ref="AU24:AV24" si="351">IF(ISBLANK(AW24),,AW24-AW23)</f>
        <v>0</v>
      </c>
      <c r="AV24" s="334">
        <f t="shared" si="351"/>
        <v>0</v>
      </c>
      <c r="AW24" s="335">
        <v>7</v>
      </c>
      <c r="AX24" s="339">
        <v>0</v>
      </c>
      <c r="AY24" s="316">
        <f t="shared" ref="AY24:AZ24" si="352">IF(ISBLANK(BA24),,BA24-BA23)</f>
        <v>1</v>
      </c>
      <c r="AZ24" s="334">
        <f t="shared" si="352"/>
        <v>0</v>
      </c>
      <c r="BA24" s="335">
        <v>22</v>
      </c>
      <c r="BB24" s="336">
        <v>0</v>
      </c>
      <c r="BC24" s="337">
        <f t="shared" ref="BC24:BD24" si="353">IF(ISBLANK(BE24),,BE24-BE23)</f>
        <v>10</v>
      </c>
      <c r="BD24" s="334">
        <f t="shared" si="353"/>
        <v>1</v>
      </c>
      <c r="BE24" s="335">
        <v>87</v>
      </c>
      <c r="BF24" s="339">
        <v>2</v>
      </c>
      <c r="BG24" s="316">
        <f t="shared" ref="BG24:BH24" si="354">IF(ISBLANK(BI24),,BI24-BI23)</f>
        <v>0</v>
      </c>
      <c r="BH24" s="334">
        <f t="shared" si="354"/>
        <v>0</v>
      </c>
      <c r="BI24" s="335">
        <v>8</v>
      </c>
      <c r="BJ24" s="336">
        <v>0</v>
      </c>
      <c r="BK24" s="337">
        <f t="shared" ref="BK24:BL24" si="355">IF(ISBLANK(BM24),,BM24-BM23)</f>
        <v>4</v>
      </c>
      <c r="BL24" s="334">
        <f t="shared" si="355"/>
        <v>0</v>
      </c>
      <c r="BM24" s="335">
        <v>29</v>
      </c>
      <c r="BN24" s="339">
        <v>0</v>
      </c>
      <c r="BO24" s="316">
        <f t="shared" ref="BO24:BP24" si="356">IF(ISBLANK(BQ24),,BQ24-BQ23)</f>
        <v>1</v>
      </c>
      <c r="BP24" s="334">
        <f t="shared" si="356"/>
        <v>0</v>
      </c>
      <c r="BQ24" s="335">
        <v>42</v>
      </c>
      <c r="BR24" s="336">
        <v>2</v>
      </c>
      <c r="BS24" s="316">
        <f t="shared" ref="BS24:BT24" si="357">IF(ISBLANK(BU24),,BU24-BU23)</f>
        <v>11</v>
      </c>
      <c r="BT24" s="334">
        <f t="shared" si="357"/>
        <v>0</v>
      </c>
      <c r="BU24" s="335">
        <v>27</v>
      </c>
      <c r="BV24" s="336">
        <v>0</v>
      </c>
      <c r="BW24" s="233"/>
      <c r="BX24" s="233"/>
      <c r="BY24" s="233"/>
      <c r="BZ24" s="233"/>
      <c r="CA24" s="233"/>
      <c r="CB24" s="233"/>
      <c r="CC24" s="233"/>
      <c r="CD24" s="233"/>
      <c r="CE24" s="233"/>
    </row>
    <row r="25" spans="1:83" x14ac:dyDescent="0.25">
      <c r="A25" s="313">
        <v>43915</v>
      </c>
      <c r="B25" s="314">
        <v>22</v>
      </c>
      <c r="C25" s="315"/>
      <c r="D25" s="316">
        <v>150</v>
      </c>
      <c r="E25" s="317">
        <v>3</v>
      </c>
      <c r="F25" s="318">
        <v>1</v>
      </c>
      <c r="G25" s="319"/>
      <c r="H25" s="330">
        <f t="shared" ref="H25:I25" si="358">IF(ISBLANK(D25),,H24+D25)</f>
        <v>1051</v>
      </c>
      <c r="I25" s="331">
        <f t="shared" si="358"/>
        <v>13</v>
      </c>
      <c r="J25" s="332">
        <f t="shared" si="1"/>
        <v>0</v>
      </c>
      <c r="K25" s="333">
        <f t="shared" ref="K25:L25" si="359">IF(ISBLANK(M25),,M25-M24)</f>
        <v>16</v>
      </c>
      <c r="L25" s="334">
        <f t="shared" si="359"/>
        <v>2</v>
      </c>
      <c r="M25" s="335">
        <v>150</v>
      </c>
      <c r="N25" s="336">
        <v>4</v>
      </c>
      <c r="O25" s="337">
        <f t="shared" ref="O25:P25" si="360">IF(ISBLANK(Q25),,Q25-Q24)</f>
        <v>5</v>
      </c>
      <c r="P25" s="338">
        <f t="shared" si="360"/>
        <v>0</v>
      </c>
      <c r="Q25" s="335">
        <v>27</v>
      </c>
      <c r="R25" s="339">
        <v>0</v>
      </c>
      <c r="S25" s="316">
        <f t="shared" ref="S25:T25" si="361">IF(ISBLANK(U25),,U25-U24)</f>
        <v>6</v>
      </c>
      <c r="T25" s="334">
        <f t="shared" si="361"/>
        <v>0</v>
      </c>
      <c r="U25" s="335">
        <v>60</v>
      </c>
      <c r="V25" s="336">
        <v>2</v>
      </c>
      <c r="W25" s="337">
        <f t="shared" ref="W25:X25" si="362">IF(ISBLANK(Y25),,Y25-Y24)</f>
        <v>2</v>
      </c>
      <c r="X25" s="334">
        <f t="shared" si="362"/>
        <v>0</v>
      </c>
      <c r="Y25" s="335">
        <v>23</v>
      </c>
      <c r="Z25" s="340">
        <v>0</v>
      </c>
      <c r="AA25" s="316">
        <f t="shared" ref="AA25:AB25" si="363">IF(ISBLANK(AC25),,AC25-AC24)</f>
        <v>15</v>
      </c>
      <c r="AB25" s="334">
        <f t="shared" si="363"/>
        <v>0</v>
      </c>
      <c r="AC25" s="335">
        <v>144</v>
      </c>
      <c r="AD25" s="336">
        <v>0</v>
      </c>
      <c r="AE25" s="337">
        <f t="shared" ref="AE25:AF25" si="364">IF(ISBLANK(AG25),,AG25-AG24)</f>
        <v>7</v>
      </c>
      <c r="AF25" s="334">
        <f t="shared" si="364"/>
        <v>0</v>
      </c>
      <c r="AG25" s="335">
        <v>56</v>
      </c>
      <c r="AH25" s="339">
        <v>0</v>
      </c>
      <c r="AI25" s="316">
        <f t="shared" ref="AI25:AJ25" si="365">IF(ISBLANK(AK25),,AK25-AK24)</f>
        <v>39</v>
      </c>
      <c r="AJ25" s="334">
        <f t="shared" si="365"/>
        <v>0</v>
      </c>
      <c r="AK25" s="335">
        <v>251</v>
      </c>
      <c r="AL25" s="336">
        <v>1</v>
      </c>
      <c r="AM25" s="337">
        <f t="shared" ref="AM25:AN25" si="366">IF(ISBLANK(AO25),,AO25-AO24)</f>
        <v>2</v>
      </c>
      <c r="AN25" s="334">
        <f t="shared" si="366"/>
        <v>0</v>
      </c>
      <c r="AO25" s="335">
        <v>23</v>
      </c>
      <c r="AP25" s="339">
        <v>0</v>
      </c>
      <c r="AQ25" s="316">
        <f t="shared" ref="AQ25:AR25" si="367">IF(ISBLANK(AS25),,AS25-AS24)</f>
        <v>6</v>
      </c>
      <c r="AR25" s="338">
        <f t="shared" si="367"/>
        <v>0</v>
      </c>
      <c r="AS25" s="335">
        <v>43</v>
      </c>
      <c r="AT25" s="336">
        <v>1</v>
      </c>
      <c r="AU25" s="337">
        <f t="shared" ref="AU25:AV25" si="368">IF(ISBLANK(AW25),,AW25-AW24)</f>
        <v>3</v>
      </c>
      <c r="AV25" s="334">
        <f t="shared" si="368"/>
        <v>0</v>
      </c>
      <c r="AW25" s="335">
        <v>10</v>
      </c>
      <c r="AX25" s="339">
        <v>0</v>
      </c>
      <c r="AY25" s="316">
        <f t="shared" ref="AY25:AZ25" si="369">IF(ISBLANK(BA25),,BA25-BA24)</f>
        <v>0</v>
      </c>
      <c r="AZ25" s="334">
        <f t="shared" si="369"/>
        <v>0</v>
      </c>
      <c r="BA25" s="335">
        <v>22</v>
      </c>
      <c r="BB25" s="336">
        <v>0</v>
      </c>
      <c r="BC25" s="337">
        <f t="shared" ref="BC25:BD25" si="370">IF(ISBLANK(BE25),,BE25-BE24)</f>
        <v>20</v>
      </c>
      <c r="BD25" s="334">
        <f t="shared" si="370"/>
        <v>0</v>
      </c>
      <c r="BE25" s="335">
        <v>107</v>
      </c>
      <c r="BF25" s="339">
        <v>2</v>
      </c>
      <c r="BG25" s="316">
        <f t="shared" ref="BG25:BH25" si="371">IF(ISBLANK(BI25),,BI25-BI24)</f>
        <v>6</v>
      </c>
      <c r="BH25" s="334">
        <f t="shared" si="371"/>
        <v>1</v>
      </c>
      <c r="BI25" s="335">
        <v>14</v>
      </c>
      <c r="BJ25" s="336">
        <v>1</v>
      </c>
      <c r="BK25" s="337">
        <f t="shared" ref="BK25:BL25" si="372">IF(ISBLANK(BM25),,BM25-BM24)</f>
        <v>4</v>
      </c>
      <c r="BL25" s="334">
        <f t="shared" si="372"/>
        <v>0</v>
      </c>
      <c r="BM25" s="335">
        <v>33</v>
      </c>
      <c r="BN25" s="339">
        <v>0</v>
      </c>
      <c r="BO25" s="316">
        <f t="shared" ref="BO25:BP25" si="373">IF(ISBLANK(BQ25),,BQ25-BQ24)</f>
        <v>15</v>
      </c>
      <c r="BP25" s="334">
        <f t="shared" si="373"/>
        <v>0</v>
      </c>
      <c r="BQ25" s="335">
        <v>57</v>
      </c>
      <c r="BR25" s="336">
        <v>2</v>
      </c>
      <c r="BS25" s="316">
        <f t="shared" ref="BS25:BT25" si="374">IF(ISBLANK(BU25),,BU25-BU24)</f>
        <v>4</v>
      </c>
      <c r="BT25" s="334">
        <f t="shared" si="374"/>
        <v>0</v>
      </c>
      <c r="BU25" s="335">
        <v>31</v>
      </c>
      <c r="BV25" s="336">
        <v>0</v>
      </c>
      <c r="BW25" s="233"/>
      <c r="BX25" s="233"/>
      <c r="BY25" s="233"/>
      <c r="BZ25" s="233"/>
      <c r="CA25" s="233"/>
      <c r="CB25" s="233"/>
      <c r="CC25" s="233"/>
      <c r="CD25" s="233"/>
      <c r="CE25" s="233"/>
    </row>
    <row r="26" spans="1:83" x14ac:dyDescent="0.25">
      <c r="A26" s="313">
        <v>43916</v>
      </c>
      <c r="B26" s="314">
        <v>23</v>
      </c>
      <c r="C26" s="315"/>
      <c r="D26" s="316">
        <v>170</v>
      </c>
      <c r="E26" s="317">
        <v>3</v>
      </c>
      <c r="F26" s="318">
        <v>1</v>
      </c>
      <c r="G26" s="319"/>
      <c r="H26" s="330">
        <f t="shared" ref="H26:I26" si="375">IF(ISBLANK(D26),,H25+D26)</f>
        <v>1221</v>
      </c>
      <c r="I26" s="331">
        <f t="shared" si="375"/>
        <v>16</v>
      </c>
      <c r="J26" s="332">
        <f t="shared" si="1"/>
        <v>0</v>
      </c>
      <c r="K26" s="333">
        <f t="shared" ref="K26:L26" si="376">IF(ISBLANK(M26),,M26-M25)</f>
        <v>15</v>
      </c>
      <c r="L26" s="334">
        <f t="shared" si="376"/>
        <v>0</v>
      </c>
      <c r="M26" s="335">
        <v>165</v>
      </c>
      <c r="N26" s="336">
        <v>4</v>
      </c>
      <c r="O26" s="337">
        <f t="shared" ref="O26:P26" si="377">IF(ISBLANK(Q26),,Q26-Q25)</f>
        <v>4</v>
      </c>
      <c r="P26" s="338">
        <f t="shared" si="377"/>
        <v>0</v>
      </c>
      <c r="Q26" s="335">
        <v>31</v>
      </c>
      <c r="R26" s="339">
        <v>0</v>
      </c>
      <c r="S26" s="316">
        <f t="shared" ref="S26:T26" si="378">IF(ISBLANK(U26),,U26-U25)</f>
        <v>14</v>
      </c>
      <c r="T26" s="334">
        <f t="shared" si="378"/>
        <v>0</v>
      </c>
      <c r="U26" s="335">
        <v>74</v>
      </c>
      <c r="V26" s="336">
        <v>2</v>
      </c>
      <c r="W26" s="337">
        <f t="shared" ref="W26:X26" si="379">IF(ISBLANK(Y26),,Y26-Y25)</f>
        <v>7</v>
      </c>
      <c r="X26" s="334">
        <f t="shared" si="379"/>
        <v>0</v>
      </c>
      <c r="Y26" s="335">
        <v>30</v>
      </c>
      <c r="Z26" s="340">
        <v>0</v>
      </c>
      <c r="AA26" s="316">
        <f t="shared" ref="AA26:AB26" si="380">IF(ISBLANK(AC26),,AC26-AC25)</f>
        <v>14</v>
      </c>
      <c r="AB26" s="334">
        <f t="shared" si="380"/>
        <v>0</v>
      </c>
      <c r="AC26" s="335">
        <v>158</v>
      </c>
      <c r="AD26" s="336">
        <v>0</v>
      </c>
      <c r="AE26" s="337">
        <f t="shared" ref="AE26:AF26" si="381">IF(ISBLANK(AG26),,AG26-AG25)</f>
        <v>13</v>
      </c>
      <c r="AF26" s="334">
        <f t="shared" si="381"/>
        <v>0</v>
      </c>
      <c r="AG26" s="335">
        <v>69</v>
      </c>
      <c r="AH26" s="339">
        <v>0</v>
      </c>
      <c r="AI26" s="316">
        <f t="shared" ref="AI26:AJ26" si="382">IF(ISBLANK(AK26),,AK26-AK25)</f>
        <v>40</v>
      </c>
      <c r="AJ26" s="334">
        <f t="shared" si="382"/>
        <v>2</v>
      </c>
      <c r="AK26" s="335">
        <v>291</v>
      </c>
      <c r="AL26" s="336">
        <v>3</v>
      </c>
      <c r="AM26" s="337">
        <f t="shared" ref="AM26:AN26" si="383">IF(ISBLANK(AO26),,AO26-AO25)</f>
        <v>3</v>
      </c>
      <c r="AN26" s="334">
        <f t="shared" si="383"/>
        <v>0</v>
      </c>
      <c r="AO26" s="335">
        <v>26</v>
      </c>
      <c r="AP26" s="339">
        <v>0</v>
      </c>
      <c r="AQ26" s="316">
        <f t="shared" ref="AQ26:AR26" si="384">IF(ISBLANK(AS26),,AS26-AS25)</f>
        <v>10</v>
      </c>
      <c r="AR26" s="338">
        <f t="shared" si="384"/>
        <v>0</v>
      </c>
      <c r="AS26" s="335">
        <v>53</v>
      </c>
      <c r="AT26" s="336">
        <v>1</v>
      </c>
      <c r="AU26" s="337">
        <f t="shared" ref="AU26:AV26" si="385">IF(ISBLANK(AW26),,AW26-AW25)</f>
        <v>3</v>
      </c>
      <c r="AV26" s="334">
        <f t="shared" si="385"/>
        <v>0</v>
      </c>
      <c r="AW26" s="335">
        <v>13</v>
      </c>
      <c r="AX26" s="339">
        <v>0</v>
      </c>
      <c r="AY26" s="316">
        <f t="shared" ref="AY26:AZ26" si="386">IF(ISBLANK(BA26),,BA26-BA25)</f>
        <v>6</v>
      </c>
      <c r="AZ26" s="334">
        <f t="shared" si="386"/>
        <v>0</v>
      </c>
      <c r="BA26" s="335">
        <v>28</v>
      </c>
      <c r="BB26" s="336">
        <v>0</v>
      </c>
      <c r="BC26" s="337">
        <f t="shared" ref="BC26:BD26" si="387">IF(ISBLANK(BE26),,BE26-BE25)</f>
        <v>20</v>
      </c>
      <c r="BD26" s="334">
        <f t="shared" si="387"/>
        <v>0</v>
      </c>
      <c r="BE26" s="335">
        <v>127</v>
      </c>
      <c r="BF26" s="339">
        <v>2</v>
      </c>
      <c r="BG26" s="316">
        <f t="shared" ref="BG26:BH26" si="388">IF(ISBLANK(BI26),,BI26-BI25)</f>
        <v>1</v>
      </c>
      <c r="BH26" s="334">
        <f t="shared" si="388"/>
        <v>0</v>
      </c>
      <c r="BI26" s="335">
        <v>15</v>
      </c>
      <c r="BJ26" s="336">
        <v>1</v>
      </c>
      <c r="BK26" s="337">
        <f t="shared" ref="BK26:BL26" si="389">IF(ISBLANK(BM26),,BM26-BM25)</f>
        <v>6</v>
      </c>
      <c r="BL26" s="334">
        <f t="shared" si="389"/>
        <v>0</v>
      </c>
      <c r="BM26" s="335">
        <v>39</v>
      </c>
      <c r="BN26" s="339">
        <v>0</v>
      </c>
      <c r="BO26" s="316">
        <f t="shared" ref="BO26:BP26" si="390">IF(ISBLANK(BQ26),,BQ26-BQ25)</f>
        <v>12</v>
      </c>
      <c r="BP26" s="334">
        <f t="shared" si="390"/>
        <v>0</v>
      </c>
      <c r="BQ26" s="335">
        <v>69</v>
      </c>
      <c r="BR26" s="336">
        <v>2</v>
      </c>
      <c r="BS26" s="316">
        <f t="shared" ref="BS26:BT26" si="391">IF(ISBLANK(BU26),,BU26-BU25)</f>
        <v>2</v>
      </c>
      <c r="BT26" s="334">
        <f t="shared" si="391"/>
        <v>1</v>
      </c>
      <c r="BU26" s="335">
        <v>33</v>
      </c>
      <c r="BV26" s="336">
        <v>1</v>
      </c>
      <c r="BW26" s="233"/>
      <c r="BX26" s="233"/>
      <c r="BY26" s="233"/>
      <c r="BZ26" s="233"/>
      <c r="CA26" s="233"/>
      <c r="CB26" s="233"/>
      <c r="CC26" s="233"/>
      <c r="CD26" s="233"/>
      <c r="CE26" s="233"/>
    </row>
    <row r="27" spans="1:83" x14ac:dyDescent="0.25">
      <c r="A27" s="313">
        <v>43917</v>
      </c>
      <c r="B27" s="314">
        <v>24</v>
      </c>
      <c r="C27" s="315"/>
      <c r="D27" s="316">
        <v>168</v>
      </c>
      <c r="E27" s="317">
        <v>0</v>
      </c>
      <c r="F27" s="318">
        <v>1</v>
      </c>
      <c r="G27" s="319"/>
      <c r="H27" s="330">
        <f t="shared" ref="H27:I27" si="392">IF(ISBLANK(D27),,H26+D27)</f>
        <v>1389</v>
      </c>
      <c r="I27" s="331">
        <f t="shared" si="392"/>
        <v>16</v>
      </c>
      <c r="J27" s="332">
        <f t="shared" si="1"/>
        <v>0</v>
      </c>
      <c r="K27" s="333">
        <f t="shared" ref="K27:L27" si="393">IF(ISBLANK(M27),,M27-M26)</f>
        <v>28</v>
      </c>
      <c r="L27" s="334">
        <f t="shared" si="393"/>
        <v>0</v>
      </c>
      <c r="M27" s="335">
        <v>193</v>
      </c>
      <c r="N27" s="336">
        <v>4</v>
      </c>
      <c r="O27" s="337">
        <f t="shared" ref="O27:P27" si="394">IF(ISBLANK(Q27),,Q27-Q26)</f>
        <v>2</v>
      </c>
      <c r="P27" s="338">
        <f t="shared" si="394"/>
        <v>0</v>
      </c>
      <c r="Q27" s="335">
        <v>33</v>
      </c>
      <c r="R27" s="339">
        <v>0</v>
      </c>
      <c r="S27" s="316">
        <f t="shared" ref="S27:T27" si="395">IF(ISBLANK(U27),,U27-U26)</f>
        <v>4</v>
      </c>
      <c r="T27" s="334">
        <f t="shared" si="395"/>
        <v>0</v>
      </c>
      <c r="U27" s="335">
        <v>78</v>
      </c>
      <c r="V27" s="336">
        <v>2</v>
      </c>
      <c r="W27" s="337">
        <f t="shared" ref="W27:X27" si="396">IF(ISBLANK(Y27),,Y27-Y26)</f>
        <v>1</v>
      </c>
      <c r="X27" s="334">
        <f t="shared" si="396"/>
        <v>0</v>
      </c>
      <c r="Y27" s="335">
        <v>31</v>
      </c>
      <c r="Z27" s="340">
        <v>0</v>
      </c>
      <c r="AA27" s="316">
        <f t="shared" ref="AA27:AB27" si="397">IF(ISBLANK(AC27),,AC27-AC26)</f>
        <v>10</v>
      </c>
      <c r="AB27" s="334">
        <f t="shared" si="397"/>
        <v>0</v>
      </c>
      <c r="AC27" s="335">
        <v>168</v>
      </c>
      <c r="AD27" s="336">
        <v>0</v>
      </c>
      <c r="AE27" s="337">
        <f t="shared" ref="AE27:AF27" si="398">IF(ISBLANK(AG27),,AG27-AG26)</f>
        <v>24</v>
      </c>
      <c r="AF27" s="334">
        <f t="shared" si="398"/>
        <v>0</v>
      </c>
      <c r="AG27" s="335">
        <v>93</v>
      </c>
      <c r="AH27" s="339">
        <v>0</v>
      </c>
      <c r="AI27" s="316">
        <f t="shared" ref="AI27:AJ27" si="399">IF(ISBLANK(AK27),,AK27-AK26)</f>
        <v>27</v>
      </c>
      <c r="AJ27" s="334">
        <f t="shared" si="399"/>
        <v>0</v>
      </c>
      <c r="AK27" s="335">
        <v>318</v>
      </c>
      <c r="AL27" s="336">
        <v>3</v>
      </c>
      <c r="AM27" s="337">
        <f t="shared" ref="AM27:AN27" si="400">IF(ISBLANK(AO27),,AO27-AO26)</f>
        <v>2</v>
      </c>
      <c r="AN27" s="334">
        <f t="shared" si="400"/>
        <v>0</v>
      </c>
      <c r="AO27" s="335">
        <v>28</v>
      </c>
      <c r="AP27" s="339">
        <v>0</v>
      </c>
      <c r="AQ27" s="316">
        <f t="shared" ref="AQ27:AR27" si="401">IF(ISBLANK(AS27),,AS27-AS26)</f>
        <v>8</v>
      </c>
      <c r="AR27" s="338">
        <f t="shared" si="401"/>
        <v>0</v>
      </c>
      <c r="AS27" s="335">
        <v>61</v>
      </c>
      <c r="AT27" s="336">
        <v>1</v>
      </c>
      <c r="AU27" s="337">
        <f t="shared" ref="AU27:AV27" si="402">IF(ISBLANK(AW27),,AW27-AW26)</f>
        <v>4</v>
      </c>
      <c r="AV27" s="334">
        <f t="shared" si="402"/>
        <v>0</v>
      </c>
      <c r="AW27" s="335">
        <v>17</v>
      </c>
      <c r="AX27" s="339">
        <v>0</v>
      </c>
      <c r="AY27" s="316">
        <f t="shared" ref="AY27:AZ27" si="403">IF(ISBLANK(BA27),,BA27-BA26)</f>
        <v>4</v>
      </c>
      <c r="AZ27" s="334">
        <f t="shared" si="403"/>
        <v>0</v>
      </c>
      <c r="BA27" s="335">
        <v>32</v>
      </c>
      <c r="BB27" s="336">
        <v>0</v>
      </c>
      <c r="BC27" s="337">
        <f t="shared" ref="BC27:BD27" si="404">IF(ISBLANK(BE27),,BE27-BE26)</f>
        <v>14</v>
      </c>
      <c r="BD27" s="334">
        <f t="shared" si="404"/>
        <v>0</v>
      </c>
      <c r="BE27" s="335">
        <v>141</v>
      </c>
      <c r="BF27" s="339">
        <v>2</v>
      </c>
      <c r="BG27" s="316">
        <f t="shared" ref="BG27:BH27" si="405">IF(ISBLANK(BI27),,BI27-BI26)</f>
        <v>7</v>
      </c>
      <c r="BH27" s="334">
        <f t="shared" si="405"/>
        <v>0</v>
      </c>
      <c r="BI27" s="335">
        <v>22</v>
      </c>
      <c r="BJ27" s="336">
        <v>1</v>
      </c>
      <c r="BK27" s="337">
        <f t="shared" ref="BK27:BL27" si="406">IF(ISBLANK(BM27),,BM27-BM26)</f>
        <v>5</v>
      </c>
      <c r="BL27" s="334">
        <f t="shared" si="406"/>
        <v>0</v>
      </c>
      <c r="BM27" s="335">
        <v>44</v>
      </c>
      <c r="BN27" s="339">
        <v>0</v>
      </c>
      <c r="BO27" s="316">
        <f t="shared" ref="BO27:BP27" si="407">IF(ISBLANK(BQ27),,BQ27-BQ26)</f>
        <v>21</v>
      </c>
      <c r="BP27" s="334">
        <f t="shared" si="407"/>
        <v>0</v>
      </c>
      <c r="BQ27" s="335">
        <v>90</v>
      </c>
      <c r="BR27" s="336">
        <v>2</v>
      </c>
      <c r="BS27" s="316">
        <f t="shared" ref="BS27:BT27" si="408">IF(ISBLANK(BU27),,BU27-BU26)</f>
        <v>7</v>
      </c>
      <c r="BT27" s="334">
        <f t="shared" si="408"/>
        <v>0</v>
      </c>
      <c r="BU27" s="335">
        <v>40</v>
      </c>
      <c r="BV27" s="336">
        <v>1</v>
      </c>
      <c r="BW27" s="233"/>
      <c r="BX27" s="233"/>
      <c r="BY27" s="233"/>
      <c r="BZ27" s="233"/>
      <c r="CA27" s="233"/>
      <c r="CB27" s="233"/>
      <c r="CC27" s="233"/>
      <c r="CD27" s="233"/>
      <c r="CE27" s="233"/>
    </row>
    <row r="28" spans="1:83" x14ac:dyDescent="0.25">
      <c r="A28" s="313">
        <v>43918</v>
      </c>
      <c r="B28" s="314">
        <v>25</v>
      </c>
      <c r="C28" s="315"/>
      <c r="D28" s="316">
        <v>249</v>
      </c>
      <c r="E28" s="317">
        <v>2</v>
      </c>
      <c r="F28" s="318">
        <v>1</v>
      </c>
      <c r="G28" s="319"/>
      <c r="H28" s="330">
        <f t="shared" ref="H28:I28" si="409">IF(ISBLANK(D28),,H27+D28)</f>
        <v>1638</v>
      </c>
      <c r="I28" s="331">
        <f t="shared" si="409"/>
        <v>18</v>
      </c>
      <c r="J28" s="332">
        <f t="shared" si="1"/>
        <v>0</v>
      </c>
      <c r="K28" s="333">
        <f t="shared" ref="K28:L28" si="410">IF(ISBLANK(M28),,M28-M27)</f>
        <v>21</v>
      </c>
      <c r="L28" s="334">
        <f t="shared" si="410"/>
        <v>0</v>
      </c>
      <c r="M28" s="335">
        <v>214</v>
      </c>
      <c r="N28" s="336">
        <v>4</v>
      </c>
      <c r="O28" s="337">
        <f t="shared" ref="O28:P28" si="411">IF(ISBLANK(Q28),,Q28-Q27)</f>
        <v>4</v>
      </c>
      <c r="P28" s="338">
        <f t="shared" si="411"/>
        <v>0</v>
      </c>
      <c r="Q28" s="335">
        <v>37</v>
      </c>
      <c r="R28" s="339">
        <v>0</v>
      </c>
      <c r="S28" s="316">
        <f t="shared" ref="S28:T28" si="412">IF(ISBLANK(U28),,U28-U27)</f>
        <v>9</v>
      </c>
      <c r="T28" s="334">
        <f t="shared" si="412"/>
        <v>1</v>
      </c>
      <c r="U28" s="335">
        <v>87</v>
      </c>
      <c r="V28" s="336">
        <v>3</v>
      </c>
      <c r="W28" s="337">
        <f t="shared" ref="W28:X28" si="413">IF(ISBLANK(Y28),,Y28-Y27)</f>
        <v>2</v>
      </c>
      <c r="X28" s="334">
        <f t="shared" si="413"/>
        <v>0</v>
      </c>
      <c r="Y28" s="335">
        <v>33</v>
      </c>
      <c r="Z28" s="340">
        <v>0</v>
      </c>
      <c r="AA28" s="316">
        <f t="shared" ref="AA28:AB28" si="414">IF(ISBLANK(AC28),,AC28-AC27)</f>
        <v>14</v>
      </c>
      <c r="AB28" s="334">
        <f t="shared" si="414"/>
        <v>0</v>
      </c>
      <c r="AC28" s="335">
        <v>182</v>
      </c>
      <c r="AD28" s="336">
        <v>0</v>
      </c>
      <c r="AE28" s="337">
        <f t="shared" ref="AE28:AF28" si="415">IF(ISBLANK(AG28),,AG28-AG27)</f>
        <v>19</v>
      </c>
      <c r="AF28" s="334">
        <f t="shared" si="415"/>
        <v>0</v>
      </c>
      <c r="AG28" s="335">
        <v>112</v>
      </c>
      <c r="AH28" s="339">
        <v>0</v>
      </c>
      <c r="AI28" s="316">
        <f t="shared" ref="AI28:AJ28" si="416">IF(ISBLANK(AK28),,AK28-AK27)</f>
        <v>103</v>
      </c>
      <c r="AJ28" s="334">
        <f t="shared" si="416"/>
        <v>1</v>
      </c>
      <c r="AK28" s="335">
        <v>421</v>
      </c>
      <c r="AL28" s="336">
        <v>4</v>
      </c>
      <c r="AM28" s="337">
        <f t="shared" ref="AM28:AN28" si="417">IF(ISBLANK(AO28),,AO28-AO27)</f>
        <v>3</v>
      </c>
      <c r="AN28" s="334">
        <f t="shared" si="417"/>
        <v>0</v>
      </c>
      <c r="AO28" s="335">
        <v>31</v>
      </c>
      <c r="AP28" s="339">
        <v>0</v>
      </c>
      <c r="AQ28" s="316">
        <f t="shared" ref="AQ28:AR28" si="418">IF(ISBLANK(AS28),,AS28-AS27)</f>
        <v>10</v>
      </c>
      <c r="AR28" s="338">
        <f t="shared" si="418"/>
        <v>0</v>
      </c>
      <c r="AS28" s="335">
        <v>71</v>
      </c>
      <c r="AT28" s="336">
        <v>1</v>
      </c>
      <c r="AU28" s="337">
        <f t="shared" ref="AU28:AV28" si="419">IF(ISBLANK(AW28),,AW28-AW27)</f>
        <v>9</v>
      </c>
      <c r="AV28" s="334">
        <f t="shared" si="419"/>
        <v>0</v>
      </c>
      <c r="AW28" s="335">
        <v>26</v>
      </c>
      <c r="AX28" s="339">
        <v>0</v>
      </c>
      <c r="AY28" s="316">
        <f t="shared" ref="AY28:AZ28" si="420">IF(ISBLANK(BA28),,BA28-BA27)</f>
        <v>4</v>
      </c>
      <c r="AZ28" s="334">
        <f t="shared" si="420"/>
        <v>0</v>
      </c>
      <c r="BA28" s="335">
        <v>36</v>
      </c>
      <c r="BB28" s="336">
        <v>0</v>
      </c>
      <c r="BC28" s="337">
        <f t="shared" ref="BC28:BD28" si="421">IF(ISBLANK(BE28),,BE28-BE27)</f>
        <v>24</v>
      </c>
      <c r="BD28" s="334">
        <f t="shared" si="421"/>
        <v>0</v>
      </c>
      <c r="BE28" s="335">
        <v>165</v>
      </c>
      <c r="BF28" s="339">
        <v>2</v>
      </c>
      <c r="BG28" s="316">
        <f t="shared" ref="BG28:BH28" si="422">IF(ISBLANK(BI28),,BI28-BI27)</f>
        <v>5</v>
      </c>
      <c r="BH28" s="334">
        <f t="shared" si="422"/>
        <v>0</v>
      </c>
      <c r="BI28" s="335">
        <v>27</v>
      </c>
      <c r="BJ28" s="336">
        <v>1</v>
      </c>
      <c r="BK28" s="337">
        <f t="shared" ref="BK28:BL28" si="423">IF(ISBLANK(BM28),,BM28-BM27)</f>
        <v>2</v>
      </c>
      <c r="BL28" s="334">
        <f t="shared" si="423"/>
        <v>0</v>
      </c>
      <c r="BM28" s="335">
        <v>46</v>
      </c>
      <c r="BN28" s="339">
        <v>0</v>
      </c>
      <c r="BO28" s="316">
        <f t="shared" ref="BO28:BP28" si="424">IF(ISBLANK(BQ28),,BQ28-BQ27)</f>
        <v>9</v>
      </c>
      <c r="BP28" s="334">
        <f t="shared" si="424"/>
        <v>0</v>
      </c>
      <c r="BQ28" s="335">
        <v>99</v>
      </c>
      <c r="BR28" s="336">
        <v>2</v>
      </c>
      <c r="BS28" s="316">
        <f t="shared" ref="BS28:BT28" si="425">IF(ISBLANK(BU28),,BU28-BU27)</f>
        <v>11</v>
      </c>
      <c r="BT28" s="334">
        <f t="shared" si="425"/>
        <v>0</v>
      </c>
      <c r="BU28" s="335">
        <v>51</v>
      </c>
      <c r="BV28" s="336">
        <v>1</v>
      </c>
      <c r="BW28" s="233"/>
      <c r="BX28" s="233"/>
      <c r="BY28" s="233"/>
      <c r="BZ28" s="233"/>
      <c r="CA28" s="233"/>
      <c r="CB28" s="233"/>
      <c r="CC28" s="233"/>
      <c r="CD28" s="233"/>
      <c r="CE28" s="233"/>
    </row>
    <row r="29" spans="1:83" x14ac:dyDescent="0.25">
      <c r="A29" s="313">
        <v>43919</v>
      </c>
      <c r="B29" s="314">
        <v>26</v>
      </c>
      <c r="C29" s="315"/>
      <c r="D29" s="316">
        <v>224</v>
      </c>
      <c r="E29" s="317">
        <v>4</v>
      </c>
      <c r="F29" s="318">
        <v>1</v>
      </c>
      <c r="G29" s="319"/>
      <c r="H29" s="330">
        <f t="shared" ref="H29:I29" si="426">IF(ISBLANK(D29),,H28+D29)</f>
        <v>1862</v>
      </c>
      <c r="I29" s="331">
        <f t="shared" si="426"/>
        <v>22</v>
      </c>
      <c r="J29" s="332">
        <f t="shared" si="1"/>
        <v>0</v>
      </c>
      <c r="K29" s="333">
        <f t="shared" ref="K29:L29" si="427">IF(ISBLANK(M29),,M29-M28)</f>
        <v>20</v>
      </c>
      <c r="L29" s="334">
        <f t="shared" si="427"/>
        <v>0</v>
      </c>
      <c r="M29" s="335">
        <v>234</v>
      </c>
      <c r="N29" s="336">
        <v>4</v>
      </c>
      <c r="O29" s="337">
        <f t="shared" ref="O29:P29" si="428">IF(ISBLANK(Q29),,Q29-Q28)</f>
        <v>10</v>
      </c>
      <c r="P29" s="338">
        <f t="shared" si="428"/>
        <v>0</v>
      </c>
      <c r="Q29" s="335">
        <v>47</v>
      </c>
      <c r="R29" s="339">
        <v>0</v>
      </c>
      <c r="S29" s="316">
        <f t="shared" ref="S29:T29" si="429">IF(ISBLANK(U29),,U29-U28)</f>
        <v>18</v>
      </c>
      <c r="T29" s="334">
        <f t="shared" si="429"/>
        <v>0</v>
      </c>
      <c r="U29" s="335">
        <v>105</v>
      </c>
      <c r="V29" s="336">
        <v>3</v>
      </c>
      <c r="W29" s="337">
        <f t="shared" ref="W29:X29" si="430">IF(ISBLANK(Y29),,Y29-Y28)</f>
        <v>0</v>
      </c>
      <c r="X29" s="334">
        <f t="shared" si="430"/>
        <v>0</v>
      </c>
      <c r="Y29" s="335">
        <v>33</v>
      </c>
      <c r="Z29" s="340">
        <v>0</v>
      </c>
      <c r="AA29" s="316">
        <f t="shared" ref="AA29:AB29" si="431">IF(ISBLANK(AC29),,AC29-AC28)</f>
        <v>8</v>
      </c>
      <c r="AB29" s="334">
        <f t="shared" si="431"/>
        <v>0</v>
      </c>
      <c r="AC29" s="335">
        <v>190</v>
      </c>
      <c r="AD29" s="336">
        <v>0</v>
      </c>
      <c r="AE29" s="337">
        <f t="shared" ref="AE29:AF29" si="432">IF(ISBLANK(AG29),,AG29-AG28)</f>
        <v>38</v>
      </c>
      <c r="AF29" s="334">
        <f t="shared" si="432"/>
        <v>1</v>
      </c>
      <c r="AG29" s="335">
        <v>150</v>
      </c>
      <c r="AH29" s="339">
        <v>1</v>
      </c>
      <c r="AI29" s="316">
        <f t="shared" ref="AI29:AJ29" si="433">IF(ISBLANK(AK29),,AK29-AK28)</f>
        <v>40</v>
      </c>
      <c r="AJ29" s="334">
        <f t="shared" si="433"/>
        <v>0</v>
      </c>
      <c r="AK29" s="335">
        <v>461</v>
      </c>
      <c r="AL29" s="336">
        <v>4</v>
      </c>
      <c r="AM29" s="337">
        <f t="shared" ref="AM29:AN29" si="434">IF(ISBLANK(AO29),,AO29-AO28)</f>
        <v>12</v>
      </c>
      <c r="AN29" s="334">
        <f t="shared" si="434"/>
        <v>0</v>
      </c>
      <c r="AO29" s="335">
        <v>43</v>
      </c>
      <c r="AP29" s="339">
        <v>0</v>
      </c>
      <c r="AQ29" s="316">
        <f t="shared" ref="AQ29:AR29" si="435">IF(ISBLANK(AS29),,AS29-AS28)</f>
        <v>5</v>
      </c>
      <c r="AR29" s="338">
        <f t="shared" si="435"/>
        <v>0</v>
      </c>
      <c r="AS29" s="335">
        <v>76</v>
      </c>
      <c r="AT29" s="336">
        <v>1</v>
      </c>
      <c r="AU29" s="337">
        <f t="shared" ref="AU29:AV29" si="436">IF(ISBLANK(AW29),,AW29-AW28)</f>
        <v>2</v>
      </c>
      <c r="AV29" s="334">
        <f t="shared" si="436"/>
        <v>0</v>
      </c>
      <c r="AW29" s="335">
        <v>28</v>
      </c>
      <c r="AX29" s="339">
        <v>0</v>
      </c>
      <c r="AY29" s="316">
        <f t="shared" ref="AY29:AZ29" si="437">IF(ISBLANK(BA29),,BA29-BA28)</f>
        <v>9</v>
      </c>
      <c r="AZ29" s="334">
        <f t="shared" si="437"/>
        <v>0</v>
      </c>
      <c r="BA29" s="335">
        <v>45</v>
      </c>
      <c r="BB29" s="336">
        <v>0</v>
      </c>
      <c r="BC29" s="337">
        <f t="shared" ref="BC29:BD29" si="438">IF(ISBLANK(BE29),,BE29-BE28)</f>
        <v>30</v>
      </c>
      <c r="BD29" s="334">
        <f t="shared" si="438"/>
        <v>3</v>
      </c>
      <c r="BE29" s="335">
        <v>195</v>
      </c>
      <c r="BF29" s="339">
        <v>5</v>
      </c>
      <c r="BG29" s="316">
        <f t="shared" ref="BG29:BH29" si="439">IF(ISBLANK(BI29),,BI29-BI28)</f>
        <v>7</v>
      </c>
      <c r="BH29" s="334">
        <f t="shared" si="439"/>
        <v>0</v>
      </c>
      <c r="BI29" s="335">
        <v>34</v>
      </c>
      <c r="BJ29" s="336">
        <v>1</v>
      </c>
      <c r="BK29" s="337">
        <f t="shared" ref="BK29:BL29" si="440">IF(ISBLANK(BM29),,BM29-BM28)</f>
        <v>10</v>
      </c>
      <c r="BL29" s="334">
        <f t="shared" si="440"/>
        <v>0</v>
      </c>
      <c r="BM29" s="335">
        <v>56</v>
      </c>
      <c r="BN29" s="339">
        <v>0</v>
      </c>
      <c r="BO29" s="316">
        <f t="shared" ref="BO29:BP29" si="441">IF(ISBLANK(BQ29),,BQ29-BQ28)</f>
        <v>9</v>
      </c>
      <c r="BP29" s="334">
        <f t="shared" si="441"/>
        <v>0</v>
      </c>
      <c r="BQ29" s="335">
        <v>108</v>
      </c>
      <c r="BR29" s="336">
        <v>2</v>
      </c>
      <c r="BS29" s="316">
        <f t="shared" ref="BS29:BT29" si="442">IF(ISBLANK(BU29),,BU29-BU28)</f>
        <v>6</v>
      </c>
      <c r="BT29" s="334">
        <f t="shared" si="442"/>
        <v>0</v>
      </c>
      <c r="BU29" s="335">
        <v>57</v>
      </c>
      <c r="BV29" s="336">
        <v>1</v>
      </c>
      <c r="BW29" s="233"/>
      <c r="BX29" s="233"/>
      <c r="BY29" s="233"/>
      <c r="BZ29" s="233"/>
      <c r="CA29" s="233"/>
      <c r="CB29" s="233"/>
      <c r="CC29" s="233"/>
      <c r="CD29" s="233"/>
      <c r="CE29" s="233"/>
    </row>
    <row r="30" spans="1:83" x14ac:dyDescent="0.25">
      <c r="A30" s="313">
        <v>43920</v>
      </c>
      <c r="B30" s="314">
        <v>27</v>
      </c>
      <c r="C30" s="315"/>
      <c r="D30" s="316">
        <v>193</v>
      </c>
      <c r="E30" s="317">
        <v>9</v>
      </c>
      <c r="F30" s="318">
        <v>1</v>
      </c>
      <c r="G30" s="319"/>
      <c r="H30" s="330">
        <f t="shared" ref="H30:I30" si="443">IF(ISBLANK(D30),,H29+D30)</f>
        <v>2055</v>
      </c>
      <c r="I30" s="331">
        <f t="shared" si="443"/>
        <v>31</v>
      </c>
      <c r="J30" s="332">
        <f t="shared" si="1"/>
        <v>0</v>
      </c>
      <c r="K30" s="333">
        <f t="shared" ref="K30:L30" si="444">IF(ISBLANK(M30),,M30-M29)</f>
        <v>24</v>
      </c>
      <c r="L30" s="334">
        <f t="shared" si="444"/>
        <v>0</v>
      </c>
      <c r="M30" s="335">
        <v>258</v>
      </c>
      <c r="N30" s="336">
        <v>4</v>
      </c>
      <c r="O30" s="337">
        <f t="shared" ref="O30:P30" si="445">IF(ISBLANK(Q30),,Q30-Q29)</f>
        <v>25</v>
      </c>
      <c r="P30" s="338">
        <f t="shared" si="445"/>
        <v>0</v>
      </c>
      <c r="Q30" s="335">
        <v>72</v>
      </c>
      <c r="R30" s="339">
        <v>0</v>
      </c>
      <c r="S30" s="316">
        <f t="shared" ref="S30:T30" si="446">IF(ISBLANK(U30),,U30-U29)</f>
        <v>9</v>
      </c>
      <c r="T30" s="334">
        <f t="shared" si="446"/>
        <v>1</v>
      </c>
      <c r="U30" s="335">
        <v>114</v>
      </c>
      <c r="V30" s="336">
        <v>4</v>
      </c>
      <c r="W30" s="337">
        <f t="shared" ref="W30:X30" si="447">IF(ISBLANK(Y30),,Y30-Y29)</f>
        <v>3</v>
      </c>
      <c r="X30" s="334">
        <f t="shared" si="447"/>
        <v>0</v>
      </c>
      <c r="Y30" s="335">
        <v>36</v>
      </c>
      <c r="Z30" s="340">
        <v>0</v>
      </c>
      <c r="AA30" s="316">
        <f t="shared" ref="AA30:AB30" si="448">IF(ISBLANK(AC30),,AC30-AC29)</f>
        <v>12</v>
      </c>
      <c r="AB30" s="334">
        <f t="shared" si="448"/>
        <v>0</v>
      </c>
      <c r="AC30" s="335">
        <v>202</v>
      </c>
      <c r="AD30" s="336">
        <v>0</v>
      </c>
      <c r="AE30" s="337">
        <f t="shared" ref="AE30:AF30" si="449">IF(ISBLANK(AG30),,AG30-AG29)</f>
        <v>24</v>
      </c>
      <c r="AF30" s="334">
        <f t="shared" si="449"/>
        <v>0</v>
      </c>
      <c r="AG30" s="335">
        <v>174</v>
      </c>
      <c r="AH30" s="339">
        <v>1</v>
      </c>
      <c r="AI30" s="316">
        <f t="shared" ref="AI30:AJ30" si="450">IF(ISBLANK(AK30),,AK30-AK29)</f>
        <v>26</v>
      </c>
      <c r="AJ30" s="334">
        <f t="shared" si="450"/>
        <v>3</v>
      </c>
      <c r="AK30" s="335">
        <v>487</v>
      </c>
      <c r="AL30" s="336">
        <v>7</v>
      </c>
      <c r="AM30" s="337">
        <f t="shared" ref="AM30:AN30" si="451">IF(ISBLANK(AO30),,AO30-AO29)</f>
        <v>11</v>
      </c>
      <c r="AN30" s="334">
        <f t="shared" si="451"/>
        <v>0</v>
      </c>
      <c r="AO30" s="335">
        <v>54</v>
      </c>
      <c r="AP30" s="339">
        <v>0</v>
      </c>
      <c r="AQ30" s="316">
        <f t="shared" ref="AQ30:AR30" si="452">IF(ISBLANK(AS30),,AS30-AS29)</f>
        <v>4</v>
      </c>
      <c r="AR30" s="338">
        <f t="shared" si="452"/>
        <v>2</v>
      </c>
      <c r="AS30" s="335">
        <v>80</v>
      </c>
      <c r="AT30" s="336">
        <v>3</v>
      </c>
      <c r="AU30" s="337">
        <f t="shared" ref="AU30:AV30" si="453">IF(ISBLANK(AW30),,AW30-AW29)</f>
        <v>8</v>
      </c>
      <c r="AV30" s="334">
        <f t="shared" si="453"/>
        <v>0</v>
      </c>
      <c r="AW30" s="335">
        <v>36</v>
      </c>
      <c r="AX30" s="339">
        <v>0</v>
      </c>
      <c r="AY30" s="316">
        <f t="shared" ref="AY30:AZ30" si="454">IF(ISBLANK(BA30),,BA30-BA29)</f>
        <v>3</v>
      </c>
      <c r="AZ30" s="334">
        <f t="shared" si="454"/>
        <v>0</v>
      </c>
      <c r="BA30" s="335">
        <v>48</v>
      </c>
      <c r="BB30" s="336">
        <v>0</v>
      </c>
      <c r="BC30" s="337">
        <f t="shared" ref="BC30:BD30" si="455">IF(ISBLANK(BE30),,BE30-BE29)</f>
        <v>14</v>
      </c>
      <c r="BD30" s="334">
        <f t="shared" si="455"/>
        <v>2</v>
      </c>
      <c r="BE30" s="335">
        <v>209</v>
      </c>
      <c r="BF30" s="339">
        <v>7</v>
      </c>
      <c r="BG30" s="316">
        <f t="shared" ref="BG30:BH30" si="456">IF(ISBLANK(BI30),,BI30-BI29)</f>
        <v>3</v>
      </c>
      <c r="BH30" s="334">
        <f t="shared" si="456"/>
        <v>0</v>
      </c>
      <c r="BI30" s="335">
        <v>37</v>
      </c>
      <c r="BJ30" s="336">
        <v>1</v>
      </c>
      <c r="BK30" s="337">
        <f t="shared" ref="BK30:BL30" si="457">IF(ISBLANK(BM30),,BM30-BM29)</f>
        <v>1</v>
      </c>
      <c r="BL30" s="334">
        <f t="shared" si="457"/>
        <v>0</v>
      </c>
      <c r="BM30" s="335">
        <v>57</v>
      </c>
      <c r="BN30" s="339">
        <v>0</v>
      </c>
      <c r="BO30" s="316">
        <f t="shared" ref="BO30:BP30" si="458">IF(ISBLANK(BQ30),,BQ30-BQ29)</f>
        <v>24</v>
      </c>
      <c r="BP30" s="334">
        <f t="shared" si="458"/>
        <v>1</v>
      </c>
      <c r="BQ30" s="335">
        <v>132</v>
      </c>
      <c r="BR30" s="336">
        <v>3</v>
      </c>
      <c r="BS30" s="316">
        <f t="shared" ref="BS30:BT30" si="459">IF(ISBLANK(BU30),,BU30-BU29)</f>
        <v>2</v>
      </c>
      <c r="BT30" s="334">
        <f t="shared" si="459"/>
        <v>0</v>
      </c>
      <c r="BU30" s="335">
        <v>59</v>
      </c>
      <c r="BV30" s="336">
        <v>1</v>
      </c>
      <c r="BW30" s="233"/>
      <c r="BX30" s="233"/>
      <c r="BY30" s="233"/>
      <c r="BZ30" s="233"/>
      <c r="CA30" s="233"/>
      <c r="CB30" s="233"/>
      <c r="CC30" s="233"/>
      <c r="CD30" s="233"/>
      <c r="CE30" s="233"/>
    </row>
    <row r="31" spans="1:83" x14ac:dyDescent="0.25">
      <c r="A31" s="313">
        <v>43921</v>
      </c>
      <c r="B31" s="314">
        <v>28</v>
      </c>
      <c r="C31" s="315"/>
      <c r="D31" s="316">
        <v>256</v>
      </c>
      <c r="E31" s="317">
        <v>2</v>
      </c>
      <c r="F31" s="318">
        <v>1</v>
      </c>
      <c r="G31" s="319"/>
      <c r="H31" s="330">
        <f t="shared" ref="H31:I31" si="460">IF(ISBLANK(D31),,H30+D31)</f>
        <v>2311</v>
      </c>
      <c r="I31" s="331">
        <f t="shared" si="460"/>
        <v>33</v>
      </c>
      <c r="J31" s="332">
        <f t="shared" si="1"/>
        <v>0</v>
      </c>
      <c r="K31" s="333">
        <f t="shared" ref="K31:L31" si="461">IF(ISBLANK(M31),,M31-M30)</f>
        <v>16</v>
      </c>
      <c r="L31" s="334">
        <f t="shared" si="461"/>
        <v>0</v>
      </c>
      <c r="M31" s="335">
        <v>274</v>
      </c>
      <c r="N31" s="336">
        <v>4</v>
      </c>
      <c r="O31" s="337">
        <f t="shared" ref="O31:P31" si="462">IF(ISBLANK(Q31),,Q31-Q30)</f>
        <v>4</v>
      </c>
      <c r="P31" s="338">
        <f t="shared" si="462"/>
        <v>0</v>
      </c>
      <c r="Q31" s="335">
        <v>76</v>
      </c>
      <c r="R31" s="339">
        <v>0</v>
      </c>
      <c r="S31" s="316">
        <f t="shared" ref="S31:T31" si="463">IF(ISBLANK(U31),,U31-U30)</f>
        <v>18</v>
      </c>
      <c r="T31" s="334">
        <f t="shared" si="463"/>
        <v>0</v>
      </c>
      <c r="U31" s="335">
        <v>132</v>
      </c>
      <c r="V31" s="336">
        <v>4</v>
      </c>
      <c r="W31" s="337">
        <f t="shared" ref="W31:X31" si="464">IF(ISBLANK(Y31),,Y31-Y30)</f>
        <v>6</v>
      </c>
      <c r="X31" s="334">
        <f t="shared" si="464"/>
        <v>0</v>
      </c>
      <c r="Y31" s="335">
        <v>42</v>
      </c>
      <c r="Z31" s="340">
        <v>0</v>
      </c>
      <c r="AA31" s="316">
        <f t="shared" ref="AA31:AB31" si="465">IF(ISBLANK(AC31),,AC31-AC30)</f>
        <v>6</v>
      </c>
      <c r="AB31" s="334">
        <f t="shared" si="465"/>
        <v>0</v>
      </c>
      <c r="AC31" s="335">
        <v>208</v>
      </c>
      <c r="AD31" s="336">
        <v>0</v>
      </c>
      <c r="AE31" s="337">
        <f t="shared" ref="AE31:AF31" si="466">IF(ISBLANK(AG31),,AG31-AG30)</f>
        <v>18</v>
      </c>
      <c r="AF31" s="334">
        <f t="shared" si="466"/>
        <v>0</v>
      </c>
      <c r="AG31" s="335">
        <v>192</v>
      </c>
      <c r="AH31" s="339">
        <v>1</v>
      </c>
      <c r="AI31" s="316">
        <f t="shared" ref="AI31:AJ31" si="467">IF(ISBLANK(AK31),,AK31-AK30)</f>
        <v>57</v>
      </c>
      <c r="AJ31" s="334">
        <f t="shared" si="467"/>
        <v>1</v>
      </c>
      <c r="AK31" s="335">
        <v>544</v>
      </c>
      <c r="AL31" s="336">
        <v>8</v>
      </c>
      <c r="AM31" s="337">
        <f t="shared" ref="AM31:AN31" si="468">IF(ISBLANK(AO31),,AO31-AO30)</f>
        <v>16</v>
      </c>
      <c r="AN31" s="334">
        <f t="shared" si="468"/>
        <v>0</v>
      </c>
      <c r="AO31" s="335">
        <v>70</v>
      </c>
      <c r="AP31" s="339">
        <v>0</v>
      </c>
      <c r="AQ31" s="316">
        <f t="shared" ref="AQ31:AR31" si="469">IF(ISBLANK(AS31),,AS31-AS30)</f>
        <v>15</v>
      </c>
      <c r="AR31" s="338">
        <f t="shared" si="469"/>
        <v>0</v>
      </c>
      <c r="AS31" s="335">
        <v>95</v>
      </c>
      <c r="AT31" s="336">
        <v>3</v>
      </c>
      <c r="AU31" s="337">
        <f t="shared" ref="AU31:AV31" si="470">IF(ISBLANK(AW31),,AW31-AW30)</f>
        <v>0</v>
      </c>
      <c r="AV31" s="334">
        <f t="shared" si="470"/>
        <v>0</v>
      </c>
      <c r="AW31" s="335">
        <v>36</v>
      </c>
      <c r="AX31" s="339">
        <v>0</v>
      </c>
      <c r="AY31" s="316">
        <f t="shared" ref="AY31:AZ31" si="471">IF(ISBLANK(BA31),,BA31-BA30)</f>
        <v>6</v>
      </c>
      <c r="AZ31" s="334">
        <f t="shared" si="471"/>
        <v>0</v>
      </c>
      <c r="BA31" s="335">
        <v>54</v>
      </c>
      <c r="BB31" s="336">
        <v>0</v>
      </c>
      <c r="BC31" s="337">
        <f t="shared" ref="BC31:BD31" si="472">IF(ISBLANK(BE31),,BE31-BE30)</f>
        <v>55</v>
      </c>
      <c r="BD31" s="334">
        <f t="shared" si="472"/>
        <v>1</v>
      </c>
      <c r="BE31" s="335">
        <v>264</v>
      </c>
      <c r="BF31" s="339">
        <v>8</v>
      </c>
      <c r="BG31" s="316">
        <f t="shared" ref="BG31:BH31" si="473">IF(ISBLANK(BI31),,BI31-BI30)</f>
        <v>12</v>
      </c>
      <c r="BH31" s="334">
        <f t="shared" si="473"/>
        <v>0</v>
      </c>
      <c r="BI31" s="335">
        <v>49</v>
      </c>
      <c r="BJ31" s="336">
        <v>1</v>
      </c>
      <c r="BK31" s="337">
        <f t="shared" ref="BK31:BL31" si="474">IF(ISBLANK(BM31),,BM31-BM30)</f>
        <v>1</v>
      </c>
      <c r="BL31" s="334">
        <f t="shared" si="474"/>
        <v>0</v>
      </c>
      <c r="BM31" s="335">
        <v>58</v>
      </c>
      <c r="BN31" s="339">
        <v>0</v>
      </c>
      <c r="BO31" s="316">
        <f t="shared" ref="BO31:BP31" si="475">IF(ISBLANK(BQ31),,BQ31-BQ30)</f>
        <v>16</v>
      </c>
      <c r="BP31" s="334">
        <f t="shared" si="475"/>
        <v>0</v>
      </c>
      <c r="BQ31" s="335">
        <v>148</v>
      </c>
      <c r="BR31" s="336">
        <v>3</v>
      </c>
      <c r="BS31" s="316">
        <f t="shared" ref="BS31:BT31" si="476">IF(ISBLANK(BU31),,BU31-BU30)</f>
        <v>10</v>
      </c>
      <c r="BT31" s="334">
        <f t="shared" si="476"/>
        <v>0</v>
      </c>
      <c r="BU31" s="335">
        <v>69</v>
      </c>
      <c r="BV31" s="336">
        <v>1</v>
      </c>
      <c r="BW31" s="233"/>
      <c r="BX31" s="233"/>
      <c r="BY31" s="233"/>
      <c r="BZ31" s="233"/>
      <c r="CA31" s="233"/>
      <c r="CB31" s="233"/>
      <c r="CC31" s="233"/>
      <c r="CD31" s="233"/>
      <c r="CE31" s="233"/>
    </row>
    <row r="32" spans="1:83" x14ac:dyDescent="0.25">
      <c r="A32" s="313">
        <v>43922</v>
      </c>
      <c r="B32" s="314">
        <v>29</v>
      </c>
      <c r="C32" s="315"/>
      <c r="D32" s="316">
        <v>243</v>
      </c>
      <c r="E32" s="317">
        <v>10</v>
      </c>
      <c r="F32" s="318">
        <v>1</v>
      </c>
      <c r="G32" s="319"/>
      <c r="H32" s="330">
        <f t="shared" ref="H32:I32" si="477">IF(ISBLANK(D32),,H31+D32)</f>
        <v>2554</v>
      </c>
      <c r="I32" s="331">
        <f t="shared" si="477"/>
        <v>43</v>
      </c>
      <c r="J32" s="332">
        <f t="shared" si="1"/>
        <v>0</v>
      </c>
      <c r="K32" s="333">
        <f t="shared" ref="K32:L32" si="478">IF(ISBLANK(M32),,M32-M31)</f>
        <v>52</v>
      </c>
      <c r="L32" s="334">
        <f t="shared" si="478"/>
        <v>0</v>
      </c>
      <c r="M32" s="335">
        <v>326</v>
      </c>
      <c r="N32" s="336">
        <v>4</v>
      </c>
      <c r="O32" s="337">
        <f t="shared" ref="O32:P32" si="479">IF(ISBLANK(Q32),,Q32-Q31)</f>
        <v>8</v>
      </c>
      <c r="P32" s="338">
        <f t="shared" si="479"/>
        <v>0</v>
      </c>
      <c r="Q32" s="335">
        <v>84</v>
      </c>
      <c r="R32" s="339">
        <v>0</v>
      </c>
      <c r="S32" s="316">
        <f t="shared" ref="S32:T32" si="480">IF(ISBLANK(U32),,U32-U31)</f>
        <v>1</v>
      </c>
      <c r="T32" s="334">
        <f t="shared" si="480"/>
        <v>1</v>
      </c>
      <c r="U32" s="335">
        <v>133</v>
      </c>
      <c r="V32" s="336">
        <v>5</v>
      </c>
      <c r="W32" s="337">
        <f t="shared" ref="W32:X32" si="481">IF(ISBLANK(Y32),,Y32-Y31)</f>
        <v>5</v>
      </c>
      <c r="X32" s="334">
        <f t="shared" si="481"/>
        <v>0</v>
      </c>
      <c r="Y32" s="335">
        <v>47</v>
      </c>
      <c r="Z32" s="340">
        <v>0</v>
      </c>
      <c r="AA32" s="316">
        <f t="shared" ref="AA32:AB32" si="482">IF(ISBLANK(AC32),,AC32-AC31)</f>
        <v>13</v>
      </c>
      <c r="AB32" s="334">
        <f t="shared" si="482"/>
        <v>1</v>
      </c>
      <c r="AC32" s="335">
        <v>221</v>
      </c>
      <c r="AD32" s="336">
        <v>1</v>
      </c>
      <c r="AE32" s="337">
        <f t="shared" ref="AE32:AF32" si="483">IF(ISBLANK(AG32),,AG32-AG31)</f>
        <v>17</v>
      </c>
      <c r="AF32" s="334">
        <f t="shared" si="483"/>
        <v>0</v>
      </c>
      <c r="AG32" s="335">
        <v>209</v>
      </c>
      <c r="AH32" s="339">
        <v>1</v>
      </c>
      <c r="AI32" s="316">
        <f t="shared" ref="AI32:AJ32" si="484">IF(ISBLANK(AK32),,AK32-AK31)</f>
        <v>68</v>
      </c>
      <c r="AJ32" s="334">
        <f t="shared" si="484"/>
        <v>3</v>
      </c>
      <c r="AK32" s="335">
        <v>612</v>
      </c>
      <c r="AL32" s="336">
        <v>11</v>
      </c>
      <c r="AM32" s="337">
        <f t="shared" ref="AM32:AN32" si="485">IF(ISBLANK(AO32),,AO32-AO31)</f>
        <v>5</v>
      </c>
      <c r="AN32" s="334">
        <f t="shared" si="485"/>
        <v>0</v>
      </c>
      <c r="AO32" s="335">
        <v>75</v>
      </c>
      <c r="AP32" s="339">
        <v>0</v>
      </c>
      <c r="AQ32" s="316">
        <f t="shared" ref="AQ32:AR32" si="486">IF(ISBLANK(AS32),,AS32-AS31)</f>
        <v>9</v>
      </c>
      <c r="AR32" s="338">
        <f t="shared" si="486"/>
        <v>0</v>
      </c>
      <c r="AS32" s="335">
        <v>104</v>
      </c>
      <c r="AT32" s="336">
        <v>3</v>
      </c>
      <c r="AU32" s="337">
        <f t="shared" ref="AU32:AV32" si="487">IF(ISBLANK(AW32),,AW32-AW31)</f>
        <v>11</v>
      </c>
      <c r="AV32" s="334">
        <f t="shared" si="487"/>
        <v>0</v>
      </c>
      <c r="AW32" s="335">
        <v>47</v>
      </c>
      <c r="AX32" s="339">
        <v>0</v>
      </c>
      <c r="AY32" s="316">
        <f t="shared" ref="AY32:AZ32" si="488">IF(ISBLANK(BA32),,BA32-BA31)</f>
        <v>6</v>
      </c>
      <c r="AZ32" s="334">
        <f t="shared" si="488"/>
        <v>0</v>
      </c>
      <c r="BA32" s="335">
        <v>60</v>
      </c>
      <c r="BB32" s="336">
        <v>0</v>
      </c>
      <c r="BC32" s="337">
        <f t="shared" ref="BC32:BD32" si="489">IF(ISBLANK(BE32),,BE32-BE31)</f>
        <v>8</v>
      </c>
      <c r="BD32" s="334">
        <f t="shared" si="489"/>
        <v>2</v>
      </c>
      <c r="BE32" s="335">
        <v>272</v>
      </c>
      <c r="BF32" s="339">
        <v>10</v>
      </c>
      <c r="BG32" s="316">
        <f t="shared" ref="BG32:BH32" si="490">IF(ISBLANK(BI32),,BI32-BI31)</f>
        <v>6</v>
      </c>
      <c r="BH32" s="334">
        <f t="shared" si="490"/>
        <v>0</v>
      </c>
      <c r="BI32" s="335">
        <v>55</v>
      </c>
      <c r="BJ32" s="336">
        <v>1</v>
      </c>
      <c r="BK32" s="337">
        <f t="shared" ref="BK32:BL32" si="491">IF(ISBLANK(BM32),,BM32-BM31)</f>
        <v>3</v>
      </c>
      <c r="BL32" s="334">
        <f t="shared" si="491"/>
        <v>0</v>
      </c>
      <c r="BM32" s="335">
        <v>61</v>
      </c>
      <c r="BN32" s="339">
        <v>0</v>
      </c>
      <c r="BO32" s="316">
        <f t="shared" ref="BO32:BP32" si="492">IF(ISBLANK(BQ32),,BQ32-BQ31)</f>
        <v>21</v>
      </c>
      <c r="BP32" s="334">
        <f t="shared" si="492"/>
        <v>3</v>
      </c>
      <c r="BQ32" s="335">
        <v>169</v>
      </c>
      <c r="BR32" s="336">
        <v>6</v>
      </c>
      <c r="BS32" s="316">
        <f t="shared" ref="BS32:BT32" si="493">IF(ISBLANK(BU32),,BU32-BU31)</f>
        <v>10</v>
      </c>
      <c r="BT32" s="334">
        <f t="shared" si="493"/>
        <v>0</v>
      </c>
      <c r="BU32" s="335">
        <v>79</v>
      </c>
      <c r="BV32" s="336">
        <v>1</v>
      </c>
      <c r="BW32" s="233"/>
      <c r="BX32" s="233"/>
      <c r="BY32" s="233"/>
      <c r="BZ32" s="233"/>
      <c r="CA32" s="233"/>
      <c r="CB32" s="233"/>
      <c r="CC32" s="233"/>
      <c r="CD32" s="233"/>
      <c r="CE32" s="233"/>
    </row>
    <row r="33" spans="1:83" x14ac:dyDescent="0.25">
      <c r="A33" s="313">
        <v>43923</v>
      </c>
      <c r="B33" s="314">
        <v>30</v>
      </c>
      <c r="C33" s="315"/>
      <c r="D33" s="316">
        <v>392</v>
      </c>
      <c r="E33" s="317">
        <v>14</v>
      </c>
      <c r="F33" s="318">
        <v>1</v>
      </c>
      <c r="G33" s="319"/>
      <c r="H33" s="330">
        <f t="shared" ref="H33:I33" si="494">IF(ISBLANK(D33),,H32+D33)</f>
        <v>2946</v>
      </c>
      <c r="I33" s="331">
        <f t="shared" si="494"/>
        <v>57</v>
      </c>
      <c r="J33" s="332">
        <f t="shared" si="1"/>
        <v>0</v>
      </c>
      <c r="K33" s="333">
        <f t="shared" ref="K33:L33" si="495">IF(ISBLANK(M33),,M33-M32)</f>
        <v>12</v>
      </c>
      <c r="L33" s="334">
        <f t="shared" si="495"/>
        <v>2</v>
      </c>
      <c r="M33" s="335">
        <v>338</v>
      </c>
      <c r="N33" s="336">
        <v>6</v>
      </c>
      <c r="O33" s="337">
        <f t="shared" ref="O33:P33" si="496">IF(ISBLANK(Q33),,Q33-Q32)</f>
        <v>73</v>
      </c>
      <c r="P33" s="338">
        <f t="shared" si="496"/>
        <v>0</v>
      </c>
      <c r="Q33" s="335">
        <v>157</v>
      </c>
      <c r="R33" s="339">
        <v>0</v>
      </c>
      <c r="S33" s="316">
        <f t="shared" ref="S33:T33" si="497">IF(ISBLANK(U33),,U33-U32)</f>
        <v>18</v>
      </c>
      <c r="T33" s="334">
        <f t="shared" si="497"/>
        <v>0</v>
      </c>
      <c r="U33" s="335">
        <v>151</v>
      </c>
      <c r="V33" s="336">
        <v>5</v>
      </c>
      <c r="W33" s="337">
        <f t="shared" ref="W33:X33" si="498">IF(ISBLANK(Y33),,Y33-Y32)</f>
        <v>1</v>
      </c>
      <c r="X33" s="334">
        <f t="shared" si="498"/>
        <v>0</v>
      </c>
      <c r="Y33" s="335">
        <v>48</v>
      </c>
      <c r="Z33" s="340">
        <v>0</v>
      </c>
      <c r="AA33" s="316">
        <f t="shared" ref="AA33:AB33" si="499">IF(ISBLANK(AC33),,AC33-AC32)</f>
        <v>15</v>
      </c>
      <c r="AB33" s="334">
        <f t="shared" si="499"/>
        <v>0</v>
      </c>
      <c r="AC33" s="335">
        <v>236</v>
      </c>
      <c r="AD33" s="336">
        <v>1</v>
      </c>
      <c r="AE33" s="337">
        <f t="shared" ref="AE33:AF33" si="500">IF(ISBLANK(AG33),,AG33-AG32)</f>
        <v>21</v>
      </c>
      <c r="AF33" s="334">
        <f t="shared" si="500"/>
        <v>3</v>
      </c>
      <c r="AG33" s="335">
        <v>230</v>
      </c>
      <c r="AH33" s="339">
        <v>4</v>
      </c>
      <c r="AI33" s="316">
        <f t="shared" ref="AI33:AJ33" si="501">IF(ISBLANK(AK33),,AK33-AK32)</f>
        <v>142</v>
      </c>
      <c r="AJ33" s="334">
        <f t="shared" si="501"/>
        <v>3</v>
      </c>
      <c r="AK33" s="335">
        <v>754</v>
      </c>
      <c r="AL33" s="336">
        <v>14</v>
      </c>
      <c r="AM33" s="337">
        <f t="shared" ref="AM33:AN33" si="502">IF(ISBLANK(AO33),,AO33-AO32)</f>
        <v>3</v>
      </c>
      <c r="AN33" s="334">
        <f t="shared" si="502"/>
        <v>1</v>
      </c>
      <c r="AO33" s="335">
        <v>78</v>
      </c>
      <c r="AP33" s="339">
        <v>1</v>
      </c>
      <c r="AQ33" s="316">
        <f t="shared" ref="AQ33:AR33" si="503">IF(ISBLANK(AS33),,AS33-AS32)</f>
        <v>7</v>
      </c>
      <c r="AR33" s="338">
        <f t="shared" si="503"/>
        <v>1</v>
      </c>
      <c r="AS33" s="335">
        <v>111</v>
      </c>
      <c r="AT33" s="336">
        <v>4</v>
      </c>
      <c r="AU33" s="337">
        <f t="shared" ref="AU33:AV33" si="504">IF(ISBLANK(AW33),,AW33-AW32)</f>
        <v>12</v>
      </c>
      <c r="AV33" s="334">
        <f t="shared" si="504"/>
        <v>0</v>
      </c>
      <c r="AW33" s="335">
        <v>59</v>
      </c>
      <c r="AX33" s="339">
        <v>0</v>
      </c>
      <c r="AY33" s="316">
        <f t="shared" ref="AY33:AZ33" si="505">IF(ISBLANK(BA33),,BA33-BA32)</f>
        <v>10</v>
      </c>
      <c r="AZ33" s="334">
        <f t="shared" si="505"/>
        <v>0</v>
      </c>
      <c r="BA33" s="335">
        <v>70</v>
      </c>
      <c r="BB33" s="336">
        <v>0</v>
      </c>
      <c r="BC33" s="337">
        <f t="shared" ref="BC33:BD33" si="506">IF(ISBLANK(BE33),,BE33-BE32)</f>
        <v>29</v>
      </c>
      <c r="BD33" s="334">
        <f t="shared" si="506"/>
        <v>1</v>
      </c>
      <c r="BE33" s="335">
        <v>301</v>
      </c>
      <c r="BF33" s="339">
        <v>11</v>
      </c>
      <c r="BG33" s="316">
        <f t="shared" ref="BG33:BH33" si="507">IF(ISBLANK(BI33),,BI33-BI32)</f>
        <v>7</v>
      </c>
      <c r="BH33" s="334">
        <f t="shared" si="507"/>
        <v>0</v>
      </c>
      <c r="BI33" s="335">
        <v>62</v>
      </c>
      <c r="BJ33" s="336">
        <v>1</v>
      </c>
      <c r="BK33" s="337">
        <f t="shared" ref="BK33:BL33" si="508">IF(ISBLANK(BM33),,BM33-BM32)</f>
        <v>6</v>
      </c>
      <c r="BL33" s="334">
        <f t="shared" si="508"/>
        <v>0</v>
      </c>
      <c r="BM33" s="335">
        <v>67</v>
      </c>
      <c r="BN33" s="339">
        <v>0</v>
      </c>
      <c r="BO33" s="316">
        <f t="shared" ref="BO33:BP33" si="509">IF(ISBLANK(BQ33),,BQ33-BQ32)</f>
        <v>26</v>
      </c>
      <c r="BP33" s="334">
        <f t="shared" si="509"/>
        <v>2</v>
      </c>
      <c r="BQ33" s="335">
        <v>195</v>
      </c>
      <c r="BR33" s="336">
        <v>8</v>
      </c>
      <c r="BS33" s="316">
        <f t="shared" ref="BS33:BT33" si="510">IF(ISBLANK(BU33),,BU33-BU32)</f>
        <v>10</v>
      </c>
      <c r="BT33" s="334">
        <f t="shared" si="510"/>
        <v>1</v>
      </c>
      <c r="BU33" s="335">
        <v>89</v>
      </c>
      <c r="BV33" s="336">
        <v>2</v>
      </c>
      <c r="BW33" s="233"/>
      <c r="BX33" s="233"/>
      <c r="BY33" s="233"/>
      <c r="BZ33" s="233"/>
      <c r="CA33" s="233"/>
      <c r="CB33" s="233"/>
      <c r="CC33" s="233"/>
      <c r="CD33" s="233"/>
      <c r="CE33" s="233"/>
    </row>
    <row r="34" spans="1:83" x14ac:dyDescent="0.25">
      <c r="A34" s="313">
        <v>43924</v>
      </c>
      <c r="B34" s="314">
        <v>31</v>
      </c>
      <c r="C34" s="315"/>
      <c r="D34" s="316">
        <v>437</v>
      </c>
      <c r="E34" s="317">
        <v>14</v>
      </c>
      <c r="F34" s="318">
        <v>1</v>
      </c>
      <c r="G34" s="319"/>
      <c r="H34" s="330">
        <f t="shared" ref="H34:I34" si="511">IF(ISBLANK(D34),,H33+D34)</f>
        <v>3383</v>
      </c>
      <c r="I34" s="331">
        <f t="shared" si="511"/>
        <v>71</v>
      </c>
      <c r="J34" s="332">
        <f t="shared" si="1"/>
        <v>0</v>
      </c>
      <c r="K34" s="333">
        <f t="shared" ref="K34:L34" si="512">IF(ISBLANK(M34),,M34-M33)</f>
        <v>62</v>
      </c>
      <c r="L34" s="334">
        <f t="shared" si="512"/>
        <v>0</v>
      </c>
      <c r="M34" s="335">
        <v>400</v>
      </c>
      <c r="N34" s="336">
        <v>6</v>
      </c>
      <c r="O34" s="337">
        <f t="shared" ref="O34:P34" si="513">IF(ISBLANK(Q34),,Q34-Q33)</f>
        <v>42</v>
      </c>
      <c r="P34" s="338">
        <f t="shared" si="513"/>
        <v>1</v>
      </c>
      <c r="Q34" s="335">
        <v>199</v>
      </c>
      <c r="R34" s="339">
        <v>1</v>
      </c>
      <c r="S34" s="316">
        <f t="shared" ref="S34:T34" si="514">IF(ISBLANK(U34),,U34-U33)</f>
        <v>7</v>
      </c>
      <c r="T34" s="334">
        <f t="shared" si="514"/>
        <v>1</v>
      </c>
      <c r="U34" s="335">
        <v>158</v>
      </c>
      <c r="V34" s="336">
        <v>6</v>
      </c>
      <c r="W34" s="337">
        <f t="shared" ref="W34:X34" si="515">IF(ISBLANK(Y34),,Y34-Y33)</f>
        <v>2</v>
      </c>
      <c r="X34" s="334">
        <f t="shared" si="515"/>
        <v>0</v>
      </c>
      <c r="Y34" s="335">
        <v>50</v>
      </c>
      <c r="Z34" s="340">
        <v>0</v>
      </c>
      <c r="AA34" s="316">
        <f t="shared" ref="AA34:AB34" si="516">IF(ISBLANK(AC34),,AC34-AC33)</f>
        <v>12</v>
      </c>
      <c r="AB34" s="334">
        <f t="shared" si="516"/>
        <v>2</v>
      </c>
      <c r="AC34" s="335">
        <v>248</v>
      </c>
      <c r="AD34" s="336">
        <v>3</v>
      </c>
      <c r="AE34" s="337">
        <f t="shared" ref="AE34:AF34" si="517">IF(ISBLANK(AG34),,AG34-AG33)</f>
        <v>32</v>
      </c>
      <c r="AF34" s="334">
        <f t="shared" si="517"/>
        <v>1</v>
      </c>
      <c r="AG34" s="335">
        <v>262</v>
      </c>
      <c r="AH34" s="339">
        <v>5</v>
      </c>
      <c r="AI34" s="316">
        <f t="shared" ref="AI34:AJ34" si="518">IF(ISBLANK(AK34),,AK34-AK33)</f>
        <v>54</v>
      </c>
      <c r="AJ34" s="334">
        <f t="shared" si="518"/>
        <v>0</v>
      </c>
      <c r="AK34" s="335">
        <v>808</v>
      </c>
      <c r="AL34" s="336">
        <v>14</v>
      </c>
      <c r="AM34" s="337">
        <f t="shared" ref="AM34:AN34" si="519">IF(ISBLANK(AO34),,AO34-AO33)</f>
        <v>12</v>
      </c>
      <c r="AN34" s="334">
        <f t="shared" si="519"/>
        <v>0</v>
      </c>
      <c r="AO34" s="335">
        <v>90</v>
      </c>
      <c r="AP34" s="339">
        <v>1</v>
      </c>
      <c r="AQ34" s="316">
        <f t="shared" ref="AQ34:AR34" si="520">IF(ISBLANK(AS34),,AS34-AS33)</f>
        <v>14</v>
      </c>
      <c r="AR34" s="338">
        <f t="shared" si="520"/>
        <v>0</v>
      </c>
      <c r="AS34" s="335">
        <v>125</v>
      </c>
      <c r="AT34" s="336">
        <v>4</v>
      </c>
      <c r="AU34" s="337">
        <f t="shared" ref="AU34:AV34" si="521">IF(ISBLANK(AW34),,AW34-AW33)</f>
        <v>15</v>
      </c>
      <c r="AV34" s="334">
        <f t="shared" si="521"/>
        <v>0</v>
      </c>
      <c r="AW34" s="335">
        <v>74</v>
      </c>
      <c r="AX34" s="339">
        <v>0</v>
      </c>
      <c r="AY34" s="316">
        <f t="shared" ref="AY34:AZ34" si="522">IF(ISBLANK(BA34),,BA34-BA33)</f>
        <v>12</v>
      </c>
      <c r="AZ34" s="334">
        <f t="shared" si="522"/>
        <v>0</v>
      </c>
      <c r="BA34" s="335">
        <v>82</v>
      </c>
      <c r="BB34" s="336">
        <v>0</v>
      </c>
      <c r="BC34" s="337">
        <f t="shared" ref="BC34:BD34" si="523">IF(ISBLANK(BE34),,BE34-BE33)</f>
        <v>130</v>
      </c>
      <c r="BD34" s="334">
        <f t="shared" si="523"/>
        <v>5</v>
      </c>
      <c r="BE34" s="335">
        <v>431</v>
      </c>
      <c r="BF34" s="339">
        <v>16</v>
      </c>
      <c r="BG34" s="316">
        <f t="shared" ref="BG34:BH34" si="524">IF(ISBLANK(BI34),,BI34-BI33)</f>
        <v>17</v>
      </c>
      <c r="BH34" s="334">
        <f t="shared" si="524"/>
        <v>0</v>
      </c>
      <c r="BI34" s="335">
        <v>79</v>
      </c>
      <c r="BJ34" s="336">
        <v>1</v>
      </c>
      <c r="BK34" s="337">
        <f t="shared" ref="BK34:BL34" si="525">IF(ISBLANK(BM34),,BM34-BM33)</f>
        <v>8</v>
      </c>
      <c r="BL34" s="334">
        <f t="shared" si="525"/>
        <v>0</v>
      </c>
      <c r="BM34" s="335">
        <v>75</v>
      </c>
      <c r="BN34" s="339">
        <v>0</v>
      </c>
      <c r="BO34" s="316">
        <f t="shared" ref="BO34:BP34" si="526">IF(ISBLANK(BQ34),,BQ34-BQ33)</f>
        <v>18</v>
      </c>
      <c r="BP34" s="334">
        <f t="shared" si="526"/>
        <v>4</v>
      </c>
      <c r="BQ34" s="335">
        <v>213</v>
      </c>
      <c r="BR34" s="336">
        <v>12</v>
      </c>
      <c r="BS34" s="316">
        <f t="shared" ref="BS34:BT34" si="527">IF(ISBLANK(BU34),,BU34-BU33)</f>
        <v>0</v>
      </c>
      <c r="BT34" s="334">
        <f t="shared" si="527"/>
        <v>0</v>
      </c>
      <c r="BU34" s="335">
        <v>89</v>
      </c>
      <c r="BV34" s="336">
        <v>2</v>
      </c>
      <c r="BW34" s="233"/>
      <c r="BX34" s="233"/>
      <c r="BY34" s="233"/>
      <c r="BZ34" s="233"/>
      <c r="CA34" s="233"/>
      <c r="CB34" s="233"/>
      <c r="CC34" s="233"/>
      <c r="CD34" s="233"/>
      <c r="CE34" s="233"/>
    </row>
    <row r="35" spans="1:83" x14ac:dyDescent="0.25">
      <c r="A35" s="313">
        <v>43925</v>
      </c>
      <c r="B35" s="314">
        <v>32</v>
      </c>
      <c r="C35" s="315"/>
      <c r="D35" s="316">
        <v>244</v>
      </c>
      <c r="E35" s="317">
        <v>8</v>
      </c>
      <c r="F35" s="318">
        <v>116</v>
      </c>
      <c r="G35" s="319"/>
      <c r="H35" s="330">
        <f t="shared" ref="H35:I35" si="528">IF(ISBLANK(D35),,H34+D35)</f>
        <v>3627</v>
      </c>
      <c r="I35" s="331">
        <f t="shared" si="528"/>
        <v>79</v>
      </c>
      <c r="J35" s="332">
        <f t="shared" si="1"/>
        <v>115</v>
      </c>
      <c r="K35" s="333">
        <f t="shared" ref="K35:L35" si="529">IF(ISBLANK(M35),,M35-M34)</f>
        <v>7</v>
      </c>
      <c r="L35" s="334">
        <f t="shared" si="529"/>
        <v>0</v>
      </c>
      <c r="M35" s="335">
        <v>407</v>
      </c>
      <c r="N35" s="336">
        <v>6</v>
      </c>
      <c r="O35" s="337">
        <f t="shared" ref="O35:P35" si="530">IF(ISBLANK(Q35),,Q35-Q34)</f>
        <v>25</v>
      </c>
      <c r="P35" s="338">
        <f t="shared" si="530"/>
        <v>0</v>
      </c>
      <c r="Q35" s="335">
        <v>224</v>
      </c>
      <c r="R35" s="339">
        <v>1</v>
      </c>
      <c r="S35" s="316">
        <f t="shared" ref="S35:T35" si="531">IF(ISBLANK(U35),,U35-U34)</f>
        <v>7</v>
      </c>
      <c r="T35" s="334">
        <f t="shared" si="531"/>
        <v>0</v>
      </c>
      <c r="U35" s="335">
        <v>165</v>
      </c>
      <c r="V35" s="336">
        <v>6</v>
      </c>
      <c r="W35" s="337">
        <f t="shared" ref="W35:X35" si="532">IF(ISBLANK(Y35),,Y35-Y34)</f>
        <v>6</v>
      </c>
      <c r="X35" s="334">
        <f t="shared" si="532"/>
        <v>0</v>
      </c>
      <c r="Y35" s="335">
        <v>56</v>
      </c>
      <c r="Z35" s="340">
        <v>0</v>
      </c>
      <c r="AA35" s="316">
        <f t="shared" ref="AA35:AB35" si="533">IF(ISBLANK(AC35),,AC35-AC34)</f>
        <v>11</v>
      </c>
      <c r="AB35" s="334">
        <f t="shared" si="533"/>
        <v>0</v>
      </c>
      <c r="AC35" s="335">
        <v>259</v>
      </c>
      <c r="AD35" s="336">
        <v>3</v>
      </c>
      <c r="AE35" s="337">
        <f t="shared" ref="AE35:AF35" si="534">IF(ISBLANK(AG35),,AG35-AG34)</f>
        <v>46</v>
      </c>
      <c r="AF35" s="334">
        <f t="shared" si="534"/>
        <v>0</v>
      </c>
      <c r="AG35" s="335">
        <v>308</v>
      </c>
      <c r="AH35" s="339">
        <v>5</v>
      </c>
      <c r="AI35" s="316">
        <f t="shared" ref="AI35:AJ35" si="535">IF(ISBLANK(AK35),,AK35-AK34)</f>
        <v>0</v>
      </c>
      <c r="AJ35" s="334">
        <f t="shared" si="535"/>
        <v>0</v>
      </c>
      <c r="AK35" s="335">
        <v>808</v>
      </c>
      <c r="AL35" s="336">
        <v>14</v>
      </c>
      <c r="AM35" s="337">
        <f t="shared" ref="AM35:AN35" si="536">IF(ISBLANK(AO35),,AO35-AO34)</f>
        <v>0</v>
      </c>
      <c r="AN35" s="334">
        <f t="shared" si="536"/>
        <v>0</v>
      </c>
      <c r="AO35" s="335">
        <v>90</v>
      </c>
      <c r="AP35" s="339">
        <v>1</v>
      </c>
      <c r="AQ35" s="316">
        <f t="shared" ref="AQ35:AR35" si="537">IF(ISBLANK(AS35),,AS35-AS34)</f>
        <v>11</v>
      </c>
      <c r="AR35" s="338">
        <f t="shared" si="537"/>
        <v>0</v>
      </c>
      <c r="AS35" s="335">
        <v>136</v>
      </c>
      <c r="AT35" s="336">
        <v>4</v>
      </c>
      <c r="AU35" s="337">
        <f t="shared" ref="AU35:AV35" si="538">IF(ISBLANK(AW35),,AW35-AW34)</f>
        <v>8</v>
      </c>
      <c r="AV35" s="334">
        <f t="shared" si="538"/>
        <v>0</v>
      </c>
      <c r="AW35" s="335">
        <v>82</v>
      </c>
      <c r="AX35" s="339">
        <v>0</v>
      </c>
      <c r="AY35" s="316">
        <f t="shared" ref="AY35:AZ35" si="539">IF(ISBLANK(BA35),,BA35-BA34)</f>
        <v>22</v>
      </c>
      <c r="AZ35" s="334">
        <f t="shared" si="539"/>
        <v>0</v>
      </c>
      <c r="BA35" s="335">
        <v>104</v>
      </c>
      <c r="BB35" s="336">
        <v>0</v>
      </c>
      <c r="BC35" s="337">
        <f t="shared" ref="BC35:BD35" si="540">IF(ISBLANK(BE35),,BE35-BE34)</f>
        <v>65</v>
      </c>
      <c r="BD35" s="334">
        <f t="shared" si="540"/>
        <v>6</v>
      </c>
      <c r="BE35" s="335">
        <v>496</v>
      </c>
      <c r="BF35" s="339">
        <v>22</v>
      </c>
      <c r="BG35" s="316">
        <f t="shared" ref="BG35:BH35" si="541">IF(ISBLANK(BI35),,BI35-BI34)</f>
        <v>2</v>
      </c>
      <c r="BH35" s="334">
        <f t="shared" si="541"/>
        <v>0</v>
      </c>
      <c r="BI35" s="335">
        <v>81</v>
      </c>
      <c r="BJ35" s="336">
        <v>1</v>
      </c>
      <c r="BK35" s="337">
        <f t="shared" ref="BK35:BL35" si="542">IF(ISBLANK(BM35),,BM35-BM34)</f>
        <v>3</v>
      </c>
      <c r="BL35" s="334">
        <f t="shared" si="542"/>
        <v>1</v>
      </c>
      <c r="BM35" s="335">
        <v>78</v>
      </c>
      <c r="BN35" s="339">
        <v>1</v>
      </c>
      <c r="BO35" s="316">
        <f t="shared" ref="BO35:BP35" si="543">IF(ISBLANK(BQ35),,BQ35-BQ34)</f>
        <v>20</v>
      </c>
      <c r="BP35" s="334">
        <f t="shared" si="543"/>
        <v>1</v>
      </c>
      <c r="BQ35" s="335">
        <v>233</v>
      </c>
      <c r="BR35" s="336">
        <v>13</v>
      </c>
      <c r="BS35" s="316">
        <f t="shared" ref="BS35:BT35" si="544">IF(ISBLANK(BU35),,BU35-BU34)</f>
        <v>11</v>
      </c>
      <c r="BT35" s="334">
        <f t="shared" si="544"/>
        <v>0</v>
      </c>
      <c r="BU35" s="335">
        <v>100</v>
      </c>
      <c r="BV35" s="336">
        <v>2</v>
      </c>
      <c r="BW35" s="233"/>
      <c r="BX35" s="233"/>
      <c r="BY35" s="233"/>
      <c r="BZ35" s="233"/>
      <c r="CA35" s="233"/>
      <c r="CB35" s="233"/>
      <c r="CC35" s="233"/>
      <c r="CD35" s="233"/>
      <c r="CE35" s="233"/>
    </row>
    <row r="36" spans="1:83" x14ac:dyDescent="0.25">
      <c r="A36" s="313">
        <v>43926</v>
      </c>
      <c r="B36" s="314">
        <v>33</v>
      </c>
      <c r="C36" s="315"/>
      <c r="D36" s="316">
        <v>475</v>
      </c>
      <c r="E36" s="317">
        <v>15</v>
      </c>
      <c r="F36" s="318">
        <v>134</v>
      </c>
      <c r="G36" s="319"/>
      <c r="H36" s="330">
        <f t="shared" ref="H36:I36" si="545">IF(ISBLANK(D36),,H35+D36)</f>
        <v>4102</v>
      </c>
      <c r="I36" s="331">
        <f t="shared" si="545"/>
        <v>94</v>
      </c>
      <c r="J36" s="332">
        <f t="shared" si="1"/>
        <v>18</v>
      </c>
      <c r="K36" s="333">
        <f t="shared" ref="K36:L36" si="546">IF(ISBLANK(M36),,M36-M35)</f>
        <v>61</v>
      </c>
      <c r="L36" s="334">
        <f t="shared" si="546"/>
        <v>4</v>
      </c>
      <c r="M36" s="335">
        <v>468</v>
      </c>
      <c r="N36" s="336">
        <v>10</v>
      </c>
      <c r="O36" s="337">
        <f t="shared" ref="O36:P36" si="547">IF(ISBLANK(Q36),,Q36-Q35)</f>
        <v>17</v>
      </c>
      <c r="P36" s="338">
        <f t="shared" si="547"/>
        <v>0</v>
      </c>
      <c r="Q36" s="335">
        <v>241</v>
      </c>
      <c r="R36" s="339">
        <v>1</v>
      </c>
      <c r="S36" s="316">
        <f t="shared" ref="S36:T36" si="548">IF(ISBLANK(U36),,U36-U35)</f>
        <v>9</v>
      </c>
      <c r="T36" s="334">
        <f t="shared" si="548"/>
        <v>0</v>
      </c>
      <c r="U36" s="335">
        <v>174</v>
      </c>
      <c r="V36" s="336">
        <v>6</v>
      </c>
      <c r="W36" s="337">
        <f t="shared" ref="W36:X36" si="549">IF(ISBLANK(Y36),,Y36-Y35)</f>
        <v>3</v>
      </c>
      <c r="X36" s="334">
        <f t="shared" si="549"/>
        <v>0</v>
      </c>
      <c r="Y36" s="335">
        <v>59</v>
      </c>
      <c r="Z36" s="340">
        <v>0</v>
      </c>
      <c r="AA36" s="316">
        <f t="shared" ref="AA36:AB36" si="550">IF(ISBLANK(AC36),,AC36-AC35)</f>
        <v>67</v>
      </c>
      <c r="AB36" s="334">
        <f t="shared" si="550"/>
        <v>0</v>
      </c>
      <c r="AC36" s="335">
        <v>326</v>
      </c>
      <c r="AD36" s="336">
        <v>3</v>
      </c>
      <c r="AE36" s="337">
        <f t="shared" ref="AE36:AF36" si="551">IF(ISBLANK(AG36),,AG36-AG35)</f>
        <v>19</v>
      </c>
      <c r="AF36" s="334">
        <f t="shared" si="551"/>
        <v>2</v>
      </c>
      <c r="AG36" s="335">
        <v>327</v>
      </c>
      <c r="AH36" s="339">
        <v>7</v>
      </c>
      <c r="AI36" s="316">
        <f t="shared" ref="AI36:AJ36" si="552">IF(ISBLANK(AK36),,AK36-AK35)</f>
        <v>159</v>
      </c>
      <c r="AJ36" s="334">
        <f t="shared" si="552"/>
        <v>6</v>
      </c>
      <c r="AK36" s="335">
        <v>967</v>
      </c>
      <c r="AL36" s="336">
        <v>20</v>
      </c>
      <c r="AM36" s="337">
        <f t="shared" ref="AM36:AN36" si="553">IF(ISBLANK(AO36),,AO36-AO35)</f>
        <v>4</v>
      </c>
      <c r="AN36" s="334">
        <f t="shared" si="553"/>
        <v>0</v>
      </c>
      <c r="AO36" s="335">
        <v>94</v>
      </c>
      <c r="AP36" s="339">
        <v>1</v>
      </c>
      <c r="AQ36" s="316">
        <f t="shared" ref="AQ36:AR36" si="554">IF(ISBLANK(AS36),,AS36-AS35)</f>
        <v>13</v>
      </c>
      <c r="AR36" s="338">
        <f t="shared" si="554"/>
        <v>1</v>
      </c>
      <c r="AS36" s="335">
        <v>149</v>
      </c>
      <c r="AT36" s="336">
        <v>5</v>
      </c>
      <c r="AU36" s="337">
        <f t="shared" ref="AU36:AV36" si="555">IF(ISBLANK(AW36),,AW36-AW35)</f>
        <v>9</v>
      </c>
      <c r="AV36" s="334">
        <f t="shared" si="555"/>
        <v>1</v>
      </c>
      <c r="AW36" s="335">
        <v>91</v>
      </c>
      <c r="AX36" s="339">
        <v>1</v>
      </c>
      <c r="AY36" s="316">
        <f t="shared" ref="AY36:AZ36" si="556">IF(ISBLANK(BA36),,BA36-BA35)</f>
        <v>13</v>
      </c>
      <c r="AZ36" s="334">
        <f t="shared" si="556"/>
        <v>0</v>
      </c>
      <c r="BA36" s="335">
        <v>117</v>
      </c>
      <c r="BB36" s="336">
        <v>0</v>
      </c>
      <c r="BC36" s="337">
        <f t="shared" ref="BC36:BD36" si="557">IF(ISBLANK(BE36),,BE36-BE35)</f>
        <v>41</v>
      </c>
      <c r="BD36" s="334">
        <f t="shared" si="557"/>
        <v>0</v>
      </c>
      <c r="BE36" s="335">
        <v>537</v>
      </c>
      <c r="BF36" s="339">
        <v>22</v>
      </c>
      <c r="BG36" s="316">
        <f t="shared" ref="BG36:BH36" si="558">IF(ISBLANK(BI36),,BI36-BI35)</f>
        <v>12</v>
      </c>
      <c r="BH36" s="334">
        <f t="shared" si="558"/>
        <v>0</v>
      </c>
      <c r="BI36" s="335">
        <v>93</v>
      </c>
      <c r="BJ36" s="336">
        <v>1</v>
      </c>
      <c r="BK36" s="337">
        <f t="shared" ref="BK36:BL36" si="559">IF(ISBLANK(BM36),,BM36-BM35)</f>
        <v>2</v>
      </c>
      <c r="BL36" s="334">
        <f t="shared" si="559"/>
        <v>0</v>
      </c>
      <c r="BM36" s="335">
        <v>80</v>
      </c>
      <c r="BN36" s="339">
        <v>1</v>
      </c>
      <c r="BO36" s="316">
        <f t="shared" ref="BO36:BP36" si="560">IF(ISBLANK(BQ36),,BQ36-BQ35)</f>
        <v>40</v>
      </c>
      <c r="BP36" s="334">
        <f t="shared" si="560"/>
        <v>1</v>
      </c>
      <c r="BQ36" s="335">
        <v>273</v>
      </c>
      <c r="BR36" s="336">
        <v>14</v>
      </c>
      <c r="BS36" s="316">
        <f t="shared" ref="BS36:BT36" si="561">IF(ISBLANK(BU36),,BU36-BU35)</f>
        <v>6</v>
      </c>
      <c r="BT36" s="334">
        <f t="shared" si="561"/>
        <v>0</v>
      </c>
      <c r="BU36" s="335">
        <v>106</v>
      </c>
      <c r="BV36" s="336">
        <v>2</v>
      </c>
      <c r="BW36" s="233"/>
      <c r="BX36" s="233"/>
      <c r="BY36" s="233"/>
      <c r="BZ36" s="233"/>
      <c r="CA36" s="233"/>
      <c r="CB36" s="233"/>
      <c r="CC36" s="233"/>
      <c r="CD36" s="233"/>
      <c r="CE36" s="233"/>
    </row>
    <row r="37" spans="1:83" x14ac:dyDescent="0.25">
      <c r="A37" s="313">
        <v>43927</v>
      </c>
      <c r="B37" s="314">
        <v>34</v>
      </c>
      <c r="C37" s="315"/>
      <c r="D37" s="316">
        <v>311</v>
      </c>
      <c r="E37" s="317">
        <v>13</v>
      </c>
      <c r="F37" s="318">
        <v>162</v>
      </c>
      <c r="G37" s="319"/>
      <c r="H37" s="330">
        <f t="shared" ref="H37:I37" si="562">IF(ISBLANK(D37),,H36+D37)</f>
        <v>4413</v>
      </c>
      <c r="I37" s="331">
        <f t="shared" si="562"/>
        <v>107</v>
      </c>
      <c r="J37" s="332">
        <f t="shared" si="1"/>
        <v>28</v>
      </c>
      <c r="K37" s="333">
        <f t="shared" ref="K37:L37" si="563">IF(ISBLANK(M37),,M37-M36)</f>
        <v>20</v>
      </c>
      <c r="L37" s="334">
        <f t="shared" si="563"/>
        <v>3</v>
      </c>
      <c r="M37" s="335">
        <v>488</v>
      </c>
      <c r="N37" s="336">
        <v>13</v>
      </c>
      <c r="O37" s="337">
        <f t="shared" ref="O37:P37" si="564">IF(ISBLANK(Q37),,Q37-Q36)</f>
        <v>4</v>
      </c>
      <c r="P37" s="338">
        <f t="shared" si="564"/>
        <v>0</v>
      </c>
      <c r="Q37" s="335">
        <v>245</v>
      </c>
      <c r="R37" s="339">
        <v>1</v>
      </c>
      <c r="S37" s="316">
        <f t="shared" ref="S37:T37" si="565">IF(ISBLANK(U37),,U37-U36)</f>
        <v>7</v>
      </c>
      <c r="T37" s="334">
        <f t="shared" si="565"/>
        <v>1</v>
      </c>
      <c r="U37" s="335">
        <v>181</v>
      </c>
      <c r="V37" s="336">
        <v>7</v>
      </c>
      <c r="W37" s="337">
        <f t="shared" ref="W37:X37" si="566">IF(ISBLANK(Y37),,Y37-Y36)</f>
        <v>3</v>
      </c>
      <c r="X37" s="334">
        <f t="shared" si="566"/>
        <v>0</v>
      </c>
      <c r="Y37" s="335">
        <v>62</v>
      </c>
      <c r="Z37" s="340">
        <v>0</v>
      </c>
      <c r="AA37" s="316">
        <f t="shared" ref="AA37:AB37" si="567">IF(ISBLANK(AC37),,AC37-AC36)</f>
        <v>14</v>
      </c>
      <c r="AB37" s="334">
        <f t="shared" si="567"/>
        <v>0</v>
      </c>
      <c r="AC37" s="335">
        <v>340</v>
      </c>
      <c r="AD37" s="336">
        <v>3</v>
      </c>
      <c r="AE37" s="337">
        <f t="shared" ref="AE37:AF37" si="568">IF(ISBLANK(AG37),,AG37-AG36)</f>
        <v>22</v>
      </c>
      <c r="AF37" s="334">
        <f t="shared" si="568"/>
        <v>0</v>
      </c>
      <c r="AG37" s="335">
        <v>349</v>
      </c>
      <c r="AH37" s="339">
        <v>7</v>
      </c>
      <c r="AI37" s="316">
        <f t="shared" ref="AI37:AJ37" si="569">IF(ISBLANK(AK37),,AK37-AK36)</f>
        <v>98</v>
      </c>
      <c r="AJ37" s="334">
        <f t="shared" si="569"/>
        <v>3</v>
      </c>
      <c r="AK37" s="335">
        <v>1065</v>
      </c>
      <c r="AL37" s="336">
        <v>23</v>
      </c>
      <c r="AM37" s="337">
        <f t="shared" ref="AM37:AN37" si="570">IF(ISBLANK(AO37),,AO37-AO36)</f>
        <v>7</v>
      </c>
      <c r="AN37" s="334">
        <f t="shared" si="570"/>
        <v>1</v>
      </c>
      <c r="AO37" s="335">
        <v>101</v>
      </c>
      <c r="AP37" s="339">
        <v>2</v>
      </c>
      <c r="AQ37" s="316">
        <f t="shared" ref="AQ37:AR37" si="571">IF(ISBLANK(AS37),,AS37-AS36)</f>
        <v>7</v>
      </c>
      <c r="AR37" s="338">
        <f t="shared" si="571"/>
        <v>1</v>
      </c>
      <c r="AS37" s="335">
        <v>156</v>
      </c>
      <c r="AT37" s="336">
        <v>6</v>
      </c>
      <c r="AU37" s="337">
        <f t="shared" ref="AU37:AV37" si="572">IF(ISBLANK(AW37),,AW37-AW36)</f>
        <v>18</v>
      </c>
      <c r="AV37" s="334">
        <f t="shared" si="572"/>
        <v>0</v>
      </c>
      <c r="AW37" s="335">
        <v>109</v>
      </c>
      <c r="AX37" s="339">
        <v>1</v>
      </c>
      <c r="AY37" s="316">
        <f t="shared" ref="AY37:AZ37" si="573">IF(ISBLANK(BA37),,BA37-BA36)</f>
        <v>8</v>
      </c>
      <c r="AZ37" s="334">
        <f t="shared" si="573"/>
        <v>0</v>
      </c>
      <c r="BA37" s="335">
        <v>125</v>
      </c>
      <c r="BB37" s="336">
        <v>0</v>
      </c>
      <c r="BC37" s="337">
        <f t="shared" ref="BC37:BD37" si="574">IF(ISBLANK(BE37),,BE37-BE36)</f>
        <v>25</v>
      </c>
      <c r="BD37" s="334">
        <f t="shared" si="574"/>
        <v>3</v>
      </c>
      <c r="BE37" s="335">
        <v>562</v>
      </c>
      <c r="BF37" s="339">
        <v>25</v>
      </c>
      <c r="BG37" s="316">
        <f t="shared" ref="BG37:BH37" si="575">IF(ISBLANK(BI37),,BI37-BI36)</f>
        <v>10</v>
      </c>
      <c r="BH37" s="334">
        <f t="shared" si="575"/>
        <v>0</v>
      </c>
      <c r="BI37" s="335">
        <v>103</v>
      </c>
      <c r="BJ37" s="336">
        <v>1</v>
      </c>
      <c r="BK37" s="337">
        <f t="shared" ref="BK37:BL37" si="576">IF(ISBLANK(BM37),,BM37-BM36)</f>
        <v>3</v>
      </c>
      <c r="BL37" s="334">
        <f t="shared" si="576"/>
        <v>0</v>
      </c>
      <c r="BM37" s="335">
        <v>83</v>
      </c>
      <c r="BN37" s="339">
        <v>1</v>
      </c>
      <c r="BO37" s="316">
        <f t="shared" ref="BO37:BP37" si="577">IF(ISBLANK(BQ37),,BQ37-BQ36)</f>
        <v>54</v>
      </c>
      <c r="BP37" s="334">
        <f t="shared" si="577"/>
        <v>1</v>
      </c>
      <c r="BQ37" s="335">
        <v>327</v>
      </c>
      <c r="BR37" s="336">
        <v>15</v>
      </c>
      <c r="BS37" s="316">
        <f t="shared" ref="BS37:BT37" si="578">IF(ISBLANK(BU37),,BU37-BU36)</f>
        <v>11</v>
      </c>
      <c r="BT37" s="334">
        <f t="shared" si="578"/>
        <v>0</v>
      </c>
      <c r="BU37" s="335">
        <v>117</v>
      </c>
      <c r="BV37" s="336">
        <v>2</v>
      </c>
      <c r="BW37" s="233"/>
      <c r="BX37" s="233"/>
      <c r="BY37" s="233"/>
      <c r="BZ37" s="233"/>
      <c r="CA37" s="233"/>
      <c r="CB37" s="233"/>
      <c r="CC37" s="233"/>
      <c r="CD37" s="233"/>
      <c r="CE37" s="233"/>
    </row>
    <row r="38" spans="1:83" x14ac:dyDescent="0.25">
      <c r="A38" s="313">
        <v>43928</v>
      </c>
      <c r="B38" s="314">
        <v>35</v>
      </c>
      <c r="C38" s="315"/>
      <c r="D38" s="316">
        <v>435</v>
      </c>
      <c r="E38" s="317">
        <v>22</v>
      </c>
      <c r="F38" s="318">
        <v>191</v>
      </c>
      <c r="G38" s="319"/>
      <c r="H38" s="330">
        <f t="shared" ref="H38:I38" si="579">IF(ISBLANK(D38),,H37+D38)</f>
        <v>4848</v>
      </c>
      <c r="I38" s="331">
        <f t="shared" si="579"/>
        <v>129</v>
      </c>
      <c r="J38" s="332">
        <f t="shared" si="1"/>
        <v>29</v>
      </c>
      <c r="K38" s="333">
        <f t="shared" ref="K38:L38" si="580">IF(ISBLANK(M38),,M38-M37)</f>
        <v>39</v>
      </c>
      <c r="L38" s="334">
        <f t="shared" si="580"/>
        <v>1</v>
      </c>
      <c r="M38" s="335">
        <v>527</v>
      </c>
      <c r="N38" s="336">
        <v>14</v>
      </c>
      <c r="O38" s="337">
        <f t="shared" ref="O38:P38" si="581">IF(ISBLANK(Q38),,Q38-Q37)</f>
        <v>19</v>
      </c>
      <c r="P38" s="338">
        <f t="shared" si="581"/>
        <v>0</v>
      </c>
      <c r="Q38" s="335">
        <v>264</v>
      </c>
      <c r="R38" s="339">
        <v>1</v>
      </c>
      <c r="S38" s="316">
        <f t="shared" ref="S38:T38" si="582">IF(ISBLANK(U38),,U38-U37)</f>
        <v>11</v>
      </c>
      <c r="T38" s="334">
        <f t="shared" si="582"/>
        <v>0</v>
      </c>
      <c r="U38" s="335">
        <v>192</v>
      </c>
      <c r="V38" s="336">
        <v>7</v>
      </c>
      <c r="W38" s="337">
        <f t="shared" ref="W38:X38" si="583">IF(ISBLANK(Y38),,Y38-Y37)</f>
        <v>0</v>
      </c>
      <c r="X38" s="334">
        <f t="shared" si="583"/>
        <v>0</v>
      </c>
      <c r="Y38" s="335">
        <v>62</v>
      </c>
      <c r="Z38" s="340">
        <v>0</v>
      </c>
      <c r="AA38" s="316">
        <f t="shared" ref="AA38:AB38" si="584">IF(ISBLANK(AC38),,AC38-AC37)</f>
        <v>18</v>
      </c>
      <c r="AB38" s="334">
        <f t="shared" si="584"/>
        <v>2</v>
      </c>
      <c r="AC38" s="335">
        <v>358</v>
      </c>
      <c r="AD38" s="336">
        <v>5</v>
      </c>
      <c r="AE38" s="337">
        <f t="shared" ref="AE38:AF38" si="585">IF(ISBLANK(AG38),,AG38-AG37)</f>
        <v>22</v>
      </c>
      <c r="AF38" s="334">
        <f t="shared" si="585"/>
        <v>1</v>
      </c>
      <c r="AG38" s="335">
        <v>371</v>
      </c>
      <c r="AH38" s="339">
        <v>8</v>
      </c>
      <c r="AI38" s="316">
        <f t="shared" ref="AI38:AJ38" si="586">IF(ISBLANK(AK38),,AK38-AK37)</f>
        <v>182</v>
      </c>
      <c r="AJ38" s="334">
        <f t="shared" si="586"/>
        <v>2</v>
      </c>
      <c r="AK38" s="335">
        <v>1247</v>
      </c>
      <c r="AL38" s="336">
        <v>25</v>
      </c>
      <c r="AM38" s="337">
        <f t="shared" ref="AM38:AN38" si="587">IF(ISBLANK(AO38),,AO38-AO37)</f>
        <v>6</v>
      </c>
      <c r="AN38" s="334">
        <f t="shared" si="587"/>
        <v>1</v>
      </c>
      <c r="AO38" s="335">
        <v>107</v>
      </c>
      <c r="AP38" s="339">
        <v>3</v>
      </c>
      <c r="AQ38" s="316">
        <f t="shared" ref="AQ38:AR38" si="588">IF(ISBLANK(AS38),,AS38-AS37)</f>
        <v>12</v>
      </c>
      <c r="AR38" s="338">
        <f t="shared" si="588"/>
        <v>1</v>
      </c>
      <c r="AS38" s="335">
        <v>168</v>
      </c>
      <c r="AT38" s="336">
        <v>7</v>
      </c>
      <c r="AU38" s="337">
        <f t="shared" ref="AU38:AV38" si="589">IF(ISBLANK(AW38),,AW38-AW37)</f>
        <v>18</v>
      </c>
      <c r="AV38" s="334">
        <f t="shared" si="589"/>
        <v>0</v>
      </c>
      <c r="AW38" s="335">
        <v>127</v>
      </c>
      <c r="AX38" s="339">
        <v>1</v>
      </c>
      <c r="AY38" s="316">
        <f t="shared" ref="AY38:AZ38" si="590">IF(ISBLANK(BA38),,BA38-BA37)</f>
        <v>10</v>
      </c>
      <c r="AZ38" s="334">
        <f t="shared" si="590"/>
        <v>0</v>
      </c>
      <c r="BA38" s="335">
        <v>135</v>
      </c>
      <c r="BB38" s="336">
        <v>0</v>
      </c>
      <c r="BC38" s="337">
        <f t="shared" ref="BC38:BD38" si="591">IF(ISBLANK(BE38),,BE38-BE37)</f>
        <v>39</v>
      </c>
      <c r="BD38" s="334">
        <f t="shared" si="591"/>
        <v>7</v>
      </c>
      <c r="BE38" s="335">
        <v>601</v>
      </c>
      <c r="BF38" s="339">
        <v>32</v>
      </c>
      <c r="BG38" s="316">
        <f t="shared" ref="BG38:BH38" si="592">IF(ISBLANK(BI38),,BI38-BI37)</f>
        <v>17</v>
      </c>
      <c r="BH38" s="334">
        <f t="shared" si="592"/>
        <v>0</v>
      </c>
      <c r="BI38" s="335">
        <v>120</v>
      </c>
      <c r="BJ38" s="336">
        <v>1</v>
      </c>
      <c r="BK38" s="337">
        <f t="shared" ref="BK38:BL38" si="593">IF(ISBLANK(BM38),,BM38-BM37)</f>
        <v>4</v>
      </c>
      <c r="BL38" s="334">
        <f t="shared" si="593"/>
        <v>0</v>
      </c>
      <c r="BM38" s="335">
        <v>87</v>
      </c>
      <c r="BN38" s="339">
        <v>1</v>
      </c>
      <c r="BO38" s="316">
        <f t="shared" ref="BO38:BP38" si="594">IF(ISBLANK(BQ38),,BQ38-BQ37)</f>
        <v>22</v>
      </c>
      <c r="BP38" s="334">
        <f t="shared" si="594"/>
        <v>7</v>
      </c>
      <c r="BQ38" s="335">
        <v>349</v>
      </c>
      <c r="BR38" s="336">
        <v>22</v>
      </c>
      <c r="BS38" s="316">
        <f t="shared" ref="BS38:BT38" si="595">IF(ISBLANK(BU38),,BU38-BU37)</f>
        <v>16</v>
      </c>
      <c r="BT38" s="334">
        <f t="shared" si="595"/>
        <v>0</v>
      </c>
      <c r="BU38" s="335">
        <v>133</v>
      </c>
      <c r="BV38" s="336">
        <v>2</v>
      </c>
      <c r="BW38" s="233"/>
      <c r="BX38" s="233"/>
      <c r="BY38" s="233"/>
      <c r="BZ38" s="233"/>
      <c r="CA38" s="233"/>
      <c r="CB38" s="233"/>
      <c r="CC38" s="233"/>
      <c r="CD38" s="233"/>
      <c r="CE38" s="233"/>
    </row>
    <row r="39" spans="1:83" x14ac:dyDescent="0.25">
      <c r="A39" s="313">
        <v>43929</v>
      </c>
      <c r="B39" s="314">
        <v>36</v>
      </c>
      <c r="C39" s="315"/>
      <c r="D39" s="316">
        <v>357</v>
      </c>
      <c r="E39" s="317">
        <v>29</v>
      </c>
      <c r="F39" s="318">
        <v>222</v>
      </c>
      <c r="G39" s="319"/>
      <c r="H39" s="330">
        <f t="shared" ref="H39:I39" si="596">IF(ISBLANK(D39),,H38+D39)</f>
        <v>5205</v>
      </c>
      <c r="I39" s="331">
        <f t="shared" si="596"/>
        <v>158</v>
      </c>
      <c r="J39" s="332">
        <f t="shared" si="1"/>
        <v>31</v>
      </c>
      <c r="K39" s="333">
        <f t="shared" ref="K39:L39" si="597">IF(ISBLANK(M39),,M39-M38)</f>
        <v>12</v>
      </c>
      <c r="L39" s="334">
        <f t="shared" si="597"/>
        <v>1</v>
      </c>
      <c r="M39" s="335">
        <v>539</v>
      </c>
      <c r="N39" s="336">
        <v>15</v>
      </c>
      <c r="O39" s="337">
        <f t="shared" ref="O39:P39" si="598">IF(ISBLANK(Q39),,Q39-Q38)</f>
        <v>13</v>
      </c>
      <c r="P39" s="338">
        <f t="shared" si="598"/>
        <v>4</v>
      </c>
      <c r="Q39" s="335">
        <v>277</v>
      </c>
      <c r="R39" s="339">
        <v>5</v>
      </c>
      <c r="S39" s="316">
        <f t="shared" ref="S39:T39" si="599">IF(ISBLANK(U39),,U39-U38)</f>
        <v>8</v>
      </c>
      <c r="T39" s="334">
        <f t="shared" si="599"/>
        <v>1</v>
      </c>
      <c r="U39" s="335">
        <v>200</v>
      </c>
      <c r="V39" s="336">
        <v>8</v>
      </c>
      <c r="W39" s="337">
        <f t="shared" ref="W39:X39" si="600">IF(ISBLANK(Y39),,Y39-Y38)</f>
        <v>4</v>
      </c>
      <c r="X39" s="334">
        <f t="shared" si="600"/>
        <v>0</v>
      </c>
      <c r="Y39" s="335">
        <v>66</v>
      </c>
      <c r="Z39" s="340">
        <v>0</v>
      </c>
      <c r="AA39" s="316">
        <f t="shared" ref="AA39:AB39" si="601">IF(ISBLANK(AC39),,AC39-AC38)</f>
        <v>42</v>
      </c>
      <c r="AB39" s="334">
        <f t="shared" si="601"/>
        <v>0</v>
      </c>
      <c r="AC39" s="335">
        <v>400</v>
      </c>
      <c r="AD39" s="336">
        <v>5</v>
      </c>
      <c r="AE39" s="337">
        <f t="shared" ref="AE39:AF39" si="602">IF(ISBLANK(AG39),,AG39-AG38)</f>
        <v>28</v>
      </c>
      <c r="AF39" s="334">
        <f t="shared" si="602"/>
        <v>0</v>
      </c>
      <c r="AG39" s="335">
        <v>399</v>
      </c>
      <c r="AH39" s="339">
        <v>8</v>
      </c>
      <c r="AI39" s="316">
        <f t="shared" ref="AI39:AJ39" si="603">IF(ISBLANK(AK39),,AK39-AK38)</f>
        <v>67</v>
      </c>
      <c r="AJ39" s="334">
        <f t="shared" si="603"/>
        <v>12</v>
      </c>
      <c r="AK39" s="335">
        <v>1314</v>
      </c>
      <c r="AL39" s="336">
        <v>37</v>
      </c>
      <c r="AM39" s="337">
        <f t="shared" ref="AM39:AN39" si="604">IF(ISBLANK(AO39),,AO39-AO38)</f>
        <v>9</v>
      </c>
      <c r="AN39" s="334">
        <f t="shared" si="604"/>
        <v>2</v>
      </c>
      <c r="AO39" s="335">
        <v>116</v>
      </c>
      <c r="AP39" s="339">
        <v>5</v>
      </c>
      <c r="AQ39" s="316">
        <f t="shared" ref="AQ39:AR39" si="605">IF(ISBLANK(AS39),,AS39-AS38)</f>
        <v>12</v>
      </c>
      <c r="AR39" s="338">
        <f t="shared" si="605"/>
        <v>2</v>
      </c>
      <c r="AS39" s="335">
        <v>180</v>
      </c>
      <c r="AT39" s="336">
        <v>9</v>
      </c>
      <c r="AU39" s="337">
        <f t="shared" ref="AU39:AV39" si="606">IF(ISBLANK(AW39),,AW39-AW38)</f>
        <v>22</v>
      </c>
      <c r="AV39" s="334">
        <f t="shared" si="606"/>
        <v>0</v>
      </c>
      <c r="AW39" s="335">
        <v>149</v>
      </c>
      <c r="AX39" s="339">
        <v>1</v>
      </c>
      <c r="AY39" s="316">
        <f t="shared" ref="AY39:AZ39" si="607">IF(ISBLANK(BA39),,BA39-BA38)</f>
        <v>8</v>
      </c>
      <c r="AZ39" s="334">
        <f t="shared" si="607"/>
        <v>1</v>
      </c>
      <c r="BA39" s="335">
        <v>143</v>
      </c>
      <c r="BB39" s="336">
        <v>1</v>
      </c>
      <c r="BC39" s="337">
        <f t="shared" ref="BC39:BD39" si="608">IF(ISBLANK(BE39),,BE39-BE38)</f>
        <v>43</v>
      </c>
      <c r="BD39" s="334">
        <f t="shared" si="608"/>
        <v>4</v>
      </c>
      <c r="BE39" s="335">
        <v>644</v>
      </c>
      <c r="BF39" s="339">
        <v>36</v>
      </c>
      <c r="BG39" s="316">
        <f t="shared" ref="BG39:BH39" si="609">IF(ISBLANK(BI39),,BI39-BI38)</f>
        <v>7</v>
      </c>
      <c r="BH39" s="334">
        <f t="shared" si="609"/>
        <v>1</v>
      </c>
      <c r="BI39" s="335">
        <v>127</v>
      </c>
      <c r="BJ39" s="336">
        <v>2</v>
      </c>
      <c r="BK39" s="337">
        <f t="shared" ref="BK39:BL39" si="610">IF(ISBLANK(BM39),,BM39-BM38)</f>
        <v>5</v>
      </c>
      <c r="BL39" s="334">
        <f t="shared" si="610"/>
        <v>0</v>
      </c>
      <c r="BM39" s="335">
        <v>92</v>
      </c>
      <c r="BN39" s="339">
        <v>1</v>
      </c>
      <c r="BO39" s="316">
        <f t="shared" ref="BO39:BP39" si="611">IF(ISBLANK(BQ39),,BQ39-BQ38)</f>
        <v>45</v>
      </c>
      <c r="BP39" s="334">
        <f t="shared" si="611"/>
        <v>1</v>
      </c>
      <c r="BQ39" s="335">
        <v>394</v>
      </c>
      <c r="BR39" s="336">
        <v>23</v>
      </c>
      <c r="BS39" s="316">
        <f t="shared" ref="BS39:BT39" si="612">IF(ISBLANK(BU39),,BU39-BU38)</f>
        <v>32</v>
      </c>
      <c r="BT39" s="334">
        <f t="shared" si="612"/>
        <v>0</v>
      </c>
      <c r="BU39" s="335">
        <v>165</v>
      </c>
      <c r="BV39" s="336">
        <v>2</v>
      </c>
      <c r="BW39" s="233"/>
      <c r="BX39" s="233"/>
      <c r="BY39" s="233"/>
      <c r="BZ39" s="233"/>
      <c r="CA39" s="233"/>
      <c r="CB39" s="233"/>
      <c r="CC39" s="233"/>
      <c r="CD39" s="233"/>
      <c r="CE39" s="233"/>
    </row>
    <row r="40" spans="1:83" x14ac:dyDescent="0.25">
      <c r="A40" s="313">
        <v>43930</v>
      </c>
      <c r="B40" s="314">
        <v>37</v>
      </c>
      <c r="C40" s="315"/>
      <c r="D40" s="316">
        <v>370</v>
      </c>
      <c r="E40" s="317">
        <v>16</v>
      </c>
      <c r="F40" s="318">
        <v>284</v>
      </c>
      <c r="G40" s="319"/>
      <c r="H40" s="330">
        <f t="shared" ref="H40:I40" si="613">IF(ISBLANK(D40),,H39+D40)</f>
        <v>5575</v>
      </c>
      <c r="I40" s="331">
        <f t="shared" si="613"/>
        <v>174</v>
      </c>
      <c r="J40" s="332">
        <f t="shared" si="1"/>
        <v>62</v>
      </c>
      <c r="K40" s="333">
        <f t="shared" ref="K40:L40" si="614">IF(ISBLANK(M40),,M40-M39)</f>
        <v>29</v>
      </c>
      <c r="L40" s="334">
        <f t="shared" si="614"/>
        <v>3</v>
      </c>
      <c r="M40" s="335">
        <v>568</v>
      </c>
      <c r="N40" s="336">
        <v>18</v>
      </c>
      <c r="O40" s="337">
        <f t="shared" ref="O40:P40" si="615">IF(ISBLANK(Q40),,Q40-Q39)</f>
        <v>3</v>
      </c>
      <c r="P40" s="338">
        <f t="shared" si="615"/>
        <v>1</v>
      </c>
      <c r="Q40" s="335">
        <v>280</v>
      </c>
      <c r="R40" s="339">
        <v>6</v>
      </c>
      <c r="S40" s="316">
        <f t="shared" ref="S40:T40" si="616">IF(ISBLANK(U40),,U40-U39)</f>
        <v>5</v>
      </c>
      <c r="T40" s="334">
        <f t="shared" si="616"/>
        <v>0</v>
      </c>
      <c r="U40" s="335">
        <v>205</v>
      </c>
      <c r="V40" s="336">
        <v>8</v>
      </c>
      <c r="W40" s="337">
        <f t="shared" ref="W40:X40" si="617">IF(ISBLANK(Y40),,Y40-Y39)</f>
        <v>3</v>
      </c>
      <c r="X40" s="334">
        <f t="shared" si="617"/>
        <v>0</v>
      </c>
      <c r="Y40" s="335">
        <v>69</v>
      </c>
      <c r="Z40" s="340">
        <v>0</v>
      </c>
      <c r="AA40" s="316">
        <f t="shared" ref="AA40:AB40" si="618">IF(ISBLANK(AC40),,AC40-AC39)</f>
        <v>32</v>
      </c>
      <c r="AB40" s="334">
        <f t="shared" si="618"/>
        <v>2</v>
      </c>
      <c r="AC40" s="335">
        <v>432</v>
      </c>
      <c r="AD40" s="336">
        <v>7</v>
      </c>
      <c r="AE40" s="337">
        <f t="shared" ref="AE40:AF40" si="619">IF(ISBLANK(AG40),,AG40-AG39)</f>
        <v>34</v>
      </c>
      <c r="AF40" s="334">
        <f t="shared" si="619"/>
        <v>0</v>
      </c>
      <c r="AG40" s="335">
        <v>433</v>
      </c>
      <c r="AH40" s="339">
        <v>8</v>
      </c>
      <c r="AI40" s="316">
        <f t="shared" ref="AI40:AJ40" si="620">IF(ISBLANK(AK40),,AK40-AK39)</f>
        <v>110</v>
      </c>
      <c r="AJ40" s="334">
        <f t="shared" si="620"/>
        <v>5</v>
      </c>
      <c r="AK40" s="335">
        <v>1424</v>
      </c>
      <c r="AL40" s="336">
        <v>42</v>
      </c>
      <c r="AM40" s="337">
        <f t="shared" ref="AM40:AN40" si="621">IF(ISBLANK(AO40),,AO40-AO39)</f>
        <v>9</v>
      </c>
      <c r="AN40" s="334">
        <f t="shared" si="621"/>
        <v>1</v>
      </c>
      <c r="AO40" s="335">
        <v>125</v>
      </c>
      <c r="AP40" s="339">
        <v>6</v>
      </c>
      <c r="AQ40" s="316">
        <f t="shared" ref="AQ40:AR40" si="622">IF(ISBLANK(AS40),,AS40-AS39)</f>
        <v>14</v>
      </c>
      <c r="AR40" s="338">
        <f t="shared" si="622"/>
        <v>1</v>
      </c>
      <c r="AS40" s="335">
        <v>194</v>
      </c>
      <c r="AT40" s="336">
        <v>10</v>
      </c>
      <c r="AU40" s="337">
        <f t="shared" ref="AU40:AV40" si="623">IF(ISBLANK(AW40),,AW40-AW39)</f>
        <v>19</v>
      </c>
      <c r="AV40" s="334">
        <f t="shared" si="623"/>
        <v>0</v>
      </c>
      <c r="AW40" s="335">
        <v>168</v>
      </c>
      <c r="AX40" s="339">
        <v>1</v>
      </c>
      <c r="AY40" s="316">
        <f t="shared" ref="AY40:AZ40" si="624">IF(ISBLANK(BA40),,BA40-BA39)</f>
        <v>10</v>
      </c>
      <c r="AZ40" s="334">
        <f t="shared" si="624"/>
        <v>0</v>
      </c>
      <c r="BA40" s="335">
        <v>153</v>
      </c>
      <c r="BB40" s="336">
        <v>1</v>
      </c>
      <c r="BC40" s="337">
        <f t="shared" ref="BC40:BD40" si="625">IF(ISBLANK(BE40),,BE40-BE39)</f>
        <v>51</v>
      </c>
      <c r="BD40" s="334">
        <f t="shared" si="625"/>
        <v>2</v>
      </c>
      <c r="BE40" s="335">
        <v>695</v>
      </c>
      <c r="BF40" s="339">
        <v>38</v>
      </c>
      <c r="BG40" s="316">
        <f t="shared" ref="BG40:BH40" si="626">IF(ISBLANK(BI40),,BI40-BI39)</f>
        <v>2</v>
      </c>
      <c r="BH40" s="334">
        <f t="shared" si="626"/>
        <v>0</v>
      </c>
      <c r="BI40" s="335">
        <v>129</v>
      </c>
      <c r="BJ40" s="336">
        <v>2</v>
      </c>
      <c r="BK40" s="337">
        <f t="shared" ref="BK40:BL40" si="627">IF(ISBLANK(BM40),,BM40-BM39)</f>
        <v>3</v>
      </c>
      <c r="BL40" s="334">
        <f t="shared" si="627"/>
        <v>0</v>
      </c>
      <c r="BM40" s="335">
        <v>95</v>
      </c>
      <c r="BN40" s="339">
        <v>1</v>
      </c>
      <c r="BO40" s="316">
        <f t="shared" ref="BO40:BP40" si="628">IF(ISBLANK(BQ40),,BQ40-BQ39)</f>
        <v>37</v>
      </c>
      <c r="BP40" s="334">
        <f t="shared" si="628"/>
        <v>1</v>
      </c>
      <c r="BQ40" s="335">
        <v>431</v>
      </c>
      <c r="BR40" s="336">
        <v>24</v>
      </c>
      <c r="BS40" s="316">
        <f t="shared" ref="BS40:BT40" si="629">IF(ISBLANK(BU40),,BU40-BU39)</f>
        <v>9</v>
      </c>
      <c r="BT40" s="334">
        <f t="shared" si="629"/>
        <v>0</v>
      </c>
      <c r="BU40" s="335">
        <v>174</v>
      </c>
      <c r="BV40" s="336">
        <v>2</v>
      </c>
      <c r="BW40" s="233"/>
      <c r="BX40" s="233"/>
      <c r="BY40" s="233"/>
      <c r="BZ40" s="233"/>
      <c r="CA40" s="233"/>
      <c r="CB40" s="233"/>
      <c r="CC40" s="233"/>
      <c r="CD40" s="233"/>
      <c r="CE40" s="233"/>
    </row>
    <row r="41" spans="1:83" x14ac:dyDescent="0.25">
      <c r="A41" s="313">
        <v>43931</v>
      </c>
      <c r="B41" s="314">
        <v>38</v>
      </c>
      <c r="C41" s="315"/>
      <c r="D41" s="316">
        <v>380</v>
      </c>
      <c r="E41" s="317">
        <v>7</v>
      </c>
      <c r="F41" s="318">
        <v>318</v>
      </c>
      <c r="G41" s="319"/>
      <c r="H41" s="330">
        <f t="shared" ref="H41:I41" si="630">IF(ISBLANK(D41),,H40+D41)</f>
        <v>5955</v>
      </c>
      <c r="I41" s="331">
        <f t="shared" si="630"/>
        <v>181</v>
      </c>
      <c r="J41" s="332">
        <f t="shared" si="1"/>
        <v>34</v>
      </c>
      <c r="K41" s="333">
        <f t="shared" ref="K41:L41" si="631">IF(ISBLANK(M41),,M41-M40)</f>
        <v>69</v>
      </c>
      <c r="L41" s="334">
        <f t="shared" si="631"/>
        <v>2</v>
      </c>
      <c r="M41" s="335">
        <v>637</v>
      </c>
      <c r="N41" s="336">
        <v>20</v>
      </c>
      <c r="O41" s="337">
        <f t="shared" ref="O41:P41" si="632">IF(ISBLANK(Q41),,Q41-Q40)</f>
        <v>10</v>
      </c>
      <c r="P41" s="338">
        <f t="shared" si="632"/>
        <v>1</v>
      </c>
      <c r="Q41" s="335">
        <v>290</v>
      </c>
      <c r="R41" s="339">
        <v>7</v>
      </c>
      <c r="S41" s="316">
        <f t="shared" ref="S41:T41" si="633">IF(ISBLANK(U41),,U41-U40)</f>
        <v>17</v>
      </c>
      <c r="T41" s="334">
        <f t="shared" si="633"/>
        <v>1</v>
      </c>
      <c r="U41" s="335">
        <v>222</v>
      </c>
      <c r="V41" s="336">
        <v>9</v>
      </c>
      <c r="W41" s="337">
        <f t="shared" ref="W41:X41" si="634">IF(ISBLANK(Y41),,Y41-Y40)</f>
        <v>5</v>
      </c>
      <c r="X41" s="334">
        <f t="shared" si="634"/>
        <v>0</v>
      </c>
      <c r="Y41" s="335">
        <v>74</v>
      </c>
      <c r="Z41" s="340">
        <v>0</v>
      </c>
      <c r="AA41" s="316">
        <f t="shared" ref="AA41:AB41" si="635">IF(ISBLANK(AC41),,AC41-AC40)</f>
        <v>31</v>
      </c>
      <c r="AB41" s="334">
        <f t="shared" si="635"/>
        <v>0</v>
      </c>
      <c r="AC41" s="335">
        <v>463</v>
      </c>
      <c r="AD41" s="336">
        <v>7</v>
      </c>
      <c r="AE41" s="337">
        <f t="shared" ref="AE41:AF41" si="636">IF(ISBLANK(AG41),,AG41-AG40)</f>
        <v>20</v>
      </c>
      <c r="AF41" s="334">
        <f t="shared" si="636"/>
        <v>1</v>
      </c>
      <c r="AG41" s="335">
        <v>453</v>
      </c>
      <c r="AH41" s="339">
        <v>9</v>
      </c>
      <c r="AI41" s="316">
        <f t="shared" ref="AI41:AJ41" si="637">IF(ISBLANK(AK41),,AK41-AK40)</f>
        <v>77</v>
      </c>
      <c r="AJ41" s="334">
        <f t="shared" si="637"/>
        <v>0</v>
      </c>
      <c r="AK41" s="335">
        <v>1501</v>
      </c>
      <c r="AL41" s="336">
        <v>42</v>
      </c>
      <c r="AM41" s="337">
        <f t="shared" ref="AM41:AN41" si="638">IF(ISBLANK(AO41),,AO41-AO40)</f>
        <v>5</v>
      </c>
      <c r="AN41" s="334">
        <f t="shared" si="638"/>
        <v>0</v>
      </c>
      <c r="AO41" s="335">
        <v>130</v>
      </c>
      <c r="AP41" s="339">
        <v>6</v>
      </c>
      <c r="AQ41" s="316">
        <f t="shared" ref="AQ41:AR41" si="639">IF(ISBLANK(AS41),,AS41-AS40)</f>
        <v>15</v>
      </c>
      <c r="AR41" s="338">
        <f t="shared" si="639"/>
        <v>0</v>
      </c>
      <c r="AS41" s="335">
        <v>209</v>
      </c>
      <c r="AT41" s="336">
        <v>10</v>
      </c>
      <c r="AU41" s="337">
        <f t="shared" ref="AU41:AV41" si="640">IF(ISBLANK(AW41),,AW41-AW40)</f>
        <v>21</v>
      </c>
      <c r="AV41" s="334">
        <f t="shared" si="640"/>
        <v>0</v>
      </c>
      <c r="AW41" s="335">
        <v>189</v>
      </c>
      <c r="AX41" s="339">
        <v>1</v>
      </c>
      <c r="AY41" s="316">
        <f t="shared" ref="AY41:AZ41" si="641">IF(ISBLANK(BA41),,BA41-BA40)</f>
        <v>4</v>
      </c>
      <c r="AZ41" s="334">
        <f t="shared" si="641"/>
        <v>0</v>
      </c>
      <c r="BA41" s="335">
        <v>157</v>
      </c>
      <c r="BB41" s="336">
        <v>1</v>
      </c>
      <c r="BC41" s="337">
        <f t="shared" ref="BC41:BD41" si="642">IF(ISBLANK(BE41),,BE41-BE40)</f>
        <v>34</v>
      </c>
      <c r="BD41" s="334">
        <f t="shared" si="642"/>
        <v>0</v>
      </c>
      <c r="BE41" s="335">
        <v>729</v>
      </c>
      <c r="BF41" s="339">
        <v>38</v>
      </c>
      <c r="BG41" s="316">
        <f t="shared" ref="BG41:BH41" si="643">IF(ISBLANK(BI41),,BI41-BI40)</f>
        <v>1</v>
      </c>
      <c r="BH41" s="334">
        <f t="shared" si="643"/>
        <v>0</v>
      </c>
      <c r="BI41" s="335">
        <v>130</v>
      </c>
      <c r="BJ41" s="336">
        <v>2</v>
      </c>
      <c r="BK41" s="337">
        <f t="shared" ref="BK41:BL41" si="644">IF(ISBLANK(BM41),,BM41-BM40)</f>
        <v>15</v>
      </c>
      <c r="BL41" s="334">
        <f t="shared" si="644"/>
        <v>0</v>
      </c>
      <c r="BM41" s="335">
        <v>110</v>
      </c>
      <c r="BN41" s="339">
        <v>1</v>
      </c>
      <c r="BO41" s="316">
        <f t="shared" ref="BO41:BP41" si="645">IF(ISBLANK(BQ41),,BQ41-BQ40)</f>
        <v>46</v>
      </c>
      <c r="BP41" s="334">
        <f t="shared" si="645"/>
        <v>2</v>
      </c>
      <c r="BQ41" s="335">
        <v>477</v>
      </c>
      <c r="BR41" s="336">
        <v>26</v>
      </c>
      <c r="BS41" s="316">
        <f t="shared" ref="BS41:BT41" si="646">IF(ISBLANK(BU41),,BU41-BU40)</f>
        <v>10</v>
      </c>
      <c r="BT41" s="334">
        <f t="shared" si="646"/>
        <v>0</v>
      </c>
      <c r="BU41" s="335">
        <v>184</v>
      </c>
      <c r="BV41" s="336">
        <v>2</v>
      </c>
      <c r="BW41" s="233"/>
      <c r="BX41" s="233"/>
      <c r="BY41" s="233"/>
      <c r="BZ41" s="233"/>
      <c r="CA41" s="233"/>
      <c r="CB41" s="233"/>
      <c r="CC41" s="233"/>
      <c r="CD41" s="233"/>
      <c r="CE41" s="233"/>
    </row>
    <row r="42" spans="1:83" x14ac:dyDescent="0.25">
      <c r="A42" s="313">
        <v>43932</v>
      </c>
      <c r="B42" s="314">
        <v>39</v>
      </c>
      <c r="C42" s="315"/>
      <c r="D42" s="316">
        <v>401</v>
      </c>
      <c r="E42" s="317">
        <v>27</v>
      </c>
      <c r="F42" s="318">
        <v>375</v>
      </c>
      <c r="G42" s="319"/>
      <c r="H42" s="330">
        <f t="shared" ref="H42:I42" si="647">IF(ISBLANK(D42),,H41+D42)</f>
        <v>6356</v>
      </c>
      <c r="I42" s="331">
        <f t="shared" si="647"/>
        <v>208</v>
      </c>
      <c r="J42" s="332">
        <f t="shared" si="1"/>
        <v>57</v>
      </c>
      <c r="K42" s="333">
        <f t="shared" ref="K42:L42" si="648">IF(ISBLANK(M42),,M42-M41)</f>
        <v>23</v>
      </c>
      <c r="L42" s="334">
        <f t="shared" si="648"/>
        <v>2</v>
      </c>
      <c r="M42" s="335">
        <v>660</v>
      </c>
      <c r="N42" s="336">
        <v>22</v>
      </c>
      <c r="O42" s="337">
        <f t="shared" ref="O42:P42" si="649">IF(ISBLANK(Q42),,Q42-Q41)</f>
        <v>23</v>
      </c>
      <c r="P42" s="338">
        <f t="shared" si="649"/>
        <v>0</v>
      </c>
      <c r="Q42" s="335">
        <v>313</v>
      </c>
      <c r="R42" s="339">
        <v>7</v>
      </c>
      <c r="S42" s="316">
        <f t="shared" ref="S42:T42" si="650">IF(ISBLANK(U42),,U42-U41)</f>
        <v>3</v>
      </c>
      <c r="T42" s="334">
        <f t="shared" si="650"/>
        <v>1</v>
      </c>
      <c r="U42" s="335">
        <v>225</v>
      </c>
      <c r="V42" s="336">
        <v>10</v>
      </c>
      <c r="W42" s="337">
        <f t="shared" ref="W42:X42" si="651">IF(ISBLANK(Y42),,Y42-Y41)</f>
        <v>2</v>
      </c>
      <c r="X42" s="334">
        <f t="shared" si="651"/>
        <v>0</v>
      </c>
      <c r="Y42" s="335">
        <v>76</v>
      </c>
      <c r="Z42" s="340">
        <v>0</v>
      </c>
      <c r="AA42" s="316">
        <f t="shared" ref="AA42:AB42" si="652">IF(ISBLANK(AC42),,AC42-AC41)</f>
        <v>29</v>
      </c>
      <c r="AB42" s="334">
        <f t="shared" si="652"/>
        <v>0</v>
      </c>
      <c r="AC42" s="335">
        <v>492</v>
      </c>
      <c r="AD42" s="336">
        <v>7</v>
      </c>
      <c r="AE42" s="337">
        <f t="shared" ref="AE42:AF42" si="653">IF(ISBLANK(AG42),,AG42-AG41)</f>
        <v>33</v>
      </c>
      <c r="AF42" s="334">
        <f t="shared" si="653"/>
        <v>1</v>
      </c>
      <c r="AG42" s="335">
        <v>486</v>
      </c>
      <c r="AH42" s="339">
        <v>10</v>
      </c>
      <c r="AI42" s="316">
        <f t="shared" ref="AI42:AJ42" si="654">IF(ISBLANK(AK42),,AK42-AK41)</f>
        <v>128</v>
      </c>
      <c r="AJ42" s="334">
        <f t="shared" si="654"/>
        <v>12</v>
      </c>
      <c r="AK42" s="335">
        <v>1629</v>
      </c>
      <c r="AL42" s="336">
        <v>54</v>
      </c>
      <c r="AM42" s="337">
        <f t="shared" ref="AM42:AN42" si="655">IF(ISBLANK(AO42),,AO42-AO41)</f>
        <v>13</v>
      </c>
      <c r="AN42" s="334">
        <f t="shared" si="655"/>
        <v>0</v>
      </c>
      <c r="AO42" s="335">
        <v>143</v>
      </c>
      <c r="AP42" s="339">
        <v>6</v>
      </c>
      <c r="AQ42" s="316">
        <f t="shared" ref="AQ42:AR42" si="656">IF(ISBLANK(AS42),,AS42-AS41)</f>
        <v>11</v>
      </c>
      <c r="AR42" s="338">
        <f t="shared" si="656"/>
        <v>1</v>
      </c>
      <c r="AS42" s="335">
        <v>220</v>
      </c>
      <c r="AT42" s="336">
        <v>11</v>
      </c>
      <c r="AU42" s="337">
        <f t="shared" ref="AU42:AV42" si="657">IF(ISBLANK(AW42),,AW42-AW41)</f>
        <v>6</v>
      </c>
      <c r="AV42" s="334">
        <f t="shared" si="657"/>
        <v>0</v>
      </c>
      <c r="AW42" s="335">
        <v>195</v>
      </c>
      <c r="AX42" s="339">
        <v>1</v>
      </c>
      <c r="AY42" s="316">
        <f t="shared" ref="AY42:AZ42" si="658">IF(ISBLANK(BA42),,BA42-BA41)</f>
        <v>6</v>
      </c>
      <c r="AZ42" s="334">
        <f t="shared" si="658"/>
        <v>0</v>
      </c>
      <c r="BA42" s="335">
        <v>163</v>
      </c>
      <c r="BB42" s="336">
        <v>1</v>
      </c>
      <c r="BC42" s="337">
        <f t="shared" ref="BC42:BD42" si="659">IF(ISBLANK(BE42),,BE42-BE41)</f>
        <v>52</v>
      </c>
      <c r="BD42" s="334">
        <f t="shared" si="659"/>
        <v>5</v>
      </c>
      <c r="BE42" s="335">
        <v>781</v>
      </c>
      <c r="BF42" s="339">
        <v>43</v>
      </c>
      <c r="BG42" s="316">
        <f t="shared" ref="BG42:BH42" si="660">IF(ISBLANK(BI42),,BI42-BI41)</f>
        <v>6</v>
      </c>
      <c r="BH42" s="334">
        <f t="shared" si="660"/>
        <v>0</v>
      </c>
      <c r="BI42" s="335">
        <v>136</v>
      </c>
      <c r="BJ42" s="336">
        <v>2</v>
      </c>
      <c r="BK42" s="337">
        <f t="shared" ref="BK42:BL42" si="661">IF(ISBLANK(BM42),,BM42-BM41)</f>
        <v>1</v>
      </c>
      <c r="BL42" s="334">
        <f t="shared" si="661"/>
        <v>0</v>
      </c>
      <c r="BM42" s="335">
        <v>111</v>
      </c>
      <c r="BN42" s="339">
        <v>1</v>
      </c>
      <c r="BO42" s="316">
        <f t="shared" ref="BO42:BP42" si="662">IF(ISBLANK(BQ42),,BQ42-BQ41)</f>
        <v>58</v>
      </c>
      <c r="BP42" s="334">
        <f t="shared" si="662"/>
        <v>5</v>
      </c>
      <c r="BQ42" s="335">
        <v>535</v>
      </c>
      <c r="BR42" s="336">
        <v>31</v>
      </c>
      <c r="BS42" s="316">
        <f t="shared" ref="BS42:BT42" si="663">IF(ISBLANK(BU42),,BU42-BU41)</f>
        <v>7</v>
      </c>
      <c r="BT42" s="334">
        <f t="shared" si="663"/>
        <v>0</v>
      </c>
      <c r="BU42" s="335">
        <v>191</v>
      </c>
      <c r="BV42" s="336">
        <v>2</v>
      </c>
      <c r="BW42" s="233"/>
      <c r="BX42" s="233"/>
      <c r="BY42" s="233"/>
      <c r="BZ42" s="233"/>
      <c r="CA42" s="233"/>
      <c r="CB42" s="233"/>
      <c r="CC42" s="233"/>
      <c r="CD42" s="233"/>
      <c r="CE42" s="233"/>
    </row>
    <row r="43" spans="1:83" x14ac:dyDescent="0.25">
      <c r="A43" s="313">
        <v>43933</v>
      </c>
      <c r="B43" s="314">
        <v>40</v>
      </c>
      <c r="C43" s="315"/>
      <c r="D43" s="316">
        <v>318</v>
      </c>
      <c r="E43" s="317">
        <v>24</v>
      </c>
      <c r="F43" s="318">
        <v>439</v>
      </c>
      <c r="G43" s="319"/>
      <c r="H43" s="330">
        <f t="shared" ref="H43:I43" si="664">IF(ISBLANK(D43),,H42+D43)</f>
        <v>6674</v>
      </c>
      <c r="I43" s="331">
        <f t="shared" si="664"/>
        <v>232</v>
      </c>
      <c r="J43" s="332">
        <f t="shared" si="1"/>
        <v>64</v>
      </c>
      <c r="K43" s="333">
        <f t="shared" ref="K43:L43" si="665">IF(ISBLANK(M43),,M43-M42)</f>
        <v>37</v>
      </c>
      <c r="L43" s="334">
        <f t="shared" si="665"/>
        <v>1</v>
      </c>
      <c r="M43" s="335">
        <v>697</v>
      </c>
      <c r="N43" s="336">
        <v>23</v>
      </c>
      <c r="O43" s="337">
        <f t="shared" ref="O43:P43" si="666">IF(ISBLANK(Q43),,Q43-Q42)</f>
        <v>23</v>
      </c>
      <c r="P43" s="338">
        <f t="shared" si="666"/>
        <v>0</v>
      </c>
      <c r="Q43" s="335">
        <v>336</v>
      </c>
      <c r="R43" s="339">
        <v>7</v>
      </c>
      <c r="S43" s="316">
        <f t="shared" ref="S43:T43" si="667">IF(ISBLANK(U43),,U43-U42)</f>
        <v>9</v>
      </c>
      <c r="T43" s="334">
        <f t="shared" si="667"/>
        <v>0</v>
      </c>
      <c r="U43" s="335">
        <v>234</v>
      </c>
      <c r="V43" s="336">
        <v>10</v>
      </c>
      <c r="W43" s="337">
        <f t="shared" ref="W43:X43" si="668">IF(ISBLANK(Y43),,Y43-Y42)</f>
        <v>2</v>
      </c>
      <c r="X43" s="334">
        <f t="shared" si="668"/>
        <v>0</v>
      </c>
      <c r="Y43" s="335">
        <v>78</v>
      </c>
      <c r="Z43" s="340">
        <v>0</v>
      </c>
      <c r="AA43" s="316">
        <f t="shared" ref="AA43:AB43" si="669">IF(ISBLANK(AC43),,AC43-AC42)</f>
        <v>37</v>
      </c>
      <c r="AB43" s="334">
        <f t="shared" si="669"/>
        <v>0</v>
      </c>
      <c r="AC43" s="335">
        <v>529</v>
      </c>
      <c r="AD43" s="336">
        <v>7</v>
      </c>
      <c r="AE43" s="337">
        <f t="shared" ref="AE43:AF43" si="670">IF(ISBLANK(AG43),,AG43-AG42)</f>
        <v>19</v>
      </c>
      <c r="AF43" s="334">
        <f t="shared" si="670"/>
        <v>1</v>
      </c>
      <c r="AG43" s="335">
        <v>505</v>
      </c>
      <c r="AH43" s="339">
        <v>11</v>
      </c>
      <c r="AI43" s="316">
        <f t="shared" ref="AI43:AJ43" si="671">IF(ISBLANK(AK43),,AK43-AK42)</f>
        <v>35</v>
      </c>
      <c r="AJ43" s="334">
        <f t="shared" si="671"/>
        <v>16</v>
      </c>
      <c r="AK43" s="335">
        <v>1664</v>
      </c>
      <c r="AL43" s="336">
        <v>70</v>
      </c>
      <c r="AM43" s="337">
        <f t="shared" ref="AM43:AN43" si="672">IF(ISBLANK(AO43),,AO43-AO42)</f>
        <v>8</v>
      </c>
      <c r="AN43" s="334">
        <f t="shared" si="672"/>
        <v>1</v>
      </c>
      <c r="AO43" s="335">
        <v>151</v>
      </c>
      <c r="AP43" s="339">
        <v>7</v>
      </c>
      <c r="AQ43" s="316">
        <f t="shared" ref="AQ43:AR43" si="673">IF(ISBLANK(AS43),,AS43-AS42)</f>
        <v>1</v>
      </c>
      <c r="AR43" s="338">
        <f t="shared" si="673"/>
        <v>0</v>
      </c>
      <c r="AS43" s="335">
        <v>221</v>
      </c>
      <c r="AT43" s="336">
        <v>11</v>
      </c>
      <c r="AU43" s="337">
        <f t="shared" ref="AU43:AV43" si="674">IF(ISBLANK(AW43),,AW43-AW42)</f>
        <v>27</v>
      </c>
      <c r="AV43" s="334">
        <f t="shared" si="674"/>
        <v>0</v>
      </c>
      <c r="AW43" s="335">
        <v>222</v>
      </c>
      <c r="AX43" s="339">
        <v>1</v>
      </c>
      <c r="AY43" s="316">
        <f t="shared" ref="AY43:AZ43" si="675">IF(ISBLANK(BA43),,BA43-BA42)</f>
        <v>8</v>
      </c>
      <c r="AZ43" s="334">
        <f t="shared" si="675"/>
        <v>0</v>
      </c>
      <c r="BA43" s="335">
        <v>171</v>
      </c>
      <c r="BB43" s="336">
        <v>1</v>
      </c>
      <c r="BC43" s="337">
        <f t="shared" ref="BC43:BD43" si="676">IF(ISBLANK(BE43),,BE43-BE42)</f>
        <v>65</v>
      </c>
      <c r="BD43" s="334">
        <f t="shared" si="676"/>
        <v>1</v>
      </c>
      <c r="BE43" s="335">
        <v>846</v>
      </c>
      <c r="BF43" s="339">
        <v>44</v>
      </c>
      <c r="BG43" s="316">
        <f t="shared" ref="BG43:BH43" si="677">IF(ISBLANK(BI43),,BI43-BI42)</f>
        <v>5</v>
      </c>
      <c r="BH43" s="334">
        <f t="shared" si="677"/>
        <v>0</v>
      </c>
      <c r="BI43" s="335">
        <v>141</v>
      </c>
      <c r="BJ43" s="336">
        <v>2</v>
      </c>
      <c r="BK43" s="337">
        <f t="shared" ref="BK43:BL43" si="678">IF(ISBLANK(BM43),,BM43-BM42)</f>
        <v>11</v>
      </c>
      <c r="BL43" s="334">
        <f t="shared" si="678"/>
        <v>0</v>
      </c>
      <c r="BM43" s="335">
        <v>122</v>
      </c>
      <c r="BN43" s="339">
        <v>1</v>
      </c>
      <c r="BO43" s="316">
        <f t="shared" ref="BO43:BP43" si="679">IF(ISBLANK(BQ43),,BQ43-BQ42)</f>
        <v>29</v>
      </c>
      <c r="BP43" s="334">
        <f t="shared" si="679"/>
        <v>4</v>
      </c>
      <c r="BQ43" s="335">
        <v>564</v>
      </c>
      <c r="BR43" s="336">
        <v>35</v>
      </c>
      <c r="BS43" s="316">
        <f t="shared" ref="BS43:BT43" si="680">IF(ISBLANK(BU43),,BU43-BU42)</f>
        <v>2</v>
      </c>
      <c r="BT43" s="334">
        <f t="shared" si="680"/>
        <v>0</v>
      </c>
      <c r="BU43" s="335">
        <v>193</v>
      </c>
      <c r="BV43" s="336">
        <v>2</v>
      </c>
      <c r="BW43" s="233"/>
      <c r="BX43" s="233"/>
      <c r="BY43" s="233"/>
      <c r="BZ43" s="233"/>
      <c r="CA43" s="233"/>
      <c r="CB43" s="233"/>
      <c r="CC43" s="233"/>
      <c r="CD43" s="233"/>
      <c r="CE43" s="233"/>
    </row>
    <row r="44" spans="1:83" x14ac:dyDescent="0.25">
      <c r="A44" s="313">
        <v>43934</v>
      </c>
      <c r="B44" s="314">
        <v>41</v>
      </c>
      <c r="C44" s="315"/>
      <c r="D44" s="316">
        <v>258</v>
      </c>
      <c r="E44" s="317">
        <v>13</v>
      </c>
      <c r="F44" s="318">
        <v>487</v>
      </c>
      <c r="G44" s="319"/>
      <c r="H44" s="330">
        <f t="shared" ref="H44:I44" si="681">IF(ISBLANK(D44),,H43+D44)</f>
        <v>6932</v>
      </c>
      <c r="I44" s="331">
        <f t="shared" si="681"/>
        <v>245</v>
      </c>
      <c r="J44" s="332">
        <f t="shared" si="1"/>
        <v>48</v>
      </c>
      <c r="K44" s="333">
        <f t="shared" ref="K44:L44" si="682">IF(ISBLANK(M44),,M44-M43)</f>
        <v>12</v>
      </c>
      <c r="L44" s="334">
        <f t="shared" si="682"/>
        <v>1</v>
      </c>
      <c r="M44" s="335">
        <v>709</v>
      </c>
      <c r="N44" s="336">
        <v>24</v>
      </c>
      <c r="O44" s="337">
        <f t="shared" ref="O44:P44" si="683">IF(ISBLANK(Q44),,Q44-Q43)</f>
        <v>9</v>
      </c>
      <c r="P44" s="338">
        <f t="shared" si="683"/>
        <v>0</v>
      </c>
      <c r="Q44" s="335">
        <v>345</v>
      </c>
      <c r="R44" s="339">
        <v>7</v>
      </c>
      <c r="S44" s="316">
        <f t="shared" ref="S44:T44" si="684">IF(ISBLANK(U44),,U44-U43)</f>
        <v>6</v>
      </c>
      <c r="T44" s="334">
        <f t="shared" si="684"/>
        <v>0</v>
      </c>
      <c r="U44" s="335">
        <v>240</v>
      </c>
      <c r="V44" s="336">
        <v>10</v>
      </c>
      <c r="W44" s="337">
        <f t="shared" ref="W44:X44" si="685">IF(ISBLANK(Y44),,Y44-Y43)</f>
        <v>0</v>
      </c>
      <c r="X44" s="334">
        <f t="shared" si="685"/>
        <v>0</v>
      </c>
      <c r="Y44" s="335">
        <v>78</v>
      </c>
      <c r="Z44" s="340">
        <v>0</v>
      </c>
      <c r="AA44" s="316">
        <f t="shared" ref="AA44:AB44" si="686">IF(ISBLANK(AC44),,AC44-AC43)</f>
        <v>22</v>
      </c>
      <c r="AB44" s="334">
        <f t="shared" si="686"/>
        <v>0</v>
      </c>
      <c r="AC44" s="335">
        <v>551</v>
      </c>
      <c r="AD44" s="336">
        <v>7</v>
      </c>
      <c r="AE44" s="337">
        <f t="shared" ref="AE44:AF44" si="687">IF(ISBLANK(AG44),,AG44-AG43)</f>
        <v>13</v>
      </c>
      <c r="AF44" s="334">
        <f t="shared" si="687"/>
        <v>1</v>
      </c>
      <c r="AG44" s="335">
        <v>518</v>
      </c>
      <c r="AH44" s="339">
        <v>12</v>
      </c>
      <c r="AI44" s="316">
        <f t="shared" ref="AI44:AJ44" si="688">IF(ISBLANK(AK44),,AK44-AK43)</f>
        <v>24</v>
      </c>
      <c r="AJ44" s="334">
        <f t="shared" si="688"/>
        <v>1</v>
      </c>
      <c r="AK44" s="335">
        <v>1688</v>
      </c>
      <c r="AL44" s="336">
        <v>71</v>
      </c>
      <c r="AM44" s="337">
        <f t="shared" ref="AM44:AN44" si="689">IF(ISBLANK(AO44),,AO44-AO43)</f>
        <v>20</v>
      </c>
      <c r="AN44" s="334">
        <f t="shared" si="689"/>
        <v>0</v>
      </c>
      <c r="AO44" s="335">
        <v>171</v>
      </c>
      <c r="AP44" s="339">
        <v>7</v>
      </c>
      <c r="AQ44" s="316">
        <f t="shared" ref="AQ44:AR44" si="690">IF(ISBLANK(AS44),,AS44-AS43)</f>
        <v>4</v>
      </c>
      <c r="AR44" s="338">
        <f t="shared" si="690"/>
        <v>2</v>
      </c>
      <c r="AS44" s="335">
        <v>225</v>
      </c>
      <c r="AT44" s="336">
        <v>13</v>
      </c>
      <c r="AU44" s="337">
        <f t="shared" ref="AU44:AV44" si="691">IF(ISBLANK(AW44),,AW44-AW43)</f>
        <v>16</v>
      </c>
      <c r="AV44" s="334">
        <f t="shared" si="691"/>
        <v>0</v>
      </c>
      <c r="AW44" s="335">
        <v>238</v>
      </c>
      <c r="AX44" s="339">
        <v>1</v>
      </c>
      <c r="AY44" s="316">
        <f t="shared" ref="AY44:AZ44" si="692">IF(ISBLANK(BA44),,BA44-BA43)</f>
        <v>4</v>
      </c>
      <c r="AZ44" s="334">
        <f t="shared" si="692"/>
        <v>0</v>
      </c>
      <c r="BA44" s="335">
        <v>175</v>
      </c>
      <c r="BB44" s="336">
        <v>1</v>
      </c>
      <c r="BC44" s="337">
        <f t="shared" ref="BC44:BD44" si="693">IF(ISBLANK(BE44),,BE44-BE43)</f>
        <v>33</v>
      </c>
      <c r="BD44" s="334">
        <f t="shared" si="693"/>
        <v>3</v>
      </c>
      <c r="BE44" s="335">
        <v>879</v>
      </c>
      <c r="BF44" s="339">
        <v>47</v>
      </c>
      <c r="BG44" s="316">
        <f t="shared" ref="BG44:BH44" si="694">IF(ISBLANK(BI44),,BI44-BI43)</f>
        <v>0</v>
      </c>
      <c r="BH44" s="334">
        <f t="shared" si="694"/>
        <v>0</v>
      </c>
      <c r="BI44" s="335">
        <v>141</v>
      </c>
      <c r="BJ44" s="336">
        <v>2</v>
      </c>
      <c r="BK44" s="337">
        <f t="shared" ref="BK44:BL44" si="695">IF(ISBLANK(BM44),,BM44-BM43)</f>
        <v>0</v>
      </c>
      <c r="BL44" s="334">
        <f t="shared" si="695"/>
        <v>0</v>
      </c>
      <c r="BM44" s="335">
        <v>122</v>
      </c>
      <c r="BN44" s="339">
        <v>1</v>
      </c>
      <c r="BO44" s="316">
        <f t="shared" ref="BO44:BP44" si="696">IF(ISBLANK(BQ44),,BQ44-BQ43)</f>
        <v>85</v>
      </c>
      <c r="BP44" s="334">
        <f t="shared" si="696"/>
        <v>5</v>
      </c>
      <c r="BQ44" s="335">
        <v>649</v>
      </c>
      <c r="BR44" s="336">
        <v>40</v>
      </c>
      <c r="BS44" s="316">
        <f t="shared" ref="BS44:BT44" si="697">IF(ISBLANK(BU44),,BU44-BU43)</f>
        <v>10</v>
      </c>
      <c r="BT44" s="334">
        <f t="shared" si="697"/>
        <v>0</v>
      </c>
      <c r="BU44" s="335">
        <v>203</v>
      </c>
      <c r="BV44" s="336">
        <v>2</v>
      </c>
      <c r="BW44" s="233"/>
      <c r="BX44" s="233"/>
      <c r="BY44" s="233"/>
      <c r="BZ44" s="233"/>
      <c r="CA44" s="233"/>
      <c r="CB44" s="233"/>
      <c r="CC44" s="233"/>
      <c r="CD44" s="233"/>
      <c r="CE44" s="233"/>
    </row>
    <row r="45" spans="1:83" x14ac:dyDescent="0.25">
      <c r="A45" s="313">
        <v>43935</v>
      </c>
      <c r="B45" s="314">
        <v>42</v>
      </c>
      <c r="C45" s="315"/>
      <c r="D45" s="316">
        <v>270</v>
      </c>
      <c r="E45" s="317">
        <v>18</v>
      </c>
      <c r="F45" s="318">
        <v>618</v>
      </c>
      <c r="G45" s="319"/>
      <c r="H45" s="330">
        <f t="shared" ref="H45:I45" si="698">IF(ISBLANK(D45),,H44+D45)</f>
        <v>7202</v>
      </c>
      <c r="I45" s="331">
        <f t="shared" si="698"/>
        <v>263</v>
      </c>
      <c r="J45" s="332">
        <f t="shared" si="1"/>
        <v>131</v>
      </c>
      <c r="K45" s="333">
        <f t="shared" ref="K45:L45" si="699">IF(ISBLANK(M45),,M45-M44)</f>
        <v>14</v>
      </c>
      <c r="L45" s="334">
        <f t="shared" si="699"/>
        <v>1</v>
      </c>
      <c r="M45" s="335">
        <v>723</v>
      </c>
      <c r="N45" s="336">
        <v>25</v>
      </c>
      <c r="O45" s="337">
        <f t="shared" ref="O45:P45" si="700">IF(ISBLANK(Q45),,Q45-Q44)</f>
        <v>7</v>
      </c>
      <c r="P45" s="338">
        <f t="shared" si="700"/>
        <v>2</v>
      </c>
      <c r="Q45" s="335">
        <v>352</v>
      </c>
      <c r="R45" s="339">
        <v>9</v>
      </c>
      <c r="S45" s="316">
        <f t="shared" ref="S45:T45" si="701">IF(ISBLANK(U45),,U45-U44)</f>
        <v>5</v>
      </c>
      <c r="T45" s="334">
        <f t="shared" si="701"/>
        <v>0</v>
      </c>
      <c r="U45" s="335">
        <v>245</v>
      </c>
      <c r="V45" s="336">
        <v>10</v>
      </c>
      <c r="W45" s="337">
        <f t="shared" ref="W45:X45" si="702">IF(ISBLANK(Y45),,Y45-Y44)</f>
        <v>1</v>
      </c>
      <c r="X45" s="334">
        <f t="shared" si="702"/>
        <v>0</v>
      </c>
      <c r="Y45" s="335">
        <v>79</v>
      </c>
      <c r="Z45" s="340">
        <v>0</v>
      </c>
      <c r="AA45" s="316">
        <f t="shared" ref="AA45:AB45" si="703">IF(ISBLANK(AC45),,AC45-AC44)</f>
        <v>16</v>
      </c>
      <c r="AB45" s="334">
        <f t="shared" si="703"/>
        <v>1</v>
      </c>
      <c r="AC45" s="335">
        <v>567</v>
      </c>
      <c r="AD45" s="336">
        <v>8</v>
      </c>
      <c r="AE45" s="337">
        <f t="shared" ref="AE45:AF45" si="704">IF(ISBLANK(AG45),,AG45-AG44)</f>
        <v>19</v>
      </c>
      <c r="AF45" s="334">
        <f t="shared" si="704"/>
        <v>1</v>
      </c>
      <c r="AG45" s="335">
        <v>537</v>
      </c>
      <c r="AH45" s="339">
        <v>13</v>
      </c>
      <c r="AI45" s="316">
        <f t="shared" ref="AI45:AJ45" si="705">IF(ISBLANK(AK45),,AK45-AK44)</f>
        <v>27</v>
      </c>
      <c r="AJ45" s="334">
        <f t="shared" si="705"/>
        <v>5</v>
      </c>
      <c r="AK45" s="335">
        <v>1715</v>
      </c>
      <c r="AL45" s="336">
        <v>76</v>
      </c>
      <c r="AM45" s="337">
        <f t="shared" ref="AM45:AN45" si="706">IF(ISBLANK(AO45),,AO45-AO44)</f>
        <v>35</v>
      </c>
      <c r="AN45" s="334">
        <f t="shared" si="706"/>
        <v>0</v>
      </c>
      <c r="AO45" s="335">
        <v>206</v>
      </c>
      <c r="AP45" s="339">
        <v>7</v>
      </c>
      <c r="AQ45" s="316">
        <f t="shared" ref="AQ45:AR45" si="707">IF(ISBLANK(AS45),,AS45-AS44)</f>
        <v>9</v>
      </c>
      <c r="AR45" s="338">
        <f t="shared" si="707"/>
        <v>0</v>
      </c>
      <c r="AS45" s="335">
        <v>234</v>
      </c>
      <c r="AT45" s="336">
        <v>13</v>
      </c>
      <c r="AU45" s="337">
        <f t="shared" ref="AU45:AV45" si="708">IF(ISBLANK(AW45),,AW45-AW44)</f>
        <v>18</v>
      </c>
      <c r="AV45" s="334">
        <f t="shared" si="708"/>
        <v>0</v>
      </c>
      <c r="AW45" s="335">
        <v>256</v>
      </c>
      <c r="AX45" s="339">
        <v>1</v>
      </c>
      <c r="AY45" s="316">
        <f t="shared" ref="AY45:AZ45" si="709">IF(ISBLANK(BA45),,BA45-BA44)</f>
        <v>0</v>
      </c>
      <c r="AZ45" s="334">
        <f t="shared" si="709"/>
        <v>0</v>
      </c>
      <c r="BA45" s="335">
        <v>175</v>
      </c>
      <c r="BB45" s="336">
        <v>1</v>
      </c>
      <c r="BC45" s="337">
        <f t="shared" ref="BC45:BD45" si="710">IF(ISBLANK(BE45),,BE45-BE44)</f>
        <v>64</v>
      </c>
      <c r="BD45" s="334">
        <f t="shared" si="710"/>
        <v>5</v>
      </c>
      <c r="BE45" s="335">
        <v>943</v>
      </c>
      <c r="BF45" s="339">
        <v>52</v>
      </c>
      <c r="BG45" s="316">
        <f t="shared" ref="BG45:BH45" si="711">IF(ISBLANK(BI45),,BI45-BI44)</f>
        <v>13</v>
      </c>
      <c r="BH45" s="334">
        <f t="shared" si="711"/>
        <v>0</v>
      </c>
      <c r="BI45" s="335">
        <v>154</v>
      </c>
      <c r="BJ45" s="336">
        <v>2</v>
      </c>
      <c r="BK45" s="337">
        <f t="shared" ref="BK45:BL45" si="712">IF(ISBLANK(BM45),,BM45-BM44)</f>
        <v>0</v>
      </c>
      <c r="BL45" s="334">
        <f t="shared" si="712"/>
        <v>0</v>
      </c>
      <c r="BM45" s="335">
        <v>122</v>
      </c>
      <c r="BN45" s="339">
        <v>1</v>
      </c>
      <c r="BO45" s="316">
        <f t="shared" ref="BO45:BP45" si="713">IF(ISBLANK(BQ45),,BQ45-BQ44)</f>
        <v>34</v>
      </c>
      <c r="BP45" s="334">
        <f t="shared" si="713"/>
        <v>3</v>
      </c>
      <c r="BQ45" s="335">
        <v>683</v>
      </c>
      <c r="BR45" s="336">
        <v>43</v>
      </c>
      <c r="BS45" s="316">
        <f t="shared" ref="BS45:BT45" si="714">IF(ISBLANK(BU45),,BU45-BU44)</f>
        <v>8</v>
      </c>
      <c r="BT45" s="334">
        <f t="shared" si="714"/>
        <v>0</v>
      </c>
      <c r="BU45" s="335">
        <v>211</v>
      </c>
      <c r="BV45" s="336">
        <v>2</v>
      </c>
      <c r="BW45" s="233"/>
      <c r="BX45" s="233"/>
      <c r="BY45" s="233"/>
      <c r="BZ45" s="233"/>
      <c r="CA45" s="233"/>
      <c r="CB45" s="233"/>
      <c r="CC45" s="233"/>
      <c r="CD45" s="233"/>
      <c r="CE45" s="233"/>
    </row>
    <row r="46" spans="1:83" x14ac:dyDescent="0.25">
      <c r="A46" s="313">
        <v>43936</v>
      </c>
      <c r="B46" s="314">
        <v>43</v>
      </c>
      <c r="C46" s="315"/>
      <c r="D46" s="316">
        <v>380</v>
      </c>
      <c r="E46" s="317">
        <v>23</v>
      </c>
      <c r="F46" s="318">
        <v>668</v>
      </c>
      <c r="G46" s="319"/>
      <c r="H46" s="330">
        <f t="shared" ref="H46:I46" si="715">IF(ISBLANK(D46),,H45+D46)</f>
        <v>7582</v>
      </c>
      <c r="I46" s="331">
        <f t="shared" si="715"/>
        <v>286</v>
      </c>
      <c r="J46" s="332">
        <f t="shared" si="1"/>
        <v>50</v>
      </c>
      <c r="K46" s="333">
        <f t="shared" ref="K46:L46" si="716">IF(ISBLANK(M46),,M46-M45)</f>
        <v>41</v>
      </c>
      <c r="L46" s="334">
        <f t="shared" si="716"/>
        <v>0</v>
      </c>
      <c r="M46" s="335">
        <v>764</v>
      </c>
      <c r="N46" s="336">
        <v>25</v>
      </c>
      <c r="O46" s="337">
        <f t="shared" ref="O46:P46" si="717">IF(ISBLANK(Q46),,Q46-Q45)</f>
        <v>7</v>
      </c>
      <c r="P46" s="338">
        <f t="shared" si="717"/>
        <v>3</v>
      </c>
      <c r="Q46" s="335">
        <v>359</v>
      </c>
      <c r="R46" s="339">
        <v>12</v>
      </c>
      <c r="S46" s="316">
        <f t="shared" ref="S46:T46" si="718">IF(ISBLANK(U46),,U46-U45)</f>
        <v>25</v>
      </c>
      <c r="T46" s="334">
        <f t="shared" si="718"/>
        <v>0</v>
      </c>
      <c r="U46" s="335">
        <v>270</v>
      </c>
      <c r="V46" s="336">
        <v>10</v>
      </c>
      <c r="W46" s="337">
        <f t="shared" ref="W46:X46" si="719">IF(ISBLANK(Y46),,Y46-Y45)</f>
        <v>0</v>
      </c>
      <c r="X46" s="334">
        <f t="shared" si="719"/>
        <v>0</v>
      </c>
      <c r="Y46" s="335">
        <v>79</v>
      </c>
      <c r="Z46" s="340">
        <v>0</v>
      </c>
      <c r="AA46" s="316">
        <f t="shared" ref="AA46:AB46" si="720">IF(ISBLANK(AC46),,AC46-AC45)</f>
        <v>5</v>
      </c>
      <c r="AB46" s="334">
        <f t="shared" si="720"/>
        <v>1</v>
      </c>
      <c r="AC46" s="335">
        <v>572</v>
      </c>
      <c r="AD46" s="336">
        <v>9</v>
      </c>
      <c r="AE46" s="337">
        <f t="shared" ref="AE46:AF46" si="721">IF(ISBLANK(AG46),,AG46-AG45)</f>
        <v>24</v>
      </c>
      <c r="AF46" s="334">
        <f t="shared" si="721"/>
        <v>2</v>
      </c>
      <c r="AG46" s="335">
        <v>561</v>
      </c>
      <c r="AH46" s="339">
        <v>15</v>
      </c>
      <c r="AI46" s="316">
        <f t="shared" ref="AI46:AJ46" si="722">IF(ISBLANK(AK46),,AK46-AK45)</f>
        <v>77</v>
      </c>
      <c r="AJ46" s="334">
        <f t="shared" si="722"/>
        <v>8</v>
      </c>
      <c r="AK46" s="335">
        <v>1792</v>
      </c>
      <c r="AL46" s="336">
        <v>84</v>
      </c>
      <c r="AM46" s="337">
        <f t="shared" ref="AM46:AN46" si="723">IF(ISBLANK(AO46),,AO46-AO45)</f>
        <v>13</v>
      </c>
      <c r="AN46" s="334">
        <f t="shared" si="723"/>
        <v>2</v>
      </c>
      <c r="AO46" s="335">
        <v>219</v>
      </c>
      <c r="AP46" s="339">
        <v>9</v>
      </c>
      <c r="AQ46" s="316">
        <f t="shared" ref="AQ46:AR46" si="724">IF(ISBLANK(AS46),,AS46-AS45)</f>
        <v>9</v>
      </c>
      <c r="AR46" s="338">
        <f t="shared" si="724"/>
        <v>1</v>
      </c>
      <c r="AS46" s="335">
        <v>243</v>
      </c>
      <c r="AT46" s="336">
        <v>14</v>
      </c>
      <c r="AU46" s="337">
        <f t="shared" ref="AU46:AV46" si="725">IF(ISBLANK(AW46),,AW46-AW45)</f>
        <v>3</v>
      </c>
      <c r="AV46" s="334">
        <f t="shared" si="725"/>
        <v>0</v>
      </c>
      <c r="AW46" s="335">
        <v>259</v>
      </c>
      <c r="AX46" s="339">
        <v>1</v>
      </c>
      <c r="AY46" s="316">
        <f t="shared" ref="AY46:AZ46" si="726">IF(ISBLANK(BA46),,BA46-BA45)</f>
        <v>4</v>
      </c>
      <c r="AZ46" s="334">
        <f t="shared" si="726"/>
        <v>0</v>
      </c>
      <c r="BA46" s="335">
        <v>179</v>
      </c>
      <c r="BB46" s="336">
        <v>1</v>
      </c>
      <c r="BC46" s="337">
        <f t="shared" ref="BC46:BD46" si="727">IF(ISBLANK(BE46),,BE46-BE45)</f>
        <v>45</v>
      </c>
      <c r="BD46" s="334">
        <f t="shared" si="727"/>
        <v>6</v>
      </c>
      <c r="BE46" s="335">
        <v>988</v>
      </c>
      <c r="BF46" s="339">
        <v>58</v>
      </c>
      <c r="BG46" s="316">
        <f t="shared" ref="BG46:BH46" si="728">IF(ISBLANK(BI46),,BI46-BI45)</f>
        <v>16</v>
      </c>
      <c r="BH46" s="334">
        <f t="shared" si="728"/>
        <v>0</v>
      </c>
      <c r="BI46" s="335">
        <v>170</v>
      </c>
      <c r="BJ46" s="336">
        <v>2</v>
      </c>
      <c r="BK46" s="337">
        <f t="shared" ref="BK46:BL46" si="729">IF(ISBLANK(BM46),,BM46-BM45)</f>
        <v>3</v>
      </c>
      <c r="BL46" s="334">
        <f t="shared" si="729"/>
        <v>0</v>
      </c>
      <c r="BM46" s="335">
        <v>125</v>
      </c>
      <c r="BN46" s="339">
        <v>1</v>
      </c>
      <c r="BO46" s="316">
        <f t="shared" ref="BO46:BP46" si="730">IF(ISBLANK(BQ46),,BQ46-BQ45)</f>
        <v>102</v>
      </c>
      <c r="BP46" s="334">
        <f t="shared" si="730"/>
        <v>0</v>
      </c>
      <c r="BQ46" s="335">
        <v>785</v>
      </c>
      <c r="BR46" s="336">
        <v>43</v>
      </c>
      <c r="BS46" s="316">
        <f t="shared" ref="BS46:BT46" si="731">IF(ISBLANK(BU46),,BU46-BU45)</f>
        <v>6</v>
      </c>
      <c r="BT46" s="334">
        <f t="shared" si="731"/>
        <v>0</v>
      </c>
      <c r="BU46" s="335">
        <v>217</v>
      </c>
      <c r="BV46" s="336">
        <v>2</v>
      </c>
      <c r="BW46" s="233"/>
      <c r="BX46" s="233"/>
      <c r="BY46" s="233"/>
      <c r="BZ46" s="233"/>
      <c r="CA46" s="233"/>
      <c r="CB46" s="233"/>
      <c r="CC46" s="233"/>
      <c r="CD46" s="233"/>
      <c r="CE46" s="233"/>
    </row>
    <row r="47" spans="1:83" x14ac:dyDescent="0.25">
      <c r="A47" s="313">
        <v>43937</v>
      </c>
      <c r="B47" s="314">
        <v>44</v>
      </c>
      <c r="C47" s="315"/>
      <c r="D47" s="316">
        <v>336</v>
      </c>
      <c r="E47" s="317">
        <v>28</v>
      </c>
      <c r="F47" s="318">
        <v>774</v>
      </c>
      <c r="G47" s="319"/>
      <c r="H47" s="330">
        <f t="shared" ref="H47:I47" si="732">IF(ISBLANK(D47),,H46+D47)</f>
        <v>7918</v>
      </c>
      <c r="I47" s="331">
        <f t="shared" si="732"/>
        <v>314</v>
      </c>
      <c r="J47" s="332">
        <f t="shared" si="1"/>
        <v>106</v>
      </c>
      <c r="K47" s="333">
        <f t="shared" ref="K47:L47" si="733">IF(ISBLANK(M47),,M47-M46)</f>
        <v>55</v>
      </c>
      <c r="L47" s="334">
        <f t="shared" si="733"/>
        <v>3</v>
      </c>
      <c r="M47" s="335">
        <v>819</v>
      </c>
      <c r="N47" s="336">
        <v>28</v>
      </c>
      <c r="O47" s="337">
        <f t="shared" ref="O47:P47" si="734">IF(ISBLANK(Q47),,Q47-Q46)</f>
        <v>8</v>
      </c>
      <c r="P47" s="338">
        <f t="shared" si="734"/>
        <v>1</v>
      </c>
      <c r="Q47" s="335">
        <v>367</v>
      </c>
      <c r="R47" s="339">
        <v>13</v>
      </c>
      <c r="S47" s="316">
        <f t="shared" ref="S47:T47" si="735">IF(ISBLANK(U47),,U47-U46)</f>
        <v>9</v>
      </c>
      <c r="T47" s="334">
        <f t="shared" si="735"/>
        <v>0</v>
      </c>
      <c r="U47" s="335">
        <v>279</v>
      </c>
      <c r="V47" s="336">
        <v>10</v>
      </c>
      <c r="W47" s="337">
        <f t="shared" ref="W47:X47" si="736">IF(ISBLANK(Y47),,Y47-Y46)</f>
        <v>2</v>
      </c>
      <c r="X47" s="334">
        <f t="shared" si="736"/>
        <v>0</v>
      </c>
      <c r="Y47" s="335">
        <v>81</v>
      </c>
      <c r="Z47" s="340">
        <v>0</v>
      </c>
      <c r="AA47" s="316">
        <f t="shared" ref="AA47:AB47" si="737">IF(ISBLANK(AC47),,AC47-AC46)</f>
        <v>18</v>
      </c>
      <c r="AB47" s="334">
        <f t="shared" si="737"/>
        <v>0</v>
      </c>
      <c r="AC47" s="335">
        <v>590</v>
      </c>
      <c r="AD47" s="336">
        <v>9</v>
      </c>
      <c r="AE47" s="337">
        <f t="shared" ref="AE47:AF47" si="738">IF(ISBLANK(AG47),,AG47-AG46)</f>
        <v>14</v>
      </c>
      <c r="AF47" s="334">
        <f t="shared" si="738"/>
        <v>0</v>
      </c>
      <c r="AG47" s="335">
        <v>575</v>
      </c>
      <c r="AH47" s="339">
        <v>15</v>
      </c>
      <c r="AI47" s="316">
        <f t="shared" ref="AI47:AJ47" si="739">IF(ISBLANK(AK47),,AK47-AK46)</f>
        <v>54</v>
      </c>
      <c r="AJ47" s="334">
        <f t="shared" si="739"/>
        <v>12</v>
      </c>
      <c r="AK47" s="335">
        <v>1846</v>
      </c>
      <c r="AL47" s="336">
        <v>96</v>
      </c>
      <c r="AM47" s="337">
        <f t="shared" ref="AM47:AN47" si="740">IF(ISBLANK(AO47),,AO47-AO46)</f>
        <v>11</v>
      </c>
      <c r="AN47" s="334">
        <f t="shared" si="740"/>
        <v>1</v>
      </c>
      <c r="AO47" s="335">
        <v>230</v>
      </c>
      <c r="AP47" s="339">
        <v>10</v>
      </c>
      <c r="AQ47" s="316">
        <f t="shared" ref="AQ47:AR47" si="741">IF(ISBLANK(AS47),,AS47-AS46)</f>
        <v>3</v>
      </c>
      <c r="AR47" s="338">
        <f t="shared" si="741"/>
        <v>1</v>
      </c>
      <c r="AS47" s="335">
        <v>246</v>
      </c>
      <c r="AT47" s="336">
        <v>15</v>
      </c>
      <c r="AU47" s="337">
        <f t="shared" ref="AU47:AV47" si="742">IF(ISBLANK(AW47),,AW47-AW46)</f>
        <v>19</v>
      </c>
      <c r="AV47" s="334">
        <f t="shared" si="742"/>
        <v>1</v>
      </c>
      <c r="AW47" s="335">
        <v>278</v>
      </c>
      <c r="AX47" s="339">
        <v>2</v>
      </c>
      <c r="AY47" s="316">
        <f t="shared" ref="AY47:AZ47" si="743">IF(ISBLANK(BA47),,BA47-BA46)</f>
        <v>2</v>
      </c>
      <c r="AZ47" s="334">
        <f t="shared" si="743"/>
        <v>1</v>
      </c>
      <c r="BA47" s="335">
        <v>181</v>
      </c>
      <c r="BB47" s="336">
        <v>2</v>
      </c>
      <c r="BC47" s="337">
        <f t="shared" ref="BC47:BD47" si="744">IF(ISBLANK(BE47),,BE47-BE46)</f>
        <v>82</v>
      </c>
      <c r="BD47" s="334">
        <f t="shared" si="744"/>
        <v>5</v>
      </c>
      <c r="BE47" s="335">
        <v>1070</v>
      </c>
      <c r="BF47" s="339">
        <v>63</v>
      </c>
      <c r="BG47" s="316">
        <f t="shared" ref="BG47:BH47" si="745">IF(ISBLANK(BI47),,BI47-BI46)</f>
        <v>5</v>
      </c>
      <c r="BH47" s="334">
        <f t="shared" si="745"/>
        <v>1</v>
      </c>
      <c r="BI47" s="335">
        <v>175</v>
      </c>
      <c r="BJ47" s="336">
        <v>3</v>
      </c>
      <c r="BK47" s="337">
        <f t="shared" ref="BK47:BL47" si="746">IF(ISBLANK(BM47),,BM47-BM46)</f>
        <v>4</v>
      </c>
      <c r="BL47" s="334">
        <f t="shared" si="746"/>
        <v>0</v>
      </c>
      <c r="BM47" s="335">
        <v>129</v>
      </c>
      <c r="BN47" s="339">
        <v>1</v>
      </c>
      <c r="BO47" s="316">
        <f t="shared" ref="BO47:BP47" si="747">IF(ISBLANK(BQ47),,BQ47-BQ46)</f>
        <v>44</v>
      </c>
      <c r="BP47" s="334">
        <f t="shared" si="747"/>
        <v>2</v>
      </c>
      <c r="BQ47" s="335">
        <v>829</v>
      </c>
      <c r="BR47" s="336">
        <v>45</v>
      </c>
      <c r="BS47" s="316">
        <f t="shared" ref="BS47:BT47" si="748">IF(ISBLANK(BU47),,BU47-BU46)</f>
        <v>6</v>
      </c>
      <c r="BT47" s="334">
        <f t="shared" si="748"/>
        <v>0</v>
      </c>
      <c r="BU47" s="335">
        <v>223</v>
      </c>
      <c r="BV47" s="336">
        <v>2</v>
      </c>
      <c r="BW47" s="233"/>
      <c r="BX47" s="233"/>
      <c r="BY47" s="233"/>
      <c r="BZ47" s="233"/>
      <c r="CA47" s="233"/>
      <c r="CB47" s="233"/>
      <c r="CC47" s="233"/>
      <c r="CD47" s="233"/>
      <c r="CE47" s="233"/>
    </row>
    <row r="48" spans="1:83" x14ac:dyDescent="0.25">
      <c r="A48" s="313">
        <v>43938</v>
      </c>
      <c r="B48" s="314">
        <v>45</v>
      </c>
      <c r="C48" s="315"/>
      <c r="D48" s="316">
        <v>457</v>
      </c>
      <c r="E48" s="317">
        <v>18</v>
      </c>
      <c r="F48" s="318">
        <v>866</v>
      </c>
      <c r="G48" s="319"/>
      <c r="H48" s="330">
        <f t="shared" ref="H48:I48" si="749">IF(ISBLANK(D48),,H47+D48)</f>
        <v>8375</v>
      </c>
      <c r="I48" s="331">
        <f t="shared" si="749"/>
        <v>332</v>
      </c>
      <c r="J48" s="332">
        <f t="shared" si="1"/>
        <v>92</v>
      </c>
      <c r="K48" s="333">
        <f t="shared" ref="K48:L48" si="750">IF(ISBLANK(M48),,M48-M47)</f>
        <v>74</v>
      </c>
      <c r="L48" s="334">
        <f t="shared" si="750"/>
        <v>2</v>
      </c>
      <c r="M48" s="335">
        <v>893</v>
      </c>
      <c r="N48" s="336">
        <v>30</v>
      </c>
      <c r="O48" s="337">
        <f t="shared" ref="O48:P48" si="751">IF(ISBLANK(Q48),,Q48-Q47)</f>
        <v>20</v>
      </c>
      <c r="P48" s="338">
        <f t="shared" si="751"/>
        <v>0</v>
      </c>
      <c r="Q48" s="335">
        <v>387</v>
      </c>
      <c r="R48" s="339">
        <v>13</v>
      </c>
      <c r="S48" s="316">
        <f t="shared" ref="S48:T48" si="752">IF(ISBLANK(U48),,U48-U47)</f>
        <v>11</v>
      </c>
      <c r="T48" s="334">
        <f t="shared" si="752"/>
        <v>0</v>
      </c>
      <c r="U48" s="335">
        <v>290</v>
      </c>
      <c r="V48" s="336">
        <v>10</v>
      </c>
      <c r="W48" s="337">
        <f t="shared" ref="W48:X48" si="753">IF(ISBLANK(Y48),,Y48-Y47)</f>
        <v>0</v>
      </c>
      <c r="X48" s="334">
        <f t="shared" si="753"/>
        <v>0</v>
      </c>
      <c r="Y48" s="335">
        <v>81</v>
      </c>
      <c r="Z48" s="340">
        <v>0</v>
      </c>
      <c r="AA48" s="316">
        <f t="shared" ref="AA48:AB48" si="754">IF(ISBLANK(AC48),,AC48-AC47)</f>
        <v>17</v>
      </c>
      <c r="AB48" s="334">
        <f t="shared" si="754"/>
        <v>0</v>
      </c>
      <c r="AC48" s="335">
        <v>607</v>
      </c>
      <c r="AD48" s="336">
        <v>9</v>
      </c>
      <c r="AE48" s="337">
        <f t="shared" ref="AE48:AF48" si="755">IF(ISBLANK(AG48),,AG48-AG47)</f>
        <v>21</v>
      </c>
      <c r="AF48" s="334">
        <f t="shared" si="755"/>
        <v>1</v>
      </c>
      <c r="AG48" s="335">
        <v>596</v>
      </c>
      <c r="AH48" s="339">
        <v>16</v>
      </c>
      <c r="AI48" s="316">
        <f t="shared" ref="AI48:AJ48" si="756">IF(ISBLANK(AK48),,AK48-AK47)</f>
        <v>37</v>
      </c>
      <c r="AJ48" s="334">
        <f t="shared" si="756"/>
        <v>4</v>
      </c>
      <c r="AK48" s="335">
        <v>1883</v>
      </c>
      <c r="AL48" s="336">
        <v>100</v>
      </c>
      <c r="AM48" s="337">
        <f t="shared" ref="AM48:AN48" si="757">IF(ISBLANK(AO48),,AO48-AO47)</f>
        <v>24</v>
      </c>
      <c r="AN48" s="334">
        <f t="shared" si="757"/>
        <v>3</v>
      </c>
      <c r="AO48" s="335">
        <v>254</v>
      </c>
      <c r="AP48" s="339">
        <v>13</v>
      </c>
      <c r="AQ48" s="316">
        <f t="shared" ref="AQ48:AR48" si="758">IF(ISBLANK(AS48),,AS48-AS47)</f>
        <v>5</v>
      </c>
      <c r="AR48" s="338">
        <f t="shared" si="758"/>
        <v>0</v>
      </c>
      <c r="AS48" s="335">
        <v>251</v>
      </c>
      <c r="AT48" s="336">
        <v>15</v>
      </c>
      <c r="AU48" s="337">
        <f t="shared" ref="AU48:AV48" si="759">IF(ISBLANK(AW48),,AW48-AW47)</f>
        <v>13</v>
      </c>
      <c r="AV48" s="334">
        <f t="shared" si="759"/>
        <v>0</v>
      </c>
      <c r="AW48" s="335">
        <v>291</v>
      </c>
      <c r="AX48" s="339">
        <v>2</v>
      </c>
      <c r="AY48" s="316">
        <f t="shared" ref="AY48:AZ48" si="760">IF(ISBLANK(BA48),,BA48-BA47)</f>
        <v>4</v>
      </c>
      <c r="AZ48" s="334">
        <f t="shared" si="760"/>
        <v>0</v>
      </c>
      <c r="BA48" s="335">
        <v>185</v>
      </c>
      <c r="BB48" s="336">
        <v>2</v>
      </c>
      <c r="BC48" s="337">
        <f t="shared" ref="BC48:BD48" si="761">IF(ISBLANK(BE48),,BE48-BE47)</f>
        <v>145</v>
      </c>
      <c r="BD48" s="334">
        <f t="shared" si="761"/>
        <v>4</v>
      </c>
      <c r="BE48" s="335">
        <v>1215</v>
      </c>
      <c r="BF48" s="339">
        <v>67</v>
      </c>
      <c r="BG48" s="316">
        <f t="shared" ref="BG48:BH48" si="762">IF(ISBLANK(BI48),,BI48-BI47)</f>
        <v>18</v>
      </c>
      <c r="BH48" s="334">
        <f t="shared" si="762"/>
        <v>1</v>
      </c>
      <c r="BI48" s="335">
        <v>193</v>
      </c>
      <c r="BJ48" s="336">
        <v>4</v>
      </c>
      <c r="BK48" s="337">
        <f t="shared" ref="BK48:BL48" si="763">IF(ISBLANK(BM48),,BM48-BM47)</f>
        <v>10</v>
      </c>
      <c r="BL48" s="334">
        <f t="shared" si="763"/>
        <v>0</v>
      </c>
      <c r="BM48" s="335">
        <v>139</v>
      </c>
      <c r="BN48" s="339">
        <v>1</v>
      </c>
      <c r="BO48" s="316">
        <f t="shared" ref="BO48:BP48" si="764">IF(ISBLANK(BQ48),,BQ48-BQ47)</f>
        <v>51</v>
      </c>
      <c r="BP48" s="334">
        <f t="shared" si="764"/>
        <v>3</v>
      </c>
      <c r="BQ48" s="335">
        <v>880</v>
      </c>
      <c r="BR48" s="336">
        <v>48</v>
      </c>
      <c r="BS48" s="316">
        <f t="shared" ref="BS48:BT48" si="765">IF(ISBLANK(BU48),,BU48-BU47)</f>
        <v>7</v>
      </c>
      <c r="BT48" s="334">
        <f t="shared" si="765"/>
        <v>0</v>
      </c>
      <c r="BU48" s="335">
        <v>230</v>
      </c>
      <c r="BV48" s="336">
        <v>2</v>
      </c>
      <c r="BW48" s="233"/>
      <c r="BX48" s="233"/>
      <c r="BY48" s="233"/>
      <c r="BZ48" s="233"/>
      <c r="CA48" s="233"/>
      <c r="CB48" s="233"/>
      <c r="CC48" s="233"/>
      <c r="CD48" s="233"/>
      <c r="CE48" s="233"/>
    </row>
    <row r="49" spans="1:83" x14ac:dyDescent="0.25">
      <c r="A49" s="313">
        <v>43939</v>
      </c>
      <c r="B49" s="314">
        <v>46</v>
      </c>
      <c r="C49" s="315"/>
      <c r="D49" s="316">
        <v>334</v>
      </c>
      <c r="E49" s="317">
        <v>15</v>
      </c>
      <c r="F49" s="318">
        <v>981</v>
      </c>
      <c r="G49" s="319"/>
      <c r="H49" s="330">
        <f t="shared" ref="H49:I49" si="766">IF(ISBLANK(D49),,H48+D49)</f>
        <v>8709</v>
      </c>
      <c r="I49" s="331">
        <f t="shared" si="766"/>
        <v>347</v>
      </c>
      <c r="J49" s="332">
        <f t="shared" si="1"/>
        <v>115</v>
      </c>
      <c r="K49" s="333">
        <f t="shared" ref="K49:L49" si="767">IF(ISBLANK(M49),,M49-M48)</f>
        <v>56</v>
      </c>
      <c r="L49" s="334">
        <f t="shared" si="767"/>
        <v>0</v>
      </c>
      <c r="M49" s="335">
        <v>949</v>
      </c>
      <c r="N49" s="336">
        <v>30</v>
      </c>
      <c r="O49" s="337">
        <f t="shared" ref="O49:P49" si="768">IF(ISBLANK(Q49),,Q49-Q48)</f>
        <v>11</v>
      </c>
      <c r="P49" s="338">
        <f t="shared" si="768"/>
        <v>3</v>
      </c>
      <c r="Q49" s="335">
        <v>398</v>
      </c>
      <c r="R49" s="339">
        <v>16</v>
      </c>
      <c r="S49" s="316">
        <f t="shared" ref="S49:T49" si="769">IF(ISBLANK(U49),,U49-U48)</f>
        <v>3</v>
      </c>
      <c r="T49" s="334">
        <f t="shared" si="769"/>
        <v>0</v>
      </c>
      <c r="U49" s="335">
        <v>293</v>
      </c>
      <c r="V49" s="336">
        <v>10</v>
      </c>
      <c r="W49" s="337">
        <f t="shared" ref="W49:X49" si="770">IF(ISBLANK(Y49),,Y49-Y48)</f>
        <v>0</v>
      </c>
      <c r="X49" s="334">
        <f t="shared" si="770"/>
        <v>0</v>
      </c>
      <c r="Y49" s="335">
        <v>81</v>
      </c>
      <c r="Z49" s="340">
        <v>0</v>
      </c>
      <c r="AA49" s="316">
        <f t="shared" ref="AA49:AB49" si="771">IF(ISBLANK(AC49),,AC49-AC48)</f>
        <v>33</v>
      </c>
      <c r="AB49" s="334">
        <f t="shared" si="771"/>
        <v>2</v>
      </c>
      <c r="AC49" s="335">
        <v>640</v>
      </c>
      <c r="AD49" s="336">
        <v>11</v>
      </c>
      <c r="AE49" s="337">
        <f t="shared" ref="AE49:AF49" si="772">IF(ISBLANK(AG49),,AG49-AG48)</f>
        <v>34</v>
      </c>
      <c r="AF49" s="334">
        <f t="shared" si="772"/>
        <v>0</v>
      </c>
      <c r="AG49" s="335">
        <v>630</v>
      </c>
      <c r="AH49" s="339">
        <v>16</v>
      </c>
      <c r="AI49" s="316">
        <f t="shared" ref="AI49:AJ49" si="773">IF(ISBLANK(AK49),,AK49-AK48)</f>
        <v>53</v>
      </c>
      <c r="AJ49" s="334">
        <f t="shared" si="773"/>
        <v>7</v>
      </c>
      <c r="AK49" s="335">
        <v>1936</v>
      </c>
      <c r="AL49" s="336">
        <v>107</v>
      </c>
      <c r="AM49" s="337">
        <f t="shared" ref="AM49:AN49" si="774">IF(ISBLANK(AO49),,AO49-AO48)</f>
        <v>17</v>
      </c>
      <c r="AN49" s="334">
        <f t="shared" si="774"/>
        <v>0</v>
      </c>
      <c r="AO49" s="335">
        <v>271</v>
      </c>
      <c r="AP49" s="339">
        <v>13</v>
      </c>
      <c r="AQ49" s="316">
        <f t="shared" ref="AQ49:AR49" si="775">IF(ISBLANK(AS49),,AS49-AS48)</f>
        <v>8</v>
      </c>
      <c r="AR49" s="338">
        <f t="shared" si="775"/>
        <v>0</v>
      </c>
      <c r="AS49" s="335">
        <v>259</v>
      </c>
      <c r="AT49" s="336">
        <v>15</v>
      </c>
      <c r="AU49" s="337">
        <f t="shared" ref="AU49:AV49" si="776">IF(ISBLANK(AW49),,AW49-AW48)</f>
        <v>25</v>
      </c>
      <c r="AV49" s="334">
        <f t="shared" si="776"/>
        <v>0</v>
      </c>
      <c r="AW49" s="335">
        <v>316</v>
      </c>
      <c r="AX49" s="339">
        <v>2</v>
      </c>
      <c r="AY49" s="316">
        <f t="shared" ref="AY49:AZ49" si="777">IF(ISBLANK(BA49),,BA49-BA48)</f>
        <v>22</v>
      </c>
      <c r="AZ49" s="334">
        <f t="shared" si="777"/>
        <v>0</v>
      </c>
      <c r="BA49" s="335">
        <v>207</v>
      </c>
      <c r="BB49" s="336">
        <v>2</v>
      </c>
      <c r="BC49" s="337">
        <f t="shared" ref="BC49:BD49" si="778">IF(ISBLANK(BE49),,BE49-BE48)</f>
        <v>25</v>
      </c>
      <c r="BD49" s="334">
        <f t="shared" si="778"/>
        <v>2</v>
      </c>
      <c r="BE49" s="335">
        <v>1240</v>
      </c>
      <c r="BF49" s="339">
        <v>69</v>
      </c>
      <c r="BG49" s="316">
        <f t="shared" ref="BG49:BH49" si="779">IF(ISBLANK(BI49),,BI49-BI48)</f>
        <v>10</v>
      </c>
      <c r="BH49" s="334">
        <f t="shared" si="779"/>
        <v>0</v>
      </c>
      <c r="BI49" s="335">
        <v>203</v>
      </c>
      <c r="BJ49" s="336">
        <v>4</v>
      </c>
      <c r="BK49" s="337">
        <f t="shared" ref="BK49:BL49" si="780">IF(ISBLANK(BM49),,BM49-BM48)</f>
        <v>0</v>
      </c>
      <c r="BL49" s="334">
        <f t="shared" si="780"/>
        <v>0</v>
      </c>
      <c r="BM49" s="335">
        <v>139</v>
      </c>
      <c r="BN49" s="339">
        <v>1</v>
      </c>
      <c r="BO49" s="316">
        <f t="shared" ref="BO49:BP49" si="781">IF(ISBLANK(BQ49),,BQ49-BQ48)</f>
        <v>18</v>
      </c>
      <c r="BP49" s="334">
        <f t="shared" si="781"/>
        <v>1</v>
      </c>
      <c r="BQ49" s="335">
        <v>898</v>
      </c>
      <c r="BR49" s="336">
        <v>49</v>
      </c>
      <c r="BS49" s="316">
        <f t="shared" ref="BS49:BT49" si="782">IF(ISBLANK(BU49),,BU49-BU48)</f>
        <v>19</v>
      </c>
      <c r="BT49" s="334">
        <f t="shared" si="782"/>
        <v>0</v>
      </c>
      <c r="BU49" s="335">
        <v>249</v>
      </c>
      <c r="BV49" s="336">
        <v>2</v>
      </c>
      <c r="BW49" s="233"/>
      <c r="BX49" s="233"/>
      <c r="BY49" s="233"/>
      <c r="BZ49" s="233"/>
      <c r="CA49" s="233"/>
      <c r="CB49" s="233"/>
      <c r="CC49" s="233"/>
      <c r="CD49" s="233"/>
      <c r="CE49" s="233"/>
    </row>
    <row r="50" spans="1:83" x14ac:dyDescent="0.25">
      <c r="A50" s="313">
        <v>43940</v>
      </c>
      <c r="B50" s="314">
        <v>47</v>
      </c>
      <c r="C50" s="315"/>
      <c r="D50" s="316">
        <v>515</v>
      </c>
      <c r="E50" s="317">
        <v>13</v>
      </c>
      <c r="F50" s="318">
        <v>1040</v>
      </c>
      <c r="G50" s="319"/>
      <c r="H50" s="330">
        <f t="shared" ref="H50:I50" si="783">IF(ISBLANK(D50),,H49+D50)</f>
        <v>9224</v>
      </c>
      <c r="I50" s="331">
        <f t="shared" si="783"/>
        <v>360</v>
      </c>
      <c r="J50" s="332">
        <f t="shared" si="1"/>
        <v>59</v>
      </c>
      <c r="K50" s="333">
        <f t="shared" ref="K50:L50" si="784">IF(ISBLANK(M50),,M50-M49)</f>
        <v>95</v>
      </c>
      <c r="L50" s="334">
        <f t="shared" si="784"/>
        <v>0</v>
      </c>
      <c r="M50" s="335">
        <v>1044</v>
      </c>
      <c r="N50" s="336">
        <v>30</v>
      </c>
      <c r="O50" s="337">
        <f t="shared" ref="O50:P50" si="785">IF(ISBLANK(Q50),,Q50-Q49)</f>
        <v>8</v>
      </c>
      <c r="P50" s="338">
        <f t="shared" si="785"/>
        <v>0</v>
      </c>
      <c r="Q50" s="335">
        <v>406</v>
      </c>
      <c r="R50" s="339">
        <v>16</v>
      </c>
      <c r="S50" s="316">
        <f t="shared" ref="S50:T50" si="786">IF(ISBLANK(U50),,U50-U49)</f>
        <v>15</v>
      </c>
      <c r="T50" s="334">
        <f t="shared" si="786"/>
        <v>0</v>
      </c>
      <c r="U50" s="335">
        <v>308</v>
      </c>
      <c r="V50" s="336">
        <v>10</v>
      </c>
      <c r="W50" s="337">
        <f t="shared" ref="W50:X50" si="787">IF(ISBLANK(Y50),,Y50-Y49)</f>
        <v>0</v>
      </c>
      <c r="X50" s="334">
        <f t="shared" si="787"/>
        <v>0</v>
      </c>
      <c r="Y50" s="335">
        <v>81</v>
      </c>
      <c r="Z50" s="340">
        <v>0</v>
      </c>
      <c r="AA50" s="316">
        <f t="shared" ref="AA50:AB50" si="788">IF(ISBLANK(AC50),,AC50-AC49)</f>
        <v>20</v>
      </c>
      <c r="AB50" s="334">
        <f t="shared" si="788"/>
        <v>0</v>
      </c>
      <c r="AC50" s="335">
        <v>660</v>
      </c>
      <c r="AD50" s="336">
        <v>11</v>
      </c>
      <c r="AE50" s="337">
        <f t="shared" ref="AE50:AF50" si="789">IF(ISBLANK(AG50),,AG50-AG49)</f>
        <v>16</v>
      </c>
      <c r="AF50" s="334">
        <f t="shared" si="789"/>
        <v>1</v>
      </c>
      <c r="AG50" s="335">
        <v>646</v>
      </c>
      <c r="AH50" s="339">
        <v>17</v>
      </c>
      <c r="AI50" s="316">
        <f t="shared" ref="AI50:AJ50" si="790">IF(ISBLANK(AK50),,AK50-AK49)</f>
        <v>56</v>
      </c>
      <c r="AJ50" s="334">
        <f t="shared" si="790"/>
        <v>1</v>
      </c>
      <c r="AK50" s="335">
        <v>1992</v>
      </c>
      <c r="AL50" s="336">
        <v>108</v>
      </c>
      <c r="AM50" s="337">
        <f t="shared" ref="AM50:AN50" si="791">IF(ISBLANK(AO50),,AO50-AO49)</f>
        <v>5</v>
      </c>
      <c r="AN50" s="334">
        <f t="shared" si="791"/>
        <v>1</v>
      </c>
      <c r="AO50" s="335">
        <v>276</v>
      </c>
      <c r="AP50" s="339">
        <v>14</v>
      </c>
      <c r="AQ50" s="316">
        <f t="shared" ref="AQ50:AR50" si="792">IF(ISBLANK(AS50),,AS50-AS49)</f>
        <v>4</v>
      </c>
      <c r="AR50" s="338">
        <f t="shared" si="792"/>
        <v>1</v>
      </c>
      <c r="AS50" s="335">
        <v>263</v>
      </c>
      <c r="AT50" s="336">
        <v>16</v>
      </c>
      <c r="AU50" s="337">
        <f t="shared" ref="AU50:AV50" si="793">IF(ISBLANK(AW50),,AW50-AW49)</f>
        <v>5</v>
      </c>
      <c r="AV50" s="334">
        <f t="shared" si="793"/>
        <v>0</v>
      </c>
      <c r="AW50" s="335">
        <v>321</v>
      </c>
      <c r="AX50" s="339">
        <v>2</v>
      </c>
      <c r="AY50" s="316">
        <f t="shared" ref="AY50:AZ50" si="794">IF(ISBLANK(BA50),,BA50-BA49)</f>
        <v>2</v>
      </c>
      <c r="AZ50" s="334">
        <f t="shared" si="794"/>
        <v>0</v>
      </c>
      <c r="BA50" s="335">
        <v>209</v>
      </c>
      <c r="BB50" s="336">
        <v>2</v>
      </c>
      <c r="BC50" s="337">
        <f t="shared" ref="BC50:BD50" si="795">IF(ISBLANK(BE50),,BE50-BE49)</f>
        <v>140</v>
      </c>
      <c r="BD50" s="334">
        <f t="shared" si="795"/>
        <v>5</v>
      </c>
      <c r="BE50" s="335">
        <v>1380</v>
      </c>
      <c r="BF50" s="339">
        <v>74</v>
      </c>
      <c r="BG50" s="316">
        <f t="shared" ref="BG50:BH50" si="796">IF(ISBLANK(BI50),,BI50-BI49)</f>
        <v>7</v>
      </c>
      <c r="BH50" s="334">
        <f t="shared" si="796"/>
        <v>0</v>
      </c>
      <c r="BI50" s="335">
        <v>210</v>
      </c>
      <c r="BJ50" s="336">
        <v>4</v>
      </c>
      <c r="BK50" s="337">
        <f t="shared" ref="BK50:BL50" si="797">IF(ISBLANK(BM50),,BM50-BM49)</f>
        <v>3</v>
      </c>
      <c r="BL50" s="334">
        <f t="shared" si="797"/>
        <v>0</v>
      </c>
      <c r="BM50" s="335">
        <v>142</v>
      </c>
      <c r="BN50" s="339">
        <v>1</v>
      </c>
      <c r="BO50" s="316">
        <f t="shared" ref="BO50:BP50" si="798">IF(ISBLANK(BQ50),,BQ50-BQ49)</f>
        <v>122</v>
      </c>
      <c r="BP50" s="334">
        <f t="shared" si="798"/>
        <v>2</v>
      </c>
      <c r="BQ50" s="335">
        <v>1020</v>
      </c>
      <c r="BR50" s="336">
        <v>51</v>
      </c>
      <c r="BS50" s="316">
        <f t="shared" ref="BS50:BT50" si="799">IF(ISBLANK(BU50),,BU50-BU49)</f>
        <v>17</v>
      </c>
      <c r="BT50" s="334">
        <f t="shared" si="799"/>
        <v>2</v>
      </c>
      <c r="BU50" s="335">
        <v>266</v>
      </c>
      <c r="BV50" s="336">
        <v>4</v>
      </c>
      <c r="BW50" s="233"/>
      <c r="BX50" s="233"/>
      <c r="BY50" s="233"/>
      <c r="BZ50" s="233"/>
      <c r="CA50" s="233"/>
      <c r="CB50" s="233"/>
      <c r="CC50" s="233"/>
      <c r="CD50" s="233"/>
      <c r="CE50" s="233"/>
    </row>
    <row r="51" spans="1:83" x14ac:dyDescent="0.25">
      <c r="A51" s="313">
        <v>43941</v>
      </c>
      <c r="B51" s="314">
        <v>48</v>
      </c>
      <c r="C51" s="315"/>
      <c r="D51" s="316">
        <v>306</v>
      </c>
      <c r="E51" s="317">
        <v>20</v>
      </c>
      <c r="F51" s="318">
        <v>1133</v>
      </c>
      <c r="G51" s="319"/>
      <c r="H51" s="330">
        <f t="shared" ref="H51:I51" si="800">IF(ISBLANK(D51),,H50+D51)</f>
        <v>9530</v>
      </c>
      <c r="I51" s="331">
        <f t="shared" si="800"/>
        <v>380</v>
      </c>
      <c r="J51" s="332">
        <f t="shared" si="1"/>
        <v>93</v>
      </c>
      <c r="K51" s="333">
        <f t="shared" ref="K51:L51" si="801">IF(ISBLANK(M51),,M51-M50)</f>
        <v>33</v>
      </c>
      <c r="L51" s="334">
        <f t="shared" si="801"/>
        <v>3</v>
      </c>
      <c r="M51" s="335">
        <v>1077</v>
      </c>
      <c r="N51" s="336">
        <v>33</v>
      </c>
      <c r="O51" s="337">
        <f t="shared" ref="O51:P51" si="802">IF(ISBLANK(Q51),,Q51-Q50)</f>
        <v>15</v>
      </c>
      <c r="P51" s="338">
        <f t="shared" si="802"/>
        <v>1</v>
      </c>
      <c r="Q51" s="335">
        <v>421</v>
      </c>
      <c r="R51" s="339">
        <v>17</v>
      </c>
      <c r="S51" s="316">
        <f t="shared" ref="S51:T51" si="803">IF(ISBLANK(U51),,U51-U50)</f>
        <v>3</v>
      </c>
      <c r="T51" s="334">
        <f t="shared" si="803"/>
        <v>0</v>
      </c>
      <c r="U51" s="335">
        <v>311</v>
      </c>
      <c r="V51" s="336">
        <v>10</v>
      </c>
      <c r="W51" s="337">
        <f t="shared" ref="W51:X51" si="804">IF(ISBLANK(Y51),,Y51-Y50)</f>
        <v>1</v>
      </c>
      <c r="X51" s="334">
        <f t="shared" si="804"/>
        <v>0</v>
      </c>
      <c r="Y51" s="335">
        <v>82</v>
      </c>
      <c r="Z51" s="340">
        <v>0</v>
      </c>
      <c r="AA51" s="316">
        <f t="shared" ref="AA51:AB51" si="805">IF(ISBLANK(AC51),,AC51-AC50)</f>
        <v>22</v>
      </c>
      <c r="AB51" s="334">
        <f t="shared" si="805"/>
        <v>0</v>
      </c>
      <c r="AC51" s="335">
        <v>682</v>
      </c>
      <c r="AD51" s="336">
        <v>11</v>
      </c>
      <c r="AE51" s="337">
        <f t="shared" ref="AE51:AF51" si="806">IF(ISBLANK(AG51),,AG51-AG50)</f>
        <v>33</v>
      </c>
      <c r="AF51" s="334">
        <f t="shared" si="806"/>
        <v>2</v>
      </c>
      <c r="AG51" s="335">
        <v>679</v>
      </c>
      <c r="AH51" s="339">
        <v>19</v>
      </c>
      <c r="AI51" s="316">
        <f t="shared" ref="AI51:AJ51" si="807">IF(ISBLANK(AK51),,AK51-AK50)</f>
        <v>38</v>
      </c>
      <c r="AJ51" s="334">
        <f t="shared" si="807"/>
        <v>8</v>
      </c>
      <c r="AK51" s="335">
        <v>2030</v>
      </c>
      <c r="AL51" s="336">
        <v>116</v>
      </c>
      <c r="AM51" s="337">
        <f t="shared" ref="AM51:AN51" si="808">IF(ISBLANK(AO51),,AO51-AO50)</f>
        <v>16</v>
      </c>
      <c r="AN51" s="334">
        <f t="shared" si="808"/>
        <v>0</v>
      </c>
      <c r="AO51" s="335">
        <v>292</v>
      </c>
      <c r="AP51" s="339">
        <v>14</v>
      </c>
      <c r="AQ51" s="316">
        <f t="shared" ref="AQ51:AR51" si="809">IF(ISBLANK(AS51),,AS51-AS50)</f>
        <v>3</v>
      </c>
      <c r="AR51" s="338">
        <f t="shared" si="809"/>
        <v>0</v>
      </c>
      <c r="AS51" s="335">
        <v>266</v>
      </c>
      <c r="AT51" s="336">
        <v>16</v>
      </c>
      <c r="AU51" s="337">
        <f t="shared" ref="AU51:AV51" si="810">IF(ISBLANK(AW51),,AW51-AW50)</f>
        <v>6</v>
      </c>
      <c r="AV51" s="334">
        <f t="shared" si="810"/>
        <v>0</v>
      </c>
      <c r="AW51" s="335">
        <v>327</v>
      </c>
      <c r="AX51" s="339">
        <v>2</v>
      </c>
      <c r="AY51" s="316">
        <f t="shared" ref="AY51:AZ51" si="811">IF(ISBLANK(BA51),,BA51-BA50)</f>
        <v>6</v>
      </c>
      <c r="AZ51" s="334">
        <f t="shared" si="811"/>
        <v>0</v>
      </c>
      <c r="BA51" s="335">
        <v>215</v>
      </c>
      <c r="BB51" s="336">
        <v>2</v>
      </c>
      <c r="BC51" s="337">
        <f t="shared" ref="BC51:BD51" si="812">IF(ISBLANK(BE51),,BE51-BE50)</f>
        <v>71</v>
      </c>
      <c r="BD51" s="334">
        <f t="shared" si="812"/>
        <v>0</v>
      </c>
      <c r="BE51" s="335">
        <v>1451</v>
      </c>
      <c r="BF51" s="339">
        <v>74</v>
      </c>
      <c r="BG51" s="316">
        <f t="shared" ref="BG51:BH51" si="813">IF(ISBLANK(BI51),,BI51-BI50)</f>
        <v>17</v>
      </c>
      <c r="BH51" s="334">
        <f t="shared" si="813"/>
        <v>0</v>
      </c>
      <c r="BI51" s="335">
        <v>227</v>
      </c>
      <c r="BJ51" s="336">
        <v>4</v>
      </c>
      <c r="BK51" s="337">
        <f t="shared" ref="BK51:BL51" si="814">IF(ISBLANK(BM51),,BM51-BM50)</f>
        <v>1</v>
      </c>
      <c r="BL51" s="334">
        <f t="shared" si="814"/>
        <v>0</v>
      </c>
      <c r="BM51" s="335">
        <v>143</v>
      </c>
      <c r="BN51" s="339">
        <v>1</v>
      </c>
      <c r="BO51" s="316">
        <f t="shared" ref="BO51:BP51" si="815">IF(ISBLANK(BQ51),,BQ51-BQ50)</f>
        <v>30</v>
      </c>
      <c r="BP51" s="334">
        <f t="shared" si="815"/>
        <v>6</v>
      </c>
      <c r="BQ51" s="335">
        <v>1050</v>
      </c>
      <c r="BR51" s="336">
        <v>57</v>
      </c>
      <c r="BS51" s="316">
        <f t="shared" ref="BS51:BT51" si="816">IF(ISBLANK(BU51),,BU51-BU50)</f>
        <v>11</v>
      </c>
      <c r="BT51" s="334">
        <f t="shared" si="816"/>
        <v>0</v>
      </c>
      <c r="BU51" s="335">
        <v>277</v>
      </c>
      <c r="BV51" s="336">
        <v>4</v>
      </c>
      <c r="BW51" s="233"/>
      <c r="BX51" s="233"/>
      <c r="BY51" s="233"/>
      <c r="BZ51" s="233"/>
      <c r="CA51" s="233"/>
      <c r="CB51" s="233"/>
      <c r="CC51" s="233"/>
      <c r="CD51" s="233"/>
      <c r="CE51" s="233"/>
    </row>
    <row r="52" spans="1:83" x14ac:dyDescent="0.25">
      <c r="A52" s="313">
        <v>43942</v>
      </c>
      <c r="B52" s="314">
        <v>49</v>
      </c>
      <c r="C52" s="315"/>
      <c r="D52" s="316">
        <v>263</v>
      </c>
      <c r="E52" s="317">
        <v>20</v>
      </c>
      <c r="F52" s="318">
        <v>1297</v>
      </c>
      <c r="G52" s="319"/>
      <c r="H52" s="330">
        <f t="shared" ref="H52:I52" si="817">IF(ISBLANK(D52),,H51+D52)</f>
        <v>9793</v>
      </c>
      <c r="I52" s="331">
        <f t="shared" si="817"/>
        <v>400</v>
      </c>
      <c r="J52" s="332">
        <f t="shared" si="1"/>
        <v>164</v>
      </c>
      <c r="K52" s="333">
        <f t="shared" ref="K52:L52" si="818">IF(ISBLANK(M52),,M52-M51)</f>
        <v>41</v>
      </c>
      <c r="L52" s="334">
        <f t="shared" si="818"/>
        <v>0</v>
      </c>
      <c r="M52" s="335">
        <v>1118</v>
      </c>
      <c r="N52" s="336">
        <v>33</v>
      </c>
      <c r="O52" s="337">
        <f t="shared" ref="O52:P52" si="819">IF(ISBLANK(Q52),,Q52-Q51)</f>
        <v>17</v>
      </c>
      <c r="P52" s="338">
        <f t="shared" si="819"/>
        <v>0</v>
      </c>
      <c r="Q52" s="335">
        <v>438</v>
      </c>
      <c r="R52" s="339">
        <v>17</v>
      </c>
      <c r="S52" s="316">
        <f t="shared" ref="S52:T52" si="820">IF(ISBLANK(U52),,U52-U51)</f>
        <v>14</v>
      </c>
      <c r="T52" s="334">
        <f t="shared" si="820"/>
        <v>0</v>
      </c>
      <c r="U52" s="335">
        <v>325</v>
      </c>
      <c r="V52" s="336">
        <v>10</v>
      </c>
      <c r="W52" s="337">
        <f t="shared" ref="W52:X52" si="821">IF(ISBLANK(Y52),,Y52-Y51)</f>
        <v>2</v>
      </c>
      <c r="X52" s="334">
        <f t="shared" si="821"/>
        <v>0</v>
      </c>
      <c r="Y52" s="335">
        <v>84</v>
      </c>
      <c r="Z52" s="340">
        <v>0</v>
      </c>
      <c r="AA52" s="316">
        <f t="shared" ref="AA52:AB52" si="822">IF(ISBLANK(AC52),,AC52-AC51)</f>
        <v>13</v>
      </c>
      <c r="AB52" s="334">
        <f t="shared" si="822"/>
        <v>0</v>
      </c>
      <c r="AC52" s="335">
        <v>695</v>
      </c>
      <c r="AD52" s="336">
        <v>11</v>
      </c>
      <c r="AE52" s="337">
        <f t="shared" ref="AE52:AF52" si="823">IF(ISBLANK(AG52),,AG52-AG51)</f>
        <v>28</v>
      </c>
      <c r="AF52" s="334">
        <f t="shared" si="823"/>
        <v>1</v>
      </c>
      <c r="AG52" s="335">
        <v>707</v>
      </c>
      <c r="AH52" s="339">
        <v>20</v>
      </c>
      <c r="AI52" s="316">
        <f t="shared" ref="AI52:AJ52" si="824">IF(ISBLANK(AK52),,AK52-AK51)</f>
        <v>29</v>
      </c>
      <c r="AJ52" s="334">
        <f t="shared" si="824"/>
        <v>9</v>
      </c>
      <c r="AK52" s="335">
        <v>2059</v>
      </c>
      <c r="AL52" s="336">
        <v>125</v>
      </c>
      <c r="AM52" s="337">
        <f t="shared" ref="AM52:AN52" si="825">IF(ISBLANK(AO52),,AO52-AO51)</f>
        <v>6</v>
      </c>
      <c r="AN52" s="334">
        <f t="shared" si="825"/>
        <v>1</v>
      </c>
      <c r="AO52" s="335">
        <v>298</v>
      </c>
      <c r="AP52" s="339">
        <v>15</v>
      </c>
      <c r="AQ52" s="316">
        <f t="shared" ref="AQ52:AR52" si="826">IF(ISBLANK(AS52),,AS52-AS51)</f>
        <v>4</v>
      </c>
      <c r="AR52" s="338">
        <f t="shared" si="826"/>
        <v>0</v>
      </c>
      <c r="AS52" s="335">
        <v>270</v>
      </c>
      <c r="AT52" s="336">
        <v>16</v>
      </c>
      <c r="AU52" s="337">
        <f t="shared" ref="AU52:AV52" si="827">IF(ISBLANK(AW52),,AW52-AW51)</f>
        <v>5</v>
      </c>
      <c r="AV52" s="334">
        <f t="shared" si="827"/>
        <v>0</v>
      </c>
      <c r="AW52" s="335">
        <v>332</v>
      </c>
      <c r="AX52" s="339">
        <v>2</v>
      </c>
      <c r="AY52" s="316">
        <f t="shared" ref="AY52:AZ52" si="828">IF(ISBLANK(BA52),,BA52-BA51)</f>
        <v>4</v>
      </c>
      <c r="AZ52" s="334">
        <f t="shared" si="828"/>
        <v>0</v>
      </c>
      <c r="BA52" s="335">
        <v>219</v>
      </c>
      <c r="BB52" s="336">
        <v>2</v>
      </c>
      <c r="BC52" s="337">
        <f t="shared" ref="BC52:BD52" si="829">IF(ISBLANK(BE52),,BE52-BE51)</f>
        <v>54</v>
      </c>
      <c r="BD52" s="334">
        <f t="shared" si="829"/>
        <v>5</v>
      </c>
      <c r="BE52" s="335">
        <v>1505</v>
      </c>
      <c r="BF52" s="339">
        <v>79</v>
      </c>
      <c r="BG52" s="316">
        <f t="shared" ref="BG52:BH52" si="830">IF(ISBLANK(BI52),,BI52-BI51)</f>
        <v>11</v>
      </c>
      <c r="BH52" s="334">
        <f t="shared" si="830"/>
        <v>0</v>
      </c>
      <c r="BI52" s="335">
        <v>238</v>
      </c>
      <c r="BJ52" s="336">
        <v>4</v>
      </c>
      <c r="BK52" s="337">
        <f t="shared" ref="BK52:BL52" si="831">IF(ISBLANK(BM52),,BM52-BM51)</f>
        <v>2</v>
      </c>
      <c r="BL52" s="334">
        <f t="shared" si="831"/>
        <v>0</v>
      </c>
      <c r="BM52" s="335">
        <v>145</v>
      </c>
      <c r="BN52" s="339">
        <v>1</v>
      </c>
      <c r="BO52" s="316">
        <f t="shared" ref="BO52:BP52" si="832">IF(ISBLANK(BQ52),,BQ52-BQ51)</f>
        <v>31</v>
      </c>
      <c r="BP52" s="334">
        <f t="shared" si="832"/>
        <v>4</v>
      </c>
      <c r="BQ52" s="335">
        <v>1081</v>
      </c>
      <c r="BR52" s="336">
        <v>61</v>
      </c>
      <c r="BS52" s="316">
        <f t="shared" ref="BS52:BT52" si="833">IF(ISBLANK(BU52),,BU52-BU51)</f>
        <v>2</v>
      </c>
      <c r="BT52" s="334">
        <f t="shared" si="833"/>
        <v>0</v>
      </c>
      <c r="BU52" s="335">
        <v>279</v>
      </c>
      <c r="BV52" s="336">
        <v>4</v>
      </c>
      <c r="BW52" s="233"/>
      <c r="BX52" s="233"/>
      <c r="BY52" s="233"/>
      <c r="BZ52" s="233"/>
      <c r="CA52" s="233"/>
      <c r="CB52" s="233"/>
      <c r="CC52" s="233"/>
      <c r="CD52" s="233"/>
      <c r="CE52" s="233"/>
    </row>
    <row r="53" spans="1:83" x14ac:dyDescent="0.25">
      <c r="A53" s="313">
        <v>43943</v>
      </c>
      <c r="B53" s="314">
        <v>50</v>
      </c>
      <c r="C53" s="315"/>
      <c r="D53" s="316">
        <v>313</v>
      </c>
      <c r="E53" s="317">
        <v>25</v>
      </c>
      <c r="F53" s="318">
        <v>1513</v>
      </c>
      <c r="G53" s="319"/>
      <c r="H53" s="330">
        <f t="shared" ref="H53:I53" si="834">IF(ISBLANK(D53),,H52+D53)</f>
        <v>10106</v>
      </c>
      <c r="I53" s="331">
        <f t="shared" si="834"/>
        <v>425</v>
      </c>
      <c r="J53" s="332">
        <f t="shared" si="1"/>
        <v>216</v>
      </c>
      <c r="K53" s="333">
        <f t="shared" ref="K53:L53" si="835">IF(ISBLANK(M53),,M53-M52)</f>
        <v>26</v>
      </c>
      <c r="L53" s="334">
        <f t="shared" si="835"/>
        <v>3</v>
      </c>
      <c r="M53" s="335">
        <v>1144</v>
      </c>
      <c r="N53" s="336">
        <v>36</v>
      </c>
      <c r="O53" s="337">
        <f t="shared" ref="O53:P53" si="836">IF(ISBLANK(Q53),,Q53-Q52)</f>
        <v>14</v>
      </c>
      <c r="P53" s="338">
        <f t="shared" si="836"/>
        <v>3</v>
      </c>
      <c r="Q53" s="335">
        <v>452</v>
      </c>
      <c r="R53" s="339">
        <v>20</v>
      </c>
      <c r="S53" s="316">
        <f t="shared" ref="S53:T53" si="837">IF(ISBLANK(U53),,U53-U52)</f>
        <v>7</v>
      </c>
      <c r="T53" s="334">
        <f t="shared" si="837"/>
        <v>0</v>
      </c>
      <c r="U53" s="335">
        <v>332</v>
      </c>
      <c r="V53" s="336">
        <v>10</v>
      </c>
      <c r="W53" s="337">
        <f t="shared" ref="W53:X53" si="838">IF(ISBLANK(Y53),,Y53-Y52)</f>
        <v>1</v>
      </c>
      <c r="X53" s="334">
        <f t="shared" si="838"/>
        <v>0</v>
      </c>
      <c r="Y53" s="335">
        <v>85</v>
      </c>
      <c r="Z53" s="340">
        <v>0</v>
      </c>
      <c r="AA53" s="316">
        <f t="shared" ref="AA53:AB53" si="839">IF(ISBLANK(AC53),,AC53-AC52)</f>
        <v>70</v>
      </c>
      <c r="AB53" s="334">
        <f t="shared" si="839"/>
        <v>2</v>
      </c>
      <c r="AC53" s="335">
        <v>765</v>
      </c>
      <c r="AD53" s="336">
        <v>13</v>
      </c>
      <c r="AE53" s="337">
        <f t="shared" ref="AE53:AF53" si="840">IF(ISBLANK(AG53),,AG53-AG52)</f>
        <v>27</v>
      </c>
      <c r="AF53" s="334">
        <f t="shared" si="840"/>
        <v>1</v>
      </c>
      <c r="AG53" s="335">
        <v>734</v>
      </c>
      <c r="AH53" s="339">
        <v>21</v>
      </c>
      <c r="AI53" s="316">
        <f t="shared" ref="AI53:AJ53" si="841">IF(ISBLANK(AK53),,AK53-AK52)</f>
        <v>39</v>
      </c>
      <c r="AJ53" s="334">
        <f t="shared" si="841"/>
        <v>6</v>
      </c>
      <c r="AK53" s="335">
        <v>2098</v>
      </c>
      <c r="AL53" s="336">
        <v>131</v>
      </c>
      <c r="AM53" s="337">
        <f t="shared" ref="AM53:AN53" si="842">IF(ISBLANK(AO53),,AO53-AO52)</f>
        <v>26</v>
      </c>
      <c r="AN53" s="334">
        <f t="shared" si="842"/>
        <v>0</v>
      </c>
      <c r="AO53" s="335">
        <v>324</v>
      </c>
      <c r="AP53" s="339">
        <v>15</v>
      </c>
      <c r="AQ53" s="316">
        <f t="shared" ref="AQ53:AR53" si="843">IF(ISBLANK(AS53),,AS53-AS52)</f>
        <v>6</v>
      </c>
      <c r="AR53" s="338">
        <f t="shared" si="843"/>
        <v>0</v>
      </c>
      <c r="AS53" s="335">
        <v>276</v>
      </c>
      <c r="AT53" s="336">
        <v>16</v>
      </c>
      <c r="AU53" s="337">
        <f t="shared" ref="AU53:AV53" si="844">IF(ISBLANK(AW53),,AW53-AW52)</f>
        <v>3</v>
      </c>
      <c r="AV53" s="334">
        <f t="shared" si="844"/>
        <v>0</v>
      </c>
      <c r="AW53" s="335">
        <v>335</v>
      </c>
      <c r="AX53" s="339">
        <v>2</v>
      </c>
      <c r="AY53" s="316">
        <f t="shared" ref="AY53:AZ53" si="845">IF(ISBLANK(BA53),,BA53-BA52)</f>
        <v>12</v>
      </c>
      <c r="AZ53" s="334">
        <f t="shared" si="845"/>
        <v>1</v>
      </c>
      <c r="BA53" s="335">
        <v>231</v>
      </c>
      <c r="BB53" s="336">
        <v>3</v>
      </c>
      <c r="BC53" s="337">
        <f t="shared" ref="BC53:BD53" si="846">IF(ISBLANK(BE53),,BE53-BE52)</f>
        <v>46</v>
      </c>
      <c r="BD53" s="334">
        <f t="shared" si="846"/>
        <v>4</v>
      </c>
      <c r="BE53" s="335">
        <v>1551</v>
      </c>
      <c r="BF53" s="339">
        <v>83</v>
      </c>
      <c r="BG53" s="316">
        <f t="shared" ref="BG53:BH53" si="847">IF(ISBLANK(BI53),,BI53-BI52)</f>
        <v>9</v>
      </c>
      <c r="BH53" s="334">
        <f t="shared" si="847"/>
        <v>0</v>
      </c>
      <c r="BI53" s="335">
        <v>247</v>
      </c>
      <c r="BJ53" s="336">
        <v>4</v>
      </c>
      <c r="BK53" s="337">
        <f t="shared" ref="BK53:BL53" si="848">IF(ISBLANK(BM53),,BM53-BM52)</f>
        <v>0</v>
      </c>
      <c r="BL53" s="334">
        <f t="shared" si="848"/>
        <v>0</v>
      </c>
      <c r="BM53" s="335">
        <v>145</v>
      </c>
      <c r="BN53" s="339">
        <v>1</v>
      </c>
      <c r="BO53" s="316">
        <f t="shared" ref="BO53:BP53" si="849">IF(ISBLANK(BQ53),,BQ53-BQ52)</f>
        <v>18</v>
      </c>
      <c r="BP53" s="334">
        <f t="shared" si="849"/>
        <v>5</v>
      </c>
      <c r="BQ53" s="335">
        <v>1099</v>
      </c>
      <c r="BR53" s="336">
        <v>66</v>
      </c>
      <c r="BS53" s="316">
        <f t="shared" ref="BS53:BT53" si="850">IF(ISBLANK(BU53),,BU53-BU52)</f>
        <v>9</v>
      </c>
      <c r="BT53" s="334">
        <f t="shared" si="850"/>
        <v>0</v>
      </c>
      <c r="BU53" s="335">
        <v>288</v>
      </c>
      <c r="BV53" s="336">
        <v>4</v>
      </c>
      <c r="BW53" s="233"/>
      <c r="BX53" s="233"/>
      <c r="BY53" s="233"/>
      <c r="BZ53" s="233"/>
      <c r="CA53" s="233"/>
      <c r="CB53" s="233"/>
      <c r="CC53" s="233"/>
      <c r="CD53" s="233"/>
      <c r="CE53" s="233"/>
    </row>
    <row r="54" spans="1:83" x14ac:dyDescent="0.25">
      <c r="A54" s="313">
        <v>43944</v>
      </c>
      <c r="B54" s="314">
        <v>51</v>
      </c>
      <c r="C54" s="315"/>
      <c r="D54" s="316">
        <v>342</v>
      </c>
      <c r="E54" s="317">
        <v>28</v>
      </c>
      <c r="F54" s="318">
        <v>1740</v>
      </c>
      <c r="G54" s="319"/>
      <c r="H54" s="330">
        <f t="shared" ref="H54:I54" si="851">IF(ISBLANK(D54),,H53+D54)</f>
        <v>10448</v>
      </c>
      <c r="I54" s="331">
        <f t="shared" si="851"/>
        <v>453</v>
      </c>
      <c r="J54" s="332">
        <f t="shared" si="1"/>
        <v>227</v>
      </c>
      <c r="K54" s="333">
        <f t="shared" ref="K54:L54" si="852">IF(ISBLANK(M54),,M54-M53)</f>
        <v>68</v>
      </c>
      <c r="L54" s="334">
        <f t="shared" si="852"/>
        <v>0</v>
      </c>
      <c r="M54" s="335">
        <v>1212</v>
      </c>
      <c r="N54" s="336">
        <v>36</v>
      </c>
      <c r="O54" s="337">
        <f t="shared" ref="O54:P54" si="853">IF(ISBLANK(Q54),,Q54-Q53)</f>
        <v>8</v>
      </c>
      <c r="P54" s="338">
        <f t="shared" si="853"/>
        <v>0</v>
      </c>
      <c r="Q54" s="335">
        <v>460</v>
      </c>
      <c r="R54" s="339">
        <v>20</v>
      </c>
      <c r="S54" s="316">
        <f t="shared" ref="S54:T54" si="854">IF(ISBLANK(U54),,U54-U53)</f>
        <v>4</v>
      </c>
      <c r="T54" s="334">
        <f t="shared" si="854"/>
        <v>0</v>
      </c>
      <c r="U54" s="335">
        <v>336</v>
      </c>
      <c r="V54" s="336">
        <v>10</v>
      </c>
      <c r="W54" s="337">
        <f t="shared" ref="W54:X54" si="855">IF(ISBLANK(Y54),,Y54-Y53)</f>
        <v>0</v>
      </c>
      <c r="X54" s="334">
        <f t="shared" si="855"/>
        <v>0</v>
      </c>
      <c r="Y54" s="335">
        <v>85</v>
      </c>
      <c r="Z54" s="340">
        <v>0</v>
      </c>
      <c r="AA54" s="316">
        <f t="shared" ref="AA54:AB54" si="856">IF(ISBLANK(AC54),,AC54-AC53)</f>
        <v>16</v>
      </c>
      <c r="AB54" s="334">
        <f t="shared" si="856"/>
        <v>7</v>
      </c>
      <c r="AC54" s="335">
        <v>781</v>
      </c>
      <c r="AD54" s="336">
        <v>20</v>
      </c>
      <c r="AE54" s="337">
        <f t="shared" ref="AE54:AF54" si="857">IF(ISBLANK(AG54),,AG54-AG53)</f>
        <v>32</v>
      </c>
      <c r="AF54" s="334">
        <f t="shared" si="857"/>
        <v>2</v>
      </c>
      <c r="AG54" s="335">
        <v>766</v>
      </c>
      <c r="AH54" s="339">
        <v>23</v>
      </c>
      <c r="AI54" s="316">
        <f t="shared" ref="AI54:AJ54" si="858">IF(ISBLANK(AK54),,AK54-AK53)</f>
        <v>68</v>
      </c>
      <c r="AJ54" s="334">
        <f t="shared" si="858"/>
        <v>10</v>
      </c>
      <c r="AK54" s="335">
        <v>2166</v>
      </c>
      <c r="AL54" s="336">
        <v>141</v>
      </c>
      <c r="AM54" s="337">
        <f t="shared" ref="AM54:AN54" si="859">IF(ISBLANK(AO54),,AO54-AO53)</f>
        <v>6</v>
      </c>
      <c r="AN54" s="334">
        <f t="shared" si="859"/>
        <v>2</v>
      </c>
      <c r="AO54" s="335">
        <v>330</v>
      </c>
      <c r="AP54" s="339">
        <v>17</v>
      </c>
      <c r="AQ54" s="316">
        <f t="shared" ref="AQ54:AR54" si="860">IF(ISBLANK(AS54),,AS54-AS53)</f>
        <v>3</v>
      </c>
      <c r="AR54" s="338">
        <f t="shared" si="860"/>
        <v>0</v>
      </c>
      <c r="AS54" s="335">
        <v>279</v>
      </c>
      <c r="AT54" s="336">
        <v>16</v>
      </c>
      <c r="AU54" s="337">
        <f t="shared" ref="AU54:AV54" si="861">IF(ISBLANK(AW54),,AW54-AW53)</f>
        <v>6</v>
      </c>
      <c r="AV54" s="334">
        <f t="shared" si="861"/>
        <v>0</v>
      </c>
      <c r="AW54" s="335">
        <v>341</v>
      </c>
      <c r="AX54" s="339">
        <v>2</v>
      </c>
      <c r="AY54" s="316">
        <f t="shared" ref="AY54:AZ54" si="862">IF(ISBLANK(BA54),,BA54-BA53)</f>
        <v>12</v>
      </c>
      <c r="AZ54" s="334">
        <f t="shared" si="862"/>
        <v>0</v>
      </c>
      <c r="BA54" s="335">
        <v>243</v>
      </c>
      <c r="BB54" s="336">
        <v>3</v>
      </c>
      <c r="BC54" s="337">
        <f t="shared" ref="BC54:BD54" si="863">IF(ISBLANK(BE54),,BE54-BE53)</f>
        <v>35</v>
      </c>
      <c r="BD54" s="334">
        <f t="shared" si="863"/>
        <v>3</v>
      </c>
      <c r="BE54" s="335">
        <v>1586</v>
      </c>
      <c r="BF54" s="339">
        <v>86</v>
      </c>
      <c r="BG54" s="316">
        <f t="shared" ref="BG54:BH54" si="864">IF(ISBLANK(BI54),,BI54-BI53)</f>
        <v>1</v>
      </c>
      <c r="BH54" s="334">
        <f t="shared" si="864"/>
        <v>2</v>
      </c>
      <c r="BI54" s="335">
        <v>248</v>
      </c>
      <c r="BJ54" s="336">
        <v>6</v>
      </c>
      <c r="BK54" s="337">
        <f t="shared" ref="BK54:BL54" si="865">IF(ISBLANK(BM54),,BM54-BM53)</f>
        <v>0</v>
      </c>
      <c r="BL54" s="334">
        <f t="shared" si="865"/>
        <v>0</v>
      </c>
      <c r="BM54" s="335">
        <v>145</v>
      </c>
      <c r="BN54" s="339">
        <v>1</v>
      </c>
      <c r="BO54" s="316">
        <f t="shared" ref="BO54:BP54" si="866">IF(ISBLANK(BQ54),,BQ54-BQ53)</f>
        <v>67</v>
      </c>
      <c r="BP54" s="334">
        <f t="shared" si="866"/>
        <v>2</v>
      </c>
      <c r="BQ54" s="335">
        <v>1166</v>
      </c>
      <c r="BR54" s="336">
        <v>68</v>
      </c>
      <c r="BS54" s="316">
        <f t="shared" ref="BS54:BT54" si="867">IF(ISBLANK(BU54),,BU54-BU53)</f>
        <v>16</v>
      </c>
      <c r="BT54" s="334">
        <f t="shared" si="867"/>
        <v>0</v>
      </c>
      <c r="BU54" s="335">
        <v>304</v>
      </c>
      <c r="BV54" s="336">
        <v>4</v>
      </c>
      <c r="BW54" s="233"/>
      <c r="BX54" s="233"/>
      <c r="BY54" s="233"/>
      <c r="BZ54" s="233"/>
      <c r="CA54" s="233"/>
      <c r="CB54" s="233"/>
      <c r="CC54" s="233"/>
      <c r="CD54" s="233"/>
      <c r="CE54" s="233"/>
    </row>
    <row r="55" spans="1:83" x14ac:dyDescent="0.25">
      <c r="A55" s="313">
        <v>43945</v>
      </c>
      <c r="B55" s="314">
        <v>52</v>
      </c>
      <c r="C55" s="315"/>
      <c r="D55" s="316">
        <v>381</v>
      </c>
      <c r="E55" s="317">
        <v>40</v>
      </c>
      <c r="F55" s="318">
        <v>1944</v>
      </c>
      <c r="G55" s="319"/>
      <c r="H55" s="330">
        <f t="shared" ref="H55:I55" si="868">IF(ISBLANK(D55),,H54+D55)</f>
        <v>10829</v>
      </c>
      <c r="I55" s="331">
        <f t="shared" si="868"/>
        <v>493</v>
      </c>
      <c r="J55" s="332">
        <f t="shared" si="1"/>
        <v>204</v>
      </c>
      <c r="K55" s="333">
        <f t="shared" ref="K55:L55" si="869">IF(ISBLANK(M55),,M55-M54)</f>
        <v>23</v>
      </c>
      <c r="L55" s="334">
        <f t="shared" si="869"/>
        <v>1</v>
      </c>
      <c r="M55" s="335">
        <v>1235</v>
      </c>
      <c r="N55" s="336">
        <v>37</v>
      </c>
      <c r="O55" s="337">
        <f t="shared" ref="O55:P55" si="870">IF(ISBLANK(Q55),,Q55-Q54)</f>
        <v>11</v>
      </c>
      <c r="P55" s="338">
        <f t="shared" si="870"/>
        <v>4</v>
      </c>
      <c r="Q55" s="335">
        <v>471</v>
      </c>
      <c r="R55" s="339">
        <v>24</v>
      </c>
      <c r="S55" s="316">
        <f t="shared" ref="S55:T55" si="871">IF(ISBLANK(U55),,U55-U54)</f>
        <v>6</v>
      </c>
      <c r="T55" s="334">
        <f t="shared" si="871"/>
        <v>0</v>
      </c>
      <c r="U55" s="335">
        <v>342</v>
      </c>
      <c r="V55" s="336">
        <v>10</v>
      </c>
      <c r="W55" s="337">
        <f t="shared" ref="W55:X55" si="872">IF(ISBLANK(Y55),,Y55-Y54)</f>
        <v>0</v>
      </c>
      <c r="X55" s="334">
        <f t="shared" si="872"/>
        <v>0</v>
      </c>
      <c r="Y55" s="335">
        <v>85</v>
      </c>
      <c r="Z55" s="340">
        <v>0</v>
      </c>
      <c r="AA55" s="316">
        <f t="shared" ref="AA55:AB55" si="873">IF(ISBLANK(AC55),,AC55-AC54)</f>
        <v>32</v>
      </c>
      <c r="AB55" s="334">
        <f t="shared" si="873"/>
        <v>1</v>
      </c>
      <c r="AC55" s="335">
        <v>813</v>
      </c>
      <c r="AD55" s="336">
        <v>21</v>
      </c>
      <c r="AE55" s="337">
        <f t="shared" ref="AE55:AF55" si="874">IF(ISBLANK(AG55),,AG55-AG54)</f>
        <v>22</v>
      </c>
      <c r="AF55" s="334">
        <f t="shared" si="874"/>
        <v>2</v>
      </c>
      <c r="AG55" s="335">
        <v>788</v>
      </c>
      <c r="AH55" s="339">
        <v>25</v>
      </c>
      <c r="AI55" s="316">
        <f t="shared" ref="AI55:AJ55" si="875">IF(ISBLANK(AK55),,AK55-AK54)</f>
        <v>40</v>
      </c>
      <c r="AJ55" s="334">
        <f t="shared" si="875"/>
        <v>18</v>
      </c>
      <c r="AK55" s="335">
        <v>2206</v>
      </c>
      <c r="AL55" s="336">
        <v>159</v>
      </c>
      <c r="AM55" s="337">
        <f t="shared" ref="AM55:AN55" si="876">IF(ISBLANK(AO55),,AO55-AO54)</f>
        <v>15</v>
      </c>
      <c r="AN55" s="334">
        <f t="shared" si="876"/>
        <v>4</v>
      </c>
      <c r="AO55" s="335">
        <v>345</v>
      </c>
      <c r="AP55" s="339">
        <v>21</v>
      </c>
      <c r="AQ55" s="316">
        <f t="shared" ref="AQ55:AR55" si="877">IF(ISBLANK(AS55),,AS55-AS54)</f>
        <v>9</v>
      </c>
      <c r="AR55" s="338">
        <f t="shared" si="877"/>
        <v>0</v>
      </c>
      <c r="AS55" s="335">
        <v>288</v>
      </c>
      <c r="AT55" s="336">
        <v>16</v>
      </c>
      <c r="AU55" s="337">
        <f t="shared" ref="AU55:AV55" si="878">IF(ISBLANK(AW55),,AW55-AW54)</f>
        <v>3</v>
      </c>
      <c r="AV55" s="334">
        <f t="shared" si="878"/>
        <v>1</v>
      </c>
      <c r="AW55" s="335">
        <v>344</v>
      </c>
      <c r="AX55" s="339">
        <v>3</v>
      </c>
      <c r="AY55" s="316">
        <f t="shared" ref="AY55:AZ55" si="879">IF(ISBLANK(BA55),,BA55-BA54)</f>
        <v>14</v>
      </c>
      <c r="AZ55" s="334">
        <f t="shared" si="879"/>
        <v>0</v>
      </c>
      <c r="BA55" s="335">
        <v>257</v>
      </c>
      <c r="BB55" s="336">
        <v>3</v>
      </c>
      <c r="BC55" s="337">
        <f t="shared" ref="BC55:BD55" si="880">IF(ISBLANK(BE55),,BE55-BE54)</f>
        <v>97</v>
      </c>
      <c r="BD55" s="334">
        <f t="shared" si="880"/>
        <v>3</v>
      </c>
      <c r="BE55" s="335">
        <v>1683</v>
      </c>
      <c r="BF55" s="339">
        <v>89</v>
      </c>
      <c r="BG55" s="316">
        <f t="shared" ref="BG55:BH55" si="881">IF(ISBLANK(BI55),,BI55-BI54)</f>
        <v>6</v>
      </c>
      <c r="BH55" s="334">
        <f t="shared" si="881"/>
        <v>0</v>
      </c>
      <c r="BI55" s="335">
        <v>254</v>
      </c>
      <c r="BJ55" s="336">
        <v>6</v>
      </c>
      <c r="BK55" s="337">
        <f t="shared" ref="BK55:BL55" si="882">IF(ISBLANK(BM55),,BM55-BM54)</f>
        <v>1</v>
      </c>
      <c r="BL55" s="334">
        <f t="shared" si="882"/>
        <v>0</v>
      </c>
      <c r="BM55" s="335">
        <v>146</v>
      </c>
      <c r="BN55" s="339">
        <v>1</v>
      </c>
      <c r="BO55" s="316">
        <f t="shared" ref="BO55:BP55" si="883">IF(ISBLANK(BQ55),,BQ55-BQ54)</f>
        <v>70</v>
      </c>
      <c r="BP55" s="334">
        <f t="shared" si="883"/>
        <v>4</v>
      </c>
      <c r="BQ55" s="335">
        <v>1236</v>
      </c>
      <c r="BR55" s="336">
        <v>72</v>
      </c>
      <c r="BS55" s="316">
        <f t="shared" ref="BS55:BT55" si="884">IF(ISBLANK(BU55),,BU55-BU54)</f>
        <v>32</v>
      </c>
      <c r="BT55" s="334">
        <f t="shared" si="884"/>
        <v>2</v>
      </c>
      <c r="BU55" s="335">
        <v>336</v>
      </c>
      <c r="BV55" s="336">
        <v>6</v>
      </c>
      <c r="BW55" s="233"/>
      <c r="BX55" s="233"/>
      <c r="BY55" s="233"/>
      <c r="BZ55" s="233"/>
      <c r="CA55" s="233"/>
      <c r="CB55" s="233"/>
      <c r="CC55" s="233"/>
      <c r="CD55" s="233"/>
      <c r="CE55" s="233"/>
    </row>
    <row r="56" spans="1:83" x14ac:dyDescent="0.25">
      <c r="A56" s="313">
        <v>43946</v>
      </c>
      <c r="B56" s="314">
        <v>53</v>
      </c>
      <c r="C56" s="315"/>
      <c r="D56" s="316">
        <v>381</v>
      </c>
      <c r="E56" s="317">
        <v>30</v>
      </c>
      <c r="F56" s="318">
        <v>2126</v>
      </c>
      <c r="G56" s="319"/>
      <c r="H56" s="330">
        <f t="shared" ref="H56:I56" si="885">IF(ISBLANK(D56),,H55+D56)</f>
        <v>11210</v>
      </c>
      <c r="I56" s="331">
        <f t="shared" si="885"/>
        <v>523</v>
      </c>
      <c r="J56" s="332">
        <f t="shared" si="1"/>
        <v>182</v>
      </c>
      <c r="K56" s="333">
        <f t="shared" ref="K56:L56" si="886">IF(ISBLANK(M56),,M56-M55)</f>
        <v>43</v>
      </c>
      <c r="L56" s="334">
        <f t="shared" si="886"/>
        <v>3</v>
      </c>
      <c r="M56" s="335">
        <v>1278</v>
      </c>
      <c r="N56" s="336">
        <v>40</v>
      </c>
      <c r="O56" s="337">
        <f t="shared" ref="O56:P56" si="887">IF(ISBLANK(Q56),,Q56-Q55)</f>
        <v>3</v>
      </c>
      <c r="P56" s="338">
        <f t="shared" si="887"/>
        <v>2</v>
      </c>
      <c r="Q56" s="335">
        <v>474</v>
      </c>
      <c r="R56" s="339">
        <v>26</v>
      </c>
      <c r="S56" s="316">
        <f t="shared" ref="S56:T56" si="888">IF(ISBLANK(U56),,U56-U55)</f>
        <v>4</v>
      </c>
      <c r="T56" s="334">
        <f t="shared" si="888"/>
        <v>0</v>
      </c>
      <c r="U56" s="335">
        <v>346</v>
      </c>
      <c r="V56" s="336">
        <v>10</v>
      </c>
      <c r="W56" s="337">
        <f t="shared" ref="W56:X56" si="889">IF(ISBLANK(Y56),,Y56-Y55)</f>
        <v>0</v>
      </c>
      <c r="X56" s="334">
        <f t="shared" si="889"/>
        <v>0</v>
      </c>
      <c r="Y56" s="335">
        <v>85</v>
      </c>
      <c r="Z56" s="340">
        <v>0</v>
      </c>
      <c r="AA56" s="316">
        <f t="shared" ref="AA56:AB56" si="890">IF(ISBLANK(AC56),,AC56-AC55)</f>
        <v>23</v>
      </c>
      <c r="AB56" s="334">
        <f t="shared" si="890"/>
        <v>1</v>
      </c>
      <c r="AC56" s="335">
        <v>836</v>
      </c>
      <c r="AD56" s="336">
        <v>22</v>
      </c>
      <c r="AE56" s="337">
        <f t="shared" ref="AE56:AF56" si="891">IF(ISBLANK(AG56),,AG56-AG55)</f>
        <v>24</v>
      </c>
      <c r="AF56" s="334">
        <f t="shared" si="891"/>
        <v>2</v>
      </c>
      <c r="AG56" s="335">
        <v>812</v>
      </c>
      <c r="AH56" s="339">
        <v>27</v>
      </c>
      <c r="AI56" s="316">
        <f t="shared" ref="AI56:AJ56" si="892">IF(ISBLANK(AK56),,AK56-AK55)</f>
        <v>96</v>
      </c>
      <c r="AJ56" s="334">
        <f t="shared" si="892"/>
        <v>11</v>
      </c>
      <c r="AK56" s="335">
        <v>2302</v>
      </c>
      <c r="AL56" s="336">
        <v>170</v>
      </c>
      <c r="AM56" s="337">
        <f t="shared" ref="AM56:AN56" si="893">IF(ISBLANK(AO56),,AO56-AO55)</f>
        <v>7</v>
      </c>
      <c r="AN56" s="334">
        <f t="shared" si="893"/>
        <v>2</v>
      </c>
      <c r="AO56" s="335">
        <v>352</v>
      </c>
      <c r="AP56" s="339">
        <v>23</v>
      </c>
      <c r="AQ56" s="316">
        <f t="shared" ref="AQ56:AR56" si="894">IF(ISBLANK(AS56),,AS56-AS55)</f>
        <v>23</v>
      </c>
      <c r="AR56" s="338">
        <f t="shared" si="894"/>
        <v>0</v>
      </c>
      <c r="AS56" s="335">
        <v>311</v>
      </c>
      <c r="AT56" s="336">
        <v>16</v>
      </c>
      <c r="AU56" s="337">
        <f t="shared" ref="AU56:AV56" si="895">IF(ISBLANK(AW56),,AW56-AW55)</f>
        <v>14</v>
      </c>
      <c r="AV56" s="334">
        <f t="shared" si="895"/>
        <v>0</v>
      </c>
      <c r="AW56" s="335">
        <v>358</v>
      </c>
      <c r="AX56" s="339">
        <v>3</v>
      </c>
      <c r="AY56" s="316">
        <f t="shared" ref="AY56:AZ56" si="896">IF(ISBLANK(BA56),,BA56-BA55)</f>
        <v>39</v>
      </c>
      <c r="AZ56" s="334">
        <f t="shared" si="896"/>
        <v>0</v>
      </c>
      <c r="BA56" s="335">
        <v>296</v>
      </c>
      <c r="BB56" s="336">
        <v>3</v>
      </c>
      <c r="BC56" s="337">
        <f t="shared" ref="BC56:BD56" si="897">IF(ISBLANK(BE56),,BE56-BE55)</f>
        <v>67</v>
      </c>
      <c r="BD56" s="334">
        <f t="shared" si="897"/>
        <v>4</v>
      </c>
      <c r="BE56" s="335">
        <v>1750</v>
      </c>
      <c r="BF56" s="339">
        <v>93</v>
      </c>
      <c r="BG56" s="316">
        <f t="shared" ref="BG56:BH56" si="898">IF(ISBLANK(BI56),,BI56-BI55)</f>
        <v>1</v>
      </c>
      <c r="BH56" s="334">
        <f t="shared" si="898"/>
        <v>1</v>
      </c>
      <c r="BI56" s="335">
        <v>255</v>
      </c>
      <c r="BJ56" s="336">
        <v>7</v>
      </c>
      <c r="BK56" s="337">
        <f t="shared" ref="BK56:BL56" si="899">IF(ISBLANK(BM56),,BM56-BM55)</f>
        <v>0</v>
      </c>
      <c r="BL56" s="334">
        <f t="shared" si="899"/>
        <v>0</v>
      </c>
      <c r="BM56" s="335">
        <v>146</v>
      </c>
      <c r="BN56" s="339">
        <v>1</v>
      </c>
      <c r="BO56" s="316">
        <f t="shared" ref="BO56:BP56" si="900">IF(ISBLANK(BQ56),,BQ56-BQ55)</f>
        <v>30</v>
      </c>
      <c r="BP56" s="334">
        <f t="shared" si="900"/>
        <v>3</v>
      </c>
      <c r="BQ56" s="335">
        <v>1266</v>
      </c>
      <c r="BR56" s="336">
        <v>75</v>
      </c>
      <c r="BS56" s="316">
        <f t="shared" ref="BS56:BT56" si="901">IF(ISBLANK(BU56),,BU56-BU55)</f>
        <v>7</v>
      </c>
      <c r="BT56" s="334">
        <f t="shared" si="901"/>
        <v>1</v>
      </c>
      <c r="BU56" s="335">
        <v>343</v>
      </c>
      <c r="BV56" s="336">
        <v>7</v>
      </c>
      <c r="BW56" s="233"/>
      <c r="BX56" s="233"/>
      <c r="BY56" s="233"/>
      <c r="BZ56" s="233"/>
      <c r="CA56" s="233"/>
      <c r="CB56" s="233"/>
      <c r="CC56" s="233"/>
      <c r="CD56" s="233"/>
      <c r="CE56" s="233"/>
    </row>
    <row r="57" spans="1:83" x14ac:dyDescent="0.25">
      <c r="A57" s="313">
        <v>43947</v>
      </c>
      <c r="B57" s="314">
        <v>54</v>
      </c>
      <c r="C57" s="315"/>
      <c r="D57" s="316">
        <v>344</v>
      </c>
      <c r="E57" s="317">
        <v>12</v>
      </c>
      <c r="F57" s="318">
        <v>2265</v>
      </c>
      <c r="G57" s="319"/>
      <c r="H57" s="330">
        <f t="shared" ref="H57:I57" si="902">IF(ISBLANK(D57),,H56+D57)</f>
        <v>11554</v>
      </c>
      <c r="I57" s="331">
        <f t="shared" si="902"/>
        <v>535</v>
      </c>
      <c r="J57" s="332">
        <f t="shared" si="1"/>
        <v>139</v>
      </c>
      <c r="K57" s="333">
        <f t="shared" ref="K57:L57" si="903">IF(ISBLANK(M57),,M57-M56)</f>
        <v>63</v>
      </c>
      <c r="L57" s="334">
        <f t="shared" si="903"/>
        <v>1</v>
      </c>
      <c r="M57" s="335">
        <v>1341</v>
      </c>
      <c r="N57" s="336">
        <v>41</v>
      </c>
      <c r="O57" s="337">
        <f t="shared" ref="O57:P57" si="904">IF(ISBLANK(Q57),,Q57-Q56)</f>
        <v>4</v>
      </c>
      <c r="P57" s="338">
        <f t="shared" si="904"/>
        <v>0</v>
      </c>
      <c r="Q57" s="335">
        <v>478</v>
      </c>
      <c r="R57" s="339">
        <v>26</v>
      </c>
      <c r="S57" s="316">
        <f t="shared" ref="S57:T57" si="905">IF(ISBLANK(U57),,U57-U56)</f>
        <v>5</v>
      </c>
      <c r="T57" s="334">
        <f t="shared" si="905"/>
        <v>2</v>
      </c>
      <c r="U57" s="335">
        <v>351</v>
      </c>
      <c r="V57" s="336">
        <v>12</v>
      </c>
      <c r="W57" s="337">
        <f t="shared" ref="W57:X57" si="906">IF(ISBLANK(Y57),,Y57-Y56)</f>
        <v>2</v>
      </c>
      <c r="X57" s="334">
        <f t="shared" si="906"/>
        <v>0</v>
      </c>
      <c r="Y57" s="335">
        <v>87</v>
      </c>
      <c r="Z57" s="340">
        <v>0</v>
      </c>
      <c r="AA57" s="316">
        <f t="shared" ref="AA57:AB57" si="907">IF(ISBLANK(AC57),,AC57-AC56)</f>
        <v>19</v>
      </c>
      <c r="AB57" s="334">
        <f t="shared" si="907"/>
        <v>0</v>
      </c>
      <c r="AC57" s="335">
        <v>855</v>
      </c>
      <c r="AD57" s="336">
        <v>22</v>
      </c>
      <c r="AE57" s="337">
        <f t="shared" ref="AE57:AF57" si="908">IF(ISBLANK(AG57),,AG57-AG56)</f>
        <v>9</v>
      </c>
      <c r="AF57" s="334">
        <f t="shared" si="908"/>
        <v>0</v>
      </c>
      <c r="AG57" s="335">
        <v>821</v>
      </c>
      <c r="AH57" s="339">
        <v>27</v>
      </c>
      <c r="AI57" s="316">
        <f t="shared" ref="AI57:AJ57" si="909">IF(ISBLANK(AK57),,AK57-AK56)</f>
        <v>46</v>
      </c>
      <c r="AJ57" s="334">
        <f t="shared" si="909"/>
        <v>3</v>
      </c>
      <c r="AK57" s="335">
        <v>2348</v>
      </c>
      <c r="AL57" s="336">
        <v>173</v>
      </c>
      <c r="AM57" s="337">
        <f t="shared" ref="AM57:AN57" si="910">IF(ISBLANK(AO57),,AO57-AO56)</f>
        <v>11</v>
      </c>
      <c r="AN57" s="334">
        <f t="shared" si="910"/>
        <v>1</v>
      </c>
      <c r="AO57" s="335">
        <v>363</v>
      </c>
      <c r="AP57" s="339">
        <v>24</v>
      </c>
      <c r="AQ57" s="316">
        <f t="shared" ref="AQ57:AR57" si="911">IF(ISBLANK(AS57),,AS57-AS56)</f>
        <v>2</v>
      </c>
      <c r="AR57" s="338">
        <f t="shared" si="911"/>
        <v>0</v>
      </c>
      <c r="AS57" s="335">
        <v>313</v>
      </c>
      <c r="AT57" s="336">
        <v>16</v>
      </c>
      <c r="AU57" s="337">
        <f t="shared" ref="AU57:AV57" si="912">IF(ISBLANK(AW57),,AW57-AW56)</f>
        <v>3</v>
      </c>
      <c r="AV57" s="334">
        <f t="shared" si="912"/>
        <v>0</v>
      </c>
      <c r="AW57" s="335">
        <v>361</v>
      </c>
      <c r="AX57" s="339">
        <v>3</v>
      </c>
      <c r="AY57" s="316">
        <f t="shared" ref="AY57:AZ57" si="913">IF(ISBLANK(BA57),,BA57-BA56)</f>
        <v>50</v>
      </c>
      <c r="AZ57" s="334">
        <f t="shared" si="913"/>
        <v>0</v>
      </c>
      <c r="BA57" s="335">
        <v>346</v>
      </c>
      <c r="BB57" s="336">
        <v>3</v>
      </c>
      <c r="BC57" s="337">
        <f t="shared" ref="BC57:BD57" si="914">IF(ISBLANK(BE57),,BE57-BE56)</f>
        <v>74</v>
      </c>
      <c r="BD57" s="334">
        <f t="shared" si="914"/>
        <v>1</v>
      </c>
      <c r="BE57" s="335">
        <v>1824</v>
      </c>
      <c r="BF57" s="339">
        <v>94</v>
      </c>
      <c r="BG57" s="316">
        <f t="shared" ref="BG57:BH57" si="915">IF(ISBLANK(BI57),,BI57-BI56)</f>
        <v>3</v>
      </c>
      <c r="BH57" s="334">
        <f t="shared" si="915"/>
        <v>0</v>
      </c>
      <c r="BI57" s="335">
        <v>258</v>
      </c>
      <c r="BJ57" s="336">
        <v>7</v>
      </c>
      <c r="BK57" s="337">
        <f t="shared" ref="BK57:BL57" si="916">IF(ISBLANK(BM57),,BM57-BM56)</f>
        <v>0</v>
      </c>
      <c r="BL57" s="334">
        <f t="shared" si="916"/>
        <v>0</v>
      </c>
      <c r="BM57" s="335">
        <v>146</v>
      </c>
      <c r="BN57" s="339">
        <v>1</v>
      </c>
      <c r="BO57" s="316">
        <f t="shared" ref="BO57:BP57" si="917">IF(ISBLANK(BQ57),,BQ57-BQ56)</f>
        <v>41</v>
      </c>
      <c r="BP57" s="334">
        <f t="shared" si="917"/>
        <v>2</v>
      </c>
      <c r="BQ57" s="335">
        <v>1307</v>
      </c>
      <c r="BR57" s="336">
        <v>77</v>
      </c>
      <c r="BS57" s="316">
        <f t="shared" ref="BS57:BT57" si="918">IF(ISBLANK(BU57),,BU57-BU56)</f>
        <v>12</v>
      </c>
      <c r="BT57" s="334">
        <f t="shared" si="918"/>
        <v>2</v>
      </c>
      <c r="BU57" s="335">
        <v>355</v>
      </c>
      <c r="BV57" s="336">
        <v>9</v>
      </c>
      <c r="BW57" s="233"/>
      <c r="BX57" s="233"/>
      <c r="BY57" s="233"/>
      <c r="BZ57" s="233"/>
      <c r="CA57" s="233"/>
      <c r="CB57" s="233"/>
      <c r="CC57" s="233"/>
      <c r="CD57" s="233"/>
      <c r="CE57" s="233"/>
    </row>
    <row r="58" spans="1:83" x14ac:dyDescent="0.25">
      <c r="A58" s="313">
        <v>43948</v>
      </c>
      <c r="B58" s="314">
        <v>55</v>
      </c>
      <c r="C58" s="315"/>
      <c r="D58" s="316">
        <v>285</v>
      </c>
      <c r="E58" s="317">
        <v>26</v>
      </c>
      <c r="F58" s="318">
        <v>2466</v>
      </c>
      <c r="G58" s="319"/>
      <c r="H58" s="330">
        <f t="shared" ref="H58:I58" si="919">IF(ISBLANK(D58),,H57+D58)</f>
        <v>11839</v>
      </c>
      <c r="I58" s="331">
        <f t="shared" si="919"/>
        <v>561</v>
      </c>
      <c r="J58" s="332">
        <f t="shared" si="1"/>
        <v>201</v>
      </c>
      <c r="K58" s="333">
        <f t="shared" ref="K58:L58" si="920">IF(ISBLANK(M58),,M58-M57)</f>
        <v>71</v>
      </c>
      <c r="L58" s="334">
        <f t="shared" si="920"/>
        <v>0</v>
      </c>
      <c r="M58" s="335">
        <v>1412</v>
      </c>
      <c r="N58" s="336">
        <v>41</v>
      </c>
      <c r="O58" s="337">
        <f t="shared" ref="O58:P58" si="921">IF(ISBLANK(Q58),,Q58-Q57)</f>
        <v>5</v>
      </c>
      <c r="P58" s="338">
        <f t="shared" si="921"/>
        <v>0</v>
      </c>
      <c r="Q58" s="335">
        <v>483</v>
      </c>
      <c r="R58" s="339">
        <v>26</v>
      </c>
      <c r="S58" s="316">
        <f t="shared" ref="S58:T58" si="922">IF(ISBLANK(U58),,U58-U57)</f>
        <v>2</v>
      </c>
      <c r="T58" s="334">
        <f t="shared" si="922"/>
        <v>1</v>
      </c>
      <c r="U58" s="335">
        <v>353</v>
      </c>
      <c r="V58" s="336">
        <v>13</v>
      </c>
      <c r="W58" s="337">
        <f t="shared" ref="W58:X58" si="923">IF(ISBLANK(Y58),,Y58-Y57)</f>
        <v>0</v>
      </c>
      <c r="X58" s="334">
        <f t="shared" si="923"/>
        <v>0</v>
      </c>
      <c r="Y58" s="335">
        <v>87</v>
      </c>
      <c r="Z58" s="340">
        <v>0</v>
      </c>
      <c r="AA58" s="316">
        <f t="shared" ref="AA58:AB58" si="924">IF(ISBLANK(AC58),,AC58-AC57)</f>
        <v>35</v>
      </c>
      <c r="AB58" s="334">
        <f t="shared" si="924"/>
        <v>0</v>
      </c>
      <c r="AC58" s="335">
        <v>890</v>
      </c>
      <c r="AD58" s="336">
        <v>22</v>
      </c>
      <c r="AE58" s="337">
        <f t="shared" ref="AE58:AF58" si="925">IF(ISBLANK(AG58),,AG58-AG57)</f>
        <v>20</v>
      </c>
      <c r="AF58" s="334">
        <f t="shared" si="925"/>
        <v>2</v>
      </c>
      <c r="AG58" s="335">
        <v>841</v>
      </c>
      <c r="AH58" s="339">
        <v>29</v>
      </c>
      <c r="AI58" s="316">
        <f t="shared" ref="AI58:AJ58" si="926">IF(ISBLANK(AK58),,AK58-AK57)</f>
        <v>28</v>
      </c>
      <c r="AJ58" s="334">
        <f t="shared" si="926"/>
        <v>7</v>
      </c>
      <c r="AK58" s="335">
        <v>2376</v>
      </c>
      <c r="AL58" s="336">
        <v>180</v>
      </c>
      <c r="AM58" s="337">
        <f t="shared" ref="AM58:AN58" si="927">IF(ISBLANK(AO58),,AO58-AO57)</f>
        <v>10</v>
      </c>
      <c r="AN58" s="334">
        <f t="shared" si="927"/>
        <v>2</v>
      </c>
      <c r="AO58" s="335">
        <v>373</v>
      </c>
      <c r="AP58" s="339">
        <v>26</v>
      </c>
      <c r="AQ58" s="316">
        <f t="shared" ref="AQ58:AR58" si="928">IF(ISBLANK(AS58),,AS58-AS57)</f>
        <v>3</v>
      </c>
      <c r="AR58" s="338">
        <f t="shared" si="928"/>
        <v>2</v>
      </c>
      <c r="AS58" s="335">
        <v>316</v>
      </c>
      <c r="AT58" s="336">
        <v>18</v>
      </c>
      <c r="AU58" s="337">
        <f t="shared" ref="AU58:AV58" si="929">IF(ISBLANK(AW58),,AW58-AW57)</f>
        <v>4</v>
      </c>
      <c r="AV58" s="334">
        <f t="shared" si="929"/>
        <v>0</v>
      </c>
      <c r="AW58" s="335">
        <v>365</v>
      </c>
      <c r="AX58" s="339">
        <v>3</v>
      </c>
      <c r="AY58" s="316">
        <f t="shared" ref="AY58:AZ58" si="930">IF(ISBLANK(BA58),,BA58-BA57)</f>
        <v>11</v>
      </c>
      <c r="AZ58" s="334">
        <f t="shared" si="930"/>
        <v>2</v>
      </c>
      <c r="BA58" s="335">
        <v>357</v>
      </c>
      <c r="BB58" s="336">
        <v>5</v>
      </c>
      <c r="BC58" s="337">
        <f t="shared" ref="BC58:BD58" si="931">IF(ISBLANK(BE58),,BE58-BE57)</f>
        <v>42</v>
      </c>
      <c r="BD58" s="334">
        <f t="shared" si="931"/>
        <v>5</v>
      </c>
      <c r="BE58" s="335">
        <v>1866</v>
      </c>
      <c r="BF58" s="339">
        <v>99</v>
      </c>
      <c r="BG58" s="316">
        <f t="shared" ref="BG58:BH58" si="932">IF(ISBLANK(BI58),,BI58-BI57)</f>
        <v>3</v>
      </c>
      <c r="BH58" s="334">
        <f t="shared" si="932"/>
        <v>0</v>
      </c>
      <c r="BI58" s="335">
        <v>261</v>
      </c>
      <c r="BJ58" s="336">
        <v>7</v>
      </c>
      <c r="BK58" s="337">
        <f t="shared" ref="BK58:BL58" si="933">IF(ISBLANK(BM58),,BM58-BM57)</f>
        <v>0</v>
      </c>
      <c r="BL58" s="334">
        <f t="shared" si="933"/>
        <v>0</v>
      </c>
      <c r="BM58" s="335">
        <v>146</v>
      </c>
      <c r="BN58" s="339">
        <v>1</v>
      </c>
      <c r="BO58" s="316">
        <f t="shared" ref="BO58:BP58" si="934">IF(ISBLANK(BQ58),,BQ58-BQ57)</f>
        <v>36</v>
      </c>
      <c r="BP58" s="334">
        <f t="shared" si="934"/>
        <v>5</v>
      </c>
      <c r="BQ58" s="335">
        <v>1343</v>
      </c>
      <c r="BR58" s="336">
        <v>82</v>
      </c>
      <c r="BS58" s="316">
        <f t="shared" ref="BS58:BT58" si="935">IF(ISBLANK(BU58),,BU58-BU57)</f>
        <v>15</v>
      </c>
      <c r="BT58" s="334">
        <f t="shared" si="935"/>
        <v>0</v>
      </c>
      <c r="BU58" s="335">
        <v>370</v>
      </c>
      <c r="BV58" s="336">
        <v>9</v>
      </c>
      <c r="BW58" s="233"/>
      <c r="BX58" s="233"/>
      <c r="BY58" s="233"/>
      <c r="BZ58" s="233"/>
      <c r="CA58" s="233"/>
      <c r="CB58" s="233"/>
      <c r="CC58" s="233"/>
      <c r="CD58" s="233"/>
      <c r="CE58" s="233"/>
    </row>
    <row r="59" spans="1:83" x14ac:dyDescent="0.25">
      <c r="A59" s="313">
        <v>43949</v>
      </c>
      <c r="B59" s="314">
        <v>56</v>
      </c>
      <c r="C59" s="315"/>
      <c r="D59" s="316">
        <v>316</v>
      </c>
      <c r="E59" s="317">
        <v>34</v>
      </c>
      <c r="F59" s="318">
        <v>2655</v>
      </c>
      <c r="G59" s="319"/>
      <c r="H59" s="330">
        <f t="shared" ref="H59:I59" si="936">IF(ISBLANK(D59),,H58+D59)</f>
        <v>12155</v>
      </c>
      <c r="I59" s="331">
        <f t="shared" si="936"/>
        <v>595</v>
      </c>
      <c r="J59" s="332">
        <f t="shared" si="1"/>
        <v>189</v>
      </c>
      <c r="K59" s="333">
        <f t="shared" ref="K59:L59" si="937">IF(ISBLANK(M59),,M59-M58)</f>
        <v>49</v>
      </c>
      <c r="L59" s="334">
        <f t="shared" si="937"/>
        <v>3</v>
      </c>
      <c r="M59" s="335">
        <v>1461</v>
      </c>
      <c r="N59" s="336">
        <v>44</v>
      </c>
      <c r="O59" s="337">
        <f t="shared" ref="O59:P59" si="938">IF(ISBLANK(Q59),,Q59-Q58)</f>
        <v>35</v>
      </c>
      <c r="P59" s="338">
        <f t="shared" si="938"/>
        <v>1</v>
      </c>
      <c r="Q59" s="335">
        <v>518</v>
      </c>
      <c r="R59" s="339">
        <v>27</v>
      </c>
      <c r="S59" s="316">
        <f t="shared" ref="S59:T59" si="939">IF(ISBLANK(U59),,U59-U58)</f>
        <v>3</v>
      </c>
      <c r="T59" s="334">
        <f t="shared" si="939"/>
        <v>0</v>
      </c>
      <c r="U59" s="335">
        <v>356</v>
      </c>
      <c r="V59" s="336">
        <v>13</v>
      </c>
      <c r="W59" s="337">
        <f t="shared" ref="W59:X59" si="940">IF(ISBLANK(Y59),,Y59-Y58)</f>
        <v>0</v>
      </c>
      <c r="X59" s="334">
        <f t="shared" si="940"/>
        <v>0</v>
      </c>
      <c r="Y59" s="335">
        <v>87</v>
      </c>
      <c r="Z59" s="340">
        <v>0</v>
      </c>
      <c r="AA59" s="316">
        <f t="shared" ref="AA59:AB59" si="941">IF(ISBLANK(AC59),,AC59-AC58)</f>
        <v>14</v>
      </c>
      <c r="AB59" s="334">
        <f t="shared" si="941"/>
        <v>2</v>
      </c>
      <c r="AC59" s="335">
        <v>904</v>
      </c>
      <c r="AD59" s="336">
        <v>24</v>
      </c>
      <c r="AE59" s="337">
        <f t="shared" ref="AE59:AF59" si="942">IF(ISBLANK(AG59),,AG59-AG58)</f>
        <v>11</v>
      </c>
      <c r="AF59" s="334">
        <f t="shared" si="942"/>
        <v>0</v>
      </c>
      <c r="AG59" s="335">
        <v>852</v>
      </c>
      <c r="AH59" s="339">
        <v>29</v>
      </c>
      <c r="AI59" s="316">
        <f t="shared" ref="AI59:AJ59" si="943">IF(ISBLANK(AK59),,AK59-AK58)</f>
        <v>15</v>
      </c>
      <c r="AJ59" s="334">
        <f t="shared" si="943"/>
        <v>13</v>
      </c>
      <c r="AK59" s="335">
        <v>2391</v>
      </c>
      <c r="AL59" s="336">
        <v>193</v>
      </c>
      <c r="AM59" s="337">
        <f t="shared" ref="AM59:AN59" si="944">IF(ISBLANK(AO59),,AO59-AO58)</f>
        <v>5</v>
      </c>
      <c r="AN59" s="334">
        <f t="shared" si="944"/>
        <v>1</v>
      </c>
      <c r="AO59" s="335">
        <v>378</v>
      </c>
      <c r="AP59" s="339">
        <v>27</v>
      </c>
      <c r="AQ59" s="316">
        <f t="shared" ref="AQ59:AR59" si="945">IF(ISBLANK(AS59),,AS59-AS58)</f>
        <v>9</v>
      </c>
      <c r="AR59" s="338">
        <f t="shared" si="945"/>
        <v>1</v>
      </c>
      <c r="AS59" s="335">
        <v>325</v>
      </c>
      <c r="AT59" s="336">
        <v>19</v>
      </c>
      <c r="AU59" s="337">
        <f t="shared" ref="AU59:AV59" si="946">IF(ISBLANK(AW59),,AW59-AW58)</f>
        <v>2</v>
      </c>
      <c r="AV59" s="334">
        <f t="shared" si="946"/>
        <v>0</v>
      </c>
      <c r="AW59" s="335">
        <v>367</v>
      </c>
      <c r="AX59" s="339">
        <v>3</v>
      </c>
      <c r="AY59" s="316">
        <f t="shared" ref="AY59:AZ59" si="947">IF(ISBLANK(BA59),,BA59-BA58)</f>
        <v>37</v>
      </c>
      <c r="AZ59" s="334">
        <f t="shared" si="947"/>
        <v>3</v>
      </c>
      <c r="BA59" s="335">
        <v>394</v>
      </c>
      <c r="BB59" s="336">
        <v>8</v>
      </c>
      <c r="BC59" s="337">
        <f t="shared" ref="BC59:BD59" si="948">IF(ISBLANK(BE59),,BE59-BE58)</f>
        <v>94</v>
      </c>
      <c r="BD59" s="334">
        <f t="shared" si="948"/>
        <v>6</v>
      </c>
      <c r="BE59" s="335">
        <v>1960</v>
      </c>
      <c r="BF59" s="339">
        <v>105</v>
      </c>
      <c r="BG59" s="316">
        <f t="shared" ref="BG59:BH59" si="949">IF(ISBLANK(BI59),,BI59-BI58)</f>
        <v>3</v>
      </c>
      <c r="BH59" s="334">
        <f t="shared" si="949"/>
        <v>1</v>
      </c>
      <c r="BI59" s="335">
        <v>264</v>
      </c>
      <c r="BJ59" s="336">
        <v>8</v>
      </c>
      <c r="BK59" s="337">
        <f t="shared" ref="BK59:BL59" si="950">IF(ISBLANK(BM59),,BM59-BM58)</f>
        <v>0</v>
      </c>
      <c r="BL59" s="334">
        <f t="shared" si="950"/>
        <v>0</v>
      </c>
      <c r="BM59" s="335">
        <v>146</v>
      </c>
      <c r="BN59" s="339">
        <v>1</v>
      </c>
      <c r="BO59" s="316">
        <f t="shared" ref="BO59:BP59" si="951">IF(ISBLANK(BQ59),,BQ59-BQ58)</f>
        <v>33</v>
      </c>
      <c r="BP59" s="334">
        <f t="shared" si="951"/>
        <v>3</v>
      </c>
      <c r="BQ59" s="335">
        <v>1376</v>
      </c>
      <c r="BR59" s="336">
        <v>85</v>
      </c>
      <c r="BS59" s="316">
        <f t="shared" ref="BS59:BT59" si="952">IF(ISBLANK(BU59),,BU59-BU58)</f>
        <v>6</v>
      </c>
      <c r="BT59" s="334">
        <f t="shared" si="952"/>
        <v>0</v>
      </c>
      <c r="BU59" s="335">
        <v>376</v>
      </c>
      <c r="BV59" s="336">
        <v>9</v>
      </c>
      <c r="BW59" s="233"/>
      <c r="BX59" s="233"/>
      <c r="BY59" s="233"/>
      <c r="BZ59" s="233"/>
      <c r="CA59" s="233"/>
      <c r="CB59" s="233"/>
      <c r="CC59" s="233"/>
      <c r="CD59" s="233"/>
      <c r="CE59" s="233"/>
    </row>
    <row r="60" spans="1:83" x14ac:dyDescent="0.25">
      <c r="A60" s="313">
        <v>43950</v>
      </c>
      <c r="B60" s="314">
        <v>57</v>
      </c>
      <c r="C60" s="315"/>
      <c r="D60" s="316">
        <v>422</v>
      </c>
      <c r="E60" s="317">
        <v>28</v>
      </c>
      <c r="F60" s="318">
        <v>3025</v>
      </c>
      <c r="G60" s="319"/>
      <c r="H60" s="330">
        <f t="shared" ref="H60:I60" si="953">IF(ISBLANK(D60),,H59+D60)</f>
        <v>12577</v>
      </c>
      <c r="I60" s="331">
        <f t="shared" si="953"/>
        <v>623</v>
      </c>
      <c r="J60" s="332">
        <f t="shared" si="1"/>
        <v>370</v>
      </c>
      <c r="K60" s="333">
        <f t="shared" ref="K60:L60" si="954">IF(ISBLANK(M60),,M60-M59)</f>
        <v>59</v>
      </c>
      <c r="L60" s="334">
        <f t="shared" si="954"/>
        <v>3</v>
      </c>
      <c r="M60" s="335">
        <v>1520</v>
      </c>
      <c r="N60" s="336">
        <v>47</v>
      </c>
      <c r="O60" s="337">
        <f t="shared" ref="O60:P60" si="955">IF(ISBLANK(Q60),,Q60-Q59)</f>
        <v>19</v>
      </c>
      <c r="P60" s="338">
        <f t="shared" si="955"/>
        <v>1</v>
      </c>
      <c r="Q60" s="335">
        <v>537</v>
      </c>
      <c r="R60" s="339">
        <v>28</v>
      </c>
      <c r="S60" s="316">
        <f t="shared" ref="S60:T60" si="956">IF(ISBLANK(U60),,U60-U59)</f>
        <v>3</v>
      </c>
      <c r="T60" s="334">
        <f t="shared" si="956"/>
        <v>0</v>
      </c>
      <c r="U60" s="335">
        <v>359</v>
      </c>
      <c r="V60" s="336">
        <v>13</v>
      </c>
      <c r="W60" s="337">
        <f t="shared" ref="W60:X60" si="957">IF(ISBLANK(Y60),,Y60-Y59)</f>
        <v>0</v>
      </c>
      <c r="X60" s="334">
        <f t="shared" si="957"/>
        <v>0</v>
      </c>
      <c r="Y60" s="335">
        <v>87</v>
      </c>
      <c r="Z60" s="340">
        <v>0</v>
      </c>
      <c r="AA60" s="316">
        <f t="shared" ref="AA60:AB60" si="958">IF(ISBLANK(AC60),,AC60-AC59)</f>
        <v>32</v>
      </c>
      <c r="AB60" s="334">
        <f t="shared" si="958"/>
        <v>4</v>
      </c>
      <c r="AC60" s="335">
        <v>936</v>
      </c>
      <c r="AD60" s="336">
        <v>28</v>
      </c>
      <c r="AE60" s="337">
        <f t="shared" ref="AE60:AF60" si="959">IF(ISBLANK(AG60),,AG60-AG59)</f>
        <v>24</v>
      </c>
      <c r="AF60" s="334">
        <f t="shared" si="959"/>
        <v>1</v>
      </c>
      <c r="AG60" s="335">
        <v>876</v>
      </c>
      <c r="AH60" s="339">
        <v>30</v>
      </c>
      <c r="AI60" s="316">
        <f t="shared" ref="AI60:AJ60" si="960">IF(ISBLANK(AK60),,AK60-AK59)</f>
        <v>36</v>
      </c>
      <c r="AJ60" s="334">
        <f t="shared" si="960"/>
        <v>3</v>
      </c>
      <c r="AK60" s="335">
        <v>2427</v>
      </c>
      <c r="AL60" s="336">
        <v>196</v>
      </c>
      <c r="AM60" s="337">
        <f t="shared" ref="AM60:AN60" si="961">IF(ISBLANK(AO60),,AO60-AO59)</f>
        <v>12</v>
      </c>
      <c r="AN60" s="334">
        <f t="shared" si="961"/>
        <v>1</v>
      </c>
      <c r="AO60" s="335">
        <v>390</v>
      </c>
      <c r="AP60" s="339">
        <v>28</v>
      </c>
      <c r="AQ60" s="316">
        <f t="shared" ref="AQ60:AR60" si="962">IF(ISBLANK(AS60),,AS60-AS59)</f>
        <v>3</v>
      </c>
      <c r="AR60" s="338">
        <f t="shared" si="962"/>
        <v>4</v>
      </c>
      <c r="AS60" s="335">
        <v>328</v>
      </c>
      <c r="AT60" s="336">
        <v>23</v>
      </c>
      <c r="AU60" s="337">
        <f t="shared" ref="AU60:AV60" si="963">IF(ISBLANK(AW60),,AW60-AW59)</f>
        <v>0</v>
      </c>
      <c r="AV60" s="334">
        <f t="shared" si="963"/>
        <v>0</v>
      </c>
      <c r="AW60" s="335">
        <v>367</v>
      </c>
      <c r="AX60" s="339">
        <v>3</v>
      </c>
      <c r="AY60" s="316">
        <f t="shared" ref="AY60:AZ60" si="964">IF(ISBLANK(BA60),,BA60-BA59)</f>
        <v>30</v>
      </c>
      <c r="AZ60" s="334">
        <f t="shared" si="964"/>
        <v>2</v>
      </c>
      <c r="BA60" s="335">
        <v>424</v>
      </c>
      <c r="BB60" s="336">
        <v>10</v>
      </c>
      <c r="BC60" s="337">
        <f t="shared" ref="BC60:BD60" si="965">IF(ISBLANK(BE60),,BE60-BE59)</f>
        <v>159</v>
      </c>
      <c r="BD60" s="334">
        <f t="shared" si="965"/>
        <v>8</v>
      </c>
      <c r="BE60" s="335">
        <v>2119</v>
      </c>
      <c r="BF60" s="339">
        <v>113</v>
      </c>
      <c r="BG60" s="316">
        <f t="shared" ref="BG60:BH60" si="966">IF(ISBLANK(BI60),,BI60-BI59)</f>
        <v>2</v>
      </c>
      <c r="BH60" s="334">
        <f t="shared" si="966"/>
        <v>0</v>
      </c>
      <c r="BI60" s="335">
        <v>266</v>
      </c>
      <c r="BJ60" s="336">
        <v>8</v>
      </c>
      <c r="BK60" s="337">
        <f t="shared" ref="BK60:BL60" si="967">IF(ISBLANK(BM60),,BM60-BM59)</f>
        <v>0</v>
      </c>
      <c r="BL60" s="334">
        <f t="shared" si="967"/>
        <v>0</v>
      </c>
      <c r="BM60" s="335">
        <v>146</v>
      </c>
      <c r="BN60" s="339">
        <v>1</v>
      </c>
      <c r="BO60" s="316">
        <f t="shared" ref="BO60:BP60" si="968">IF(ISBLANK(BQ60),,BQ60-BQ59)</f>
        <v>39</v>
      </c>
      <c r="BP60" s="334">
        <f t="shared" si="968"/>
        <v>0</v>
      </c>
      <c r="BQ60" s="335">
        <v>1415</v>
      </c>
      <c r="BR60" s="336">
        <v>85</v>
      </c>
      <c r="BS60" s="316">
        <f t="shared" ref="BS60:BT60" si="969">IF(ISBLANK(BU60),,BU60-BU59)</f>
        <v>4</v>
      </c>
      <c r="BT60" s="334">
        <f t="shared" si="969"/>
        <v>1</v>
      </c>
      <c r="BU60" s="335">
        <v>380</v>
      </c>
      <c r="BV60" s="336">
        <v>10</v>
      </c>
      <c r="BW60" s="233"/>
      <c r="BX60" s="233"/>
      <c r="BY60" s="233"/>
      <c r="BZ60" s="233"/>
      <c r="CA60" s="233"/>
      <c r="CB60" s="233"/>
      <c r="CC60" s="233"/>
      <c r="CD60" s="233"/>
      <c r="CE60" s="233"/>
    </row>
    <row r="61" spans="1:83" x14ac:dyDescent="0.25">
      <c r="A61" s="313">
        <v>43951</v>
      </c>
      <c r="B61" s="314">
        <v>58</v>
      </c>
      <c r="C61" s="315"/>
      <c r="D61" s="316">
        <v>300</v>
      </c>
      <c r="E61" s="317">
        <v>20</v>
      </c>
      <c r="F61" s="318">
        <v>3236</v>
      </c>
      <c r="G61" s="319"/>
      <c r="H61" s="330">
        <f t="shared" ref="H61:I61" si="970">IF(ISBLANK(D61),,H60+D61)</f>
        <v>12877</v>
      </c>
      <c r="I61" s="331">
        <f t="shared" si="970"/>
        <v>643</v>
      </c>
      <c r="J61" s="332">
        <f t="shared" si="1"/>
        <v>211</v>
      </c>
      <c r="K61" s="333">
        <f t="shared" ref="K61:L61" si="971">IF(ISBLANK(M61),,M61-M60)</f>
        <v>43</v>
      </c>
      <c r="L61" s="334">
        <f t="shared" si="971"/>
        <v>1</v>
      </c>
      <c r="M61" s="335">
        <v>1563</v>
      </c>
      <c r="N61" s="336">
        <v>48</v>
      </c>
      <c r="O61" s="337">
        <f t="shared" ref="O61:P61" si="972">IF(ISBLANK(Q61),,Q61-Q60)</f>
        <v>7</v>
      </c>
      <c r="P61" s="338">
        <f t="shared" si="972"/>
        <v>0</v>
      </c>
      <c r="Q61" s="335">
        <v>544</v>
      </c>
      <c r="R61" s="339">
        <v>28</v>
      </c>
      <c r="S61" s="316">
        <f t="shared" ref="S61:T61" si="973">IF(ISBLANK(U61),,U61-U60)</f>
        <v>1</v>
      </c>
      <c r="T61" s="334">
        <f t="shared" si="973"/>
        <v>0</v>
      </c>
      <c r="U61" s="335">
        <v>360</v>
      </c>
      <c r="V61" s="336">
        <v>13</v>
      </c>
      <c r="W61" s="337">
        <f t="shared" ref="W61:X61" si="974">IF(ISBLANK(Y61),,Y61-Y60)</f>
        <v>0</v>
      </c>
      <c r="X61" s="334">
        <f t="shared" si="974"/>
        <v>0</v>
      </c>
      <c r="Y61" s="335">
        <v>87</v>
      </c>
      <c r="Z61" s="340">
        <v>0</v>
      </c>
      <c r="AA61" s="316">
        <f t="shared" ref="AA61:AB61" si="975">IF(ISBLANK(AC61),,AC61-AC60)</f>
        <v>18</v>
      </c>
      <c r="AB61" s="334">
        <f t="shared" si="975"/>
        <v>4</v>
      </c>
      <c r="AC61" s="335">
        <v>954</v>
      </c>
      <c r="AD61" s="336">
        <v>32</v>
      </c>
      <c r="AE61" s="337">
        <f t="shared" ref="AE61:AF61" si="976">IF(ISBLANK(AG61),,AG61-AG60)</f>
        <v>21</v>
      </c>
      <c r="AF61" s="334">
        <f t="shared" si="976"/>
        <v>0</v>
      </c>
      <c r="AG61" s="335">
        <v>897</v>
      </c>
      <c r="AH61" s="339">
        <v>30</v>
      </c>
      <c r="AI61" s="316">
        <f t="shared" ref="AI61:AJ61" si="977">IF(ISBLANK(AK61),,AK61-AK60)</f>
        <v>25</v>
      </c>
      <c r="AJ61" s="334">
        <f t="shared" si="977"/>
        <v>7</v>
      </c>
      <c r="AK61" s="335">
        <v>2452</v>
      </c>
      <c r="AL61" s="336">
        <v>203</v>
      </c>
      <c r="AM61" s="337">
        <f t="shared" ref="AM61:AN61" si="978">IF(ISBLANK(AO61),,AO61-AO60)</f>
        <v>4</v>
      </c>
      <c r="AN61" s="334">
        <f t="shared" si="978"/>
        <v>0</v>
      </c>
      <c r="AO61" s="335">
        <v>394</v>
      </c>
      <c r="AP61" s="339">
        <v>28</v>
      </c>
      <c r="AQ61" s="316">
        <f t="shared" ref="AQ61:AR61" si="979">IF(ISBLANK(AS61),,AS61-AS60)</f>
        <v>1</v>
      </c>
      <c r="AR61" s="338">
        <f t="shared" si="979"/>
        <v>0</v>
      </c>
      <c r="AS61" s="335">
        <v>329</v>
      </c>
      <c r="AT61" s="336">
        <v>23</v>
      </c>
      <c r="AU61" s="337">
        <f t="shared" ref="AU61:AV61" si="980">IF(ISBLANK(AW61),,AW61-AW60)</f>
        <v>8</v>
      </c>
      <c r="AV61" s="334">
        <f t="shared" si="980"/>
        <v>0</v>
      </c>
      <c r="AW61" s="335">
        <v>375</v>
      </c>
      <c r="AX61" s="339">
        <v>3</v>
      </c>
      <c r="AY61" s="316">
        <f t="shared" ref="AY61:AZ61" si="981">IF(ISBLANK(BA61),,BA61-BA60)</f>
        <v>4</v>
      </c>
      <c r="AZ61" s="334">
        <f t="shared" si="981"/>
        <v>1</v>
      </c>
      <c r="BA61" s="335">
        <v>428</v>
      </c>
      <c r="BB61" s="336">
        <v>11</v>
      </c>
      <c r="BC61" s="337">
        <f t="shared" ref="BC61:BD61" si="982">IF(ISBLANK(BE61),,BE61-BE60)</f>
        <v>120</v>
      </c>
      <c r="BD61" s="334">
        <f t="shared" si="982"/>
        <v>5</v>
      </c>
      <c r="BE61" s="335">
        <v>2239</v>
      </c>
      <c r="BF61" s="339">
        <v>118</v>
      </c>
      <c r="BG61" s="316">
        <f t="shared" ref="BG61:BH61" si="983">IF(ISBLANK(BI61),,BI61-BI60)</f>
        <v>4</v>
      </c>
      <c r="BH61" s="334">
        <f t="shared" si="983"/>
        <v>0</v>
      </c>
      <c r="BI61" s="335">
        <v>270</v>
      </c>
      <c r="BJ61" s="336">
        <v>8</v>
      </c>
      <c r="BK61" s="337">
        <f t="shared" ref="BK61:BL61" si="984">IF(ISBLANK(BM61),,BM61-BM60)</f>
        <v>2</v>
      </c>
      <c r="BL61" s="334">
        <f t="shared" si="984"/>
        <v>0</v>
      </c>
      <c r="BM61" s="335">
        <v>148</v>
      </c>
      <c r="BN61" s="339">
        <v>1</v>
      </c>
      <c r="BO61" s="316">
        <f t="shared" ref="BO61:BP61" si="985">IF(ISBLANK(BQ61),,BQ61-BQ60)</f>
        <v>26</v>
      </c>
      <c r="BP61" s="334">
        <f t="shared" si="985"/>
        <v>2</v>
      </c>
      <c r="BQ61" s="335">
        <v>1441</v>
      </c>
      <c r="BR61" s="336">
        <v>87</v>
      </c>
      <c r="BS61" s="316">
        <f t="shared" ref="BS61:BT61" si="986">IF(ISBLANK(BU61),,BU61-BU60)</f>
        <v>16</v>
      </c>
      <c r="BT61" s="334">
        <f t="shared" si="986"/>
        <v>0</v>
      </c>
      <c r="BU61" s="335">
        <v>396</v>
      </c>
      <c r="BV61" s="336">
        <v>10</v>
      </c>
      <c r="BW61" s="233"/>
      <c r="BX61" s="233"/>
      <c r="BY61" s="233"/>
      <c r="BZ61" s="233"/>
      <c r="CA61" s="233"/>
      <c r="CB61" s="233"/>
      <c r="CC61" s="233"/>
      <c r="CD61" s="233"/>
      <c r="CE61" s="233"/>
    </row>
    <row r="62" spans="1:83" x14ac:dyDescent="0.25">
      <c r="A62" s="313">
        <v>43952</v>
      </c>
      <c r="B62" s="314">
        <v>59</v>
      </c>
      <c r="C62" s="315"/>
      <c r="D62" s="316">
        <v>228</v>
      </c>
      <c r="E62" s="317">
        <v>7</v>
      </c>
      <c r="F62" s="318">
        <v>3491</v>
      </c>
      <c r="G62" s="319"/>
      <c r="H62" s="330">
        <f t="shared" ref="H62:I62" si="987">IF(ISBLANK(D62),,H61+D62)</f>
        <v>13105</v>
      </c>
      <c r="I62" s="331">
        <f t="shared" si="987"/>
        <v>650</v>
      </c>
      <c r="J62" s="332">
        <f t="shared" si="1"/>
        <v>255</v>
      </c>
      <c r="K62" s="333">
        <f t="shared" ref="K62:L62" si="988">IF(ISBLANK(M62),,M62-M61)</f>
        <v>17</v>
      </c>
      <c r="L62" s="334">
        <f t="shared" si="988"/>
        <v>0</v>
      </c>
      <c r="M62" s="335">
        <v>1580</v>
      </c>
      <c r="N62" s="336">
        <v>48</v>
      </c>
      <c r="O62" s="337">
        <f t="shared" ref="O62:P62" si="989">IF(ISBLANK(Q62),,Q62-Q61)</f>
        <v>6</v>
      </c>
      <c r="P62" s="338">
        <f t="shared" si="989"/>
        <v>0</v>
      </c>
      <c r="Q62" s="335">
        <v>550</v>
      </c>
      <c r="R62" s="339">
        <v>28</v>
      </c>
      <c r="S62" s="316">
        <f t="shared" ref="S62:T62" si="990">IF(ISBLANK(U62),,U62-U61)</f>
        <v>5</v>
      </c>
      <c r="T62" s="334">
        <f t="shared" si="990"/>
        <v>0</v>
      </c>
      <c r="U62" s="335">
        <v>365</v>
      </c>
      <c r="V62" s="336">
        <v>13</v>
      </c>
      <c r="W62" s="337">
        <f t="shared" ref="W62:X62" si="991">IF(ISBLANK(Y62),,Y62-Y61)</f>
        <v>0</v>
      </c>
      <c r="X62" s="334">
        <f t="shared" si="991"/>
        <v>0</v>
      </c>
      <c r="Y62" s="335">
        <v>87</v>
      </c>
      <c r="Z62" s="340">
        <v>0</v>
      </c>
      <c r="AA62" s="316">
        <f t="shared" ref="AA62:AB62" si="992">IF(ISBLANK(AC62),,AC62-AC61)</f>
        <v>18</v>
      </c>
      <c r="AB62" s="334">
        <f t="shared" si="992"/>
        <v>3</v>
      </c>
      <c r="AC62" s="335">
        <v>972</v>
      </c>
      <c r="AD62" s="336">
        <v>35</v>
      </c>
      <c r="AE62" s="337">
        <f t="shared" ref="AE62:AF62" si="993">IF(ISBLANK(AG62),,AG62-AG61)</f>
        <v>16</v>
      </c>
      <c r="AF62" s="334">
        <f t="shared" si="993"/>
        <v>0</v>
      </c>
      <c r="AG62" s="335">
        <v>913</v>
      </c>
      <c r="AH62" s="339">
        <v>30</v>
      </c>
      <c r="AI62" s="316">
        <f t="shared" ref="AI62:AJ62" si="994">IF(ISBLANK(AK62),,AK62-AK61)</f>
        <v>0</v>
      </c>
      <c r="AJ62" s="334">
        <f t="shared" si="994"/>
        <v>0</v>
      </c>
      <c r="AK62" s="335">
        <v>2452</v>
      </c>
      <c r="AL62" s="336">
        <v>203</v>
      </c>
      <c r="AM62" s="337">
        <f t="shared" ref="AM62:AN62" si="995">IF(ISBLANK(AO62),,AO62-AO61)</f>
        <v>4</v>
      </c>
      <c r="AN62" s="334">
        <f t="shared" si="995"/>
        <v>0</v>
      </c>
      <c r="AO62" s="335">
        <v>398</v>
      </c>
      <c r="AP62" s="339">
        <v>28</v>
      </c>
      <c r="AQ62" s="316">
        <f t="shared" ref="AQ62:AR62" si="996">IF(ISBLANK(AS62),,AS62-AS61)</f>
        <v>8</v>
      </c>
      <c r="AR62" s="338">
        <f t="shared" si="996"/>
        <v>0</v>
      </c>
      <c r="AS62" s="335">
        <v>337</v>
      </c>
      <c r="AT62" s="336">
        <v>23</v>
      </c>
      <c r="AU62" s="337">
        <f t="shared" ref="AU62:AV62" si="997">IF(ISBLANK(AW62),,AW62-AW61)</f>
        <v>0</v>
      </c>
      <c r="AV62" s="334">
        <f t="shared" si="997"/>
        <v>1</v>
      </c>
      <c r="AW62" s="335">
        <v>375</v>
      </c>
      <c r="AX62" s="339">
        <v>4</v>
      </c>
      <c r="AY62" s="316">
        <f t="shared" ref="AY62:AZ62" si="998">IF(ISBLANK(BA62),,BA62-BA61)</f>
        <v>6</v>
      </c>
      <c r="AZ62" s="334">
        <f t="shared" si="998"/>
        <v>1</v>
      </c>
      <c r="BA62" s="335">
        <v>434</v>
      </c>
      <c r="BB62" s="336">
        <v>12</v>
      </c>
      <c r="BC62" s="337">
        <f t="shared" ref="BC62:BD62" si="999">IF(ISBLANK(BE62),,BE62-BE61)</f>
        <v>141</v>
      </c>
      <c r="BD62" s="334">
        <f t="shared" si="999"/>
        <v>2</v>
      </c>
      <c r="BE62" s="335">
        <v>2380</v>
      </c>
      <c r="BF62" s="339">
        <v>120</v>
      </c>
      <c r="BG62" s="316">
        <f t="shared" ref="BG62:BH62" si="1000">IF(ISBLANK(BI62),,BI62-BI61)</f>
        <v>0</v>
      </c>
      <c r="BH62" s="334">
        <f t="shared" si="1000"/>
        <v>0</v>
      </c>
      <c r="BI62" s="335">
        <v>270</v>
      </c>
      <c r="BJ62" s="336">
        <v>8</v>
      </c>
      <c r="BK62" s="337">
        <f t="shared" ref="BK62:BL62" si="1001">IF(ISBLANK(BM62),,BM62-BM61)</f>
        <v>0</v>
      </c>
      <c r="BL62" s="334">
        <f t="shared" si="1001"/>
        <v>0</v>
      </c>
      <c r="BM62" s="335">
        <v>148</v>
      </c>
      <c r="BN62" s="339">
        <v>1</v>
      </c>
      <c r="BO62" s="316">
        <f t="shared" ref="BO62:BP62" si="1002">IF(ISBLANK(BQ62),,BQ62-BQ61)</f>
        <v>2</v>
      </c>
      <c r="BP62" s="334">
        <f t="shared" si="1002"/>
        <v>0</v>
      </c>
      <c r="BQ62" s="335">
        <v>1443</v>
      </c>
      <c r="BR62" s="336">
        <v>87</v>
      </c>
      <c r="BS62" s="316">
        <f t="shared" ref="BS62:BT62" si="1003">IF(ISBLANK(BU62),,BU62-BU61)</f>
        <v>5</v>
      </c>
      <c r="BT62" s="334">
        <f t="shared" si="1003"/>
        <v>0</v>
      </c>
      <c r="BU62" s="335">
        <v>401</v>
      </c>
      <c r="BV62" s="336">
        <v>10</v>
      </c>
      <c r="BW62" s="233"/>
      <c r="BX62" s="233"/>
      <c r="BY62" s="233"/>
      <c r="BZ62" s="233"/>
      <c r="CA62" s="233"/>
      <c r="CB62" s="233"/>
      <c r="CC62" s="233"/>
      <c r="CD62" s="233"/>
      <c r="CE62" s="233"/>
    </row>
    <row r="63" spans="1:83" x14ac:dyDescent="0.25">
      <c r="A63" s="313">
        <v>43953</v>
      </c>
      <c r="B63" s="314">
        <v>60</v>
      </c>
      <c r="C63" s="315"/>
      <c r="D63" s="316">
        <v>270</v>
      </c>
      <c r="E63" s="317">
        <v>12</v>
      </c>
      <c r="F63" s="318">
        <v>3762</v>
      </c>
      <c r="G63" s="319"/>
      <c r="H63" s="330">
        <f t="shared" ref="H63:I63" si="1004">IF(ISBLANK(D63),,H62+D63)</f>
        <v>13375</v>
      </c>
      <c r="I63" s="331">
        <f t="shared" si="1004"/>
        <v>662</v>
      </c>
      <c r="J63" s="332">
        <f t="shared" si="1"/>
        <v>271</v>
      </c>
      <c r="K63" s="333">
        <f t="shared" ref="K63:L63" si="1005">IF(ISBLANK(M63),,M63-M62)</f>
        <v>40</v>
      </c>
      <c r="L63" s="334">
        <f t="shared" si="1005"/>
        <v>1</v>
      </c>
      <c r="M63" s="335">
        <v>1620</v>
      </c>
      <c r="N63" s="336">
        <v>49</v>
      </c>
      <c r="O63" s="337">
        <f t="shared" ref="O63:P63" si="1006">IF(ISBLANK(Q63),,Q63-Q62)</f>
        <v>4</v>
      </c>
      <c r="P63" s="338">
        <f t="shared" si="1006"/>
        <v>0</v>
      </c>
      <c r="Q63" s="335">
        <v>554</v>
      </c>
      <c r="R63" s="339">
        <v>28</v>
      </c>
      <c r="S63" s="316">
        <f t="shared" ref="S63:T63" si="1007">IF(ISBLANK(U63),,U63-U62)</f>
        <v>2</v>
      </c>
      <c r="T63" s="334">
        <f t="shared" si="1007"/>
        <v>0</v>
      </c>
      <c r="U63" s="335">
        <v>367</v>
      </c>
      <c r="V63" s="336">
        <v>13</v>
      </c>
      <c r="W63" s="337">
        <f t="shared" ref="W63:X63" si="1008">IF(ISBLANK(Y63),,Y63-Y62)</f>
        <v>0</v>
      </c>
      <c r="X63" s="334">
        <f t="shared" si="1008"/>
        <v>0</v>
      </c>
      <c r="Y63" s="335">
        <v>87</v>
      </c>
      <c r="Z63" s="340">
        <v>0</v>
      </c>
      <c r="AA63" s="316">
        <f t="shared" ref="AA63:AB63" si="1009">IF(ISBLANK(AC63),,AC63-AC62)</f>
        <v>34</v>
      </c>
      <c r="AB63" s="334">
        <f t="shared" si="1009"/>
        <v>0</v>
      </c>
      <c r="AC63" s="335">
        <v>1006</v>
      </c>
      <c r="AD63" s="336">
        <v>35</v>
      </c>
      <c r="AE63" s="337">
        <f t="shared" ref="AE63:AF63" si="1010">IF(ISBLANK(AG63),,AG63-AG62)</f>
        <v>21</v>
      </c>
      <c r="AF63" s="334">
        <f t="shared" si="1010"/>
        <v>1</v>
      </c>
      <c r="AG63" s="335">
        <v>934</v>
      </c>
      <c r="AH63" s="339">
        <v>31</v>
      </c>
      <c r="AI63" s="316">
        <f t="shared" ref="AI63:AJ63" si="1011">IF(ISBLANK(AK63),,AK63-AK62)</f>
        <v>25</v>
      </c>
      <c r="AJ63" s="334">
        <f t="shared" si="1011"/>
        <v>1</v>
      </c>
      <c r="AK63" s="335">
        <v>2477</v>
      </c>
      <c r="AL63" s="336">
        <v>204</v>
      </c>
      <c r="AM63" s="337">
        <f t="shared" ref="AM63:AN63" si="1012">IF(ISBLANK(AO63),,AO63-AO62)</f>
        <v>9</v>
      </c>
      <c r="AN63" s="334">
        <f t="shared" si="1012"/>
        <v>0</v>
      </c>
      <c r="AO63" s="335">
        <v>407</v>
      </c>
      <c r="AP63" s="339">
        <v>28</v>
      </c>
      <c r="AQ63" s="316">
        <f t="shared" ref="AQ63:AR63" si="1013">IF(ISBLANK(AS63),,AS63-AS62)</f>
        <v>4</v>
      </c>
      <c r="AR63" s="338">
        <f t="shared" si="1013"/>
        <v>0</v>
      </c>
      <c r="AS63" s="335">
        <v>341</v>
      </c>
      <c r="AT63" s="336">
        <v>23</v>
      </c>
      <c r="AU63" s="337">
        <f t="shared" ref="AU63:AV63" si="1014">IF(ISBLANK(AW63),,AW63-AW62)</f>
        <v>2</v>
      </c>
      <c r="AV63" s="334">
        <f t="shared" si="1014"/>
        <v>1</v>
      </c>
      <c r="AW63" s="335">
        <v>377</v>
      </c>
      <c r="AX63" s="339">
        <v>5</v>
      </c>
      <c r="AY63" s="316">
        <f t="shared" ref="AY63:AZ63" si="1015">IF(ISBLANK(BA63),,BA63-BA62)</f>
        <v>6</v>
      </c>
      <c r="AZ63" s="334">
        <f t="shared" si="1015"/>
        <v>2</v>
      </c>
      <c r="BA63" s="335">
        <v>440</v>
      </c>
      <c r="BB63" s="336">
        <v>14</v>
      </c>
      <c r="BC63" s="337">
        <f t="shared" ref="BC63:BD63" si="1016">IF(ISBLANK(BE63),,BE63-BE62)</f>
        <v>66</v>
      </c>
      <c r="BD63" s="334">
        <f t="shared" si="1016"/>
        <v>2</v>
      </c>
      <c r="BE63" s="335">
        <v>2446</v>
      </c>
      <c r="BF63" s="339">
        <v>122</v>
      </c>
      <c r="BG63" s="316">
        <f t="shared" ref="BG63:BH63" si="1017">IF(ISBLANK(BI63),,BI63-BI62)</f>
        <v>1</v>
      </c>
      <c r="BH63" s="334">
        <f t="shared" si="1017"/>
        <v>0</v>
      </c>
      <c r="BI63" s="335">
        <v>271</v>
      </c>
      <c r="BJ63" s="336">
        <v>8</v>
      </c>
      <c r="BK63" s="337">
        <f t="shared" ref="BK63:BL63" si="1018">IF(ISBLANK(BM63),,BM63-BM62)</f>
        <v>0</v>
      </c>
      <c r="BL63" s="334">
        <f t="shared" si="1018"/>
        <v>0</v>
      </c>
      <c r="BM63" s="335">
        <v>148</v>
      </c>
      <c r="BN63" s="339">
        <v>1</v>
      </c>
      <c r="BO63" s="316">
        <f t="shared" ref="BO63:BP63" si="1019">IF(ISBLANK(BQ63),,BQ63-BQ62)</f>
        <v>51</v>
      </c>
      <c r="BP63" s="334">
        <f t="shared" si="1019"/>
        <v>4</v>
      </c>
      <c r="BQ63" s="335">
        <v>1494</v>
      </c>
      <c r="BR63" s="336">
        <v>91</v>
      </c>
      <c r="BS63" s="316">
        <f t="shared" ref="BS63:BT63" si="1020">IF(ISBLANK(BU63),,BU63-BU62)</f>
        <v>5</v>
      </c>
      <c r="BT63" s="334">
        <f t="shared" si="1020"/>
        <v>0</v>
      </c>
      <c r="BU63" s="335">
        <v>406</v>
      </c>
      <c r="BV63" s="336">
        <v>10</v>
      </c>
      <c r="BW63" s="233"/>
      <c r="BX63" s="233"/>
      <c r="BY63" s="233"/>
      <c r="BZ63" s="233"/>
      <c r="CA63" s="233"/>
      <c r="CB63" s="233"/>
      <c r="CC63" s="233"/>
      <c r="CD63" s="233"/>
      <c r="CE63" s="233"/>
    </row>
    <row r="64" spans="1:83" x14ac:dyDescent="0.25">
      <c r="A64" s="313">
        <v>43954</v>
      </c>
      <c r="B64" s="314">
        <v>61</v>
      </c>
      <c r="C64" s="315"/>
      <c r="D64" s="316">
        <v>318</v>
      </c>
      <c r="E64" s="317">
        <v>15</v>
      </c>
      <c r="F64" s="318">
        <v>3945</v>
      </c>
      <c r="G64" s="319"/>
      <c r="H64" s="330">
        <f t="shared" ref="H64:I64" si="1021">IF(ISBLANK(D64),,H63+D64)</f>
        <v>13693</v>
      </c>
      <c r="I64" s="331">
        <f t="shared" si="1021"/>
        <v>677</v>
      </c>
      <c r="J64" s="332">
        <f t="shared" si="1"/>
        <v>183</v>
      </c>
      <c r="K64" s="333">
        <f t="shared" ref="K64:L64" si="1022">IF(ISBLANK(M64),,M64-M63)</f>
        <v>25</v>
      </c>
      <c r="L64" s="334">
        <f t="shared" si="1022"/>
        <v>3</v>
      </c>
      <c r="M64" s="335">
        <v>1645</v>
      </c>
      <c r="N64" s="336">
        <v>52</v>
      </c>
      <c r="O64" s="337">
        <f t="shared" ref="O64:P64" si="1023">IF(ISBLANK(Q64),,Q64-Q63)</f>
        <v>3</v>
      </c>
      <c r="P64" s="338">
        <f t="shared" si="1023"/>
        <v>1</v>
      </c>
      <c r="Q64" s="335">
        <v>557</v>
      </c>
      <c r="R64" s="339">
        <v>29</v>
      </c>
      <c r="S64" s="316">
        <f t="shared" ref="S64:T64" si="1024">IF(ISBLANK(U64),,U64-U63)</f>
        <v>7</v>
      </c>
      <c r="T64" s="334">
        <f t="shared" si="1024"/>
        <v>1</v>
      </c>
      <c r="U64" s="335">
        <v>374</v>
      </c>
      <c r="V64" s="336">
        <v>14</v>
      </c>
      <c r="W64" s="337">
        <f t="shared" ref="W64:X64" si="1025">IF(ISBLANK(Y64),,Y64-Y63)</f>
        <v>1</v>
      </c>
      <c r="X64" s="334">
        <f t="shared" si="1025"/>
        <v>0</v>
      </c>
      <c r="Y64" s="335">
        <v>88</v>
      </c>
      <c r="Z64" s="340">
        <v>0</v>
      </c>
      <c r="AA64" s="316">
        <f t="shared" ref="AA64:AB64" si="1026">IF(ISBLANK(AC64),,AC64-AC63)</f>
        <v>43</v>
      </c>
      <c r="AB64" s="334">
        <f t="shared" si="1026"/>
        <v>0</v>
      </c>
      <c r="AC64" s="335">
        <v>1049</v>
      </c>
      <c r="AD64" s="336">
        <v>35</v>
      </c>
      <c r="AE64" s="337">
        <f t="shared" ref="AE64:AF64" si="1027">IF(ISBLANK(AG64),,AG64-AG63)</f>
        <v>10</v>
      </c>
      <c r="AF64" s="334">
        <f t="shared" si="1027"/>
        <v>0</v>
      </c>
      <c r="AG64" s="335">
        <v>944</v>
      </c>
      <c r="AH64" s="339">
        <v>31</v>
      </c>
      <c r="AI64" s="316">
        <f t="shared" ref="AI64:AJ64" si="1028">IF(ISBLANK(AK64),,AK64-AK63)</f>
        <v>31</v>
      </c>
      <c r="AJ64" s="334">
        <f t="shared" si="1028"/>
        <v>0</v>
      </c>
      <c r="AK64" s="335">
        <v>2508</v>
      </c>
      <c r="AL64" s="336">
        <v>204</v>
      </c>
      <c r="AM64" s="337">
        <f t="shared" ref="AM64:AN64" si="1029">IF(ISBLANK(AO64),,AO64-AO63)</f>
        <v>15</v>
      </c>
      <c r="AN64" s="334">
        <f t="shared" si="1029"/>
        <v>1</v>
      </c>
      <c r="AO64" s="335">
        <v>422</v>
      </c>
      <c r="AP64" s="339">
        <v>29</v>
      </c>
      <c r="AQ64" s="316">
        <f t="shared" ref="AQ64:AR64" si="1030">IF(ISBLANK(AS64),,AS64-AS63)</f>
        <v>9</v>
      </c>
      <c r="AR64" s="338">
        <f t="shared" si="1030"/>
        <v>1</v>
      </c>
      <c r="AS64" s="335">
        <v>350</v>
      </c>
      <c r="AT64" s="336">
        <v>24</v>
      </c>
      <c r="AU64" s="337">
        <f t="shared" ref="AU64:AV64" si="1031">IF(ISBLANK(AW64),,AW64-AW63)</f>
        <v>1</v>
      </c>
      <c r="AV64" s="334">
        <f t="shared" si="1031"/>
        <v>0</v>
      </c>
      <c r="AW64" s="335">
        <v>378</v>
      </c>
      <c r="AX64" s="339">
        <v>5</v>
      </c>
      <c r="AY64" s="316">
        <f t="shared" ref="AY64:AZ64" si="1032">IF(ISBLANK(BA64),,BA64-BA63)</f>
        <v>4</v>
      </c>
      <c r="AZ64" s="334">
        <f t="shared" si="1032"/>
        <v>1</v>
      </c>
      <c r="BA64" s="335">
        <v>444</v>
      </c>
      <c r="BB64" s="336">
        <v>15</v>
      </c>
      <c r="BC64" s="337">
        <f t="shared" ref="BC64:BD64" si="1033">IF(ISBLANK(BE64),,BE64-BE63)</f>
        <v>130</v>
      </c>
      <c r="BD64" s="334">
        <f t="shared" si="1033"/>
        <v>4</v>
      </c>
      <c r="BE64" s="335">
        <v>2576</v>
      </c>
      <c r="BF64" s="339">
        <v>126</v>
      </c>
      <c r="BG64" s="316">
        <f t="shared" ref="BG64:BH64" si="1034">IF(ISBLANK(BI64),,BI64-BI63)</f>
        <v>7</v>
      </c>
      <c r="BH64" s="334">
        <f t="shared" si="1034"/>
        <v>0</v>
      </c>
      <c r="BI64" s="335">
        <v>278</v>
      </c>
      <c r="BJ64" s="336">
        <v>8</v>
      </c>
      <c r="BK64" s="337">
        <f t="shared" ref="BK64:BL64" si="1035">IF(ISBLANK(BM64),,BM64-BM63)</f>
        <v>0</v>
      </c>
      <c r="BL64" s="334">
        <f t="shared" si="1035"/>
        <v>0</v>
      </c>
      <c r="BM64" s="335">
        <v>148</v>
      </c>
      <c r="BN64" s="339">
        <v>1</v>
      </c>
      <c r="BO64" s="316">
        <f t="shared" ref="BO64:BP64" si="1036">IF(ISBLANK(BQ64),,BQ64-BQ63)</f>
        <v>24</v>
      </c>
      <c r="BP64" s="334">
        <f t="shared" si="1036"/>
        <v>3</v>
      </c>
      <c r="BQ64" s="335">
        <v>1518</v>
      </c>
      <c r="BR64" s="336">
        <v>94</v>
      </c>
      <c r="BS64" s="316">
        <f t="shared" ref="BS64:BT64" si="1037">IF(ISBLANK(BU64),,BU64-BU63)</f>
        <v>8</v>
      </c>
      <c r="BT64" s="334">
        <f t="shared" si="1037"/>
        <v>0</v>
      </c>
      <c r="BU64" s="335">
        <v>414</v>
      </c>
      <c r="BV64" s="336">
        <v>10</v>
      </c>
      <c r="BW64" s="233"/>
      <c r="BX64" s="233"/>
      <c r="BY64" s="233"/>
      <c r="BZ64" s="233"/>
      <c r="CA64" s="233"/>
      <c r="CB64" s="233"/>
      <c r="CC64" s="233"/>
      <c r="CD64" s="233"/>
      <c r="CE64" s="233"/>
    </row>
    <row r="65" spans="1:83" x14ac:dyDescent="0.25">
      <c r="A65" s="313">
        <v>43955</v>
      </c>
      <c r="B65" s="314">
        <v>62</v>
      </c>
      <c r="C65" s="315"/>
      <c r="D65" s="316">
        <v>313</v>
      </c>
      <c r="E65" s="317">
        <v>19</v>
      </c>
      <c r="F65" s="318">
        <v>4095</v>
      </c>
      <c r="G65" s="319"/>
      <c r="H65" s="330">
        <f t="shared" ref="H65:I65" si="1038">IF(ISBLANK(D65),,H64+D65)</f>
        <v>14006</v>
      </c>
      <c r="I65" s="331">
        <f t="shared" si="1038"/>
        <v>696</v>
      </c>
      <c r="J65" s="332">
        <f t="shared" si="1"/>
        <v>150</v>
      </c>
      <c r="K65" s="333">
        <f t="shared" ref="K65:L65" si="1039">IF(ISBLANK(M65),,M65-M64)</f>
        <v>78</v>
      </c>
      <c r="L65" s="334">
        <f t="shared" si="1039"/>
        <v>1</v>
      </c>
      <c r="M65" s="335">
        <v>1723</v>
      </c>
      <c r="N65" s="336">
        <v>53</v>
      </c>
      <c r="O65" s="337">
        <f t="shared" ref="O65:P65" si="1040">IF(ISBLANK(Q65),,Q65-Q64)</f>
        <v>0</v>
      </c>
      <c r="P65" s="338">
        <f t="shared" si="1040"/>
        <v>0</v>
      </c>
      <c r="Q65" s="335">
        <v>557</v>
      </c>
      <c r="R65" s="339">
        <v>29</v>
      </c>
      <c r="S65" s="316">
        <f t="shared" ref="S65:T65" si="1041">IF(ISBLANK(U65),,U65-U64)</f>
        <v>0</v>
      </c>
      <c r="T65" s="334">
        <f t="shared" si="1041"/>
        <v>0</v>
      </c>
      <c r="U65" s="335">
        <v>374</v>
      </c>
      <c r="V65" s="336">
        <v>14</v>
      </c>
      <c r="W65" s="337">
        <f t="shared" ref="W65:X65" si="1042">IF(ISBLANK(Y65),,Y65-Y64)</f>
        <v>2</v>
      </c>
      <c r="X65" s="334">
        <f t="shared" si="1042"/>
        <v>0</v>
      </c>
      <c r="Y65" s="335">
        <v>90</v>
      </c>
      <c r="Z65" s="340">
        <v>0</v>
      </c>
      <c r="AA65" s="316">
        <f t="shared" ref="AA65:AB65" si="1043">IF(ISBLANK(AC65),,AC65-AC64)</f>
        <v>19</v>
      </c>
      <c r="AB65" s="334">
        <f t="shared" si="1043"/>
        <v>0</v>
      </c>
      <c r="AC65" s="335">
        <v>1068</v>
      </c>
      <c r="AD65" s="336">
        <v>35</v>
      </c>
      <c r="AE65" s="337">
        <f t="shared" ref="AE65:AF65" si="1044">IF(ISBLANK(AG65),,AG65-AG64)</f>
        <v>32</v>
      </c>
      <c r="AF65" s="334">
        <f t="shared" si="1044"/>
        <v>0</v>
      </c>
      <c r="AG65" s="335">
        <v>976</v>
      </c>
      <c r="AH65" s="339">
        <v>31</v>
      </c>
      <c r="AI65" s="316">
        <f t="shared" ref="AI65:AJ65" si="1045">IF(ISBLANK(AK65),,AK65-AK64)</f>
        <v>45</v>
      </c>
      <c r="AJ65" s="334">
        <f t="shared" si="1045"/>
        <v>5</v>
      </c>
      <c r="AK65" s="335">
        <v>2553</v>
      </c>
      <c r="AL65" s="336">
        <v>209</v>
      </c>
      <c r="AM65" s="337">
        <f t="shared" ref="AM65:AN65" si="1046">IF(ISBLANK(AO65),,AO65-AO64)</f>
        <v>13</v>
      </c>
      <c r="AN65" s="334">
        <f t="shared" si="1046"/>
        <v>1</v>
      </c>
      <c r="AO65" s="335">
        <v>435</v>
      </c>
      <c r="AP65" s="339">
        <v>30</v>
      </c>
      <c r="AQ65" s="316">
        <f t="shared" ref="AQ65:AR65" si="1047">IF(ISBLANK(AS65),,AS65-AS64)</f>
        <v>13</v>
      </c>
      <c r="AR65" s="338">
        <f t="shared" si="1047"/>
        <v>0</v>
      </c>
      <c r="AS65" s="335">
        <v>363</v>
      </c>
      <c r="AT65" s="336">
        <v>24</v>
      </c>
      <c r="AU65" s="337">
        <f t="shared" ref="AU65:AV65" si="1048">IF(ISBLANK(AW65),,AW65-AW64)</f>
        <v>0</v>
      </c>
      <c r="AV65" s="334">
        <f t="shared" si="1048"/>
        <v>0</v>
      </c>
      <c r="AW65" s="335">
        <v>378</v>
      </c>
      <c r="AX65" s="339">
        <v>5</v>
      </c>
      <c r="AY65" s="316">
        <f t="shared" ref="AY65:AZ65" si="1049">IF(ISBLANK(BA65),,BA65-BA64)</f>
        <v>0</v>
      </c>
      <c r="AZ65" s="334">
        <f t="shared" si="1049"/>
        <v>3</v>
      </c>
      <c r="BA65" s="335">
        <v>444</v>
      </c>
      <c r="BB65" s="336">
        <v>18</v>
      </c>
      <c r="BC65" s="337">
        <f t="shared" ref="BC65:BD65" si="1050">IF(ISBLANK(BE65),,BE65-BE64)</f>
        <v>80</v>
      </c>
      <c r="BD65" s="334">
        <f t="shared" si="1050"/>
        <v>3</v>
      </c>
      <c r="BE65" s="335">
        <v>2656</v>
      </c>
      <c r="BF65" s="339">
        <v>129</v>
      </c>
      <c r="BG65" s="316">
        <f t="shared" ref="BG65:BH65" si="1051">IF(ISBLANK(BI65),,BI65-BI64)</f>
        <v>4</v>
      </c>
      <c r="BH65" s="334">
        <f t="shared" si="1051"/>
        <v>0</v>
      </c>
      <c r="BI65" s="335">
        <v>282</v>
      </c>
      <c r="BJ65" s="336">
        <v>8</v>
      </c>
      <c r="BK65" s="337">
        <f t="shared" ref="BK65:BL65" si="1052">IF(ISBLANK(BM65),,BM65-BM64)</f>
        <v>2</v>
      </c>
      <c r="BL65" s="334">
        <f t="shared" si="1052"/>
        <v>0</v>
      </c>
      <c r="BM65" s="335">
        <v>150</v>
      </c>
      <c r="BN65" s="339">
        <v>1</v>
      </c>
      <c r="BO65" s="316">
        <f t="shared" ref="BO65:BP65" si="1053">IF(ISBLANK(BQ65),,BQ65-BQ64)</f>
        <v>11</v>
      </c>
      <c r="BP65" s="334">
        <f t="shared" si="1053"/>
        <v>2</v>
      </c>
      <c r="BQ65" s="335">
        <v>1529</v>
      </c>
      <c r="BR65" s="336">
        <v>96</v>
      </c>
      <c r="BS65" s="316">
        <f t="shared" ref="BS65:BT65" si="1054">IF(ISBLANK(BU65),,BU65-BU64)</f>
        <v>14</v>
      </c>
      <c r="BT65" s="334">
        <f t="shared" si="1054"/>
        <v>4</v>
      </c>
      <c r="BU65" s="335">
        <v>428</v>
      </c>
      <c r="BV65" s="336">
        <v>14</v>
      </c>
      <c r="BW65" s="233"/>
      <c r="BX65" s="233"/>
      <c r="BY65" s="233"/>
      <c r="BZ65" s="233"/>
      <c r="CA65" s="233"/>
      <c r="CB65" s="233"/>
      <c r="CC65" s="233"/>
      <c r="CD65" s="233"/>
      <c r="CE65" s="233"/>
    </row>
    <row r="66" spans="1:83" x14ac:dyDescent="0.25">
      <c r="A66" s="313">
        <v>43956</v>
      </c>
      <c r="B66" s="314">
        <v>63</v>
      </c>
      <c r="C66" s="315"/>
      <c r="D66" s="316">
        <v>406</v>
      </c>
      <c r="E66" s="317">
        <v>19</v>
      </c>
      <c r="F66" s="318">
        <v>4280</v>
      </c>
      <c r="G66" s="319"/>
      <c r="H66" s="330">
        <f t="shared" ref="H66:I66" si="1055">IF(ISBLANK(D66),,H65+D66)</f>
        <v>14412</v>
      </c>
      <c r="I66" s="331">
        <f t="shared" si="1055"/>
        <v>715</v>
      </c>
      <c r="J66" s="332">
        <f t="shared" si="1"/>
        <v>185</v>
      </c>
      <c r="K66" s="333">
        <f t="shared" ref="K66:L66" si="1056">IF(ISBLANK(M66),,M66-M65)</f>
        <v>46</v>
      </c>
      <c r="L66" s="334">
        <f t="shared" si="1056"/>
        <v>4</v>
      </c>
      <c r="M66" s="335">
        <v>1769</v>
      </c>
      <c r="N66" s="336">
        <v>57</v>
      </c>
      <c r="O66" s="337">
        <f t="shared" ref="O66:P66" si="1057">IF(ISBLANK(Q66),,Q66-Q65)</f>
        <v>4</v>
      </c>
      <c r="P66" s="338">
        <f t="shared" si="1057"/>
        <v>1</v>
      </c>
      <c r="Q66" s="335">
        <v>561</v>
      </c>
      <c r="R66" s="339">
        <v>30</v>
      </c>
      <c r="S66" s="316">
        <f t="shared" ref="S66:T66" si="1058">IF(ISBLANK(U66),,U66-U65)</f>
        <v>2</v>
      </c>
      <c r="T66" s="334">
        <f t="shared" si="1058"/>
        <v>0</v>
      </c>
      <c r="U66" s="335">
        <v>376</v>
      </c>
      <c r="V66" s="336">
        <v>14</v>
      </c>
      <c r="W66" s="337">
        <f t="shared" ref="W66:X66" si="1059">IF(ISBLANK(Y66),,Y66-Y65)</f>
        <v>0</v>
      </c>
      <c r="X66" s="334">
        <f t="shared" si="1059"/>
        <v>0</v>
      </c>
      <c r="Y66" s="335">
        <v>90</v>
      </c>
      <c r="Z66" s="340">
        <v>0</v>
      </c>
      <c r="AA66" s="316">
        <f t="shared" ref="AA66:AB66" si="1060">IF(ISBLANK(AC66),,AC66-AC65)</f>
        <v>3</v>
      </c>
      <c r="AB66" s="334">
        <f t="shared" si="1060"/>
        <v>1</v>
      </c>
      <c r="AC66" s="335">
        <v>1071</v>
      </c>
      <c r="AD66" s="336">
        <v>36</v>
      </c>
      <c r="AE66" s="337">
        <f t="shared" ref="AE66:AF66" si="1061">IF(ISBLANK(AG66),,AG66-AG65)</f>
        <v>21</v>
      </c>
      <c r="AF66" s="334">
        <f t="shared" si="1061"/>
        <v>1</v>
      </c>
      <c r="AG66" s="335">
        <v>997</v>
      </c>
      <c r="AH66" s="339">
        <v>32</v>
      </c>
      <c r="AI66" s="316">
        <f t="shared" ref="AI66:AJ66" si="1062">IF(ISBLANK(AK66),,AK66-AK65)</f>
        <v>78</v>
      </c>
      <c r="AJ66" s="334">
        <f t="shared" si="1062"/>
        <v>3</v>
      </c>
      <c r="AK66" s="335">
        <v>2631</v>
      </c>
      <c r="AL66" s="336">
        <v>212</v>
      </c>
      <c r="AM66" s="337">
        <f t="shared" ref="AM66:AN66" si="1063">IF(ISBLANK(AO66),,AO66-AO65)</f>
        <v>5</v>
      </c>
      <c r="AN66" s="334">
        <f t="shared" si="1063"/>
        <v>0</v>
      </c>
      <c r="AO66" s="335">
        <v>440</v>
      </c>
      <c r="AP66" s="339">
        <v>30</v>
      </c>
      <c r="AQ66" s="316">
        <f t="shared" ref="AQ66:AR66" si="1064">IF(ISBLANK(AS66),,AS66-AS65)</f>
        <v>3</v>
      </c>
      <c r="AR66" s="338">
        <f t="shared" si="1064"/>
        <v>0</v>
      </c>
      <c r="AS66" s="335">
        <v>366</v>
      </c>
      <c r="AT66" s="336">
        <v>24</v>
      </c>
      <c r="AU66" s="337">
        <f t="shared" ref="AU66:AV66" si="1065">IF(ISBLANK(AW66),,AW66-AW65)</f>
        <v>1</v>
      </c>
      <c r="AV66" s="334">
        <f t="shared" si="1065"/>
        <v>1</v>
      </c>
      <c r="AW66" s="335">
        <v>379</v>
      </c>
      <c r="AX66" s="339">
        <v>6</v>
      </c>
      <c r="AY66" s="316">
        <f t="shared" ref="AY66:AZ66" si="1066">IF(ISBLANK(BA66),,BA66-BA65)</f>
        <v>7</v>
      </c>
      <c r="AZ66" s="334">
        <f t="shared" si="1066"/>
        <v>1</v>
      </c>
      <c r="BA66" s="335">
        <v>451</v>
      </c>
      <c r="BB66" s="336">
        <v>19</v>
      </c>
      <c r="BC66" s="337">
        <f t="shared" ref="BC66:BD66" si="1067">IF(ISBLANK(BE66),,BE66-BE65)</f>
        <v>134</v>
      </c>
      <c r="BD66" s="334">
        <f t="shared" si="1067"/>
        <v>4</v>
      </c>
      <c r="BE66" s="335">
        <v>2790</v>
      </c>
      <c r="BF66" s="339">
        <v>133</v>
      </c>
      <c r="BG66" s="316">
        <f t="shared" ref="BG66:BH66" si="1068">IF(ISBLANK(BI66),,BI66-BI65)</f>
        <v>18</v>
      </c>
      <c r="BH66" s="334">
        <f t="shared" si="1068"/>
        <v>1</v>
      </c>
      <c r="BI66" s="335">
        <v>300</v>
      </c>
      <c r="BJ66" s="336">
        <v>9</v>
      </c>
      <c r="BK66" s="337">
        <f t="shared" ref="BK66:BL66" si="1069">IF(ISBLANK(BM66),,BM66-BM65)</f>
        <v>2</v>
      </c>
      <c r="BL66" s="334">
        <f t="shared" si="1069"/>
        <v>0</v>
      </c>
      <c r="BM66" s="335">
        <v>152</v>
      </c>
      <c r="BN66" s="339">
        <v>1</v>
      </c>
      <c r="BO66" s="316">
        <f t="shared" ref="BO66:BP66" si="1070">IF(ISBLANK(BQ66),,BQ66-BQ65)</f>
        <v>69</v>
      </c>
      <c r="BP66" s="334">
        <f t="shared" si="1070"/>
        <v>2</v>
      </c>
      <c r="BQ66" s="335">
        <v>1598</v>
      </c>
      <c r="BR66" s="336">
        <v>98</v>
      </c>
      <c r="BS66" s="316">
        <f t="shared" ref="BS66:BT66" si="1071">IF(ISBLANK(BU66),,BU66-BU65)</f>
        <v>13</v>
      </c>
      <c r="BT66" s="334">
        <f t="shared" si="1071"/>
        <v>0</v>
      </c>
      <c r="BU66" s="335">
        <v>441</v>
      </c>
      <c r="BV66" s="336">
        <v>14</v>
      </c>
      <c r="BW66" s="233"/>
      <c r="BX66" s="233"/>
      <c r="BY66" s="233"/>
      <c r="BZ66" s="233"/>
      <c r="CA66" s="233"/>
      <c r="CB66" s="233"/>
      <c r="CC66" s="233"/>
      <c r="CD66" s="233"/>
      <c r="CE66" s="233"/>
    </row>
    <row r="67" spans="1:83" x14ac:dyDescent="0.25">
      <c r="A67" s="313">
        <v>43957</v>
      </c>
      <c r="B67" s="314">
        <v>64</v>
      </c>
      <c r="C67" s="315"/>
      <c r="D67" s="316">
        <v>311</v>
      </c>
      <c r="E67" s="317">
        <v>18</v>
      </c>
      <c r="F67" s="318">
        <v>4655</v>
      </c>
      <c r="G67" s="319"/>
      <c r="H67" s="330">
        <f t="shared" ref="H67:I67" si="1072">IF(ISBLANK(D67),,H66+D67)</f>
        <v>14723</v>
      </c>
      <c r="I67" s="331">
        <f t="shared" si="1072"/>
        <v>733</v>
      </c>
      <c r="J67" s="332">
        <f t="shared" si="1"/>
        <v>375</v>
      </c>
      <c r="K67" s="333">
        <f t="shared" ref="K67:L67" si="1073">IF(ISBLANK(M67),,M67-M66)</f>
        <v>20</v>
      </c>
      <c r="L67" s="334">
        <f t="shared" si="1073"/>
        <v>0</v>
      </c>
      <c r="M67" s="335">
        <v>1789</v>
      </c>
      <c r="N67" s="336">
        <v>57</v>
      </c>
      <c r="O67" s="337">
        <f t="shared" ref="O67:P67" si="1074">IF(ISBLANK(Q67),,Q67-Q66)</f>
        <v>0</v>
      </c>
      <c r="P67" s="338">
        <f t="shared" si="1074"/>
        <v>0</v>
      </c>
      <c r="Q67" s="335">
        <v>561</v>
      </c>
      <c r="R67" s="339">
        <v>30</v>
      </c>
      <c r="S67" s="316">
        <f t="shared" ref="S67:T67" si="1075">IF(ISBLANK(U67),,U67-U66)</f>
        <v>4</v>
      </c>
      <c r="T67" s="334">
        <f t="shared" si="1075"/>
        <v>0</v>
      </c>
      <c r="U67" s="335">
        <v>380</v>
      </c>
      <c r="V67" s="336">
        <v>14</v>
      </c>
      <c r="W67" s="337">
        <f t="shared" ref="W67:X67" si="1076">IF(ISBLANK(Y67),,Y67-Y66)</f>
        <v>0</v>
      </c>
      <c r="X67" s="334">
        <f t="shared" si="1076"/>
        <v>0</v>
      </c>
      <c r="Y67" s="335">
        <v>90</v>
      </c>
      <c r="Z67" s="340">
        <v>0</v>
      </c>
      <c r="AA67" s="316">
        <f t="shared" ref="AA67:AB67" si="1077">IF(ISBLANK(AC67),,AC67-AC66)</f>
        <v>27</v>
      </c>
      <c r="AB67" s="334">
        <f t="shared" si="1077"/>
        <v>1</v>
      </c>
      <c r="AC67" s="335">
        <v>1098</v>
      </c>
      <c r="AD67" s="336">
        <v>37</v>
      </c>
      <c r="AE67" s="337">
        <f t="shared" ref="AE67:AF67" si="1078">IF(ISBLANK(AG67),,AG67-AG66)</f>
        <v>12</v>
      </c>
      <c r="AF67" s="334">
        <f t="shared" si="1078"/>
        <v>0</v>
      </c>
      <c r="AG67" s="335">
        <v>1009</v>
      </c>
      <c r="AH67" s="339">
        <v>32</v>
      </c>
      <c r="AI67" s="316">
        <f t="shared" ref="AI67:AJ67" si="1079">IF(ISBLANK(AK67),,AK67-AK66)</f>
        <v>42</v>
      </c>
      <c r="AJ67" s="334">
        <f t="shared" si="1079"/>
        <v>2</v>
      </c>
      <c r="AK67" s="335">
        <v>2673</v>
      </c>
      <c r="AL67" s="336">
        <v>214</v>
      </c>
      <c r="AM67" s="337">
        <f t="shared" ref="AM67:AN67" si="1080">IF(ISBLANK(AO67),,AO67-AO66)</f>
        <v>10</v>
      </c>
      <c r="AN67" s="334">
        <f t="shared" si="1080"/>
        <v>1</v>
      </c>
      <c r="AO67" s="335">
        <v>450</v>
      </c>
      <c r="AP67" s="339">
        <v>31</v>
      </c>
      <c r="AQ67" s="316">
        <f t="shared" ref="AQ67:AR67" si="1081">IF(ISBLANK(AS67),,AS67-AS66)</f>
        <v>0</v>
      </c>
      <c r="AR67" s="338">
        <f t="shared" si="1081"/>
        <v>1</v>
      </c>
      <c r="AS67" s="335">
        <v>366</v>
      </c>
      <c r="AT67" s="336">
        <v>25</v>
      </c>
      <c r="AU67" s="337">
        <f t="shared" ref="AU67:AV67" si="1082">IF(ISBLANK(AW67),,AW67-AW66)</f>
        <v>1</v>
      </c>
      <c r="AV67" s="334">
        <f t="shared" si="1082"/>
        <v>0</v>
      </c>
      <c r="AW67" s="335">
        <v>380</v>
      </c>
      <c r="AX67" s="339">
        <v>6</v>
      </c>
      <c r="AY67" s="316">
        <f t="shared" ref="AY67:AZ67" si="1083">IF(ISBLANK(BA67),,BA67-BA66)</f>
        <v>9</v>
      </c>
      <c r="AZ67" s="334">
        <f t="shared" si="1083"/>
        <v>2</v>
      </c>
      <c r="BA67" s="335">
        <v>460</v>
      </c>
      <c r="BB67" s="336">
        <v>21</v>
      </c>
      <c r="BC67" s="337">
        <f t="shared" ref="BC67:BD67" si="1084">IF(ISBLANK(BE67),,BE67-BE66)</f>
        <v>157</v>
      </c>
      <c r="BD67" s="334">
        <f t="shared" si="1084"/>
        <v>5</v>
      </c>
      <c r="BE67" s="335">
        <v>2947</v>
      </c>
      <c r="BF67" s="339">
        <v>138</v>
      </c>
      <c r="BG67" s="316">
        <f t="shared" ref="BG67:BH67" si="1085">IF(ISBLANK(BI67),,BI67-BI66)</f>
        <v>0</v>
      </c>
      <c r="BH67" s="334">
        <f t="shared" si="1085"/>
        <v>1</v>
      </c>
      <c r="BI67" s="335">
        <v>300</v>
      </c>
      <c r="BJ67" s="336">
        <v>10</v>
      </c>
      <c r="BK67" s="337">
        <f t="shared" ref="BK67:BL67" si="1086">IF(ISBLANK(BM67),,BM67-BM66)</f>
        <v>0</v>
      </c>
      <c r="BL67" s="334">
        <f t="shared" si="1086"/>
        <v>0</v>
      </c>
      <c r="BM67" s="335">
        <v>152</v>
      </c>
      <c r="BN67" s="339">
        <v>1</v>
      </c>
      <c r="BO67" s="316">
        <f t="shared" ref="BO67:BP67" si="1087">IF(ISBLANK(BQ67),,BQ67-BQ66)</f>
        <v>18</v>
      </c>
      <c r="BP67" s="334">
        <f t="shared" si="1087"/>
        <v>4</v>
      </c>
      <c r="BQ67" s="335">
        <v>1616</v>
      </c>
      <c r="BR67" s="336">
        <v>102</v>
      </c>
      <c r="BS67" s="316">
        <f t="shared" ref="BS67:BT67" si="1088">IF(ISBLANK(BU67),,BU67-BU66)</f>
        <v>11</v>
      </c>
      <c r="BT67" s="334">
        <f t="shared" si="1088"/>
        <v>1</v>
      </c>
      <c r="BU67" s="335">
        <v>452</v>
      </c>
      <c r="BV67" s="336">
        <v>15</v>
      </c>
      <c r="BW67" s="233"/>
      <c r="BX67" s="233"/>
      <c r="BY67" s="233"/>
      <c r="BZ67" s="233"/>
      <c r="CA67" s="233"/>
      <c r="CB67" s="233"/>
      <c r="CC67" s="233"/>
      <c r="CD67" s="233"/>
      <c r="CE67" s="233"/>
    </row>
    <row r="68" spans="1:83" x14ac:dyDescent="0.25">
      <c r="A68" s="313">
        <v>43958</v>
      </c>
      <c r="B68" s="314">
        <v>65</v>
      </c>
      <c r="C68" s="315"/>
      <c r="D68" s="316">
        <v>303</v>
      </c>
      <c r="E68" s="317">
        <v>22</v>
      </c>
      <c r="F68" s="318">
        <v>4862</v>
      </c>
      <c r="G68" s="319"/>
      <c r="H68" s="330">
        <f t="shared" ref="H68:I68" si="1089">IF(ISBLANK(D68),,H67+D68)</f>
        <v>15026</v>
      </c>
      <c r="I68" s="331">
        <f t="shared" si="1089"/>
        <v>755</v>
      </c>
      <c r="J68" s="332">
        <f t="shared" si="1"/>
        <v>207</v>
      </c>
      <c r="K68" s="333">
        <f t="shared" ref="K68:L68" si="1090">IF(ISBLANK(M68),,M68-M67)</f>
        <v>36</v>
      </c>
      <c r="L68" s="334">
        <f t="shared" si="1090"/>
        <v>2</v>
      </c>
      <c r="M68" s="335">
        <v>1825</v>
      </c>
      <c r="N68" s="336">
        <v>59</v>
      </c>
      <c r="O68" s="337">
        <f t="shared" ref="O68:P68" si="1091">IF(ISBLANK(Q68),,Q68-Q67)</f>
        <v>5</v>
      </c>
      <c r="P68" s="338">
        <f t="shared" si="1091"/>
        <v>1</v>
      </c>
      <c r="Q68" s="335">
        <v>566</v>
      </c>
      <c r="R68" s="339">
        <v>31</v>
      </c>
      <c r="S68" s="316">
        <f t="shared" ref="S68:T68" si="1092">IF(ISBLANK(U68),,U68-U67)</f>
        <v>1</v>
      </c>
      <c r="T68" s="334">
        <f t="shared" si="1092"/>
        <v>0</v>
      </c>
      <c r="U68" s="335">
        <v>381</v>
      </c>
      <c r="V68" s="336">
        <v>14</v>
      </c>
      <c r="W68" s="337">
        <f t="shared" ref="W68:X68" si="1093">IF(ISBLANK(Y68),,Y68-Y67)</f>
        <v>2</v>
      </c>
      <c r="X68" s="334">
        <f t="shared" si="1093"/>
        <v>0</v>
      </c>
      <c r="Y68" s="335">
        <v>92</v>
      </c>
      <c r="Z68" s="340">
        <v>0</v>
      </c>
      <c r="AA68" s="316">
        <f t="shared" ref="AA68:AB68" si="1094">IF(ISBLANK(AC68),,AC68-AC67)</f>
        <v>38</v>
      </c>
      <c r="AB68" s="334">
        <f t="shared" si="1094"/>
        <v>3</v>
      </c>
      <c r="AC68" s="335">
        <v>1136</v>
      </c>
      <c r="AD68" s="336">
        <v>40</v>
      </c>
      <c r="AE68" s="337">
        <f t="shared" ref="AE68:AF68" si="1095">IF(ISBLANK(AG68),,AG68-AG67)</f>
        <v>10</v>
      </c>
      <c r="AF68" s="334">
        <f t="shared" si="1095"/>
        <v>1</v>
      </c>
      <c r="AG68" s="335">
        <v>1019</v>
      </c>
      <c r="AH68" s="339">
        <v>33</v>
      </c>
      <c r="AI68" s="316">
        <f t="shared" ref="AI68:AJ68" si="1096">IF(ISBLANK(AK68),,AK68-AK67)</f>
        <v>36</v>
      </c>
      <c r="AJ68" s="334">
        <f t="shared" si="1096"/>
        <v>2</v>
      </c>
      <c r="AK68" s="335">
        <v>2709</v>
      </c>
      <c r="AL68" s="336">
        <v>216</v>
      </c>
      <c r="AM68" s="337">
        <f t="shared" ref="AM68:AN68" si="1097">IF(ISBLANK(AO68),,AO68-AO67)</f>
        <v>9</v>
      </c>
      <c r="AN68" s="334">
        <f t="shared" si="1097"/>
        <v>1</v>
      </c>
      <c r="AO68" s="335">
        <v>459</v>
      </c>
      <c r="AP68" s="339">
        <v>32</v>
      </c>
      <c r="AQ68" s="316">
        <f t="shared" ref="AQ68:AR68" si="1098">IF(ISBLANK(AS68),,AS68-AS67)</f>
        <v>2</v>
      </c>
      <c r="AR68" s="338">
        <f t="shared" si="1098"/>
        <v>2</v>
      </c>
      <c r="AS68" s="335">
        <v>368</v>
      </c>
      <c r="AT68" s="336">
        <v>27</v>
      </c>
      <c r="AU68" s="337">
        <f t="shared" ref="AU68:AV68" si="1099">IF(ISBLANK(AW68),,AW68-AW67)</f>
        <v>1</v>
      </c>
      <c r="AV68" s="334">
        <f t="shared" si="1099"/>
        <v>1</v>
      </c>
      <c r="AW68" s="335">
        <v>381</v>
      </c>
      <c r="AX68" s="339">
        <v>7</v>
      </c>
      <c r="AY68" s="316">
        <f t="shared" ref="AY68:AZ68" si="1100">IF(ISBLANK(BA68),,BA68-BA67)</f>
        <v>8</v>
      </c>
      <c r="AZ68" s="334">
        <f t="shared" si="1100"/>
        <v>1</v>
      </c>
      <c r="BA68" s="335">
        <v>468</v>
      </c>
      <c r="BB68" s="336">
        <v>22</v>
      </c>
      <c r="BC68" s="337">
        <f t="shared" ref="BC68:BD68" si="1101">IF(ISBLANK(BE68),,BE68-BE67)</f>
        <v>116</v>
      </c>
      <c r="BD68" s="334">
        <f t="shared" si="1101"/>
        <v>4</v>
      </c>
      <c r="BE68" s="335">
        <v>3063</v>
      </c>
      <c r="BF68" s="339">
        <v>142</v>
      </c>
      <c r="BG68" s="316">
        <f t="shared" ref="BG68:BH68" si="1102">IF(ISBLANK(BI68),,BI68-BI67)</f>
        <v>3</v>
      </c>
      <c r="BH68" s="334">
        <f t="shared" si="1102"/>
        <v>0</v>
      </c>
      <c r="BI68" s="335">
        <v>303</v>
      </c>
      <c r="BJ68" s="336">
        <v>10</v>
      </c>
      <c r="BK68" s="337">
        <f t="shared" ref="BK68:BL68" si="1103">IF(ISBLANK(BM68),,BM68-BM67)</f>
        <v>4</v>
      </c>
      <c r="BL68" s="334">
        <f t="shared" si="1103"/>
        <v>0</v>
      </c>
      <c r="BM68" s="335">
        <v>156</v>
      </c>
      <c r="BN68" s="339">
        <v>1</v>
      </c>
      <c r="BO68" s="316">
        <f t="shared" ref="BO68:BP68" si="1104">IF(ISBLANK(BQ68),,BQ68-BQ67)</f>
        <v>24</v>
      </c>
      <c r="BP68" s="334">
        <f t="shared" si="1104"/>
        <v>3</v>
      </c>
      <c r="BQ68" s="335">
        <v>1640</v>
      </c>
      <c r="BR68" s="336">
        <v>105</v>
      </c>
      <c r="BS68" s="316">
        <f t="shared" ref="BS68:BT68" si="1105">IF(ISBLANK(BU68),,BU68-BU67)</f>
        <v>8</v>
      </c>
      <c r="BT68" s="334">
        <f t="shared" si="1105"/>
        <v>1</v>
      </c>
      <c r="BU68" s="335">
        <v>460</v>
      </c>
      <c r="BV68" s="336">
        <v>16</v>
      </c>
      <c r="BW68" s="233"/>
      <c r="BX68" s="233"/>
      <c r="BY68" s="233"/>
      <c r="BZ68" s="233"/>
      <c r="CA68" s="233"/>
      <c r="CB68" s="233"/>
      <c r="CC68" s="233"/>
      <c r="CD68" s="233"/>
      <c r="CE68" s="233"/>
    </row>
    <row r="69" spans="1:83" x14ac:dyDescent="0.25">
      <c r="A69" s="313">
        <v>43959</v>
      </c>
      <c r="B69" s="314">
        <v>66</v>
      </c>
      <c r="C69" s="315"/>
      <c r="D69" s="316">
        <v>337</v>
      </c>
      <c r="E69" s="317">
        <v>20</v>
      </c>
      <c r="F69" s="318">
        <v>5184</v>
      </c>
      <c r="G69" s="319"/>
      <c r="H69" s="330">
        <f t="shared" ref="H69:I69" si="1106">IF(ISBLANK(D69),,H68+D69)</f>
        <v>15363</v>
      </c>
      <c r="I69" s="331">
        <f t="shared" si="1106"/>
        <v>775</v>
      </c>
      <c r="J69" s="332">
        <f t="shared" si="1"/>
        <v>322</v>
      </c>
      <c r="K69" s="333">
        <f t="shared" ref="K69:L69" si="1107">IF(ISBLANK(M69),,M69-M68)</f>
        <v>45</v>
      </c>
      <c r="L69" s="334">
        <f t="shared" si="1107"/>
        <v>7</v>
      </c>
      <c r="M69" s="335">
        <v>1870</v>
      </c>
      <c r="N69" s="336">
        <v>66</v>
      </c>
      <c r="O69" s="337">
        <f t="shared" ref="O69:P69" si="1108">IF(ISBLANK(Q69),,Q69-Q68)</f>
        <v>5</v>
      </c>
      <c r="P69" s="338">
        <f t="shared" si="1108"/>
        <v>1</v>
      </c>
      <c r="Q69" s="335">
        <v>571</v>
      </c>
      <c r="R69" s="339">
        <v>32</v>
      </c>
      <c r="S69" s="316">
        <f t="shared" ref="S69:T69" si="1109">IF(ISBLANK(U69),,U69-U68)</f>
        <v>3</v>
      </c>
      <c r="T69" s="334">
        <f t="shared" si="1109"/>
        <v>0</v>
      </c>
      <c r="U69" s="335">
        <v>384</v>
      </c>
      <c r="V69" s="336">
        <v>14</v>
      </c>
      <c r="W69" s="337">
        <f t="shared" ref="W69:X69" si="1110">IF(ISBLANK(Y69),,Y69-Y68)</f>
        <v>0</v>
      </c>
      <c r="X69" s="334">
        <f t="shared" si="1110"/>
        <v>0</v>
      </c>
      <c r="Y69" s="335">
        <v>92</v>
      </c>
      <c r="Z69" s="340">
        <v>0</v>
      </c>
      <c r="AA69" s="316">
        <f t="shared" ref="AA69:AB69" si="1111">IF(ISBLANK(AC69),,AC69-AC68)</f>
        <v>11</v>
      </c>
      <c r="AB69" s="334">
        <f t="shared" si="1111"/>
        <v>1</v>
      </c>
      <c r="AC69" s="335">
        <v>1147</v>
      </c>
      <c r="AD69" s="336">
        <v>41</v>
      </c>
      <c r="AE69" s="337">
        <f t="shared" ref="AE69:AF69" si="1112">IF(ISBLANK(AG69),,AG69-AG68)</f>
        <v>14</v>
      </c>
      <c r="AF69" s="334">
        <f t="shared" si="1112"/>
        <v>0</v>
      </c>
      <c r="AG69" s="335">
        <v>1033</v>
      </c>
      <c r="AH69" s="339">
        <v>33</v>
      </c>
      <c r="AI69" s="316">
        <f t="shared" ref="AI69:AJ69" si="1113">IF(ISBLANK(AK69),,AK69-AK68)</f>
        <v>22</v>
      </c>
      <c r="AJ69" s="334">
        <f t="shared" si="1113"/>
        <v>2</v>
      </c>
      <c r="AK69" s="335">
        <v>2731</v>
      </c>
      <c r="AL69" s="336">
        <v>218</v>
      </c>
      <c r="AM69" s="337">
        <f t="shared" ref="AM69:AN69" si="1114">IF(ISBLANK(AO69),,AO69-AO68)</f>
        <v>16</v>
      </c>
      <c r="AN69" s="334">
        <f t="shared" si="1114"/>
        <v>1</v>
      </c>
      <c r="AO69" s="335">
        <v>475</v>
      </c>
      <c r="AP69" s="339">
        <v>33</v>
      </c>
      <c r="AQ69" s="316">
        <f t="shared" ref="AQ69:AR69" si="1115">IF(ISBLANK(AS69),,AS69-AS68)</f>
        <v>2</v>
      </c>
      <c r="AR69" s="338">
        <f t="shared" si="1115"/>
        <v>0</v>
      </c>
      <c r="AS69" s="335">
        <v>370</v>
      </c>
      <c r="AT69" s="336">
        <v>27</v>
      </c>
      <c r="AU69" s="337">
        <f t="shared" ref="AU69:AV69" si="1116">IF(ISBLANK(AW69),,AW69-AW68)</f>
        <v>2</v>
      </c>
      <c r="AV69" s="334">
        <f t="shared" si="1116"/>
        <v>0</v>
      </c>
      <c r="AW69" s="335">
        <v>383</v>
      </c>
      <c r="AX69" s="339">
        <v>7</v>
      </c>
      <c r="AY69" s="316">
        <f t="shared" ref="AY69:AZ69" si="1117">IF(ISBLANK(BA69),,BA69-BA68)</f>
        <v>9</v>
      </c>
      <c r="AZ69" s="334">
        <f t="shared" si="1117"/>
        <v>1</v>
      </c>
      <c r="BA69" s="335">
        <v>477</v>
      </c>
      <c r="BB69" s="336">
        <v>23</v>
      </c>
      <c r="BC69" s="337">
        <f t="shared" ref="BC69:BD69" si="1118">IF(ISBLANK(BE69),,BE69-BE68)</f>
        <v>179</v>
      </c>
      <c r="BD69" s="334">
        <f t="shared" si="1118"/>
        <v>3</v>
      </c>
      <c r="BE69" s="335">
        <v>3242</v>
      </c>
      <c r="BF69" s="339">
        <v>145</v>
      </c>
      <c r="BG69" s="316">
        <f t="shared" ref="BG69:BH69" si="1119">IF(ISBLANK(BI69),,BI69-BI68)</f>
        <v>9</v>
      </c>
      <c r="BH69" s="334">
        <f t="shared" si="1119"/>
        <v>1</v>
      </c>
      <c r="BI69" s="335">
        <v>312</v>
      </c>
      <c r="BJ69" s="336">
        <v>11</v>
      </c>
      <c r="BK69" s="337">
        <f t="shared" ref="BK69:BL69" si="1120">IF(ISBLANK(BM69),,BM69-BM68)</f>
        <v>1</v>
      </c>
      <c r="BL69" s="334">
        <f t="shared" si="1120"/>
        <v>0</v>
      </c>
      <c r="BM69" s="335">
        <v>157</v>
      </c>
      <c r="BN69" s="339">
        <v>1</v>
      </c>
      <c r="BO69" s="316">
        <f t="shared" ref="BO69:BP69" si="1121">IF(ISBLANK(BQ69),,BQ69-BQ68)</f>
        <v>15</v>
      </c>
      <c r="BP69" s="334">
        <f t="shared" si="1121"/>
        <v>3</v>
      </c>
      <c r="BQ69" s="335">
        <v>1655</v>
      </c>
      <c r="BR69" s="336">
        <v>108</v>
      </c>
      <c r="BS69" s="316">
        <f t="shared" ref="BS69:BT69" si="1122">IF(ISBLANK(BU69),,BU69-BU68)</f>
        <v>4</v>
      </c>
      <c r="BT69" s="334">
        <f t="shared" si="1122"/>
        <v>0</v>
      </c>
      <c r="BU69" s="335">
        <v>464</v>
      </c>
      <c r="BV69" s="336">
        <v>16</v>
      </c>
      <c r="BW69" s="233"/>
      <c r="BX69" s="233"/>
      <c r="BY69" s="233"/>
      <c r="BZ69" s="233"/>
      <c r="CA69" s="233"/>
      <c r="CB69" s="233"/>
      <c r="CC69" s="233"/>
      <c r="CD69" s="233"/>
      <c r="CE69" s="233"/>
    </row>
    <row r="70" spans="1:83" x14ac:dyDescent="0.25">
      <c r="A70" s="313">
        <v>43960</v>
      </c>
      <c r="B70" s="314">
        <v>67</v>
      </c>
      <c r="C70" s="315"/>
      <c r="D70" s="316">
        <v>288</v>
      </c>
      <c r="E70" s="317">
        <v>9</v>
      </c>
      <c r="F70" s="318">
        <v>5437</v>
      </c>
      <c r="G70" s="319"/>
      <c r="H70" s="330">
        <f t="shared" ref="H70:I70" si="1123">IF(ISBLANK(D70),,H69+D70)</f>
        <v>15651</v>
      </c>
      <c r="I70" s="331">
        <f t="shared" si="1123"/>
        <v>784</v>
      </c>
      <c r="J70" s="332">
        <f t="shared" si="1"/>
        <v>253</v>
      </c>
      <c r="K70" s="333">
        <f t="shared" ref="K70:L70" si="1124">IF(ISBLANK(M70),,M70-M69)</f>
        <v>33</v>
      </c>
      <c r="L70" s="334">
        <f t="shared" si="1124"/>
        <v>1</v>
      </c>
      <c r="M70" s="335">
        <v>1903</v>
      </c>
      <c r="N70" s="336">
        <v>67</v>
      </c>
      <c r="O70" s="337">
        <f t="shared" ref="O70:P70" si="1125">IF(ISBLANK(Q70),,Q70-Q69)</f>
        <v>1</v>
      </c>
      <c r="P70" s="338">
        <f t="shared" si="1125"/>
        <v>0</v>
      </c>
      <c r="Q70" s="335">
        <v>572</v>
      </c>
      <c r="R70" s="339">
        <v>32</v>
      </c>
      <c r="S70" s="316">
        <f t="shared" ref="S70:T70" si="1126">IF(ISBLANK(U70),,U70-U69)</f>
        <v>2</v>
      </c>
      <c r="T70" s="334">
        <f t="shared" si="1126"/>
        <v>0</v>
      </c>
      <c r="U70" s="335">
        <v>386</v>
      </c>
      <c r="V70" s="336">
        <v>14</v>
      </c>
      <c r="W70" s="337">
        <f t="shared" ref="W70:X70" si="1127">IF(ISBLANK(Y70),,Y70-Y69)</f>
        <v>0</v>
      </c>
      <c r="X70" s="334">
        <f t="shared" si="1127"/>
        <v>0</v>
      </c>
      <c r="Y70" s="335">
        <v>92</v>
      </c>
      <c r="Z70" s="340">
        <v>0</v>
      </c>
      <c r="AA70" s="316">
        <f t="shared" ref="AA70:AB70" si="1128">IF(ISBLANK(AC70),,AC70-AC69)</f>
        <v>16</v>
      </c>
      <c r="AB70" s="334">
        <f t="shared" si="1128"/>
        <v>0</v>
      </c>
      <c r="AC70" s="335">
        <v>1163</v>
      </c>
      <c r="AD70" s="336">
        <v>41</v>
      </c>
      <c r="AE70" s="337">
        <f t="shared" ref="AE70:AF70" si="1129">IF(ISBLANK(AG70),,AG70-AG69)</f>
        <v>10</v>
      </c>
      <c r="AF70" s="334">
        <f t="shared" si="1129"/>
        <v>1</v>
      </c>
      <c r="AG70" s="335">
        <v>1043</v>
      </c>
      <c r="AH70" s="339">
        <v>34</v>
      </c>
      <c r="AI70" s="316">
        <f t="shared" ref="AI70:AJ70" si="1130">IF(ISBLANK(AK70),,AK70-AK69)</f>
        <v>34</v>
      </c>
      <c r="AJ70" s="334">
        <f t="shared" si="1130"/>
        <v>3</v>
      </c>
      <c r="AK70" s="335">
        <v>2765</v>
      </c>
      <c r="AL70" s="336">
        <v>221</v>
      </c>
      <c r="AM70" s="337">
        <f t="shared" ref="AM70:AN70" si="1131">IF(ISBLANK(AO70),,AO70-AO69)</f>
        <v>3</v>
      </c>
      <c r="AN70" s="334">
        <f t="shared" si="1131"/>
        <v>0</v>
      </c>
      <c r="AO70" s="335">
        <v>478</v>
      </c>
      <c r="AP70" s="339">
        <v>33</v>
      </c>
      <c r="AQ70" s="316">
        <f t="shared" ref="AQ70:AR70" si="1132">IF(ISBLANK(AS70),,AS70-AS69)</f>
        <v>0</v>
      </c>
      <c r="AR70" s="338">
        <f t="shared" si="1132"/>
        <v>0</v>
      </c>
      <c r="AS70" s="335">
        <v>370</v>
      </c>
      <c r="AT70" s="336">
        <v>27</v>
      </c>
      <c r="AU70" s="337">
        <f t="shared" ref="AU70:AV70" si="1133">IF(ISBLANK(AW70),,AW70-AW69)</f>
        <v>0</v>
      </c>
      <c r="AV70" s="334">
        <f t="shared" si="1133"/>
        <v>0</v>
      </c>
      <c r="AW70" s="335">
        <v>383</v>
      </c>
      <c r="AX70" s="339">
        <v>7</v>
      </c>
      <c r="AY70" s="316">
        <f t="shared" ref="AY70:AZ70" si="1134">IF(ISBLANK(BA70),,BA70-BA69)</f>
        <v>1</v>
      </c>
      <c r="AZ70" s="334">
        <f t="shared" si="1134"/>
        <v>1</v>
      </c>
      <c r="BA70" s="335">
        <v>478</v>
      </c>
      <c r="BB70" s="336">
        <v>24</v>
      </c>
      <c r="BC70" s="337">
        <f t="shared" ref="BC70:BD70" si="1135">IF(ISBLANK(BE70),,BE70-BE69)</f>
        <v>156</v>
      </c>
      <c r="BD70" s="334">
        <f t="shared" si="1135"/>
        <v>0</v>
      </c>
      <c r="BE70" s="335">
        <v>3398</v>
      </c>
      <c r="BF70" s="339">
        <v>145</v>
      </c>
      <c r="BG70" s="316">
        <f t="shared" ref="BG70:BH70" si="1136">IF(ISBLANK(BI70),,BI70-BI69)</f>
        <v>9</v>
      </c>
      <c r="BH70" s="334">
        <f t="shared" si="1136"/>
        <v>0</v>
      </c>
      <c r="BI70" s="335">
        <v>321</v>
      </c>
      <c r="BJ70" s="336">
        <v>11</v>
      </c>
      <c r="BK70" s="337">
        <f t="shared" ref="BK70:BL70" si="1137">IF(ISBLANK(BM70),,BM70-BM69)</f>
        <v>3</v>
      </c>
      <c r="BL70" s="334">
        <f t="shared" si="1137"/>
        <v>0</v>
      </c>
      <c r="BM70" s="335">
        <v>160</v>
      </c>
      <c r="BN70" s="339">
        <v>1</v>
      </c>
      <c r="BO70" s="316">
        <f t="shared" ref="BO70:BP70" si="1138">IF(ISBLANK(BQ70),,BQ70-BQ69)</f>
        <v>15</v>
      </c>
      <c r="BP70" s="334">
        <f t="shared" si="1138"/>
        <v>3</v>
      </c>
      <c r="BQ70" s="335">
        <v>1670</v>
      </c>
      <c r="BR70" s="336">
        <v>111</v>
      </c>
      <c r="BS70" s="316">
        <f t="shared" ref="BS70:BT70" si="1139">IF(ISBLANK(BU70),,BU70-BU69)</f>
        <v>5</v>
      </c>
      <c r="BT70" s="334">
        <f t="shared" si="1139"/>
        <v>0</v>
      </c>
      <c r="BU70" s="335">
        <v>469</v>
      </c>
      <c r="BV70" s="336">
        <v>16</v>
      </c>
      <c r="BW70" s="233"/>
      <c r="BX70" s="233"/>
      <c r="BY70" s="233"/>
      <c r="BZ70" s="233"/>
      <c r="CA70" s="233"/>
      <c r="CB70" s="233"/>
      <c r="CC70" s="233"/>
      <c r="CD70" s="233"/>
      <c r="CE70" s="233"/>
    </row>
    <row r="71" spans="1:83" x14ac:dyDescent="0.25">
      <c r="A71" s="313">
        <v>43961</v>
      </c>
      <c r="B71" s="314">
        <v>68</v>
      </c>
      <c r="C71" s="315"/>
      <c r="D71" s="316">
        <v>345</v>
      </c>
      <c r="E71" s="317">
        <v>15</v>
      </c>
      <c r="F71" s="318">
        <v>5698</v>
      </c>
      <c r="G71" s="319"/>
      <c r="H71" s="330">
        <f t="shared" ref="H71:I71" si="1140">IF(ISBLANK(D71),,H70+D71)</f>
        <v>15996</v>
      </c>
      <c r="I71" s="331">
        <f t="shared" si="1140"/>
        <v>799</v>
      </c>
      <c r="J71" s="332">
        <f t="shared" si="1"/>
        <v>261</v>
      </c>
      <c r="K71" s="333">
        <f t="shared" ref="K71:L71" si="1141">IF(ISBLANK(M71),,M71-M70)</f>
        <v>99</v>
      </c>
      <c r="L71" s="334">
        <f t="shared" si="1141"/>
        <v>0</v>
      </c>
      <c r="M71" s="335">
        <v>2002</v>
      </c>
      <c r="N71" s="336">
        <v>67</v>
      </c>
      <c r="O71" s="337">
        <f t="shared" ref="O71:P71" si="1142">IF(ISBLANK(Q71),,Q71-Q70)</f>
        <v>2</v>
      </c>
      <c r="P71" s="338">
        <f t="shared" si="1142"/>
        <v>0</v>
      </c>
      <c r="Q71" s="335">
        <v>574</v>
      </c>
      <c r="R71" s="339">
        <v>32</v>
      </c>
      <c r="S71" s="316">
        <f t="shared" ref="S71:T71" si="1143">IF(ISBLANK(U71),,U71-U70)</f>
        <v>2</v>
      </c>
      <c r="T71" s="334">
        <f t="shared" si="1143"/>
        <v>0</v>
      </c>
      <c r="U71" s="335">
        <v>388</v>
      </c>
      <c r="V71" s="336">
        <v>14</v>
      </c>
      <c r="W71" s="337">
        <f t="shared" ref="W71:X71" si="1144">IF(ISBLANK(Y71),,Y71-Y70)</f>
        <v>0</v>
      </c>
      <c r="X71" s="334">
        <f t="shared" si="1144"/>
        <v>0</v>
      </c>
      <c r="Y71" s="335">
        <v>92</v>
      </c>
      <c r="Z71" s="340">
        <v>0</v>
      </c>
      <c r="AA71" s="316">
        <f t="shared" ref="AA71:AB71" si="1145">IF(ISBLANK(AC71),,AC71-AC70)</f>
        <v>12</v>
      </c>
      <c r="AB71" s="334">
        <f t="shared" si="1145"/>
        <v>0</v>
      </c>
      <c r="AC71" s="335">
        <v>1175</v>
      </c>
      <c r="AD71" s="336">
        <v>41</v>
      </c>
      <c r="AE71" s="337">
        <f t="shared" ref="AE71:AF71" si="1146">IF(ISBLANK(AG71),,AG71-AG70)</f>
        <v>4</v>
      </c>
      <c r="AF71" s="334">
        <f t="shared" si="1146"/>
        <v>1</v>
      </c>
      <c r="AG71" s="335">
        <v>1047</v>
      </c>
      <c r="AH71" s="339">
        <v>35</v>
      </c>
      <c r="AI71" s="316">
        <f t="shared" ref="AI71:AJ71" si="1147">IF(ISBLANK(AK71),,AK71-AK70)</f>
        <v>26</v>
      </c>
      <c r="AJ71" s="334">
        <f t="shared" si="1147"/>
        <v>0</v>
      </c>
      <c r="AK71" s="335">
        <v>2791</v>
      </c>
      <c r="AL71" s="336">
        <v>221</v>
      </c>
      <c r="AM71" s="337">
        <f t="shared" ref="AM71:AN71" si="1148">IF(ISBLANK(AO71),,AO71-AO70)</f>
        <v>12</v>
      </c>
      <c r="AN71" s="334">
        <f t="shared" si="1148"/>
        <v>1</v>
      </c>
      <c r="AO71" s="335">
        <v>490</v>
      </c>
      <c r="AP71" s="339">
        <v>34</v>
      </c>
      <c r="AQ71" s="316">
        <f t="shared" ref="AQ71:AR71" si="1149">IF(ISBLANK(AS71),,AS71-AS70)</f>
        <v>1</v>
      </c>
      <c r="AR71" s="338">
        <f t="shared" si="1149"/>
        <v>1</v>
      </c>
      <c r="AS71" s="335">
        <v>371</v>
      </c>
      <c r="AT71" s="336">
        <v>28</v>
      </c>
      <c r="AU71" s="337">
        <f t="shared" ref="AU71:AV71" si="1150">IF(ISBLANK(AW71),,AW71-AW70)</f>
        <v>1</v>
      </c>
      <c r="AV71" s="334">
        <f t="shared" si="1150"/>
        <v>0</v>
      </c>
      <c r="AW71" s="335">
        <v>384</v>
      </c>
      <c r="AX71" s="339">
        <v>7</v>
      </c>
      <c r="AY71" s="316">
        <f t="shared" ref="AY71:AZ71" si="1151">IF(ISBLANK(BA71),,BA71-BA70)</f>
        <v>3</v>
      </c>
      <c r="AZ71" s="334">
        <f t="shared" si="1151"/>
        <v>2</v>
      </c>
      <c r="BA71" s="335">
        <v>481</v>
      </c>
      <c r="BB71" s="336">
        <v>26</v>
      </c>
      <c r="BC71" s="337">
        <f t="shared" ref="BC71:BD71" si="1152">IF(ISBLANK(BE71),,BE71-BE70)</f>
        <v>171</v>
      </c>
      <c r="BD71" s="334">
        <f t="shared" si="1152"/>
        <v>4</v>
      </c>
      <c r="BE71" s="335">
        <v>3569</v>
      </c>
      <c r="BF71" s="339">
        <v>149</v>
      </c>
      <c r="BG71" s="316">
        <f t="shared" ref="BG71:BH71" si="1153">IF(ISBLANK(BI71),,BI71-BI70)</f>
        <v>4</v>
      </c>
      <c r="BH71" s="334">
        <f t="shared" si="1153"/>
        <v>1</v>
      </c>
      <c r="BI71" s="335">
        <v>325</v>
      </c>
      <c r="BJ71" s="336">
        <v>12</v>
      </c>
      <c r="BK71" s="337">
        <f t="shared" ref="BK71:BL71" si="1154">IF(ISBLANK(BM71),,BM71-BM70)</f>
        <v>2</v>
      </c>
      <c r="BL71" s="334">
        <f t="shared" si="1154"/>
        <v>0</v>
      </c>
      <c r="BM71" s="335">
        <v>162</v>
      </c>
      <c r="BN71" s="339">
        <v>1</v>
      </c>
      <c r="BO71" s="316">
        <f t="shared" ref="BO71:BP71" si="1155">IF(ISBLANK(BQ71),,BQ71-BQ70)</f>
        <v>2</v>
      </c>
      <c r="BP71" s="334">
        <f t="shared" si="1155"/>
        <v>5</v>
      </c>
      <c r="BQ71" s="335">
        <v>1672</v>
      </c>
      <c r="BR71" s="336">
        <v>116</v>
      </c>
      <c r="BS71" s="316">
        <f t="shared" ref="BS71:BT71" si="1156">IF(ISBLANK(BU71),,BU71-BU70)</f>
        <v>4</v>
      </c>
      <c r="BT71" s="334">
        <f t="shared" si="1156"/>
        <v>0</v>
      </c>
      <c r="BU71" s="335">
        <v>473</v>
      </c>
      <c r="BV71" s="336">
        <v>16</v>
      </c>
      <c r="BW71" s="233"/>
      <c r="BX71" s="233"/>
      <c r="BY71" s="233"/>
      <c r="BZ71" s="233"/>
      <c r="CA71" s="233"/>
      <c r="CB71" s="233"/>
      <c r="CC71" s="233"/>
      <c r="CD71" s="233"/>
      <c r="CE71" s="233"/>
    </row>
    <row r="72" spans="1:83" x14ac:dyDescent="0.25">
      <c r="A72" s="313">
        <v>43962</v>
      </c>
      <c r="B72" s="314">
        <v>69</v>
      </c>
      <c r="C72" s="315"/>
      <c r="D72" s="316">
        <v>330</v>
      </c>
      <c r="E72" s="317">
        <v>11</v>
      </c>
      <c r="F72" s="318">
        <v>5816</v>
      </c>
      <c r="G72" s="319"/>
      <c r="H72" s="330">
        <f t="shared" ref="H72:I72" si="1157">IF(ISBLANK(D72),,H71+D72)</f>
        <v>16326</v>
      </c>
      <c r="I72" s="331">
        <f t="shared" si="1157"/>
        <v>810</v>
      </c>
      <c r="J72" s="332">
        <f t="shared" si="1"/>
        <v>118</v>
      </c>
      <c r="K72" s="333">
        <f t="shared" ref="K72:L72" si="1158">IF(ISBLANK(M72),,M72-M71)</f>
        <v>22</v>
      </c>
      <c r="L72" s="334">
        <f t="shared" si="1158"/>
        <v>5</v>
      </c>
      <c r="M72" s="335">
        <v>2024</v>
      </c>
      <c r="N72" s="336">
        <v>72</v>
      </c>
      <c r="O72" s="337">
        <f t="shared" ref="O72:P72" si="1159">IF(ISBLANK(Q72),,Q72-Q71)</f>
        <v>3</v>
      </c>
      <c r="P72" s="338">
        <f t="shared" si="1159"/>
        <v>0</v>
      </c>
      <c r="Q72" s="335">
        <v>577</v>
      </c>
      <c r="R72" s="339">
        <v>32</v>
      </c>
      <c r="S72" s="316">
        <f t="shared" ref="S72:T72" si="1160">IF(ISBLANK(U72),,U72-U71)</f>
        <v>4</v>
      </c>
      <c r="T72" s="334">
        <f t="shared" si="1160"/>
        <v>0</v>
      </c>
      <c r="U72" s="335">
        <v>392</v>
      </c>
      <c r="V72" s="336">
        <v>14</v>
      </c>
      <c r="W72" s="337">
        <f t="shared" ref="W72:X72" si="1161">IF(ISBLANK(Y72),,Y72-Y71)</f>
        <v>0</v>
      </c>
      <c r="X72" s="334">
        <f t="shared" si="1161"/>
        <v>0</v>
      </c>
      <c r="Y72" s="335">
        <v>92</v>
      </c>
      <c r="Z72" s="340">
        <v>0</v>
      </c>
      <c r="AA72" s="316">
        <f t="shared" ref="AA72:AB72" si="1162">IF(ISBLANK(AC72),,AC72-AC71)</f>
        <v>10</v>
      </c>
      <c r="AB72" s="334">
        <f t="shared" si="1162"/>
        <v>0</v>
      </c>
      <c r="AC72" s="335">
        <v>1185</v>
      </c>
      <c r="AD72" s="336">
        <v>41</v>
      </c>
      <c r="AE72" s="337">
        <f t="shared" ref="AE72:AF72" si="1163">IF(ISBLANK(AG72),,AG72-AG71)</f>
        <v>24</v>
      </c>
      <c r="AF72" s="334">
        <f t="shared" si="1163"/>
        <v>0</v>
      </c>
      <c r="AG72" s="335">
        <v>1071</v>
      </c>
      <c r="AH72" s="339">
        <v>35</v>
      </c>
      <c r="AI72" s="316">
        <f t="shared" ref="AI72:AJ72" si="1164">IF(ISBLANK(AK72),,AK72-AK71)</f>
        <v>17</v>
      </c>
      <c r="AJ72" s="334">
        <f t="shared" si="1164"/>
        <v>0</v>
      </c>
      <c r="AK72" s="335">
        <v>2808</v>
      </c>
      <c r="AL72" s="336">
        <v>221</v>
      </c>
      <c r="AM72" s="337">
        <f t="shared" ref="AM72:AN72" si="1165">IF(ISBLANK(AO72),,AO72-AO71)</f>
        <v>5</v>
      </c>
      <c r="AN72" s="334">
        <f t="shared" si="1165"/>
        <v>1</v>
      </c>
      <c r="AO72" s="335">
        <v>495</v>
      </c>
      <c r="AP72" s="339">
        <v>35</v>
      </c>
      <c r="AQ72" s="316">
        <f t="shared" ref="AQ72:AR72" si="1166">IF(ISBLANK(AS72),,AS72-AS71)</f>
        <v>0</v>
      </c>
      <c r="AR72" s="338">
        <f t="shared" si="1166"/>
        <v>1</v>
      </c>
      <c r="AS72" s="335">
        <v>371</v>
      </c>
      <c r="AT72" s="336">
        <v>29</v>
      </c>
      <c r="AU72" s="337">
        <f t="shared" ref="AU72:AV72" si="1167">IF(ISBLANK(AW72),,AW72-AW71)</f>
        <v>0</v>
      </c>
      <c r="AV72" s="334">
        <f t="shared" si="1167"/>
        <v>0</v>
      </c>
      <c r="AW72" s="335">
        <v>384</v>
      </c>
      <c r="AX72" s="339">
        <v>7</v>
      </c>
      <c r="AY72" s="316">
        <f t="shared" ref="AY72:AZ72" si="1168">IF(ISBLANK(BA72),,BA72-BA71)</f>
        <v>4</v>
      </c>
      <c r="AZ72" s="334">
        <f t="shared" si="1168"/>
        <v>1</v>
      </c>
      <c r="BA72" s="335">
        <v>485</v>
      </c>
      <c r="BB72" s="336">
        <v>27</v>
      </c>
      <c r="BC72" s="337">
        <f t="shared" ref="BC72:BD72" si="1169">IF(ISBLANK(BE72),,BE72-BE71)</f>
        <v>213</v>
      </c>
      <c r="BD72" s="334">
        <f t="shared" si="1169"/>
        <v>1</v>
      </c>
      <c r="BE72" s="335">
        <v>3782</v>
      </c>
      <c r="BF72" s="339">
        <v>150</v>
      </c>
      <c r="BG72" s="316">
        <f t="shared" ref="BG72:BH72" si="1170">IF(ISBLANK(BI72),,BI72-BI71)</f>
        <v>0</v>
      </c>
      <c r="BH72" s="334">
        <f t="shared" si="1170"/>
        <v>0</v>
      </c>
      <c r="BI72" s="335">
        <v>325</v>
      </c>
      <c r="BJ72" s="336">
        <v>12</v>
      </c>
      <c r="BK72" s="337">
        <f t="shared" ref="BK72:BL72" si="1171">IF(ISBLANK(BM72),,BM72-BM71)</f>
        <v>0</v>
      </c>
      <c r="BL72" s="334">
        <f t="shared" si="1171"/>
        <v>0</v>
      </c>
      <c r="BM72" s="335">
        <v>162</v>
      </c>
      <c r="BN72" s="339">
        <v>1</v>
      </c>
      <c r="BO72" s="316">
        <f t="shared" ref="BO72:BP72" si="1172">IF(ISBLANK(BQ72),,BQ72-BQ71)</f>
        <v>27</v>
      </c>
      <c r="BP72" s="334">
        <f t="shared" si="1172"/>
        <v>2</v>
      </c>
      <c r="BQ72" s="335">
        <v>1699</v>
      </c>
      <c r="BR72" s="336">
        <v>118</v>
      </c>
      <c r="BS72" s="316">
        <f t="shared" ref="BS72:BT72" si="1173">IF(ISBLANK(BU72),,BU72-BU71)</f>
        <v>1</v>
      </c>
      <c r="BT72" s="334">
        <f t="shared" si="1173"/>
        <v>0</v>
      </c>
      <c r="BU72" s="335">
        <v>474</v>
      </c>
      <c r="BV72" s="336">
        <v>16</v>
      </c>
      <c r="BW72" s="233"/>
      <c r="BX72" s="233"/>
      <c r="BY72" s="233"/>
      <c r="BZ72" s="233"/>
      <c r="CA72" s="233"/>
      <c r="CB72" s="233"/>
      <c r="CC72" s="233"/>
      <c r="CD72" s="233"/>
      <c r="CE72" s="233"/>
    </row>
    <row r="73" spans="1:83" x14ac:dyDescent="0.25">
      <c r="A73" s="313">
        <v>43963</v>
      </c>
      <c r="B73" s="314">
        <v>70</v>
      </c>
      <c r="C73" s="315"/>
      <c r="D73" s="316">
        <v>556</v>
      </c>
      <c r="E73" s="317">
        <v>28</v>
      </c>
      <c r="F73" s="318">
        <v>6131</v>
      </c>
      <c r="G73" s="319"/>
      <c r="H73" s="330">
        <f t="shared" ref="H73:I73" si="1174">IF(ISBLANK(D73),,H72+D73)</f>
        <v>16882</v>
      </c>
      <c r="I73" s="331">
        <f t="shared" si="1174"/>
        <v>838</v>
      </c>
      <c r="J73" s="332">
        <f t="shared" si="1"/>
        <v>315</v>
      </c>
      <c r="K73" s="333">
        <f t="shared" ref="K73:L73" si="1175">IF(ISBLANK(M73),,M73-M72)</f>
        <v>32</v>
      </c>
      <c r="L73" s="334">
        <f t="shared" si="1175"/>
        <v>6</v>
      </c>
      <c r="M73" s="335">
        <v>2056</v>
      </c>
      <c r="N73" s="336">
        <v>78</v>
      </c>
      <c r="O73" s="337">
        <f t="shared" ref="O73:P73" si="1176">IF(ISBLANK(Q73),,Q73-Q72)</f>
        <v>0</v>
      </c>
      <c r="P73" s="338">
        <f t="shared" si="1176"/>
        <v>2</v>
      </c>
      <c r="Q73" s="335">
        <v>577</v>
      </c>
      <c r="R73" s="339">
        <v>34</v>
      </c>
      <c r="S73" s="316">
        <f t="shared" ref="S73:T73" si="1177">IF(ISBLANK(U73),,U73-U72)</f>
        <v>4</v>
      </c>
      <c r="T73" s="334">
        <f t="shared" si="1177"/>
        <v>0</v>
      </c>
      <c r="U73" s="335">
        <v>396</v>
      </c>
      <c r="V73" s="336">
        <v>14</v>
      </c>
      <c r="W73" s="337">
        <f t="shared" ref="W73:X73" si="1178">IF(ISBLANK(Y73),,Y73-Y72)</f>
        <v>0</v>
      </c>
      <c r="X73" s="334">
        <f t="shared" si="1178"/>
        <v>0</v>
      </c>
      <c r="Y73" s="335">
        <v>92</v>
      </c>
      <c r="Z73" s="340">
        <v>0</v>
      </c>
      <c r="AA73" s="316">
        <f t="shared" ref="AA73:AB73" si="1179">IF(ISBLANK(AC73),,AC73-AC72)</f>
        <v>13</v>
      </c>
      <c r="AB73" s="334">
        <f t="shared" si="1179"/>
        <v>4</v>
      </c>
      <c r="AC73" s="335">
        <v>1198</v>
      </c>
      <c r="AD73" s="336">
        <v>45</v>
      </c>
      <c r="AE73" s="337">
        <f t="shared" ref="AE73:AF73" si="1180">IF(ISBLANK(AG73),,AG73-AG72)</f>
        <v>3</v>
      </c>
      <c r="AF73" s="334">
        <f t="shared" si="1180"/>
        <v>0</v>
      </c>
      <c r="AG73" s="335">
        <v>1074</v>
      </c>
      <c r="AH73" s="339">
        <v>35</v>
      </c>
      <c r="AI73" s="316">
        <f t="shared" ref="AI73:AJ73" si="1181">IF(ISBLANK(AK73),,AK73-AK72)</f>
        <v>21</v>
      </c>
      <c r="AJ73" s="334">
        <f t="shared" si="1181"/>
        <v>3</v>
      </c>
      <c r="AK73" s="335">
        <v>2829</v>
      </c>
      <c r="AL73" s="336">
        <v>224</v>
      </c>
      <c r="AM73" s="337">
        <f t="shared" ref="AM73:AN73" si="1182">IF(ISBLANK(AO73),,AO73-AO72)</f>
        <v>3</v>
      </c>
      <c r="AN73" s="334">
        <f t="shared" si="1182"/>
        <v>0</v>
      </c>
      <c r="AO73" s="335">
        <v>498</v>
      </c>
      <c r="AP73" s="339">
        <v>35</v>
      </c>
      <c r="AQ73" s="316">
        <f t="shared" ref="AQ73:AR73" si="1183">IF(ISBLANK(AS73),,AS73-AS72)</f>
        <v>0</v>
      </c>
      <c r="AR73" s="338">
        <f t="shared" si="1183"/>
        <v>0</v>
      </c>
      <c r="AS73" s="335">
        <v>371</v>
      </c>
      <c r="AT73" s="336">
        <v>29</v>
      </c>
      <c r="AU73" s="337">
        <f t="shared" ref="AU73:AV73" si="1184">IF(ISBLANK(AW73),,AW73-AW72)</f>
        <v>1</v>
      </c>
      <c r="AV73" s="334">
        <f t="shared" si="1184"/>
        <v>0</v>
      </c>
      <c r="AW73" s="335">
        <v>385</v>
      </c>
      <c r="AX73" s="339">
        <v>7</v>
      </c>
      <c r="AY73" s="316">
        <f t="shared" ref="AY73:AZ73" si="1185">IF(ISBLANK(BA73),,BA73-BA72)</f>
        <v>4</v>
      </c>
      <c r="AZ73" s="334">
        <f t="shared" si="1185"/>
        <v>1</v>
      </c>
      <c r="BA73" s="335">
        <v>489</v>
      </c>
      <c r="BB73" s="336">
        <v>28</v>
      </c>
      <c r="BC73" s="337">
        <f t="shared" ref="BC73:BD73" si="1186">IF(ISBLANK(BE73),,BE73-BE72)</f>
        <v>453</v>
      </c>
      <c r="BD73" s="334">
        <f t="shared" si="1186"/>
        <v>6</v>
      </c>
      <c r="BE73" s="335">
        <v>4235</v>
      </c>
      <c r="BF73" s="339">
        <v>156</v>
      </c>
      <c r="BG73" s="316">
        <f t="shared" ref="BG73:BH73" si="1187">IF(ISBLANK(BI73),,BI73-BI72)</f>
        <v>3</v>
      </c>
      <c r="BH73" s="334">
        <f t="shared" si="1187"/>
        <v>1</v>
      </c>
      <c r="BI73" s="335">
        <v>328</v>
      </c>
      <c r="BJ73" s="336">
        <v>13</v>
      </c>
      <c r="BK73" s="337">
        <f t="shared" ref="BK73:BL73" si="1188">IF(ISBLANK(BM73),,BM73-BM72)</f>
        <v>2</v>
      </c>
      <c r="BL73" s="334">
        <f t="shared" si="1188"/>
        <v>0</v>
      </c>
      <c r="BM73" s="335">
        <v>164</v>
      </c>
      <c r="BN73" s="339">
        <v>1</v>
      </c>
      <c r="BO73" s="316">
        <f t="shared" ref="BO73:BP73" si="1189">IF(ISBLANK(BQ73),,BQ73-BQ72)</f>
        <v>11</v>
      </c>
      <c r="BP73" s="334">
        <f t="shared" si="1189"/>
        <v>5</v>
      </c>
      <c r="BQ73" s="335">
        <v>1710</v>
      </c>
      <c r="BR73" s="336">
        <v>123</v>
      </c>
      <c r="BS73" s="316">
        <f t="shared" ref="BS73:BT73" si="1190">IF(ISBLANK(BU73),,BU73-BU72)</f>
        <v>6</v>
      </c>
      <c r="BT73" s="334">
        <f t="shared" si="1190"/>
        <v>0</v>
      </c>
      <c r="BU73" s="335">
        <v>480</v>
      </c>
      <c r="BV73" s="336">
        <v>16</v>
      </c>
      <c r="BW73" s="233"/>
      <c r="BX73" s="233"/>
      <c r="BY73" s="233"/>
      <c r="BZ73" s="233"/>
      <c r="CA73" s="233"/>
      <c r="CB73" s="233"/>
      <c r="CC73" s="233"/>
      <c r="CD73" s="233"/>
      <c r="CE73" s="233"/>
    </row>
    <row r="74" spans="1:83" x14ac:dyDescent="0.25">
      <c r="A74" s="313">
        <v>43964</v>
      </c>
      <c r="B74" s="314">
        <v>71</v>
      </c>
      <c r="C74" s="315"/>
      <c r="D74" s="316">
        <v>322</v>
      </c>
      <c r="E74" s="317">
        <v>23</v>
      </c>
      <c r="F74" s="318">
        <v>6410</v>
      </c>
      <c r="G74" s="319"/>
      <c r="H74" s="330">
        <f t="shared" ref="H74:I74" si="1191">IF(ISBLANK(D74),,H73+D74)</f>
        <v>17204</v>
      </c>
      <c r="I74" s="331">
        <f t="shared" si="1191"/>
        <v>861</v>
      </c>
      <c r="J74" s="332">
        <f t="shared" si="1"/>
        <v>279</v>
      </c>
      <c r="K74" s="333">
        <f t="shared" ref="K74:L74" si="1192">IF(ISBLANK(M74),,M74-M73)</f>
        <v>44</v>
      </c>
      <c r="L74" s="334">
        <f t="shared" si="1192"/>
        <v>1</v>
      </c>
      <c r="M74" s="335">
        <v>2100</v>
      </c>
      <c r="N74" s="336">
        <v>79</v>
      </c>
      <c r="O74" s="337">
        <f t="shared" ref="O74:P74" si="1193">IF(ISBLANK(Q74),,Q74-Q73)</f>
        <v>0</v>
      </c>
      <c r="P74" s="338">
        <f t="shared" si="1193"/>
        <v>5</v>
      </c>
      <c r="Q74" s="335">
        <v>577</v>
      </c>
      <c r="R74" s="339">
        <v>39</v>
      </c>
      <c r="S74" s="316">
        <f t="shared" ref="S74:T74" si="1194">IF(ISBLANK(U74),,U74-U73)</f>
        <v>2</v>
      </c>
      <c r="T74" s="334">
        <f t="shared" si="1194"/>
        <v>0</v>
      </c>
      <c r="U74" s="335">
        <v>398</v>
      </c>
      <c r="V74" s="336">
        <v>14</v>
      </c>
      <c r="W74" s="337">
        <f t="shared" ref="W74:X74" si="1195">IF(ISBLANK(Y74),,Y74-Y73)</f>
        <v>0</v>
      </c>
      <c r="X74" s="334">
        <f t="shared" si="1195"/>
        <v>0</v>
      </c>
      <c r="Y74" s="335">
        <v>92</v>
      </c>
      <c r="Z74" s="340">
        <v>0</v>
      </c>
      <c r="AA74" s="316">
        <f t="shared" ref="AA74:AB74" si="1196">IF(ISBLANK(AC74),,AC74-AC73)</f>
        <v>11</v>
      </c>
      <c r="AB74" s="334">
        <f t="shared" si="1196"/>
        <v>1</v>
      </c>
      <c r="AC74" s="335">
        <v>1209</v>
      </c>
      <c r="AD74" s="336">
        <v>46</v>
      </c>
      <c r="AE74" s="337">
        <f t="shared" ref="AE74:AF74" si="1197">IF(ISBLANK(AG74),,AG74-AG73)</f>
        <v>10</v>
      </c>
      <c r="AF74" s="334">
        <f t="shared" si="1197"/>
        <v>0</v>
      </c>
      <c r="AG74" s="335">
        <v>1084</v>
      </c>
      <c r="AH74" s="339">
        <v>35</v>
      </c>
      <c r="AI74" s="316">
        <f t="shared" ref="AI74:AJ74" si="1198">IF(ISBLANK(AK74),,AK74-AK73)</f>
        <v>51</v>
      </c>
      <c r="AJ74" s="334">
        <f t="shared" si="1198"/>
        <v>3</v>
      </c>
      <c r="AK74" s="335">
        <v>2880</v>
      </c>
      <c r="AL74" s="336">
        <v>227</v>
      </c>
      <c r="AM74" s="337">
        <f t="shared" ref="AM74:AN74" si="1199">IF(ISBLANK(AO74),,AO74-AO73)</f>
        <v>4</v>
      </c>
      <c r="AN74" s="334">
        <f t="shared" si="1199"/>
        <v>1</v>
      </c>
      <c r="AO74" s="335">
        <v>502</v>
      </c>
      <c r="AP74" s="339">
        <v>36</v>
      </c>
      <c r="AQ74" s="316">
        <f t="shared" ref="AQ74:AR74" si="1200">IF(ISBLANK(AS74),,AS74-AS73)</f>
        <v>0</v>
      </c>
      <c r="AR74" s="338">
        <f t="shared" si="1200"/>
        <v>0</v>
      </c>
      <c r="AS74" s="335">
        <v>371</v>
      </c>
      <c r="AT74" s="336">
        <v>29</v>
      </c>
      <c r="AU74" s="337">
        <f t="shared" ref="AU74:AV74" si="1201">IF(ISBLANK(AW74),,AW74-AW73)</f>
        <v>0</v>
      </c>
      <c r="AV74" s="334">
        <f t="shared" si="1201"/>
        <v>0</v>
      </c>
      <c r="AW74" s="335">
        <v>385</v>
      </c>
      <c r="AX74" s="339">
        <v>7</v>
      </c>
      <c r="AY74" s="316">
        <f t="shared" ref="AY74:AZ74" si="1202">IF(ISBLANK(BA74),,BA74-BA73)</f>
        <v>2</v>
      </c>
      <c r="AZ74" s="334">
        <f t="shared" si="1202"/>
        <v>0</v>
      </c>
      <c r="BA74" s="335">
        <v>491</v>
      </c>
      <c r="BB74" s="336">
        <v>28</v>
      </c>
      <c r="BC74" s="337">
        <f t="shared" ref="BC74:BD74" si="1203">IF(ISBLANK(BE74),,BE74-BE73)</f>
        <v>167</v>
      </c>
      <c r="BD74" s="334">
        <f t="shared" si="1203"/>
        <v>2</v>
      </c>
      <c r="BE74" s="335">
        <v>4402</v>
      </c>
      <c r="BF74" s="339">
        <v>158</v>
      </c>
      <c r="BG74" s="316">
        <f t="shared" ref="BG74:BH74" si="1204">IF(ISBLANK(BI74),,BI74-BI73)</f>
        <v>9</v>
      </c>
      <c r="BH74" s="334">
        <f t="shared" si="1204"/>
        <v>0</v>
      </c>
      <c r="BI74" s="335">
        <v>337</v>
      </c>
      <c r="BJ74" s="336">
        <v>13</v>
      </c>
      <c r="BK74" s="337">
        <f t="shared" ref="BK74:BL74" si="1205">IF(ISBLANK(BM74),,BM74-BM73)</f>
        <v>4</v>
      </c>
      <c r="BL74" s="334">
        <f t="shared" si="1205"/>
        <v>0</v>
      </c>
      <c r="BM74" s="335">
        <v>168</v>
      </c>
      <c r="BN74" s="339">
        <v>1</v>
      </c>
      <c r="BO74" s="316">
        <f t="shared" ref="BO74:BP74" si="1206">IF(ISBLANK(BQ74),,BQ74-BQ73)</f>
        <v>12</v>
      </c>
      <c r="BP74" s="334">
        <f t="shared" si="1206"/>
        <v>10</v>
      </c>
      <c r="BQ74" s="335">
        <v>1722</v>
      </c>
      <c r="BR74" s="336">
        <v>133</v>
      </c>
      <c r="BS74" s="316">
        <f t="shared" ref="BS74:BT74" si="1207">IF(ISBLANK(BU74),,BU74-BU73)</f>
        <v>6</v>
      </c>
      <c r="BT74" s="334">
        <f t="shared" si="1207"/>
        <v>0</v>
      </c>
      <c r="BU74" s="335">
        <v>486</v>
      </c>
      <c r="BV74" s="336">
        <v>16</v>
      </c>
      <c r="BW74" s="233"/>
      <c r="BX74" s="233"/>
      <c r="BY74" s="233"/>
      <c r="BZ74" s="233"/>
      <c r="CA74" s="233"/>
      <c r="CB74" s="233"/>
      <c r="CC74" s="233"/>
      <c r="CD74" s="233"/>
      <c r="CE74" s="233"/>
    </row>
    <row r="75" spans="1:83" x14ac:dyDescent="0.25">
      <c r="A75" s="313">
        <v>43965</v>
      </c>
      <c r="B75" s="314">
        <v>72</v>
      </c>
      <c r="C75" s="315"/>
      <c r="D75" s="316">
        <v>411</v>
      </c>
      <c r="E75" s="317">
        <v>22</v>
      </c>
      <c r="F75" s="318">
        <v>6696</v>
      </c>
      <c r="G75" s="319"/>
      <c r="H75" s="330">
        <f t="shared" ref="H75:I75" si="1208">IF(ISBLANK(D75),,H74+D75)</f>
        <v>17615</v>
      </c>
      <c r="I75" s="331">
        <f t="shared" si="1208"/>
        <v>883</v>
      </c>
      <c r="J75" s="332">
        <f t="shared" si="1"/>
        <v>286</v>
      </c>
      <c r="K75" s="333">
        <f t="shared" ref="K75:L75" si="1209">IF(ISBLANK(M75),,M75-M74)</f>
        <v>25</v>
      </c>
      <c r="L75" s="334">
        <f t="shared" si="1209"/>
        <v>3</v>
      </c>
      <c r="M75" s="335">
        <v>2125</v>
      </c>
      <c r="N75" s="336">
        <v>82</v>
      </c>
      <c r="O75" s="337">
        <f t="shared" ref="O75:P75" si="1210">IF(ISBLANK(Q75),,Q75-Q74)</f>
        <v>1</v>
      </c>
      <c r="P75" s="338">
        <f t="shared" si="1210"/>
        <v>1</v>
      </c>
      <c r="Q75" s="335">
        <v>578</v>
      </c>
      <c r="R75" s="339">
        <v>40</v>
      </c>
      <c r="S75" s="316">
        <f t="shared" ref="S75:T75" si="1211">IF(ISBLANK(U75),,U75-U74)</f>
        <v>2</v>
      </c>
      <c r="T75" s="334">
        <f t="shared" si="1211"/>
        <v>0</v>
      </c>
      <c r="U75" s="335">
        <v>400</v>
      </c>
      <c r="V75" s="336">
        <v>14</v>
      </c>
      <c r="W75" s="337">
        <f t="shared" ref="W75:X75" si="1212">IF(ISBLANK(Y75),,Y75-Y74)</f>
        <v>0</v>
      </c>
      <c r="X75" s="334">
        <f t="shared" si="1212"/>
        <v>0</v>
      </c>
      <c r="Y75" s="335">
        <v>92</v>
      </c>
      <c r="Z75" s="340">
        <v>0</v>
      </c>
      <c r="AA75" s="316">
        <f t="shared" ref="AA75:AB75" si="1213">IF(ISBLANK(AC75),,AC75-AC74)</f>
        <v>7</v>
      </c>
      <c r="AB75" s="334">
        <f t="shared" si="1213"/>
        <v>0</v>
      </c>
      <c r="AC75" s="335">
        <v>1216</v>
      </c>
      <c r="AD75" s="336">
        <v>46</v>
      </c>
      <c r="AE75" s="337">
        <f t="shared" ref="AE75:AF75" si="1214">IF(ISBLANK(AG75),,AG75-AG74)</f>
        <v>24</v>
      </c>
      <c r="AF75" s="334">
        <f t="shared" si="1214"/>
        <v>0</v>
      </c>
      <c r="AG75" s="335">
        <v>1108</v>
      </c>
      <c r="AH75" s="339">
        <v>35</v>
      </c>
      <c r="AI75" s="316">
        <f t="shared" ref="AI75:AJ75" si="1215">IF(ISBLANK(AK75),,AK75-AK74)</f>
        <v>22</v>
      </c>
      <c r="AJ75" s="334">
        <f t="shared" si="1215"/>
        <v>2</v>
      </c>
      <c r="AK75" s="335">
        <v>2902</v>
      </c>
      <c r="AL75" s="336">
        <v>229</v>
      </c>
      <c r="AM75" s="337">
        <f t="shared" ref="AM75:AN75" si="1216">IF(ISBLANK(AO75),,AO75-AO74)</f>
        <v>8</v>
      </c>
      <c r="AN75" s="334">
        <f t="shared" si="1216"/>
        <v>2</v>
      </c>
      <c r="AO75" s="335">
        <v>510</v>
      </c>
      <c r="AP75" s="339">
        <v>38</v>
      </c>
      <c r="AQ75" s="316">
        <f t="shared" ref="AQ75:AR75" si="1217">IF(ISBLANK(AS75),,AS75-AS74)</f>
        <v>2</v>
      </c>
      <c r="AR75" s="338">
        <f t="shared" si="1217"/>
        <v>1</v>
      </c>
      <c r="AS75" s="335">
        <v>373</v>
      </c>
      <c r="AT75" s="336">
        <v>30</v>
      </c>
      <c r="AU75" s="337">
        <f t="shared" ref="AU75:AV75" si="1218">IF(ISBLANK(AW75),,AW75-AW74)</f>
        <v>1</v>
      </c>
      <c r="AV75" s="334">
        <f t="shared" si="1218"/>
        <v>1</v>
      </c>
      <c r="AW75" s="335">
        <v>386</v>
      </c>
      <c r="AX75" s="339">
        <v>8</v>
      </c>
      <c r="AY75" s="316">
        <f t="shared" ref="AY75:AZ75" si="1219">IF(ISBLANK(BA75),,BA75-BA74)</f>
        <v>1</v>
      </c>
      <c r="AZ75" s="334">
        <f t="shared" si="1219"/>
        <v>0</v>
      </c>
      <c r="BA75" s="335">
        <v>492</v>
      </c>
      <c r="BB75" s="336">
        <v>28</v>
      </c>
      <c r="BC75" s="337">
        <f t="shared" ref="BC75:BD75" si="1220">IF(ISBLANK(BE75),,BE75-BE74)</f>
        <v>302</v>
      </c>
      <c r="BD75" s="334">
        <f t="shared" si="1220"/>
        <v>8</v>
      </c>
      <c r="BE75" s="335">
        <v>4704</v>
      </c>
      <c r="BF75" s="339">
        <v>166</v>
      </c>
      <c r="BG75" s="316">
        <f t="shared" ref="BG75:BH75" si="1221">IF(ISBLANK(BI75),,BI75-BI74)</f>
        <v>0</v>
      </c>
      <c r="BH75" s="334">
        <f t="shared" si="1221"/>
        <v>1</v>
      </c>
      <c r="BI75" s="335">
        <v>337</v>
      </c>
      <c r="BJ75" s="336">
        <v>14</v>
      </c>
      <c r="BK75" s="337">
        <f t="shared" ref="BK75:BL75" si="1222">IF(ISBLANK(BM75),,BM75-BM74)</f>
        <v>1</v>
      </c>
      <c r="BL75" s="334">
        <f t="shared" si="1222"/>
        <v>0</v>
      </c>
      <c r="BM75" s="335">
        <v>169</v>
      </c>
      <c r="BN75" s="339">
        <v>1</v>
      </c>
      <c r="BO75" s="316">
        <f t="shared" ref="BO75:BP75" si="1223">IF(ISBLANK(BQ75),,BQ75-BQ74)</f>
        <v>13</v>
      </c>
      <c r="BP75" s="334">
        <f t="shared" si="1223"/>
        <v>2</v>
      </c>
      <c r="BQ75" s="335">
        <v>1735</v>
      </c>
      <c r="BR75" s="336">
        <v>135</v>
      </c>
      <c r="BS75" s="316">
        <f t="shared" ref="BS75:BT75" si="1224">IF(ISBLANK(BU75),,BU75-BU74)</f>
        <v>2</v>
      </c>
      <c r="BT75" s="334">
        <f t="shared" si="1224"/>
        <v>1</v>
      </c>
      <c r="BU75" s="335">
        <v>488</v>
      </c>
      <c r="BV75" s="336">
        <v>17</v>
      </c>
      <c r="BW75" s="233"/>
      <c r="BX75" s="233"/>
      <c r="BY75" s="233"/>
      <c r="BZ75" s="233"/>
      <c r="CA75" s="233"/>
      <c r="CB75" s="233"/>
      <c r="CC75" s="233"/>
      <c r="CD75" s="233"/>
      <c r="CE75" s="233"/>
    </row>
    <row r="76" spans="1:83" x14ac:dyDescent="0.25">
      <c r="A76" s="313">
        <v>43966</v>
      </c>
      <c r="B76" s="314">
        <v>73</v>
      </c>
      <c r="C76" s="315"/>
      <c r="D76" s="316">
        <v>401</v>
      </c>
      <c r="E76" s="317">
        <v>24</v>
      </c>
      <c r="F76" s="318">
        <v>6918</v>
      </c>
      <c r="G76" s="319"/>
      <c r="H76" s="330">
        <f t="shared" ref="H76:I76" si="1225">IF(ISBLANK(D76),,H75+D76)</f>
        <v>18016</v>
      </c>
      <c r="I76" s="331">
        <f t="shared" si="1225"/>
        <v>907</v>
      </c>
      <c r="J76" s="332">
        <f t="shared" si="1"/>
        <v>222</v>
      </c>
      <c r="K76" s="333">
        <f t="shared" ref="K76:L76" si="1226">IF(ISBLANK(M76),,M76-M75)</f>
        <v>16</v>
      </c>
      <c r="L76" s="334">
        <f t="shared" si="1226"/>
        <v>7</v>
      </c>
      <c r="M76" s="335">
        <v>2141</v>
      </c>
      <c r="N76" s="336">
        <v>89</v>
      </c>
      <c r="O76" s="337">
        <f t="shared" ref="O76:P76" si="1227">IF(ISBLANK(Q76),,Q76-Q75)</f>
        <v>3</v>
      </c>
      <c r="P76" s="338">
        <f t="shared" si="1227"/>
        <v>2</v>
      </c>
      <c r="Q76" s="335">
        <v>581</v>
      </c>
      <c r="R76" s="339">
        <v>42</v>
      </c>
      <c r="S76" s="316">
        <f t="shared" ref="S76:T76" si="1228">IF(ISBLANK(U76),,U76-U75)</f>
        <v>1</v>
      </c>
      <c r="T76" s="334">
        <f t="shared" si="1228"/>
        <v>0</v>
      </c>
      <c r="U76" s="335">
        <v>401</v>
      </c>
      <c r="V76" s="336">
        <v>14</v>
      </c>
      <c r="W76" s="337">
        <f t="shared" ref="W76:X76" si="1229">IF(ISBLANK(Y76),,Y76-Y75)</f>
        <v>0</v>
      </c>
      <c r="X76" s="334">
        <f t="shared" si="1229"/>
        <v>0</v>
      </c>
      <c r="Y76" s="335">
        <v>92</v>
      </c>
      <c r="Z76" s="340">
        <v>0</v>
      </c>
      <c r="AA76" s="316">
        <f t="shared" ref="AA76:AB76" si="1230">IF(ISBLANK(AC76),,AC76-AC75)</f>
        <v>8</v>
      </c>
      <c r="AB76" s="334">
        <f t="shared" si="1230"/>
        <v>1</v>
      </c>
      <c r="AC76" s="335">
        <v>1224</v>
      </c>
      <c r="AD76" s="336">
        <v>47</v>
      </c>
      <c r="AE76" s="337">
        <f t="shared" ref="AE76:AF76" si="1231">IF(ISBLANK(AG76),,AG76-AG75)</f>
        <v>9</v>
      </c>
      <c r="AF76" s="334">
        <f t="shared" si="1231"/>
        <v>0</v>
      </c>
      <c r="AG76" s="335">
        <v>1117</v>
      </c>
      <c r="AH76" s="339">
        <v>35</v>
      </c>
      <c r="AI76" s="316">
        <f t="shared" ref="AI76:AJ76" si="1232">IF(ISBLANK(AK76),,AK76-AK75)</f>
        <v>28</v>
      </c>
      <c r="AJ76" s="334">
        <f t="shared" si="1232"/>
        <v>0</v>
      </c>
      <c r="AK76" s="335">
        <v>2930</v>
      </c>
      <c r="AL76" s="336">
        <v>229</v>
      </c>
      <c r="AM76" s="337">
        <f t="shared" ref="AM76:AN76" si="1233">IF(ISBLANK(AO76),,AO76-AO75)</f>
        <v>17</v>
      </c>
      <c r="AN76" s="334">
        <f t="shared" si="1233"/>
        <v>1</v>
      </c>
      <c r="AO76" s="335">
        <v>527</v>
      </c>
      <c r="AP76" s="339">
        <v>39</v>
      </c>
      <c r="AQ76" s="316">
        <f t="shared" ref="AQ76:AR76" si="1234">IF(ISBLANK(AS76),,AS76-AS75)</f>
        <v>0</v>
      </c>
      <c r="AR76" s="338">
        <f t="shared" si="1234"/>
        <v>1</v>
      </c>
      <c r="AS76" s="335">
        <v>373</v>
      </c>
      <c r="AT76" s="336">
        <v>31</v>
      </c>
      <c r="AU76" s="337">
        <f t="shared" ref="AU76:AV76" si="1235">IF(ISBLANK(AW76),,AW76-AW75)</f>
        <v>1</v>
      </c>
      <c r="AV76" s="334">
        <f t="shared" si="1235"/>
        <v>0</v>
      </c>
      <c r="AW76" s="335">
        <v>387</v>
      </c>
      <c r="AX76" s="339">
        <v>8</v>
      </c>
      <c r="AY76" s="316">
        <f t="shared" ref="AY76:AZ76" si="1236">IF(ISBLANK(BA76),,BA76-BA75)</f>
        <v>1</v>
      </c>
      <c r="AZ76" s="334">
        <f t="shared" si="1236"/>
        <v>0</v>
      </c>
      <c r="BA76" s="335">
        <v>493</v>
      </c>
      <c r="BB76" s="336">
        <v>28</v>
      </c>
      <c r="BC76" s="337">
        <f t="shared" ref="BC76:BD76" si="1237">IF(ISBLANK(BE76),,BE76-BE75)</f>
        <v>293</v>
      </c>
      <c r="BD76" s="334">
        <f t="shared" si="1237"/>
        <v>7</v>
      </c>
      <c r="BE76" s="335">
        <v>4997</v>
      </c>
      <c r="BF76" s="339">
        <v>173</v>
      </c>
      <c r="BG76" s="316">
        <f t="shared" ref="BG76:BH76" si="1238">IF(ISBLANK(BI76),,BI76-BI75)</f>
        <v>3</v>
      </c>
      <c r="BH76" s="334">
        <f t="shared" si="1238"/>
        <v>3</v>
      </c>
      <c r="BI76" s="335">
        <v>340</v>
      </c>
      <c r="BJ76" s="336">
        <v>17</v>
      </c>
      <c r="BK76" s="337">
        <f t="shared" ref="BK76:BL76" si="1239">IF(ISBLANK(BM76),,BM76-BM75)</f>
        <v>1</v>
      </c>
      <c r="BL76" s="334">
        <f t="shared" si="1239"/>
        <v>0</v>
      </c>
      <c r="BM76" s="335">
        <v>170</v>
      </c>
      <c r="BN76" s="339">
        <v>1</v>
      </c>
      <c r="BO76" s="316">
        <f t="shared" ref="BO76:BP76" si="1240">IF(ISBLANK(BQ76),,BQ76-BQ75)</f>
        <v>17</v>
      </c>
      <c r="BP76" s="334">
        <f t="shared" si="1240"/>
        <v>1</v>
      </c>
      <c r="BQ76" s="335">
        <v>1752</v>
      </c>
      <c r="BR76" s="336">
        <v>136</v>
      </c>
      <c r="BS76" s="316">
        <f t="shared" ref="BS76:BT76" si="1241">IF(ISBLANK(BU76),,BU76-BU75)</f>
        <v>3</v>
      </c>
      <c r="BT76" s="334">
        <f t="shared" si="1241"/>
        <v>1</v>
      </c>
      <c r="BU76" s="335">
        <v>491</v>
      </c>
      <c r="BV76" s="336">
        <v>18</v>
      </c>
      <c r="BW76" s="233"/>
      <c r="BX76" s="233"/>
      <c r="BY76" s="233"/>
      <c r="BZ76" s="233"/>
      <c r="CA76" s="233"/>
      <c r="CB76" s="233"/>
      <c r="CC76" s="233"/>
      <c r="CD76" s="233"/>
      <c r="CE76" s="233"/>
    </row>
    <row r="77" spans="1:83" x14ac:dyDescent="0.25">
      <c r="A77" s="313">
        <v>43967</v>
      </c>
      <c r="B77" s="314">
        <v>74</v>
      </c>
      <c r="C77" s="315"/>
      <c r="D77" s="316">
        <v>241</v>
      </c>
      <c r="E77" s="317">
        <v>8</v>
      </c>
      <c r="F77" s="318">
        <v>7175</v>
      </c>
      <c r="G77" s="319"/>
      <c r="H77" s="330">
        <f t="shared" ref="H77:I77" si="1242">IF(ISBLANK(D77),,H76+D77)</f>
        <v>18257</v>
      </c>
      <c r="I77" s="331">
        <f t="shared" si="1242"/>
        <v>915</v>
      </c>
      <c r="J77" s="332">
        <f t="shared" si="1"/>
        <v>257</v>
      </c>
      <c r="K77" s="333">
        <f t="shared" ref="K77:L77" si="1243">IF(ISBLANK(M77),,M77-M76)</f>
        <v>19</v>
      </c>
      <c r="L77" s="334">
        <f t="shared" si="1243"/>
        <v>0</v>
      </c>
      <c r="M77" s="335">
        <v>2160</v>
      </c>
      <c r="N77" s="336">
        <v>89</v>
      </c>
      <c r="O77" s="337">
        <f t="shared" ref="O77:P77" si="1244">IF(ISBLANK(Q77),,Q77-Q76)</f>
        <v>1</v>
      </c>
      <c r="P77" s="338">
        <f t="shared" si="1244"/>
        <v>0</v>
      </c>
      <c r="Q77" s="335">
        <v>582</v>
      </c>
      <c r="R77" s="339">
        <v>42</v>
      </c>
      <c r="S77" s="316">
        <f t="shared" ref="S77:T77" si="1245">IF(ISBLANK(U77),,U77-U76)</f>
        <v>0</v>
      </c>
      <c r="T77" s="334">
        <f t="shared" si="1245"/>
        <v>0</v>
      </c>
      <c r="U77" s="335">
        <v>401</v>
      </c>
      <c r="V77" s="336">
        <v>14</v>
      </c>
      <c r="W77" s="337">
        <f t="shared" ref="W77:X77" si="1246">IF(ISBLANK(Y77),,Y77-Y76)</f>
        <v>0</v>
      </c>
      <c r="X77" s="334">
        <f t="shared" si="1246"/>
        <v>0</v>
      </c>
      <c r="Y77" s="335">
        <v>92</v>
      </c>
      <c r="Z77" s="340">
        <v>0</v>
      </c>
      <c r="AA77" s="316">
        <f t="shared" ref="AA77:AB77" si="1247">IF(ISBLANK(AC77),,AC77-AC76)</f>
        <v>7</v>
      </c>
      <c r="AB77" s="334">
        <f t="shared" si="1247"/>
        <v>1</v>
      </c>
      <c r="AC77" s="335">
        <v>1231</v>
      </c>
      <c r="AD77" s="336">
        <v>48</v>
      </c>
      <c r="AE77" s="337">
        <f t="shared" ref="AE77:AF77" si="1248">IF(ISBLANK(AG77),,AG77-AG76)</f>
        <v>7</v>
      </c>
      <c r="AF77" s="334">
        <f t="shared" si="1248"/>
        <v>2</v>
      </c>
      <c r="AG77" s="335">
        <v>1124</v>
      </c>
      <c r="AH77" s="339">
        <v>37</v>
      </c>
      <c r="AI77" s="316">
        <f t="shared" ref="AI77:AJ77" si="1249">IF(ISBLANK(AK77),,AK77-AK76)</f>
        <v>19</v>
      </c>
      <c r="AJ77" s="334">
        <f t="shared" si="1249"/>
        <v>1</v>
      </c>
      <c r="AK77" s="335">
        <v>2949</v>
      </c>
      <c r="AL77" s="336">
        <v>230</v>
      </c>
      <c r="AM77" s="337">
        <f t="shared" ref="AM77:AN77" si="1250">IF(ISBLANK(AO77),,AO77-AO76)</f>
        <v>8</v>
      </c>
      <c r="AN77" s="334">
        <f t="shared" si="1250"/>
        <v>0</v>
      </c>
      <c r="AO77" s="335">
        <v>535</v>
      </c>
      <c r="AP77" s="339">
        <v>39</v>
      </c>
      <c r="AQ77" s="316">
        <f t="shared" ref="AQ77:AR77" si="1251">IF(ISBLANK(AS77),,AS77-AS76)</f>
        <v>1</v>
      </c>
      <c r="AR77" s="338">
        <f t="shared" si="1251"/>
        <v>0</v>
      </c>
      <c r="AS77" s="335">
        <v>374</v>
      </c>
      <c r="AT77" s="336">
        <v>31</v>
      </c>
      <c r="AU77" s="337">
        <f t="shared" ref="AU77:AV77" si="1252">IF(ISBLANK(AW77),,AW77-AW76)</f>
        <v>0</v>
      </c>
      <c r="AV77" s="334">
        <f t="shared" si="1252"/>
        <v>0</v>
      </c>
      <c r="AW77" s="335">
        <v>387</v>
      </c>
      <c r="AX77" s="339">
        <v>8</v>
      </c>
      <c r="AY77" s="316">
        <f t="shared" ref="AY77:AZ77" si="1253">IF(ISBLANK(BA77),,BA77-BA76)</f>
        <v>7</v>
      </c>
      <c r="AZ77" s="334">
        <f t="shared" si="1253"/>
        <v>0</v>
      </c>
      <c r="BA77" s="335">
        <v>500</v>
      </c>
      <c r="BB77" s="336">
        <v>28</v>
      </c>
      <c r="BC77" s="337">
        <f t="shared" ref="BC77:BD77" si="1254">IF(ISBLANK(BE77),,BE77-BE76)</f>
        <v>165</v>
      </c>
      <c r="BD77" s="334">
        <f t="shared" si="1254"/>
        <v>2</v>
      </c>
      <c r="BE77" s="335">
        <v>5162</v>
      </c>
      <c r="BF77" s="339">
        <v>175</v>
      </c>
      <c r="BG77" s="316">
        <f t="shared" ref="BG77:BH77" si="1255">IF(ISBLANK(BI77),,BI77-BI76)</f>
        <v>1</v>
      </c>
      <c r="BH77" s="334">
        <f t="shared" si="1255"/>
        <v>0</v>
      </c>
      <c r="BI77" s="335">
        <v>341</v>
      </c>
      <c r="BJ77" s="336">
        <v>17</v>
      </c>
      <c r="BK77" s="337">
        <f t="shared" ref="BK77:BL77" si="1256">IF(ISBLANK(BM77),,BM77-BM76)</f>
        <v>0</v>
      </c>
      <c r="BL77" s="334">
        <f t="shared" si="1256"/>
        <v>0</v>
      </c>
      <c r="BM77" s="335">
        <v>170</v>
      </c>
      <c r="BN77" s="339">
        <v>1</v>
      </c>
      <c r="BO77" s="316">
        <f t="shared" ref="BO77:BP77" si="1257">IF(ISBLANK(BQ77),,BQ77-BQ76)</f>
        <v>5</v>
      </c>
      <c r="BP77" s="334">
        <f t="shared" si="1257"/>
        <v>2</v>
      </c>
      <c r="BQ77" s="335">
        <v>1757</v>
      </c>
      <c r="BR77" s="336">
        <v>138</v>
      </c>
      <c r="BS77" s="316">
        <f t="shared" ref="BS77:BT77" si="1258">IF(ISBLANK(BU77),,BU77-BU76)</f>
        <v>1</v>
      </c>
      <c r="BT77" s="334">
        <f t="shared" si="1258"/>
        <v>0</v>
      </c>
      <c r="BU77" s="335">
        <v>492</v>
      </c>
      <c r="BV77" s="336">
        <v>18</v>
      </c>
      <c r="BW77" s="233"/>
      <c r="BX77" s="233"/>
      <c r="BY77" s="233"/>
      <c r="BZ77" s="233"/>
      <c r="CA77" s="233"/>
      <c r="CB77" s="233"/>
      <c r="CC77" s="233"/>
      <c r="CD77" s="233"/>
      <c r="CE77" s="233"/>
    </row>
    <row r="78" spans="1:83" x14ac:dyDescent="0.25">
      <c r="A78" s="313">
        <v>43968</v>
      </c>
      <c r="B78" s="314">
        <v>75</v>
      </c>
      <c r="C78" s="315"/>
      <c r="D78" s="316">
        <v>272</v>
      </c>
      <c r="E78" s="317">
        <v>10</v>
      </c>
      <c r="F78" s="318">
        <v>7451</v>
      </c>
      <c r="G78" s="319"/>
      <c r="H78" s="330">
        <f t="shared" ref="H78:I78" si="1259">IF(ISBLANK(D78),,H77+D78)</f>
        <v>18529</v>
      </c>
      <c r="I78" s="331">
        <f t="shared" si="1259"/>
        <v>925</v>
      </c>
      <c r="J78" s="332">
        <f t="shared" si="1"/>
        <v>276</v>
      </c>
      <c r="K78" s="333">
        <f t="shared" ref="K78:L78" si="1260">IF(ISBLANK(M78),,M78-M77)</f>
        <v>6</v>
      </c>
      <c r="L78" s="334">
        <f t="shared" si="1260"/>
        <v>0</v>
      </c>
      <c r="M78" s="335">
        <v>2166</v>
      </c>
      <c r="N78" s="336">
        <v>89</v>
      </c>
      <c r="O78" s="337">
        <f t="shared" ref="O78:P78" si="1261">IF(ISBLANK(Q78),,Q78-Q77)</f>
        <v>0</v>
      </c>
      <c r="P78" s="338">
        <f t="shared" si="1261"/>
        <v>1</v>
      </c>
      <c r="Q78" s="335">
        <v>582</v>
      </c>
      <c r="R78" s="339">
        <v>43</v>
      </c>
      <c r="S78" s="316">
        <f t="shared" ref="S78:T78" si="1262">IF(ISBLANK(U78),,U78-U77)</f>
        <v>1</v>
      </c>
      <c r="T78" s="334">
        <f t="shared" si="1262"/>
        <v>0</v>
      </c>
      <c r="U78" s="335">
        <v>402</v>
      </c>
      <c r="V78" s="336">
        <v>14</v>
      </c>
      <c r="W78" s="337">
        <f t="shared" ref="W78:X78" si="1263">IF(ISBLANK(Y78),,Y78-Y77)</f>
        <v>0</v>
      </c>
      <c r="X78" s="334">
        <f t="shared" si="1263"/>
        <v>0</v>
      </c>
      <c r="Y78" s="335">
        <v>92</v>
      </c>
      <c r="Z78" s="340">
        <v>0</v>
      </c>
      <c r="AA78" s="316">
        <f t="shared" ref="AA78:AB78" si="1264">IF(ISBLANK(AC78),,AC78-AC77)</f>
        <v>6</v>
      </c>
      <c r="AB78" s="334">
        <f t="shared" si="1264"/>
        <v>1</v>
      </c>
      <c r="AC78" s="335">
        <v>1237</v>
      </c>
      <c r="AD78" s="336">
        <v>49</v>
      </c>
      <c r="AE78" s="337">
        <f t="shared" ref="AE78:AF78" si="1265">IF(ISBLANK(AG78),,AG78-AG77)</f>
        <v>4</v>
      </c>
      <c r="AF78" s="334">
        <f t="shared" si="1265"/>
        <v>2</v>
      </c>
      <c r="AG78" s="335">
        <v>1128</v>
      </c>
      <c r="AH78" s="339">
        <v>39</v>
      </c>
      <c r="AI78" s="316">
        <f t="shared" ref="AI78:AJ78" si="1266">IF(ISBLANK(AK78),,AK78-AK77)</f>
        <v>21</v>
      </c>
      <c r="AJ78" s="334">
        <f t="shared" si="1266"/>
        <v>1</v>
      </c>
      <c r="AK78" s="335">
        <v>2970</v>
      </c>
      <c r="AL78" s="336">
        <v>231</v>
      </c>
      <c r="AM78" s="337">
        <f t="shared" ref="AM78:AN78" si="1267">IF(ISBLANK(AO78),,AO78-AO77)</f>
        <v>9</v>
      </c>
      <c r="AN78" s="334">
        <f t="shared" si="1267"/>
        <v>0</v>
      </c>
      <c r="AO78" s="335">
        <v>544</v>
      </c>
      <c r="AP78" s="339">
        <v>39</v>
      </c>
      <c r="AQ78" s="316">
        <f t="shared" ref="AQ78:AR78" si="1268">IF(ISBLANK(AS78),,AS78-AS77)</f>
        <v>0</v>
      </c>
      <c r="AR78" s="338">
        <f t="shared" si="1268"/>
        <v>0</v>
      </c>
      <c r="AS78" s="335">
        <v>374</v>
      </c>
      <c r="AT78" s="336">
        <v>31</v>
      </c>
      <c r="AU78" s="337">
        <f t="shared" ref="AU78:AV78" si="1269">IF(ISBLANK(AW78),,AW78-AW77)</f>
        <v>1</v>
      </c>
      <c r="AV78" s="334">
        <f t="shared" si="1269"/>
        <v>1</v>
      </c>
      <c r="AW78" s="335">
        <v>388</v>
      </c>
      <c r="AX78" s="339">
        <v>9</v>
      </c>
      <c r="AY78" s="316">
        <f t="shared" ref="AY78:AZ78" si="1270">IF(ISBLANK(BA78),,BA78-BA77)</f>
        <v>2</v>
      </c>
      <c r="AZ78" s="334">
        <f t="shared" si="1270"/>
        <v>0</v>
      </c>
      <c r="BA78" s="335">
        <v>502</v>
      </c>
      <c r="BB78" s="336">
        <v>28</v>
      </c>
      <c r="BC78" s="337">
        <f t="shared" ref="BC78:BD78" si="1271">IF(ISBLANK(BE78),,BE78-BE77)</f>
        <v>180</v>
      </c>
      <c r="BD78" s="334">
        <f t="shared" si="1271"/>
        <v>3</v>
      </c>
      <c r="BE78" s="335">
        <v>5342</v>
      </c>
      <c r="BF78" s="339">
        <v>178</v>
      </c>
      <c r="BG78" s="316">
        <f t="shared" ref="BG78:BH78" si="1272">IF(ISBLANK(BI78),,BI78-BI77)</f>
        <v>0</v>
      </c>
      <c r="BH78" s="334">
        <f t="shared" si="1272"/>
        <v>0</v>
      </c>
      <c r="BI78" s="335">
        <v>341</v>
      </c>
      <c r="BJ78" s="336">
        <v>17</v>
      </c>
      <c r="BK78" s="337">
        <f t="shared" ref="BK78:BL78" si="1273">IF(ISBLANK(BM78),,BM78-BM77)</f>
        <v>0</v>
      </c>
      <c r="BL78" s="334">
        <f t="shared" si="1273"/>
        <v>0</v>
      </c>
      <c r="BM78" s="335">
        <v>170</v>
      </c>
      <c r="BN78" s="339">
        <v>1</v>
      </c>
      <c r="BO78" s="316">
        <f t="shared" ref="BO78:BP78" si="1274">IF(ISBLANK(BQ78),,BQ78-BQ77)</f>
        <v>40</v>
      </c>
      <c r="BP78" s="334">
        <f t="shared" si="1274"/>
        <v>1</v>
      </c>
      <c r="BQ78" s="335">
        <v>1797</v>
      </c>
      <c r="BR78" s="336">
        <v>139</v>
      </c>
      <c r="BS78" s="316">
        <f t="shared" ref="BS78:BT78" si="1275">IF(ISBLANK(BU78),,BU78-BU77)</f>
        <v>2</v>
      </c>
      <c r="BT78" s="334">
        <f t="shared" si="1275"/>
        <v>0</v>
      </c>
      <c r="BU78" s="335">
        <v>494</v>
      </c>
      <c r="BV78" s="336">
        <v>18</v>
      </c>
      <c r="BW78" s="233"/>
      <c r="BX78" s="233"/>
      <c r="BY78" s="233"/>
      <c r="BZ78" s="233"/>
      <c r="CA78" s="233"/>
      <c r="CB78" s="233"/>
      <c r="CC78" s="233"/>
      <c r="CD78" s="233"/>
      <c r="CE78" s="233"/>
    </row>
    <row r="79" spans="1:83" x14ac:dyDescent="0.25">
      <c r="A79" s="313">
        <v>43969</v>
      </c>
      <c r="B79" s="314">
        <f t="shared" ref="B79:B299" si="1276">B78+1</f>
        <v>76</v>
      </c>
      <c r="C79" s="315"/>
      <c r="D79" s="316">
        <v>356</v>
      </c>
      <c r="E79" s="317">
        <v>11</v>
      </c>
      <c r="F79" s="318">
        <v>7628</v>
      </c>
      <c r="G79" s="319"/>
      <c r="H79" s="330">
        <f t="shared" ref="H79:I79" si="1277">IF(ISBLANK(D79),,H78+D79)</f>
        <v>18885</v>
      </c>
      <c r="I79" s="331">
        <f t="shared" si="1277"/>
        <v>936</v>
      </c>
      <c r="J79" s="332">
        <f t="shared" si="1"/>
        <v>177</v>
      </c>
      <c r="K79" s="333">
        <f t="shared" ref="K79:L79" si="1278">IF(ISBLANK(M79),,M79-M78)</f>
        <v>60</v>
      </c>
      <c r="L79" s="334">
        <f t="shared" si="1278"/>
        <v>2</v>
      </c>
      <c r="M79" s="335">
        <v>2226</v>
      </c>
      <c r="N79" s="336">
        <v>91</v>
      </c>
      <c r="O79" s="337">
        <f t="shared" ref="O79:P79" si="1279">IF(ISBLANK(Q79),,Q79-Q78)</f>
        <v>0</v>
      </c>
      <c r="P79" s="338">
        <f t="shared" si="1279"/>
        <v>1</v>
      </c>
      <c r="Q79" s="335">
        <v>582</v>
      </c>
      <c r="R79" s="339">
        <v>44</v>
      </c>
      <c r="S79" s="316">
        <f t="shared" ref="S79:T79" si="1280">IF(ISBLANK(U79),,U79-U78)</f>
        <v>7</v>
      </c>
      <c r="T79" s="334">
        <f t="shared" si="1280"/>
        <v>0</v>
      </c>
      <c r="U79" s="335">
        <v>409</v>
      </c>
      <c r="V79" s="336">
        <v>14</v>
      </c>
      <c r="W79" s="337">
        <f t="shared" ref="W79:X79" si="1281">IF(ISBLANK(Y79),,Y79-Y78)</f>
        <v>0</v>
      </c>
      <c r="X79" s="334">
        <f t="shared" si="1281"/>
        <v>0</v>
      </c>
      <c r="Y79" s="335">
        <v>92</v>
      </c>
      <c r="Z79" s="340">
        <v>0</v>
      </c>
      <c r="AA79" s="316">
        <f t="shared" ref="AA79:AB79" si="1282">IF(ISBLANK(AC79),,AC79-AC78)</f>
        <v>11</v>
      </c>
      <c r="AB79" s="334">
        <f t="shared" si="1282"/>
        <v>0</v>
      </c>
      <c r="AC79" s="335">
        <v>1248</v>
      </c>
      <c r="AD79" s="336">
        <v>49</v>
      </c>
      <c r="AE79" s="337">
        <f t="shared" ref="AE79:AF79" si="1283">IF(ISBLANK(AG79),,AG79-AG78)</f>
        <v>5</v>
      </c>
      <c r="AF79" s="334">
        <f t="shared" si="1283"/>
        <v>0</v>
      </c>
      <c r="AG79" s="335">
        <v>1133</v>
      </c>
      <c r="AH79" s="339">
        <v>39</v>
      </c>
      <c r="AI79" s="316">
        <f t="shared" ref="AI79:AJ79" si="1284">IF(ISBLANK(AK79),,AK79-AK78)</f>
        <v>33</v>
      </c>
      <c r="AJ79" s="334">
        <f t="shared" si="1284"/>
        <v>2</v>
      </c>
      <c r="AK79" s="335">
        <v>3003</v>
      </c>
      <c r="AL79" s="336">
        <v>233</v>
      </c>
      <c r="AM79" s="337">
        <f t="shared" ref="AM79:AN79" si="1285">IF(ISBLANK(AO79),,AO79-AO78)</f>
        <v>7</v>
      </c>
      <c r="AN79" s="334">
        <f t="shared" si="1285"/>
        <v>0</v>
      </c>
      <c r="AO79" s="335">
        <v>551</v>
      </c>
      <c r="AP79" s="339">
        <v>39</v>
      </c>
      <c r="AQ79" s="316">
        <f t="shared" ref="AQ79:AR79" si="1286">IF(ISBLANK(AS79),,AS79-AS78)</f>
        <v>0</v>
      </c>
      <c r="AR79" s="338">
        <f t="shared" si="1286"/>
        <v>3</v>
      </c>
      <c r="AS79" s="335">
        <v>374</v>
      </c>
      <c r="AT79" s="336">
        <v>34</v>
      </c>
      <c r="AU79" s="337">
        <f t="shared" ref="AU79:AV79" si="1287">IF(ISBLANK(AW79),,AW79-AW78)</f>
        <v>1</v>
      </c>
      <c r="AV79" s="334">
        <f t="shared" si="1287"/>
        <v>0</v>
      </c>
      <c r="AW79" s="335">
        <v>389</v>
      </c>
      <c r="AX79" s="339">
        <v>9</v>
      </c>
      <c r="AY79" s="316">
        <f t="shared" ref="AY79:AZ79" si="1288">IF(ISBLANK(BA79),,BA79-BA78)</f>
        <v>0</v>
      </c>
      <c r="AZ79" s="334">
        <f t="shared" si="1288"/>
        <v>0</v>
      </c>
      <c r="BA79" s="335">
        <v>502</v>
      </c>
      <c r="BB79" s="336">
        <v>28</v>
      </c>
      <c r="BC79" s="337">
        <f t="shared" ref="BC79:BD79" si="1289">IF(ISBLANK(BE79),,BE79-BE78)</f>
        <v>205</v>
      </c>
      <c r="BD79" s="334">
        <f t="shared" si="1289"/>
        <v>1</v>
      </c>
      <c r="BE79" s="335">
        <v>5547</v>
      </c>
      <c r="BF79" s="339">
        <v>179</v>
      </c>
      <c r="BG79" s="316">
        <f t="shared" ref="BG79:BH79" si="1290">IF(ISBLANK(BI79),,BI79-BI78)</f>
        <v>11</v>
      </c>
      <c r="BH79" s="334">
        <f t="shared" si="1290"/>
        <v>1</v>
      </c>
      <c r="BI79" s="335">
        <v>352</v>
      </c>
      <c r="BJ79" s="336">
        <v>18</v>
      </c>
      <c r="BK79" s="337">
        <f t="shared" ref="BK79:BL79" si="1291">IF(ISBLANK(BM79),,BM79-BM78)</f>
        <v>0</v>
      </c>
      <c r="BL79" s="334">
        <f t="shared" si="1291"/>
        <v>0</v>
      </c>
      <c r="BM79" s="335">
        <v>170</v>
      </c>
      <c r="BN79" s="339">
        <v>1</v>
      </c>
      <c r="BO79" s="316">
        <f t="shared" ref="BO79:BP79" si="1292">IF(ISBLANK(BQ79),,BQ79-BQ78)</f>
        <v>13</v>
      </c>
      <c r="BP79" s="334">
        <f t="shared" si="1292"/>
        <v>1</v>
      </c>
      <c r="BQ79" s="335">
        <v>1810</v>
      </c>
      <c r="BR79" s="336">
        <v>140</v>
      </c>
      <c r="BS79" s="316">
        <f t="shared" ref="BS79:BT79" si="1293">IF(ISBLANK(BU79),,BU79-BU78)</f>
        <v>3</v>
      </c>
      <c r="BT79" s="334">
        <f t="shared" si="1293"/>
        <v>0</v>
      </c>
      <c r="BU79" s="335">
        <v>497</v>
      </c>
      <c r="BV79" s="336">
        <v>18</v>
      </c>
      <c r="BW79" s="233"/>
      <c r="BX79" s="233"/>
      <c r="BY79" s="233"/>
      <c r="BZ79" s="233"/>
      <c r="CA79" s="233"/>
      <c r="CB79" s="233"/>
      <c r="CC79" s="233"/>
      <c r="CD79" s="233"/>
      <c r="CE79" s="233"/>
    </row>
    <row r="80" spans="1:83" x14ac:dyDescent="0.25">
      <c r="A80" s="313">
        <v>43970</v>
      </c>
      <c r="B80" s="314">
        <f t="shared" si="1276"/>
        <v>77</v>
      </c>
      <c r="C80" s="315"/>
      <c r="D80" s="316">
        <v>382</v>
      </c>
      <c r="E80" s="317">
        <v>12</v>
      </c>
      <c r="F80" s="318">
        <v>7903</v>
      </c>
      <c r="G80" s="319"/>
      <c r="H80" s="330">
        <f t="shared" ref="H80:I80" si="1294">IF(ISBLANK(D80),,H79+D80)</f>
        <v>19267</v>
      </c>
      <c r="I80" s="331">
        <f t="shared" si="1294"/>
        <v>948</v>
      </c>
      <c r="J80" s="332">
        <f t="shared" si="1"/>
        <v>275</v>
      </c>
      <c r="K80" s="333">
        <f t="shared" ref="K80:L80" si="1295">IF(ISBLANK(M80),,M80-M79)</f>
        <v>31</v>
      </c>
      <c r="L80" s="334">
        <f t="shared" si="1295"/>
        <v>2</v>
      </c>
      <c r="M80" s="335">
        <v>2257</v>
      </c>
      <c r="N80" s="336">
        <v>93</v>
      </c>
      <c r="O80" s="337">
        <f t="shared" ref="O80:P80" si="1296">IF(ISBLANK(Q80),,Q80-Q79)</f>
        <v>1</v>
      </c>
      <c r="P80" s="338">
        <f t="shared" si="1296"/>
        <v>0</v>
      </c>
      <c r="Q80" s="335">
        <v>583</v>
      </c>
      <c r="R80" s="339">
        <v>44</v>
      </c>
      <c r="S80" s="316">
        <f t="shared" ref="S80:T80" si="1297">IF(ISBLANK(U80),,U80-U79)</f>
        <v>0</v>
      </c>
      <c r="T80" s="334">
        <f t="shared" si="1297"/>
        <v>0</v>
      </c>
      <c r="U80" s="335">
        <v>409</v>
      </c>
      <c r="V80" s="336">
        <v>14</v>
      </c>
      <c r="W80" s="337">
        <f t="shared" ref="W80:X80" si="1298">IF(ISBLANK(Y80),,Y80-Y79)</f>
        <v>0</v>
      </c>
      <c r="X80" s="334">
        <f t="shared" si="1298"/>
        <v>0</v>
      </c>
      <c r="Y80" s="335">
        <v>92</v>
      </c>
      <c r="Z80" s="340">
        <v>0</v>
      </c>
      <c r="AA80" s="316">
        <f t="shared" ref="AA80:AB80" si="1299">IF(ISBLANK(AC80),,AC80-AC79)</f>
        <v>6</v>
      </c>
      <c r="AB80" s="334">
        <f t="shared" si="1299"/>
        <v>1</v>
      </c>
      <c r="AC80" s="335">
        <v>1254</v>
      </c>
      <c r="AD80" s="336">
        <v>50</v>
      </c>
      <c r="AE80" s="337">
        <f t="shared" ref="AE80:AF80" si="1300">IF(ISBLANK(AG80),,AG80-AG79)</f>
        <v>15</v>
      </c>
      <c r="AF80" s="334">
        <f t="shared" si="1300"/>
        <v>0</v>
      </c>
      <c r="AG80" s="335">
        <v>1148</v>
      </c>
      <c r="AH80" s="339">
        <v>39</v>
      </c>
      <c r="AI80" s="316">
        <f t="shared" ref="AI80:AJ80" si="1301">IF(ISBLANK(AK80),,AK80-AK79)</f>
        <v>37</v>
      </c>
      <c r="AJ80" s="334">
        <f t="shared" si="1301"/>
        <v>3</v>
      </c>
      <c r="AK80" s="335">
        <v>3040</v>
      </c>
      <c r="AL80" s="336">
        <v>236</v>
      </c>
      <c r="AM80" s="337">
        <f t="shared" ref="AM80:AN80" si="1302">IF(ISBLANK(AO80),,AO80-AO79)</f>
        <v>4</v>
      </c>
      <c r="AN80" s="334">
        <f t="shared" si="1302"/>
        <v>2</v>
      </c>
      <c r="AO80" s="335">
        <v>555</v>
      </c>
      <c r="AP80" s="339">
        <v>41</v>
      </c>
      <c r="AQ80" s="316">
        <f t="shared" ref="AQ80:AR80" si="1303">IF(ISBLANK(AS80),,AS80-AS79)</f>
        <v>0</v>
      </c>
      <c r="AR80" s="338">
        <f t="shared" si="1303"/>
        <v>0</v>
      </c>
      <c r="AS80" s="335">
        <v>374</v>
      </c>
      <c r="AT80" s="336">
        <v>34</v>
      </c>
      <c r="AU80" s="337">
        <f t="shared" ref="AU80:AV80" si="1304">IF(ISBLANK(AW80),,AW80-AW79)</f>
        <v>9</v>
      </c>
      <c r="AV80" s="334">
        <f t="shared" si="1304"/>
        <v>0</v>
      </c>
      <c r="AW80" s="335">
        <v>398</v>
      </c>
      <c r="AX80" s="339">
        <v>9</v>
      </c>
      <c r="AY80" s="316">
        <f t="shared" ref="AY80:AZ80" si="1305">IF(ISBLANK(BA80),,BA80-BA79)</f>
        <v>1</v>
      </c>
      <c r="AZ80" s="334">
        <f t="shared" si="1305"/>
        <v>1</v>
      </c>
      <c r="BA80" s="335">
        <v>503</v>
      </c>
      <c r="BB80" s="336">
        <v>29</v>
      </c>
      <c r="BC80" s="337">
        <f t="shared" ref="BC80:BD80" si="1306">IF(ISBLANK(BE80),,BE80-BE79)</f>
        <v>263</v>
      </c>
      <c r="BD80" s="334">
        <f t="shared" si="1306"/>
        <v>2</v>
      </c>
      <c r="BE80" s="335">
        <v>5810</v>
      </c>
      <c r="BF80" s="339">
        <v>181</v>
      </c>
      <c r="BG80" s="316">
        <f t="shared" ref="BG80:BH80" si="1307">IF(ISBLANK(BI80),,BI80-BI79)</f>
        <v>1</v>
      </c>
      <c r="BH80" s="334">
        <f t="shared" si="1307"/>
        <v>1</v>
      </c>
      <c r="BI80" s="335">
        <v>353</v>
      </c>
      <c r="BJ80" s="336">
        <v>19</v>
      </c>
      <c r="BK80" s="337">
        <f t="shared" ref="BK80:BL80" si="1308">IF(ISBLANK(BM80),,BM80-BM79)</f>
        <v>4</v>
      </c>
      <c r="BL80" s="334">
        <f t="shared" si="1308"/>
        <v>0</v>
      </c>
      <c r="BM80" s="335">
        <v>174</v>
      </c>
      <c r="BN80" s="339">
        <v>1</v>
      </c>
      <c r="BO80" s="316">
        <f t="shared" ref="BO80:BP80" si="1309">IF(ISBLANK(BQ80),,BQ80-BQ79)</f>
        <v>5</v>
      </c>
      <c r="BP80" s="334">
        <f t="shared" si="1309"/>
        <v>0</v>
      </c>
      <c r="BQ80" s="335">
        <v>1815</v>
      </c>
      <c r="BR80" s="336">
        <v>140</v>
      </c>
      <c r="BS80" s="316">
        <f t="shared" ref="BS80:BT80" si="1310">IF(ISBLANK(BU80),,BU80-BU79)</f>
        <v>5</v>
      </c>
      <c r="BT80" s="334">
        <f t="shared" si="1310"/>
        <v>0</v>
      </c>
      <c r="BU80" s="335">
        <v>502</v>
      </c>
      <c r="BV80" s="336">
        <v>18</v>
      </c>
      <c r="BW80" s="233"/>
      <c r="BX80" s="233"/>
      <c r="BY80" s="233"/>
      <c r="BZ80" s="233"/>
      <c r="CA80" s="233"/>
      <c r="CB80" s="233"/>
      <c r="CC80" s="233"/>
      <c r="CD80" s="233"/>
      <c r="CE80" s="233"/>
    </row>
    <row r="81" spans="1:83" x14ac:dyDescent="0.25">
      <c r="A81" s="313">
        <v>43971</v>
      </c>
      <c r="B81" s="314">
        <f t="shared" si="1276"/>
        <v>78</v>
      </c>
      <c r="C81" s="315"/>
      <c r="D81" s="316">
        <v>471</v>
      </c>
      <c r="E81" s="317">
        <v>14</v>
      </c>
      <c r="F81" s="318">
        <v>8183</v>
      </c>
      <c r="G81" s="319"/>
      <c r="H81" s="330">
        <f t="shared" ref="H81:I81" si="1311">IF(ISBLANK(D81),,H80+D81)</f>
        <v>19738</v>
      </c>
      <c r="I81" s="331">
        <f t="shared" si="1311"/>
        <v>962</v>
      </c>
      <c r="J81" s="332">
        <f t="shared" si="1"/>
        <v>280</v>
      </c>
      <c r="K81" s="333">
        <f t="shared" ref="K81:L81" si="1312">IF(ISBLANK(M81),,M81-M80)</f>
        <v>19</v>
      </c>
      <c r="L81" s="334">
        <f t="shared" si="1312"/>
        <v>1</v>
      </c>
      <c r="M81" s="335">
        <v>2276</v>
      </c>
      <c r="N81" s="336">
        <v>94</v>
      </c>
      <c r="O81" s="337">
        <f t="shared" ref="O81:P81" si="1313">IF(ISBLANK(Q81),,Q81-Q80)</f>
        <v>1</v>
      </c>
      <c r="P81" s="338">
        <f t="shared" si="1313"/>
        <v>0</v>
      </c>
      <c r="Q81" s="335">
        <v>584</v>
      </c>
      <c r="R81" s="339">
        <v>44</v>
      </c>
      <c r="S81" s="316">
        <f t="shared" ref="S81:T81" si="1314">IF(ISBLANK(U81),,U81-U80)</f>
        <v>2</v>
      </c>
      <c r="T81" s="334">
        <f t="shared" si="1314"/>
        <v>0</v>
      </c>
      <c r="U81" s="335">
        <v>411</v>
      </c>
      <c r="V81" s="336">
        <v>14</v>
      </c>
      <c r="W81" s="337">
        <f t="shared" ref="W81:X81" si="1315">IF(ISBLANK(Y81),,Y81-Y80)</f>
        <v>0</v>
      </c>
      <c r="X81" s="334">
        <f t="shared" si="1315"/>
        <v>0</v>
      </c>
      <c r="Y81" s="335">
        <v>92</v>
      </c>
      <c r="Z81" s="340">
        <v>0</v>
      </c>
      <c r="AA81" s="316">
        <f t="shared" ref="AA81:AB81" si="1316">IF(ISBLANK(AC81),,AC81-AC80)</f>
        <v>16</v>
      </c>
      <c r="AB81" s="334">
        <f t="shared" si="1316"/>
        <v>2</v>
      </c>
      <c r="AC81" s="335">
        <v>1270</v>
      </c>
      <c r="AD81" s="336">
        <v>52</v>
      </c>
      <c r="AE81" s="337">
        <f t="shared" ref="AE81:AF81" si="1317">IF(ISBLANK(AG81),,AG81-AG80)</f>
        <v>2</v>
      </c>
      <c r="AF81" s="334">
        <f t="shared" si="1317"/>
        <v>1</v>
      </c>
      <c r="AG81" s="335">
        <v>1150</v>
      </c>
      <c r="AH81" s="339">
        <v>40</v>
      </c>
      <c r="AI81" s="316">
        <f t="shared" ref="AI81:AJ81" si="1318">IF(ISBLANK(AK81),,AK81-AK80)</f>
        <v>42</v>
      </c>
      <c r="AJ81" s="334">
        <f t="shared" si="1318"/>
        <v>5</v>
      </c>
      <c r="AK81" s="335">
        <v>3082</v>
      </c>
      <c r="AL81" s="336">
        <v>241</v>
      </c>
      <c r="AM81" s="337">
        <f t="shared" ref="AM81:AN81" si="1319">IF(ISBLANK(AO81),,AO81-AO80)</f>
        <v>13</v>
      </c>
      <c r="AN81" s="334">
        <f t="shared" si="1319"/>
        <v>2</v>
      </c>
      <c r="AO81" s="335">
        <v>568</v>
      </c>
      <c r="AP81" s="339">
        <v>43</v>
      </c>
      <c r="AQ81" s="316">
        <f t="shared" ref="AQ81:AR81" si="1320">IF(ISBLANK(AS81),,AS81-AS80)</f>
        <v>0</v>
      </c>
      <c r="AR81" s="338">
        <f t="shared" si="1320"/>
        <v>0</v>
      </c>
      <c r="AS81" s="335">
        <v>374</v>
      </c>
      <c r="AT81" s="336">
        <v>34</v>
      </c>
      <c r="AU81" s="337">
        <f t="shared" ref="AU81:AV81" si="1321">IF(ISBLANK(AW81),,AW81-AW80)</f>
        <v>7</v>
      </c>
      <c r="AV81" s="334">
        <f t="shared" si="1321"/>
        <v>0</v>
      </c>
      <c r="AW81" s="335">
        <v>405</v>
      </c>
      <c r="AX81" s="339">
        <v>9</v>
      </c>
      <c r="AY81" s="316">
        <f t="shared" ref="AY81:AZ81" si="1322">IF(ISBLANK(BA81),,BA81-BA80)</f>
        <v>5</v>
      </c>
      <c r="AZ81" s="334">
        <f t="shared" si="1322"/>
        <v>0</v>
      </c>
      <c r="BA81" s="335">
        <v>508</v>
      </c>
      <c r="BB81" s="336">
        <v>29</v>
      </c>
      <c r="BC81" s="337">
        <f t="shared" ref="BC81:BD81" si="1323">IF(ISBLANK(BE81),,BE81-BE80)</f>
        <v>275</v>
      </c>
      <c r="BD81" s="334">
        <f t="shared" si="1323"/>
        <v>1</v>
      </c>
      <c r="BE81" s="335">
        <v>6085</v>
      </c>
      <c r="BF81" s="339">
        <v>182</v>
      </c>
      <c r="BG81" s="316">
        <f t="shared" ref="BG81:BH81" si="1324">IF(ISBLANK(BI81),,BI81-BI80)</f>
        <v>4</v>
      </c>
      <c r="BH81" s="334">
        <f t="shared" si="1324"/>
        <v>1</v>
      </c>
      <c r="BI81" s="335">
        <v>357</v>
      </c>
      <c r="BJ81" s="336">
        <v>20</v>
      </c>
      <c r="BK81" s="337">
        <f t="shared" ref="BK81:BL81" si="1325">IF(ISBLANK(BM81),,BM81-BM80)</f>
        <v>0</v>
      </c>
      <c r="BL81" s="334">
        <f t="shared" si="1325"/>
        <v>0</v>
      </c>
      <c r="BM81" s="335">
        <v>174</v>
      </c>
      <c r="BN81" s="339">
        <v>1</v>
      </c>
      <c r="BO81" s="316">
        <f t="shared" ref="BO81:BP81" si="1326">IF(ISBLANK(BQ81),,BQ81-BQ80)</f>
        <v>84</v>
      </c>
      <c r="BP81" s="334">
        <f t="shared" si="1326"/>
        <v>1</v>
      </c>
      <c r="BQ81" s="335">
        <v>1899</v>
      </c>
      <c r="BR81" s="336">
        <v>141</v>
      </c>
      <c r="BS81" s="316">
        <f t="shared" ref="BS81:BT81" si="1327">IF(ISBLANK(BU81),,BU81-BU80)</f>
        <v>1</v>
      </c>
      <c r="BT81" s="334">
        <f t="shared" si="1327"/>
        <v>0</v>
      </c>
      <c r="BU81" s="335">
        <v>503</v>
      </c>
      <c r="BV81" s="336">
        <v>18</v>
      </c>
      <c r="BW81" s="233"/>
      <c r="BX81" s="233"/>
      <c r="BY81" s="233"/>
      <c r="BZ81" s="233"/>
      <c r="CA81" s="233"/>
      <c r="CB81" s="233"/>
      <c r="CC81" s="233"/>
      <c r="CD81" s="233"/>
      <c r="CE81" s="233"/>
    </row>
    <row r="82" spans="1:83" x14ac:dyDescent="0.25">
      <c r="A82" s="313">
        <v>43972</v>
      </c>
      <c r="B82" s="314">
        <f t="shared" si="1276"/>
        <v>79</v>
      </c>
      <c r="C82" s="315"/>
      <c r="D82" s="316">
        <v>403</v>
      </c>
      <c r="E82" s="317">
        <v>10</v>
      </c>
      <c r="F82" s="318">
        <v>8452</v>
      </c>
      <c r="G82" s="319"/>
      <c r="H82" s="330">
        <f t="shared" ref="H82:I82" si="1328">IF(ISBLANK(D82),,H81+D82)</f>
        <v>20141</v>
      </c>
      <c r="I82" s="331">
        <f t="shared" si="1328"/>
        <v>972</v>
      </c>
      <c r="J82" s="332">
        <f t="shared" si="1"/>
        <v>269</v>
      </c>
      <c r="K82" s="333">
        <f t="shared" ref="K82:L82" si="1329">IF(ISBLANK(M82),,M82-M81)</f>
        <v>19</v>
      </c>
      <c r="L82" s="334">
        <f t="shared" si="1329"/>
        <v>0</v>
      </c>
      <c r="M82" s="335">
        <v>2295</v>
      </c>
      <c r="N82" s="336">
        <v>94</v>
      </c>
      <c r="O82" s="337">
        <f t="shared" ref="O82:P82" si="1330">IF(ISBLANK(Q82),,Q82-Q81)</f>
        <v>3</v>
      </c>
      <c r="P82" s="338">
        <f t="shared" si="1330"/>
        <v>0</v>
      </c>
      <c r="Q82" s="335">
        <v>587</v>
      </c>
      <c r="R82" s="339">
        <v>44</v>
      </c>
      <c r="S82" s="316">
        <f t="shared" ref="S82:T82" si="1331">IF(ISBLANK(U82),,U82-U81)</f>
        <v>6</v>
      </c>
      <c r="T82" s="334">
        <f t="shared" si="1331"/>
        <v>1</v>
      </c>
      <c r="U82" s="335">
        <v>417</v>
      </c>
      <c r="V82" s="336">
        <v>15</v>
      </c>
      <c r="W82" s="337">
        <f t="shared" ref="W82:X82" si="1332">IF(ISBLANK(Y82),,Y82-Y81)</f>
        <v>3</v>
      </c>
      <c r="X82" s="334">
        <f t="shared" si="1332"/>
        <v>0</v>
      </c>
      <c r="Y82" s="335">
        <v>95</v>
      </c>
      <c r="Z82" s="340">
        <v>0</v>
      </c>
      <c r="AA82" s="316">
        <f t="shared" ref="AA82:AB82" si="1333">IF(ISBLANK(AC82),,AC82-AC81)</f>
        <v>6</v>
      </c>
      <c r="AB82" s="334">
        <f t="shared" si="1333"/>
        <v>0</v>
      </c>
      <c r="AC82" s="335">
        <v>1276</v>
      </c>
      <c r="AD82" s="336">
        <v>52</v>
      </c>
      <c r="AE82" s="337">
        <f t="shared" ref="AE82:AF82" si="1334">IF(ISBLANK(AG82),,AG82-AG81)</f>
        <v>15</v>
      </c>
      <c r="AF82" s="334">
        <f t="shared" si="1334"/>
        <v>0</v>
      </c>
      <c r="AG82" s="335">
        <v>1165</v>
      </c>
      <c r="AH82" s="339">
        <v>40</v>
      </c>
      <c r="AI82" s="316">
        <f t="shared" ref="AI82:AJ82" si="1335">IF(ISBLANK(AK82),,AK82-AK81)</f>
        <v>46</v>
      </c>
      <c r="AJ82" s="334">
        <f t="shared" si="1335"/>
        <v>3</v>
      </c>
      <c r="AK82" s="335">
        <v>3128</v>
      </c>
      <c r="AL82" s="336">
        <v>244</v>
      </c>
      <c r="AM82" s="337">
        <f t="shared" ref="AM82:AN82" si="1336">IF(ISBLANK(AO82),,AO82-AO81)</f>
        <v>8</v>
      </c>
      <c r="AN82" s="334">
        <f t="shared" si="1336"/>
        <v>0</v>
      </c>
      <c r="AO82" s="335">
        <v>576</v>
      </c>
      <c r="AP82" s="339">
        <v>43</v>
      </c>
      <c r="AQ82" s="316">
        <f t="shared" ref="AQ82:AR82" si="1337">IF(ISBLANK(AS82),,AS82-AS81)</f>
        <v>1</v>
      </c>
      <c r="AR82" s="338">
        <f t="shared" si="1337"/>
        <v>0</v>
      </c>
      <c r="AS82" s="335">
        <v>375</v>
      </c>
      <c r="AT82" s="336">
        <v>34</v>
      </c>
      <c r="AU82" s="337">
        <f t="shared" ref="AU82:AV82" si="1338">IF(ISBLANK(AW82),,AW82-AW81)</f>
        <v>0</v>
      </c>
      <c r="AV82" s="334">
        <f t="shared" si="1338"/>
        <v>0</v>
      </c>
      <c r="AW82" s="335">
        <v>405</v>
      </c>
      <c r="AX82" s="339">
        <v>9</v>
      </c>
      <c r="AY82" s="316">
        <f t="shared" ref="AY82:AZ82" si="1339">IF(ISBLANK(BA82),,BA82-BA81)</f>
        <v>5</v>
      </c>
      <c r="AZ82" s="334">
        <f t="shared" si="1339"/>
        <v>0</v>
      </c>
      <c r="BA82" s="335">
        <v>513</v>
      </c>
      <c r="BB82" s="336">
        <v>29</v>
      </c>
      <c r="BC82" s="337">
        <f t="shared" ref="BC82:BD82" si="1340">IF(ISBLANK(BE82),,BE82-BE81)</f>
        <v>251</v>
      </c>
      <c r="BD82" s="334">
        <f t="shared" si="1340"/>
        <v>4</v>
      </c>
      <c r="BE82" s="335">
        <v>6336</v>
      </c>
      <c r="BF82" s="339">
        <v>186</v>
      </c>
      <c r="BG82" s="316">
        <f t="shared" ref="BG82:BH82" si="1341">IF(ISBLANK(BI82),,BI82-BI81)</f>
        <v>4</v>
      </c>
      <c r="BH82" s="334">
        <f t="shared" si="1341"/>
        <v>0</v>
      </c>
      <c r="BI82" s="335">
        <v>361</v>
      </c>
      <c r="BJ82" s="336">
        <v>20</v>
      </c>
      <c r="BK82" s="337">
        <f t="shared" ref="BK82:BL82" si="1342">IF(ISBLANK(BM82),,BM82-BM81)</f>
        <v>0</v>
      </c>
      <c r="BL82" s="334">
        <f t="shared" si="1342"/>
        <v>0</v>
      </c>
      <c r="BM82" s="335">
        <v>174</v>
      </c>
      <c r="BN82" s="339">
        <v>1</v>
      </c>
      <c r="BO82" s="316">
        <f t="shared" ref="BO82:BP82" si="1343">IF(ISBLANK(BQ82),,BQ82-BQ81)</f>
        <v>26</v>
      </c>
      <c r="BP82" s="334">
        <f t="shared" si="1343"/>
        <v>2</v>
      </c>
      <c r="BQ82" s="335">
        <v>1925</v>
      </c>
      <c r="BR82" s="336">
        <v>143</v>
      </c>
      <c r="BS82" s="316">
        <f t="shared" ref="BS82:BT82" si="1344">IF(ISBLANK(BU82),,BU82-BU81)</f>
        <v>10</v>
      </c>
      <c r="BT82" s="334">
        <f t="shared" si="1344"/>
        <v>0</v>
      </c>
      <c r="BU82" s="335">
        <v>513</v>
      </c>
      <c r="BV82" s="336">
        <v>18</v>
      </c>
      <c r="BW82" s="233"/>
      <c r="BX82" s="233"/>
      <c r="BY82" s="233"/>
      <c r="BZ82" s="233"/>
      <c r="CA82" s="233"/>
      <c r="CB82" s="233"/>
      <c r="CC82" s="233"/>
      <c r="CD82" s="233"/>
      <c r="CE82" s="233"/>
    </row>
    <row r="83" spans="1:83" x14ac:dyDescent="0.25">
      <c r="A83" s="313">
        <v>43973</v>
      </c>
      <c r="B83" s="314">
        <f t="shared" si="1276"/>
        <v>80</v>
      </c>
      <c r="C83" s="315"/>
      <c r="D83" s="316">
        <v>471</v>
      </c>
      <c r="E83" s="317">
        <v>10</v>
      </c>
      <c r="F83" s="318">
        <v>8731</v>
      </c>
      <c r="G83" s="319"/>
      <c r="H83" s="330">
        <f t="shared" ref="H83:I83" si="1345">IF(ISBLANK(D83),,H82+D83)</f>
        <v>20612</v>
      </c>
      <c r="I83" s="331">
        <f t="shared" si="1345"/>
        <v>982</v>
      </c>
      <c r="J83" s="332">
        <f t="shared" si="1"/>
        <v>279</v>
      </c>
      <c r="K83" s="333">
        <f t="shared" ref="K83:L83" si="1346">IF(ISBLANK(M83),,M83-M82)</f>
        <v>71</v>
      </c>
      <c r="L83" s="334">
        <f t="shared" si="1346"/>
        <v>2</v>
      </c>
      <c r="M83" s="335">
        <v>2366</v>
      </c>
      <c r="N83" s="336">
        <v>96</v>
      </c>
      <c r="O83" s="337">
        <f t="shared" ref="O83:P83" si="1347">IF(ISBLANK(Q83),,Q83-Q82)</f>
        <v>2</v>
      </c>
      <c r="P83" s="338">
        <f t="shared" si="1347"/>
        <v>1</v>
      </c>
      <c r="Q83" s="335">
        <v>589</v>
      </c>
      <c r="R83" s="339">
        <v>45</v>
      </c>
      <c r="S83" s="316">
        <f t="shared" ref="S83:T83" si="1348">IF(ISBLANK(U83),,U83-U82)</f>
        <v>3</v>
      </c>
      <c r="T83" s="334">
        <f t="shared" si="1348"/>
        <v>0</v>
      </c>
      <c r="U83" s="335">
        <v>420</v>
      </c>
      <c r="V83" s="336">
        <v>15</v>
      </c>
      <c r="W83" s="337">
        <f t="shared" ref="W83:X83" si="1349">IF(ISBLANK(Y83),,Y83-Y82)</f>
        <v>2</v>
      </c>
      <c r="X83" s="334">
        <f t="shared" si="1349"/>
        <v>0</v>
      </c>
      <c r="Y83" s="335">
        <v>97</v>
      </c>
      <c r="Z83" s="340">
        <v>0</v>
      </c>
      <c r="AA83" s="316">
        <f t="shared" ref="AA83:AB83" si="1350">IF(ISBLANK(AC83),,AC83-AC82)</f>
        <v>33</v>
      </c>
      <c r="AB83" s="334">
        <f t="shared" si="1350"/>
        <v>0</v>
      </c>
      <c r="AC83" s="335">
        <v>1309</v>
      </c>
      <c r="AD83" s="336">
        <v>52</v>
      </c>
      <c r="AE83" s="337">
        <f t="shared" ref="AE83:AF83" si="1351">IF(ISBLANK(AG83),,AG83-AG82)</f>
        <v>2</v>
      </c>
      <c r="AF83" s="334">
        <f t="shared" si="1351"/>
        <v>0</v>
      </c>
      <c r="AG83" s="335">
        <v>1167</v>
      </c>
      <c r="AH83" s="339">
        <v>40</v>
      </c>
      <c r="AI83" s="316">
        <f t="shared" ref="AI83:AJ83" si="1352">IF(ISBLANK(AK83),,AK83-AK82)</f>
        <v>29</v>
      </c>
      <c r="AJ83" s="334">
        <f t="shared" si="1352"/>
        <v>2</v>
      </c>
      <c r="AK83" s="335">
        <v>3157</v>
      </c>
      <c r="AL83" s="336">
        <v>246</v>
      </c>
      <c r="AM83" s="337">
        <f t="shared" ref="AM83:AN83" si="1353">IF(ISBLANK(AO83),,AO83-AO82)</f>
        <v>10</v>
      </c>
      <c r="AN83" s="334">
        <f t="shared" si="1353"/>
        <v>1</v>
      </c>
      <c r="AO83" s="335">
        <v>586</v>
      </c>
      <c r="AP83" s="339">
        <v>44</v>
      </c>
      <c r="AQ83" s="316">
        <f t="shared" ref="AQ83:AR83" si="1354">IF(ISBLANK(AS83),,AS83-AS82)</f>
        <v>1</v>
      </c>
      <c r="AR83" s="338">
        <f t="shared" si="1354"/>
        <v>0</v>
      </c>
      <c r="AS83" s="335">
        <v>376</v>
      </c>
      <c r="AT83" s="336">
        <v>34</v>
      </c>
      <c r="AU83" s="337">
        <f t="shared" ref="AU83:AV83" si="1355">IF(ISBLANK(AW83),,AW83-AW82)</f>
        <v>6</v>
      </c>
      <c r="AV83" s="334">
        <f t="shared" si="1355"/>
        <v>0</v>
      </c>
      <c r="AW83" s="335">
        <v>411</v>
      </c>
      <c r="AX83" s="339">
        <v>9</v>
      </c>
      <c r="AY83" s="316">
        <f t="shared" ref="AY83:AZ83" si="1356">IF(ISBLANK(BA83),,BA83-BA82)</f>
        <v>4</v>
      </c>
      <c r="AZ83" s="334">
        <f t="shared" si="1356"/>
        <v>0</v>
      </c>
      <c r="BA83" s="335">
        <v>517</v>
      </c>
      <c r="BB83" s="336">
        <v>29</v>
      </c>
      <c r="BC83" s="337">
        <f t="shared" ref="BC83:BD83" si="1357">IF(ISBLANK(BE83),,BE83-BE82)</f>
        <v>285</v>
      </c>
      <c r="BD83" s="334">
        <f t="shared" si="1357"/>
        <v>1</v>
      </c>
      <c r="BE83" s="335">
        <v>6621</v>
      </c>
      <c r="BF83" s="339">
        <v>187</v>
      </c>
      <c r="BG83" s="316">
        <f t="shared" ref="BG83:BH83" si="1358">IF(ISBLANK(BI83),,BI83-BI82)</f>
        <v>5</v>
      </c>
      <c r="BH83" s="334">
        <f t="shared" si="1358"/>
        <v>0</v>
      </c>
      <c r="BI83" s="335">
        <v>366</v>
      </c>
      <c r="BJ83" s="336">
        <v>20</v>
      </c>
      <c r="BK83" s="337">
        <f t="shared" ref="BK83:BL83" si="1359">IF(ISBLANK(BM83),,BM83-BM82)</f>
        <v>0</v>
      </c>
      <c r="BL83" s="334">
        <f t="shared" si="1359"/>
        <v>0</v>
      </c>
      <c r="BM83" s="335">
        <v>174</v>
      </c>
      <c r="BN83" s="339">
        <v>1</v>
      </c>
      <c r="BO83" s="316">
        <f t="shared" ref="BO83:BP83" si="1360">IF(ISBLANK(BQ83),,BQ83-BQ82)</f>
        <v>16</v>
      </c>
      <c r="BP83" s="334">
        <f t="shared" si="1360"/>
        <v>2</v>
      </c>
      <c r="BQ83" s="335">
        <v>1941</v>
      </c>
      <c r="BR83" s="336">
        <v>145</v>
      </c>
      <c r="BS83" s="316">
        <f t="shared" ref="BS83:BT83" si="1361">IF(ISBLANK(BU83),,BU83-BU82)</f>
        <v>2</v>
      </c>
      <c r="BT83" s="334">
        <f t="shared" si="1361"/>
        <v>1</v>
      </c>
      <c r="BU83" s="335">
        <v>515</v>
      </c>
      <c r="BV83" s="336">
        <v>19</v>
      </c>
      <c r="BW83" s="233"/>
      <c r="BX83" s="233"/>
      <c r="BY83" s="233"/>
      <c r="BZ83" s="233"/>
      <c r="CA83" s="233"/>
      <c r="CB83" s="233"/>
      <c r="CC83" s="233"/>
      <c r="CD83" s="233"/>
      <c r="CE83" s="233"/>
    </row>
    <row r="84" spans="1:83" x14ac:dyDescent="0.25">
      <c r="A84" s="313">
        <v>43974</v>
      </c>
      <c r="B84" s="314">
        <f t="shared" si="1276"/>
        <v>81</v>
      </c>
      <c r="C84" s="315"/>
      <c r="D84" s="316">
        <v>315</v>
      </c>
      <c r="E84" s="317">
        <v>11</v>
      </c>
      <c r="F84" s="318">
        <v>8977</v>
      </c>
      <c r="G84" s="319"/>
      <c r="H84" s="330">
        <f t="shared" ref="H84:I84" si="1362">IF(ISBLANK(D84),,H83+D84)</f>
        <v>20927</v>
      </c>
      <c r="I84" s="331">
        <f t="shared" si="1362"/>
        <v>993</v>
      </c>
      <c r="J84" s="332">
        <f t="shared" si="1"/>
        <v>246</v>
      </c>
      <c r="K84" s="333">
        <f t="shared" ref="K84:L84" si="1363">IF(ISBLANK(M84),,M84-M83)</f>
        <v>33</v>
      </c>
      <c r="L84" s="334">
        <f t="shared" si="1363"/>
        <v>0</v>
      </c>
      <c r="M84" s="335">
        <v>2399</v>
      </c>
      <c r="N84" s="336">
        <v>96</v>
      </c>
      <c r="O84" s="337">
        <f t="shared" ref="O84:P84" si="1364">IF(ISBLANK(Q84),,Q84-Q83)</f>
        <v>1</v>
      </c>
      <c r="P84" s="338">
        <f t="shared" si="1364"/>
        <v>0</v>
      </c>
      <c r="Q84" s="335">
        <v>590</v>
      </c>
      <c r="R84" s="339">
        <v>45</v>
      </c>
      <c r="S84" s="316">
        <f t="shared" ref="S84:T84" si="1365">IF(ISBLANK(U84),,U84-U83)</f>
        <v>1</v>
      </c>
      <c r="T84" s="334">
        <f t="shared" si="1365"/>
        <v>0</v>
      </c>
      <c r="U84" s="335">
        <v>421</v>
      </c>
      <c r="V84" s="336">
        <v>15</v>
      </c>
      <c r="W84" s="337">
        <f t="shared" ref="W84:X84" si="1366">IF(ISBLANK(Y84),,Y84-Y83)</f>
        <v>2</v>
      </c>
      <c r="X84" s="334">
        <f t="shared" si="1366"/>
        <v>0</v>
      </c>
      <c r="Y84" s="335">
        <v>99</v>
      </c>
      <c r="Z84" s="340">
        <v>0</v>
      </c>
      <c r="AA84" s="316">
        <f t="shared" ref="AA84:AB84" si="1367">IF(ISBLANK(AC84),,AC84-AC83)</f>
        <v>12</v>
      </c>
      <c r="AB84" s="334">
        <f t="shared" si="1367"/>
        <v>7</v>
      </c>
      <c r="AC84" s="335">
        <v>1321</v>
      </c>
      <c r="AD84" s="336">
        <v>59</v>
      </c>
      <c r="AE84" s="337">
        <f t="shared" ref="AE84:AF84" si="1368">IF(ISBLANK(AG84),,AG84-AG83)</f>
        <v>4</v>
      </c>
      <c r="AF84" s="334">
        <f t="shared" si="1368"/>
        <v>0</v>
      </c>
      <c r="AG84" s="335">
        <v>1171</v>
      </c>
      <c r="AH84" s="339">
        <v>40</v>
      </c>
      <c r="AI84" s="316">
        <f t="shared" ref="AI84:AJ84" si="1369">IF(ISBLANK(AK84),,AK84-AK83)</f>
        <v>40</v>
      </c>
      <c r="AJ84" s="334">
        <f t="shared" si="1369"/>
        <v>0</v>
      </c>
      <c r="AK84" s="335">
        <v>3197</v>
      </c>
      <c r="AL84" s="336">
        <v>246</v>
      </c>
      <c r="AM84" s="337">
        <f t="shared" ref="AM84:AN84" si="1370">IF(ISBLANK(AO84),,AO84-AO83)</f>
        <v>4</v>
      </c>
      <c r="AN84" s="334">
        <f t="shared" si="1370"/>
        <v>0</v>
      </c>
      <c r="AO84" s="335">
        <v>590</v>
      </c>
      <c r="AP84" s="339">
        <v>44</v>
      </c>
      <c r="AQ84" s="316">
        <f t="shared" ref="AQ84:AR84" si="1371">IF(ISBLANK(AS84),,AS84-AS83)</f>
        <v>1</v>
      </c>
      <c r="AR84" s="338">
        <f t="shared" si="1371"/>
        <v>1</v>
      </c>
      <c r="AS84" s="335">
        <v>377</v>
      </c>
      <c r="AT84" s="336">
        <v>35</v>
      </c>
      <c r="AU84" s="337">
        <f t="shared" ref="AU84:AV84" si="1372">IF(ISBLANK(AW84),,AW84-AW83)</f>
        <v>3</v>
      </c>
      <c r="AV84" s="334">
        <f t="shared" si="1372"/>
        <v>0</v>
      </c>
      <c r="AW84" s="335">
        <v>414</v>
      </c>
      <c r="AX84" s="339">
        <v>9</v>
      </c>
      <c r="AY84" s="316">
        <f t="shared" ref="AY84:AZ84" si="1373">IF(ISBLANK(BA84),,BA84-BA83)</f>
        <v>10</v>
      </c>
      <c r="AZ84" s="334">
        <f t="shared" si="1373"/>
        <v>1</v>
      </c>
      <c r="BA84" s="335">
        <v>527</v>
      </c>
      <c r="BB84" s="336">
        <v>30</v>
      </c>
      <c r="BC84" s="337">
        <f t="shared" ref="BC84:BD84" si="1374">IF(ISBLANK(BE84),,BE84-BE83)</f>
        <v>179</v>
      </c>
      <c r="BD84" s="334">
        <f t="shared" si="1374"/>
        <v>2</v>
      </c>
      <c r="BE84" s="335">
        <v>6800</v>
      </c>
      <c r="BF84" s="339">
        <v>189</v>
      </c>
      <c r="BG84" s="316">
        <f t="shared" ref="BG84:BH84" si="1375">IF(ISBLANK(BI84),,BI84-BI83)</f>
        <v>8</v>
      </c>
      <c r="BH84" s="334">
        <f t="shared" si="1375"/>
        <v>0</v>
      </c>
      <c r="BI84" s="335">
        <v>374</v>
      </c>
      <c r="BJ84" s="336">
        <v>20</v>
      </c>
      <c r="BK84" s="337">
        <f t="shared" ref="BK84:BL84" si="1376">IF(ISBLANK(BM84),,BM84-BM83)</f>
        <v>1</v>
      </c>
      <c r="BL84" s="334">
        <f t="shared" si="1376"/>
        <v>0</v>
      </c>
      <c r="BM84" s="335">
        <v>175</v>
      </c>
      <c r="BN84" s="339">
        <v>1</v>
      </c>
      <c r="BO84" s="316">
        <f t="shared" ref="BO84:BP84" si="1377">IF(ISBLANK(BQ84),,BQ84-BQ83)</f>
        <v>12</v>
      </c>
      <c r="BP84" s="334">
        <f t="shared" si="1377"/>
        <v>0</v>
      </c>
      <c r="BQ84" s="335">
        <v>1953</v>
      </c>
      <c r="BR84" s="336">
        <v>145</v>
      </c>
      <c r="BS84" s="316">
        <f t="shared" ref="BS84:BT84" si="1378">IF(ISBLANK(BU84),,BU84-BU83)</f>
        <v>4</v>
      </c>
      <c r="BT84" s="334">
        <f t="shared" si="1378"/>
        <v>0</v>
      </c>
      <c r="BU84" s="335">
        <v>519</v>
      </c>
      <c r="BV84" s="336">
        <v>19</v>
      </c>
      <c r="BW84" s="233"/>
      <c r="BX84" s="233"/>
      <c r="BY84" s="233"/>
      <c r="BZ84" s="233"/>
      <c r="CA84" s="233"/>
      <c r="CB84" s="233"/>
      <c r="CC84" s="233"/>
      <c r="CD84" s="233"/>
      <c r="CE84" s="233"/>
    </row>
    <row r="85" spans="1:83" x14ac:dyDescent="0.25">
      <c r="A85" s="313">
        <v>43975</v>
      </c>
      <c r="B85" s="314">
        <f t="shared" si="1276"/>
        <v>82</v>
      </c>
      <c r="C85" s="315"/>
      <c r="D85" s="316">
        <v>361</v>
      </c>
      <c r="E85" s="317">
        <v>3</v>
      </c>
      <c r="F85" s="318">
        <v>9194</v>
      </c>
      <c r="G85" s="319"/>
      <c r="H85" s="330">
        <f t="shared" ref="H85:I85" si="1379">IF(ISBLANK(D85),,H84+D85)</f>
        <v>21288</v>
      </c>
      <c r="I85" s="331">
        <f t="shared" si="1379"/>
        <v>996</v>
      </c>
      <c r="J85" s="332">
        <f t="shared" si="1"/>
        <v>217</v>
      </c>
      <c r="K85" s="333">
        <f t="shared" ref="K85:L85" si="1380">IF(ISBLANK(M85),,M85-M84)</f>
        <v>19</v>
      </c>
      <c r="L85" s="334">
        <f t="shared" si="1380"/>
        <v>0</v>
      </c>
      <c r="M85" s="335">
        <v>2418</v>
      </c>
      <c r="N85" s="336">
        <v>96</v>
      </c>
      <c r="O85" s="337">
        <f t="shared" ref="O85:P85" si="1381">IF(ISBLANK(Q85),,Q85-Q84)</f>
        <v>1</v>
      </c>
      <c r="P85" s="338">
        <f t="shared" si="1381"/>
        <v>0</v>
      </c>
      <c r="Q85" s="335">
        <v>591</v>
      </c>
      <c r="R85" s="339">
        <v>45</v>
      </c>
      <c r="S85" s="316">
        <f t="shared" ref="S85:T85" si="1382">IF(ISBLANK(U85),,U85-U84)</f>
        <v>13</v>
      </c>
      <c r="T85" s="334">
        <f t="shared" si="1382"/>
        <v>0</v>
      </c>
      <c r="U85" s="335">
        <v>434</v>
      </c>
      <c r="V85" s="336">
        <v>15</v>
      </c>
      <c r="W85" s="337">
        <f t="shared" ref="W85:X85" si="1383">IF(ISBLANK(Y85),,Y85-Y84)</f>
        <v>4</v>
      </c>
      <c r="X85" s="334">
        <f t="shared" si="1383"/>
        <v>0</v>
      </c>
      <c r="Y85" s="335">
        <v>103</v>
      </c>
      <c r="Z85" s="340">
        <v>0</v>
      </c>
      <c r="AA85" s="316">
        <f t="shared" ref="AA85:AB85" si="1384">IF(ISBLANK(AC85),,AC85-AC84)</f>
        <v>23</v>
      </c>
      <c r="AB85" s="334">
        <f t="shared" si="1384"/>
        <v>0</v>
      </c>
      <c r="AC85" s="335">
        <v>1344</v>
      </c>
      <c r="AD85" s="336">
        <v>59</v>
      </c>
      <c r="AE85" s="337">
        <f t="shared" ref="AE85:AF85" si="1385">IF(ISBLANK(AG85),,AG85-AG84)</f>
        <v>5</v>
      </c>
      <c r="AF85" s="334">
        <f t="shared" si="1385"/>
        <v>0</v>
      </c>
      <c r="AG85" s="335">
        <v>1176</v>
      </c>
      <c r="AH85" s="339">
        <v>40</v>
      </c>
      <c r="AI85" s="316">
        <f t="shared" ref="AI85:AJ85" si="1386">IF(ISBLANK(AK85),,AK85-AK84)</f>
        <v>20</v>
      </c>
      <c r="AJ85" s="334">
        <f t="shared" si="1386"/>
        <v>0</v>
      </c>
      <c r="AK85" s="335">
        <v>3217</v>
      </c>
      <c r="AL85" s="336">
        <v>246</v>
      </c>
      <c r="AM85" s="337">
        <f t="shared" ref="AM85:AN85" si="1387">IF(ISBLANK(AO85),,AO85-AO84)</f>
        <v>3</v>
      </c>
      <c r="AN85" s="334">
        <f t="shared" si="1387"/>
        <v>1</v>
      </c>
      <c r="AO85" s="335">
        <v>593</v>
      </c>
      <c r="AP85" s="339">
        <v>45</v>
      </c>
      <c r="AQ85" s="316">
        <f t="shared" ref="AQ85:AR85" si="1388">IF(ISBLANK(AS85),,AS85-AS84)</f>
        <v>2</v>
      </c>
      <c r="AR85" s="338">
        <f t="shared" si="1388"/>
        <v>0</v>
      </c>
      <c r="AS85" s="335">
        <v>379</v>
      </c>
      <c r="AT85" s="336">
        <v>35</v>
      </c>
      <c r="AU85" s="337">
        <f t="shared" ref="AU85:AV85" si="1389">IF(ISBLANK(AW85),,AW85-AW84)</f>
        <v>4</v>
      </c>
      <c r="AV85" s="334">
        <f t="shared" si="1389"/>
        <v>0</v>
      </c>
      <c r="AW85" s="335">
        <v>418</v>
      </c>
      <c r="AX85" s="339">
        <v>9</v>
      </c>
      <c r="AY85" s="316">
        <f t="shared" ref="AY85:AZ85" si="1390">IF(ISBLANK(BA85),,BA85-BA84)</f>
        <v>6</v>
      </c>
      <c r="AZ85" s="334">
        <f t="shared" si="1390"/>
        <v>0</v>
      </c>
      <c r="BA85" s="335">
        <v>533</v>
      </c>
      <c r="BB85" s="336">
        <v>30</v>
      </c>
      <c r="BC85" s="337">
        <f t="shared" ref="BC85:BD85" si="1391">IF(ISBLANK(BE85),,BE85-BE84)</f>
        <v>185</v>
      </c>
      <c r="BD85" s="334">
        <f t="shared" si="1391"/>
        <v>2</v>
      </c>
      <c r="BE85" s="335">
        <v>6985</v>
      </c>
      <c r="BF85" s="339">
        <v>191</v>
      </c>
      <c r="BG85" s="316">
        <f t="shared" ref="BG85:BH85" si="1392">IF(ISBLANK(BI85),,BI85-BI84)</f>
        <v>7</v>
      </c>
      <c r="BH85" s="334">
        <f t="shared" si="1392"/>
        <v>0</v>
      </c>
      <c r="BI85" s="335">
        <v>381</v>
      </c>
      <c r="BJ85" s="336">
        <v>20</v>
      </c>
      <c r="BK85" s="337">
        <f t="shared" ref="BK85:BL85" si="1393">IF(ISBLANK(BM85),,BM85-BM84)</f>
        <v>0</v>
      </c>
      <c r="BL85" s="334">
        <f t="shared" si="1393"/>
        <v>0</v>
      </c>
      <c r="BM85" s="335">
        <v>175</v>
      </c>
      <c r="BN85" s="339">
        <v>1</v>
      </c>
      <c r="BO85" s="316">
        <f t="shared" ref="BO85:BP85" si="1394">IF(ISBLANK(BQ85),,BQ85-BQ84)</f>
        <v>68</v>
      </c>
      <c r="BP85" s="334">
        <f t="shared" si="1394"/>
        <v>0</v>
      </c>
      <c r="BQ85" s="335">
        <v>2021</v>
      </c>
      <c r="BR85" s="336">
        <v>145</v>
      </c>
      <c r="BS85" s="316">
        <f t="shared" ref="BS85:BT85" si="1395">IF(ISBLANK(BU85),,BU85-BU84)</f>
        <v>1</v>
      </c>
      <c r="BT85" s="334">
        <f t="shared" si="1395"/>
        <v>0</v>
      </c>
      <c r="BU85" s="335">
        <v>520</v>
      </c>
      <c r="BV85" s="336">
        <v>19</v>
      </c>
      <c r="BW85" s="233"/>
      <c r="BX85" s="233"/>
      <c r="BY85" s="233"/>
      <c r="BZ85" s="233"/>
      <c r="CA85" s="233"/>
      <c r="CB85" s="233"/>
      <c r="CC85" s="233"/>
      <c r="CD85" s="233"/>
      <c r="CE85" s="233"/>
    </row>
    <row r="86" spans="1:83" x14ac:dyDescent="0.25">
      <c r="A86" s="313">
        <v>43976</v>
      </c>
      <c r="B86" s="314">
        <f t="shared" si="1276"/>
        <v>83</v>
      </c>
      <c r="C86" s="315"/>
      <c r="D86" s="316">
        <v>341</v>
      </c>
      <c r="E86" s="317">
        <v>11</v>
      </c>
      <c r="F86" s="318">
        <v>9276</v>
      </c>
      <c r="G86" s="319"/>
      <c r="H86" s="330">
        <f t="shared" ref="H86:I86" si="1396">IF(ISBLANK(D86),,H85+D86)</f>
        <v>21629</v>
      </c>
      <c r="I86" s="331">
        <f t="shared" si="1396"/>
        <v>1007</v>
      </c>
      <c r="J86" s="332">
        <f t="shared" si="1"/>
        <v>82</v>
      </c>
      <c r="K86" s="333">
        <f t="shared" ref="K86:L86" si="1397">IF(ISBLANK(M86),,M86-M85)</f>
        <v>37</v>
      </c>
      <c r="L86" s="334">
        <f t="shared" si="1397"/>
        <v>2</v>
      </c>
      <c r="M86" s="335">
        <v>2455</v>
      </c>
      <c r="N86" s="336">
        <v>98</v>
      </c>
      <c r="O86" s="337">
        <f t="shared" ref="O86:P86" si="1398">IF(ISBLANK(Q86),,Q86-Q85)</f>
        <v>1</v>
      </c>
      <c r="P86" s="338">
        <f t="shared" si="1398"/>
        <v>1</v>
      </c>
      <c r="Q86" s="335">
        <v>592</v>
      </c>
      <c r="R86" s="339">
        <v>46</v>
      </c>
      <c r="S86" s="316">
        <f t="shared" ref="S86:T86" si="1399">IF(ISBLANK(U86),,U86-U85)</f>
        <v>12</v>
      </c>
      <c r="T86" s="334">
        <f t="shared" si="1399"/>
        <v>0</v>
      </c>
      <c r="U86" s="335">
        <v>446</v>
      </c>
      <c r="V86" s="336">
        <v>15</v>
      </c>
      <c r="W86" s="337">
        <f t="shared" ref="W86:X86" si="1400">IF(ISBLANK(Y86),,Y86-Y85)</f>
        <v>5</v>
      </c>
      <c r="X86" s="334">
        <f t="shared" si="1400"/>
        <v>0</v>
      </c>
      <c r="Y86" s="335">
        <v>108</v>
      </c>
      <c r="Z86" s="340">
        <v>0</v>
      </c>
      <c r="AA86" s="316">
        <f t="shared" ref="AA86:AB86" si="1401">IF(ISBLANK(AC86),,AC86-AC85)</f>
        <v>15</v>
      </c>
      <c r="AB86" s="334">
        <f t="shared" si="1401"/>
        <v>0</v>
      </c>
      <c r="AC86" s="335">
        <v>1359</v>
      </c>
      <c r="AD86" s="336">
        <v>59</v>
      </c>
      <c r="AE86" s="337">
        <f t="shared" ref="AE86:AF86" si="1402">IF(ISBLANK(AG86),,AG86-AG85)</f>
        <v>0</v>
      </c>
      <c r="AF86" s="334">
        <f t="shared" si="1402"/>
        <v>0</v>
      </c>
      <c r="AG86" s="335">
        <v>1176</v>
      </c>
      <c r="AH86" s="339">
        <v>40</v>
      </c>
      <c r="AI86" s="316">
        <f t="shared" ref="AI86:AJ86" si="1403">IF(ISBLANK(AK86),,AK86-AK85)</f>
        <v>66</v>
      </c>
      <c r="AJ86" s="334">
        <f t="shared" si="1403"/>
        <v>6</v>
      </c>
      <c r="AK86" s="335">
        <v>3283</v>
      </c>
      <c r="AL86" s="336">
        <v>252</v>
      </c>
      <c r="AM86" s="337">
        <f t="shared" ref="AM86:AN86" si="1404">IF(ISBLANK(AO86),,AO86-AO85)</f>
        <v>5</v>
      </c>
      <c r="AN86" s="334">
        <f t="shared" si="1404"/>
        <v>0</v>
      </c>
      <c r="AO86" s="335">
        <v>598</v>
      </c>
      <c r="AP86" s="339">
        <v>45</v>
      </c>
      <c r="AQ86" s="316">
        <f t="shared" ref="AQ86:AR86" si="1405">IF(ISBLANK(AS86),,AS86-AS85)</f>
        <v>0</v>
      </c>
      <c r="AR86" s="338">
        <f t="shared" si="1405"/>
        <v>0</v>
      </c>
      <c r="AS86" s="335">
        <v>379</v>
      </c>
      <c r="AT86" s="336">
        <v>35</v>
      </c>
      <c r="AU86" s="337">
        <f t="shared" ref="AU86:AV86" si="1406">IF(ISBLANK(AW86),,AW86-AW85)</f>
        <v>5</v>
      </c>
      <c r="AV86" s="334">
        <f t="shared" si="1406"/>
        <v>0</v>
      </c>
      <c r="AW86" s="335">
        <v>423</v>
      </c>
      <c r="AX86" s="339">
        <v>9</v>
      </c>
      <c r="AY86" s="316">
        <f t="shared" ref="AY86:AZ86" si="1407">IF(ISBLANK(BA86),,BA86-BA85)</f>
        <v>7</v>
      </c>
      <c r="AZ86" s="334">
        <f t="shared" si="1407"/>
        <v>0</v>
      </c>
      <c r="BA86" s="335">
        <v>540</v>
      </c>
      <c r="BB86" s="336">
        <v>30</v>
      </c>
      <c r="BC86" s="337">
        <f t="shared" ref="BC86:BD86" si="1408">IF(ISBLANK(BE86),,BE86-BE85)</f>
        <v>158</v>
      </c>
      <c r="BD86" s="334">
        <f t="shared" si="1408"/>
        <v>1</v>
      </c>
      <c r="BE86" s="335">
        <v>7143</v>
      </c>
      <c r="BF86" s="339">
        <v>192</v>
      </c>
      <c r="BG86" s="316">
        <f t="shared" ref="BG86:BH86" si="1409">IF(ISBLANK(BI86),,BI86-BI85)</f>
        <v>10</v>
      </c>
      <c r="BH86" s="334">
        <f t="shared" si="1409"/>
        <v>0</v>
      </c>
      <c r="BI86" s="335">
        <v>391</v>
      </c>
      <c r="BJ86" s="336">
        <v>20</v>
      </c>
      <c r="BK86" s="337">
        <f t="shared" ref="BK86:BL86" si="1410">IF(ISBLANK(BM86),,BM86-BM85)</f>
        <v>0</v>
      </c>
      <c r="BL86" s="334">
        <f t="shared" si="1410"/>
        <v>0</v>
      </c>
      <c r="BM86" s="335">
        <v>175</v>
      </c>
      <c r="BN86" s="339">
        <v>1</v>
      </c>
      <c r="BO86" s="316">
        <f t="shared" ref="BO86:BP86" si="1411">IF(ISBLANK(BQ86),,BQ86-BQ85)</f>
        <v>19</v>
      </c>
      <c r="BP86" s="334">
        <f t="shared" si="1411"/>
        <v>1</v>
      </c>
      <c r="BQ86" s="335">
        <v>2040</v>
      </c>
      <c r="BR86" s="336">
        <v>146</v>
      </c>
      <c r="BS86" s="316">
        <f t="shared" ref="BS86:BT86" si="1412">IF(ISBLANK(BU86),,BU86-BU85)</f>
        <v>1</v>
      </c>
      <c r="BT86" s="334">
        <f t="shared" si="1412"/>
        <v>0</v>
      </c>
      <c r="BU86" s="335">
        <v>521</v>
      </c>
      <c r="BV86" s="336">
        <v>19</v>
      </c>
      <c r="BW86" s="233"/>
      <c r="BX86" s="233"/>
      <c r="BY86" s="233"/>
      <c r="BZ86" s="233"/>
      <c r="CA86" s="233"/>
      <c r="CB86" s="233"/>
      <c r="CC86" s="233"/>
      <c r="CD86" s="233"/>
      <c r="CE86" s="233"/>
    </row>
    <row r="87" spans="1:83" x14ac:dyDescent="0.25">
      <c r="A87" s="313">
        <v>43977</v>
      </c>
      <c r="B87" s="314">
        <f t="shared" si="1276"/>
        <v>84</v>
      </c>
      <c r="C87" s="315"/>
      <c r="D87" s="316">
        <v>443</v>
      </c>
      <c r="E87" s="317">
        <v>17</v>
      </c>
      <c r="F87" s="318">
        <v>10020</v>
      </c>
      <c r="G87" s="319"/>
      <c r="H87" s="330">
        <f t="shared" ref="H87:I87" si="1413">IF(ISBLANK(D87),,H86+D87)</f>
        <v>22072</v>
      </c>
      <c r="I87" s="331">
        <f t="shared" si="1413"/>
        <v>1024</v>
      </c>
      <c r="J87" s="332">
        <f t="shared" si="1"/>
        <v>744</v>
      </c>
      <c r="K87" s="333">
        <f t="shared" ref="K87:L87" si="1414">IF(ISBLANK(M87),,M87-M86)</f>
        <v>16</v>
      </c>
      <c r="L87" s="334">
        <f t="shared" si="1414"/>
        <v>3</v>
      </c>
      <c r="M87" s="335">
        <v>2471</v>
      </c>
      <c r="N87" s="336">
        <v>101</v>
      </c>
      <c r="O87" s="337">
        <f t="shared" ref="O87:P87" si="1415">IF(ISBLANK(Q87),,Q87-Q86)</f>
        <v>0</v>
      </c>
      <c r="P87" s="338">
        <f t="shared" si="1415"/>
        <v>0</v>
      </c>
      <c r="Q87" s="335">
        <v>592</v>
      </c>
      <c r="R87" s="339">
        <v>46</v>
      </c>
      <c r="S87" s="316">
        <f t="shared" ref="S87:T87" si="1416">IF(ISBLANK(U87),,U87-U86)</f>
        <v>3</v>
      </c>
      <c r="T87" s="334">
        <f t="shared" si="1416"/>
        <v>0</v>
      </c>
      <c r="U87" s="335">
        <v>449</v>
      </c>
      <c r="V87" s="336">
        <v>15</v>
      </c>
      <c r="W87" s="337">
        <f t="shared" ref="W87:X87" si="1417">IF(ISBLANK(Y87),,Y87-Y86)</f>
        <v>3</v>
      </c>
      <c r="X87" s="334">
        <f t="shared" si="1417"/>
        <v>0</v>
      </c>
      <c r="Y87" s="335">
        <v>111</v>
      </c>
      <c r="Z87" s="340">
        <v>0</v>
      </c>
      <c r="AA87" s="316">
        <f t="shared" ref="AA87:AB87" si="1418">IF(ISBLANK(AC87),,AC87-AC86)</f>
        <v>22</v>
      </c>
      <c r="AB87" s="334">
        <f t="shared" si="1418"/>
        <v>3</v>
      </c>
      <c r="AC87" s="335">
        <v>1381</v>
      </c>
      <c r="AD87" s="336">
        <v>62</v>
      </c>
      <c r="AE87" s="337">
        <f t="shared" ref="AE87:AF87" si="1419">IF(ISBLANK(AG87),,AG87-AG86)</f>
        <v>3</v>
      </c>
      <c r="AF87" s="334">
        <f t="shared" si="1419"/>
        <v>0</v>
      </c>
      <c r="AG87" s="335">
        <v>1179</v>
      </c>
      <c r="AH87" s="339">
        <v>40</v>
      </c>
      <c r="AI87" s="316">
        <f t="shared" ref="AI87:AJ87" si="1420">IF(ISBLANK(AK87),,AK87-AK86)</f>
        <v>76</v>
      </c>
      <c r="AJ87" s="334">
        <f t="shared" si="1420"/>
        <v>3</v>
      </c>
      <c r="AK87" s="335">
        <v>3359</v>
      </c>
      <c r="AL87" s="336">
        <v>255</v>
      </c>
      <c r="AM87" s="337">
        <f t="shared" ref="AM87:AN87" si="1421">IF(ISBLANK(AO87),,AO87-AO86)</f>
        <v>3</v>
      </c>
      <c r="AN87" s="334">
        <f t="shared" si="1421"/>
        <v>2</v>
      </c>
      <c r="AO87" s="335">
        <v>601</v>
      </c>
      <c r="AP87" s="339">
        <v>47</v>
      </c>
      <c r="AQ87" s="316">
        <f t="shared" ref="AQ87:AR87" si="1422">IF(ISBLANK(AS87),,AS87-AS86)</f>
        <v>0</v>
      </c>
      <c r="AR87" s="338">
        <f t="shared" si="1422"/>
        <v>0</v>
      </c>
      <c r="AS87" s="335">
        <v>379</v>
      </c>
      <c r="AT87" s="336">
        <v>35</v>
      </c>
      <c r="AU87" s="337">
        <f t="shared" ref="AU87:AV87" si="1423">IF(ISBLANK(AW87),,AW87-AW86)</f>
        <v>7</v>
      </c>
      <c r="AV87" s="334">
        <f t="shared" si="1423"/>
        <v>0</v>
      </c>
      <c r="AW87" s="335">
        <v>430</v>
      </c>
      <c r="AX87" s="339">
        <v>9</v>
      </c>
      <c r="AY87" s="316">
        <f t="shared" ref="AY87:AZ87" si="1424">IF(ISBLANK(BA87),,BA87-BA86)</f>
        <v>2</v>
      </c>
      <c r="AZ87" s="334">
        <f t="shared" si="1424"/>
        <v>2</v>
      </c>
      <c r="BA87" s="335">
        <v>542</v>
      </c>
      <c r="BB87" s="336">
        <v>32</v>
      </c>
      <c r="BC87" s="337">
        <f t="shared" ref="BC87:BD87" si="1425">IF(ISBLANK(BE87),,BE87-BE86)</f>
        <v>274</v>
      </c>
      <c r="BD87" s="334">
        <f t="shared" si="1425"/>
        <v>2</v>
      </c>
      <c r="BE87" s="335">
        <v>7417</v>
      </c>
      <c r="BF87" s="339">
        <v>194</v>
      </c>
      <c r="BG87" s="316">
        <f t="shared" ref="BG87:BH87" si="1426">IF(ISBLANK(BI87),,BI87-BI86)</f>
        <v>7</v>
      </c>
      <c r="BH87" s="334">
        <f t="shared" si="1426"/>
        <v>1</v>
      </c>
      <c r="BI87" s="335">
        <v>398</v>
      </c>
      <c r="BJ87" s="336">
        <v>21</v>
      </c>
      <c r="BK87" s="337">
        <f t="shared" ref="BK87:BL87" si="1427">IF(ISBLANK(BM87),,BM87-BM86)</f>
        <v>4</v>
      </c>
      <c r="BL87" s="334">
        <f t="shared" si="1427"/>
        <v>0</v>
      </c>
      <c r="BM87" s="335">
        <v>179</v>
      </c>
      <c r="BN87" s="339">
        <v>1</v>
      </c>
      <c r="BO87" s="316">
        <f t="shared" ref="BO87:BP87" si="1428">IF(ISBLANK(BQ87),,BQ87-BQ86)</f>
        <v>19</v>
      </c>
      <c r="BP87" s="334">
        <f t="shared" si="1428"/>
        <v>1</v>
      </c>
      <c r="BQ87" s="335">
        <v>2059</v>
      </c>
      <c r="BR87" s="336">
        <v>147</v>
      </c>
      <c r="BS87" s="316">
        <f t="shared" ref="BS87:BT87" si="1429">IF(ISBLANK(BU87),,BU87-BU86)</f>
        <v>4</v>
      </c>
      <c r="BT87" s="334">
        <f t="shared" si="1429"/>
        <v>0</v>
      </c>
      <c r="BU87" s="335">
        <v>525</v>
      </c>
      <c r="BV87" s="336">
        <v>19</v>
      </c>
      <c r="BW87" s="233"/>
      <c r="BX87" s="233"/>
      <c r="BY87" s="233"/>
      <c r="BZ87" s="233"/>
      <c r="CA87" s="233"/>
      <c r="CB87" s="233"/>
      <c r="CC87" s="233"/>
      <c r="CD87" s="233"/>
      <c r="CE87" s="233"/>
    </row>
    <row r="88" spans="1:83" x14ac:dyDescent="0.25">
      <c r="A88" s="313">
        <v>43978</v>
      </c>
      <c r="B88" s="314">
        <f t="shared" si="1276"/>
        <v>85</v>
      </c>
      <c r="C88" s="315"/>
      <c r="D88" s="316">
        <v>397</v>
      </c>
      <c r="E88" s="317">
        <v>4</v>
      </c>
      <c r="F88" s="318">
        <v>10330</v>
      </c>
      <c r="G88" s="319"/>
      <c r="H88" s="330">
        <f t="shared" ref="H88:I88" si="1430">IF(ISBLANK(D88),,H87+D88)</f>
        <v>22469</v>
      </c>
      <c r="I88" s="331">
        <f t="shared" si="1430"/>
        <v>1028</v>
      </c>
      <c r="J88" s="332">
        <f t="shared" si="1"/>
        <v>310</v>
      </c>
      <c r="K88" s="333">
        <f t="shared" ref="K88:L88" si="1431">IF(ISBLANK(M88),,M88-M87)</f>
        <v>41</v>
      </c>
      <c r="L88" s="334">
        <f t="shared" si="1431"/>
        <v>0</v>
      </c>
      <c r="M88" s="335">
        <v>2512</v>
      </c>
      <c r="N88" s="336">
        <v>101</v>
      </c>
      <c r="O88" s="337">
        <f t="shared" ref="O88:P88" si="1432">IF(ISBLANK(Q88),,Q88-Q87)</f>
        <v>1</v>
      </c>
      <c r="P88" s="338">
        <f t="shared" si="1432"/>
        <v>0</v>
      </c>
      <c r="Q88" s="335">
        <v>593</v>
      </c>
      <c r="R88" s="339">
        <v>46</v>
      </c>
      <c r="S88" s="316">
        <f t="shared" ref="S88:T88" si="1433">IF(ISBLANK(U88),,U88-U87)</f>
        <v>20</v>
      </c>
      <c r="T88" s="334">
        <f t="shared" si="1433"/>
        <v>0</v>
      </c>
      <c r="U88" s="335">
        <v>469</v>
      </c>
      <c r="V88" s="336">
        <v>15</v>
      </c>
      <c r="W88" s="337">
        <f t="shared" ref="W88:X88" si="1434">IF(ISBLANK(Y88),,Y88-Y87)</f>
        <v>0</v>
      </c>
      <c r="X88" s="334">
        <f t="shared" si="1434"/>
        <v>0</v>
      </c>
      <c r="Y88" s="335">
        <v>111</v>
      </c>
      <c r="Z88" s="340">
        <v>0</v>
      </c>
      <c r="AA88" s="316">
        <f t="shared" ref="AA88:AB88" si="1435">IF(ISBLANK(AC88),,AC88-AC87)</f>
        <v>28</v>
      </c>
      <c r="AB88" s="334">
        <f t="shared" si="1435"/>
        <v>2</v>
      </c>
      <c r="AC88" s="335">
        <v>1409</v>
      </c>
      <c r="AD88" s="336">
        <v>64</v>
      </c>
      <c r="AE88" s="337">
        <f t="shared" ref="AE88:AF88" si="1436">IF(ISBLANK(AG88),,AG88-AG87)</f>
        <v>2</v>
      </c>
      <c r="AF88" s="334">
        <f t="shared" si="1436"/>
        <v>0</v>
      </c>
      <c r="AG88" s="335">
        <v>1181</v>
      </c>
      <c r="AH88" s="339">
        <v>40</v>
      </c>
      <c r="AI88" s="316">
        <f t="shared" ref="AI88:AJ88" si="1437">IF(ISBLANK(AK88),,AK88-AK87)</f>
        <v>37</v>
      </c>
      <c r="AJ88" s="334">
        <f t="shared" si="1437"/>
        <v>0</v>
      </c>
      <c r="AK88" s="335">
        <v>3396</v>
      </c>
      <c r="AL88" s="336">
        <v>255</v>
      </c>
      <c r="AM88" s="337">
        <f t="shared" ref="AM88:AN88" si="1438">IF(ISBLANK(AO88),,AO88-AO87)</f>
        <v>9</v>
      </c>
      <c r="AN88" s="334">
        <f t="shared" si="1438"/>
        <v>0</v>
      </c>
      <c r="AO88" s="335">
        <v>610</v>
      </c>
      <c r="AP88" s="339">
        <v>47</v>
      </c>
      <c r="AQ88" s="316">
        <f t="shared" ref="AQ88:AR88" si="1439">IF(ISBLANK(AS88),,AS88-AS87)</f>
        <v>0</v>
      </c>
      <c r="AR88" s="338">
        <f t="shared" si="1439"/>
        <v>0</v>
      </c>
      <c r="AS88" s="335">
        <v>379</v>
      </c>
      <c r="AT88" s="336">
        <v>35</v>
      </c>
      <c r="AU88" s="337">
        <f t="shared" ref="AU88:AV88" si="1440">IF(ISBLANK(AW88),,AW88-AW87)</f>
        <v>9</v>
      </c>
      <c r="AV88" s="334">
        <f t="shared" si="1440"/>
        <v>0</v>
      </c>
      <c r="AW88" s="335">
        <v>439</v>
      </c>
      <c r="AX88" s="339">
        <v>9</v>
      </c>
      <c r="AY88" s="316">
        <f t="shared" ref="AY88:AZ88" si="1441">IF(ISBLANK(BA88),,BA88-BA87)</f>
        <v>4</v>
      </c>
      <c r="AZ88" s="334">
        <f t="shared" si="1441"/>
        <v>1</v>
      </c>
      <c r="BA88" s="335">
        <v>546</v>
      </c>
      <c r="BB88" s="336">
        <v>33</v>
      </c>
      <c r="BC88" s="337">
        <f t="shared" ref="BC88:BD88" si="1442">IF(ISBLANK(BE88),,BE88-BE87)</f>
        <v>176</v>
      </c>
      <c r="BD88" s="334">
        <f t="shared" si="1442"/>
        <v>1</v>
      </c>
      <c r="BE88" s="335">
        <v>7593</v>
      </c>
      <c r="BF88" s="339">
        <v>195</v>
      </c>
      <c r="BG88" s="316">
        <f t="shared" ref="BG88:BH88" si="1443">IF(ISBLANK(BI88),,BI88-BI87)</f>
        <v>9</v>
      </c>
      <c r="BH88" s="334">
        <f t="shared" si="1443"/>
        <v>0</v>
      </c>
      <c r="BI88" s="335">
        <v>407</v>
      </c>
      <c r="BJ88" s="336">
        <v>21</v>
      </c>
      <c r="BK88" s="337">
        <f t="shared" ref="BK88:BL88" si="1444">IF(ISBLANK(BM88),,BM88-BM87)</f>
        <v>0</v>
      </c>
      <c r="BL88" s="334">
        <f t="shared" si="1444"/>
        <v>0</v>
      </c>
      <c r="BM88" s="335">
        <v>179</v>
      </c>
      <c r="BN88" s="339">
        <v>1</v>
      </c>
      <c r="BO88" s="316">
        <f t="shared" ref="BO88:BP88" si="1445">IF(ISBLANK(BQ88),,BQ88-BQ87)</f>
        <v>59</v>
      </c>
      <c r="BP88" s="334">
        <f t="shared" si="1445"/>
        <v>0</v>
      </c>
      <c r="BQ88" s="335">
        <v>2118</v>
      </c>
      <c r="BR88" s="336">
        <v>147</v>
      </c>
      <c r="BS88" s="316">
        <f t="shared" ref="BS88:BT88" si="1446">IF(ISBLANK(BU88),,BU88-BU87)</f>
        <v>2</v>
      </c>
      <c r="BT88" s="334">
        <f t="shared" si="1446"/>
        <v>0</v>
      </c>
      <c r="BU88" s="335">
        <v>527</v>
      </c>
      <c r="BV88" s="336">
        <v>19</v>
      </c>
      <c r="BW88" s="233"/>
      <c r="BX88" s="233"/>
      <c r="BY88" s="233"/>
      <c r="BZ88" s="233"/>
      <c r="CA88" s="233"/>
      <c r="CB88" s="233"/>
      <c r="CC88" s="233"/>
      <c r="CD88" s="233"/>
      <c r="CE88" s="233"/>
    </row>
    <row r="89" spans="1:83" x14ac:dyDescent="0.25">
      <c r="A89" s="313">
        <v>43979</v>
      </c>
      <c r="B89" s="314">
        <f t="shared" si="1276"/>
        <v>86</v>
      </c>
      <c r="C89" s="315"/>
      <c r="D89" s="316">
        <v>352</v>
      </c>
      <c r="E89" s="317">
        <v>10</v>
      </c>
      <c r="F89" s="318">
        <v>10560</v>
      </c>
      <c r="G89" s="319"/>
      <c r="H89" s="330">
        <f t="shared" ref="H89:I89" si="1447">IF(ISBLANK(D89),,H88+D89)</f>
        <v>22821</v>
      </c>
      <c r="I89" s="331">
        <f t="shared" si="1447"/>
        <v>1038</v>
      </c>
      <c r="J89" s="332">
        <f t="shared" si="1"/>
        <v>230</v>
      </c>
      <c r="K89" s="333">
        <f t="shared" ref="K89:L89" si="1448">IF(ISBLANK(M89),,M89-M88)</f>
        <v>18</v>
      </c>
      <c r="L89" s="334">
        <f t="shared" si="1448"/>
        <v>1</v>
      </c>
      <c r="M89" s="335">
        <v>2530</v>
      </c>
      <c r="N89" s="336">
        <v>102</v>
      </c>
      <c r="O89" s="337">
        <f t="shared" ref="O89:P89" si="1449">IF(ISBLANK(Q89),,Q89-Q88)</f>
        <v>0</v>
      </c>
      <c r="P89" s="338">
        <f t="shared" si="1449"/>
        <v>0</v>
      </c>
      <c r="Q89" s="335">
        <v>593</v>
      </c>
      <c r="R89" s="339">
        <v>46</v>
      </c>
      <c r="S89" s="316">
        <f t="shared" ref="S89:T89" si="1450">IF(ISBLANK(U89),,U89-U88)</f>
        <v>16</v>
      </c>
      <c r="T89" s="334">
        <f t="shared" si="1450"/>
        <v>0</v>
      </c>
      <c r="U89" s="335">
        <v>485</v>
      </c>
      <c r="V89" s="336">
        <v>15</v>
      </c>
      <c r="W89" s="337">
        <f t="shared" ref="W89:X89" si="1451">IF(ISBLANK(Y89),,Y89-Y88)</f>
        <v>2</v>
      </c>
      <c r="X89" s="334">
        <f t="shared" si="1451"/>
        <v>0</v>
      </c>
      <c r="Y89" s="335">
        <v>113</v>
      </c>
      <c r="Z89" s="340">
        <v>0</v>
      </c>
      <c r="AA89" s="316">
        <f t="shared" ref="AA89:AB89" si="1452">IF(ISBLANK(AC89),,AC89-AC88)</f>
        <v>46</v>
      </c>
      <c r="AB89" s="334">
        <f t="shared" si="1452"/>
        <v>0</v>
      </c>
      <c r="AC89" s="335">
        <v>1455</v>
      </c>
      <c r="AD89" s="336">
        <v>64</v>
      </c>
      <c r="AE89" s="337">
        <f t="shared" ref="AE89:AF89" si="1453">IF(ISBLANK(AG89),,AG89-AG88)</f>
        <v>9</v>
      </c>
      <c r="AF89" s="334">
        <f t="shared" si="1453"/>
        <v>0</v>
      </c>
      <c r="AG89" s="335">
        <v>1190</v>
      </c>
      <c r="AH89" s="339">
        <v>40</v>
      </c>
      <c r="AI89" s="316">
        <f t="shared" ref="AI89:AJ89" si="1454">IF(ISBLANK(AK89),,AK89-AK88)</f>
        <v>65</v>
      </c>
      <c r="AJ89" s="334">
        <f t="shared" si="1454"/>
        <v>1</v>
      </c>
      <c r="AK89" s="335">
        <v>3461</v>
      </c>
      <c r="AL89" s="336">
        <v>256</v>
      </c>
      <c r="AM89" s="337">
        <f t="shared" ref="AM89:AN89" si="1455">IF(ISBLANK(AO89),,AO89-AO88)</f>
        <v>12</v>
      </c>
      <c r="AN89" s="334">
        <f t="shared" si="1455"/>
        <v>0</v>
      </c>
      <c r="AO89" s="335">
        <v>622</v>
      </c>
      <c r="AP89" s="339">
        <v>47</v>
      </c>
      <c r="AQ89" s="316">
        <f t="shared" ref="AQ89:AR89" si="1456">IF(ISBLANK(AS89),,AS89-AS88)</f>
        <v>2</v>
      </c>
      <c r="AR89" s="338">
        <f t="shared" si="1456"/>
        <v>0</v>
      </c>
      <c r="AS89" s="335">
        <v>381</v>
      </c>
      <c r="AT89" s="336">
        <v>35</v>
      </c>
      <c r="AU89" s="337">
        <f t="shared" ref="AU89:AV89" si="1457">IF(ISBLANK(AW89),,AW89-AW88)</f>
        <v>3</v>
      </c>
      <c r="AV89" s="334">
        <f t="shared" si="1457"/>
        <v>0</v>
      </c>
      <c r="AW89" s="335">
        <v>442</v>
      </c>
      <c r="AX89" s="339">
        <v>9</v>
      </c>
      <c r="AY89" s="316">
        <f t="shared" ref="AY89:AZ89" si="1458">IF(ISBLANK(BA89),,BA89-BA88)</f>
        <v>2</v>
      </c>
      <c r="AZ89" s="334">
        <f t="shared" si="1458"/>
        <v>0</v>
      </c>
      <c r="BA89" s="335">
        <v>548</v>
      </c>
      <c r="BB89" s="336">
        <v>33</v>
      </c>
      <c r="BC89" s="337">
        <f t="shared" ref="BC89:BD89" si="1459">IF(ISBLANK(BE89),,BE89-BE88)</f>
        <v>138</v>
      </c>
      <c r="BD89" s="334">
        <f t="shared" si="1459"/>
        <v>6</v>
      </c>
      <c r="BE89" s="335">
        <v>7731</v>
      </c>
      <c r="BF89" s="339">
        <v>201</v>
      </c>
      <c r="BG89" s="316">
        <f t="shared" ref="BG89:BH89" si="1460">IF(ISBLANK(BI89),,BI89-BI88)</f>
        <v>24</v>
      </c>
      <c r="BH89" s="334">
        <f t="shared" si="1460"/>
        <v>0</v>
      </c>
      <c r="BI89" s="335">
        <v>431</v>
      </c>
      <c r="BJ89" s="336">
        <v>21</v>
      </c>
      <c r="BK89" s="337">
        <f t="shared" ref="BK89:BL89" si="1461">IF(ISBLANK(BM89),,BM89-BM88)</f>
        <v>0</v>
      </c>
      <c r="BL89" s="334">
        <f t="shared" si="1461"/>
        <v>0</v>
      </c>
      <c r="BM89" s="335">
        <v>179</v>
      </c>
      <c r="BN89" s="339">
        <v>1</v>
      </c>
      <c r="BO89" s="316">
        <f t="shared" ref="BO89:BP89" si="1462">IF(ISBLANK(BQ89),,BQ89-BQ88)</f>
        <v>15</v>
      </c>
      <c r="BP89" s="334">
        <f t="shared" si="1462"/>
        <v>2</v>
      </c>
      <c r="BQ89" s="335">
        <v>2133</v>
      </c>
      <c r="BR89" s="336">
        <v>149</v>
      </c>
      <c r="BS89" s="316">
        <f t="shared" ref="BS89:BT89" si="1463">IF(ISBLANK(BU89),,BU89-BU88)</f>
        <v>0</v>
      </c>
      <c r="BT89" s="334">
        <f t="shared" si="1463"/>
        <v>0</v>
      </c>
      <c r="BU89" s="335">
        <v>527</v>
      </c>
      <c r="BV89" s="336">
        <v>19</v>
      </c>
      <c r="BW89" s="233"/>
      <c r="BX89" s="233"/>
      <c r="BY89" s="233"/>
      <c r="BZ89" s="233"/>
      <c r="CA89" s="233"/>
      <c r="CB89" s="233"/>
      <c r="CC89" s="233"/>
      <c r="CD89" s="233"/>
      <c r="CE89" s="233"/>
    </row>
    <row r="90" spans="1:83" x14ac:dyDescent="0.25">
      <c r="A90" s="313">
        <v>43980</v>
      </c>
      <c r="B90" s="314">
        <f t="shared" si="1276"/>
        <v>87</v>
      </c>
      <c r="C90" s="315"/>
      <c r="D90" s="316">
        <v>332</v>
      </c>
      <c r="E90" s="317">
        <v>13</v>
      </c>
      <c r="F90" s="318">
        <v>10692</v>
      </c>
      <c r="G90" s="319"/>
      <c r="H90" s="330">
        <f t="shared" ref="H90:I90" si="1464">IF(ISBLANK(D90),,H89+D90)</f>
        <v>23153</v>
      </c>
      <c r="I90" s="331">
        <f t="shared" si="1464"/>
        <v>1051</v>
      </c>
      <c r="J90" s="332">
        <f t="shared" si="1"/>
        <v>132</v>
      </c>
      <c r="K90" s="333">
        <f t="shared" ref="K90:L90" si="1465">IF(ISBLANK(M90),,M90-M89)</f>
        <v>26</v>
      </c>
      <c r="L90" s="334">
        <f t="shared" si="1465"/>
        <v>0</v>
      </c>
      <c r="M90" s="335">
        <v>2556</v>
      </c>
      <c r="N90" s="336">
        <v>102</v>
      </c>
      <c r="O90" s="337">
        <f t="shared" ref="O90:P90" si="1466">IF(ISBLANK(Q90),,Q90-Q89)</f>
        <v>0</v>
      </c>
      <c r="P90" s="338">
        <f t="shared" si="1466"/>
        <v>0</v>
      </c>
      <c r="Q90" s="335">
        <v>593</v>
      </c>
      <c r="R90" s="339">
        <v>46</v>
      </c>
      <c r="S90" s="316">
        <f t="shared" ref="S90:T90" si="1467">IF(ISBLANK(U90),,U90-U89)</f>
        <v>1</v>
      </c>
      <c r="T90" s="334">
        <f t="shared" si="1467"/>
        <v>0</v>
      </c>
      <c r="U90" s="335">
        <v>486</v>
      </c>
      <c r="V90" s="336">
        <v>15</v>
      </c>
      <c r="W90" s="337">
        <f t="shared" ref="W90:X90" si="1468">IF(ISBLANK(Y90),,Y90-Y89)</f>
        <v>1</v>
      </c>
      <c r="X90" s="334">
        <f t="shared" si="1468"/>
        <v>0</v>
      </c>
      <c r="Y90" s="335">
        <v>114</v>
      </c>
      <c r="Z90" s="340">
        <v>0</v>
      </c>
      <c r="AA90" s="316">
        <f t="shared" ref="AA90:AB90" si="1469">IF(ISBLANK(AC90),,AC90-AC89)</f>
        <v>30</v>
      </c>
      <c r="AB90" s="334">
        <f t="shared" si="1469"/>
        <v>1</v>
      </c>
      <c r="AC90" s="335">
        <v>1485</v>
      </c>
      <c r="AD90" s="336">
        <v>65</v>
      </c>
      <c r="AE90" s="337">
        <f t="shared" ref="AE90:AF90" si="1470">IF(ISBLANK(AG90),,AG90-AG89)</f>
        <v>8</v>
      </c>
      <c r="AF90" s="334">
        <f t="shared" si="1470"/>
        <v>0</v>
      </c>
      <c r="AG90" s="335">
        <v>1198</v>
      </c>
      <c r="AH90" s="339">
        <v>40</v>
      </c>
      <c r="AI90" s="316">
        <f t="shared" ref="AI90:AJ90" si="1471">IF(ISBLANK(AK90),,AK90-AK89)</f>
        <v>33</v>
      </c>
      <c r="AJ90" s="334">
        <f t="shared" si="1471"/>
        <v>5</v>
      </c>
      <c r="AK90" s="335">
        <v>3494</v>
      </c>
      <c r="AL90" s="336">
        <v>261</v>
      </c>
      <c r="AM90" s="337">
        <f t="shared" ref="AM90:AN90" si="1472">IF(ISBLANK(AO90),,AO90-AO89)</f>
        <v>9</v>
      </c>
      <c r="AN90" s="334">
        <f t="shared" si="1472"/>
        <v>0</v>
      </c>
      <c r="AO90" s="335">
        <v>631</v>
      </c>
      <c r="AP90" s="339">
        <v>47</v>
      </c>
      <c r="AQ90" s="316">
        <f t="shared" ref="AQ90:AR90" si="1473">IF(ISBLANK(AS90),,AS90-AS89)</f>
        <v>2</v>
      </c>
      <c r="AR90" s="338">
        <f t="shared" si="1473"/>
        <v>0</v>
      </c>
      <c r="AS90" s="335">
        <v>383</v>
      </c>
      <c r="AT90" s="336">
        <v>35</v>
      </c>
      <c r="AU90" s="337">
        <f t="shared" ref="AU90:AV90" si="1474">IF(ISBLANK(AW90),,AW90-AW89)</f>
        <v>3</v>
      </c>
      <c r="AV90" s="334">
        <f t="shared" si="1474"/>
        <v>0</v>
      </c>
      <c r="AW90" s="335">
        <v>445</v>
      </c>
      <c r="AX90" s="339">
        <v>9</v>
      </c>
      <c r="AY90" s="316">
        <f t="shared" ref="AY90:AZ90" si="1475">IF(ISBLANK(BA90),,BA90-BA89)</f>
        <v>4</v>
      </c>
      <c r="AZ90" s="334">
        <f t="shared" si="1475"/>
        <v>1</v>
      </c>
      <c r="BA90" s="335">
        <v>552</v>
      </c>
      <c r="BB90" s="336">
        <v>34</v>
      </c>
      <c r="BC90" s="337">
        <f t="shared" ref="BC90:BD90" si="1476">IF(ISBLANK(BE90),,BE90-BE89)</f>
        <v>191</v>
      </c>
      <c r="BD90" s="334">
        <f t="shared" si="1476"/>
        <v>3</v>
      </c>
      <c r="BE90" s="335">
        <v>7922</v>
      </c>
      <c r="BF90" s="339">
        <v>204</v>
      </c>
      <c r="BG90" s="316">
        <f t="shared" ref="BG90:BH90" si="1477">IF(ISBLANK(BI90),,BI90-BI89)</f>
        <v>7</v>
      </c>
      <c r="BH90" s="334">
        <f t="shared" si="1477"/>
        <v>1</v>
      </c>
      <c r="BI90" s="335">
        <v>438</v>
      </c>
      <c r="BJ90" s="336">
        <v>22</v>
      </c>
      <c r="BK90" s="337">
        <f t="shared" ref="BK90:BL90" si="1478">IF(ISBLANK(BM90),,BM90-BM89)</f>
        <v>0</v>
      </c>
      <c r="BL90" s="334">
        <f t="shared" si="1478"/>
        <v>0</v>
      </c>
      <c r="BM90" s="335">
        <v>179</v>
      </c>
      <c r="BN90" s="339">
        <v>1</v>
      </c>
      <c r="BO90" s="316">
        <f t="shared" ref="BO90:BP90" si="1479">IF(ISBLANK(BQ90),,BQ90-BQ89)</f>
        <v>13</v>
      </c>
      <c r="BP90" s="334">
        <f t="shared" si="1479"/>
        <v>2</v>
      </c>
      <c r="BQ90" s="335">
        <v>2146</v>
      </c>
      <c r="BR90" s="336">
        <v>151</v>
      </c>
      <c r="BS90" s="316">
        <f t="shared" ref="BS90:BT90" si="1480">IF(ISBLANK(BU90),,BU90-BU89)</f>
        <v>4</v>
      </c>
      <c r="BT90" s="334">
        <f t="shared" si="1480"/>
        <v>0</v>
      </c>
      <c r="BU90" s="335">
        <v>531</v>
      </c>
      <c r="BV90" s="336">
        <v>19</v>
      </c>
      <c r="BW90" s="233"/>
      <c r="BX90" s="233"/>
      <c r="BY90" s="233"/>
      <c r="BZ90" s="233"/>
      <c r="CA90" s="233"/>
      <c r="CB90" s="233"/>
      <c r="CC90" s="233"/>
      <c r="CD90" s="233"/>
      <c r="CE90" s="233"/>
    </row>
    <row r="91" spans="1:83" x14ac:dyDescent="0.25">
      <c r="A91" s="313">
        <v>43981</v>
      </c>
      <c r="B91" s="314">
        <f t="shared" si="1276"/>
        <v>88</v>
      </c>
      <c r="C91" s="315"/>
      <c r="D91" s="316">
        <v>412</v>
      </c>
      <c r="E91" s="317">
        <v>10</v>
      </c>
      <c r="F91" s="318">
        <v>11016</v>
      </c>
      <c r="G91" s="319"/>
      <c r="H91" s="330">
        <f t="shared" ref="H91:I91" si="1481">IF(ISBLANK(D91),,H90+D91)</f>
        <v>23565</v>
      </c>
      <c r="I91" s="331">
        <f t="shared" si="1481"/>
        <v>1061</v>
      </c>
      <c r="J91" s="332">
        <f t="shared" si="1"/>
        <v>324</v>
      </c>
      <c r="K91" s="333">
        <f t="shared" ref="K91:L91" si="1482">IF(ISBLANK(M91),,M91-M90)</f>
        <v>25</v>
      </c>
      <c r="L91" s="334">
        <f t="shared" si="1482"/>
        <v>2</v>
      </c>
      <c r="M91" s="335">
        <v>2581</v>
      </c>
      <c r="N91" s="336">
        <v>104</v>
      </c>
      <c r="O91" s="337">
        <f t="shared" ref="O91:P91" si="1483">IF(ISBLANK(Q91),,Q91-Q90)</f>
        <v>0</v>
      </c>
      <c r="P91" s="338">
        <f t="shared" si="1483"/>
        <v>0</v>
      </c>
      <c r="Q91" s="335">
        <v>593</v>
      </c>
      <c r="R91" s="339">
        <v>46</v>
      </c>
      <c r="S91" s="316">
        <f t="shared" ref="S91:T91" si="1484">IF(ISBLANK(U91),,U91-U90)</f>
        <v>0</v>
      </c>
      <c r="T91" s="334">
        <f t="shared" si="1484"/>
        <v>0</v>
      </c>
      <c r="U91" s="335">
        <v>486</v>
      </c>
      <c r="V91" s="336">
        <v>15</v>
      </c>
      <c r="W91" s="337">
        <f t="shared" ref="W91:X91" si="1485">IF(ISBLANK(Y91),,Y91-Y90)</f>
        <v>2</v>
      </c>
      <c r="X91" s="334">
        <f t="shared" si="1485"/>
        <v>0</v>
      </c>
      <c r="Y91" s="335">
        <v>116</v>
      </c>
      <c r="Z91" s="340">
        <v>0</v>
      </c>
      <c r="AA91" s="316">
        <f t="shared" ref="AA91:AB91" si="1486">IF(ISBLANK(AC91),,AC91-AC90)</f>
        <v>35</v>
      </c>
      <c r="AB91" s="334">
        <f t="shared" si="1486"/>
        <v>2</v>
      </c>
      <c r="AC91" s="335">
        <v>1520</v>
      </c>
      <c r="AD91" s="336">
        <v>67</v>
      </c>
      <c r="AE91" s="337">
        <f t="shared" ref="AE91:AF91" si="1487">IF(ISBLANK(AG91),,AG91-AG90)</f>
        <v>16</v>
      </c>
      <c r="AF91" s="334">
        <f t="shared" si="1487"/>
        <v>0</v>
      </c>
      <c r="AG91" s="335">
        <v>1214</v>
      </c>
      <c r="AH91" s="339">
        <v>40</v>
      </c>
      <c r="AI91" s="316">
        <f t="shared" ref="AI91:AJ91" si="1488">IF(ISBLANK(AK91),,AK91-AK90)</f>
        <v>52</v>
      </c>
      <c r="AJ91" s="334">
        <f t="shared" si="1488"/>
        <v>2</v>
      </c>
      <c r="AK91" s="335">
        <v>3546</v>
      </c>
      <c r="AL91" s="336">
        <v>263</v>
      </c>
      <c r="AM91" s="337">
        <f t="shared" ref="AM91:AN91" si="1489">IF(ISBLANK(AO91),,AO91-AO90)</f>
        <v>11</v>
      </c>
      <c r="AN91" s="334">
        <f t="shared" si="1489"/>
        <v>0</v>
      </c>
      <c r="AO91" s="335">
        <v>642</v>
      </c>
      <c r="AP91" s="339">
        <v>47</v>
      </c>
      <c r="AQ91" s="316">
        <f t="shared" ref="AQ91:AR91" si="1490">IF(ISBLANK(AS91),,AS91-AS90)</f>
        <v>0</v>
      </c>
      <c r="AR91" s="338">
        <f t="shared" si="1490"/>
        <v>0</v>
      </c>
      <c r="AS91" s="335">
        <v>383</v>
      </c>
      <c r="AT91" s="336">
        <v>35</v>
      </c>
      <c r="AU91" s="337">
        <f t="shared" ref="AU91:AV91" si="1491">IF(ISBLANK(AW91),,AW91-AW90)</f>
        <v>4</v>
      </c>
      <c r="AV91" s="334">
        <f t="shared" si="1491"/>
        <v>0</v>
      </c>
      <c r="AW91" s="335">
        <v>449</v>
      </c>
      <c r="AX91" s="339">
        <v>9</v>
      </c>
      <c r="AY91" s="316">
        <f t="shared" ref="AY91:AZ91" si="1492">IF(ISBLANK(BA91),,BA91-BA90)</f>
        <v>0</v>
      </c>
      <c r="AZ91" s="334">
        <f t="shared" si="1492"/>
        <v>1</v>
      </c>
      <c r="BA91" s="335">
        <v>552</v>
      </c>
      <c r="BB91" s="336">
        <v>35</v>
      </c>
      <c r="BC91" s="337">
        <f t="shared" ref="BC91:BD91" si="1493">IF(ISBLANK(BE91),,BE91-BE90)</f>
        <v>228</v>
      </c>
      <c r="BD91" s="334">
        <f t="shared" si="1493"/>
        <v>2</v>
      </c>
      <c r="BE91" s="335">
        <v>8150</v>
      </c>
      <c r="BF91" s="339">
        <v>206</v>
      </c>
      <c r="BG91" s="316">
        <f t="shared" ref="BG91:BH91" si="1494">IF(ISBLANK(BI91),,BI91-BI90)</f>
        <v>34</v>
      </c>
      <c r="BH91" s="334">
        <f t="shared" si="1494"/>
        <v>0</v>
      </c>
      <c r="BI91" s="335">
        <v>472</v>
      </c>
      <c r="BJ91" s="336">
        <v>22</v>
      </c>
      <c r="BK91" s="337">
        <f t="shared" ref="BK91:BL91" si="1495">IF(ISBLANK(BM91),,BM91-BM90)</f>
        <v>0</v>
      </c>
      <c r="BL91" s="334">
        <f t="shared" si="1495"/>
        <v>0</v>
      </c>
      <c r="BM91" s="335">
        <v>179</v>
      </c>
      <c r="BN91" s="339">
        <v>1</v>
      </c>
      <c r="BO91" s="316">
        <f t="shared" ref="BO91:BP91" si="1496">IF(ISBLANK(BQ91),,BQ91-BQ90)</f>
        <v>1</v>
      </c>
      <c r="BP91" s="334">
        <f t="shared" si="1496"/>
        <v>1</v>
      </c>
      <c r="BQ91" s="335">
        <v>2147</v>
      </c>
      <c r="BR91" s="336">
        <v>152</v>
      </c>
      <c r="BS91" s="316">
        <f t="shared" ref="BS91:BT91" si="1497">IF(ISBLANK(BU91),,BU91-BU90)</f>
        <v>4</v>
      </c>
      <c r="BT91" s="334">
        <f t="shared" si="1497"/>
        <v>0</v>
      </c>
      <c r="BU91" s="335">
        <v>535</v>
      </c>
      <c r="BV91" s="336">
        <v>19</v>
      </c>
      <c r="BW91" s="233"/>
      <c r="BX91" s="233"/>
      <c r="BY91" s="233"/>
      <c r="BZ91" s="233"/>
      <c r="CA91" s="233"/>
      <c r="CB91" s="233"/>
      <c r="CC91" s="233"/>
      <c r="CD91" s="233"/>
      <c r="CE91" s="233"/>
    </row>
    <row r="92" spans="1:83" x14ac:dyDescent="0.25">
      <c r="A92" s="313">
        <v>43982</v>
      </c>
      <c r="B92" s="314">
        <f t="shared" si="1276"/>
        <v>89</v>
      </c>
      <c r="C92" s="315"/>
      <c r="D92" s="316">
        <v>219</v>
      </c>
      <c r="E92" s="317">
        <v>3</v>
      </c>
      <c r="F92" s="318">
        <v>11271</v>
      </c>
      <c r="G92" s="319"/>
      <c r="H92" s="330">
        <f t="shared" ref="H92:I92" si="1498">IF(ISBLANK(D92),,H91+D92)</f>
        <v>23784</v>
      </c>
      <c r="I92" s="331">
        <f t="shared" si="1498"/>
        <v>1064</v>
      </c>
      <c r="J92" s="332">
        <f t="shared" si="1"/>
        <v>255</v>
      </c>
      <c r="K92" s="333">
        <f t="shared" ref="K92:L92" si="1499">IF(ISBLANK(M92),,M92-M91)</f>
        <v>13</v>
      </c>
      <c r="L92" s="334">
        <f t="shared" si="1499"/>
        <v>0</v>
      </c>
      <c r="M92" s="335">
        <v>2594</v>
      </c>
      <c r="N92" s="336">
        <v>104</v>
      </c>
      <c r="O92" s="337">
        <f t="shared" ref="O92:P92" si="1500">IF(ISBLANK(Q92),,Q92-Q91)</f>
        <v>0</v>
      </c>
      <c r="P92" s="338">
        <f t="shared" si="1500"/>
        <v>0</v>
      </c>
      <c r="Q92" s="335">
        <v>593</v>
      </c>
      <c r="R92" s="339">
        <v>46</v>
      </c>
      <c r="S92" s="316">
        <f t="shared" ref="S92:T92" si="1501">IF(ISBLANK(U92),,U92-U91)</f>
        <v>7</v>
      </c>
      <c r="T92" s="334">
        <f t="shared" si="1501"/>
        <v>0</v>
      </c>
      <c r="U92" s="335">
        <v>493</v>
      </c>
      <c r="V92" s="336">
        <v>15</v>
      </c>
      <c r="W92" s="337">
        <f t="shared" ref="W92:X92" si="1502">IF(ISBLANK(Y92),,Y92-Y91)</f>
        <v>0</v>
      </c>
      <c r="X92" s="334">
        <f t="shared" si="1502"/>
        <v>0</v>
      </c>
      <c r="Y92" s="335">
        <v>116</v>
      </c>
      <c r="Z92" s="340">
        <v>0</v>
      </c>
      <c r="AA92" s="316">
        <f t="shared" ref="AA92:AB92" si="1503">IF(ISBLANK(AC92),,AC92-AC91)</f>
        <v>30</v>
      </c>
      <c r="AB92" s="334">
        <f t="shared" si="1503"/>
        <v>0</v>
      </c>
      <c r="AC92" s="335">
        <v>1550</v>
      </c>
      <c r="AD92" s="336">
        <v>67</v>
      </c>
      <c r="AE92" s="337">
        <f t="shared" ref="AE92:AF92" si="1504">IF(ISBLANK(AG92),,AG92-AG91)</f>
        <v>10</v>
      </c>
      <c r="AF92" s="334">
        <f t="shared" si="1504"/>
        <v>0</v>
      </c>
      <c r="AG92" s="335">
        <v>1224</v>
      </c>
      <c r="AH92" s="339">
        <v>40</v>
      </c>
      <c r="AI92" s="316">
        <f t="shared" ref="AI92:AJ92" si="1505">IF(ISBLANK(AK92),,AK92-AK91)</f>
        <v>35</v>
      </c>
      <c r="AJ92" s="334">
        <f t="shared" si="1505"/>
        <v>0</v>
      </c>
      <c r="AK92" s="335">
        <v>3581</v>
      </c>
      <c r="AL92" s="336">
        <v>263</v>
      </c>
      <c r="AM92" s="337">
        <f t="shared" ref="AM92:AN92" si="1506">IF(ISBLANK(AO92),,AO92-AO91)</f>
        <v>1</v>
      </c>
      <c r="AN92" s="334">
        <f t="shared" si="1506"/>
        <v>0</v>
      </c>
      <c r="AO92" s="335">
        <v>643</v>
      </c>
      <c r="AP92" s="339">
        <v>47</v>
      </c>
      <c r="AQ92" s="316">
        <f t="shared" ref="AQ92:AR92" si="1507">IF(ISBLANK(AS92),,AS92-AS91)</f>
        <v>5</v>
      </c>
      <c r="AR92" s="338">
        <f t="shared" si="1507"/>
        <v>0</v>
      </c>
      <c r="AS92" s="335">
        <v>388</v>
      </c>
      <c r="AT92" s="336">
        <v>35</v>
      </c>
      <c r="AU92" s="337">
        <f t="shared" ref="AU92:AV92" si="1508">IF(ISBLANK(AW92),,AW92-AW91)</f>
        <v>1</v>
      </c>
      <c r="AV92" s="334">
        <f t="shared" si="1508"/>
        <v>0</v>
      </c>
      <c r="AW92" s="335">
        <v>450</v>
      </c>
      <c r="AX92" s="339">
        <v>9</v>
      </c>
      <c r="AY92" s="316">
        <f t="shared" ref="AY92:AZ92" si="1509">IF(ISBLANK(BA92),,BA92-BA91)</f>
        <v>1</v>
      </c>
      <c r="AZ92" s="334">
        <f t="shared" si="1509"/>
        <v>0</v>
      </c>
      <c r="BA92" s="335">
        <v>553</v>
      </c>
      <c r="BB92" s="336">
        <v>35</v>
      </c>
      <c r="BC92" s="337">
        <f t="shared" ref="BC92:BD92" si="1510">IF(ISBLANK(BE92),,BE92-BE91)</f>
        <v>105</v>
      </c>
      <c r="BD92" s="334">
        <f t="shared" si="1510"/>
        <v>2</v>
      </c>
      <c r="BE92" s="335">
        <v>8255</v>
      </c>
      <c r="BF92" s="339">
        <v>208</v>
      </c>
      <c r="BG92" s="316">
        <f t="shared" ref="BG92:BH92" si="1511">IF(ISBLANK(BI92),,BI92-BI91)</f>
        <v>7</v>
      </c>
      <c r="BH92" s="334">
        <f t="shared" si="1511"/>
        <v>0</v>
      </c>
      <c r="BI92" s="335">
        <v>479</v>
      </c>
      <c r="BJ92" s="336">
        <v>22</v>
      </c>
      <c r="BK92" s="337">
        <f t="shared" ref="BK92:BL92" si="1512">IF(ISBLANK(BM92),,BM92-BM91)</f>
        <v>0</v>
      </c>
      <c r="BL92" s="334">
        <f t="shared" si="1512"/>
        <v>0</v>
      </c>
      <c r="BM92" s="335">
        <v>179</v>
      </c>
      <c r="BN92" s="339">
        <v>1</v>
      </c>
      <c r="BO92" s="316">
        <f t="shared" ref="BO92:BP92" si="1513">IF(ISBLANK(BQ92),,BQ92-BQ91)</f>
        <v>3</v>
      </c>
      <c r="BP92" s="334">
        <f t="shared" si="1513"/>
        <v>1</v>
      </c>
      <c r="BQ92" s="335">
        <v>2150</v>
      </c>
      <c r="BR92" s="336">
        <v>153</v>
      </c>
      <c r="BS92" s="316">
        <f t="shared" ref="BS92:BT92" si="1514">IF(ISBLANK(BU92),,BU92-BU91)</f>
        <v>1</v>
      </c>
      <c r="BT92" s="334">
        <f t="shared" si="1514"/>
        <v>0</v>
      </c>
      <c r="BU92" s="335">
        <v>536</v>
      </c>
      <c r="BV92" s="336">
        <v>19</v>
      </c>
      <c r="BW92" s="233"/>
      <c r="BX92" s="233"/>
      <c r="BY92" s="233"/>
      <c r="BZ92" s="233"/>
      <c r="CA92" s="233"/>
      <c r="CB92" s="233"/>
      <c r="CC92" s="233"/>
      <c r="CD92" s="233"/>
      <c r="CE92" s="233"/>
    </row>
    <row r="93" spans="1:83" x14ac:dyDescent="0.25">
      <c r="A93" s="313">
        <v>43983</v>
      </c>
      <c r="B93" s="314">
        <f t="shared" si="1276"/>
        <v>90</v>
      </c>
      <c r="C93" s="315"/>
      <c r="D93" s="316">
        <v>375</v>
      </c>
      <c r="E93" s="317">
        <v>10</v>
      </c>
      <c r="F93" s="318">
        <v>11449</v>
      </c>
      <c r="G93" s="319"/>
      <c r="H93" s="330">
        <f t="shared" ref="H93:I93" si="1515">IF(ISBLANK(D93),,H92+D93)</f>
        <v>24159</v>
      </c>
      <c r="I93" s="331">
        <f t="shared" si="1515"/>
        <v>1074</v>
      </c>
      <c r="J93" s="332">
        <f t="shared" si="1"/>
        <v>178</v>
      </c>
      <c r="K93" s="333">
        <f t="shared" ref="K93:L93" si="1516">IF(ISBLANK(M93),,M93-M92)</f>
        <v>36</v>
      </c>
      <c r="L93" s="334">
        <f t="shared" si="1516"/>
        <v>1</v>
      </c>
      <c r="M93" s="335">
        <v>2630</v>
      </c>
      <c r="N93" s="336">
        <v>105</v>
      </c>
      <c r="O93" s="337">
        <f t="shared" ref="O93:P93" si="1517">IF(ISBLANK(Q93),,Q93-Q92)</f>
        <v>0</v>
      </c>
      <c r="P93" s="338">
        <f t="shared" si="1517"/>
        <v>1</v>
      </c>
      <c r="Q93" s="335">
        <v>593</v>
      </c>
      <c r="R93" s="339">
        <v>47</v>
      </c>
      <c r="S93" s="316">
        <f t="shared" ref="S93:T93" si="1518">IF(ISBLANK(U93),,U93-U92)</f>
        <v>2</v>
      </c>
      <c r="T93" s="334">
        <f t="shared" si="1518"/>
        <v>0</v>
      </c>
      <c r="U93" s="335">
        <v>495</v>
      </c>
      <c r="V93" s="336">
        <v>15</v>
      </c>
      <c r="W93" s="337">
        <f t="shared" ref="W93:X93" si="1519">IF(ISBLANK(Y93),,Y93-Y92)</f>
        <v>2</v>
      </c>
      <c r="X93" s="334">
        <f t="shared" si="1519"/>
        <v>0</v>
      </c>
      <c r="Y93" s="335">
        <v>118</v>
      </c>
      <c r="Z93" s="340">
        <v>0</v>
      </c>
      <c r="AA93" s="316">
        <f t="shared" ref="AA93:AB93" si="1520">IF(ISBLANK(AC93),,AC93-AC92)</f>
        <v>52</v>
      </c>
      <c r="AB93" s="334">
        <f t="shared" si="1520"/>
        <v>0</v>
      </c>
      <c r="AC93" s="335">
        <v>1602</v>
      </c>
      <c r="AD93" s="336">
        <v>67</v>
      </c>
      <c r="AE93" s="337">
        <f t="shared" ref="AE93:AF93" si="1521">IF(ISBLANK(AG93),,AG93-AG92)</f>
        <v>7</v>
      </c>
      <c r="AF93" s="334">
        <f t="shared" si="1521"/>
        <v>0</v>
      </c>
      <c r="AG93" s="335">
        <v>1231</v>
      </c>
      <c r="AH93" s="339">
        <v>40</v>
      </c>
      <c r="AI93" s="316">
        <f t="shared" ref="AI93:AJ93" si="1522">IF(ISBLANK(AK93),,AK93-AK92)</f>
        <v>47</v>
      </c>
      <c r="AJ93" s="334">
        <f t="shared" si="1522"/>
        <v>5</v>
      </c>
      <c r="AK93" s="335">
        <v>3628</v>
      </c>
      <c r="AL93" s="336">
        <v>268</v>
      </c>
      <c r="AM93" s="337">
        <f t="shared" ref="AM93:AN93" si="1523">IF(ISBLANK(AO93),,AO93-AO92)</f>
        <v>9</v>
      </c>
      <c r="AN93" s="334">
        <f t="shared" si="1523"/>
        <v>0</v>
      </c>
      <c r="AO93" s="335">
        <v>652</v>
      </c>
      <c r="AP93" s="339">
        <v>47</v>
      </c>
      <c r="AQ93" s="316">
        <f t="shared" ref="AQ93:AR93" si="1524">IF(ISBLANK(AS93),,AS93-AS92)</f>
        <v>0</v>
      </c>
      <c r="AR93" s="338">
        <f t="shared" si="1524"/>
        <v>0</v>
      </c>
      <c r="AS93" s="335">
        <v>388</v>
      </c>
      <c r="AT93" s="336">
        <v>35</v>
      </c>
      <c r="AU93" s="337">
        <f t="shared" ref="AU93:AV93" si="1525">IF(ISBLANK(AW93),,AW93-AW92)</f>
        <v>8</v>
      </c>
      <c r="AV93" s="334">
        <f t="shared" si="1525"/>
        <v>0</v>
      </c>
      <c r="AW93" s="335">
        <v>458</v>
      </c>
      <c r="AX93" s="339">
        <v>9</v>
      </c>
      <c r="AY93" s="316">
        <f t="shared" ref="AY93:AZ93" si="1526">IF(ISBLANK(BA93),,BA93-BA92)</f>
        <v>5</v>
      </c>
      <c r="AZ93" s="334">
        <f t="shared" si="1526"/>
        <v>0</v>
      </c>
      <c r="BA93" s="335">
        <v>558</v>
      </c>
      <c r="BB93" s="336">
        <v>35</v>
      </c>
      <c r="BC93" s="337">
        <f t="shared" ref="BC93:BD93" si="1527">IF(ISBLANK(BE93),,BE93-BE92)</f>
        <v>196</v>
      </c>
      <c r="BD93" s="334">
        <f t="shared" si="1527"/>
        <v>3</v>
      </c>
      <c r="BE93" s="335">
        <v>8451</v>
      </c>
      <c r="BF93" s="339">
        <v>211</v>
      </c>
      <c r="BG93" s="316">
        <f t="shared" ref="BG93:BH93" si="1528">IF(ISBLANK(BI93),,BI93-BI92)</f>
        <v>6</v>
      </c>
      <c r="BH93" s="334">
        <f t="shared" si="1528"/>
        <v>0</v>
      </c>
      <c r="BI93" s="335">
        <v>485</v>
      </c>
      <c r="BJ93" s="336">
        <v>22</v>
      </c>
      <c r="BK93" s="337">
        <f t="shared" ref="BK93:BL93" si="1529">IF(ISBLANK(BM93),,BM93-BM92)</f>
        <v>0</v>
      </c>
      <c r="BL93" s="334">
        <f t="shared" si="1529"/>
        <v>0</v>
      </c>
      <c r="BM93" s="335">
        <v>179</v>
      </c>
      <c r="BN93" s="339">
        <v>1</v>
      </c>
      <c r="BO93" s="316">
        <f t="shared" ref="BO93:BP93" si="1530">IF(ISBLANK(BQ93),,BQ93-BQ92)</f>
        <v>5</v>
      </c>
      <c r="BP93" s="334">
        <f t="shared" si="1530"/>
        <v>0</v>
      </c>
      <c r="BQ93" s="335">
        <v>2155</v>
      </c>
      <c r="BR93" s="336">
        <v>153</v>
      </c>
      <c r="BS93" s="316">
        <f t="shared" ref="BS93:BT93" si="1531">IF(ISBLANK(BU93),,BU93-BU92)</f>
        <v>0</v>
      </c>
      <c r="BT93" s="334">
        <f t="shared" si="1531"/>
        <v>0</v>
      </c>
      <c r="BU93" s="335">
        <v>536</v>
      </c>
      <c r="BV93" s="336">
        <v>19</v>
      </c>
      <c r="BW93" s="233"/>
      <c r="BX93" s="233"/>
      <c r="BY93" s="233"/>
      <c r="BZ93" s="233"/>
      <c r="CA93" s="233"/>
      <c r="CB93" s="233"/>
      <c r="CC93" s="233"/>
      <c r="CD93" s="233"/>
      <c r="CE93" s="233"/>
    </row>
    <row r="94" spans="1:83" x14ac:dyDescent="0.25">
      <c r="A94" s="313">
        <v>43984</v>
      </c>
      <c r="B94" s="314">
        <f t="shared" si="1276"/>
        <v>91</v>
      </c>
      <c r="C94" s="315"/>
      <c r="D94" s="316">
        <v>236</v>
      </c>
      <c r="E94" s="317">
        <v>18</v>
      </c>
      <c r="F94" s="318">
        <v>11726</v>
      </c>
      <c r="G94" s="319"/>
      <c r="H94" s="330">
        <f t="shared" ref="H94:I94" si="1532">IF(ISBLANK(D94),,H93+D94)</f>
        <v>24395</v>
      </c>
      <c r="I94" s="331">
        <f t="shared" si="1532"/>
        <v>1092</v>
      </c>
      <c r="J94" s="332">
        <f t="shared" si="1"/>
        <v>277</v>
      </c>
      <c r="K94" s="333">
        <f t="shared" ref="K94:L94" si="1533">IF(ISBLANK(M94),,M94-M93)</f>
        <v>9</v>
      </c>
      <c r="L94" s="334">
        <f t="shared" si="1533"/>
        <v>0</v>
      </c>
      <c r="M94" s="335">
        <v>2639</v>
      </c>
      <c r="N94" s="336">
        <v>105</v>
      </c>
      <c r="O94" s="337">
        <f t="shared" ref="O94:P94" si="1534">IF(ISBLANK(Q94),,Q94-Q93)</f>
        <v>1</v>
      </c>
      <c r="P94" s="338">
        <f t="shared" si="1534"/>
        <v>0</v>
      </c>
      <c r="Q94" s="335">
        <v>594</v>
      </c>
      <c r="R94" s="339">
        <v>47</v>
      </c>
      <c r="S94" s="316">
        <f t="shared" ref="S94:T94" si="1535">IF(ISBLANK(U94),,U94-U93)</f>
        <v>0</v>
      </c>
      <c r="T94" s="334">
        <f t="shared" si="1535"/>
        <v>0</v>
      </c>
      <c r="U94" s="335">
        <v>495</v>
      </c>
      <c r="V94" s="336">
        <v>15</v>
      </c>
      <c r="W94" s="337">
        <f t="shared" ref="W94:X94" si="1536">IF(ISBLANK(Y94),,Y94-Y93)</f>
        <v>2</v>
      </c>
      <c r="X94" s="334">
        <f t="shared" si="1536"/>
        <v>0</v>
      </c>
      <c r="Y94" s="335">
        <v>120</v>
      </c>
      <c r="Z94" s="340">
        <v>0</v>
      </c>
      <c r="AA94" s="316">
        <f t="shared" ref="AA94:AB94" si="1537">IF(ISBLANK(AC94),,AC94-AC93)</f>
        <v>8</v>
      </c>
      <c r="AB94" s="334">
        <f t="shared" si="1537"/>
        <v>5</v>
      </c>
      <c r="AC94" s="335">
        <v>1610</v>
      </c>
      <c r="AD94" s="336">
        <v>72</v>
      </c>
      <c r="AE94" s="337">
        <f t="shared" ref="AE94:AF94" si="1538">IF(ISBLANK(AG94),,AG94-AG93)</f>
        <v>10</v>
      </c>
      <c r="AF94" s="334">
        <f t="shared" si="1538"/>
        <v>0</v>
      </c>
      <c r="AG94" s="335">
        <v>1241</v>
      </c>
      <c r="AH94" s="339">
        <v>40</v>
      </c>
      <c r="AI94" s="316">
        <f t="shared" ref="AI94:AJ94" si="1539">IF(ISBLANK(AK94),,AK94-AK93)</f>
        <v>32</v>
      </c>
      <c r="AJ94" s="334">
        <f t="shared" si="1539"/>
        <v>6</v>
      </c>
      <c r="AK94" s="335">
        <v>3660</v>
      </c>
      <c r="AL94" s="336">
        <v>274</v>
      </c>
      <c r="AM94" s="337">
        <f t="shared" ref="AM94:AN94" si="1540">IF(ISBLANK(AO94),,AO94-AO93)</f>
        <v>14</v>
      </c>
      <c r="AN94" s="334">
        <f t="shared" si="1540"/>
        <v>1</v>
      </c>
      <c r="AO94" s="335">
        <v>666</v>
      </c>
      <c r="AP94" s="339">
        <v>48</v>
      </c>
      <c r="AQ94" s="316">
        <f t="shared" ref="AQ94:AR94" si="1541">IF(ISBLANK(AS94),,AS94-AS93)</f>
        <v>0</v>
      </c>
      <c r="AR94" s="338">
        <f t="shared" si="1541"/>
        <v>0</v>
      </c>
      <c r="AS94" s="335">
        <v>388</v>
      </c>
      <c r="AT94" s="336">
        <v>35</v>
      </c>
      <c r="AU94" s="337">
        <f t="shared" ref="AU94:AV94" si="1542">IF(ISBLANK(AW94),,AW94-AW93)</f>
        <v>5</v>
      </c>
      <c r="AV94" s="334">
        <f t="shared" si="1542"/>
        <v>0</v>
      </c>
      <c r="AW94" s="335">
        <v>463</v>
      </c>
      <c r="AX94" s="339">
        <v>9</v>
      </c>
      <c r="AY94" s="316">
        <f t="shared" ref="AY94:AZ94" si="1543">IF(ISBLANK(BA94),,BA94-BA93)</f>
        <v>1</v>
      </c>
      <c r="AZ94" s="334">
        <f t="shared" si="1543"/>
        <v>0</v>
      </c>
      <c r="BA94" s="335">
        <v>559</v>
      </c>
      <c r="BB94" s="336">
        <v>35</v>
      </c>
      <c r="BC94" s="337">
        <f t="shared" ref="BC94:BD94" si="1544">IF(ISBLANK(BE94),,BE94-BE93)</f>
        <v>109</v>
      </c>
      <c r="BD94" s="334">
        <f t="shared" si="1544"/>
        <v>6</v>
      </c>
      <c r="BE94" s="335">
        <v>8560</v>
      </c>
      <c r="BF94" s="339">
        <v>217</v>
      </c>
      <c r="BG94" s="316">
        <f t="shared" ref="BG94:BH94" si="1545">IF(ISBLANK(BI94),,BI94-BI93)</f>
        <v>7</v>
      </c>
      <c r="BH94" s="334">
        <f t="shared" si="1545"/>
        <v>0</v>
      </c>
      <c r="BI94" s="335">
        <v>492</v>
      </c>
      <c r="BJ94" s="336">
        <v>22</v>
      </c>
      <c r="BK94" s="337">
        <f t="shared" ref="BK94:BL94" si="1546">IF(ISBLANK(BM94),,BM94-BM93)</f>
        <v>0</v>
      </c>
      <c r="BL94" s="334">
        <f t="shared" si="1546"/>
        <v>0</v>
      </c>
      <c r="BM94" s="335">
        <v>179</v>
      </c>
      <c r="BN94" s="339">
        <v>1</v>
      </c>
      <c r="BO94" s="316">
        <f t="shared" ref="BO94:BP94" si="1547">IF(ISBLANK(BQ94),,BQ94-BQ93)</f>
        <v>33</v>
      </c>
      <c r="BP94" s="334">
        <f t="shared" si="1547"/>
        <v>0</v>
      </c>
      <c r="BQ94" s="335">
        <v>2188</v>
      </c>
      <c r="BR94" s="336">
        <v>153</v>
      </c>
      <c r="BS94" s="316">
        <f t="shared" ref="BS94:BT94" si="1548">IF(ISBLANK(BU94),,BU94-BU93)</f>
        <v>5</v>
      </c>
      <c r="BT94" s="334">
        <f t="shared" si="1548"/>
        <v>0</v>
      </c>
      <c r="BU94" s="335">
        <v>541</v>
      </c>
      <c r="BV94" s="336">
        <v>19</v>
      </c>
      <c r="BW94" s="233"/>
      <c r="BX94" s="233"/>
      <c r="BY94" s="233"/>
      <c r="BZ94" s="233"/>
      <c r="CA94" s="233"/>
      <c r="CB94" s="233"/>
      <c r="CC94" s="233"/>
      <c r="CD94" s="233"/>
      <c r="CE94" s="233"/>
    </row>
    <row r="95" spans="1:83" x14ac:dyDescent="0.25">
      <c r="A95" s="313">
        <v>43985</v>
      </c>
      <c r="B95" s="314">
        <f t="shared" si="1276"/>
        <v>92</v>
      </c>
      <c r="C95" s="315"/>
      <c r="D95" s="316">
        <v>292</v>
      </c>
      <c r="E95" s="317">
        <v>23</v>
      </c>
      <c r="F95" s="318">
        <v>12014</v>
      </c>
      <c r="G95" s="319"/>
      <c r="H95" s="330">
        <f t="shared" ref="H95:I95" si="1549">IF(ISBLANK(D95),,H94+D95)</f>
        <v>24687</v>
      </c>
      <c r="I95" s="331">
        <f t="shared" si="1549"/>
        <v>1115</v>
      </c>
      <c r="J95" s="332">
        <f t="shared" si="1"/>
        <v>288</v>
      </c>
      <c r="K95" s="333">
        <f t="shared" ref="K95:L95" si="1550">IF(ISBLANK(M95),,M95-M94)</f>
        <v>10</v>
      </c>
      <c r="L95" s="334">
        <f t="shared" si="1550"/>
        <v>7</v>
      </c>
      <c r="M95" s="335">
        <v>2649</v>
      </c>
      <c r="N95" s="336">
        <v>112</v>
      </c>
      <c r="O95" s="337">
        <f t="shared" ref="O95:P95" si="1551">IF(ISBLANK(Q95),,Q95-Q94)</f>
        <v>1</v>
      </c>
      <c r="P95" s="338">
        <f t="shared" si="1551"/>
        <v>0</v>
      </c>
      <c r="Q95" s="335">
        <v>595</v>
      </c>
      <c r="R95" s="339">
        <v>47</v>
      </c>
      <c r="S95" s="316">
        <f t="shared" ref="S95:T95" si="1552">IF(ISBLANK(U95),,U95-U94)</f>
        <v>8</v>
      </c>
      <c r="T95" s="334">
        <f t="shared" si="1552"/>
        <v>0</v>
      </c>
      <c r="U95" s="335">
        <v>503</v>
      </c>
      <c r="V95" s="336">
        <v>15</v>
      </c>
      <c r="W95" s="337">
        <f t="shared" ref="W95:X95" si="1553">IF(ISBLANK(Y95),,Y95-Y94)</f>
        <v>2</v>
      </c>
      <c r="X95" s="334">
        <f t="shared" si="1553"/>
        <v>0</v>
      </c>
      <c r="Y95" s="335">
        <v>122</v>
      </c>
      <c r="Z95" s="340">
        <v>0</v>
      </c>
      <c r="AA95" s="316">
        <f t="shared" ref="AA95:AB95" si="1554">IF(ISBLANK(AC95),,AC95-AC94)</f>
        <v>54</v>
      </c>
      <c r="AB95" s="334">
        <f t="shared" si="1554"/>
        <v>2</v>
      </c>
      <c r="AC95" s="335">
        <v>1664</v>
      </c>
      <c r="AD95" s="336">
        <v>74</v>
      </c>
      <c r="AE95" s="337">
        <f t="shared" ref="AE95:AF95" si="1555">IF(ISBLANK(AG95),,AG95-AG94)</f>
        <v>16</v>
      </c>
      <c r="AF95" s="334">
        <f t="shared" si="1555"/>
        <v>0</v>
      </c>
      <c r="AG95" s="335">
        <v>1257</v>
      </c>
      <c r="AH95" s="339">
        <v>40</v>
      </c>
      <c r="AI95" s="316">
        <f t="shared" ref="AI95:AJ95" si="1556">IF(ISBLANK(AK95),,AK95-AK94)</f>
        <v>28</v>
      </c>
      <c r="AJ95" s="334">
        <f t="shared" si="1556"/>
        <v>4</v>
      </c>
      <c r="AK95" s="335">
        <v>3688</v>
      </c>
      <c r="AL95" s="336">
        <v>278</v>
      </c>
      <c r="AM95" s="337">
        <f t="shared" ref="AM95:AN95" si="1557">IF(ISBLANK(AO95),,AO95-AO94)</f>
        <v>19</v>
      </c>
      <c r="AN95" s="334">
        <f t="shared" si="1557"/>
        <v>1</v>
      </c>
      <c r="AO95" s="335">
        <v>685</v>
      </c>
      <c r="AP95" s="339">
        <v>49</v>
      </c>
      <c r="AQ95" s="316">
        <f t="shared" ref="AQ95:AR95" si="1558">IF(ISBLANK(AS95),,AS95-AS94)</f>
        <v>1</v>
      </c>
      <c r="AR95" s="338">
        <f t="shared" si="1558"/>
        <v>1</v>
      </c>
      <c r="AS95" s="335">
        <v>389</v>
      </c>
      <c r="AT95" s="336">
        <v>36</v>
      </c>
      <c r="AU95" s="337">
        <f t="shared" ref="AU95:AV95" si="1559">IF(ISBLANK(AW95),,AW95-AW94)</f>
        <v>10</v>
      </c>
      <c r="AV95" s="334">
        <f t="shared" si="1559"/>
        <v>0</v>
      </c>
      <c r="AW95" s="335">
        <v>473</v>
      </c>
      <c r="AX95" s="339">
        <v>9</v>
      </c>
      <c r="AY95" s="316">
        <f t="shared" ref="AY95:AZ95" si="1560">IF(ISBLANK(BA95),,BA95-BA94)</f>
        <v>0</v>
      </c>
      <c r="AZ95" s="334">
        <f t="shared" si="1560"/>
        <v>0</v>
      </c>
      <c r="BA95" s="335">
        <v>559</v>
      </c>
      <c r="BB95" s="336">
        <v>35</v>
      </c>
      <c r="BC95" s="337">
        <f t="shared" ref="BC95:BD95" si="1561">IF(ISBLANK(BE95),,BE95-BE94)</f>
        <v>109</v>
      </c>
      <c r="BD95" s="334">
        <f t="shared" si="1561"/>
        <v>7</v>
      </c>
      <c r="BE95" s="335">
        <v>8669</v>
      </c>
      <c r="BF95" s="339">
        <v>224</v>
      </c>
      <c r="BG95" s="316">
        <f t="shared" ref="BG95:BH95" si="1562">IF(ISBLANK(BI95),,BI95-BI94)</f>
        <v>9</v>
      </c>
      <c r="BH95" s="334">
        <f t="shared" si="1562"/>
        <v>0</v>
      </c>
      <c r="BI95" s="335">
        <v>501</v>
      </c>
      <c r="BJ95" s="336">
        <v>22</v>
      </c>
      <c r="BK95" s="337">
        <f t="shared" ref="BK95:BL95" si="1563">IF(ISBLANK(BM95),,BM95-BM94)</f>
        <v>0</v>
      </c>
      <c r="BL95" s="334">
        <f t="shared" si="1563"/>
        <v>0</v>
      </c>
      <c r="BM95" s="335">
        <v>179</v>
      </c>
      <c r="BN95" s="339">
        <v>1</v>
      </c>
      <c r="BO95" s="316">
        <f t="shared" ref="BO95:BP95" si="1564">IF(ISBLANK(BQ95),,BQ95-BQ94)</f>
        <v>18</v>
      </c>
      <c r="BP95" s="334">
        <f t="shared" si="1564"/>
        <v>1</v>
      </c>
      <c r="BQ95" s="335">
        <v>2206</v>
      </c>
      <c r="BR95" s="336">
        <v>154</v>
      </c>
      <c r="BS95" s="316">
        <f t="shared" ref="BS95:BT95" si="1565">IF(ISBLANK(BU95),,BU95-BU94)</f>
        <v>7</v>
      </c>
      <c r="BT95" s="334">
        <f t="shared" si="1565"/>
        <v>0</v>
      </c>
      <c r="BU95" s="335">
        <v>548</v>
      </c>
      <c r="BV95" s="336">
        <v>19</v>
      </c>
      <c r="BW95" s="233"/>
      <c r="BX95" s="233"/>
      <c r="BY95" s="233"/>
      <c r="BZ95" s="233"/>
      <c r="CA95" s="233"/>
      <c r="CB95" s="233"/>
      <c r="CC95" s="233"/>
      <c r="CD95" s="233"/>
      <c r="CE95" s="233"/>
    </row>
    <row r="96" spans="1:83" x14ac:dyDescent="0.25">
      <c r="A96" s="313">
        <v>43986</v>
      </c>
      <c r="B96" s="314">
        <f t="shared" si="1276"/>
        <v>93</v>
      </c>
      <c r="C96" s="315"/>
      <c r="D96" s="316">
        <v>361</v>
      </c>
      <c r="E96" s="317">
        <v>2</v>
      </c>
      <c r="F96" s="318">
        <v>12227</v>
      </c>
      <c r="G96" s="319"/>
      <c r="H96" s="330">
        <f t="shared" ref="H96:I96" si="1566">IF(ISBLANK(D96),,H95+D96)</f>
        <v>25048</v>
      </c>
      <c r="I96" s="331">
        <f t="shared" si="1566"/>
        <v>1117</v>
      </c>
      <c r="J96" s="332">
        <f t="shared" si="1"/>
        <v>213</v>
      </c>
      <c r="K96" s="333">
        <f t="shared" ref="K96:L96" si="1567">IF(ISBLANK(M96),,M96-M95)</f>
        <v>11</v>
      </c>
      <c r="L96" s="334">
        <f t="shared" si="1567"/>
        <v>0</v>
      </c>
      <c r="M96" s="335">
        <v>2660</v>
      </c>
      <c r="N96" s="336">
        <v>112</v>
      </c>
      <c r="O96" s="337">
        <f t="shared" ref="O96:P96" si="1568">IF(ISBLANK(Q96),,Q96-Q95)</f>
        <v>4</v>
      </c>
      <c r="P96" s="338">
        <f t="shared" si="1568"/>
        <v>0</v>
      </c>
      <c r="Q96" s="335">
        <v>599</v>
      </c>
      <c r="R96" s="339">
        <v>47</v>
      </c>
      <c r="S96" s="316">
        <f t="shared" ref="S96:T96" si="1569">IF(ISBLANK(U96),,U96-U95)</f>
        <v>1</v>
      </c>
      <c r="T96" s="334">
        <f t="shared" si="1569"/>
        <v>0</v>
      </c>
      <c r="U96" s="335">
        <v>504</v>
      </c>
      <c r="V96" s="336">
        <v>15</v>
      </c>
      <c r="W96" s="337">
        <f t="shared" ref="W96:X96" si="1570">IF(ISBLANK(Y96),,Y96-Y95)</f>
        <v>0</v>
      </c>
      <c r="X96" s="334">
        <f t="shared" si="1570"/>
        <v>0</v>
      </c>
      <c r="Y96" s="335">
        <v>122</v>
      </c>
      <c r="Z96" s="340">
        <v>0</v>
      </c>
      <c r="AA96" s="316">
        <f t="shared" ref="AA96:AB96" si="1571">IF(ISBLANK(AC96),,AC96-AC95)</f>
        <v>112</v>
      </c>
      <c r="AB96" s="334">
        <f t="shared" si="1571"/>
        <v>1</v>
      </c>
      <c r="AC96" s="335">
        <v>1776</v>
      </c>
      <c r="AD96" s="336">
        <v>75</v>
      </c>
      <c r="AE96" s="337">
        <f t="shared" ref="AE96:AF96" si="1572">IF(ISBLANK(AG96),,AG96-AG95)</f>
        <v>21</v>
      </c>
      <c r="AF96" s="334">
        <f t="shared" si="1572"/>
        <v>0</v>
      </c>
      <c r="AG96" s="335">
        <v>1278</v>
      </c>
      <c r="AH96" s="339">
        <v>40</v>
      </c>
      <c r="AI96" s="316">
        <f t="shared" ref="AI96:AJ96" si="1573">IF(ISBLANK(AK96),,AK96-AK95)</f>
        <v>50</v>
      </c>
      <c r="AJ96" s="334">
        <f t="shared" si="1573"/>
        <v>0</v>
      </c>
      <c r="AK96" s="335">
        <v>3738</v>
      </c>
      <c r="AL96" s="336">
        <v>278</v>
      </c>
      <c r="AM96" s="337">
        <f t="shared" ref="AM96:AN96" si="1574">IF(ISBLANK(AO96),,AO96-AO95)</f>
        <v>8</v>
      </c>
      <c r="AN96" s="334">
        <f t="shared" si="1574"/>
        <v>0</v>
      </c>
      <c r="AO96" s="335">
        <v>693</v>
      </c>
      <c r="AP96" s="339">
        <v>49</v>
      </c>
      <c r="AQ96" s="316">
        <f t="shared" ref="AQ96:AR96" si="1575">IF(ISBLANK(AS96),,AS96-AS95)</f>
        <v>0</v>
      </c>
      <c r="AR96" s="338">
        <f t="shared" si="1575"/>
        <v>0</v>
      </c>
      <c r="AS96" s="335">
        <v>389</v>
      </c>
      <c r="AT96" s="336">
        <v>36</v>
      </c>
      <c r="AU96" s="337">
        <f t="shared" ref="AU96:AV96" si="1576">IF(ISBLANK(AW96),,AW96-AW95)</f>
        <v>12</v>
      </c>
      <c r="AV96" s="334">
        <f t="shared" si="1576"/>
        <v>0</v>
      </c>
      <c r="AW96" s="335">
        <v>485</v>
      </c>
      <c r="AX96" s="339">
        <v>9</v>
      </c>
      <c r="AY96" s="316">
        <f t="shared" ref="AY96:AZ96" si="1577">IF(ISBLANK(BA96),,BA96-BA95)</f>
        <v>1</v>
      </c>
      <c r="AZ96" s="334">
        <f t="shared" si="1577"/>
        <v>0</v>
      </c>
      <c r="BA96" s="335">
        <v>560</v>
      </c>
      <c r="BB96" s="336">
        <v>35</v>
      </c>
      <c r="BC96" s="337">
        <f t="shared" ref="BC96:BD96" si="1578">IF(ISBLANK(BE96),,BE96-BE95)</f>
        <v>120</v>
      </c>
      <c r="BD96" s="334">
        <f t="shared" si="1578"/>
        <v>1</v>
      </c>
      <c r="BE96" s="335">
        <v>8789</v>
      </c>
      <c r="BF96" s="339">
        <v>225</v>
      </c>
      <c r="BG96" s="316">
        <f t="shared" ref="BG96:BH96" si="1579">IF(ISBLANK(BI96),,BI96-BI95)</f>
        <v>9</v>
      </c>
      <c r="BH96" s="334">
        <f t="shared" si="1579"/>
        <v>0</v>
      </c>
      <c r="BI96" s="335">
        <v>510</v>
      </c>
      <c r="BJ96" s="336">
        <v>22</v>
      </c>
      <c r="BK96" s="337">
        <f t="shared" ref="BK96:BL96" si="1580">IF(ISBLANK(BM96),,BM96-BM95)</f>
        <v>0</v>
      </c>
      <c r="BL96" s="334">
        <f t="shared" si="1580"/>
        <v>0</v>
      </c>
      <c r="BM96" s="335">
        <v>179</v>
      </c>
      <c r="BN96" s="339">
        <v>1</v>
      </c>
      <c r="BO96" s="316">
        <f t="shared" ref="BO96:BP96" si="1581">IF(ISBLANK(BQ96),,BQ96-BQ95)</f>
        <v>10</v>
      </c>
      <c r="BP96" s="334">
        <f t="shared" si="1581"/>
        <v>0</v>
      </c>
      <c r="BQ96" s="335">
        <v>2216</v>
      </c>
      <c r="BR96" s="336">
        <v>154</v>
      </c>
      <c r="BS96" s="316">
        <f t="shared" ref="BS96:BT96" si="1582">IF(ISBLANK(BU96),,BU96-BU95)</f>
        <v>2</v>
      </c>
      <c r="BT96" s="334">
        <f t="shared" si="1582"/>
        <v>0</v>
      </c>
      <c r="BU96" s="335">
        <v>550</v>
      </c>
      <c r="BV96" s="336">
        <v>19</v>
      </c>
      <c r="BW96" s="233"/>
      <c r="BX96" s="233"/>
      <c r="BY96" s="233"/>
      <c r="BZ96" s="233"/>
      <c r="CA96" s="233"/>
      <c r="CB96" s="233"/>
      <c r="CC96" s="233"/>
      <c r="CD96" s="233"/>
      <c r="CE96" s="233"/>
    </row>
    <row r="97" spans="1:83" x14ac:dyDescent="0.25">
      <c r="A97" s="313">
        <v>43987</v>
      </c>
      <c r="B97" s="314">
        <f t="shared" si="1276"/>
        <v>94</v>
      </c>
      <c r="C97" s="315"/>
      <c r="D97" s="316">
        <v>362</v>
      </c>
      <c r="E97" s="317">
        <v>20</v>
      </c>
      <c r="F97" s="318">
        <v>12410</v>
      </c>
      <c r="G97" s="319"/>
      <c r="H97" s="330">
        <f t="shared" ref="H97:I97" si="1583">IF(ISBLANK(D97),,H96+D97)</f>
        <v>25410</v>
      </c>
      <c r="I97" s="331">
        <f t="shared" si="1583"/>
        <v>1137</v>
      </c>
      <c r="J97" s="332">
        <f t="shared" si="1"/>
        <v>183</v>
      </c>
      <c r="K97" s="333">
        <f t="shared" ref="K97:L97" si="1584">IF(ISBLANK(M97),,M97-M96)</f>
        <v>20</v>
      </c>
      <c r="L97" s="334">
        <f t="shared" si="1584"/>
        <v>5</v>
      </c>
      <c r="M97" s="335">
        <v>2680</v>
      </c>
      <c r="N97" s="336">
        <v>117</v>
      </c>
      <c r="O97" s="337">
        <f t="shared" ref="O97:P97" si="1585">IF(ISBLANK(Q97),,Q97-Q96)</f>
        <v>2</v>
      </c>
      <c r="P97" s="338">
        <f t="shared" si="1585"/>
        <v>0</v>
      </c>
      <c r="Q97" s="335">
        <v>601</v>
      </c>
      <c r="R97" s="339">
        <v>47</v>
      </c>
      <c r="S97" s="316">
        <f t="shared" ref="S97:T97" si="1586">IF(ISBLANK(U97),,U97-U96)</f>
        <v>1</v>
      </c>
      <c r="T97" s="334">
        <f t="shared" si="1586"/>
        <v>0</v>
      </c>
      <c r="U97" s="335">
        <v>505</v>
      </c>
      <c r="V97" s="336">
        <v>15</v>
      </c>
      <c r="W97" s="337">
        <f t="shared" ref="W97:X97" si="1587">IF(ISBLANK(Y97),,Y97-Y96)</f>
        <v>2</v>
      </c>
      <c r="X97" s="334">
        <f t="shared" si="1587"/>
        <v>0</v>
      </c>
      <c r="Y97" s="335">
        <v>124</v>
      </c>
      <c r="Z97" s="340">
        <v>0</v>
      </c>
      <c r="AA97" s="316">
        <f t="shared" ref="AA97:AB97" si="1588">IF(ISBLANK(AC97),,AC97-AC96)</f>
        <v>47</v>
      </c>
      <c r="AB97" s="334">
        <f t="shared" si="1588"/>
        <v>2</v>
      </c>
      <c r="AC97" s="335">
        <v>1823</v>
      </c>
      <c r="AD97" s="336">
        <v>77</v>
      </c>
      <c r="AE97" s="337">
        <f t="shared" ref="AE97:AF97" si="1589">IF(ISBLANK(AG97),,AG97-AG96)</f>
        <v>27</v>
      </c>
      <c r="AF97" s="334">
        <f t="shared" si="1589"/>
        <v>0</v>
      </c>
      <c r="AG97" s="335">
        <v>1305</v>
      </c>
      <c r="AH97" s="339">
        <v>40</v>
      </c>
      <c r="AI97" s="316">
        <f t="shared" ref="AI97:AJ97" si="1590">IF(ISBLANK(AK97),,AK97-AK96)</f>
        <v>58</v>
      </c>
      <c r="AJ97" s="334">
        <f t="shared" si="1590"/>
        <v>2</v>
      </c>
      <c r="AK97" s="335">
        <v>3796</v>
      </c>
      <c r="AL97" s="336">
        <v>280</v>
      </c>
      <c r="AM97" s="337">
        <f t="shared" ref="AM97:AN97" si="1591">IF(ISBLANK(AO97),,AO97-AO96)</f>
        <v>8</v>
      </c>
      <c r="AN97" s="334">
        <f t="shared" si="1591"/>
        <v>0</v>
      </c>
      <c r="AO97" s="335">
        <v>701</v>
      </c>
      <c r="AP97" s="339">
        <v>49</v>
      </c>
      <c r="AQ97" s="316">
        <f t="shared" ref="AQ97:AR97" si="1592">IF(ISBLANK(AS97),,AS97-AS96)</f>
        <v>0</v>
      </c>
      <c r="AR97" s="338">
        <f t="shared" si="1592"/>
        <v>0</v>
      </c>
      <c r="AS97" s="335">
        <v>389</v>
      </c>
      <c r="AT97" s="336">
        <v>36</v>
      </c>
      <c r="AU97" s="337">
        <f t="shared" ref="AU97:AV97" si="1593">IF(ISBLANK(AW97),,AW97-AW96)</f>
        <v>8</v>
      </c>
      <c r="AV97" s="334">
        <f t="shared" si="1593"/>
        <v>0</v>
      </c>
      <c r="AW97" s="335">
        <v>493</v>
      </c>
      <c r="AX97" s="339">
        <v>9</v>
      </c>
      <c r="AY97" s="316">
        <f t="shared" ref="AY97:AZ97" si="1594">IF(ISBLANK(BA97),,BA97-BA96)</f>
        <v>4</v>
      </c>
      <c r="AZ97" s="334">
        <f t="shared" si="1594"/>
        <v>1</v>
      </c>
      <c r="BA97" s="335">
        <v>564</v>
      </c>
      <c r="BB97" s="336">
        <v>36</v>
      </c>
      <c r="BC97" s="337">
        <f t="shared" ref="BC97:BD97" si="1595">IF(ISBLANK(BE97),,BE97-BE96)</f>
        <v>177</v>
      </c>
      <c r="BD97" s="334">
        <f t="shared" si="1595"/>
        <v>10</v>
      </c>
      <c r="BE97" s="335">
        <v>8966</v>
      </c>
      <c r="BF97" s="339">
        <v>235</v>
      </c>
      <c r="BG97" s="316">
        <f t="shared" ref="BG97:BH97" si="1596">IF(ISBLANK(BI97),,BI97-BI96)</f>
        <v>1</v>
      </c>
      <c r="BH97" s="334">
        <f t="shared" si="1596"/>
        <v>0</v>
      </c>
      <c r="BI97" s="335">
        <v>511</v>
      </c>
      <c r="BJ97" s="336">
        <v>22</v>
      </c>
      <c r="BK97" s="337">
        <f t="shared" ref="BK97:BL97" si="1597">IF(ISBLANK(BM97),,BM97-BM96)</f>
        <v>1</v>
      </c>
      <c r="BL97" s="334">
        <f t="shared" si="1597"/>
        <v>0</v>
      </c>
      <c r="BM97" s="335">
        <v>180</v>
      </c>
      <c r="BN97" s="339">
        <v>1</v>
      </c>
      <c r="BO97" s="316">
        <f t="shared" ref="BO97:BP97" si="1598">IF(ISBLANK(BQ97),,BQ97-BQ96)</f>
        <v>3</v>
      </c>
      <c r="BP97" s="334">
        <f t="shared" si="1598"/>
        <v>0</v>
      </c>
      <c r="BQ97" s="335">
        <v>2219</v>
      </c>
      <c r="BR97" s="336">
        <v>154</v>
      </c>
      <c r="BS97" s="316">
        <f t="shared" ref="BS97:BT97" si="1599">IF(ISBLANK(BU97),,BU97-BU96)</f>
        <v>3</v>
      </c>
      <c r="BT97" s="334">
        <f t="shared" si="1599"/>
        <v>0</v>
      </c>
      <c r="BU97" s="335">
        <v>553</v>
      </c>
      <c r="BV97" s="336">
        <v>19</v>
      </c>
      <c r="BW97" s="233"/>
      <c r="BX97" s="233"/>
      <c r="BY97" s="233"/>
      <c r="BZ97" s="233"/>
      <c r="CA97" s="233"/>
      <c r="CB97" s="233"/>
      <c r="CC97" s="233"/>
      <c r="CD97" s="233"/>
      <c r="CE97" s="233"/>
    </row>
    <row r="98" spans="1:83" x14ac:dyDescent="0.25">
      <c r="A98" s="313">
        <v>43988</v>
      </c>
      <c r="B98" s="314">
        <f t="shared" si="1276"/>
        <v>95</v>
      </c>
      <c r="C98" s="315"/>
      <c r="D98" s="316">
        <v>576</v>
      </c>
      <c r="E98" s="317">
        <v>14</v>
      </c>
      <c r="F98" s="318">
        <v>12641</v>
      </c>
      <c r="G98" s="319"/>
      <c r="H98" s="330">
        <f t="shared" ref="H98:I98" si="1600">IF(ISBLANK(D98),,H97+D98)</f>
        <v>25986</v>
      </c>
      <c r="I98" s="331">
        <f t="shared" si="1600"/>
        <v>1151</v>
      </c>
      <c r="J98" s="332">
        <f t="shared" si="1"/>
        <v>231</v>
      </c>
      <c r="K98" s="333">
        <f t="shared" ref="K98:L98" si="1601">IF(ISBLANK(M98),,M98-M97)</f>
        <v>20</v>
      </c>
      <c r="L98" s="334">
        <f t="shared" si="1601"/>
        <v>0</v>
      </c>
      <c r="M98" s="335">
        <v>2700</v>
      </c>
      <c r="N98" s="336">
        <v>117</v>
      </c>
      <c r="O98" s="337">
        <f t="shared" ref="O98:P98" si="1602">IF(ISBLANK(Q98),,Q98-Q97)</f>
        <v>0</v>
      </c>
      <c r="P98" s="338">
        <f t="shared" si="1602"/>
        <v>0</v>
      </c>
      <c r="Q98" s="335">
        <v>601</v>
      </c>
      <c r="R98" s="339">
        <v>47</v>
      </c>
      <c r="S98" s="316">
        <f t="shared" ref="S98:T98" si="1603">IF(ISBLANK(U98),,U98-U97)</f>
        <v>3</v>
      </c>
      <c r="T98" s="334">
        <f t="shared" si="1603"/>
        <v>1</v>
      </c>
      <c r="U98" s="335">
        <v>508</v>
      </c>
      <c r="V98" s="336">
        <v>16</v>
      </c>
      <c r="W98" s="337">
        <f t="shared" ref="W98:X98" si="1604">IF(ISBLANK(Y98),,Y98-Y97)</f>
        <v>0</v>
      </c>
      <c r="X98" s="334">
        <f t="shared" si="1604"/>
        <v>0</v>
      </c>
      <c r="Y98" s="335">
        <v>124</v>
      </c>
      <c r="Z98" s="340">
        <v>0</v>
      </c>
      <c r="AA98" s="316">
        <f t="shared" ref="AA98:AB98" si="1605">IF(ISBLANK(AC98),,AC98-AC97)</f>
        <v>62</v>
      </c>
      <c r="AB98" s="334">
        <f t="shared" si="1605"/>
        <v>3</v>
      </c>
      <c r="AC98" s="335">
        <v>1885</v>
      </c>
      <c r="AD98" s="336">
        <v>80</v>
      </c>
      <c r="AE98" s="337">
        <f t="shared" ref="AE98:AF98" si="1606">IF(ISBLANK(AG98),,AG98-AG97)</f>
        <v>22</v>
      </c>
      <c r="AF98" s="334">
        <f t="shared" si="1606"/>
        <v>0</v>
      </c>
      <c r="AG98" s="335">
        <v>1327</v>
      </c>
      <c r="AH98" s="339">
        <v>40</v>
      </c>
      <c r="AI98" s="316">
        <f t="shared" ref="AI98:AJ98" si="1607">IF(ISBLANK(AK98),,AK98-AK97)</f>
        <v>47</v>
      </c>
      <c r="AJ98" s="334">
        <f t="shared" si="1607"/>
        <v>2</v>
      </c>
      <c r="AK98" s="335">
        <v>3843</v>
      </c>
      <c r="AL98" s="336">
        <v>282</v>
      </c>
      <c r="AM98" s="337">
        <f t="shared" ref="AM98:AN98" si="1608">IF(ISBLANK(AO98),,AO98-AO97)</f>
        <v>19</v>
      </c>
      <c r="AN98" s="334">
        <f t="shared" si="1608"/>
        <v>0</v>
      </c>
      <c r="AO98" s="335">
        <v>720</v>
      </c>
      <c r="AP98" s="339">
        <v>49</v>
      </c>
      <c r="AQ98" s="316">
        <f t="shared" ref="AQ98:AR98" si="1609">IF(ISBLANK(AS98),,AS98-AS97)</f>
        <v>1</v>
      </c>
      <c r="AR98" s="338">
        <f t="shared" si="1609"/>
        <v>1</v>
      </c>
      <c r="AS98" s="335">
        <v>390</v>
      </c>
      <c r="AT98" s="336">
        <v>37</v>
      </c>
      <c r="AU98" s="337">
        <f t="shared" ref="AU98:AV98" si="1610">IF(ISBLANK(AW98),,AW98-AW97)</f>
        <v>4</v>
      </c>
      <c r="AV98" s="334">
        <f t="shared" si="1610"/>
        <v>0</v>
      </c>
      <c r="AW98" s="335">
        <v>497</v>
      </c>
      <c r="AX98" s="339">
        <v>9</v>
      </c>
      <c r="AY98" s="316">
        <f t="shared" ref="AY98:AZ98" si="1611">IF(ISBLANK(BA98),,BA98-BA97)</f>
        <v>4</v>
      </c>
      <c r="AZ98" s="334">
        <f t="shared" si="1611"/>
        <v>0</v>
      </c>
      <c r="BA98" s="335">
        <v>568</v>
      </c>
      <c r="BB98" s="336">
        <v>36</v>
      </c>
      <c r="BC98" s="337">
        <f t="shared" ref="BC98:BD98" si="1612">IF(ISBLANK(BE98),,BE98-BE97)</f>
        <v>351</v>
      </c>
      <c r="BD98" s="334">
        <f t="shared" si="1612"/>
        <v>3</v>
      </c>
      <c r="BE98" s="335">
        <v>9317</v>
      </c>
      <c r="BF98" s="339">
        <v>238</v>
      </c>
      <c r="BG98" s="316">
        <f t="shared" ref="BG98:BH98" si="1613">IF(ISBLANK(BI98),,BI98-BI97)</f>
        <v>3</v>
      </c>
      <c r="BH98" s="334">
        <f t="shared" si="1613"/>
        <v>1</v>
      </c>
      <c r="BI98" s="335">
        <v>514</v>
      </c>
      <c r="BJ98" s="336">
        <v>23</v>
      </c>
      <c r="BK98" s="337">
        <f t="shared" ref="BK98:BL98" si="1614">IF(ISBLANK(BM98),,BM98-BM97)</f>
        <v>0</v>
      </c>
      <c r="BL98" s="334">
        <f t="shared" si="1614"/>
        <v>0</v>
      </c>
      <c r="BM98" s="335">
        <v>180</v>
      </c>
      <c r="BN98" s="339">
        <v>1</v>
      </c>
      <c r="BO98" s="316">
        <f t="shared" ref="BO98:BP98" si="1615">IF(ISBLANK(BQ98),,BQ98-BQ97)</f>
        <v>40</v>
      </c>
      <c r="BP98" s="334">
        <f t="shared" si="1615"/>
        <v>3</v>
      </c>
      <c r="BQ98" s="335">
        <v>2259</v>
      </c>
      <c r="BR98" s="336">
        <v>157</v>
      </c>
      <c r="BS98" s="316">
        <f t="shared" ref="BS98:BT98" si="1616">IF(ISBLANK(BU98),,BU98-BU97)</f>
        <v>0</v>
      </c>
      <c r="BT98" s="334">
        <f t="shared" si="1616"/>
        <v>0</v>
      </c>
      <c r="BU98" s="335">
        <v>553</v>
      </c>
      <c r="BV98" s="336">
        <v>19</v>
      </c>
      <c r="BW98" s="233"/>
      <c r="BX98" s="233"/>
      <c r="BY98" s="233"/>
      <c r="BZ98" s="233"/>
      <c r="CA98" s="233"/>
      <c r="CB98" s="233"/>
      <c r="CC98" s="233"/>
      <c r="CD98" s="233"/>
      <c r="CE98" s="233"/>
    </row>
    <row r="99" spans="1:83" x14ac:dyDescent="0.25">
      <c r="A99" s="313">
        <v>43989</v>
      </c>
      <c r="B99" s="314">
        <f t="shared" si="1276"/>
        <v>96</v>
      </c>
      <c r="C99" s="315"/>
      <c r="D99" s="316">
        <v>575</v>
      </c>
      <c r="E99" s="317">
        <v>4</v>
      </c>
      <c r="F99" s="318">
        <v>12855</v>
      </c>
      <c r="G99" s="319"/>
      <c r="H99" s="330">
        <f t="shared" ref="H99:I99" si="1617">IF(ISBLANK(D99),,H98+D99)</f>
        <v>26561</v>
      </c>
      <c r="I99" s="331">
        <f t="shared" si="1617"/>
        <v>1155</v>
      </c>
      <c r="J99" s="332">
        <f t="shared" si="1"/>
        <v>214</v>
      </c>
      <c r="K99" s="333">
        <f t="shared" ref="K99:L99" si="1618">IF(ISBLANK(M99),,M99-M98)</f>
        <v>8</v>
      </c>
      <c r="L99" s="334">
        <f t="shared" si="1618"/>
        <v>0</v>
      </c>
      <c r="M99" s="335">
        <v>2708</v>
      </c>
      <c r="N99" s="336">
        <v>117</v>
      </c>
      <c r="O99" s="337">
        <f t="shared" ref="O99:P99" si="1619">IF(ISBLANK(Q99),,Q99-Q98)</f>
        <v>0</v>
      </c>
      <c r="P99" s="338">
        <f t="shared" si="1619"/>
        <v>0</v>
      </c>
      <c r="Q99" s="335">
        <v>601</v>
      </c>
      <c r="R99" s="339">
        <v>47</v>
      </c>
      <c r="S99" s="316">
        <f t="shared" ref="S99:T99" si="1620">IF(ISBLANK(U99),,U99-U98)</f>
        <v>6</v>
      </c>
      <c r="T99" s="334">
        <f t="shared" si="1620"/>
        <v>0</v>
      </c>
      <c r="U99" s="335">
        <v>514</v>
      </c>
      <c r="V99" s="336">
        <v>16</v>
      </c>
      <c r="W99" s="337">
        <f t="shared" ref="W99:X99" si="1621">IF(ISBLANK(Y99),,Y99-Y98)</f>
        <v>2</v>
      </c>
      <c r="X99" s="334">
        <f t="shared" si="1621"/>
        <v>0</v>
      </c>
      <c r="Y99" s="335">
        <v>126</v>
      </c>
      <c r="Z99" s="340">
        <v>0</v>
      </c>
      <c r="AA99" s="316">
        <f t="shared" ref="AA99:AB99" si="1622">IF(ISBLANK(AC99),,AC99-AC98)</f>
        <v>119</v>
      </c>
      <c r="AB99" s="334">
        <f t="shared" si="1622"/>
        <v>0</v>
      </c>
      <c r="AC99" s="335">
        <v>2004</v>
      </c>
      <c r="AD99" s="336">
        <v>80</v>
      </c>
      <c r="AE99" s="337">
        <f t="shared" ref="AE99:AF99" si="1623">IF(ISBLANK(AG99),,AG99-AG98)</f>
        <v>32</v>
      </c>
      <c r="AF99" s="334">
        <f t="shared" si="1623"/>
        <v>0</v>
      </c>
      <c r="AG99" s="335">
        <v>1359</v>
      </c>
      <c r="AH99" s="339">
        <v>40</v>
      </c>
      <c r="AI99" s="316">
        <f t="shared" ref="AI99:AJ99" si="1624">IF(ISBLANK(AK99),,AK99-AK98)</f>
        <v>36</v>
      </c>
      <c r="AJ99" s="334">
        <f t="shared" si="1624"/>
        <v>0</v>
      </c>
      <c r="AK99" s="335">
        <v>3879</v>
      </c>
      <c r="AL99" s="336">
        <v>282</v>
      </c>
      <c r="AM99" s="337">
        <f t="shared" ref="AM99:AN99" si="1625">IF(ISBLANK(AO99),,AO99-AO98)</f>
        <v>8</v>
      </c>
      <c r="AN99" s="334">
        <f t="shared" si="1625"/>
        <v>0</v>
      </c>
      <c r="AO99" s="335">
        <v>728</v>
      </c>
      <c r="AP99" s="339">
        <v>49</v>
      </c>
      <c r="AQ99" s="316">
        <f t="shared" ref="AQ99:AR99" si="1626">IF(ISBLANK(AS99),,AS99-AS98)</f>
        <v>2</v>
      </c>
      <c r="AR99" s="338">
        <f t="shared" si="1626"/>
        <v>0</v>
      </c>
      <c r="AS99" s="335">
        <v>392</v>
      </c>
      <c r="AT99" s="336">
        <v>37</v>
      </c>
      <c r="AU99" s="337">
        <f t="shared" ref="AU99:AV99" si="1627">IF(ISBLANK(AW99),,AW99-AW98)</f>
        <v>21</v>
      </c>
      <c r="AV99" s="334">
        <f t="shared" si="1627"/>
        <v>0</v>
      </c>
      <c r="AW99" s="335">
        <v>518</v>
      </c>
      <c r="AX99" s="339">
        <v>9</v>
      </c>
      <c r="AY99" s="316">
        <f t="shared" ref="AY99:AZ99" si="1628">IF(ISBLANK(BA99),,BA99-BA98)</f>
        <v>1</v>
      </c>
      <c r="AZ99" s="334">
        <f t="shared" si="1628"/>
        <v>0</v>
      </c>
      <c r="BA99" s="335">
        <v>569</v>
      </c>
      <c r="BB99" s="336">
        <v>36</v>
      </c>
      <c r="BC99" s="337">
        <f t="shared" ref="BC99:BD99" si="1629">IF(ISBLANK(BE99),,BE99-BE98)</f>
        <v>325</v>
      </c>
      <c r="BD99" s="334">
        <f t="shared" si="1629"/>
        <v>3</v>
      </c>
      <c r="BE99" s="335">
        <v>9642</v>
      </c>
      <c r="BF99" s="339">
        <v>241</v>
      </c>
      <c r="BG99" s="316">
        <f t="shared" ref="BG99:BH99" si="1630">IF(ISBLANK(BI99),,BI99-BI98)</f>
        <v>0</v>
      </c>
      <c r="BH99" s="334">
        <f t="shared" si="1630"/>
        <v>1</v>
      </c>
      <c r="BI99" s="335">
        <v>514</v>
      </c>
      <c r="BJ99" s="336">
        <v>24</v>
      </c>
      <c r="BK99" s="337">
        <f t="shared" ref="BK99:BL99" si="1631">IF(ISBLANK(BM99),,BM99-BM98)</f>
        <v>0</v>
      </c>
      <c r="BL99" s="334">
        <f t="shared" si="1631"/>
        <v>0</v>
      </c>
      <c r="BM99" s="335">
        <v>180</v>
      </c>
      <c r="BN99" s="339">
        <v>1</v>
      </c>
      <c r="BO99" s="316">
        <f t="shared" ref="BO99:BP99" si="1632">IF(ISBLANK(BQ99),,BQ99-BQ98)</f>
        <v>14</v>
      </c>
      <c r="BP99" s="334">
        <f t="shared" si="1632"/>
        <v>0</v>
      </c>
      <c r="BQ99" s="335">
        <v>2273</v>
      </c>
      <c r="BR99" s="336">
        <v>157</v>
      </c>
      <c r="BS99" s="316">
        <f t="shared" ref="BS99:BT99" si="1633">IF(ISBLANK(BU99),,BU99-BU98)</f>
        <v>1</v>
      </c>
      <c r="BT99" s="334">
        <f t="shared" si="1633"/>
        <v>0</v>
      </c>
      <c r="BU99" s="335">
        <v>554</v>
      </c>
      <c r="BV99" s="336">
        <v>19</v>
      </c>
      <c r="BW99" s="233"/>
      <c r="BX99" s="233"/>
      <c r="BY99" s="233"/>
      <c r="BZ99" s="233"/>
      <c r="CA99" s="233"/>
      <c r="CB99" s="233"/>
      <c r="CC99" s="233"/>
      <c r="CD99" s="233"/>
      <c r="CE99" s="233"/>
    </row>
    <row r="100" spans="1:83" x14ac:dyDescent="0.25">
      <c r="A100" s="313">
        <v>43990</v>
      </c>
      <c r="B100" s="314">
        <f t="shared" si="1276"/>
        <v>97</v>
      </c>
      <c r="C100" s="315"/>
      <c r="D100" s="316">
        <v>599</v>
      </c>
      <c r="E100" s="317">
        <v>9</v>
      </c>
      <c r="F100" s="318">
        <v>12998</v>
      </c>
      <c r="G100" s="319"/>
      <c r="H100" s="330">
        <f t="shared" ref="H100:I100" si="1634">IF(ISBLANK(D100),,H99+D100)</f>
        <v>27160</v>
      </c>
      <c r="I100" s="331">
        <f t="shared" si="1634"/>
        <v>1164</v>
      </c>
      <c r="J100" s="332">
        <f t="shared" si="1"/>
        <v>143</v>
      </c>
      <c r="K100" s="333">
        <f t="shared" ref="K100:L100" si="1635">IF(ISBLANK(M100),,M100-M99)</f>
        <v>16</v>
      </c>
      <c r="L100" s="334">
        <f t="shared" si="1635"/>
        <v>3</v>
      </c>
      <c r="M100" s="335">
        <v>2724</v>
      </c>
      <c r="N100" s="336">
        <v>120</v>
      </c>
      <c r="O100" s="337">
        <f t="shared" ref="O100:P100" si="1636">IF(ISBLANK(Q100),,Q100-Q99)</f>
        <v>1</v>
      </c>
      <c r="P100" s="338">
        <f t="shared" si="1636"/>
        <v>0</v>
      </c>
      <c r="Q100" s="335">
        <v>602</v>
      </c>
      <c r="R100" s="339">
        <v>47</v>
      </c>
      <c r="S100" s="316">
        <f t="shared" ref="S100:T100" si="1637">IF(ISBLANK(U100),,U100-U99)</f>
        <v>1</v>
      </c>
      <c r="T100" s="334">
        <f t="shared" si="1637"/>
        <v>0</v>
      </c>
      <c r="U100" s="335">
        <v>515</v>
      </c>
      <c r="V100" s="336">
        <v>16</v>
      </c>
      <c r="W100" s="337">
        <f t="shared" ref="W100:X100" si="1638">IF(ISBLANK(Y100),,Y100-Y99)</f>
        <v>0</v>
      </c>
      <c r="X100" s="334">
        <f t="shared" si="1638"/>
        <v>0</v>
      </c>
      <c r="Y100" s="335">
        <v>126</v>
      </c>
      <c r="Z100" s="340">
        <v>0</v>
      </c>
      <c r="AA100" s="316">
        <f t="shared" ref="AA100:AB100" si="1639">IF(ISBLANK(AC100),,AC100-AC99)</f>
        <v>77</v>
      </c>
      <c r="AB100" s="334">
        <f t="shared" si="1639"/>
        <v>3</v>
      </c>
      <c r="AC100" s="335">
        <v>2081</v>
      </c>
      <c r="AD100" s="336">
        <v>83</v>
      </c>
      <c r="AE100" s="337">
        <f t="shared" ref="AE100:AF100" si="1640">IF(ISBLANK(AG100),,AG100-AG99)</f>
        <v>30</v>
      </c>
      <c r="AF100" s="334">
        <f t="shared" si="1640"/>
        <v>0</v>
      </c>
      <c r="AG100" s="335">
        <v>1389</v>
      </c>
      <c r="AH100" s="339">
        <v>40</v>
      </c>
      <c r="AI100" s="316">
        <f t="shared" ref="AI100:AJ100" si="1641">IF(ISBLANK(AK100),,AK100-AK99)</f>
        <v>74</v>
      </c>
      <c r="AJ100" s="334">
        <f t="shared" si="1641"/>
        <v>1</v>
      </c>
      <c r="AK100" s="335">
        <v>3953</v>
      </c>
      <c r="AL100" s="336">
        <v>283</v>
      </c>
      <c r="AM100" s="337">
        <f t="shared" ref="AM100:AN100" si="1642">IF(ISBLANK(AO100),,AO100-AO99)</f>
        <v>9</v>
      </c>
      <c r="AN100" s="334">
        <f t="shared" si="1642"/>
        <v>0</v>
      </c>
      <c r="AO100" s="335">
        <v>737</v>
      </c>
      <c r="AP100" s="339">
        <v>49</v>
      </c>
      <c r="AQ100" s="316">
        <f t="shared" ref="AQ100:AR100" si="1643">IF(ISBLANK(AS100),,AS100-AS99)</f>
        <v>5</v>
      </c>
      <c r="AR100" s="338">
        <f t="shared" si="1643"/>
        <v>1</v>
      </c>
      <c r="AS100" s="335">
        <v>397</v>
      </c>
      <c r="AT100" s="336">
        <v>38</v>
      </c>
      <c r="AU100" s="337">
        <f t="shared" ref="AU100:AV100" si="1644">IF(ISBLANK(AW100),,AW100-AW99)</f>
        <v>6</v>
      </c>
      <c r="AV100" s="334">
        <f t="shared" si="1644"/>
        <v>0</v>
      </c>
      <c r="AW100" s="335">
        <v>524</v>
      </c>
      <c r="AX100" s="339">
        <v>9</v>
      </c>
      <c r="AY100" s="316">
        <f t="shared" ref="AY100:AZ100" si="1645">IF(ISBLANK(BA100),,BA100-BA99)</f>
        <v>0</v>
      </c>
      <c r="AZ100" s="334">
        <f t="shared" si="1645"/>
        <v>1</v>
      </c>
      <c r="BA100" s="335">
        <v>569</v>
      </c>
      <c r="BB100" s="336">
        <v>37</v>
      </c>
      <c r="BC100" s="337">
        <f t="shared" ref="BC100:BD100" si="1646">IF(ISBLANK(BE100),,BE100-BE99)</f>
        <v>326</v>
      </c>
      <c r="BD100" s="334">
        <f t="shared" si="1646"/>
        <v>0</v>
      </c>
      <c r="BE100" s="335">
        <v>9968</v>
      </c>
      <c r="BF100" s="339">
        <v>241</v>
      </c>
      <c r="BG100" s="316">
        <f t="shared" ref="BG100:BH100" si="1647">IF(ISBLANK(BI100),,BI100-BI99)</f>
        <v>40</v>
      </c>
      <c r="BH100" s="334">
        <f t="shared" si="1647"/>
        <v>0</v>
      </c>
      <c r="BI100" s="335">
        <v>554</v>
      </c>
      <c r="BJ100" s="336">
        <v>24</v>
      </c>
      <c r="BK100" s="337">
        <f t="shared" ref="BK100:BL100" si="1648">IF(ISBLANK(BM100),,BM100-BM99)</f>
        <v>1</v>
      </c>
      <c r="BL100" s="334">
        <f t="shared" si="1648"/>
        <v>0</v>
      </c>
      <c r="BM100" s="335">
        <v>181</v>
      </c>
      <c r="BN100" s="339">
        <v>1</v>
      </c>
      <c r="BO100" s="316">
        <f t="shared" ref="BO100:BP100" si="1649">IF(ISBLANK(BQ100),,BQ100-BQ99)</f>
        <v>13</v>
      </c>
      <c r="BP100" s="334">
        <f t="shared" si="1649"/>
        <v>0</v>
      </c>
      <c r="BQ100" s="335">
        <v>2286</v>
      </c>
      <c r="BR100" s="336">
        <v>157</v>
      </c>
      <c r="BS100" s="316">
        <f t="shared" ref="BS100:BT100" si="1650">IF(ISBLANK(BU100),,BU100-BU99)</f>
        <v>0</v>
      </c>
      <c r="BT100" s="334">
        <f t="shared" si="1650"/>
        <v>0</v>
      </c>
      <c r="BU100" s="335">
        <v>554</v>
      </c>
      <c r="BV100" s="336">
        <v>19</v>
      </c>
      <c r="BW100" s="233"/>
      <c r="BX100" s="233"/>
      <c r="BY100" s="233"/>
      <c r="BZ100" s="233"/>
      <c r="CA100" s="233"/>
      <c r="CB100" s="233"/>
      <c r="CC100" s="233"/>
      <c r="CD100" s="233"/>
      <c r="CE100" s="233"/>
    </row>
    <row r="101" spans="1:83" x14ac:dyDescent="0.25">
      <c r="A101" s="313">
        <v>43991</v>
      </c>
      <c r="B101" s="314">
        <f t="shared" si="1276"/>
        <v>98</v>
      </c>
      <c r="C101" s="315"/>
      <c r="D101" s="316">
        <v>400</v>
      </c>
      <c r="E101" s="317">
        <v>19</v>
      </c>
      <c r="F101" s="318">
        <v>13196</v>
      </c>
      <c r="G101" s="319"/>
      <c r="H101" s="330">
        <f t="shared" ref="H101:I101" si="1651">IF(ISBLANK(D101),,H100+D101)</f>
        <v>27560</v>
      </c>
      <c r="I101" s="331">
        <f t="shared" si="1651"/>
        <v>1183</v>
      </c>
      <c r="J101" s="332">
        <f t="shared" si="1"/>
        <v>198</v>
      </c>
      <c r="K101" s="333">
        <f t="shared" ref="K101:L101" si="1652">IF(ISBLANK(M101),,M101-M100)</f>
        <v>12</v>
      </c>
      <c r="L101" s="334">
        <f t="shared" si="1652"/>
        <v>2</v>
      </c>
      <c r="M101" s="335">
        <v>2736</v>
      </c>
      <c r="N101" s="336">
        <v>122</v>
      </c>
      <c r="O101" s="337">
        <f t="shared" ref="O101:P101" si="1653">IF(ISBLANK(Q101),,Q101-Q100)</f>
        <v>1</v>
      </c>
      <c r="P101" s="338">
        <f t="shared" si="1653"/>
        <v>0</v>
      </c>
      <c r="Q101" s="335">
        <v>603</v>
      </c>
      <c r="R101" s="339">
        <v>47</v>
      </c>
      <c r="S101" s="316">
        <f t="shared" ref="S101:T101" si="1654">IF(ISBLANK(U101),,U101-U100)</f>
        <v>4</v>
      </c>
      <c r="T101" s="334">
        <f t="shared" si="1654"/>
        <v>0</v>
      </c>
      <c r="U101" s="335">
        <v>519</v>
      </c>
      <c r="V101" s="336">
        <v>16</v>
      </c>
      <c r="W101" s="337">
        <f t="shared" ref="W101:X101" si="1655">IF(ISBLANK(Y101),,Y101-Y100)</f>
        <v>3</v>
      </c>
      <c r="X101" s="334">
        <f t="shared" si="1655"/>
        <v>0</v>
      </c>
      <c r="Y101" s="335">
        <v>129</v>
      </c>
      <c r="Z101" s="340">
        <v>0</v>
      </c>
      <c r="AA101" s="316">
        <f t="shared" ref="AA101:AB101" si="1656">IF(ISBLANK(AC101),,AC101-AC100)</f>
        <v>45</v>
      </c>
      <c r="AB101" s="334">
        <f t="shared" si="1656"/>
        <v>4</v>
      </c>
      <c r="AC101" s="335">
        <v>2126</v>
      </c>
      <c r="AD101" s="336">
        <v>87</v>
      </c>
      <c r="AE101" s="337">
        <f t="shared" ref="AE101:AF101" si="1657">IF(ISBLANK(AG101),,AG101-AG100)</f>
        <v>43</v>
      </c>
      <c r="AF101" s="334">
        <f t="shared" si="1657"/>
        <v>0</v>
      </c>
      <c r="AG101" s="335">
        <v>1432</v>
      </c>
      <c r="AH101" s="339">
        <v>40</v>
      </c>
      <c r="AI101" s="316">
        <f t="shared" ref="AI101:AJ101" si="1658">IF(ISBLANK(AK101),,AK101-AK100)</f>
        <v>80</v>
      </c>
      <c r="AJ101" s="334">
        <f t="shared" si="1658"/>
        <v>1</v>
      </c>
      <c r="AK101" s="335">
        <v>4033</v>
      </c>
      <c r="AL101" s="336">
        <v>284</v>
      </c>
      <c r="AM101" s="337">
        <f t="shared" ref="AM101:AN101" si="1659">IF(ISBLANK(AO101),,AO101-AO100)</f>
        <v>10</v>
      </c>
      <c r="AN101" s="334">
        <f t="shared" si="1659"/>
        <v>0</v>
      </c>
      <c r="AO101" s="335">
        <v>747</v>
      </c>
      <c r="AP101" s="339">
        <v>49</v>
      </c>
      <c r="AQ101" s="316">
        <f t="shared" ref="AQ101:AR101" si="1660">IF(ISBLANK(AS101),,AS101-AS100)</f>
        <v>11</v>
      </c>
      <c r="AR101" s="338">
        <f t="shared" si="1660"/>
        <v>0</v>
      </c>
      <c r="AS101" s="335">
        <v>408</v>
      </c>
      <c r="AT101" s="336">
        <v>38</v>
      </c>
      <c r="AU101" s="337">
        <f t="shared" ref="AU101:AV101" si="1661">IF(ISBLANK(AW101),,AW101-AW100)</f>
        <v>15</v>
      </c>
      <c r="AV101" s="334">
        <f t="shared" si="1661"/>
        <v>0</v>
      </c>
      <c r="AW101" s="335">
        <v>539</v>
      </c>
      <c r="AX101" s="339">
        <v>9</v>
      </c>
      <c r="AY101" s="316">
        <f t="shared" ref="AY101:AZ101" si="1662">IF(ISBLANK(BA101),,BA101-BA100)</f>
        <v>5</v>
      </c>
      <c r="AZ101" s="334">
        <f t="shared" si="1662"/>
        <v>0</v>
      </c>
      <c r="BA101" s="335">
        <v>574</v>
      </c>
      <c r="BB101" s="336">
        <v>37</v>
      </c>
      <c r="BC101" s="337">
        <f t="shared" ref="BC101:BD101" si="1663">IF(ISBLANK(BE101),,BE101-BE100)</f>
        <v>137</v>
      </c>
      <c r="BD101" s="334">
        <f t="shared" si="1663"/>
        <v>11</v>
      </c>
      <c r="BE101" s="335">
        <v>10105</v>
      </c>
      <c r="BF101" s="339">
        <v>252</v>
      </c>
      <c r="BG101" s="316">
        <f t="shared" ref="BG101:BH101" si="1664">IF(ISBLANK(BI101),,BI101-BI100)</f>
        <v>14</v>
      </c>
      <c r="BH101" s="334">
        <f t="shared" si="1664"/>
        <v>0</v>
      </c>
      <c r="BI101" s="335">
        <v>568</v>
      </c>
      <c r="BJ101" s="336">
        <v>24</v>
      </c>
      <c r="BK101" s="337">
        <f t="shared" ref="BK101:BL101" si="1665">IF(ISBLANK(BM101),,BM101-BM100)</f>
        <v>0</v>
      </c>
      <c r="BL101" s="334">
        <f t="shared" si="1665"/>
        <v>0</v>
      </c>
      <c r="BM101" s="335">
        <v>181</v>
      </c>
      <c r="BN101" s="339">
        <v>1</v>
      </c>
      <c r="BO101" s="316">
        <f t="shared" ref="BO101:BP101" si="1666">IF(ISBLANK(BQ101),,BQ101-BQ100)</f>
        <v>14</v>
      </c>
      <c r="BP101" s="334">
        <f t="shared" si="1666"/>
        <v>1</v>
      </c>
      <c r="BQ101" s="335">
        <v>2300</v>
      </c>
      <c r="BR101" s="336">
        <v>158</v>
      </c>
      <c r="BS101" s="316">
        <f t="shared" ref="BS101:BT101" si="1667">IF(ISBLANK(BU101),,BU101-BU100)</f>
        <v>6</v>
      </c>
      <c r="BT101" s="334">
        <f t="shared" si="1667"/>
        <v>0</v>
      </c>
      <c r="BU101" s="335">
        <v>560</v>
      </c>
      <c r="BV101" s="336">
        <v>19</v>
      </c>
      <c r="BW101" s="233"/>
      <c r="BX101" s="233"/>
      <c r="BY101" s="233"/>
      <c r="BZ101" s="233"/>
      <c r="CA101" s="233"/>
      <c r="CB101" s="233"/>
      <c r="CC101" s="233"/>
      <c r="CD101" s="233"/>
      <c r="CE101" s="233"/>
    </row>
    <row r="102" spans="1:83" x14ac:dyDescent="0.25">
      <c r="A102" s="313">
        <v>43992</v>
      </c>
      <c r="B102" s="314">
        <f t="shared" si="1276"/>
        <v>99</v>
      </c>
      <c r="C102" s="315"/>
      <c r="D102" s="316">
        <v>282</v>
      </c>
      <c r="E102" s="317">
        <v>23</v>
      </c>
      <c r="F102" s="318">
        <v>13411</v>
      </c>
      <c r="G102" s="319"/>
      <c r="H102" s="330">
        <f t="shared" ref="H102:I102" si="1668">IF(ISBLANK(D102),,H101+D102)</f>
        <v>27842</v>
      </c>
      <c r="I102" s="331">
        <f t="shared" si="1668"/>
        <v>1206</v>
      </c>
      <c r="J102" s="332">
        <f t="shared" si="1"/>
        <v>215</v>
      </c>
      <c r="K102" s="333">
        <f t="shared" ref="K102:L102" si="1669">IF(ISBLANK(M102),,M102-M101)</f>
        <v>3</v>
      </c>
      <c r="L102" s="334">
        <f t="shared" si="1669"/>
        <v>2</v>
      </c>
      <c r="M102" s="335">
        <v>2739</v>
      </c>
      <c r="N102" s="336">
        <v>124</v>
      </c>
      <c r="O102" s="337">
        <f t="shared" ref="O102:P102" si="1670">IF(ISBLANK(Q102),,Q102-Q101)</f>
        <v>3</v>
      </c>
      <c r="P102" s="338">
        <f t="shared" si="1670"/>
        <v>0</v>
      </c>
      <c r="Q102" s="335">
        <v>606</v>
      </c>
      <c r="R102" s="339">
        <v>47</v>
      </c>
      <c r="S102" s="316">
        <f t="shared" ref="S102:T102" si="1671">IF(ISBLANK(U102),,U102-U101)</f>
        <v>1</v>
      </c>
      <c r="T102" s="334">
        <f t="shared" si="1671"/>
        <v>0</v>
      </c>
      <c r="U102" s="335">
        <v>520</v>
      </c>
      <c r="V102" s="336">
        <v>16</v>
      </c>
      <c r="W102" s="337">
        <f t="shared" ref="W102:X102" si="1672">IF(ISBLANK(Y102),,Y102-Y101)</f>
        <v>0</v>
      </c>
      <c r="X102" s="334">
        <f t="shared" si="1672"/>
        <v>0</v>
      </c>
      <c r="Y102" s="335">
        <v>129</v>
      </c>
      <c r="Z102" s="340">
        <v>0</v>
      </c>
      <c r="AA102" s="316">
        <f t="shared" ref="AA102:AB102" si="1673">IF(ISBLANK(AC102),,AC102-AC101)</f>
        <v>38</v>
      </c>
      <c r="AB102" s="334">
        <f t="shared" si="1673"/>
        <v>7</v>
      </c>
      <c r="AC102" s="335">
        <v>2164</v>
      </c>
      <c r="AD102" s="336">
        <v>94</v>
      </c>
      <c r="AE102" s="337">
        <f t="shared" ref="AE102:AF102" si="1674">IF(ISBLANK(AG102),,AG102-AG101)</f>
        <v>20</v>
      </c>
      <c r="AF102" s="334">
        <f t="shared" si="1674"/>
        <v>0</v>
      </c>
      <c r="AG102" s="335">
        <v>1452</v>
      </c>
      <c r="AH102" s="339">
        <v>40</v>
      </c>
      <c r="AI102" s="316">
        <f t="shared" ref="AI102:AJ102" si="1675">IF(ISBLANK(AK102),,AK102-AK101)</f>
        <v>85</v>
      </c>
      <c r="AJ102" s="334">
        <f t="shared" si="1675"/>
        <v>9</v>
      </c>
      <c r="AK102" s="335">
        <v>4118</v>
      </c>
      <c r="AL102" s="336">
        <v>293</v>
      </c>
      <c r="AM102" s="337">
        <f t="shared" ref="AM102:AN102" si="1676">IF(ISBLANK(AO102),,AO102-AO101)</f>
        <v>13</v>
      </c>
      <c r="AN102" s="334">
        <f t="shared" si="1676"/>
        <v>0</v>
      </c>
      <c r="AO102" s="335">
        <v>760</v>
      </c>
      <c r="AP102" s="339">
        <v>49</v>
      </c>
      <c r="AQ102" s="316">
        <f t="shared" ref="AQ102:AR102" si="1677">IF(ISBLANK(AS102),,AS102-AS101)</f>
        <v>5</v>
      </c>
      <c r="AR102" s="338">
        <f t="shared" si="1677"/>
        <v>0</v>
      </c>
      <c r="AS102" s="335">
        <v>413</v>
      </c>
      <c r="AT102" s="336">
        <v>38</v>
      </c>
      <c r="AU102" s="337">
        <f t="shared" ref="AU102:AV102" si="1678">IF(ISBLANK(AW102),,AW102-AW101)</f>
        <v>11</v>
      </c>
      <c r="AV102" s="334">
        <f t="shared" si="1678"/>
        <v>0</v>
      </c>
      <c r="AW102" s="335">
        <v>550</v>
      </c>
      <c r="AX102" s="339">
        <v>9</v>
      </c>
      <c r="AY102" s="316">
        <f t="shared" ref="AY102:AZ102" si="1679">IF(ISBLANK(BA102),,BA102-BA101)</f>
        <v>5</v>
      </c>
      <c r="AZ102" s="334">
        <f t="shared" si="1679"/>
        <v>0</v>
      </c>
      <c r="BA102" s="335">
        <v>579</v>
      </c>
      <c r="BB102" s="336">
        <v>37</v>
      </c>
      <c r="BC102" s="337">
        <f t="shared" ref="BC102:BD102" si="1680">IF(ISBLANK(BE102),,BE102-BE101)</f>
        <v>76</v>
      </c>
      <c r="BD102" s="334">
        <f t="shared" si="1680"/>
        <v>1</v>
      </c>
      <c r="BE102" s="335">
        <v>10181</v>
      </c>
      <c r="BF102" s="339">
        <v>253</v>
      </c>
      <c r="BG102" s="316">
        <f t="shared" ref="BG102:BH102" si="1681">IF(ISBLANK(BI102),,BI102-BI101)</f>
        <v>11</v>
      </c>
      <c r="BH102" s="334">
        <f t="shared" si="1681"/>
        <v>1</v>
      </c>
      <c r="BI102" s="335">
        <v>579</v>
      </c>
      <c r="BJ102" s="336">
        <v>25</v>
      </c>
      <c r="BK102" s="337">
        <f t="shared" ref="BK102:BL102" si="1682">IF(ISBLANK(BM102),,BM102-BM101)</f>
        <v>0</v>
      </c>
      <c r="BL102" s="334">
        <f t="shared" si="1682"/>
        <v>0</v>
      </c>
      <c r="BM102" s="335">
        <v>181</v>
      </c>
      <c r="BN102" s="339">
        <v>1</v>
      </c>
      <c r="BO102" s="316">
        <f t="shared" ref="BO102:BP102" si="1683">IF(ISBLANK(BQ102),,BQ102-BQ101)</f>
        <v>6</v>
      </c>
      <c r="BP102" s="334">
        <f t="shared" si="1683"/>
        <v>3</v>
      </c>
      <c r="BQ102" s="335">
        <v>2306</v>
      </c>
      <c r="BR102" s="336">
        <v>161</v>
      </c>
      <c r="BS102" s="316">
        <f t="shared" ref="BS102:BT102" si="1684">IF(ISBLANK(BU102),,BU102-BU101)</f>
        <v>5</v>
      </c>
      <c r="BT102" s="334">
        <f t="shared" si="1684"/>
        <v>0</v>
      </c>
      <c r="BU102" s="335">
        <v>565</v>
      </c>
      <c r="BV102" s="336">
        <v>19</v>
      </c>
      <c r="BW102" s="233"/>
      <c r="BX102" s="233"/>
      <c r="BY102" s="233"/>
      <c r="BZ102" s="233"/>
      <c r="CA102" s="233"/>
      <c r="CB102" s="233"/>
      <c r="CC102" s="233"/>
      <c r="CD102" s="233"/>
      <c r="CE102" s="233"/>
    </row>
    <row r="103" spans="1:83" x14ac:dyDescent="0.25">
      <c r="A103" s="313">
        <v>43993</v>
      </c>
      <c r="B103" s="314">
        <f t="shared" si="1276"/>
        <v>100</v>
      </c>
      <c r="C103" s="315"/>
      <c r="D103" s="329">
        <v>359</v>
      </c>
      <c r="E103" s="317">
        <v>9</v>
      </c>
      <c r="F103" s="318">
        <v>13696</v>
      </c>
      <c r="G103" s="319"/>
      <c r="H103" s="330">
        <f t="shared" ref="H103:I103" si="1685">IF(ISBLANK(D103),,H102+D103)</f>
        <v>28201</v>
      </c>
      <c r="I103" s="331">
        <f t="shared" si="1685"/>
        <v>1215</v>
      </c>
      <c r="J103" s="332">
        <f t="shared" si="1"/>
        <v>285</v>
      </c>
      <c r="K103" s="333">
        <f t="shared" ref="K103:L103" si="1686">IF(ISBLANK(M103),,M103-M102)</f>
        <v>10</v>
      </c>
      <c r="L103" s="334">
        <f t="shared" si="1686"/>
        <v>0</v>
      </c>
      <c r="M103" s="335">
        <v>2749</v>
      </c>
      <c r="N103" s="336">
        <v>124</v>
      </c>
      <c r="O103" s="337">
        <f t="shared" ref="O103:P103" si="1687">IF(ISBLANK(Q103),,Q103-Q102)</f>
        <v>2</v>
      </c>
      <c r="P103" s="338">
        <f t="shared" si="1687"/>
        <v>0</v>
      </c>
      <c r="Q103" s="335">
        <v>608</v>
      </c>
      <c r="R103" s="339">
        <v>47</v>
      </c>
      <c r="S103" s="316">
        <f t="shared" ref="S103:T103" si="1688">IF(ISBLANK(U103),,U103-U102)</f>
        <v>2</v>
      </c>
      <c r="T103" s="334">
        <f t="shared" si="1688"/>
        <v>0</v>
      </c>
      <c r="U103" s="335">
        <v>522</v>
      </c>
      <c r="V103" s="336">
        <v>16</v>
      </c>
      <c r="W103" s="337">
        <f t="shared" ref="W103:X103" si="1689">IF(ISBLANK(Y103),,Y103-Y102)</f>
        <v>0</v>
      </c>
      <c r="X103" s="334">
        <f t="shared" si="1689"/>
        <v>0</v>
      </c>
      <c r="Y103" s="335">
        <v>129</v>
      </c>
      <c r="Z103" s="340">
        <v>0</v>
      </c>
      <c r="AA103" s="316">
        <f t="shared" ref="AA103:AB103" si="1690">IF(ISBLANK(AC103),,AC103-AC102)</f>
        <v>73</v>
      </c>
      <c r="AB103" s="334">
        <f t="shared" si="1690"/>
        <v>8</v>
      </c>
      <c r="AC103" s="335">
        <v>2237</v>
      </c>
      <c r="AD103" s="336">
        <v>102</v>
      </c>
      <c r="AE103" s="337">
        <f t="shared" ref="AE103:AF103" si="1691">IF(ISBLANK(AG103),,AG103-AG102)</f>
        <v>9</v>
      </c>
      <c r="AF103" s="334">
        <f t="shared" si="1691"/>
        <v>0</v>
      </c>
      <c r="AG103" s="335">
        <v>1461</v>
      </c>
      <c r="AH103" s="339">
        <v>40</v>
      </c>
      <c r="AI103" s="316">
        <f t="shared" ref="AI103:AJ103" si="1692">IF(ISBLANK(AK103),,AK103-AK102)</f>
        <v>54</v>
      </c>
      <c r="AJ103" s="334">
        <f t="shared" si="1692"/>
        <v>0</v>
      </c>
      <c r="AK103" s="335">
        <v>4172</v>
      </c>
      <c r="AL103" s="336">
        <v>293</v>
      </c>
      <c r="AM103" s="337">
        <f t="shared" ref="AM103:AN103" si="1693">IF(ISBLANK(AO103),,AO103-AO102)</f>
        <v>3</v>
      </c>
      <c r="AN103" s="334">
        <f t="shared" si="1693"/>
        <v>0</v>
      </c>
      <c r="AO103" s="335">
        <v>763</v>
      </c>
      <c r="AP103" s="339">
        <v>49</v>
      </c>
      <c r="AQ103" s="316">
        <f t="shared" ref="AQ103:AR103" si="1694">IF(ISBLANK(AS103),,AS103-AS102)</f>
        <v>2</v>
      </c>
      <c r="AR103" s="338">
        <f t="shared" si="1694"/>
        <v>0</v>
      </c>
      <c r="AS103" s="335">
        <v>415</v>
      </c>
      <c r="AT103" s="336">
        <v>38</v>
      </c>
      <c r="AU103" s="337">
        <f t="shared" ref="AU103:AV103" si="1695">IF(ISBLANK(AW103),,AW103-AW102)</f>
        <v>9</v>
      </c>
      <c r="AV103" s="334">
        <f t="shared" si="1695"/>
        <v>0</v>
      </c>
      <c r="AW103" s="335">
        <v>559</v>
      </c>
      <c r="AX103" s="339">
        <v>9</v>
      </c>
      <c r="AY103" s="316">
        <f t="shared" ref="AY103:AZ103" si="1696">IF(ISBLANK(BA103),,BA103-BA102)</f>
        <v>0</v>
      </c>
      <c r="AZ103" s="334">
        <f t="shared" si="1696"/>
        <v>0</v>
      </c>
      <c r="BA103" s="335">
        <v>579</v>
      </c>
      <c r="BB103" s="336">
        <v>37</v>
      </c>
      <c r="BC103" s="337">
        <f t="shared" ref="BC103:BD103" si="1697">IF(ISBLANK(BE103),,BE103-BE102)</f>
        <v>157</v>
      </c>
      <c r="BD103" s="334">
        <f t="shared" si="1697"/>
        <v>0</v>
      </c>
      <c r="BE103" s="335">
        <v>10338</v>
      </c>
      <c r="BF103" s="339">
        <v>253</v>
      </c>
      <c r="BG103" s="316">
        <f t="shared" ref="BG103:BH103" si="1698">IF(ISBLANK(BI103),,BI103-BI102)</f>
        <v>5</v>
      </c>
      <c r="BH103" s="334">
        <f t="shared" si="1698"/>
        <v>0</v>
      </c>
      <c r="BI103" s="335">
        <v>584</v>
      </c>
      <c r="BJ103" s="336">
        <v>25</v>
      </c>
      <c r="BK103" s="337">
        <f t="shared" ref="BK103:BL103" si="1699">IF(ISBLANK(BM103),,BM103-BM102)</f>
        <v>4</v>
      </c>
      <c r="BL103" s="334">
        <f t="shared" si="1699"/>
        <v>0</v>
      </c>
      <c r="BM103" s="335">
        <v>185</v>
      </c>
      <c r="BN103" s="339">
        <v>1</v>
      </c>
      <c r="BO103" s="316">
        <f t="shared" ref="BO103:BP103" si="1700">IF(ISBLANK(BQ103),,BQ103-BQ102)</f>
        <v>27</v>
      </c>
      <c r="BP103" s="334">
        <f t="shared" si="1700"/>
        <v>1</v>
      </c>
      <c r="BQ103" s="335">
        <v>2333</v>
      </c>
      <c r="BR103" s="336">
        <v>162</v>
      </c>
      <c r="BS103" s="316">
        <f t="shared" ref="BS103:BT103" si="1701">IF(ISBLANK(BU103),,BU103-BU102)</f>
        <v>2</v>
      </c>
      <c r="BT103" s="334">
        <f t="shared" si="1701"/>
        <v>0</v>
      </c>
      <c r="BU103" s="335">
        <v>567</v>
      </c>
      <c r="BV103" s="336">
        <v>19</v>
      </c>
      <c r="BW103" s="233"/>
      <c r="BX103" s="233"/>
      <c r="BY103" s="233"/>
      <c r="BZ103" s="233"/>
      <c r="CA103" s="233"/>
      <c r="CB103" s="233"/>
      <c r="CC103" s="233"/>
      <c r="CD103" s="233"/>
      <c r="CE103" s="233"/>
    </row>
    <row r="104" spans="1:83" x14ac:dyDescent="0.25">
      <c r="A104" s="313">
        <v>43994</v>
      </c>
      <c r="B104" s="314">
        <f t="shared" si="1276"/>
        <v>101</v>
      </c>
      <c r="C104" s="315"/>
      <c r="D104" s="316">
        <v>376</v>
      </c>
      <c r="E104" s="317">
        <v>7</v>
      </c>
      <c r="F104" s="318">
        <v>13805</v>
      </c>
      <c r="G104" s="319"/>
      <c r="H104" s="330">
        <f t="shared" ref="H104:I104" si="1702">IF(ISBLANK(D104),,H103+D104)</f>
        <v>28577</v>
      </c>
      <c r="I104" s="331">
        <f t="shared" si="1702"/>
        <v>1222</v>
      </c>
      <c r="J104" s="332">
        <f t="shared" si="1"/>
        <v>109</v>
      </c>
      <c r="K104" s="333">
        <f t="shared" ref="K104:L104" si="1703">IF(ISBLANK(M104),,M104-M103)</f>
        <v>1</v>
      </c>
      <c r="L104" s="334">
        <f t="shared" si="1703"/>
        <v>0</v>
      </c>
      <c r="M104" s="335">
        <v>2750</v>
      </c>
      <c r="N104" s="336">
        <v>124</v>
      </c>
      <c r="O104" s="337">
        <f t="shared" ref="O104:P104" si="1704">IF(ISBLANK(Q104),,Q104-Q103)</f>
        <v>2</v>
      </c>
      <c r="P104" s="338">
        <f t="shared" si="1704"/>
        <v>0</v>
      </c>
      <c r="Q104" s="335">
        <v>610</v>
      </c>
      <c r="R104" s="339">
        <v>47</v>
      </c>
      <c r="S104" s="316">
        <f t="shared" ref="S104:T104" si="1705">IF(ISBLANK(U104),,U104-U103)</f>
        <v>2</v>
      </c>
      <c r="T104" s="334">
        <f t="shared" si="1705"/>
        <v>0</v>
      </c>
      <c r="U104" s="335">
        <v>524</v>
      </c>
      <c r="V104" s="336">
        <v>16</v>
      </c>
      <c r="W104" s="337">
        <f t="shared" ref="W104:X104" si="1706">IF(ISBLANK(Y104),,Y104-Y103)</f>
        <v>1</v>
      </c>
      <c r="X104" s="334">
        <f t="shared" si="1706"/>
        <v>0</v>
      </c>
      <c r="Y104" s="335">
        <v>130</v>
      </c>
      <c r="Z104" s="340">
        <v>0</v>
      </c>
      <c r="AA104" s="316">
        <f t="shared" ref="AA104:AB104" si="1707">IF(ISBLANK(AC104),,AC104-AC103)</f>
        <v>90</v>
      </c>
      <c r="AB104" s="334">
        <f t="shared" si="1707"/>
        <v>0</v>
      </c>
      <c r="AC104" s="335">
        <v>2327</v>
      </c>
      <c r="AD104" s="336">
        <v>102</v>
      </c>
      <c r="AE104" s="337">
        <f t="shared" ref="AE104:AF104" si="1708">IF(ISBLANK(AG104),,AG104-AG103)</f>
        <v>13</v>
      </c>
      <c r="AF104" s="334">
        <f t="shared" si="1708"/>
        <v>0</v>
      </c>
      <c r="AG104" s="335">
        <v>1474</v>
      </c>
      <c r="AH104" s="339">
        <v>40</v>
      </c>
      <c r="AI104" s="316">
        <f t="shared" ref="AI104:AJ104" si="1709">IF(ISBLANK(AK104),,AK104-AK103)</f>
        <v>68</v>
      </c>
      <c r="AJ104" s="334">
        <f t="shared" si="1709"/>
        <v>3</v>
      </c>
      <c r="AK104" s="335">
        <v>4240</v>
      </c>
      <c r="AL104" s="336">
        <v>296</v>
      </c>
      <c r="AM104" s="337">
        <f t="shared" ref="AM104:AN104" si="1710">IF(ISBLANK(AO104),,AO104-AO103)</f>
        <v>9</v>
      </c>
      <c r="AN104" s="334">
        <f t="shared" si="1710"/>
        <v>0</v>
      </c>
      <c r="AO104" s="335">
        <v>772</v>
      </c>
      <c r="AP104" s="339">
        <v>49</v>
      </c>
      <c r="AQ104" s="316">
        <f t="shared" ref="AQ104:AR104" si="1711">IF(ISBLANK(AS104),,AS104-AS103)</f>
        <v>8</v>
      </c>
      <c r="AR104" s="338">
        <f t="shared" si="1711"/>
        <v>0</v>
      </c>
      <c r="AS104" s="335">
        <v>423</v>
      </c>
      <c r="AT104" s="336">
        <v>38</v>
      </c>
      <c r="AU104" s="337">
        <f t="shared" ref="AU104:AV104" si="1712">IF(ISBLANK(AW104),,AW104-AW103)</f>
        <v>17</v>
      </c>
      <c r="AV104" s="334">
        <f t="shared" si="1712"/>
        <v>0</v>
      </c>
      <c r="AW104" s="335">
        <v>576</v>
      </c>
      <c r="AX104" s="339">
        <v>9</v>
      </c>
      <c r="AY104" s="316">
        <f t="shared" ref="AY104:AZ104" si="1713">IF(ISBLANK(BA104),,BA104-BA103)</f>
        <v>2</v>
      </c>
      <c r="AZ104" s="334">
        <f t="shared" si="1713"/>
        <v>0</v>
      </c>
      <c r="BA104" s="335">
        <v>581</v>
      </c>
      <c r="BB104" s="336">
        <v>37</v>
      </c>
      <c r="BC104" s="337">
        <f t="shared" ref="BC104:BD104" si="1714">IF(ISBLANK(BE104),,BE104-BE103)</f>
        <v>138</v>
      </c>
      <c r="BD104" s="334">
        <f t="shared" si="1714"/>
        <v>2</v>
      </c>
      <c r="BE104" s="335">
        <v>10476</v>
      </c>
      <c r="BF104" s="339">
        <v>255</v>
      </c>
      <c r="BG104" s="316">
        <f t="shared" ref="BG104:BH104" si="1715">IF(ISBLANK(BI104),,BI104-BI103)</f>
        <v>11</v>
      </c>
      <c r="BH104" s="334">
        <f t="shared" si="1715"/>
        <v>1</v>
      </c>
      <c r="BI104" s="335">
        <v>595</v>
      </c>
      <c r="BJ104" s="336">
        <v>26</v>
      </c>
      <c r="BK104" s="337">
        <f t="shared" ref="BK104:BL104" si="1716">IF(ISBLANK(BM104),,BM104-BM103)</f>
        <v>0</v>
      </c>
      <c r="BL104" s="334">
        <f t="shared" si="1716"/>
        <v>0</v>
      </c>
      <c r="BM104" s="335">
        <v>185</v>
      </c>
      <c r="BN104" s="339">
        <v>1</v>
      </c>
      <c r="BO104" s="316">
        <f t="shared" ref="BO104:BP104" si="1717">IF(ISBLANK(BQ104),,BQ104-BQ103)</f>
        <v>12</v>
      </c>
      <c r="BP104" s="334">
        <f t="shared" si="1717"/>
        <v>1</v>
      </c>
      <c r="BQ104" s="335">
        <v>2345</v>
      </c>
      <c r="BR104" s="336">
        <v>163</v>
      </c>
      <c r="BS104" s="316">
        <f t="shared" ref="BS104:BT104" si="1718">IF(ISBLANK(BU104),,BU104-BU103)</f>
        <v>2</v>
      </c>
      <c r="BT104" s="334">
        <f t="shared" si="1718"/>
        <v>0</v>
      </c>
      <c r="BU104" s="335">
        <v>569</v>
      </c>
      <c r="BV104" s="336">
        <v>19</v>
      </c>
      <c r="BW104" s="233"/>
      <c r="BX104" s="233"/>
      <c r="BY104" s="233"/>
      <c r="BZ104" s="233"/>
      <c r="CA104" s="233"/>
      <c r="CB104" s="233"/>
      <c r="CC104" s="233"/>
      <c r="CD104" s="233"/>
      <c r="CE104" s="233"/>
    </row>
    <row r="105" spans="1:83" x14ac:dyDescent="0.25">
      <c r="A105" s="313">
        <v>43995</v>
      </c>
      <c r="B105" s="314">
        <f t="shared" si="1276"/>
        <v>102</v>
      </c>
      <c r="C105" s="315"/>
      <c r="D105" s="316">
        <v>440</v>
      </c>
      <c r="E105" s="317">
        <v>15</v>
      </c>
      <c r="F105" s="318">
        <v>14104</v>
      </c>
      <c r="G105" s="319"/>
      <c r="H105" s="330">
        <f t="shared" ref="H105:I105" si="1719">IF(ISBLANK(D105),,H104+D105)</f>
        <v>29017</v>
      </c>
      <c r="I105" s="331">
        <f t="shared" si="1719"/>
        <v>1237</v>
      </c>
      <c r="J105" s="332">
        <f t="shared" si="1"/>
        <v>299</v>
      </c>
      <c r="K105" s="333">
        <f t="shared" ref="K105:L105" si="1720">IF(ISBLANK(M105),,M105-M104)</f>
        <v>17</v>
      </c>
      <c r="L105" s="334">
        <f t="shared" si="1720"/>
        <v>1</v>
      </c>
      <c r="M105" s="335">
        <v>2767</v>
      </c>
      <c r="N105" s="336">
        <v>125</v>
      </c>
      <c r="O105" s="337">
        <f t="shared" ref="O105:P105" si="1721">IF(ISBLANK(Q105),,Q105-Q104)</f>
        <v>4</v>
      </c>
      <c r="P105" s="338">
        <f t="shared" si="1721"/>
        <v>2</v>
      </c>
      <c r="Q105" s="335">
        <v>614</v>
      </c>
      <c r="R105" s="339">
        <v>49</v>
      </c>
      <c r="S105" s="316">
        <f t="shared" ref="S105:T105" si="1722">IF(ISBLANK(U105),,U105-U104)</f>
        <v>6</v>
      </c>
      <c r="T105" s="334">
        <f t="shared" si="1722"/>
        <v>0</v>
      </c>
      <c r="U105" s="335">
        <v>530</v>
      </c>
      <c r="V105" s="336">
        <v>16</v>
      </c>
      <c r="W105" s="337">
        <f t="shared" ref="W105:X105" si="1723">IF(ISBLANK(Y105),,Y105-Y104)</f>
        <v>1</v>
      </c>
      <c r="X105" s="334">
        <f t="shared" si="1723"/>
        <v>0</v>
      </c>
      <c r="Y105" s="335">
        <v>131</v>
      </c>
      <c r="Z105" s="340">
        <v>0</v>
      </c>
      <c r="AA105" s="316">
        <f t="shared" ref="AA105:AB105" si="1724">IF(ISBLANK(AC105),,AC105-AC104)</f>
        <v>37</v>
      </c>
      <c r="AB105" s="334">
        <f t="shared" si="1724"/>
        <v>6</v>
      </c>
      <c r="AC105" s="335">
        <v>2364</v>
      </c>
      <c r="AD105" s="336">
        <v>108</v>
      </c>
      <c r="AE105" s="337">
        <f t="shared" ref="AE105:AF105" si="1725">IF(ISBLANK(AG105),,AG105-AG104)</f>
        <v>18</v>
      </c>
      <c r="AF105" s="334">
        <f t="shared" si="1725"/>
        <v>0</v>
      </c>
      <c r="AG105" s="335">
        <v>1492</v>
      </c>
      <c r="AH105" s="339">
        <v>40</v>
      </c>
      <c r="AI105" s="316">
        <f t="shared" ref="AI105:AJ105" si="1726">IF(ISBLANK(AK105),,AK105-AK104)</f>
        <v>66</v>
      </c>
      <c r="AJ105" s="334">
        <f t="shared" si="1726"/>
        <v>0</v>
      </c>
      <c r="AK105" s="335">
        <v>4306</v>
      </c>
      <c r="AL105" s="336">
        <v>296</v>
      </c>
      <c r="AM105" s="337">
        <f t="shared" ref="AM105:AN105" si="1727">IF(ISBLANK(AO105),,AO105-AO104)</f>
        <v>18</v>
      </c>
      <c r="AN105" s="334">
        <f t="shared" si="1727"/>
        <v>0</v>
      </c>
      <c r="AO105" s="335">
        <v>790</v>
      </c>
      <c r="AP105" s="339">
        <v>49</v>
      </c>
      <c r="AQ105" s="316">
        <f t="shared" ref="AQ105:AR105" si="1728">IF(ISBLANK(AS105),,AS105-AS104)</f>
        <v>16</v>
      </c>
      <c r="AR105" s="338">
        <f t="shared" si="1728"/>
        <v>0</v>
      </c>
      <c r="AS105" s="335">
        <v>439</v>
      </c>
      <c r="AT105" s="336">
        <v>38</v>
      </c>
      <c r="AU105" s="337">
        <f t="shared" ref="AU105:AV105" si="1729">IF(ISBLANK(AW105),,AW105-AW104)</f>
        <v>9</v>
      </c>
      <c r="AV105" s="334">
        <f t="shared" si="1729"/>
        <v>0</v>
      </c>
      <c r="AW105" s="335">
        <v>585</v>
      </c>
      <c r="AX105" s="339">
        <v>9</v>
      </c>
      <c r="AY105" s="316">
        <f t="shared" ref="AY105:AZ105" si="1730">IF(ISBLANK(BA105),,BA105-BA104)</f>
        <v>6</v>
      </c>
      <c r="AZ105" s="334">
        <f t="shared" si="1730"/>
        <v>0</v>
      </c>
      <c r="BA105" s="335">
        <v>587</v>
      </c>
      <c r="BB105" s="336">
        <v>37</v>
      </c>
      <c r="BC105" s="337">
        <f t="shared" ref="BC105:BD105" si="1731">IF(ISBLANK(BE105),,BE105-BE104)</f>
        <v>209</v>
      </c>
      <c r="BD105" s="334">
        <f t="shared" si="1731"/>
        <v>5</v>
      </c>
      <c r="BE105" s="335">
        <v>10685</v>
      </c>
      <c r="BF105" s="339">
        <v>260</v>
      </c>
      <c r="BG105" s="316">
        <f t="shared" ref="BG105:BH105" si="1732">IF(ISBLANK(BI105),,BI105-BI104)</f>
        <v>2</v>
      </c>
      <c r="BH105" s="334">
        <f t="shared" si="1732"/>
        <v>0</v>
      </c>
      <c r="BI105" s="335">
        <v>597</v>
      </c>
      <c r="BJ105" s="336">
        <v>26</v>
      </c>
      <c r="BK105" s="337">
        <f t="shared" ref="BK105:BL105" si="1733">IF(ISBLANK(BM105),,BM105-BM104)</f>
        <v>0</v>
      </c>
      <c r="BL105" s="334">
        <f t="shared" si="1733"/>
        <v>0</v>
      </c>
      <c r="BM105" s="335">
        <v>185</v>
      </c>
      <c r="BN105" s="339">
        <v>1</v>
      </c>
      <c r="BO105" s="316">
        <f t="shared" ref="BO105:BP105" si="1734">IF(ISBLANK(BQ105),,BQ105-BQ104)</f>
        <v>24</v>
      </c>
      <c r="BP105" s="334">
        <f t="shared" si="1734"/>
        <v>1</v>
      </c>
      <c r="BQ105" s="335">
        <v>2369</v>
      </c>
      <c r="BR105" s="336">
        <v>164</v>
      </c>
      <c r="BS105" s="316">
        <f t="shared" ref="BS105:BT105" si="1735">IF(ISBLANK(BU105),,BU105-BU104)</f>
        <v>7</v>
      </c>
      <c r="BT105" s="334">
        <f t="shared" si="1735"/>
        <v>0</v>
      </c>
      <c r="BU105" s="335">
        <v>576</v>
      </c>
      <c r="BV105" s="336">
        <v>19</v>
      </c>
      <c r="BW105" s="233"/>
      <c r="BX105" s="233"/>
      <c r="BY105" s="233"/>
      <c r="BZ105" s="233"/>
      <c r="CA105" s="233"/>
      <c r="CB105" s="233"/>
      <c r="CC105" s="233"/>
      <c r="CD105" s="233"/>
      <c r="CE105" s="233"/>
    </row>
    <row r="106" spans="1:83" x14ac:dyDescent="0.25">
      <c r="A106" s="313">
        <v>43996</v>
      </c>
      <c r="B106" s="314">
        <f t="shared" si="1276"/>
        <v>103</v>
      </c>
      <c r="C106" s="315"/>
      <c r="D106" s="316">
        <v>375</v>
      </c>
      <c r="E106" s="317">
        <v>10</v>
      </c>
      <c r="F106" s="318">
        <v>14226</v>
      </c>
      <c r="G106" s="319"/>
      <c r="H106" s="330">
        <f t="shared" ref="H106:I106" si="1736">IF(ISBLANK(D106),,H105+D106)</f>
        <v>29392</v>
      </c>
      <c r="I106" s="331">
        <f t="shared" si="1736"/>
        <v>1247</v>
      </c>
      <c r="J106" s="332">
        <f t="shared" si="1"/>
        <v>122</v>
      </c>
      <c r="K106" s="333">
        <f t="shared" ref="K106:L106" si="1737">IF(ISBLANK(M106),,M106-M105)</f>
        <v>0</v>
      </c>
      <c r="L106" s="334">
        <f t="shared" si="1737"/>
        <v>0</v>
      </c>
      <c r="M106" s="335">
        <v>2767</v>
      </c>
      <c r="N106" s="336">
        <v>125</v>
      </c>
      <c r="O106" s="337">
        <f t="shared" ref="O106:P106" si="1738">IF(ISBLANK(Q106),,Q106-Q105)</f>
        <v>12</v>
      </c>
      <c r="P106" s="338">
        <f t="shared" si="1738"/>
        <v>0</v>
      </c>
      <c r="Q106" s="335">
        <v>626</v>
      </c>
      <c r="R106" s="339">
        <v>49</v>
      </c>
      <c r="S106" s="316">
        <f t="shared" ref="S106:T106" si="1739">IF(ISBLANK(U106),,U106-U105)</f>
        <v>13</v>
      </c>
      <c r="T106" s="334">
        <f t="shared" si="1739"/>
        <v>0</v>
      </c>
      <c r="U106" s="335">
        <v>543</v>
      </c>
      <c r="V106" s="336">
        <v>16</v>
      </c>
      <c r="W106" s="337">
        <f t="shared" ref="W106:X106" si="1740">IF(ISBLANK(Y106),,Y106-Y105)</f>
        <v>1</v>
      </c>
      <c r="X106" s="334">
        <f t="shared" si="1740"/>
        <v>0</v>
      </c>
      <c r="Y106" s="335">
        <v>132</v>
      </c>
      <c r="Z106" s="340">
        <v>0</v>
      </c>
      <c r="AA106" s="316">
        <f t="shared" ref="AA106:AB106" si="1741">IF(ISBLANK(AC106),,AC106-AC105)</f>
        <v>39</v>
      </c>
      <c r="AB106" s="334">
        <f t="shared" si="1741"/>
        <v>0</v>
      </c>
      <c r="AC106" s="335">
        <v>2403</v>
      </c>
      <c r="AD106" s="336">
        <v>108</v>
      </c>
      <c r="AE106" s="337">
        <f t="shared" ref="AE106:AF106" si="1742">IF(ISBLANK(AG106),,AG106-AG105)</f>
        <v>16</v>
      </c>
      <c r="AF106" s="334">
        <f t="shared" si="1742"/>
        <v>0</v>
      </c>
      <c r="AG106" s="335">
        <v>1508</v>
      </c>
      <c r="AH106" s="339">
        <v>40</v>
      </c>
      <c r="AI106" s="316">
        <f t="shared" ref="AI106:AJ106" si="1743">IF(ISBLANK(AK106),,AK106-AK105)</f>
        <v>52</v>
      </c>
      <c r="AJ106" s="334">
        <f t="shared" si="1743"/>
        <v>1</v>
      </c>
      <c r="AK106" s="335">
        <v>4358</v>
      </c>
      <c r="AL106" s="336">
        <v>297</v>
      </c>
      <c r="AM106" s="337">
        <f t="shared" ref="AM106:AN106" si="1744">IF(ISBLANK(AO106),,AO106-AO105)</f>
        <v>5</v>
      </c>
      <c r="AN106" s="334">
        <f t="shared" si="1744"/>
        <v>0</v>
      </c>
      <c r="AO106" s="335">
        <v>795</v>
      </c>
      <c r="AP106" s="339">
        <v>49</v>
      </c>
      <c r="AQ106" s="316">
        <f t="shared" ref="AQ106:AR106" si="1745">IF(ISBLANK(AS106),,AS106-AS105)</f>
        <v>20</v>
      </c>
      <c r="AR106" s="338">
        <f t="shared" si="1745"/>
        <v>2</v>
      </c>
      <c r="AS106" s="335">
        <v>459</v>
      </c>
      <c r="AT106" s="336">
        <v>40</v>
      </c>
      <c r="AU106" s="337">
        <f t="shared" ref="AU106:AV106" si="1746">IF(ISBLANK(AW106),,AW106-AW105)</f>
        <v>23</v>
      </c>
      <c r="AV106" s="334">
        <f t="shared" si="1746"/>
        <v>0</v>
      </c>
      <c r="AW106" s="335">
        <v>608</v>
      </c>
      <c r="AX106" s="339">
        <v>9</v>
      </c>
      <c r="AY106" s="316">
        <f t="shared" ref="AY106:AZ106" si="1747">IF(ISBLANK(BA106),,BA106-BA105)</f>
        <v>1</v>
      </c>
      <c r="AZ106" s="334">
        <f t="shared" si="1747"/>
        <v>0</v>
      </c>
      <c r="BA106" s="335">
        <v>588</v>
      </c>
      <c r="BB106" s="336">
        <v>37</v>
      </c>
      <c r="BC106" s="337">
        <f t="shared" ref="BC106:BD106" si="1748">IF(ISBLANK(BE106),,BE106-BE105)</f>
        <v>160</v>
      </c>
      <c r="BD106" s="334">
        <f t="shared" si="1748"/>
        <v>6</v>
      </c>
      <c r="BE106" s="335">
        <v>10845</v>
      </c>
      <c r="BF106" s="339">
        <v>266</v>
      </c>
      <c r="BG106" s="316">
        <f t="shared" ref="BG106:BH106" si="1749">IF(ISBLANK(BI106),,BI106-BI105)</f>
        <v>13</v>
      </c>
      <c r="BH106" s="334">
        <f t="shared" si="1749"/>
        <v>0</v>
      </c>
      <c r="BI106" s="335">
        <v>610</v>
      </c>
      <c r="BJ106" s="336">
        <v>26</v>
      </c>
      <c r="BK106" s="337">
        <f t="shared" ref="BK106:BL106" si="1750">IF(ISBLANK(BM106),,BM106-BM105)</f>
        <v>1</v>
      </c>
      <c r="BL106" s="334">
        <f t="shared" si="1750"/>
        <v>0</v>
      </c>
      <c r="BM106" s="335">
        <v>186</v>
      </c>
      <c r="BN106" s="339">
        <v>1</v>
      </c>
      <c r="BO106" s="316">
        <f t="shared" ref="BO106:BP106" si="1751">IF(ISBLANK(BQ106),,BQ106-BQ105)</f>
        <v>14</v>
      </c>
      <c r="BP106" s="334">
        <f t="shared" si="1751"/>
        <v>1</v>
      </c>
      <c r="BQ106" s="335">
        <v>2383</v>
      </c>
      <c r="BR106" s="336">
        <v>165</v>
      </c>
      <c r="BS106" s="316">
        <f t="shared" ref="BS106:BT106" si="1752">IF(ISBLANK(BU106),,BU106-BU105)</f>
        <v>5</v>
      </c>
      <c r="BT106" s="334">
        <f t="shared" si="1752"/>
        <v>0</v>
      </c>
      <c r="BU106" s="335">
        <v>581</v>
      </c>
      <c r="BV106" s="336">
        <v>19</v>
      </c>
      <c r="BW106" s="233"/>
      <c r="BX106" s="233"/>
      <c r="BY106" s="233"/>
      <c r="BZ106" s="233"/>
      <c r="CA106" s="233"/>
      <c r="CB106" s="233"/>
      <c r="CC106" s="233"/>
      <c r="CD106" s="233"/>
      <c r="CE106" s="233"/>
    </row>
    <row r="107" spans="1:83" x14ac:dyDescent="0.25">
      <c r="A107" s="313">
        <v>43997</v>
      </c>
      <c r="B107" s="314">
        <f t="shared" si="1276"/>
        <v>104</v>
      </c>
      <c r="C107" s="315"/>
      <c r="D107" s="316">
        <v>396</v>
      </c>
      <c r="E107" s="317">
        <v>9</v>
      </c>
      <c r="F107" s="318">
        <v>14383</v>
      </c>
      <c r="G107" s="319"/>
      <c r="H107" s="330">
        <f t="shared" ref="H107:I107" si="1753">IF(ISBLANK(D107),,H106+D107)</f>
        <v>29788</v>
      </c>
      <c r="I107" s="331">
        <f t="shared" si="1753"/>
        <v>1256</v>
      </c>
      <c r="J107" s="332">
        <f t="shared" si="1"/>
        <v>157</v>
      </c>
      <c r="K107" s="333">
        <f t="shared" ref="K107:L107" si="1754">IF(ISBLANK(M107),,M107-M106)</f>
        <v>0</v>
      </c>
      <c r="L107" s="334">
        <f t="shared" si="1754"/>
        <v>1</v>
      </c>
      <c r="M107" s="335">
        <v>2767</v>
      </c>
      <c r="N107" s="336">
        <v>126</v>
      </c>
      <c r="O107" s="337">
        <f t="shared" ref="O107:P107" si="1755">IF(ISBLANK(Q107),,Q107-Q106)</f>
        <v>0</v>
      </c>
      <c r="P107" s="338">
        <f t="shared" si="1755"/>
        <v>0</v>
      </c>
      <c r="Q107" s="335">
        <v>626</v>
      </c>
      <c r="R107" s="339">
        <v>49</v>
      </c>
      <c r="S107" s="316">
        <f t="shared" ref="S107:T107" si="1756">IF(ISBLANK(U107),,U107-U106)</f>
        <v>1</v>
      </c>
      <c r="T107" s="334">
        <f t="shared" si="1756"/>
        <v>0</v>
      </c>
      <c r="U107" s="335">
        <v>544</v>
      </c>
      <c r="V107" s="336">
        <v>16</v>
      </c>
      <c r="W107" s="337">
        <f t="shared" ref="W107:X107" si="1757">IF(ISBLANK(Y107),,Y107-Y106)</f>
        <v>1</v>
      </c>
      <c r="X107" s="334">
        <f t="shared" si="1757"/>
        <v>0</v>
      </c>
      <c r="Y107" s="335">
        <v>133</v>
      </c>
      <c r="Z107" s="340">
        <v>0</v>
      </c>
      <c r="AA107" s="316">
        <f t="shared" ref="AA107:AB107" si="1758">IF(ISBLANK(AC107),,AC107-AC106)</f>
        <v>73</v>
      </c>
      <c r="AB107" s="334">
        <f t="shared" si="1758"/>
        <v>0</v>
      </c>
      <c r="AC107" s="335">
        <v>2476</v>
      </c>
      <c r="AD107" s="336">
        <v>108</v>
      </c>
      <c r="AE107" s="337">
        <f t="shared" ref="AE107:AF107" si="1759">IF(ISBLANK(AG107),,AG107-AG106)</f>
        <v>9</v>
      </c>
      <c r="AF107" s="334">
        <f t="shared" si="1759"/>
        <v>0</v>
      </c>
      <c r="AG107" s="335">
        <v>1517</v>
      </c>
      <c r="AH107" s="339">
        <v>40</v>
      </c>
      <c r="AI107" s="316">
        <f t="shared" ref="AI107:AJ107" si="1760">IF(ISBLANK(AK107),,AK107-AK106)</f>
        <v>56</v>
      </c>
      <c r="AJ107" s="334">
        <f t="shared" si="1760"/>
        <v>2</v>
      </c>
      <c r="AK107" s="335">
        <v>4414</v>
      </c>
      <c r="AL107" s="336">
        <v>299</v>
      </c>
      <c r="AM107" s="337">
        <f t="shared" ref="AM107:AN107" si="1761">IF(ISBLANK(AO107),,AO107-AO106)</f>
        <v>8</v>
      </c>
      <c r="AN107" s="334">
        <f t="shared" si="1761"/>
        <v>1</v>
      </c>
      <c r="AO107" s="335">
        <v>803</v>
      </c>
      <c r="AP107" s="339">
        <v>50</v>
      </c>
      <c r="AQ107" s="316">
        <f t="shared" ref="AQ107:AR107" si="1762">IF(ISBLANK(AS107),,AS107-AS106)</f>
        <v>14</v>
      </c>
      <c r="AR107" s="338">
        <f t="shared" si="1762"/>
        <v>0</v>
      </c>
      <c r="AS107" s="335">
        <v>473</v>
      </c>
      <c r="AT107" s="336">
        <v>40</v>
      </c>
      <c r="AU107" s="337">
        <f t="shared" ref="AU107:AV107" si="1763">IF(ISBLANK(AW107),,AW107-AW106)</f>
        <v>13</v>
      </c>
      <c r="AV107" s="334">
        <f t="shared" si="1763"/>
        <v>0</v>
      </c>
      <c r="AW107" s="335">
        <v>621</v>
      </c>
      <c r="AX107" s="339">
        <v>9</v>
      </c>
      <c r="AY107" s="316">
        <f t="shared" ref="AY107:AZ107" si="1764">IF(ISBLANK(BA107),,BA107-BA106)</f>
        <v>0</v>
      </c>
      <c r="AZ107" s="334">
        <f t="shared" si="1764"/>
        <v>1</v>
      </c>
      <c r="BA107" s="335">
        <v>588</v>
      </c>
      <c r="BB107" s="336">
        <v>38</v>
      </c>
      <c r="BC107" s="337">
        <f t="shared" ref="BC107:BD107" si="1765">IF(ISBLANK(BE107),,BE107-BE106)</f>
        <v>188</v>
      </c>
      <c r="BD107" s="334">
        <f t="shared" si="1765"/>
        <v>3</v>
      </c>
      <c r="BE107" s="335">
        <v>11033</v>
      </c>
      <c r="BF107" s="339">
        <v>269</v>
      </c>
      <c r="BG107" s="316">
        <f t="shared" ref="BG107:BH107" si="1766">IF(ISBLANK(BI107),,BI107-BI106)</f>
        <v>14</v>
      </c>
      <c r="BH107" s="334">
        <f t="shared" si="1766"/>
        <v>0</v>
      </c>
      <c r="BI107" s="335">
        <v>624</v>
      </c>
      <c r="BJ107" s="336">
        <v>26</v>
      </c>
      <c r="BK107" s="337">
        <f t="shared" ref="BK107:BL107" si="1767">IF(ISBLANK(BM107),,BM107-BM106)</f>
        <v>0</v>
      </c>
      <c r="BL107" s="334">
        <f t="shared" si="1767"/>
        <v>0</v>
      </c>
      <c r="BM107" s="335">
        <v>186</v>
      </c>
      <c r="BN107" s="339">
        <v>1</v>
      </c>
      <c r="BO107" s="316">
        <f t="shared" ref="BO107:BP107" si="1768">IF(ISBLANK(BQ107),,BQ107-BQ106)</f>
        <v>17</v>
      </c>
      <c r="BP107" s="334">
        <f t="shared" si="1768"/>
        <v>0</v>
      </c>
      <c r="BQ107" s="335">
        <v>2400</v>
      </c>
      <c r="BR107" s="336">
        <v>165</v>
      </c>
      <c r="BS107" s="316">
        <f t="shared" ref="BS107:BT107" si="1769">IF(ISBLANK(BU107),,BU107-BU106)</f>
        <v>2</v>
      </c>
      <c r="BT107" s="334">
        <f t="shared" si="1769"/>
        <v>1</v>
      </c>
      <c r="BU107" s="335">
        <v>583</v>
      </c>
      <c r="BV107" s="336">
        <v>20</v>
      </c>
      <c r="BW107" s="233"/>
      <c r="BX107" s="233"/>
      <c r="BY107" s="233"/>
      <c r="BZ107" s="233"/>
      <c r="CA107" s="233"/>
      <c r="CB107" s="233"/>
      <c r="CC107" s="233"/>
      <c r="CD107" s="233"/>
      <c r="CE107" s="233"/>
    </row>
    <row r="108" spans="1:83" x14ac:dyDescent="0.25">
      <c r="A108" s="313">
        <v>43998</v>
      </c>
      <c r="B108" s="314">
        <f t="shared" si="1276"/>
        <v>105</v>
      </c>
      <c r="C108" s="315"/>
      <c r="D108" s="316">
        <v>407</v>
      </c>
      <c r="E108" s="317">
        <v>16</v>
      </c>
      <c r="F108" s="318">
        <v>14654</v>
      </c>
      <c r="G108" s="319"/>
      <c r="H108" s="330">
        <f t="shared" ref="H108:I108" si="1770">IF(ISBLANK(D108),,H107+D108)</f>
        <v>30195</v>
      </c>
      <c r="I108" s="331">
        <f t="shared" si="1770"/>
        <v>1272</v>
      </c>
      <c r="J108" s="332">
        <f t="shared" si="1"/>
        <v>271</v>
      </c>
      <c r="K108" s="333">
        <f t="shared" ref="K108:L108" si="1771">IF(ISBLANK(M108),,M108-M107)</f>
        <v>11</v>
      </c>
      <c r="L108" s="334">
        <f t="shared" si="1771"/>
        <v>3</v>
      </c>
      <c r="M108" s="335">
        <v>2778</v>
      </c>
      <c r="N108" s="336">
        <v>129</v>
      </c>
      <c r="O108" s="337">
        <f t="shared" ref="O108:P108" si="1772">IF(ISBLANK(Q108),,Q108-Q107)</f>
        <v>1</v>
      </c>
      <c r="P108" s="338">
        <f t="shared" si="1772"/>
        <v>0</v>
      </c>
      <c r="Q108" s="335">
        <v>627</v>
      </c>
      <c r="R108" s="339">
        <v>49</v>
      </c>
      <c r="S108" s="316">
        <f t="shared" ref="S108:T108" si="1773">IF(ISBLANK(U108),,U108-U107)</f>
        <v>9</v>
      </c>
      <c r="T108" s="334">
        <f t="shared" si="1773"/>
        <v>0</v>
      </c>
      <c r="U108" s="335">
        <v>553</v>
      </c>
      <c r="V108" s="336">
        <v>16</v>
      </c>
      <c r="W108" s="337">
        <f t="shared" ref="W108:X108" si="1774">IF(ISBLANK(Y108),,Y108-Y107)</f>
        <v>0</v>
      </c>
      <c r="X108" s="334">
        <f t="shared" si="1774"/>
        <v>0</v>
      </c>
      <c r="Y108" s="335">
        <v>133</v>
      </c>
      <c r="Z108" s="340">
        <v>0</v>
      </c>
      <c r="AA108" s="316">
        <f t="shared" ref="AA108:AB108" si="1775">IF(ISBLANK(AC108),,AC108-AC107)</f>
        <v>62</v>
      </c>
      <c r="AB108" s="334">
        <f t="shared" si="1775"/>
        <v>6</v>
      </c>
      <c r="AC108" s="335">
        <v>2538</v>
      </c>
      <c r="AD108" s="336">
        <v>114</v>
      </c>
      <c r="AE108" s="337">
        <f t="shared" ref="AE108:AF108" si="1776">IF(ISBLANK(AG108),,AG108-AG107)</f>
        <v>12</v>
      </c>
      <c r="AF108" s="334">
        <f t="shared" si="1776"/>
        <v>0</v>
      </c>
      <c r="AG108" s="335">
        <v>1529</v>
      </c>
      <c r="AH108" s="339">
        <v>40</v>
      </c>
      <c r="AI108" s="316">
        <f t="shared" ref="AI108:AJ108" si="1777">IF(ISBLANK(AK108),,AK108-AK107)</f>
        <v>36</v>
      </c>
      <c r="AJ108" s="334">
        <f t="shared" si="1777"/>
        <v>3</v>
      </c>
      <c r="AK108" s="335">
        <v>4450</v>
      </c>
      <c r="AL108" s="336">
        <v>302</v>
      </c>
      <c r="AM108" s="337">
        <f t="shared" ref="AM108:AN108" si="1778">IF(ISBLANK(AO108),,AO108-AO107)</f>
        <v>8</v>
      </c>
      <c r="AN108" s="334">
        <f t="shared" si="1778"/>
        <v>0</v>
      </c>
      <c r="AO108" s="335">
        <v>811</v>
      </c>
      <c r="AP108" s="339">
        <v>50</v>
      </c>
      <c r="AQ108" s="316">
        <f t="shared" ref="AQ108:AR108" si="1779">IF(ISBLANK(AS108),,AS108-AS107)</f>
        <v>13</v>
      </c>
      <c r="AR108" s="338">
        <f t="shared" si="1779"/>
        <v>0</v>
      </c>
      <c r="AS108" s="335">
        <v>486</v>
      </c>
      <c r="AT108" s="336">
        <v>40</v>
      </c>
      <c r="AU108" s="337">
        <f t="shared" ref="AU108:AV108" si="1780">IF(ISBLANK(AW108),,AW108-AW107)</f>
        <v>7</v>
      </c>
      <c r="AV108" s="334">
        <f t="shared" si="1780"/>
        <v>0</v>
      </c>
      <c r="AW108" s="335">
        <v>628</v>
      </c>
      <c r="AX108" s="339">
        <v>9</v>
      </c>
      <c r="AY108" s="316">
        <f t="shared" ref="AY108:AZ108" si="1781">IF(ISBLANK(BA108),,BA108-BA107)</f>
        <v>2</v>
      </c>
      <c r="AZ108" s="334">
        <f t="shared" si="1781"/>
        <v>0</v>
      </c>
      <c r="BA108" s="335">
        <v>590</v>
      </c>
      <c r="BB108" s="336">
        <v>38</v>
      </c>
      <c r="BC108" s="337">
        <f t="shared" ref="BC108:BD108" si="1782">IF(ISBLANK(BE108),,BE108-BE107)</f>
        <v>216</v>
      </c>
      <c r="BD108" s="334">
        <f t="shared" si="1782"/>
        <v>3</v>
      </c>
      <c r="BE108" s="335">
        <v>11249</v>
      </c>
      <c r="BF108" s="339">
        <v>272</v>
      </c>
      <c r="BG108" s="316">
        <f t="shared" ref="BG108:BH108" si="1783">IF(ISBLANK(BI108),,BI108-BI107)</f>
        <v>11</v>
      </c>
      <c r="BH108" s="334">
        <f t="shared" si="1783"/>
        <v>0</v>
      </c>
      <c r="BI108" s="335">
        <v>635</v>
      </c>
      <c r="BJ108" s="336">
        <v>26</v>
      </c>
      <c r="BK108" s="337">
        <f t="shared" ref="BK108:BL108" si="1784">IF(ISBLANK(BM108),,BM108-BM107)</f>
        <v>6</v>
      </c>
      <c r="BL108" s="334">
        <f t="shared" si="1784"/>
        <v>0</v>
      </c>
      <c r="BM108" s="335">
        <v>192</v>
      </c>
      <c r="BN108" s="339">
        <v>1</v>
      </c>
      <c r="BO108" s="316">
        <f t="shared" ref="BO108:BP108" si="1785">IF(ISBLANK(BQ108),,BQ108-BQ107)</f>
        <v>8</v>
      </c>
      <c r="BP108" s="334">
        <f t="shared" si="1785"/>
        <v>1</v>
      </c>
      <c r="BQ108" s="335">
        <v>2408</v>
      </c>
      <c r="BR108" s="336">
        <v>166</v>
      </c>
      <c r="BS108" s="316">
        <f t="shared" ref="BS108:BT108" si="1786">IF(ISBLANK(BU108),,BU108-BU107)</f>
        <v>5</v>
      </c>
      <c r="BT108" s="334">
        <f t="shared" si="1786"/>
        <v>0</v>
      </c>
      <c r="BU108" s="335">
        <v>588</v>
      </c>
      <c r="BV108" s="336">
        <v>20</v>
      </c>
      <c r="BW108" s="233"/>
      <c r="BX108" s="233"/>
      <c r="BY108" s="233"/>
      <c r="BZ108" s="233"/>
      <c r="CA108" s="233"/>
      <c r="CB108" s="233"/>
      <c r="CC108" s="233"/>
      <c r="CD108" s="233"/>
      <c r="CE108" s="233"/>
    </row>
    <row r="109" spans="1:83" x14ac:dyDescent="0.25">
      <c r="A109" s="313">
        <v>43999</v>
      </c>
      <c r="B109" s="314">
        <f t="shared" si="1276"/>
        <v>106</v>
      </c>
      <c r="C109" s="315"/>
      <c r="D109" s="316">
        <v>450</v>
      </c>
      <c r="E109" s="317">
        <v>14</v>
      </c>
      <c r="F109" s="318">
        <v>14921</v>
      </c>
      <c r="G109" s="319"/>
      <c r="H109" s="330">
        <f t="shared" ref="H109:I109" si="1787">IF(ISBLANK(D109),,H108+D109)</f>
        <v>30645</v>
      </c>
      <c r="I109" s="331">
        <f t="shared" si="1787"/>
        <v>1286</v>
      </c>
      <c r="J109" s="332">
        <f t="shared" si="1"/>
        <v>267</v>
      </c>
      <c r="K109" s="333">
        <f t="shared" ref="K109:L109" si="1788">IF(ISBLANK(M109),,M109-M108)</f>
        <v>36</v>
      </c>
      <c r="L109" s="334">
        <f t="shared" si="1788"/>
        <v>0</v>
      </c>
      <c r="M109" s="335">
        <v>2814</v>
      </c>
      <c r="N109" s="336">
        <v>129</v>
      </c>
      <c r="O109" s="337">
        <f t="shared" ref="O109:P109" si="1789">IF(ISBLANK(Q109),,Q109-Q108)</f>
        <v>3</v>
      </c>
      <c r="P109" s="338">
        <f t="shared" si="1789"/>
        <v>0</v>
      </c>
      <c r="Q109" s="335">
        <v>630</v>
      </c>
      <c r="R109" s="339">
        <v>49</v>
      </c>
      <c r="S109" s="316">
        <f t="shared" ref="S109:T109" si="1790">IF(ISBLANK(U109),,U109-U108)</f>
        <v>11</v>
      </c>
      <c r="T109" s="334">
        <f t="shared" si="1790"/>
        <v>0</v>
      </c>
      <c r="U109" s="335">
        <v>564</v>
      </c>
      <c r="V109" s="336">
        <v>16</v>
      </c>
      <c r="W109" s="337">
        <f t="shared" ref="W109:X109" si="1791">IF(ISBLANK(Y109),,Y109-Y108)</f>
        <v>7</v>
      </c>
      <c r="X109" s="334">
        <f t="shared" si="1791"/>
        <v>0</v>
      </c>
      <c r="Y109" s="335">
        <v>140</v>
      </c>
      <c r="Z109" s="340">
        <v>0</v>
      </c>
      <c r="AA109" s="316">
        <f t="shared" ref="AA109:AB109" si="1792">IF(ISBLANK(AC109),,AC109-AC108)</f>
        <v>64</v>
      </c>
      <c r="AB109" s="334">
        <f t="shared" si="1792"/>
        <v>4</v>
      </c>
      <c r="AC109" s="335">
        <v>2602</v>
      </c>
      <c r="AD109" s="336">
        <v>118</v>
      </c>
      <c r="AE109" s="337">
        <f t="shared" ref="AE109:AF109" si="1793">IF(ISBLANK(AG109),,AG109-AG108)</f>
        <v>23</v>
      </c>
      <c r="AF109" s="334">
        <f t="shared" si="1793"/>
        <v>0</v>
      </c>
      <c r="AG109" s="335">
        <v>1552</v>
      </c>
      <c r="AH109" s="339">
        <v>40</v>
      </c>
      <c r="AI109" s="316">
        <f t="shared" ref="AI109:AJ109" si="1794">IF(ISBLANK(AK109),,AK109-AK108)</f>
        <v>57</v>
      </c>
      <c r="AJ109" s="334">
        <f t="shared" si="1794"/>
        <v>5</v>
      </c>
      <c r="AK109" s="335">
        <v>4507</v>
      </c>
      <c r="AL109" s="336">
        <v>307</v>
      </c>
      <c r="AM109" s="337">
        <f t="shared" ref="AM109:AN109" si="1795">IF(ISBLANK(AO109),,AO109-AO108)</f>
        <v>7</v>
      </c>
      <c r="AN109" s="334">
        <f t="shared" si="1795"/>
        <v>0</v>
      </c>
      <c r="AO109" s="335">
        <v>818</v>
      </c>
      <c r="AP109" s="339">
        <v>50</v>
      </c>
      <c r="AQ109" s="316">
        <f t="shared" ref="AQ109:AR109" si="1796">IF(ISBLANK(AS109),,AS109-AS108)</f>
        <v>19</v>
      </c>
      <c r="AR109" s="338">
        <f t="shared" si="1796"/>
        <v>0</v>
      </c>
      <c r="AS109" s="335">
        <v>505</v>
      </c>
      <c r="AT109" s="336">
        <v>40</v>
      </c>
      <c r="AU109" s="337">
        <f t="shared" ref="AU109:AV109" si="1797">IF(ISBLANK(AW109),,AW109-AW108)</f>
        <v>18</v>
      </c>
      <c r="AV109" s="334">
        <f t="shared" si="1797"/>
        <v>0</v>
      </c>
      <c r="AW109" s="335">
        <v>646</v>
      </c>
      <c r="AX109" s="339">
        <v>9</v>
      </c>
      <c r="AY109" s="316">
        <f t="shared" ref="AY109:AZ109" si="1798">IF(ISBLANK(BA109),,BA109-BA108)</f>
        <v>6</v>
      </c>
      <c r="AZ109" s="334">
        <f t="shared" si="1798"/>
        <v>0</v>
      </c>
      <c r="BA109" s="335">
        <v>596</v>
      </c>
      <c r="BB109" s="336">
        <v>38</v>
      </c>
      <c r="BC109" s="337">
        <f t="shared" ref="BC109:BD109" si="1799">IF(ISBLANK(BE109),,BE109-BE108)</f>
        <v>158</v>
      </c>
      <c r="BD109" s="334">
        <f t="shared" si="1799"/>
        <v>4</v>
      </c>
      <c r="BE109" s="335">
        <v>11407</v>
      </c>
      <c r="BF109" s="339">
        <v>276</v>
      </c>
      <c r="BG109" s="316">
        <f t="shared" ref="BG109:BH109" si="1800">IF(ISBLANK(BI109),,BI109-BI108)</f>
        <v>22</v>
      </c>
      <c r="BH109" s="334">
        <f t="shared" si="1800"/>
        <v>1</v>
      </c>
      <c r="BI109" s="335">
        <v>657</v>
      </c>
      <c r="BJ109" s="336">
        <v>27</v>
      </c>
      <c r="BK109" s="337">
        <f t="shared" ref="BK109:BL109" si="1801">IF(ISBLANK(BM109),,BM109-BM108)</f>
        <v>4</v>
      </c>
      <c r="BL109" s="334">
        <f t="shared" si="1801"/>
        <v>0</v>
      </c>
      <c r="BM109" s="335">
        <v>196</v>
      </c>
      <c r="BN109" s="339">
        <v>1</v>
      </c>
      <c r="BO109" s="316">
        <f t="shared" ref="BO109:BP109" si="1802">IF(ISBLANK(BQ109),,BQ109-BQ108)</f>
        <v>12</v>
      </c>
      <c r="BP109" s="334">
        <f t="shared" si="1802"/>
        <v>0</v>
      </c>
      <c r="BQ109" s="335">
        <v>2420</v>
      </c>
      <c r="BR109" s="336">
        <v>166</v>
      </c>
      <c r="BS109" s="316">
        <f t="shared" ref="BS109:BT109" si="1803">IF(ISBLANK(BU109),,BU109-BU108)</f>
        <v>3</v>
      </c>
      <c r="BT109" s="334">
        <f t="shared" si="1803"/>
        <v>0</v>
      </c>
      <c r="BU109" s="335">
        <v>591</v>
      </c>
      <c r="BV109" s="336">
        <v>20</v>
      </c>
      <c r="BW109" s="233"/>
      <c r="BX109" s="233"/>
      <c r="BY109" s="233"/>
      <c r="BZ109" s="233"/>
      <c r="CA109" s="233"/>
      <c r="CB109" s="233"/>
      <c r="CC109" s="233"/>
      <c r="CD109" s="233"/>
      <c r="CE109" s="233"/>
    </row>
    <row r="110" spans="1:83" x14ac:dyDescent="0.25">
      <c r="A110" s="313">
        <v>44000</v>
      </c>
      <c r="B110" s="314">
        <f t="shared" si="1276"/>
        <v>107</v>
      </c>
      <c r="C110" s="315"/>
      <c r="D110" s="316">
        <v>314</v>
      </c>
      <c r="E110" s="317">
        <v>30</v>
      </c>
      <c r="F110" s="318">
        <v>15317</v>
      </c>
      <c r="G110" s="319"/>
      <c r="H110" s="330">
        <f t="shared" ref="H110:I110" si="1804">IF(ISBLANK(D110),,H109+D110)</f>
        <v>30959</v>
      </c>
      <c r="I110" s="331">
        <f t="shared" si="1804"/>
        <v>1316</v>
      </c>
      <c r="J110" s="332">
        <f t="shared" si="1"/>
        <v>396</v>
      </c>
      <c r="K110" s="333">
        <f t="shared" ref="K110:L110" si="1805">IF(ISBLANK(M110),,M110-M109)</f>
        <v>11</v>
      </c>
      <c r="L110" s="334">
        <f t="shared" si="1805"/>
        <v>4</v>
      </c>
      <c r="M110" s="335">
        <v>2825</v>
      </c>
      <c r="N110" s="336">
        <v>133</v>
      </c>
      <c r="O110" s="337">
        <f t="shared" ref="O110:P110" si="1806">IF(ISBLANK(Q110),,Q110-Q109)</f>
        <v>11</v>
      </c>
      <c r="P110" s="338">
        <f t="shared" si="1806"/>
        <v>0</v>
      </c>
      <c r="Q110" s="335">
        <v>641</v>
      </c>
      <c r="R110" s="339">
        <v>49</v>
      </c>
      <c r="S110" s="316">
        <f t="shared" ref="S110:T110" si="1807">IF(ISBLANK(U110),,U110-U109)</f>
        <v>6</v>
      </c>
      <c r="T110" s="334">
        <f t="shared" si="1807"/>
        <v>0</v>
      </c>
      <c r="U110" s="335">
        <v>570</v>
      </c>
      <c r="V110" s="336">
        <v>16</v>
      </c>
      <c r="W110" s="337">
        <f t="shared" ref="W110:X110" si="1808">IF(ISBLANK(Y110),,Y110-Y109)</f>
        <v>0</v>
      </c>
      <c r="X110" s="334">
        <f t="shared" si="1808"/>
        <v>0</v>
      </c>
      <c r="Y110" s="335">
        <v>140</v>
      </c>
      <c r="Z110" s="340">
        <v>0</v>
      </c>
      <c r="AA110" s="316">
        <f t="shared" ref="AA110:AB110" si="1809">IF(ISBLANK(AC110),,AC110-AC109)</f>
        <v>75</v>
      </c>
      <c r="AB110" s="334">
        <f t="shared" si="1809"/>
        <v>13</v>
      </c>
      <c r="AC110" s="335">
        <v>2677</v>
      </c>
      <c r="AD110" s="336">
        <v>131</v>
      </c>
      <c r="AE110" s="337">
        <f t="shared" ref="AE110:AF110" si="1810">IF(ISBLANK(AG110),,AG110-AG109)</f>
        <v>12</v>
      </c>
      <c r="AF110" s="334">
        <f t="shared" si="1810"/>
        <v>1</v>
      </c>
      <c r="AG110" s="335">
        <v>1564</v>
      </c>
      <c r="AH110" s="339">
        <v>41</v>
      </c>
      <c r="AI110" s="316">
        <f t="shared" ref="AI110:AJ110" si="1811">IF(ISBLANK(AK110),,AK110-AK109)</f>
        <v>44</v>
      </c>
      <c r="AJ110" s="334">
        <f t="shared" si="1811"/>
        <v>2</v>
      </c>
      <c r="AK110" s="335">
        <v>4551</v>
      </c>
      <c r="AL110" s="336">
        <v>309</v>
      </c>
      <c r="AM110" s="337">
        <f t="shared" ref="AM110:AN110" si="1812">IF(ISBLANK(AO110),,AO110-AO109)</f>
        <v>6</v>
      </c>
      <c r="AN110" s="334">
        <f t="shared" si="1812"/>
        <v>0</v>
      </c>
      <c r="AO110" s="335">
        <v>824</v>
      </c>
      <c r="AP110" s="339">
        <v>50</v>
      </c>
      <c r="AQ110" s="316">
        <f t="shared" ref="AQ110:AR110" si="1813">IF(ISBLANK(AS110),,AS110-AS109)</f>
        <v>12</v>
      </c>
      <c r="AR110" s="338">
        <f t="shared" si="1813"/>
        <v>2</v>
      </c>
      <c r="AS110" s="335">
        <v>517</v>
      </c>
      <c r="AT110" s="336">
        <v>42</v>
      </c>
      <c r="AU110" s="337">
        <f t="shared" ref="AU110:AV110" si="1814">IF(ISBLANK(AW110),,AW110-AW109)</f>
        <v>13</v>
      </c>
      <c r="AV110" s="334">
        <f t="shared" si="1814"/>
        <v>0</v>
      </c>
      <c r="AW110" s="335">
        <v>659</v>
      </c>
      <c r="AX110" s="339">
        <v>9</v>
      </c>
      <c r="AY110" s="316">
        <f t="shared" ref="AY110:AZ110" si="1815">IF(ISBLANK(BA110),,BA110-BA109)</f>
        <v>3</v>
      </c>
      <c r="AZ110" s="334">
        <f t="shared" si="1815"/>
        <v>0</v>
      </c>
      <c r="BA110" s="335">
        <v>599</v>
      </c>
      <c r="BB110" s="336">
        <v>38</v>
      </c>
      <c r="BC110" s="337">
        <f t="shared" ref="BC110:BD110" si="1816">IF(ISBLANK(BE110),,BE110-BE109)</f>
        <v>88</v>
      </c>
      <c r="BD110" s="334">
        <f t="shared" si="1816"/>
        <v>5</v>
      </c>
      <c r="BE110" s="335">
        <v>11495</v>
      </c>
      <c r="BF110" s="339">
        <v>281</v>
      </c>
      <c r="BG110" s="316">
        <f t="shared" ref="BG110:BH110" si="1817">IF(ISBLANK(BI110),,BI110-BI109)</f>
        <v>18</v>
      </c>
      <c r="BH110" s="334">
        <f t="shared" si="1817"/>
        <v>3</v>
      </c>
      <c r="BI110" s="335">
        <v>675</v>
      </c>
      <c r="BJ110" s="336">
        <v>30</v>
      </c>
      <c r="BK110" s="337">
        <f t="shared" ref="BK110:BL110" si="1818">IF(ISBLANK(BM110),,BM110-BM109)</f>
        <v>6</v>
      </c>
      <c r="BL110" s="334">
        <f t="shared" si="1818"/>
        <v>0</v>
      </c>
      <c r="BM110" s="335">
        <v>202</v>
      </c>
      <c r="BN110" s="339">
        <v>1</v>
      </c>
      <c r="BO110" s="316">
        <f t="shared" ref="BO110:BP110" si="1819">IF(ISBLANK(BQ110),,BQ110-BQ109)</f>
        <v>9</v>
      </c>
      <c r="BP110" s="334">
        <f t="shared" si="1819"/>
        <v>0</v>
      </c>
      <c r="BQ110" s="335">
        <v>2429</v>
      </c>
      <c r="BR110" s="336">
        <v>166</v>
      </c>
      <c r="BS110" s="316">
        <f t="shared" ref="BS110:BT110" si="1820">IF(ISBLANK(BU110),,BU110-BU109)</f>
        <v>0</v>
      </c>
      <c r="BT110" s="334">
        <f t="shared" si="1820"/>
        <v>0</v>
      </c>
      <c r="BU110" s="335">
        <v>591</v>
      </c>
      <c r="BV110" s="336">
        <v>20</v>
      </c>
      <c r="BW110" s="233"/>
      <c r="BX110" s="233"/>
      <c r="BY110" s="233"/>
      <c r="BZ110" s="233"/>
      <c r="CA110" s="233"/>
      <c r="CB110" s="233"/>
      <c r="CC110" s="233"/>
      <c r="CD110" s="233"/>
      <c r="CE110" s="233"/>
    </row>
    <row r="111" spans="1:83" x14ac:dyDescent="0.25">
      <c r="A111" s="313">
        <v>44001</v>
      </c>
      <c r="B111" s="314">
        <f t="shared" si="1276"/>
        <v>108</v>
      </c>
      <c r="C111" s="315"/>
      <c r="D111" s="316">
        <v>352</v>
      </c>
      <c r="E111" s="317">
        <v>18</v>
      </c>
      <c r="F111" s="318">
        <v>15698</v>
      </c>
      <c r="G111" s="319"/>
      <c r="H111" s="330">
        <f t="shared" ref="H111:I111" si="1821">IF(ISBLANK(D111),,H110+D111)</f>
        <v>31311</v>
      </c>
      <c r="I111" s="331">
        <f t="shared" si="1821"/>
        <v>1334</v>
      </c>
      <c r="J111" s="332">
        <f t="shared" si="1"/>
        <v>381</v>
      </c>
      <c r="K111" s="333">
        <f t="shared" ref="K111:L111" si="1822">IF(ISBLANK(M111),,M111-M110)</f>
        <v>13</v>
      </c>
      <c r="L111" s="334">
        <f t="shared" si="1822"/>
        <v>2</v>
      </c>
      <c r="M111" s="335">
        <v>2838</v>
      </c>
      <c r="N111" s="336">
        <v>135</v>
      </c>
      <c r="O111" s="337">
        <f t="shared" ref="O111:P111" si="1823">IF(ISBLANK(Q111),,Q111-Q110)</f>
        <v>3</v>
      </c>
      <c r="P111" s="338">
        <f t="shared" si="1823"/>
        <v>0</v>
      </c>
      <c r="Q111" s="335">
        <v>644</v>
      </c>
      <c r="R111" s="339">
        <v>49</v>
      </c>
      <c r="S111" s="316">
        <f t="shared" ref="S111:T111" si="1824">IF(ISBLANK(U111),,U111-U110)</f>
        <v>15</v>
      </c>
      <c r="T111" s="334">
        <f t="shared" si="1824"/>
        <v>1</v>
      </c>
      <c r="U111" s="335">
        <v>585</v>
      </c>
      <c r="V111" s="336">
        <v>17</v>
      </c>
      <c r="W111" s="337">
        <f t="shared" ref="W111:X111" si="1825">IF(ISBLANK(Y111),,Y111-Y110)</f>
        <v>0</v>
      </c>
      <c r="X111" s="334">
        <f t="shared" si="1825"/>
        <v>0</v>
      </c>
      <c r="Y111" s="335">
        <v>140</v>
      </c>
      <c r="Z111" s="340">
        <v>0</v>
      </c>
      <c r="AA111" s="316">
        <f t="shared" ref="AA111:AB111" si="1826">IF(ISBLANK(AC111),,AC111-AC110)</f>
        <v>63</v>
      </c>
      <c r="AB111" s="334">
        <f t="shared" si="1826"/>
        <v>3</v>
      </c>
      <c r="AC111" s="335">
        <v>2740</v>
      </c>
      <c r="AD111" s="336">
        <v>134</v>
      </c>
      <c r="AE111" s="337">
        <f t="shared" ref="AE111:AF111" si="1827">IF(ISBLANK(AG111),,AG111-AG110)</f>
        <v>13</v>
      </c>
      <c r="AF111" s="334">
        <f t="shared" si="1827"/>
        <v>0</v>
      </c>
      <c r="AG111" s="335">
        <v>1577</v>
      </c>
      <c r="AH111" s="339">
        <v>41</v>
      </c>
      <c r="AI111" s="316">
        <f t="shared" ref="AI111:AJ111" si="1828">IF(ISBLANK(AK111),,AK111-AK110)</f>
        <v>84</v>
      </c>
      <c r="AJ111" s="334">
        <f t="shared" si="1828"/>
        <v>0</v>
      </c>
      <c r="AK111" s="335">
        <v>4635</v>
      </c>
      <c r="AL111" s="336">
        <v>309</v>
      </c>
      <c r="AM111" s="337">
        <f t="shared" ref="AM111:AN111" si="1829">IF(ISBLANK(AO111),,AO111-AO110)</f>
        <v>10</v>
      </c>
      <c r="AN111" s="334">
        <f t="shared" si="1829"/>
        <v>0</v>
      </c>
      <c r="AO111" s="335">
        <v>834</v>
      </c>
      <c r="AP111" s="339">
        <v>50</v>
      </c>
      <c r="AQ111" s="316">
        <f t="shared" ref="AQ111:AR111" si="1830">IF(ISBLANK(AS111),,AS111-AS110)</f>
        <v>13</v>
      </c>
      <c r="AR111" s="338">
        <f t="shared" si="1830"/>
        <v>3</v>
      </c>
      <c r="AS111" s="335">
        <v>530</v>
      </c>
      <c r="AT111" s="336">
        <v>45</v>
      </c>
      <c r="AU111" s="337">
        <f t="shared" ref="AU111:AV111" si="1831">IF(ISBLANK(AW111),,AW111-AW110)</f>
        <v>14</v>
      </c>
      <c r="AV111" s="334">
        <f t="shared" si="1831"/>
        <v>1</v>
      </c>
      <c r="AW111" s="335">
        <v>673</v>
      </c>
      <c r="AX111" s="339">
        <v>10</v>
      </c>
      <c r="AY111" s="316">
        <f t="shared" ref="AY111:AZ111" si="1832">IF(ISBLANK(BA111),,BA111-BA110)</f>
        <v>2</v>
      </c>
      <c r="AZ111" s="334">
        <f t="shared" si="1832"/>
        <v>0</v>
      </c>
      <c r="BA111" s="335">
        <v>601</v>
      </c>
      <c r="BB111" s="336">
        <v>38</v>
      </c>
      <c r="BC111" s="337">
        <f t="shared" ref="BC111:BD111" si="1833">IF(ISBLANK(BE111),,BE111-BE110)</f>
        <v>91</v>
      </c>
      <c r="BD111" s="334">
        <f t="shared" si="1833"/>
        <v>7</v>
      </c>
      <c r="BE111" s="335">
        <v>11586</v>
      </c>
      <c r="BF111" s="339">
        <v>288</v>
      </c>
      <c r="BG111" s="316">
        <f t="shared" ref="BG111:BH111" si="1834">IF(ISBLANK(BI111),,BI111-BI110)</f>
        <v>11</v>
      </c>
      <c r="BH111" s="334">
        <f t="shared" si="1834"/>
        <v>0</v>
      </c>
      <c r="BI111" s="335">
        <v>686</v>
      </c>
      <c r="BJ111" s="336">
        <v>30</v>
      </c>
      <c r="BK111" s="337">
        <f t="shared" ref="BK111:BL111" si="1835">IF(ISBLANK(BM111),,BM111-BM110)</f>
        <v>5</v>
      </c>
      <c r="BL111" s="334">
        <f t="shared" si="1835"/>
        <v>0</v>
      </c>
      <c r="BM111" s="335">
        <v>207</v>
      </c>
      <c r="BN111" s="339">
        <v>1</v>
      </c>
      <c r="BO111" s="316">
        <f t="shared" ref="BO111:BP111" si="1836">IF(ISBLANK(BQ111),,BQ111-BQ110)</f>
        <v>11</v>
      </c>
      <c r="BP111" s="334">
        <f t="shared" si="1836"/>
        <v>1</v>
      </c>
      <c r="BQ111" s="335">
        <v>2440</v>
      </c>
      <c r="BR111" s="336">
        <v>167</v>
      </c>
      <c r="BS111" s="316">
        <f t="shared" ref="BS111:BT111" si="1837">IF(ISBLANK(BU111),,BU111-BU110)</f>
        <v>4</v>
      </c>
      <c r="BT111" s="334">
        <f t="shared" si="1837"/>
        <v>0</v>
      </c>
      <c r="BU111" s="335">
        <v>595</v>
      </c>
      <c r="BV111" s="336">
        <v>20</v>
      </c>
      <c r="BW111" s="233"/>
      <c r="BX111" s="233"/>
      <c r="BY111" s="233"/>
      <c r="BZ111" s="233"/>
      <c r="CA111" s="233"/>
      <c r="CB111" s="233"/>
      <c r="CC111" s="233"/>
      <c r="CD111" s="233"/>
      <c r="CE111" s="233"/>
    </row>
    <row r="112" spans="1:83" x14ac:dyDescent="0.25">
      <c r="A112" s="313">
        <v>44002</v>
      </c>
      <c r="B112" s="314">
        <f t="shared" si="1276"/>
        <v>109</v>
      </c>
      <c r="C112" s="315"/>
      <c r="D112" s="316">
        <v>309</v>
      </c>
      <c r="E112" s="317">
        <v>12</v>
      </c>
      <c r="F112" s="318">
        <v>16181</v>
      </c>
      <c r="G112" s="319"/>
      <c r="H112" s="330">
        <f t="shared" ref="H112:I112" si="1838">IF(ISBLANK(D112),,H111+D112)</f>
        <v>31620</v>
      </c>
      <c r="I112" s="331">
        <f t="shared" si="1838"/>
        <v>1346</v>
      </c>
      <c r="J112" s="332">
        <f t="shared" si="1"/>
        <v>483</v>
      </c>
      <c r="K112" s="333">
        <f t="shared" ref="K112:L112" si="1839">IF(ISBLANK(M112),,M112-M111)</f>
        <v>13</v>
      </c>
      <c r="L112" s="334">
        <f t="shared" si="1839"/>
        <v>1</v>
      </c>
      <c r="M112" s="335">
        <v>2851</v>
      </c>
      <c r="N112" s="336">
        <v>136</v>
      </c>
      <c r="O112" s="337">
        <f t="shared" ref="O112:P112" si="1840">IF(ISBLANK(Q112),,Q112-Q111)</f>
        <v>5</v>
      </c>
      <c r="P112" s="338">
        <f t="shared" si="1840"/>
        <v>0</v>
      </c>
      <c r="Q112" s="335">
        <v>649</v>
      </c>
      <c r="R112" s="339">
        <v>49</v>
      </c>
      <c r="S112" s="316">
        <f t="shared" ref="S112:T112" si="1841">IF(ISBLANK(U112),,U112-U111)</f>
        <v>5</v>
      </c>
      <c r="T112" s="334">
        <f t="shared" si="1841"/>
        <v>0</v>
      </c>
      <c r="U112" s="335">
        <v>590</v>
      </c>
      <c r="V112" s="336">
        <v>17</v>
      </c>
      <c r="W112" s="337">
        <f t="shared" ref="W112:X112" si="1842">IF(ISBLANK(Y112),,Y112-Y111)</f>
        <v>3</v>
      </c>
      <c r="X112" s="334">
        <f t="shared" si="1842"/>
        <v>0</v>
      </c>
      <c r="Y112" s="335">
        <v>143</v>
      </c>
      <c r="Z112" s="340">
        <v>0</v>
      </c>
      <c r="AA112" s="316">
        <f t="shared" ref="AA112:AB112" si="1843">IF(ISBLANK(AC112),,AC112-AC111)</f>
        <v>44</v>
      </c>
      <c r="AB112" s="334">
        <f t="shared" si="1843"/>
        <v>0</v>
      </c>
      <c r="AC112" s="335">
        <v>2784</v>
      </c>
      <c r="AD112" s="336">
        <v>134</v>
      </c>
      <c r="AE112" s="337">
        <f t="shared" ref="AE112:AF112" si="1844">IF(ISBLANK(AG112),,AG112-AG111)</f>
        <v>23</v>
      </c>
      <c r="AF112" s="334">
        <f t="shared" si="1844"/>
        <v>2</v>
      </c>
      <c r="AG112" s="335">
        <v>1600</v>
      </c>
      <c r="AH112" s="339">
        <v>43</v>
      </c>
      <c r="AI112" s="316">
        <f t="shared" ref="AI112:AJ112" si="1845">IF(ISBLANK(AK112),,AK112-AK111)</f>
        <v>52</v>
      </c>
      <c r="AJ112" s="334">
        <f t="shared" si="1845"/>
        <v>4</v>
      </c>
      <c r="AK112" s="335">
        <v>4687</v>
      </c>
      <c r="AL112" s="336">
        <v>313</v>
      </c>
      <c r="AM112" s="337">
        <f t="shared" ref="AM112:AN112" si="1846">IF(ISBLANK(AO112),,AO112-AO111)</f>
        <v>4</v>
      </c>
      <c r="AN112" s="334">
        <f t="shared" si="1846"/>
        <v>0</v>
      </c>
      <c r="AO112" s="335">
        <v>838</v>
      </c>
      <c r="AP112" s="339">
        <v>50</v>
      </c>
      <c r="AQ112" s="316">
        <f t="shared" ref="AQ112:AR112" si="1847">IF(ISBLANK(AS112),,AS112-AS111)</f>
        <v>7</v>
      </c>
      <c r="AR112" s="338">
        <f t="shared" si="1847"/>
        <v>1</v>
      </c>
      <c r="AS112" s="335">
        <v>537</v>
      </c>
      <c r="AT112" s="336">
        <v>46</v>
      </c>
      <c r="AU112" s="337">
        <f t="shared" ref="AU112:AV112" si="1848">IF(ISBLANK(AW112),,AW112-AW111)</f>
        <v>15</v>
      </c>
      <c r="AV112" s="334">
        <f t="shared" si="1848"/>
        <v>0</v>
      </c>
      <c r="AW112" s="335">
        <v>688</v>
      </c>
      <c r="AX112" s="339">
        <v>10</v>
      </c>
      <c r="AY112" s="316">
        <f t="shared" ref="AY112:AZ112" si="1849">IF(ISBLANK(BA112),,BA112-BA111)</f>
        <v>2</v>
      </c>
      <c r="AZ112" s="334">
        <f t="shared" si="1849"/>
        <v>0</v>
      </c>
      <c r="BA112" s="335">
        <v>603</v>
      </c>
      <c r="BB112" s="336">
        <v>38</v>
      </c>
      <c r="BC112" s="337">
        <f t="shared" ref="BC112:BD112" si="1850">IF(ISBLANK(BE112),,BE112-BE111)</f>
        <v>114</v>
      </c>
      <c r="BD112" s="334">
        <f t="shared" si="1850"/>
        <v>0</v>
      </c>
      <c r="BE112" s="335">
        <v>11700</v>
      </c>
      <c r="BF112" s="339">
        <v>288</v>
      </c>
      <c r="BG112" s="316">
        <f t="shared" ref="BG112:BH112" si="1851">IF(ISBLANK(BI112),,BI112-BI111)</f>
        <v>11</v>
      </c>
      <c r="BH112" s="334">
        <f t="shared" si="1851"/>
        <v>2</v>
      </c>
      <c r="BI112" s="335">
        <v>697</v>
      </c>
      <c r="BJ112" s="336">
        <v>32</v>
      </c>
      <c r="BK112" s="337">
        <f t="shared" ref="BK112:BL112" si="1852">IF(ISBLANK(BM112),,BM112-BM111)</f>
        <v>2</v>
      </c>
      <c r="BL112" s="334">
        <f t="shared" si="1852"/>
        <v>0</v>
      </c>
      <c r="BM112" s="335">
        <v>209</v>
      </c>
      <c r="BN112" s="339">
        <v>1</v>
      </c>
      <c r="BO112" s="316">
        <f t="shared" ref="BO112:BP112" si="1853">IF(ISBLANK(BQ112),,BQ112-BQ111)</f>
        <v>8</v>
      </c>
      <c r="BP112" s="334">
        <f t="shared" si="1853"/>
        <v>2</v>
      </c>
      <c r="BQ112" s="335">
        <v>2448</v>
      </c>
      <c r="BR112" s="336">
        <v>169</v>
      </c>
      <c r="BS112" s="316">
        <f t="shared" ref="BS112:BT112" si="1854">IF(ISBLANK(BU112),,BU112-BU111)</f>
        <v>1</v>
      </c>
      <c r="BT112" s="334">
        <f t="shared" si="1854"/>
        <v>0</v>
      </c>
      <c r="BU112" s="335">
        <v>596</v>
      </c>
      <c r="BV112" s="336">
        <v>20</v>
      </c>
      <c r="BW112" s="233"/>
      <c r="BX112" s="233"/>
      <c r="BY112" s="233"/>
      <c r="BZ112" s="233"/>
      <c r="CA112" s="233"/>
      <c r="CB112" s="233"/>
      <c r="CC112" s="233"/>
      <c r="CD112" s="233"/>
      <c r="CE112" s="233"/>
    </row>
    <row r="113" spans="1:83" x14ac:dyDescent="0.25">
      <c r="A113" s="313">
        <v>44003</v>
      </c>
      <c r="B113" s="314">
        <f t="shared" si="1276"/>
        <v>110</v>
      </c>
      <c r="C113" s="315"/>
      <c r="D113" s="316">
        <v>311</v>
      </c>
      <c r="E113" s="317">
        <v>10</v>
      </c>
      <c r="F113" s="318">
        <v>16683</v>
      </c>
      <c r="G113" s="319"/>
      <c r="H113" s="330">
        <f t="shared" ref="H113:I113" si="1855">IF(ISBLANK(D113),,H112+D113)</f>
        <v>31931</v>
      </c>
      <c r="I113" s="331">
        <f t="shared" si="1855"/>
        <v>1356</v>
      </c>
      <c r="J113" s="332">
        <f t="shared" si="1"/>
        <v>502</v>
      </c>
      <c r="K113" s="333">
        <f t="shared" ref="K113:L113" si="1856">IF(ISBLANK(M113),,M113-M112)</f>
        <v>2</v>
      </c>
      <c r="L113" s="334">
        <f t="shared" si="1856"/>
        <v>0</v>
      </c>
      <c r="M113" s="335">
        <v>2853</v>
      </c>
      <c r="N113" s="336">
        <v>136</v>
      </c>
      <c r="O113" s="337">
        <f t="shared" ref="O113:P113" si="1857">IF(ISBLANK(Q113),,Q113-Q112)</f>
        <v>3</v>
      </c>
      <c r="P113" s="338">
        <f t="shared" si="1857"/>
        <v>0</v>
      </c>
      <c r="Q113" s="335">
        <v>652</v>
      </c>
      <c r="R113" s="339">
        <v>49</v>
      </c>
      <c r="S113" s="316">
        <f t="shared" ref="S113:T113" si="1858">IF(ISBLANK(U113),,U113-U112)</f>
        <v>11</v>
      </c>
      <c r="T113" s="334">
        <f t="shared" si="1858"/>
        <v>0</v>
      </c>
      <c r="U113" s="335">
        <v>601</v>
      </c>
      <c r="V113" s="336">
        <v>17</v>
      </c>
      <c r="W113" s="337">
        <f t="shared" ref="W113:X113" si="1859">IF(ISBLANK(Y113),,Y113-Y112)</f>
        <v>1</v>
      </c>
      <c r="X113" s="334">
        <f t="shared" si="1859"/>
        <v>0</v>
      </c>
      <c r="Y113" s="335">
        <v>144</v>
      </c>
      <c r="Z113" s="340">
        <v>0</v>
      </c>
      <c r="AA113" s="316">
        <f t="shared" ref="AA113:AB113" si="1860">IF(ISBLANK(AC113),,AC113-AC112)</f>
        <v>43</v>
      </c>
      <c r="AB113" s="334">
        <f t="shared" si="1860"/>
        <v>7</v>
      </c>
      <c r="AC113" s="335">
        <v>2827</v>
      </c>
      <c r="AD113" s="336">
        <v>141</v>
      </c>
      <c r="AE113" s="337">
        <f t="shared" ref="AE113:AF113" si="1861">IF(ISBLANK(AG113),,AG113-AG112)</f>
        <v>16</v>
      </c>
      <c r="AF113" s="334">
        <f t="shared" si="1861"/>
        <v>1</v>
      </c>
      <c r="AG113" s="335">
        <v>1616</v>
      </c>
      <c r="AH113" s="339">
        <v>44</v>
      </c>
      <c r="AI113" s="316">
        <f t="shared" ref="AI113:AJ113" si="1862">IF(ISBLANK(AK113),,AK113-AK112)</f>
        <v>39</v>
      </c>
      <c r="AJ113" s="334">
        <f t="shared" si="1862"/>
        <v>0</v>
      </c>
      <c r="AK113" s="335">
        <v>4726</v>
      </c>
      <c r="AL113" s="336">
        <v>313</v>
      </c>
      <c r="AM113" s="337">
        <f t="shared" ref="AM113:AN113" si="1863">IF(ISBLANK(AO113),,AO113-AO112)</f>
        <v>14</v>
      </c>
      <c r="AN113" s="334">
        <f t="shared" si="1863"/>
        <v>0</v>
      </c>
      <c r="AO113" s="335">
        <v>852</v>
      </c>
      <c r="AP113" s="339">
        <v>50</v>
      </c>
      <c r="AQ113" s="316">
        <f t="shared" ref="AQ113:AR113" si="1864">IF(ISBLANK(AS113),,AS113-AS112)</f>
        <v>13</v>
      </c>
      <c r="AR113" s="338">
        <f t="shared" si="1864"/>
        <v>1</v>
      </c>
      <c r="AS113" s="335">
        <v>550</v>
      </c>
      <c r="AT113" s="336">
        <v>47</v>
      </c>
      <c r="AU113" s="337">
        <f t="shared" ref="AU113:AV113" si="1865">IF(ISBLANK(AW113),,AW113-AW112)</f>
        <v>15</v>
      </c>
      <c r="AV113" s="334">
        <f t="shared" si="1865"/>
        <v>0</v>
      </c>
      <c r="AW113" s="335">
        <v>703</v>
      </c>
      <c r="AX113" s="339">
        <v>10</v>
      </c>
      <c r="AY113" s="316">
        <f t="shared" ref="AY113:AZ113" si="1866">IF(ISBLANK(BA113),,BA113-BA112)</f>
        <v>12</v>
      </c>
      <c r="AZ113" s="334">
        <f t="shared" si="1866"/>
        <v>0</v>
      </c>
      <c r="BA113" s="335">
        <v>615</v>
      </c>
      <c r="BB113" s="336">
        <v>38</v>
      </c>
      <c r="BC113" s="337">
        <f t="shared" ref="BC113:BD113" si="1867">IF(ISBLANK(BE113),,BE113-BE112)</f>
        <v>128</v>
      </c>
      <c r="BD113" s="334">
        <f t="shared" si="1867"/>
        <v>0</v>
      </c>
      <c r="BE113" s="335">
        <v>11828</v>
      </c>
      <c r="BF113" s="339">
        <v>288</v>
      </c>
      <c r="BG113" s="316">
        <f t="shared" ref="BG113:BH113" si="1868">IF(ISBLANK(BI113),,BI113-BI112)</f>
        <v>6</v>
      </c>
      <c r="BH113" s="334">
        <f t="shared" si="1868"/>
        <v>0</v>
      </c>
      <c r="BI113" s="335">
        <v>703</v>
      </c>
      <c r="BJ113" s="336">
        <v>32</v>
      </c>
      <c r="BK113" s="337">
        <f t="shared" ref="BK113:BL113" si="1869">IF(ISBLANK(BM113),,BM113-BM112)</f>
        <v>0</v>
      </c>
      <c r="BL113" s="334">
        <f t="shared" si="1869"/>
        <v>0</v>
      </c>
      <c r="BM113" s="335">
        <v>209</v>
      </c>
      <c r="BN113" s="339">
        <v>1</v>
      </c>
      <c r="BO113" s="316">
        <f t="shared" ref="BO113:BP113" si="1870">IF(ISBLANK(BQ113),,BQ113-BQ112)</f>
        <v>7</v>
      </c>
      <c r="BP113" s="334">
        <f t="shared" si="1870"/>
        <v>1</v>
      </c>
      <c r="BQ113" s="335">
        <v>2455</v>
      </c>
      <c r="BR113" s="336">
        <v>170</v>
      </c>
      <c r="BS113" s="316">
        <f t="shared" ref="BS113:BT113" si="1871">IF(ISBLANK(BU113),,BU113-BU112)</f>
        <v>1</v>
      </c>
      <c r="BT113" s="334">
        <f t="shared" si="1871"/>
        <v>0</v>
      </c>
      <c r="BU113" s="335">
        <v>597</v>
      </c>
      <c r="BV113" s="336">
        <v>20</v>
      </c>
      <c r="BW113" s="233"/>
      <c r="BX113" s="233"/>
      <c r="BY113" s="233"/>
      <c r="BZ113" s="233"/>
      <c r="CA113" s="233"/>
      <c r="CB113" s="233"/>
      <c r="CC113" s="233"/>
      <c r="CD113" s="233"/>
      <c r="CE113" s="233"/>
    </row>
    <row r="114" spans="1:83" x14ac:dyDescent="0.25">
      <c r="A114" s="313">
        <v>44004</v>
      </c>
      <c r="B114" s="314">
        <f t="shared" si="1276"/>
        <v>111</v>
      </c>
      <c r="C114" s="315"/>
      <c r="D114" s="316">
        <v>296</v>
      </c>
      <c r="E114" s="317">
        <v>3</v>
      </c>
      <c r="F114" s="318">
        <v>17076</v>
      </c>
      <c r="G114" s="319"/>
      <c r="H114" s="330">
        <f t="shared" ref="H114:I114" si="1872">IF(ISBLANK(D114),,H113+D114)</f>
        <v>32227</v>
      </c>
      <c r="I114" s="331">
        <f t="shared" si="1872"/>
        <v>1359</v>
      </c>
      <c r="J114" s="332">
        <f t="shared" si="1"/>
        <v>393</v>
      </c>
      <c r="K114" s="333">
        <f t="shared" ref="K114:L114" si="1873">IF(ISBLANK(M114),,M114-M113)</f>
        <v>4</v>
      </c>
      <c r="L114" s="334">
        <f t="shared" si="1873"/>
        <v>0</v>
      </c>
      <c r="M114" s="335">
        <v>2857</v>
      </c>
      <c r="N114" s="336">
        <v>136</v>
      </c>
      <c r="O114" s="337">
        <f t="shared" ref="O114:P114" si="1874">IF(ISBLANK(Q114),,Q114-Q113)</f>
        <v>0</v>
      </c>
      <c r="P114" s="338">
        <f t="shared" si="1874"/>
        <v>0</v>
      </c>
      <c r="Q114" s="335">
        <v>652</v>
      </c>
      <c r="R114" s="339">
        <v>49</v>
      </c>
      <c r="S114" s="316">
        <f t="shared" ref="S114:T114" si="1875">IF(ISBLANK(U114),,U114-U113)</f>
        <v>5</v>
      </c>
      <c r="T114" s="334">
        <f t="shared" si="1875"/>
        <v>0</v>
      </c>
      <c r="U114" s="335">
        <v>606</v>
      </c>
      <c r="V114" s="336">
        <v>17</v>
      </c>
      <c r="W114" s="337">
        <f t="shared" ref="W114:X114" si="1876">IF(ISBLANK(Y114),,Y114-Y113)</f>
        <v>1</v>
      </c>
      <c r="X114" s="334">
        <f t="shared" si="1876"/>
        <v>0</v>
      </c>
      <c r="Y114" s="335">
        <v>145</v>
      </c>
      <c r="Z114" s="340">
        <v>0</v>
      </c>
      <c r="AA114" s="316">
        <f t="shared" ref="AA114:AB114" si="1877">IF(ISBLANK(AC114),,AC114-AC113)</f>
        <v>48</v>
      </c>
      <c r="AB114" s="334">
        <f t="shared" si="1877"/>
        <v>0</v>
      </c>
      <c r="AC114" s="335">
        <v>2875</v>
      </c>
      <c r="AD114" s="336">
        <v>141</v>
      </c>
      <c r="AE114" s="337">
        <f t="shared" ref="AE114:AF114" si="1878">IF(ISBLANK(AG114),,AG114-AG113)</f>
        <v>6</v>
      </c>
      <c r="AF114" s="334">
        <f t="shared" si="1878"/>
        <v>0</v>
      </c>
      <c r="AG114" s="335">
        <v>1622</v>
      </c>
      <c r="AH114" s="339">
        <v>44</v>
      </c>
      <c r="AI114" s="316">
        <f t="shared" ref="AI114:AJ114" si="1879">IF(ISBLANK(AK114),,AK114-AK113)</f>
        <v>33</v>
      </c>
      <c r="AJ114" s="334">
        <f t="shared" si="1879"/>
        <v>0</v>
      </c>
      <c r="AK114" s="335">
        <v>4759</v>
      </c>
      <c r="AL114" s="336">
        <v>313</v>
      </c>
      <c r="AM114" s="337">
        <f t="shared" ref="AM114:AN114" si="1880">IF(ISBLANK(AO114),,AO114-AO113)</f>
        <v>0</v>
      </c>
      <c r="AN114" s="334">
        <f t="shared" si="1880"/>
        <v>0</v>
      </c>
      <c r="AO114" s="335">
        <v>852</v>
      </c>
      <c r="AP114" s="339">
        <v>50</v>
      </c>
      <c r="AQ114" s="316">
        <f t="shared" ref="AQ114:AR114" si="1881">IF(ISBLANK(AS114),,AS114-AS113)</f>
        <v>8</v>
      </c>
      <c r="AR114" s="338">
        <f t="shared" si="1881"/>
        <v>0</v>
      </c>
      <c r="AS114" s="335">
        <v>558</v>
      </c>
      <c r="AT114" s="336">
        <v>47</v>
      </c>
      <c r="AU114" s="337">
        <f t="shared" ref="AU114:AV114" si="1882">IF(ISBLANK(AW114),,AW114-AW113)</f>
        <v>23</v>
      </c>
      <c r="AV114" s="334">
        <f t="shared" si="1882"/>
        <v>0</v>
      </c>
      <c r="AW114" s="335">
        <v>726</v>
      </c>
      <c r="AX114" s="339">
        <v>10</v>
      </c>
      <c r="AY114" s="316">
        <f t="shared" ref="AY114:AZ114" si="1883">IF(ISBLANK(BA114),,BA114-BA113)</f>
        <v>2</v>
      </c>
      <c r="AZ114" s="334">
        <f t="shared" si="1883"/>
        <v>0</v>
      </c>
      <c r="BA114" s="335">
        <v>617</v>
      </c>
      <c r="BB114" s="336">
        <v>38</v>
      </c>
      <c r="BC114" s="337">
        <f t="shared" ref="BC114:BD114" si="1884">IF(ISBLANK(BE114),,BE114-BE113)</f>
        <v>130</v>
      </c>
      <c r="BD114" s="334">
        <f t="shared" si="1884"/>
        <v>3</v>
      </c>
      <c r="BE114" s="335">
        <v>11958</v>
      </c>
      <c r="BF114" s="339">
        <v>291</v>
      </c>
      <c r="BG114" s="316">
        <f t="shared" ref="BG114:BH114" si="1885">IF(ISBLANK(BI114),,BI114-BI113)</f>
        <v>15</v>
      </c>
      <c r="BH114" s="334">
        <f t="shared" si="1885"/>
        <v>0</v>
      </c>
      <c r="BI114" s="335">
        <v>718</v>
      </c>
      <c r="BJ114" s="336">
        <v>32</v>
      </c>
      <c r="BK114" s="337">
        <f t="shared" ref="BK114:BL114" si="1886">IF(ISBLANK(BM114),,BM114-BM113)</f>
        <v>2</v>
      </c>
      <c r="BL114" s="334">
        <f t="shared" si="1886"/>
        <v>0</v>
      </c>
      <c r="BM114" s="335">
        <v>211</v>
      </c>
      <c r="BN114" s="339">
        <v>1</v>
      </c>
      <c r="BO114" s="316">
        <f t="shared" ref="BO114:BP114" si="1887">IF(ISBLANK(BQ114),,BQ114-BQ113)</f>
        <v>19</v>
      </c>
      <c r="BP114" s="334">
        <f t="shared" si="1887"/>
        <v>0</v>
      </c>
      <c r="BQ114" s="335">
        <v>2474</v>
      </c>
      <c r="BR114" s="336">
        <v>170</v>
      </c>
      <c r="BS114" s="316">
        <f t="shared" ref="BS114:BT114" si="1888">IF(ISBLANK(BU114),,BU114-BU113)</f>
        <v>0</v>
      </c>
      <c r="BT114" s="334">
        <f t="shared" si="1888"/>
        <v>0</v>
      </c>
      <c r="BU114" s="335">
        <v>597</v>
      </c>
      <c r="BV114" s="336">
        <v>20</v>
      </c>
      <c r="BW114" s="233"/>
      <c r="BX114" s="233"/>
      <c r="BY114" s="233"/>
      <c r="BZ114" s="233"/>
      <c r="CA114" s="233"/>
      <c r="CB114" s="233"/>
      <c r="CC114" s="233"/>
      <c r="CD114" s="233"/>
      <c r="CE114" s="233"/>
    </row>
    <row r="115" spans="1:83" x14ac:dyDescent="0.25">
      <c r="A115" s="313">
        <v>44005</v>
      </c>
      <c r="B115" s="314">
        <f t="shared" si="1276"/>
        <v>112</v>
      </c>
      <c r="C115" s="315"/>
      <c r="D115" s="316">
        <v>300</v>
      </c>
      <c r="E115" s="317">
        <v>16</v>
      </c>
      <c r="F115" s="318">
        <v>17573</v>
      </c>
      <c r="G115" s="319"/>
      <c r="H115" s="330">
        <f t="shared" ref="H115:I115" si="1889">IF(ISBLANK(D115),,H114+D115)</f>
        <v>32527</v>
      </c>
      <c r="I115" s="331">
        <f t="shared" si="1889"/>
        <v>1375</v>
      </c>
      <c r="J115" s="332">
        <f t="shared" si="1"/>
        <v>497</v>
      </c>
      <c r="K115" s="333">
        <f t="shared" ref="K115:L115" si="1890">IF(ISBLANK(M115),,M115-M114)</f>
        <v>10</v>
      </c>
      <c r="L115" s="334">
        <f t="shared" si="1890"/>
        <v>1</v>
      </c>
      <c r="M115" s="335">
        <v>2867</v>
      </c>
      <c r="N115" s="336">
        <v>137</v>
      </c>
      <c r="O115" s="337">
        <f t="shared" ref="O115:P115" si="1891">IF(ISBLANK(Q115),,Q115-Q114)</f>
        <v>0</v>
      </c>
      <c r="P115" s="338">
        <f t="shared" si="1891"/>
        <v>0</v>
      </c>
      <c r="Q115" s="335">
        <v>652</v>
      </c>
      <c r="R115" s="339">
        <v>49</v>
      </c>
      <c r="S115" s="316">
        <f t="shared" ref="S115:T115" si="1892">IF(ISBLANK(U115),,U115-U114)</f>
        <v>4</v>
      </c>
      <c r="T115" s="334">
        <f t="shared" si="1892"/>
        <v>0</v>
      </c>
      <c r="U115" s="335">
        <v>610</v>
      </c>
      <c r="V115" s="336">
        <v>17</v>
      </c>
      <c r="W115" s="337">
        <f t="shared" ref="W115:X115" si="1893">IF(ISBLANK(Y115),,Y115-Y114)</f>
        <v>0</v>
      </c>
      <c r="X115" s="334">
        <f t="shared" si="1893"/>
        <v>0</v>
      </c>
      <c r="Y115" s="335">
        <v>145</v>
      </c>
      <c r="Z115" s="340">
        <v>0</v>
      </c>
      <c r="AA115" s="316">
        <f t="shared" ref="AA115:AB115" si="1894">IF(ISBLANK(AC115),,AC115-AC114)</f>
        <v>40</v>
      </c>
      <c r="AB115" s="334">
        <f t="shared" si="1894"/>
        <v>5</v>
      </c>
      <c r="AC115" s="335">
        <v>2915</v>
      </c>
      <c r="AD115" s="336">
        <v>146</v>
      </c>
      <c r="AE115" s="337">
        <f t="shared" ref="AE115:AF115" si="1895">IF(ISBLANK(AG115),,AG115-AG114)</f>
        <v>2</v>
      </c>
      <c r="AF115" s="334">
        <f t="shared" si="1895"/>
        <v>0</v>
      </c>
      <c r="AG115" s="335">
        <v>1624</v>
      </c>
      <c r="AH115" s="339">
        <v>44</v>
      </c>
      <c r="AI115" s="316">
        <f t="shared" ref="AI115:AJ115" si="1896">IF(ISBLANK(AK115),,AK115-AK114)</f>
        <v>40</v>
      </c>
      <c r="AJ115" s="334">
        <f t="shared" si="1896"/>
        <v>4</v>
      </c>
      <c r="AK115" s="335">
        <v>4799</v>
      </c>
      <c r="AL115" s="336">
        <v>317</v>
      </c>
      <c r="AM115" s="337">
        <f t="shared" ref="AM115:AN115" si="1897">IF(ISBLANK(AO115),,AO115-AO114)</f>
        <v>5</v>
      </c>
      <c r="AN115" s="334">
        <f t="shared" si="1897"/>
        <v>0</v>
      </c>
      <c r="AO115" s="335">
        <v>857</v>
      </c>
      <c r="AP115" s="339">
        <v>50</v>
      </c>
      <c r="AQ115" s="316">
        <f t="shared" ref="AQ115:AR115" si="1898">IF(ISBLANK(AS115),,AS115-AS114)</f>
        <v>8</v>
      </c>
      <c r="AR115" s="338">
        <f t="shared" si="1898"/>
        <v>1</v>
      </c>
      <c r="AS115" s="335">
        <v>566</v>
      </c>
      <c r="AT115" s="336">
        <v>48</v>
      </c>
      <c r="AU115" s="337">
        <f t="shared" ref="AU115:AV115" si="1899">IF(ISBLANK(AW115),,AW115-AW114)</f>
        <v>10</v>
      </c>
      <c r="AV115" s="334">
        <f t="shared" si="1899"/>
        <v>0</v>
      </c>
      <c r="AW115" s="335">
        <v>736</v>
      </c>
      <c r="AX115" s="339">
        <v>10</v>
      </c>
      <c r="AY115" s="316">
        <f t="shared" ref="AY115:AZ115" si="1900">IF(ISBLANK(BA115),,BA115-BA114)</f>
        <v>19</v>
      </c>
      <c r="AZ115" s="334">
        <f t="shared" si="1900"/>
        <v>0</v>
      </c>
      <c r="BA115" s="335">
        <v>636</v>
      </c>
      <c r="BB115" s="336">
        <v>38</v>
      </c>
      <c r="BC115" s="337">
        <f t="shared" ref="BC115:BD115" si="1901">IF(ISBLANK(BE115),,BE115-BE114)</f>
        <v>129</v>
      </c>
      <c r="BD115" s="334">
        <f t="shared" si="1901"/>
        <v>3</v>
      </c>
      <c r="BE115" s="335">
        <v>12087</v>
      </c>
      <c r="BF115" s="339">
        <v>294</v>
      </c>
      <c r="BG115" s="316">
        <f t="shared" ref="BG115:BH115" si="1902">IF(ISBLANK(BI115),,BI115-BI114)</f>
        <v>2</v>
      </c>
      <c r="BH115" s="334">
        <f t="shared" si="1902"/>
        <v>2</v>
      </c>
      <c r="BI115" s="335">
        <v>720</v>
      </c>
      <c r="BJ115" s="336">
        <v>34</v>
      </c>
      <c r="BK115" s="337">
        <f t="shared" ref="BK115:BL115" si="1903">IF(ISBLANK(BM115),,BM115-BM114)</f>
        <v>2</v>
      </c>
      <c r="BL115" s="334">
        <f t="shared" si="1903"/>
        <v>0</v>
      </c>
      <c r="BM115" s="335">
        <v>213</v>
      </c>
      <c r="BN115" s="339">
        <v>1</v>
      </c>
      <c r="BO115" s="316">
        <f t="shared" ref="BO115:BP115" si="1904">IF(ISBLANK(BQ115),,BQ115-BQ114)</f>
        <v>27</v>
      </c>
      <c r="BP115" s="334">
        <f t="shared" si="1904"/>
        <v>0</v>
      </c>
      <c r="BQ115" s="335">
        <v>2501</v>
      </c>
      <c r="BR115" s="336">
        <v>170</v>
      </c>
      <c r="BS115" s="316">
        <f t="shared" ref="BS115:BT115" si="1905">IF(ISBLANK(BU115),,BU115-BU114)</f>
        <v>2</v>
      </c>
      <c r="BT115" s="334">
        <f t="shared" si="1905"/>
        <v>0</v>
      </c>
      <c r="BU115" s="335">
        <v>599</v>
      </c>
      <c r="BV115" s="336">
        <v>20</v>
      </c>
      <c r="BW115" s="233"/>
      <c r="BX115" s="233"/>
      <c r="BY115" s="233"/>
      <c r="BZ115" s="233"/>
      <c r="CA115" s="233"/>
      <c r="CB115" s="233"/>
      <c r="CC115" s="233"/>
      <c r="CD115" s="233"/>
      <c r="CE115" s="233"/>
    </row>
    <row r="116" spans="1:83" x14ac:dyDescent="0.25">
      <c r="A116" s="313">
        <v>44006</v>
      </c>
      <c r="B116" s="314">
        <f t="shared" si="1276"/>
        <v>113</v>
      </c>
      <c r="C116" s="315"/>
      <c r="D116" s="316">
        <v>294</v>
      </c>
      <c r="E116" s="317">
        <v>21</v>
      </c>
      <c r="F116" s="318">
        <v>18134</v>
      </c>
      <c r="G116" s="319"/>
      <c r="H116" s="330">
        <f t="shared" ref="H116:I116" si="1906">IF(ISBLANK(D116),,H115+D116)</f>
        <v>32821</v>
      </c>
      <c r="I116" s="331">
        <f t="shared" si="1906"/>
        <v>1396</v>
      </c>
      <c r="J116" s="332">
        <f t="shared" si="1"/>
        <v>561</v>
      </c>
      <c r="K116" s="333">
        <f t="shared" ref="K116:L116" si="1907">IF(ISBLANK(M116),,M116-M115)</f>
        <v>11</v>
      </c>
      <c r="L116" s="334">
        <f t="shared" si="1907"/>
        <v>0</v>
      </c>
      <c r="M116" s="335">
        <v>2878</v>
      </c>
      <c r="N116" s="336">
        <v>137</v>
      </c>
      <c r="O116" s="337">
        <f t="shared" ref="O116:P116" si="1908">IF(ISBLANK(Q116),,Q116-Q115)</f>
        <v>1</v>
      </c>
      <c r="P116" s="338">
        <f t="shared" si="1908"/>
        <v>0</v>
      </c>
      <c r="Q116" s="335">
        <v>653</v>
      </c>
      <c r="R116" s="339">
        <v>49</v>
      </c>
      <c r="S116" s="316">
        <f t="shared" ref="S116:T116" si="1909">IF(ISBLANK(U116),,U116-U115)</f>
        <v>4</v>
      </c>
      <c r="T116" s="334">
        <f t="shared" si="1909"/>
        <v>0</v>
      </c>
      <c r="U116" s="335">
        <v>614</v>
      </c>
      <c r="V116" s="336">
        <v>17</v>
      </c>
      <c r="W116" s="337">
        <f t="shared" ref="W116:X116" si="1910">IF(ISBLANK(Y116),,Y116-Y115)</f>
        <v>0</v>
      </c>
      <c r="X116" s="334">
        <f t="shared" si="1910"/>
        <v>0</v>
      </c>
      <c r="Y116" s="335">
        <v>145</v>
      </c>
      <c r="Z116" s="340">
        <v>0</v>
      </c>
      <c r="AA116" s="316">
        <f t="shared" ref="AA116:AB116" si="1911">IF(ISBLANK(AC116),,AC116-AC115)</f>
        <v>39</v>
      </c>
      <c r="AB116" s="334">
        <f t="shared" si="1911"/>
        <v>3</v>
      </c>
      <c r="AC116" s="335">
        <v>2954</v>
      </c>
      <c r="AD116" s="336">
        <v>149</v>
      </c>
      <c r="AE116" s="337">
        <f t="shared" ref="AE116:AF116" si="1912">IF(ISBLANK(AG116),,AG116-AG115)</f>
        <v>5</v>
      </c>
      <c r="AF116" s="334">
        <f t="shared" si="1912"/>
        <v>0</v>
      </c>
      <c r="AG116" s="335">
        <v>1629</v>
      </c>
      <c r="AH116" s="339">
        <v>44</v>
      </c>
      <c r="AI116" s="316">
        <f t="shared" ref="AI116:AJ116" si="1913">IF(ISBLANK(AK116),,AK116-AK115)</f>
        <v>33</v>
      </c>
      <c r="AJ116" s="334">
        <f t="shared" si="1913"/>
        <v>6</v>
      </c>
      <c r="AK116" s="335">
        <v>4832</v>
      </c>
      <c r="AL116" s="336">
        <v>323</v>
      </c>
      <c r="AM116" s="337">
        <f t="shared" ref="AM116:AN116" si="1914">IF(ISBLANK(AO116),,AO116-AO115)</f>
        <v>9</v>
      </c>
      <c r="AN116" s="334">
        <f t="shared" si="1914"/>
        <v>0</v>
      </c>
      <c r="AO116" s="335">
        <v>866</v>
      </c>
      <c r="AP116" s="339">
        <v>50</v>
      </c>
      <c r="AQ116" s="316">
        <f t="shared" ref="AQ116:AR116" si="1915">IF(ISBLANK(AS116),,AS116-AS115)</f>
        <v>12</v>
      </c>
      <c r="AR116" s="338">
        <f t="shared" si="1915"/>
        <v>2</v>
      </c>
      <c r="AS116" s="335">
        <v>578</v>
      </c>
      <c r="AT116" s="336">
        <v>50</v>
      </c>
      <c r="AU116" s="337">
        <f t="shared" ref="AU116:AV116" si="1916">IF(ISBLANK(AW116),,AW116-AW115)</f>
        <v>13</v>
      </c>
      <c r="AV116" s="334">
        <f t="shared" si="1916"/>
        <v>0</v>
      </c>
      <c r="AW116" s="335">
        <v>749</v>
      </c>
      <c r="AX116" s="339">
        <v>10</v>
      </c>
      <c r="AY116" s="316">
        <f t="shared" ref="AY116:AZ116" si="1917">IF(ISBLANK(BA116),,BA116-BA115)</f>
        <v>7</v>
      </c>
      <c r="AZ116" s="334">
        <f t="shared" si="1917"/>
        <v>0</v>
      </c>
      <c r="BA116" s="335">
        <v>643</v>
      </c>
      <c r="BB116" s="336">
        <v>38</v>
      </c>
      <c r="BC116" s="337">
        <f t="shared" ref="BC116:BD116" si="1918">IF(ISBLANK(BE116),,BE116-BE115)</f>
        <v>108</v>
      </c>
      <c r="BD116" s="334">
        <f t="shared" si="1918"/>
        <v>7</v>
      </c>
      <c r="BE116" s="335">
        <v>12195</v>
      </c>
      <c r="BF116" s="339">
        <v>301</v>
      </c>
      <c r="BG116" s="316">
        <f t="shared" ref="BG116:BH116" si="1919">IF(ISBLANK(BI116),,BI116-BI115)</f>
        <v>21</v>
      </c>
      <c r="BH116" s="334">
        <f t="shared" si="1919"/>
        <v>2</v>
      </c>
      <c r="BI116" s="335">
        <v>741</v>
      </c>
      <c r="BJ116" s="336">
        <v>36</v>
      </c>
      <c r="BK116" s="337">
        <f t="shared" ref="BK116:BL116" si="1920">IF(ISBLANK(BM116),,BM116-BM115)</f>
        <v>10</v>
      </c>
      <c r="BL116" s="334">
        <f t="shared" si="1920"/>
        <v>0</v>
      </c>
      <c r="BM116" s="335">
        <v>223</v>
      </c>
      <c r="BN116" s="339">
        <v>1</v>
      </c>
      <c r="BO116" s="316">
        <f t="shared" ref="BO116:BP116" si="1921">IF(ISBLANK(BQ116),,BQ116-BQ115)</f>
        <v>17</v>
      </c>
      <c r="BP116" s="334">
        <f t="shared" si="1921"/>
        <v>1</v>
      </c>
      <c r="BQ116" s="335">
        <v>2518</v>
      </c>
      <c r="BR116" s="336">
        <v>171</v>
      </c>
      <c r="BS116" s="316">
        <f t="shared" ref="BS116:BT116" si="1922">IF(ISBLANK(BU116),,BU116-BU115)</f>
        <v>4</v>
      </c>
      <c r="BT116" s="334">
        <f t="shared" si="1922"/>
        <v>0</v>
      </c>
      <c r="BU116" s="335">
        <v>603</v>
      </c>
      <c r="BV116" s="336">
        <v>20</v>
      </c>
      <c r="BW116" s="233"/>
      <c r="BX116" s="233"/>
      <c r="BY116" s="233"/>
      <c r="BZ116" s="233"/>
      <c r="CA116" s="233"/>
      <c r="CB116" s="233"/>
      <c r="CC116" s="233"/>
      <c r="CD116" s="233"/>
      <c r="CE116" s="233"/>
    </row>
    <row r="117" spans="1:83" x14ac:dyDescent="0.25">
      <c r="A117" s="313">
        <v>44007</v>
      </c>
      <c r="B117" s="314">
        <f t="shared" si="1276"/>
        <v>114</v>
      </c>
      <c r="C117" s="315"/>
      <c r="D117" s="316">
        <v>289</v>
      </c>
      <c r="E117" s="317">
        <v>16</v>
      </c>
      <c r="F117" s="318">
        <v>18654</v>
      </c>
      <c r="G117" s="319"/>
      <c r="H117" s="330">
        <f t="shared" ref="H117:I117" si="1923">IF(ISBLANK(D117),,H116+D117)</f>
        <v>33110</v>
      </c>
      <c r="I117" s="331">
        <f t="shared" si="1923"/>
        <v>1412</v>
      </c>
      <c r="J117" s="332">
        <f t="shared" si="1"/>
        <v>520</v>
      </c>
      <c r="K117" s="333">
        <f t="shared" ref="K117:L117" si="1924">IF(ISBLANK(M117),,M117-M116)</f>
        <v>6</v>
      </c>
      <c r="L117" s="334">
        <f t="shared" si="1924"/>
        <v>1</v>
      </c>
      <c r="M117" s="335">
        <v>2884</v>
      </c>
      <c r="N117" s="336">
        <v>138</v>
      </c>
      <c r="O117" s="337">
        <f t="shared" ref="O117:P117" si="1925">IF(ISBLANK(Q117),,Q117-Q116)</f>
        <v>8</v>
      </c>
      <c r="P117" s="338">
        <f t="shared" si="1925"/>
        <v>0</v>
      </c>
      <c r="Q117" s="335">
        <v>661</v>
      </c>
      <c r="R117" s="339">
        <v>49</v>
      </c>
      <c r="S117" s="316">
        <f t="shared" ref="S117:T117" si="1926">IF(ISBLANK(U117),,U117-U116)</f>
        <v>5</v>
      </c>
      <c r="T117" s="334">
        <f t="shared" si="1926"/>
        <v>0</v>
      </c>
      <c r="U117" s="335">
        <v>619</v>
      </c>
      <c r="V117" s="336">
        <v>17</v>
      </c>
      <c r="W117" s="337">
        <f t="shared" ref="W117:X117" si="1927">IF(ISBLANK(Y117),,Y117-Y116)</f>
        <v>1</v>
      </c>
      <c r="X117" s="334">
        <f t="shared" si="1927"/>
        <v>0</v>
      </c>
      <c r="Y117" s="335">
        <v>146</v>
      </c>
      <c r="Z117" s="340">
        <v>0</v>
      </c>
      <c r="AA117" s="316">
        <f t="shared" ref="AA117:AB117" si="1928">IF(ISBLANK(AC117),,AC117-AC116)</f>
        <v>34</v>
      </c>
      <c r="AB117" s="334">
        <f t="shared" si="1928"/>
        <v>7</v>
      </c>
      <c r="AC117" s="335">
        <v>2988</v>
      </c>
      <c r="AD117" s="336">
        <v>156</v>
      </c>
      <c r="AE117" s="337">
        <f t="shared" ref="AE117:AF117" si="1929">IF(ISBLANK(AG117),,AG117-AG116)</f>
        <v>11</v>
      </c>
      <c r="AF117" s="334">
        <f t="shared" si="1929"/>
        <v>0</v>
      </c>
      <c r="AG117" s="335">
        <v>1640</v>
      </c>
      <c r="AH117" s="339">
        <v>44</v>
      </c>
      <c r="AI117" s="316">
        <f t="shared" ref="AI117:AJ117" si="1930">IF(ISBLANK(AK117),,AK117-AK116)</f>
        <v>25</v>
      </c>
      <c r="AJ117" s="334">
        <f t="shared" si="1930"/>
        <v>0</v>
      </c>
      <c r="AK117" s="335">
        <v>4857</v>
      </c>
      <c r="AL117" s="336">
        <v>323</v>
      </c>
      <c r="AM117" s="337">
        <f t="shared" ref="AM117:AN117" si="1931">IF(ISBLANK(AO117),,AO117-AO116)</f>
        <v>23</v>
      </c>
      <c r="AN117" s="334">
        <f t="shared" si="1931"/>
        <v>0</v>
      </c>
      <c r="AO117" s="335">
        <v>889</v>
      </c>
      <c r="AP117" s="339">
        <v>50</v>
      </c>
      <c r="AQ117" s="316">
        <f t="shared" ref="AQ117:AR117" si="1932">IF(ISBLANK(AS117),,AS117-AS116)</f>
        <v>12</v>
      </c>
      <c r="AR117" s="338">
        <f t="shared" si="1932"/>
        <v>0</v>
      </c>
      <c r="AS117" s="335">
        <v>590</v>
      </c>
      <c r="AT117" s="336">
        <v>50</v>
      </c>
      <c r="AU117" s="337">
        <f t="shared" ref="AU117:AV117" si="1933">IF(ISBLANK(AW117),,AW117-AW116)</f>
        <v>14</v>
      </c>
      <c r="AV117" s="334">
        <f t="shared" si="1933"/>
        <v>0</v>
      </c>
      <c r="AW117" s="335">
        <v>763</v>
      </c>
      <c r="AX117" s="339">
        <v>10</v>
      </c>
      <c r="AY117" s="316">
        <f t="shared" ref="AY117:AZ117" si="1934">IF(ISBLANK(BA117),,BA117-BA116)</f>
        <v>3</v>
      </c>
      <c r="AZ117" s="334">
        <f t="shared" si="1934"/>
        <v>0</v>
      </c>
      <c r="BA117" s="335">
        <v>646</v>
      </c>
      <c r="BB117" s="336">
        <v>38</v>
      </c>
      <c r="BC117" s="337">
        <f t="shared" ref="BC117:BD117" si="1935">IF(ISBLANK(BE117),,BE117-BE116)</f>
        <v>125</v>
      </c>
      <c r="BD117" s="334">
        <f t="shared" si="1935"/>
        <v>7</v>
      </c>
      <c r="BE117" s="335">
        <v>12320</v>
      </c>
      <c r="BF117" s="339">
        <v>308</v>
      </c>
      <c r="BG117" s="316">
        <f t="shared" ref="BG117:BH117" si="1936">IF(ISBLANK(BI117),,BI117-BI116)</f>
        <v>8</v>
      </c>
      <c r="BH117" s="334">
        <f t="shared" si="1936"/>
        <v>0</v>
      </c>
      <c r="BI117" s="335">
        <v>749</v>
      </c>
      <c r="BJ117" s="336">
        <v>36</v>
      </c>
      <c r="BK117" s="337">
        <f t="shared" ref="BK117:BL117" si="1937">IF(ISBLANK(BM117),,BM117-BM116)</f>
        <v>4</v>
      </c>
      <c r="BL117" s="334">
        <f t="shared" si="1937"/>
        <v>0</v>
      </c>
      <c r="BM117" s="335">
        <v>227</v>
      </c>
      <c r="BN117" s="339">
        <v>1</v>
      </c>
      <c r="BO117" s="316">
        <f t="shared" ref="BO117:BP117" si="1938">IF(ISBLANK(BQ117),,BQ117-BQ116)</f>
        <v>9</v>
      </c>
      <c r="BP117" s="334">
        <f t="shared" si="1938"/>
        <v>1</v>
      </c>
      <c r="BQ117" s="335">
        <v>2527</v>
      </c>
      <c r="BR117" s="336">
        <v>172</v>
      </c>
      <c r="BS117" s="316">
        <f t="shared" ref="BS117:BT117" si="1939">IF(ISBLANK(BU117),,BU117-BU116)</f>
        <v>1</v>
      </c>
      <c r="BT117" s="334">
        <f t="shared" si="1939"/>
        <v>0</v>
      </c>
      <c r="BU117" s="335">
        <v>604</v>
      </c>
      <c r="BV117" s="336">
        <v>20</v>
      </c>
      <c r="BW117" s="233"/>
      <c r="BX117" s="233"/>
      <c r="BY117" s="233"/>
      <c r="BZ117" s="233"/>
      <c r="CA117" s="233"/>
      <c r="CB117" s="233"/>
      <c r="CC117" s="233"/>
      <c r="CD117" s="233"/>
      <c r="CE117" s="233"/>
    </row>
    <row r="118" spans="1:83" x14ac:dyDescent="0.25">
      <c r="A118" s="313">
        <v>44008</v>
      </c>
      <c r="B118" s="314">
        <f t="shared" si="1276"/>
        <v>115</v>
      </c>
      <c r="C118" s="315"/>
      <c r="D118" s="316">
        <v>285</v>
      </c>
      <c r="E118" s="317">
        <v>17</v>
      </c>
      <c r="F118" s="318">
        <v>19218</v>
      </c>
      <c r="G118" s="319"/>
      <c r="H118" s="330">
        <f t="shared" ref="H118:I118" si="1940">IF(ISBLANK(D118),,H117+D118)</f>
        <v>33395</v>
      </c>
      <c r="I118" s="331">
        <f t="shared" si="1940"/>
        <v>1429</v>
      </c>
      <c r="J118" s="332">
        <f t="shared" si="1"/>
        <v>564</v>
      </c>
      <c r="K118" s="333">
        <f t="shared" ref="K118:L118" si="1941">IF(ISBLANK(M118),,M118-M117)</f>
        <v>18</v>
      </c>
      <c r="L118" s="334">
        <f t="shared" si="1941"/>
        <v>1</v>
      </c>
      <c r="M118" s="335">
        <v>2902</v>
      </c>
      <c r="N118" s="336">
        <v>139</v>
      </c>
      <c r="O118" s="337">
        <f t="shared" ref="O118:P118" si="1942">IF(ISBLANK(Q118),,Q118-Q117)</f>
        <v>0</v>
      </c>
      <c r="P118" s="338">
        <f t="shared" si="1942"/>
        <v>0</v>
      </c>
      <c r="Q118" s="335">
        <v>661</v>
      </c>
      <c r="R118" s="339">
        <v>49</v>
      </c>
      <c r="S118" s="316">
        <f t="shared" ref="S118:T118" si="1943">IF(ISBLANK(U118),,U118-U117)</f>
        <v>3</v>
      </c>
      <c r="T118" s="334">
        <f t="shared" si="1943"/>
        <v>0</v>
      </c>
      <c r="U118" s="335">
        <v>622</v>
      </c>
      <c r="V118" s="336">
        <v>17</v>
      </c>
      <c r="W118" s="337">
        <f t="shared" ref="W118:X118" si="1944">IF(ISBLANK(Y118),,Y118-Y117)</f>
        <v>1</v>
      </c>
      <c r="X118" s="334">
        <f t="shared" si="1944"/>
        <v>0</v>
      </c>
      <c r="Y118" s="335">
        <v>147</v>
      </c>
      <c r="Z118" s="340">
        <v>0</v>
      </c>
      <c r="AA118" s="316">
        <f t="shared" ref="AA118:AB118" si="1945">IF(ISBLANK(AC118),,AC118-AC117)</f>
        <v>20</v>
      </c>
      <c r="AB118" s="334">
        <f t="shared" si="1945"/>
        <v>5</v>
      </c>
      <c r="AC118" s="335">
        <v>3008</v>
      </c>
      <c r="AD118" s="336">
        <v>161</v>
      </c>
      <c r="AE118" s="337">
        <f t="shared" ref="AE118:AF118" si="1946">IF(ISBLANK(AG118),,AG118-AG117)</f>
        <v>17</v>
      </c>
      <c r="AF118" s="334">
        <f t="shared" si="1946"/>
        <v>0</v>
      </c>
      <c r="AG118" s="335">
        <v>1657</v>
      </c>
      <c r="AH118" s="339">
        <v>44</v>
      </c>
      <c r="AI118" s="316">
        <f t="shared" ref="AI118:AJ118" si="1947">IF(ISBLANK(AK118),,AK118-AK117)</f>
        <v>45</v>
      </c>
      <c r="AJ118" s="334">
        <f t="shared" si="1947"/>
        <v>2</v>
      </c>
      <c r="AK118" s="335">
        <v>4902</v>
      </c>
      <c r="AL118" s="336">
        <v>325</v>
      </c>
      <c r="AM118" s="337">
        <f t="shared" ref="AM118:AN118" si="1948">IF(ISBLANK(AO118),,AO118-AO117)</f>
        <v>3</v>
      </c>
      <c r="AN118" s="334">
        <f t="shared" si="1948"/>
        <v>0</v>
      </c>
      <c r="AO118" s="335">
        <v>892</v>
      </c>
      <c r="AP118" s="339">
        <v>50</v>
      </c>
      <c r="AQ118" s="316">
        <f t="shared" ref="AQ118:AR118" si="1949">IF(ISBLANK(AS118),,AS118-AS117)</f>
        <v>14</v>
      </c>
      <c r="AR118" s="338">
        <f t="shared" si="1949"/>
        <v>0</v>
      </c>
      <c r="AS118" s="335">
        <v>604</v>
      </c>
      <c r="AT118" s="336">
        <v>50</v>
      </c>
      <c r="AU118" s="337">
        <f t="shared" ref="AU118:AV118" si="1950">IF(ISBLANK(AW118),,AW118-AW117)</f>
        <v>15</v>
      </c>
      <c r="AV118" s="334">
        <f t="shared" si="1950"/>
        <v>0</v>
      </c>
      <c r="AW118" s="335">
        <v>778</v>
      </c>
      <c r="AX118" s="339">
        <v>10</v>
      </c>
      <c r="AY118" s="316">
        <f t="shared" ref="AY118:AZ118" si="1951">IF(ISBLANK(BA118),,BA118-BA117)</f>
        <v>3</v>
      </c>
      <c r="AZ118" s="334">
        <f t="shared" si="1951"/>
        <v>0</v>
      </c>
      <c r="BA118" s="335">
        <v>649</v>
      </c>
      <c r="BB118" s="336">
        <v>38</v>
      </c>
      <c r="BC118" s="337">
        <f t="shared" ref="BC118:BD118" si="1952">IF(ISBLANK(BE118),,BE118-BE117)</f>
        <v>96</v>
      </c>
      <c r="BD118" s="334">
        <f t="shared" si="1952"/>
        <v>9</v>
      </c>
      <c r="BE118" s="335">
        <v>12416</v>
      </c>
      <c r="BF118" s="339">
        <v>317</v>
      </c>
      <c r="BG118" s="316">
        <f t="shared" ref="BG118:BH118" si="1953">IF(ISBLANK(BI118),,BI118-BI117)</f>
        <v>2</v>
      </c>
      <c r="BH118" s="334">
        <f t="shared" si="1953"/>
        <v>0</v>
      </c>
      <c r="BI118" s="335">
        <v>751</v>
      </c>
      <c r="BJ118" s="336">
        <v>36</v>
      </c>
      <c r="BK118" s="337">
        <f t="shared" ref="BK118:BL118" si="1954">IF(ISBLANK(BM118),,BM118-BM117)</f>
        <v>9</v>
      </c>
      <c r="BL118" s="334">
        <f t="shared" si="1954"/>
        <v>0</v>
      </c>
      <c r="BM118" s="335">
        <v>236</v>
      </c>
      <c r="BN118" s="339">
        <v>1</v>
      </c>
      <c r="BO118" s="316">
        <f t="shared" ref="BO118:BP118" si="1955">IF(ISBLANK(BQ118),,BQ118-BQ117)</f>
        <v>35</v>
      </c>
      <c r="BP118" s="334">
        <f t="shared" si="1955"/>
        <v>0</v>
      </c>
      <c r="BQ118" s="335">
        <v>2562</v>
      </c>
      <c r="BR118" s="336">
        <v>172</v>
      </c>
      <c r="BS118" s="316">
        <f t="shared" ref="BS118:BT118" si="1956">IF(ISBLANK(BU118),,BU118-BU117)</f>
        <v>4</v>
      </c>
      <c r="BT118" s="334">
        <f t="shared" si="1956"/>
        <v>0</v>
      </c>
      <c r="BU118" s="335">
        <v>608</v>
      </c>
      <c r="BV118" s="336">
        <v>20</v>
      </c>
      <c r="BW118" s="233"/>
      <c r="BX118" s="233"/>
      <c r="BY118" s="233"/>
      <c r="BZ118" s="233"/>
      <c r="CA118" s="233"/>
      <c r="CB118" s="233"/>
      <c r="CC118" s="233"/>
      <c r="CD118" s="233"/>
      <c r="CE118" s="233"/>
    </row>
    <row r="119" spans="1:83" x14ac:dyDescent="0.25">
      <c r="A119" s="313">
        <v>44009</v>
      </c>
      <c r="B119" s="314">
        <f t="shared" si="1276"/>
        <v>116</v>
      </c>
      <c r="C119" s="315"/>
      <c r="D119" s="316">
        <v>319</v>
      </c>
      <c r="E119" s="317">
        <v>6</v>
      </c>
      <c r="F119" s="318">
        <v>19972</v>
      </c>
      <c r="G119" s="319"/>
      <c r="H119" s="330">
        <f t="shared" ref="H119:I119" si="1957">IF(ISBLANK(D119),,H118+D119)</f>
        <v>33714</v>
      </c>
      <c r="I119" s="331">
        <f t="shared" si="1957"/>
        <v>1435</v>
      </c>
      <c r="J119" s="332">
        <f t="shared" si="1"/>
        <v>754</v>
      </c>
      <c r="K119" s="333">
        <f t="shared" ref="K119:L119" si="1958">IF(ISBLANK(M119),,M119-M118)</f>
        <v>6</v>
      </c>
      <c r="L119" s="334">
        <f t="shared" si="1958"/>
        <v>0</v>
      </c>
      <c r="M119" s="335">
        <v>2908</v>
      </c>
      <c r="N119" s="336">
        <v>139</v>
      </c>
      <c r="O119" s="337">
        <f t="shared" ref="O119:P119" si="1959">IF(ISBLANK(Q119),,Q119-Q118)</f>
        <v>5</v>
      </c>
      <c r="P119" s="338">
        <f t="shared" si="1959"/>
        <v>0</v>
      </c>
      <c r="Q119" s="335">
        <v>666</v>
      </c>
      <c r="R119" s="339">
        <v>49</v>
      </c>
      <c r="S119" s="316">
        <f t="shared" ref="S119:T119" si="1960">IF(ISBLANK(U119),,U119-U118)</f>
        <v>10</v>
      </c>
      <c r="T119" s="334">
        <f t="shared" si="1960"/>
        <v>0</v>
      </c>
      <c r="U119" s="335">
        <v>632</v>
      </c>
      <c r="V119" s="336">
        <v>17</v>
      </c>
      <c r="W119" s="337">
        <f t="shared" ref="W119:X119" si="1961">IF(ISBLANK(Y119),,Y119-Y118)</f>
        <v>2</v>
      </c>
      <c r="X119" s="334">
        <f t="shared" si="1961"/>
        <v>0</v>
      </c>
      <c r="Y119" s="335">
        <v>149</v>
      </c>
      <c r="Z119" s="340">
        <v>0</v>
      </c>
      <c r="AA119" s="316">
        <f t="shared" ref="AA119:AB119" si="1962">IF(ISBLANK(AC119),,AC119-AC118)</f>
        <v>49</v>
      </c>
      <c r="AB119" s="334">
        <f t="shared" si="1962"/>
        <v>1</v>
      </c>
      <c r="AC119" s="335">
        <v>3057</v>
      </c>
      <c r="AD119" s="336">
        <v>162</v>
      </c>
      <c r="AE119" s="337">
        <f t="shared" ref="AE119:AF119" si="1963">IF(ISBLANK(AG119),,AG119-AG118)</f>
        <v>10</v>
      </c>
      <c r="AF119" s="334">
        <f t="shared" si="1963"/>
        <v>0</v>
      </c>
      <c r="AG119" s="335">
        <v>1667</v>
      </c>
      <c r="AH119" s="339">
        <v>44</v>
      </c>
      <c r="AI119" s="316">
        <f t="shared" ref="AI119:AJ119" si="1964">IF(ISBLANK(AK119),,AK119-AK118)</f>
        <v>41</v>
      </c>
      <c r="AJ119" s="334">
        <f t="shared" si="1964"/>
        <v>1</v>
      </c>
      <c r="AK119" s="335">
        <v>4943</v>
      </c>
      <c r="AL119" s="336">
        <v>326</v>
      </c>
      <c r="AM119" s="337">
        <f t="shared" ref="AM119:AN119" si="1965">IF(ISBLANK(AO119),,AO119-AO118)</f>
        <v>21</v>
      </c>
      <c r="AN119" s="334">
        <f t="shared" si="1965"/>
        <v>1</v>
      </c>
      <c r="AO119" s="335">
        <v>913</v>
      </c>
      <c r="AP119" s="339">
        <v>51</v>
      </c>
      <c r="AQ119" s="316">
        <f t="shared" ref="AQ119:AR119" si="1966">IF(ISBLANK(AS119),,AS119-AS118)</f>
        <v>18</v>
      </c>
      <c r="AR119" s="338">
        <f t="shared" si="1966"/>
        <v>0</v>
      </c>
      <c r="AS119" s="335">
        <v>622</v>
      </c>
      <c r="AT119" s="336">
        <v>50</v>
      </c>
      <c r="AU119" s="337">
        <f t="shared" ref="AU119:AV119" si="1967">IF(ISBLANK(AW119),,AW119-AW118)</f>
        <v>9</v>
      </c>
      <c r="AV119" s="334">
        <f t="shared" si="1967"/>
        <v>0</v>
      </c>
      <c r="AW119" s="335">
        <v>787</v>
      </c>
      <c r="AX119" s="339">
        <v>10</v>
      </c>
      <c r="AY119" s="316">
        <f t="shared" ref="AY119:AZ119" si="1968">IF(ISBLANK(BA119),,BA119-BA118)</f>
        <v>4</v>
      </c>
      <c r="AZ119" s="334">
        <f t="shared" si="1968"/>
        <v>0</v>
      </c>
      <c r="BA119" s="335">
        <v>653</v>
      </c>
      <c r="BB119" s="336">
        <v>38</v>
      </c>
      <c r="BC119" s="337">
        <f t="shared" ref="BC119:BD119" si="1969">IF(ISBLANK(BE119),,BE119-BE118)</f>
        <v>81</v>
      </c>
      <c r="BD119" s="334">
        <f t="shared" si="1969"/>
        <v>0</v>
      </c>
      <c r="BE119" s="335">
        <v>12497</v>
      </c>
      <c r="BF119" s="339">
        <v>317</v>
      </c>
      <c r="BG119" s="316">
        <f t="shared" ref="BG119:BH119" si="1970">IF(ISBLANK(BI119),,BI119-BI118)</f>
        <v>14</v>
      </c>
      <c r="BH119" s="334">
        <f t="shared" si="1970"/>
        <v>1</v>
      </c>
      <c r="BI119" s="335">
        <v>765</v>
      </c>
      <c r="BJ119" s="336">
        <v>37</v>
      </c>
      <c r="BK119" s="337">
        <f t="shared" ref="BK119:BL119" si="1971">IF(ISBLANK(BM119),,BM119-BM118)</f>
        <v>0</v>
      </c>
      <c r="BL119" s="334">
        <f t="shared" si="1971"/>
        <v>0</v>
      </c>
      <c r="BM119" s="335">
        <v>236</v>
      </c>
      <c r="BN119" s="339">
        <v>1</v>
      </c>
      <c r="BO119" s="316">
        <f t="shared" ref="BO119:BP119" si="1972">IF(ISBLANK(BQ119),,BQ119-BQ118)</f>
        <v>48</v>
      </c>
      <c r="BP119" s="334">
        <f t="shared" si="1972"/>
        <v>2</v>
      </c>
      <c r="BQ119" s="335">
        <v>2610</v>
      </c>
      <c r="BR119" s="336">
        <v>174</v>
      </c>
      <c r="BS119" s="316">
        <f t="shared" ref="BS119:BT119" si="1973">IF(ISBLANK(BU119),,BU119-BU118)</f>
        <v>1</v>
      </c>
      <c r="BT119" s="334">
        <f t="shared" si="1973"/>
        <v>0</v>
      </c>
      <c r="BU119" s="335">
        <v>609</v>
      </c>
      <c r="BV119" s="336">
        <v>20</v>
      </c>
      <c r="BW119" s="233"/>
      <c r="BX119" s="233"/>
      <c r="BY119" s="233"/>
      <c r="BZ119" s="233"/>
      <c r="CA119" s="233"/>
      <c r="CB119" s="233"/>
      <c r="CC119" s="233"/>
      <c r="CD119" s="233"/>
      <c r="CE119" s="233"/>
    </row>
    <row r="120" spans="1:83" x14ac:dyDescent="0.25">
      <c r="A120" s="313">
        <v>44010</v>
      </c>
      <c r="B120" s="314">
        <f t="shared" si="1276"/>
        <v>117</v>
      </c>
      <c r="C120" s="315"/>
      <c r="D120" s="316">
        <v>193</v>
      </c>
      <c r="E120" s="317">
        <v>4</v>
      </c>
      <c r="F120" s="318">
        <v>20548</v>
      </c>
      <c r="G120" s="319"/>
      <c r="H120" s="330">
        <f t="shared" ref="H120:I120" si="1974">IF(ISBLANK(D120),,H119+D120)</f>
        <v>33907</v>
      </c>
      <c r="I120" s="331">
        <f t="shared" si="1974"/>
        <v>1439</v>
      </c>
      <c r="J120" s="332">
        <f t="shared" si="1"/>
        <v>576</v>
      </c>
      <c r="K120" s="333">
        <f t="shared" ref="K120:L120" si="1975">IF(ISBLANK(M120),,M120-M119)</f>
        <v>2</v>
      </c>
      <c r="L120" s="334">
        <f t="shared" si="1975"/>
        <v>0</v>
      </c>
      <c r="M120" s="335">
        <v>2910</v>
      </c>
      <c r="N120" s="336">
        <v>139</v>
      </c>
      <c r="O120" s="337">
        <f t="shared" ref="O120:P120" si="1976">IF(ISBLANK(Q120),,Q120-Q119)</f>
        <v>3</v>
      </c>
      <c r="P120" s="338">
        <f t="shared" si="1976"/>
        <v>0</v>
      </c>
      <c r="Q120" s="335">
        <v>669</v>
      </c>
      <c r="R120" s="339">
        <v>49</v>
      </c>
      <c r="S120" s="316">
        <f t="shared" ref="S120:T120" si="1977">IF(ISBLANK(U120),,U120-U119)</f>
        <v>10</v>
      </c>
      <c r="T120" s="334">
        <f t="shared" si="1977"/>
        <v>0</v>
      </c>
      <c r="U120" s="335">
        <v>642</v>
      </c>
      <c r="V120" s="336">
        <v>17</v>
      </c>
      <c r="W120" s="337">
        <f t="shared" ref="W120:X120" si="1978">IF(ISBLANK(Y120),,Y120-Y119)</f>
        <v>0</v>
      </c>
      <c r="X120" s="334">
        <f t="shared" si="1978"/>
        <v>0</v>
      </c>
      <c r="Y120" s="335">
        <v>149</v>
      </c>
      <c r="Z120" s="340">
        <v>0</v>
      </c>
      <c r="AA120" s="316">
        <f t="shared" ref="AA120:AB120" si="1979">IF(ISBLANK(AC120),,AC120-AC119)</f>
        <v>26</v>
      </c>
      <c r="AB120" s="334">
        <f t="shared" si="1979"/>
        <v>0</v>
      </c>
      <c r="AC120" s="335">
        <v>3083</v>
      </c>
      <c r="AD120" s="336">
        <v>162</v>
      </c>
      <c r="AE120" s="337">
        <f t="shared" ref="AE120:AF120" si="1980">IF(ISBLANK(AG120),,AG120-AG119)</f>
        <v>18</v>
      </c>
      <c r="AF120" s="334">
        <f t="shared" si="1980"/>
        <v>0</v>
      </c>
      <c r="AG120" s="335">
        <v>1685</v>
      </c>
      <c r="AH120" s="339">
        <v>44</v>
      </c>
      <c r="AI120" s="316">
        <f t="shared" ref="AI120:AJ120" si="1981">IF(ISBLANK(AK120),,AK120-AK119)</f>
        <v>32</v>
      </c>
      <c r="AJ120" s="334">
        <f t="shared" si="1981"/>
        <v>0</v>
      </c>
      <c r="AK120" s="335">
        <v>4975</v>
      </c>
      <c r="AL120" s="336">
        <v>326</v>
      </c>
      <c r="AM120" s="337">
        <f t="shared" ref="AM120:AN120" si="1982">IF(ISBLANK(AO120),,AO120-AO119)</f>
        <v>19</v>
      </c>
      <c r="AN120" s="334">
        <f t="shared" si="1982"/>
        <v>0</v>
      </c>
      <c r="AO120" s="335">
        <v>932</v>
      </c>
      <c r="AP120" s="339">
        <v>51</v>
      </c>
      <c r="AQ120" s="316">
        <f t="shared" ref="AQ120:AR120" si="1983">IF(ISBLANK(AS120),,AS120-AS119)</f>
        <v>14</v>
      </c>
      <c r="AR120" s="338">
        <f t="shared" si="1983"/>
        <v>0</v>
      </c>
      <c r="AS120" s="335">
        <v>636</v>
      </c>
      <c r="AT120" s="336">
        <v>50</v>
      </c>
      <c r="AU120" s="337">
        <f t="shared" ref="AU120:AV120" si="1984">IF(ISBLANK(AW120),,AW120-AW119)</f>
        <v>19</v>
      </c>
      <c r="AV120" s="334">
        <f t="shared" si="1984"/>
        <v>0</v>
      </c>
      <c r="AW120" s="335">
        <v>806</v>
      </c>
      <c r="AX120" s="339">
        <v>10</v>
      </c>
      <c r="AY120" s="316">
        <f t="shared" ref="AY120:AZ120" si="1985">IF(ISBLANK(BA120),,BA120-BA119)</f>
        <v>4</v>
      </c>
      <c r="AZ120" s="334">
        <f t="shared" si="1985"/>
        <v>0</v>
      </c>
      <c r="BA120" s="335">
        <v>657</v>
      </c>
      <c r="BB120" s="336">
        <v>38</v>
      </c>
      <c r="BC120" s="337">
        <f t="shared" ref="BC120:BD120" si="1986">IF(ISBLANK(BE120),,BE120-BE119)</f>
        <v>30</v>
      </c>
      <c r="BD120" s="334">
        <f t="shared" si="1986"/>
        <v>2</v>
      </c>
      <c r="BE120" s="335">
        <v>12527</v>
      </c>
      <c r="BF120" s="339">
        <v>319</v>
      </c>
      <c r="BG120" s="316">
        <f t="shared" ref="BG120:BH120" si="1987">IF(ISBLANK(BI120),,BI120-BI119)</f>
        <v>10</v>
      </c>
      <c r="BH120" s="334">
        <f t="shared" si="1987"/>
        <v>1</v>
      </c>
      <c r="BI120" s="335">
        <v>775</v>
      </c>
      <c r="BJ120" s="336">
        <v>38</v>
      </c>
      <c r="BK120" s="337">
        <f t="shared" ref="BK120:BL120" si="1988">IF(ISBLANK(BM120),,BM120-BM119)</f>
        <v>4</v>
      </c>
      <c r="BL120" s="334">
        <f t="shared" si="1988"/>
        <v>0</v>
      </c>
      <c r="BM120" s="335">
        <v>240</v>
      </c>
      <c r="BN120" s="339">
        <v>1</v>
      </c>
      <c r="BO120" s="316">
        <f t="shared" ref="BO120:BP120" si="1989">IF(ISBLANK(BQ120),,BQ120-BQ119)</f>
        <v>2</v>
      </c>
      <c r="BP120" s="334">
        <f t="shared" si="1989"/>
        <v>1</v>
      </c>
      <c r="BQ120" s="335">
        <v>2612</v>
      </c>
      <c r="BR120" s="336">
        <v>175</v>
      </c>
      <c r="BS120" s="316">
        <f t="shared" ref="BS120:BT120" si="1990">IF(ISBLANK(BU120),,BU120-BU119)</f>
        <v>0</v>
      </c>
      <c r="BT120" s="334">
        <f t="shared" si="1990"/>
        <v>0</v>
      </c>
      <c r="BU120" s="335">
        <v>609</v>
      </c>
      <c r="BV120" s="336">
        <v>20</v>
      </c>
      <c r="BW120" s="233"/>
      <c r="BX120" s="233"/>
      <c r="BY120" s="233"/>
      <c r="BZ120" s="233"/>
      <c r="CA120" s="233"/>
      <c r="CB120" s="233"/>
      <c r="CC120" s="233"/>
      <c r="CD120" s="233"/>
      <c r="CE120" s="233"/>
    </row>
    <row r="121" spans="1:83" x14ac:dyDescent="0.25">
      <c r="A121" s="313">
        <v>44011</v>
      </c>
      <c r="B121" s="314">
        <f t="shared" si="1276"/>
        <v>118</v>
      </c>
      <c r="C121" s="315"/>
      <c r="D121" s="316">
        <v>247</v>
      </c>
      <c r="E121" s="317">
        <v>6</v>
      </c>
      <c r="F121" s="318">
        <v>20897</v>
      </c>
      <c r="G121" s="319"/>
      <c r="H121" s="330">
        <f t="shared" ref="H121:I121" si="1991">IF(ISBLANK(D121),,H120+D121)</f>
        <v>34154</v>
      </c>
      <c r="I121" s="331">
        <f t="shared" si="1991"/>
        <v>1445</v>
      </c>
      <c r="J121" s="332">
        <f t="shared" si="1"/>
        <v>349</v>
      </c>
      <c r="K121" s="333">
        <f t="shared" ref="K121:L121" si="1992">IF(ISBLANK(M121),,M121-M120)</f>
        <v>3</v>
      </c>
      <c r="L121" s="334">
        <f t="shared" si="1992"/>
        <v>0</v>
      </c>
      <c r="M121" s="335">
        <v>2913</v>
      </c>
      <c r="N121" s="336">
        <v>139</v>
      </c>
      <c r="O121" s="337">
        <f t="shared" ref="O121:P121" si="1993">IF(ISBLANK(Q121),,Q121-Q120)</f>
        <v>0</v>
      </c>
      <c r="P121" s="338">
        <f t="shared" si="1993"/>
        <v>0</v>
      </c>
      <c r="Q121" s="335">
        <v>669</v>
      </c>
      <c r="R121" s="339">
        <v>49</v>
      </c>
      <c r="S121" s="316">
        <f t="shared" ref="S121:T121" si="1994">IF(ISBLANK(U121),,U121-U120)</f>
        <v>9</v>
      </c>
      <c r="T121" s="334">
        <f t="shared" si="1994"/>
        <v>0</v>
      </c>
      <c r="U121" s="335">
        <v>651</v>
      </c>
      <c r="V121" s="336">
        <v>17</v>
      </c>
      <c r="W121" s="337">
        <f t="shared" ref="W121:X121" si="1995">IF(ISBLANK(Y121),,Y121-Y120)</f>
        <v>0</v>
      </c>
      <c r="X121" s="334">
        <f t="shared" si="1995"/>
        <v>0</v>
      </c>
      <c r="Y121" s="335">
        <v>149</v>
      </c>
      <c r="Z121" s="340">
        <v>0</v>
      </c>
      <c r="AA121" s="316">
        <f t="shared" ref="AA121:AB121" si="1996">IF(ISBLANK(AC121),,AC121-AC120)</f>
        <v>21</v>
      </c>
      <c r="AB121" s="334">
        <f t="shared" si="1996"/>
        <v>0</v>
      </c>
      <c r="AC121" s="335">
        <v>3104</v>
      </c>
      <c r="AD121" s="336">
        <v>162</v>
      </c>
      <c r="AE121" s="337">
        <f t="shared" ref="AE121:AF121" si="1997">IF(ISBLANK(AG121),,AG121-AG120)</f>
        <v>16</v>
      </c>
      <c r="AF121" s="334">
        <f t="shared" si="1997"/>
        <v>0</v>
      </c>
      <c r="AG121" s="335">
        <v>1701</v>
      </c>
      <c r="AH121" s="339">
        <v>44</v>
      </c>
      <c r="AI121" s="316">
        <f t="shared" ref="AI121:AJ121" si="1998">IF(ISBLANK(AK121),,AK121-AK120)</f>
        <v>27</v>
      </c>
      <c r="AJ121" s="334">
        <f t="shared" si="1998"/>
        <v>1</v>
      </c>
      <c r="AK121" s="335">
        <v>5002</v>
      </c>
      <c r="AL121" s="336">
        <v>327</v>
      </c>
      <c r="AM121" s="337">
        <f t="shared" ref="AM121:AN121" si="1999">IF(ISBLANK(AO121),,AO121-AO120)</f>
        <v>8</v>
      </c>
      <c r="AN121" s="334">
        <f t="shared" si="1999"/>
        <v>0</v>
      </c>
      <c r="AO121" s="335">
        <v>940</v>
      </c>
      <c r="AP121" s="339">
        <v>51</v>
      </c>
      <c r="AQ121" s="316">
        <f t="shared" ref="AQ121:AR121" si="2000">IF(ISBLANK(AS121),,AS121-AS120)</f>
        <v>12</v>
      </c>
      <c r="AR121" s="338">
        <f t="shared" si="2000"/>
        <v>0</v>
      </c>
      <c r="AS121" s="335">
        <v>648</v>
      </c>
      <c r="AT121" s="336">
        <v>50</v>
      </c>
      <c r="AU121" s="337">
        <f t="shared" ref="AU121:AV121" si="2001">IF(ISBLANK(AW121),,AW121-AW120)</f>
        <v>17</v>
      </c>
      <c r="AV121" s="334">
        <f t="shared" si="2001"/>
        <v>0</v>
      </c>
      <c r="AW121" s="335">
        <v>823</v>
      </c>
      <c r="AX121" s="339">
        <v>10</v>
      </c>
      <c r="AY121" s="316">
        <f t="shared" ref="AY121:AZ121" si="2002">IF(ISBLANK(BA121),,BA121-BA120)</f>
        <v>9</v>
      </c>
      <c r="AZ121" s="334">
        <f t="shared" si="2002"/>
        <v>0</v>
      </c>
      <c r="BA121" s="335">
        <v>666</v>
      </c>
      <c r="BB121" s="336">
        <v>38</v>
      </c>
      <c r="BC121" s="337">
        <f t="shared" ref="BC121:BD121" si="2003">IF(ISBLANK(BE121),,BE121-BE120)</f>
        <v>78</v>
      </c>
      <c r="BD121" s="334">
        <f t="shared" si="2003"/>
        <v>5</v>
      </c>
      <c r="BE121" s="335">
        <v>12605</v>
      </c>
      <c r="BF121" s="339">
        <v>324</v>
      </c>
      <c r="BG121" s="316">
        <f t="shared" ref="BG121:BH121" si="2004">IF(ISBLANK(BI121),,BI121-BI120)</f>
        <v>14</v>
      </c>
      <c r="BH121" s="334">
        <f t="shared" si="2004"/>
        <v>0</v>
      </c>
      <c r="BI121" s="335">
        <v>789</v>
      </c>
      <c r="BJ121" s="336">
        <v>38</v>
      </c>
      <c r="BK121" s="337">
        <f t="shared" ref="BK121:BL121" si="2005">IF(ISBLANK(BM121),,BM121-BM120)</f>
        <v>2</v>
      </c>
      <c r="BL121" s="334">
        <f t="shared" si="2005"/>
        <v>0</v>
      </c>
      <c r="BM121" s="335">
        <v>242</v>
      </c>
      <c r="BN121" s="339">
        <v>1</v>
      </c>
      <c r="BO121" s="316">
        <f t="shared" ref="BO121:BP121" si="2006">IF(ISBLANK(BQ121),,BQ121-BQ120)</f>
        <v>31</v>
      </c>
      <c r="BP121" s="334">
        <f t="shared" si="2006"/>
        <v>0</v>
      </c>
      <c r="BQ121" s="335">
        <v>2643</v>
      </c>
      <c r="BR121" s="336">
        <v>175</v>
      </c>
      <c r="BS121" s="316">
        <f t="shared" ref="BS121:BT121" si="2007">IF(ISBLANK(BU121),,BU121-BU120)</f>
        <v>0</v>
      </c>
      <c r="BT121" s="334">
        <f t="shared" si="2007"/>
        <v>0</v>
      </c>
      <c r="BU121" s="335">
        <v>609</v>
      </c>
      <c r="BV121" s="336">
        <v>20</v>
      </c>
      <c r="BW121" s="233"/>
      <c r="BX121" s="233"/>
      <c r="BY121" s="233"/>
      <c r="BZ121" s="233"/>
      <c r="CA121" s="233"/>
      <c r="CB121" s="233"/>
      <c r="CC121" s="233"/>
      <c r="CD121" s="233"/>
      <c r="CE121" s="233"/>
    </row>
    <row r="122" spans="1:83" x14ac:dyDescent="0.25">
      <c r="A122" s="313">
        <v>44012</v>
      </c>
      <c r="B122" s="314">
        <f t="shared" si="1276"/>
        <v>119</v>
      </c>
      <c r="C122" s="315"/>
      <c r="D122" s="316">
        <v>239</v>
      </c>
      <c r="E122" s="317">
        <v>19</v>
      </c>
      <c r="F122" s="318">
        <v>21281</v>
      </c>
      <c r="G122" s="319"/>
      <c r="H122" s="330">
        <f t="shared" ref="H122:I122" si="2008">IF(ISBLANK(D122),,H121+D122)</f>
        <v>34393</v>
      </c>
      <c r="I122" s="331">
        <f t="shared" si="2008"/>
        <v>1464</v>
      </c>
      <c r="J122" s="332">
        <f t="shared" si="1"/>
        <v>384</v>
      </c>
      <c r="K122" s="333">
        <f t="shared" ref="K122:L122" si="2009">IF(ISBLANK(M122),,M122-M121)</f>
        <v>6</v>
      </c>
      <c r="L122" s="334">
        <f t="shared" si="2009"/>
        <v>4</v>
      </c>
      <c r="M122" s="335">
        <v>2919</v>
      </c>
      <c r="N122" s="336">
        <v>143</v>
      </c>
      <c r="O122" s="337">
        <f t="shared" ref="O122:P122" si="2010">IF(ISBLANK(Q122),,Q122-Q121)</f>
        <v>3</v>
      </c>
      <c r="P122" s="338">
        <f t="shared" si="2010"/>
        <v>0</v>
      </c>
      <c r="Q122" s="335">
        <v>672</v>
      </c>
      <c r="R122" s="339">
        <v>49</v>
      </c>
      <c r="S122" s="316">
        <f t="shared" ref="S122:T122" si="2011">IF(ISBLANK(U122),,U122-U121)</f>
        <v>0</v>
      </c>
      <c r="T122" s="334">
        <f t="shared" si="2011"/>
        <v>1</v>
      </c>
      <c r="U122" s="335">
        <v>651</v>
      </c>
      <c r="V122" s="336">
        <v>18</v>
      </c>
      <c r="W122" s="337">
        <f t="shared" ref="W122:X122" si="2012">IF(ISBLANK(Y122),,Y122-Y121)</f>
        <v>2</v>
      </c>
      <c r="X122" s="334">
        <f t="shared" si="2012"/>
        <v>0</v>
      </c>
      <c r="Y122" s="335">
        <v>151</v>
      </c>
      <c r="Z122" s="340">
        <v>0</v>
      </c>
      <c r="AA122" s="316">
        <f t="shared" ref="AA122:AB122" si="2013">IF(ISBLANK(AC122),,AC122-AC121)</f>
        <v>17</v>
      </c>
      <c r="AB122" s="334">
        <f t="shared" si="2013"/>
        <v>2</v>
      </c>
      <c r="AC122" s="335">
        <v>3121</v>
      </c>
      <c r="AD122" s="336">
        <v>164</v>
      </c>
      <c r="AE122" s="337">
        <f t="shared" ref="AE122:AF122" si="2014">IF(ISBLANK(AG122),,AG122-AG121)</f>
        <v>44</v>
      </c>
      <c r="AF122" s="334">
        <f t="shared" si="2014"/>
        <v>0</v>
      </c>
      <c r="AG122" s="335">
        <v>1745</v>
      </c>
      <c r="AH122" s="339">
        <v>44</v>
      </c>
      <c r="AI122" s="316">
        <f t="shared" ref="AI122:AJ122" si="2015">IF(ISBLANK(AK122),,AK122-AK121)</f>
        <v>21</v>
      </c>
      <c r="AJ122" s="334">
        <f t="shared" si="2015"/>
        <v>3</v>
      </c>
      <c r="AK122" s="335">
        <v>5023</v>
      </c>
      <c r="AL122" s="336">
        <v>330</v>
      </c>
      <c r="AM122" s="337">
        <f t="shared" ref="AM122:AN122" si="2016">IF(ISBLANK(AO122),,AO122-AO121)</f>
        <v>1</v>
      </c>
      <c r="AN122" s="334">
        <f t="shared" si="2016"/>
        <v>0</v>
      </c>
      <c r="AO122" s="335">
        <v>941</v>
      </c>
      <c r="AP122" s="339">
        <v>51</v>
      </c>
      <c r="AQ122" s="316">
        <f t="shared" ref="AQ122:AR122" si="2017">IF(ISBLANK(AS122),,AS122-AS121)</f>
        <v>2</v>
      </c>
      <c r="AR122" s="338">
        <f t="shared" si="2017"/>
        <v>0</v>
      </c>
      <c r="AS122" s="335">
        <v>650</v>
      </c>
      <c r="AT122" s="336">
        <v>50</v>
      </c>
      <c r="AU122" s="337">
        <f t="shared" ref="AU122:AV122" si="2018">IF(ISBLANK(AW122),,AW122-AW121)</f>
        <v>20</v>
      </c>
      <c r="AV122" s="334">
        <f t="shared" si="2018"/>
        <v>0</v>
      </c>
      <c r="AW122" s="335">
        <v>843</v>
      </c>
      <c r="AX122" s="339">
        <v>10</v>
      </c>
      <c r="AY122" s="316">
        <f t="shared" ref="AY122:AZ122" si="2019">IF(ISBLANK(BA122),,BA122-BA121)</f>
        <v>1</v>
      </c>
      <c r="AZ122" s="334">
        <f t="shared" si="2019"/>
        <v>0</v>
      </c>
      <c r="BA122" s="335">
        <v>667</v>
      </c>
      <c r="BB122" s="336">
        <v>38</v>
      </c>
      <c r="BC122" s="337">
        <f t="shared" ref="BC122:BD122" si="2020">IF(ISBLANK(BE122),,BE122-BE121)</f>
        <v>84</v>
      </c>
      <c r="BD122" s="334">
        <f t="shared" si="2020"/>
        <v>5</v>
      </c>
      <c r="BE122" s="335">
        <v>12689</v>
      </c>
      <c r="BF122" s="339">
        <v>329</v>
      </c>
      <c r="BG122" s="316">
        <f t="shared" ref="BG122:BH122" si="2021">IF(ISBLANK(BI122),,BI122-BI121)</f>
        <v>8</v>
      </c>
      <c r="BH122" s="334">
        <f t="shared" si="2021"/>
        <v>1</v>
      </c>
      <c r="BI122" s="335">
        <v>797</v>
      </c>
      <c r="BJ122" s="336">
        <v>39</v>
      </c>
      <c r="BK122" s="337">
        <f t="shared" ref="BK122:BL122" si="2022">IF(ISBLANK(BM122),,BM122-BM121)</f>
        <v>2</v>
      </c>
      <c r="BL122" s="334">
        <f t="shared" si="2022"/>
        <v>0</v>
      </c>
      <c r="BM122" s="335">
        <v>244</v>
      </c>
      <c r="BN122" s="339">
        <v>1</v>
      </c>
      <c r="BO122" s="316">
        <f t="shared" ref="BO122:BP122" si="2023">IF(ISBLANK(BQ122),,BQ122-BQ121)</f>
        <v>26</v>
      </c>
      <c r="BP122" s="334">
        <f t="shared" si="2023"/>
        <v>1</v>
      </c>
      <c r="BQ122" s="335">
        <v>2669</v>
      </c>
      <c r="BR122" s="336">
        <v>176</v>
      </c>
      <c r="BS122" s="316">
        <f t="shared" ref="BS122:BT122" si="2024">IF(ISBLANK(BU122),,BU122-BU121)</f>
        <v>2</v>
      </c>
      <c r="BT122" s="334">
        <f t="shared" si="2024"/>
        <v>2</v>
      </c>
      <c r="BU122" s="335">
        <v>611</v>
      </c>
      <c r="BV122" s="336">
        <v>22</v>
      </c>
      <c r="BW122" s="233"/>
      <c r="BX122" s="233"/>
      <c r="BY122" s="233"/>
      <c r="BZ122" s="233"/>
      <c r="CA122" s="233"/>
      <c r="CB122" s="233"/>
      <c r="CC122" s="233"/>
      <c r="CD122" s="233"/>
      <c r="CE122" s="233"/>
    </row>
    <row r="123" spans="1:83" x14ac:dyDescent="0.25">
      <c r="A123" s="313">
        <v>44013</v>
      </c>
      <c r="B123" s="314">
        <f t="shared" si="1276"/>
        <v>120</v>
      </c>
      <c r="C123" s="315"/>
      <c r="D123" s="316">
        <v>382</v>
      </c>
      <c r="E123" s="317">
        <v>14</v>
      </c>
      <c r="F123" s="318">
        <v>21791</v>
      </c>
      <c r="G123" s="319"/>
      <c r="H123" s="330">
        <f t="shared" ref="H123:I123" si="2025">IF(ISBLANK(D123),,H122+D123)</f>
        <v>34775</v>
      </c>
      <c r="I123" s="331">
        <f t="shared" si="2025"/>
        <v>1478</v>
      </c>
      <c r="J123" s="332">
        <f t="shared" si="1"/>
        <v>510</v>
      </c>
      <c r="K123" s="333">
        <f t="shared" ref="K123:L123" si="2026">IF(ISBLANK(M123),,M123-M122)</f>
        <v>5</v>
      </c>
      <c r="L123" s="334">
        <f t="shared" si="2026"/>
        <v>0</v>
      </c>
      <c r="M123" s="335">
        <v>2924</v>
      </c>
      <c r="N123" s="336">
        <v>143</v>
      </c>
      <c r="O123" s="337">
        <f t="shared" ref="O123:P123" si="2027">IF(ISBLANK(Q123),,Q123-Q122)</f>
        <v>4</v>
      </c>
      <c r="P123" s="338">
        <f t="shared" si="2027"/>
        <v>0</v>
      </c>
      <c r="Q123" s="335">
        <v>676</v>
      </c>
      <c r="R123" s="339">
        <v>49</v>
      </c>
      <c r="S123" s="316">
        <f t="shared" ref="S123:T123" si="2028">IF(ISBLANK(U123),,U123-U122)</f>
        <v>7</v>
      </c>
      <c r="T123" s="334">
        <f t="shared" si="2028"/>
        <v>0</v>
      </c>
      <c r="U123" s="335">
        <v>658</v>
      </c>
      <c r="V123" s="336">
        <v>18</v>
      </c>
      <c r="W123" s="337">
        <f t="shared" ref="W123:X123" si="2029">IF(ISBLANK(Y123),,Y123-Y122)</f>
        <v>0</v>
      </c>
      <c r="X123" s="334">
        <f t="shared" si="2029"/>
        <v>0</v>
      </c>
      <c r="Y123" s="335">
        <v>151</v>
      </c>
      <c r="Z123" s="340">
        <v>0</v>
      </c>
      <c r="AA123" s="316">
        <f t="shared" ref="AA123:AB123" si="2030">IF(ISBLANK(AC123),,AC123-AC122)</f>
        <v>10</v>
      </c>
      <c r="AB123" s="334">
        <f t="shared" si="2030"/>
        <v>1</v>
      </c>
      <c r="AC123" s="335">
        <v>3131</v>
      </c>
      <c r="AD123" s="336">
        <v>165</v>
      </c>
      <c r="AE123" s="337">
        <f t="shared" ref="AE123:AF123" si="2031">IF(ISBLANK(AG123),,AG123-AG122)</f>
        <v>18</v>
      </c>
      <c r="AF123" s="334">
        <f t="shared" si="2031"/>
        <v>0</v>
      </c>
      <c r="AG123" s="335">
        <v>1763</v>
      </c>
      <c r="AH123" s="339">
        <v>44</v>
      </c>
      <c r="AI123" s="316">
        <f t="shared" ref="AI123:AJ123" si="2032">IF(ISBLANK(AK123),,AK123-AK122)</f>
        <v>20</v>
      </c>
      <c r="AJ123" s="334">
        <f t="shared" si="2032"/>
        <v>9</v>
      </c>
      <c r="AK123" s="335">
        <v>5043</v>
      </c>
      <c r="AL123" s="336">
        <v>339</v>
      </c>
      <c r="AM123" s="337">
        <f t="shared" ref="AM123:AN123" si="2033">IF(ISBLANK(AO123),,AO123-AO122)</f>
        <v>7</v>
      </c>
      <c r="AN123" s="334">
        <f t="shared" si="2033"/>
        <v>0</v>
      </c>
      <c r="AO123" s="335">
        <v>948</v>
      </c>
      <c r="AP123" s="339">
        <v>51</v>
      </c>
      <c r="AQ123" s="316">
        <f t="shared" ref="AQ123:AR123" si="2034">IF(ISBLANK(AS123),,AS123-AS122)</f>
        <v>20</v>
      </c>
      <c r="AR123" s="338">
        <f t="shared" si="2034"/>
        <v>0</v>
      </c>
      <c r="AS123" s="335">
        <v>670</v>
      </c>
      <c r="AT123" s="336">
        <v>50</v>
      </c>
      <c r="AU123" s="337">
        <f t="shared" ref="AU123:AV123" si="2035">IF(ISBLANK(AW123),,AW123-AW122)</f>
        <v>5</v>
      </c>
      <c r="AV123" s="334">
        <f t="shared" si="2035"/>
        <v>0</v>
      </c>
      <c r="AW123" s="335">
        <v>848</v>
      </c>
      <c r="AX123" s="339">
        <v>10</v>
      </c>
      <c r="AY123" s="316">
        <f t="shared" ref="AY123:AZ123" si="2036">IF(ISBLANK(BA123),,BA123-BA122)</f>
        <v>0</v>
      </c>
      <c r="AZ123" s="334">
        <f t="shared" si="2036"/>
        <v>0</v>
      </c>
      <c r="BA123" s="335">
        <v>667</v>
      </c>
      <c r="BB123" s="336">
        <v>38</v>
      </c>
      <c r="BC123" s="337">
        <f t="shared" ref="BC123:BD123" si="2037">IF(ISBLANK(BE123),,BE123-BE122)</f>
        <v>169</v>
      </c>
      <c r="BD123" s="334">
        <f t="shared" si="2037"/>
        <v>3</v>
      </c>
      <c r="BE123" s="335">
        <v>12858</v>
      </c>
      <c r="BF123" s="339">
        <v>332</v>
      </c>
      <c r="BG123" s="316">
        <f t="shared" ref="BG123:BH123" si="2038">IF(ISBLANK(BI123),,BI123-BI122)</f>
        <v>4</v>
      </c>
      <c r="BH123" s="334">
        <f t="shared" si="2038"/>
        <v>1</v>
      </c>
      <c r="BI123" s="335">
        <v>801</v>
      </c>
      <c r="BJ123" s="336">
        <v>40</v>
      </c>
      <c r="BK123" s="337">
        <f t="shared" ref="BK123:BL123" si="2039">IF(ISBLANK(BM123),,BM123-BM122)</f>
        <v>6</v>
      </c>
      <c r="BL123" s="334">
        <f t="shared" si="2039"/>
        <v>0</v>
      </c>
      <c r="BM123" s="335">
        <v>250</v>
      </c>
      <c r="BN123" s="339">
        <v>1</v>
      </c>
      <c r="BO123" s="316">
        <f t="shared" ref="BO123:BP123" si="2040">IF(ISBLANK(BQ123),,BQ123-BQ122)</f>
        <v>107</v>
      </c>
      <c r="BP123" s="334">
        <f t="shared" si="2040"/>
        <v>0</v>
      </c>
      <c r="BQ123" s="335">
        <v>2776</v>
      </c>
      <c r="BR123" s="336">
        <v>176</v>
      </c>
      <c r="BS123" s="316">
        <f t="shared" ref="BS123:BT123" si="2041">IF(ISBLANK(BU123),,BU123-BU122)</f>
        <v>0</v>
      </c>
      <c r="BT123" s="334">
        <f t="shared" si="2041"/>
        <v>0</v>
      </c>
      <c r="BU123" s="335">
        <v>611</v>
      </c>
      <c r="BV123" s="336">
        <v>22</v>
      </c>
      <c r="BW123" s="233"/>
      <c r="BX123" s="233"/>
      <c r="BY123" s="233"/>
      <c r="BZ123" s="233"/>
      <c r="CA123" s="233"/>
      <c r="CB123" s="233"/>
      <c r="CC123" s="233"/>
      <c r="CD123" s="233"/>
      <c r="CE123" s="233"/>
    </row>
    <row r="124" spans="1:83" x14ac:dyDescent="0.25">
      <c r="A124" s="313">
        <v>44014</v>
      </c>
      <c r="B124" s="314">
        <f t="shared" si="1276"/>
        <v>121</v>
      </c>
      <c r="C124" s="315"/>
      <c r="D124" s="316">
        <v>371</v>
      </c>
      <c r="E124" s="317">
        <v>15</v>
      </c>
      <c r="F124" s="318">
        <v>22209</v>
      </c>
      <c r="G124" s="319"/>
      <c r="H124" s="330">
        <f t="shared" ref="H124:I124" si="2042">IF(ISBLANK(D124),,H123+D124)</f>
        <v>35146</v>
      </c>
      <c r="I124" s="331">
        <f t="shared" si="2042"/>
        <v>1493</v>
      </c>
      <c r="J124" s="332">
        <f t="shared" si="1"/>
        <v>418</v>
      </c>
      <c r="K124" s="333">
        <f t="shared" ref="K124:L124" si="2043">IF(ISBLANK(M124),,M124-M123)</f>
        <v>6</v>
      </c>
      <c r="L124" s="334">
        <f t="shared" si="2043"/>
        <v>6</v>
      </c>
      <c r="M124" s="335">
        <v>2930</v>
      </c>
      <c r="N124" s="336">
        <v>149</v>
      </c>
      <c r="O124" s="337">
        <f t="shared" ref="O124:P124" si="2044">IF(ISBLANK(Q124),,Q124-Q123)</f>
        <v>2</v>
      </c>
      <c r="P124" s="338">
        <f t="shared" si="2044"/>
        <v>0</v>
      </c>
      <c r="Q124" s="335">
        <v>678</v>
      </c>
      <c r="R124" s="339">
        <v>49</v>
      </c>
      <c r="S124" s="316">
        <f t="shared" ref="S124:T124" si="2045">IF(ISBLANK(U124),,U124-U123)</f>
        <v>6</v>
      </c>
      <c r="T124" s="334">
        <f t="shared" si="2045"/>
        <v>0</v>
      </c>
      <c r="U124" s="335">
        <v>664</v>
      </c>
      <c r="V124" s="336">
        <v>18</v>
      </c>
      <c r="W124" s="337">
        <f t="shared" ref="W124:X124" si="2046">IF(ISBLANK(Y124),,Y124-Y123)</f>
        <v>0</v>
      </c>
      <c r="X124" s="334">
        <f t="shared" si="2046"/>
        <v>0</v>
      </c>
      <c r="Y124" s="335">
        <v>151</v>
      </c>
      <c r="Z124" s="340">
        <v>0</v>
      </c>
      <c r="AA124" s="316">
        <f t="shared" ref="AA124:AB124" si="2047">IF(ISBLANK(AC124),,AC124-AC123)</f>
        <v>52</v>
      </c>
      <c r="AB124" s="334">
        <f t="shared" si="2047"/>
        <v>5</v>
      </c>
      <c r="AC124" s="335">
        <v>3183</v>
      </c>
      <c r="AD124" s="336">
        <v>170</v>
      </c>
      <c r="AE124" s="337">
        <f t="shared" ref="AE124:AF124" si="2048">IF(ISBLANK(AG124),,AG124-AG123)</f>
        <v>29</v>
      </c>
      <c r="AF124" s="334">
        <f t="shared" si="2048"/>
        <v>0</v>
      </c>
      <c r="AG124" s="335">
        <v>1792</v>
      </c>
      <c r="AH124" s="339">
        <v>44</v>
      </c>
      <c r="AI124" s="316">
        <f t="shared" ref="AI124:AJ124" si="2049">IF(ISBLANK(AK124),,AK124-AK123)</f>
        <v>45</v>
      </c>
      <c r="AJ124" s="334">
        <f t="shared" si="2049"/>
        <v>0</v>
      </c>
      <c r="AK124" s="335">
        <v>5088</v>
      </c>
      <c r="AL124" s="336">
        <v>339</v>
      </c>
      <c r="AM124" s="337">
        <f t="shared" ref="AM124:AN124" si="2050">IF(ISBLANK(AO124),,AO124-AO123)</f>
        <v>7</v>
      </c>
      <c r="AN124" s="334">
        <f t="shared" si="2050"/>
        <v>0</v>
      </c>
      <c r="AO124" s="335">
        <v>955</v>
      </c>
      <c r="AP124" s="339">
        <v>51</v>
      </c>
      <c r="AQ124" s="316">
        <f t="shared" ref="AQ124:AR124" si="2051">IF(ISBLANK(AS124),,AS124-AS123)</f>
        <v>13</v>
      </c>
      <c r="AR124" s="338">
        <f t="shared" si="2051"/>
        <v>1</v>
      </c>
      <c r="AS124" s="335">
        <v>683</v>
      </c>
      <c r="AT124" s="336">
        <v>51</v>
      </c>
      <c r="AU124" s="337">
        <f t="shared" ref="AU124:AV124" si="2052">IF(ISBLANK(AW124),,AW124-AW123)</f>
        <v>6</v>
      </c>
      <c r="AV124" s="334">
        <f t="shared" si="2052"/>
        <v>0</v>
      </c>
      <c r="AW124" s="335">
        <v>854</v>
      </c>
      <c r="AX124" s="339">
        <v>10</v>
      </c>
      <c r="AY124" s="316">
        <f t="shared" ref="AY124:AZ124" si="2053">IF(ISBLANK(BA124),,BA124-BA123)</f>
        <v>10</v>
      </c>
      <c r="AZ124" s="334">
        <f t="shared" si="2053"/>
        <v>0</v>
      </c>
      <c r="BA124" s="335">
        <v>677</v>
      </c>
      <c r="BB124" s="336">
        <v>38</v>
      </c>
      <c r="BC124" s="337">
        <f t="shared" ref="BC124:BD124" si="2054">IF(ISBLANK(BE124),,BE124-BE123)</f>
        <v>148</v>
      </c>
      <c r="BD124" s="334">
        <f t="shared" si="2054"/>
        <v>2</v>
      </c>
      <c r="BE124" s="335">
        <v>13006</v>
      </c>
      <c r="BF124" s="339">
        <v>334</v>
      </c>
      <c r="BG124" s="316">
        <f t="shared" ref="BG124:BH124" si="2055">IF(ISBLANK(BI124),,BI124-BI123)</f>
        <v>7</v>
      </c>
      <c r="BH124" s="334">
        <f t="shared" si="2055"/>
        <v>0</v>
      </c>
      <c r="BI124" s="335">
        <v>808</v>
      </c>
      <c r="BJ124" s="336">
        <v>40</v>
      </c>
      <c r="BK124" s="337">
        <f t="shared" ref="BK124:BL124" si="2056">IF(ISBLANK(BM124),,BM124-BM123)</f>
        <v>12</v>
      </c>
      <c r="BL124" s="334">
        <f t="shared" si="2056"/>
        <v>0</v>
      </c>
      <c r="BM124" s="335">
        <v>262</v>
      </c>
      <c r="BN124" s="339">
        <v>1</v>
      </c>
      <c r="BO124" s="316">
        <f t="shared" ref="BO124:BP124" si="2057">IF(ISBLANK(BQ124),,BQ124-BQ123)</f>
        <v>28</v>
      </c>
      <c r="BP124" s="334">
        <f t="shared" si="2057"/>
        <v>1</v>
      </c>
      <c r="BQ124" s="335">
        <v>2804</v>
      </c>
      <c r="BR124" s="336">
        <v>177</v>
      </c>
      <c r="BS124" s="316">
        <f t="shared" ref="BS124:BT124" si="2058">IF(ISBLANK(BU124),,BU124-BU123)</f>
        <v>0</v>
      </c>
      <c r="BT124" s="334">
        <f t="shared" si="2058"/>
        <v>0</v>
      </c>
      <c r="BU124" s="335">
        <v>611</v>
      </c>
      <c r="BV124" s="336">
        <v>22</v>
      </c>
      <c r="BW124" s="233"/>
      <c r="BX124" s="233"/>
      <c r="BY124" s="233"/>
      <c r="BZ124" s="233"/>
      <c r="CA124" s="233"/>
      <c r="CB124" s="233"/>
      <c r="CC124" s="233"/>
      <c r="CD124" s="233"/>
      <c r="CE124" s="233"/>
    </row>
    <row r="125" spans="1:83" x14ac:dyDescent="0.25">
      <c r="A125" s="313">
        <v>44015</v>
      </c>
      <c r="B125" s="314">
        <f t="shared" si="1276"/>
        <v>122</v>
      </c>
      <c r="C125" s="315"/>
      <c r="D125" s="316">
        <v>259</v>
      </c>
      <c r="E125" s="317">
        <v>14</v>
      </c>
      <c r="F125" s="318">
        <v>22651</v>
      </c>
      <c r="G125" s="319"/>
      <c r="H125" s="330">
        <f t="shared" ref="H125:I125" si="2059">IF(ISBLANK(D125),,H124+D125)</f>
        <v>35405</v>
      </c>
      <c r="I125" s="331">
        <f t="shared" si="2059"/>
        <v>1507</v>
      </c>
      <c r="J125" s="332">
        <f t="shared" si="1"/>
        <v>442</v>
      </c>
      <c r="K125" s="333">
        <f t="shared" ref="K125:L125" si="2060">IF(ISBLANK(M125),,M125-M124)</f>
        <v>3</v>
      </c>
      <c r="L125" s="334">
        <f t="shared" si="2060"/>
        <v>0</v>
      </c>
      <c r="M125" s="335">
        <v>2933</v>
      </c>
      <c r="N125" s="336">
        <v>149</v>
      </c>
      <c r="O125" s="337">
        <f t="shared" ref="O125:P125" si="2061">IF(ISBLANK(Q125),,Q125-Q124)</f>
        <v>1</v>
      </c>
      <c r="P125" s="338">
        <f t="shared" si="2061"/>
        <v>0</v>
      </c>
      <c r="Q125" s="335">
        <v>679</v>
      </c>
      <c r="R125" s="339">
        <v>49</v>
      </c>
      <c r="S125" s="316">
        <f t="shared" ref="S125:T125" si="2062">IF(ISBLANK(U125),,U125-U124)</f>
        <v>4</v>
      </c>
      <c r="T125" s="334">
        <f t="shared" si="2062"/>
        <v>0</v>
      </c>
      <c r="U125" s="335">
        <v>668</v>
      </c>
      <c r="V125" s="336">
        <v>18</v>
      </c>
      <c r="W125" s="337">
        <f t="shared" ref="W125:X125" si="2063">IF(ISBLANK(Y125),,Y125-Y124)</f>
        <v>0</v>
      </c>
      <c r="X125" s="334">
        <f t="shared" si="2063"/>
        <v>0</v>
      </c>
      <c r="Y125" s="335">
        <v>151</v>
      </c>
      <c r="Z125" s="340">
        <v>0</v>
      </c>
      <c r="AA125" s="316">
        <f t="shared" ref="AA125:AB125" si="2064">IF(ISBLANK(AC125),,AC125-AC124)</f>
        <v>24</v>
      </c>
      <c r="AB125" s="334">
        <f t="shared" si="2064"/>
        <v>4</v>
      </c>
      <c r="AC125" s="335">
        <v>3207</v>
      </c>
      <c r="AD125" s="336">
        <v>174</v>
      </c>
      <c r="AE125" s="337">
        <f t="shared" ref="AE125:AF125" si="2065">IF(ISBLANK(AG125),,AG125-AG124)</f>
        <v>13</v>
      </c>
      <c r="AF125" s="334">
        <f t="shared" si="2065"/>
        <v>0</v>
      </c>
      <c r="AG125" s="335">
        <v>1805</v>
      </c>
      <c r="AH125" s="339">
        <v>44</v>
      </c>
      <c r="AI125" s="316">
        <f t="shared" ref="AI125:AJ125" si="2066">IF(ISBLANK(AK125),,AK125-AK124)</f>
        <v>36</v>
      </c>
      <c r="AJ125" s="334">
        <f t="shared" si="2066"/>
        <v>3</v>
      </c>
      <c r="AK125" s="335">
        <v>5124</v>
      </c>
      <c r="AL125" s="336">
        <v>342</v>
      </c>
      <c r="AM125" s="337">
        <f t="shared" ref="AM125:AN125" si="2067">IF(ISBLANK(AO125),,AO125-AO124)</f>
        <v>9</v>
      </c>
      <c r="AN125" s="334">
        <f t="shared" si="2067"/>
        <v>0</v>
      </c>
      <c r="AO125" s="335">
        <v>964</v>
      </c>
      <c r="AP125" s="339">
        <v>51</v>
      </c>
      <c r="AQ125" s="316">
        <f t="shared" ref="AQ125:AR125" si="2068">IF(ISBLANK(AS125),,AS125-AS124)</f>
        <v>12</v>
      </c>
      <c r="AR125" s="338">
        <f t="shared" si="2068"/>
        <v>0</v>
      </c>
      <c r="AS125" s="335">
        <v>695</v>
      </c>
      <c r="AT125" s="336">
        <v>51</v>
      </c>
      <c r="AU125" s="337">
        <f t="shared" ref="AU125:AV125" si="2069">IF(ISBLANK(AW125),,AW125-AW124)</f>
        <v>7</v>
      </c>
      <c r="AV125" s="334">
        <f t="shared" si="2069"/>
        <v>2</v>
      </c>
      <c r="AW125" s="335">
        <v>861</v>
      </c>
      <c r="AX125" s="339">
        <v>12</v>
      </c>
      <c r="AY125" s="316">
        <f t="shared" ref="AY125:AZ125" si="2070">IF(ISBLANK(BA125),,BA125-BA124)</f>
        <v>4</v>
      </c>
      <c r="AZ125" s="334">
        <f t="shared" si="2070"/>
        <v>0</v>
      </c>
      <c r="BA125" s="335">
        <v>681</v>
      </c>
      <c r="BB125" s="336">
        <v>38</v>
      </c>
      <c r="BC125" s="337">
        <f t="shared" ref="BC125:BD125" si="2071">IF(ISBLANK(BE125),,BE125-BE124)</f>
        <v>80</v>
      </c>
      <c r="BD125" s="334">
        <f t="shared" si="2071"/>
        <v>5</v>
      </c>
      <c r="BE125" s="335">
        <v>13086</v>
      </c>
      <c r="BF125" s="339">
        <v>339</v>
      </c>
      <c r="BG125" s="316">
        <f t="shared" ref="BG125:BH125" si="2072">IF(ISBLANK(BI125),,BI125-BI124)</f>
        <v>13</v>
      </c>
      <c r="BH125" s="334">
        <f t="shared" si="2072"/>
        <v>0</v>
      </c>
      <c r="BI125" s="335">
        <v>821</v>
      </c>
      <c r="BJ125" s="336">
        <v>40</v>
      </c>
      <c r="BK125" s="337">
        <f t="shared" ref="BK125:BL125" si="2073">IF(ISBLANK(BM125),,BM125-BM124)</f>
        <v>5</v>
      </c>
      <c r="BL125" s="334">
        <f t="shared" si="2073"/>
        <v>0</v>
      </c>
      <c r="BM125" s="335">
        <v>267</v>
      </c>
      <c r="BN125" s="339">
        <v>1</v>
      </c>
      <c r="BO125" s="316">
        <f t="shared" ref="BO125:BP125" si="2074">IF(ISBLANK(BQ125),,BQ125-BQ124)</f>
        <v>46</v>
      </c>
      <c r="BP125" s="334">
        <f t="shared" si="2074"/>
        <v>0</v>
      </c>
      <c r="BQ125" s="335">
        <v>2850</v>
      </c>
      <c r="BR125" s="336">
        <v>177</v>
      </c>
      <c r="BS125" s="316">
        <f t="shared" ref="BS125:BT125" si="2075">IF(ISBLANK(BU125),,BU125-BU124)</f>
        <v>2</v>
      </c>
      <c r="BT125" s="334">
        <f t="shared" si="2075"/>
        <v>0</v>
      </c>
      <c r="BU125" s="335">
        <v>613</v>
      </c>
      <c r="BV125" s="336">
        <v>22</v>
      </c>
      <c r="BW125" s="233"/>
      <c r="BX125" s="233"/>
      <c r="BY125" s="233"/>
      <c r="BZ125" s="233"/>
      <c r="CA125" s="233"/>
      <c r="CB125" s="233"/>
      <c r="CC125" s="233"/>
      <c r="CD125" s="233"/>
      <c r="CE125" s="233"/>
    </row>
    <row r="126" spans="1:83" x14ac:dyDescent="0.25">
      <c r="A126" s="313">
        <v>44016</v>
      </c>
      <c r="B126" s="314">
        <f t="shared" si="1276"/>
        <v>123</v>
      </c>
      <c r="C126" s="315"/>
      <c r="D126" s="316">
        <v>314</v>
      </c>
      <c r="E126" s="317">
        <v>4</v>
      </c>
      <c r="F126" s="318">
        <v>23127</v>
      </c>
      <c r="G126" s="319"/>
      <c r="H126" s="330">
        <f t="shared" ref="H126:I126" si="2076">IF(ISBLANK(D126),,H125+D126)</f>
        <v>35719</v>
      </c>
      <c r="I126" s="331">
        <f t="shared" si="2076"/>
        <v>1511</v>
      </c>
      <c r="J126" s="332">
        <f t="shared" si="1"/>
        <v>476</v>
      </c>
      <c r="K126" s="333">
        <f t="shared" ref="K126:L126" si="2077">IF(ISBLANK(M126),,M126-M125)</f>
        <v>3</v>
      </c>
      <c r="L126" s="334">
        <f t="shared" si="2077"/>
        <v>0</v>
      </c>
      <c r="M126" s="335">
        <v>2936</v>
      </c>
      <c r="N126" s="336">
        <v>149</v>
      </c>
      <c r="O126" s="337">
        <f t="shared" ref="O126:P126" si="2078">IF(ISBLANK(Q126),,Q126-Q125)</f>
        <v>0</v>
      </c>
      <c r="P126" s="338">
        <f t="shared" si="2078"/>
        <v>0</v>
      </c>
      <c r="Q126" s="335">
        <v>679</v>
      </c>
      <c r="R126" s="339">
        <v>49</v>
      </c>
      <c r="S126" s="316">
        <f t="shared" ref="S126:T126" si="2079">IF(ISBLANK(U126),,U126-U125)</f>
        <v>10</v>
      </c>
      <c r="T126" s="334">
        <f t="shared" si="2079"/>
        <v>0</v>
      </c>
      <c r="U126" s="335">
        <v>678</v>
      </c>
      <c r="V126" s="336">
        <v>18</v>
      </c>
      <c r="W126" s="337">
        <f t="shared" ref="W126:X126" si="2080">IF(ISBLANK(Y126),,Y126-Y125)</f>
        <v>0</v>
      </c>
      <c r="X126" s="334">
        <f t="shared" si="2080"/>
        <v>0</v>
      </c>
      <c r="Y126" s="335">
        <v>151</v>
      </c>
      <c r="Z126" s="340">
        <v>0</v>
      </c>
      <c r="AA126" s="316">
        <f t="shared" ref="AA126:AB126" si="2081">IF(ISBLANK(AC126),,AC126-AC125)</f>
        <v>21</v>
      </c>
      <c r="AB126" s="334">
        <f t="shared" si="2081"/>
        <v>2</v>
      </c>
      <c r="AC126" s="335">
        <v>3228</v>
      </c>
      <c r="AD126" s="336">
        <v>176</v>
      </c>
      <c r="AE126" s="337">
        <f t="shared" ref="AE126:AF126" si="2082">IF(ISBLANK(AG126),,AG126-AG125)</f>
        <v>29</v>
      </c>
      <c r="AF126" s="334">
        <f t="shared" si="2082"/>
        <v>0</v>
      </c>
      <c r="AG126" s="335">
        <v>1834</v>
      </c>
      <c r="AH126" s="339">
        <v>44</v>
      </c>
      <c r="AI126" s="316">
        <f t="shared" ref="AI126:AJ126" si="2083">IF(ISBLANK(AK126),,AK126-AK125)</f>
        <v>28</v>
      </c>
      <c r="AJ126" s="334">
        <f t="shared" si="2083"/>
        <v>1</v>
      </c>
      <c r="AK126" s="335">
        <v>5152</v>
      </c>
      <c r="AL126" s="336">
        <v>343</v>
      </c>
      <c r="AM126" s="337">
        <f t="shared" ref="AM126:AN126" si="2084">IF(ISBLANK(AO126),,AO126-AO125)</f>
        <v>3</v>
      </c>
      <c r="AN126" s="334">
        <f t="shared" si="2084"/>
        <v>0</v>
      </c>
      <c r="AO126" s="335">
        <v>967</v>
      </c>
      <c r="AP126" s="339">
        <v>51</v>
      </c>
      <c r="AQ126" s="316">
        <f t="shared" ref="AQ126:AR126" si="2085">IF(ISBLANK(AS126),,AS126-AS125)</f>
        <v>40</v>
      </c>
      <c r="AR126" s="338">
        <f t="shared" si="2085"/>
        <v>0</v>
      </c>
      <c r="AS126" s="335">
        <v>735</v>
      </c>
      <c r="AT126" s="336">
        <v>51</v>
      </c>
      <c r="AU126" s="337">
        <f t="shared" ref="AU126:AV126" si="2086">IF(ISBLANK(AW126),,AW126-AW125)</f>
        <v>13</v>
      </c>
      <c r="AV126" s="334">
        <f t="shared" si="2086"/>
        <v>0</v>
      </c>
      <c r="AW126" s="335">
        <v>874</v>
      </c>
      <c r="AX126" s="339">
        <v>12</v>
      </c>
      <c r="AY126" s="316">
        <f t="shared" ref="AY126:AZ126" si="2087">IF(ISBLANK(BA126),,BA126-BA125)</f>
        <v>4</v>
      </c>
      <c r="AZ126" s="334">
        <f t="shared" si="2087"/>
        <v>0</v>
      </c>
      <c r="BA126" s="335">
        <v>685</v>
      </c>
      <c r="BB126" s="336">
        <v>38</v>
      </c>
      <c r="BC126" s="337">
        <f t="shared" ref="BC126:BD126" si="2088">IF(ISBLANK(BE126),,BE126-BE125)</f>
        <v>93</v>
      </c>
      <c r="BD126" s="334">
        <f t="shared" si="2088"/>
        <v>1</v>
      </c>
      <c r="BE126" s="335">
        <v>13179</v>
      </c>
      <c r="BF126" s="339">
        <v>340</v>
      </c>
      <c r="BG126" s="316">
        <f t="shared" ref="BG126:BH126" si="2089">IF(ISBLANK(BI126),,BI126-BI125)</f>
        <v>2</v>
      </c>
      <c r="BH126" s="334">
        <f t="shared" si="2089"/>
        <v>0</v>
      </c>
      <c r="BI126" s="335">
        <v>823</v>
      </c>
      <c r="BJ126" s="336">
        <v>40</v>
      </c>
      <c r="BK126" s="337">
        <f t="shared" ref="BK126:BL126" si="2090">IF(ISBLANK(BM126),,BM126-BM125)</f>
        <v>4</v>
      </c>
      <c r="BL126" s="334">
        <f t="shared" si="2090"/>
        <v>0</v>
      </c>
      <c r="BM126" s="335">
        <v>271</v>
      </c>
      <c r="BN126" s="339">
        <v>1</v>
      </c>
      <c r="BO126" s="316">
        <f t="shared" ref="BO126:BP126" si="2091">IF(ISBLANK(BQ126),,BQ126-BQ125)</f>
        <v>57</v>
      </c>
      <c r="BP126" s="334">
        <f t="shared" si="2091"/>
        <v>0</v>
      </c>
      <c r="BQ126" s="335">
        <v>2907</v>
      </c>
      <c r="BR126" s="336">
        <v>177</v>
      </c>
      <c r="BS126" s="316">
        <f t="shared" ref="BS126:BT126" si="2092">IF(ISBLANK(BU126),,BU126-BU125)</f>
        <v>7</v>
      </c>
      <c r="BT126" s="334">
        <f t="shared" si="2092"/>
        <v>0</v>
      </c>
      <c r="BU126" s="335">
        <v>620</v>
      </c>
      <c r="BV126" s="336">
        <v>22</v>
      </c>
      <c r="BW126" s="233"/>
      <c r="BX126" s="233"/>
      <c r="BY126" s="233"/>
      <c r="BZ126" s="233"/>
      <c r="CA126" s="233"/>
      <c r="CB126" s="233"/>
      <c r="CC126" s="233"/>
      <c r="CD126" s="233"/>
      <c r="CE126" s="233"/>
    </row>
    <row r="127" spans="1:83" x14ac:dyDescent="0.25">
      <c r="A127" s="313">
        <v>44017</v>
      </c>
      <c r="B127" s="314">
        <f t="shared" si="1276"/>
        <v>124</v>
      </c>
      <c r="C127" s="315"/>
      <c r="D127" s="316">
        <v>231</v>
      </c>
      <c r="E127" s="317">
        <v>5</v>
      </c>
      <c r="F127" s="318">
        <v>23746</v>
      </c>
      <c r="G127" s="319"/>
      <c r="H127" s="330">
        <f t="shared" ref="H127:I127" si="2093">IF(ISBLANK(D127),,H126+D127)</f>
        <v>35950</v>
      </c>
      <c r="I127" s="331">
        <f t="shared" si="2093"/>
        <v>1516</v>
      </c>
      <c r="J127" s="332">
        <f t="shared" si="1"/>
        <v>619</v>
      </c>
      <c r="K127" s="333">
        <f t="shared" ref="K127:L127" si="2094">IF(ISBLANK(M127),,M127-M126)</f>
        <v>0</v>
      </c>
      <c r="L127" s="334">
        <f t="shared" si="2094"/>
        <v>0</v>
      </c>
      <c r="M127" s="335">
        <v>2936</v>
      </c>
      <c r="N127" s="336">
        <v>149</v>
      </c>
      <c r="O127" s="337">
        <f t="shared" ref="O127:P127" si="2095">IF(ISBLANK(Q127),,Q127-Q126)</f>
        <v>2</v>
      </c>
      <c r="P127" s="338">
        <f t="shared" si="2095"/>
        <v>0</v>
      </c>
      <c r="Q127" s="335">
        <v>681</v>
      </c>
      <c r="R127" s="339">
        <v>49</v>
      </c>
      <c r="S127" s="316">
        <f t="shared" ref="S127:T127" si="2096">IF(ISBLANK(U127),,U127-U126)</f>
        <v>14</v>
      </c>
      <c r="T127" s="334">
        <f t="shared" si="2096"/>
        <v>0</v>
      </c>
      <c r="U127" s="335">
        <v>692</v>
      </c>
      <c r="V127" s="336">
        <v>18</v>
      </c>
      <c r="W127" s="337">
        <f t="shared" ref="W127:X127" si="2097">IF(ISBLANK(Y127),,Y127-Y126)</f>
        <v>0</v>
      </c>
      <c r="X127" s="334">
        <f t="shared" si="2097"/>
        <v>0</v>
      </c>
      <c r="Y127" s="335">
        <v>151</v>
      </c>
      <c r="Z127" s="340">
        <v>0</v>
      </c>
      <c r="AA127" s="316">
        <f t="shared" ref="AA127:AB127" si="2098">IF(ISBLANK(AC127),,AC127-AC126)</f>
        <v>16</v>
      </c>
      <c r="AB127" s="334">
        <f t="shared" si="2098"/>
        <v>1</v>
      </c>
      <c r="AC127" s="335">
        <v>3244</v>
      </c>
      <c r="AD127" s="336">
        <v>177</v>
      </c>
      <c r="AE127" s="337">
        <f t="shared" ref="AE127:AF127" si="2099">IF(ISBLANK(AG127),,AG127-AG126)</f>
        <v>17</v>
      </c>
      <c r="AF127" s="334">
        <f t="shared" si="2099"/>
        <v>0</v>
      </c>
      <c r="AG127" s="335">
        <v>1851</v>
      </c>
      <c r="AH127" s="339">
        <v>44</v>
      </c>
      <c r="AI127" s="316">
        <f t="shared" ref="AI127:AJ127" si="2100">IF(ISBLANK(AK127),,AK127-AK126)</f>
        <v>17</v>
      </c>
      <c r="AJ127" s="334">
        <f t="shared" si="2100"/>
        <v>2</v>
      </c>
      <c r="AK127" s="335">
        <v>5169</v>
      </c>
      <c r="AL127" s="336">
        <v>345</v>
      </c>
      <c r="AM127" s="337">
        <f t="shared" ref="AM127:AN127" si="2101">IF(ISBLANK(AO127),,AO127-AO126)</f>
        <v>5</v>
      </c>
      <c r="AN127" s="334">
        <f t="shared" si="2101"/>
        <v>0</v>
      </c>
      <c r="AO127" s="335">
        <v>972</v>
      </c>
      <c r="AP127" s="339">
        <v>51</v>
      </c>
      <c r="AQ127" s="316">
        <f t="shared" ref="AQ127:AR127" si="2102">IF(ISBLANK(AS127),,AS127-AS126)</f>
        <v>27</v>
      </c>
      <c r="AR127" s="338">
        <f t="shared" si="2102"/>
        <v>1</v>
      </c>
      <c r="AS127" s="335">
        <v>762</v>
      </c>
      <c r="AT127" s="336">
        <v>52</v>
      </c>
      <c r="AU127" s="337">
        <f t="shared" ref="AU127:AV127" si="2103">IF(ISBLANK(AW127),,AW127-AW126)</f>
        <v>2</v>
      </c>
      <c r="AV127" s="334">
        <f t="shared" si="2103"/>
        <v>0</v>
      </c>
      <c r="AW127" s="335">
        <v>876</v>
      </c>
      <c r="AX127" s="339">
        <v>12</v>
      </c>
      <c r="AY127" s="316">
        <f t="shared" ref="AY127:AZ127" si="2104">IF(ISBLANK(BA127),,BA127-BA126)</f>
        <v>2</v>
      </c>
      <c r="AZ127" s="334">
        <f t="shared" si="2104"/>
        <v>0</v>
      </c>
      <c r="BA127" s="335">
        <v>687</v>
      </c>
      <c r="BB127" s="336">
        <v>38</v>
      </c>
      <c r="BC127" s="337">
        <f t="shared" ref="BC127:BD127" si="2105">IF(ISBLANK(BE127),,BE127-BE126)</f>
        <v>87</v>
      </c>
      <c r="BD127" s="334">
        <f t="shared" si="2105"/>
        <v>1</v>
      </c>
      <c r="BE127" s="335">
        <v>13266</v>
      </c>
      <c r="BF127" s="339">
        <v>341</v>
      </c>
      <c r="BG127" s="316">
        <f t="shared" ref="BG127:BH127" si="2106">IF(ISBLANK(BI127),,BI127-BI126)</f>
        <v>5</v>
      </c>
      <c r="BH127" s="334">
        <f t="shared" si="2106"/>
        <v>0</v>
      </c>
      <c r="BI127" s="335">
        <v>828</v>
      </c>
      <c r="BJ127" s="336">
        <v>40</v>
      </c>
      <c r="BK127" s="337">
        <f t="shared" ref="BK127:BL127" si="2107">IF(ISBLANK(BM127),,BM127-BM126)</f>
        <v>1</v>
      </c>
      <c r="BL127" s="334">
        <f t="shared" si="2107"/>
        <v>0</v>
      </c>
      <c r="BM127" s="335">
        <v>272</v>
      </c>
      <c r="BN127" s="339">
        <v>1</v>
      </c>
      <c r="BO127" s="316">
        <f t="shared" ref="BO127:BP127" si="2108">IF(ISBLANK(BQ127),,BQ127-BQ126)</f>
        <v>35</v>
      </c>
      <c r="BP127" s="334">
        <f t="shared" si="2108"/>
        <v>0</v>
      </c>
      <c r="BQ127" s="335">
        <v>2942</v>
      </c>
      <c r="BR127" s="336">
        <v>177</v>
      </c>
      <c r="BS127" s="316">
        <f t="shared" ref="BS127:BT127" si="2109">IF(ISBLANK(BU127),,BU127-BU126)</f>
        <v>1</v>
      </c>
      <c r="BT127" s="334">
        <f t="shared" si="2109"/>
        <v>0</v>
      </c>
      <c r="BU127" s="335">
        <v>621</v>
      </c>
      <c r="BV127" s="336">
        <v>22</v>
      </c>
      <c r="BW127" s="233"/>
      <c r="BX127" s="233"/>
      <c r="BY127" s="233"/>
      <c r="BZ127" s="233"/>
      <c r="CA127" s="233"/>
      <c r="CB127" s="233"/>
      <c r="CC127" s="233"/>
      <c r="CD127" s="233"/>
      <c r="CE127" s="233"/>
    </row>
    <row r="128" spans="1:83" x14ac:dyDescent="0.25">
      <c r="A128" s="313">
        <v>44018</v>
      </c>
      <c r="B128" s="314">
        <f t="shared" si="1276"/>
        <v>125</v>
      </c>
      <c r="C128" s="315"/>
      <c r="D128" s="316">
        <v>205</v>
      </c>
      <c r="E128" s="317">
        <v>4</v>
      </c>
      <c r="F128" s="318">
        <v>23966</v>
      </c>
      <c r="G128" s="319"/>
      <c r="H128" s="330">
        <f t="shared" ref="H128:I128" si="2110">IF(ISBLANK(D128),,H127+D128)</f>
        <v>36155</v>
      </c>
      <c r="I128" s="331">
        <f t="shared" si="2110"/>
        <v>1520</v>
      </c>
      <c r="J128" s="332">
        <f t="shared" si="1"/>
        <v>220</v>
      </c>
      <c r="K128" s="333">
        <f t="shared" ref="K128:L128" si="2111">IF(ISBLANK(M128),,M128-M127)</f>
        <v>5</v>
      </c>
      <c r="L128" s="334">
        <f t="shared" si="2111"/>
        <v>0</v>
      </c>
      <c r="M128" s="335">
        <v>2941</v>
      </c>
      <c r="N128" s="336">
        <v>149</v>
      </c>
      <c r="O128" s="337">
        <f t="shared" ref="O128:P128" si="2112">IF(ISBLANK(Q128),,Q128-Q127)</f>
        <v>3</v>
      </c>
      <c r="P128" s="338">
        <f t="shared" si="2112"/>
        <v>0</v>
      </c>
      <c r="Q128" s="335">
        <v>684</v>
      </c>
      <c r="R128" s="339">
        <v>49</v>
      </c>
      <c r="S128" s="316">
        <f t="shared" ref="S128:T128" si="2113">IF(ISBLANK(U128),,U128-U127)</f>
        <v>26</v>
      </c>
      <c r="T128" s="334">
        <f t="shared" si="2113"/>
        <v>0</v>
      </c>
      <c r="U128" s="335">
        <v>718</v>
      </c>
      <c r="V128" s="336">
        <v>18</v>
      </c>
      <c r="W128" s="337">
        <f t="shared" ref="W128:X128" si="2114">IF(ISBLANK(Y128),,Y128-Y127)</f>
        <v>1</v>
      </c>
      <c r="X128" s="334">
        <f t="shared" si="2114"/>
        <v>0</v>
      </c>
      <c r="Y128" s="335">
        <v>152</v>
      </c>
      <c r="Z128" s="340">
        <v>0</v>
      </c>
      <c r="AA128" s="316">
        <f t="shared" ref="AA128:AB128" si="2115">IF(ISBLANK(AC128),,AC128-AC127)</f>
        <v>31</v>
      </c>
      <c r="AB128" s="334">
        <f t="shared" si="2115"/>
        <v>0</v>
      </c>
      <c r="AC128" s="335">
        <v>3275</v>
      </c>
      <c r="AD128" s="336">
        <v>177</v>
      </c>
      <c r="AE128" s="337">
        <f t="shared" ref="AE128:AF128" si="2116">IF(ISBLANK(AG128),,AG128-AG127)</f>
        <v>12</v>
      </c>
      <c r="AF128" s="334">
        <f t="shared" si="2116"/>
        <v>0</v>
      </c>
      <c r="AG128" s="335">
        <v>1863</v>
      </c>
      <c r="AH128" s="339">
        <v>44</v>
      </c>
      <c r="AI128" s="316">
        <f t="shared" ref="AI128:AJ128" si="2117">IF(ISBLANK(AK128),,AK128-AK127)</f>
        <v>39</v>
      </c>
      <c r="AJ128" s="334">
        <f t="shared" si="2117"/>
        <v>0</v>
      </c>
      <c r="AK128" s="335">
        <v>5208</v>
      </c>
      <c r="AL128" s="336">
        <v>345</v>
      </c>
      <c r="AM128" s="337">
        <f t="shared" ref="AM128:AN128" si="2118">IF(ISBLANK(AO128),,AO128-AO127)</f>
        <v>1</v>
      </c>
      <c r="AN128" s="334">
        <f t="shared" si="2118"/>
        <v>0</v>
      </c>
      <c r="AO128" s="335">
        <v>973</v>
      </c>
      <c r="AP128" s="339">
        <v>51</v>
      </c>
      <c r="AQ128" s="316">
        <f t="shared" ref="AQ128:AR128" si="2119">IF(ISBLANK(AS128),,AS128-AS127)</f>
        <v>13</v>
      </c>
      <c r="AR128" s="338">
        <f t="shared" si="2119"/>
        <v>3</v>
      </c>
      <c r="AS128" s="335">
        <v>775</v>
      </c>
      <c r="AT128" s="336">
        <v>55</v>
      </c>
      <c r="AU128" s="337">
        <f t="shared" ref="AU128:AV128" si="2120">IF(ISBLANK(AW128),,AW128-AW127)</f>
        <v>4</v>
      </c>
      <c r="AV128" s="334">
        <f t="shared" si="2120"/>
        <v>0</v>
      </c>
      <c r="AW128" s="335">
        <v>880</v>
      </c>
      <c r="AX128" s="339">
        <v>12</v>
      </c>
      <c r="AY128" s="316">
        <f t="shared" ref="AY128:AZ128" si="2121">IF(ISBLANK(BA128),,BA128-BA127)</f>
        <v>1</v>
      </c>
      <c r="AZ128" s="334">
        <f t="shared" si="2121"/>
        <v>0</v>
      </c>
      <c r="BA128" s="335">
        <v>688</v>
      </c>
      <c r="BB128" s="336">
        <v>38</v>
      </c>
      <c r="BC128" s="337">
        <f t="shared" ref="BC128:BD128" si="2122">IF(ISBLANK(BE128),,BE128-BE127)</f>
        <v>49</v>
      </c>
      <c r="BD128" s="334">
        <f t="shared" si="2122"/>
        <v>1</v>
      </c>
      <c r="BE128" s="335">
        <v>13315</v>
      </c>
      <c r="BF128" s="339">
        <v>342</v>
      </c>
      <c r="BG128" s="316">
        <f t="shared" ref="BG128:BH128" si="2123">IF(ISBLANK(BI128),,BI128-BI127)</f>
        <v>10</v>
      </c>
      <c r="BH128" s="334">
        <f t="shared" si="2123"/>
        <v>0</v>
      </c>
      <c r="BI128" s="335">
        <v>838</v>
      </c>
      <c r="BJ128" s="336">
        <v>40</v>
      </c>
      <c r="BK128" s="337">
        <f t="shared" ref="BK128:BL128" si="2124">IF(ISBLANK(BM128),,BM128-BM127)</f>
        <v>2</v>
      </c>
      <c r="BL128" s="334">
        <f t="shared" si="2124"/>
        <v>0</v>
      </c>
      <c r="BM128" s="335">
        <v>274</v>
      </c>
      <c r="BN128" s="339">
        <v>1</v>
      </c>
      <c r="BO128" s="316">
        <f t="shared" ref="BO128:BP128" si="2125">IF(ISBLANK(BQ128),,BQ128-BQ127)</f>
        <v>8</v>
      </c>
      <c r="BP128" s="334">
        <f t="shared" si="2125"/>
        <v>0</v>
      </c>
      <c r="BQ128" s="335">
        <v>2950</v>
      </c>
      <c r="BR128" s="336">
        <v>177</v>
      </c>
      <c r="BS128" s="316">
        <f t="shared" ref="BS128:BT128" si="2126">IF(ISBLANK(BU128),,BU128-BU127)</f>
        <v>0</v>
      </c>
      <c r="BT128" s="334">
        <f t="shared" si="2126"/>
        <v>0</v>
      </c>
      <c r="BU128" s="335">
        <v>621</v>
      </c>
      <c r="BV128" s="336">
        <v>22</v>
      </c>
      <c r="BW128" s="233"/>
      <c r="BX128" s="233"/>
      <c r="BY128" s="233"/>
      <c r="BZ128" s="233"/>
      <c r="CA128" s="233"/>
      <c r="CB128" s="233"/>
      <c r="CC128" s="233"/>
      <c r="CD128" s="233"/>
      <c r="CE128" s="233"/>
    </row>
    <row r="129" spans="1:83" x14ac:dyDescent="0.25">
      <c r="A129" s="313">
        <v>44019</v>
      </c>
      <c r="B129" s="314">
        <f t="shared" si="1276"/>
        <v>126</v>
      </c>
      <c r="C129" s="315"/>
      <c r="D129" s="316">
        <v>257</v>
      </c>
      <c r="E129" s="317">
        <v>7</v>
      </c>
      <c r="F129" s="318">
        <v>24238</v>
      </c>
      <c r="G129" s="319"/>
      <c r="H129" s="330">
        <f t="shared" ref="H129:I129" si="2127">IF(ISBLANK(D129),,H128+D129)</f>
        <v>36412</v>
      </c>
      <c r="I129" s="331">
        <f t="shared" si="2127"/>
        <v>1527</v>
      </c>
      <c r="J129" s="332">
        <f t="shared" si="1"/>
        <v>272</v>
      </c>
      <c r="K129" s="333">
        <f t="shared" ref="K129:L129" si="2128">IF(ISBLANK(M129),,M129-M128)</f>
        <v>9</v>
      </c>
      <c r="L129" s="334">
        <f t="shared" si="2128"/>
        <v>0</v>
      </c>
      <c r="M129" s="335">
        <v>2950</v>
      </c>
      <c r="N129" s="336">
        <v>149</v>
      </c>
      <c r="O129" s="337">
        <f t="shared" ref="O129:P129" si="2129">IF(ISBLANK(Q129),,Q129-Q128)</f>
        <v>1</v>
      </c>
      <c r="P129" s="338">
        <f t="shared" si="2129"/>
        <v>0</v>
      </c>
      <c r="Q129" s="335">
        <v>685</v>
      </c>
      <c r="R129" s="339">
        <v>49</v>
      </c>
      <c r="S129" s="316">
        <f t="shared" ref="S129:T129" si="2130">IF(ISBLANK(U129),,U129-U128)</f>
        <v>15</v>
      </c>
      <c r="T129" s="334">
        <f t="shared" si="2130"/>
        <v>1</v>
      </c>
      <c r="U129" s="335">
        <v>733</v>
      </c>
      <c r="V129" s="336">
        <v>19</v>
      </c>
      <c r="W129" s="337">
        <f t="shared" ref="W129:X129" si="2131">IF(ISBLANK(Y129),,Y129-Y128)</f>
        <v>0</v>
      </c>
      <c r="X129" s="334">
        <f t="shared" si="2131"/>
        <v>0</v>
      </c>
      <c r="Y129" s="335">
        <v>152</v>
      </c>
      <c r="Z129" s="340">
        <v>0</v>
      </c>
      <c r="AA129" s="316">
        <f t="shared" ref="AA129:AB129" si="2132">IF(ISBLANK(AC129),,AC129-AC128)</f>
        <v>9</v>
      </c>
      <c r="AB129" s="334">
        <f t="shared" si="2132"/>
        <v>2</v>
      </c>
      <c r="AC129" s="335">
        <v>3284</v>
      </c>
      <c r="AD129" s="336">
        <v>179</v>
      </c>
      <c r="AE129" s="337">
        <f t="shared" ref="AE129:AF129" si="2133">IF(ISBLANK(AG129),,AG129-AG128)</f>
        <v>21</v>
      </c>
      <c r="AF129" s="334">
        <f t="shared" si="2133"/>
        <v>0</v>
      </c>
      <c r="AG129" s="335">
        <v>1884</v>
      </c>
      <c r="AH129" s="339">
        <v>44</v>
      </c>
      <c r="AI129" s="316">
        <f t="shared" ref="AI129:AJ129" si="2134">IF(ISBLANK(AK129),,AK129-AK128)</f>
        <v>6</v>
      </c>
      <c r="AJ129" s="334">
        <f t="shared" si="2134"/>
        <v>0</v>
      </c>
      <c r="AK129" s="335">
        <v>5214</v>
      </c>
      <c r="AL129" s="336">
        <v>345</v>
      </c>
      <c r="AM129" s="337">
        <f t="shared" ref="AM129:AN129" si="2135">IF(ISBLANK(AO129),,AO129-AO128)</f>
        <v>3</v>
      </c>
      <c r="AN129" s="334">
        <f t="shared" si="2135"/>
        <v>0</v>
      </c>
      <c r="AO129" s="335">
        <v>976</v>
      </c>
      <c r="AP129" s="339">
        <v>51</v>
      </c>
      <c r="AQ129" s="316">
        <f t="shared" ref="AQ129:AR129" si="2136">IF(ISBLANK(AS129),,AS129-AS128)</f>
        <v>17</v>
      </c>
      <c r="AR129" s="338">
        <f t="shared" si="2136"/>
        <v>0</v>
      </c>
      <c r="AS129" s="335">
        <v>792</v>
      </c>
      <c r="AT129" s="336">
        <v>55</v>
      </c>
      <c r="AU129" s="337">
        <f t="shared" ref="AU129:AV129" si="2137">IF(ISBLANK(AW129),,AW129-AW128)</f>
        <v>2</v>
      </c>
      <c r="AV129" s="334">
        <f t="shared" si="2137"/>
        <v>1</v>
      </c>
      <c r="AW129" s="335">
        <v>882</v>
      </c>
      <c r="AX129" s="339">
        <v>13</v>
      </c>
      <c r="AY129" s="316">
        <f t="shared" ref="AY129:AZ129" si="2138">IF(ISBLANK(BA129),,BA129-BA128)</f>
        <v>2</v>
      </c>
      <c r="AZ129" s="334">
        <f t="shared" si="2138"/>
        <v>0</v>
      </c>
      <c r="BA129" s="335">
        <v>690</v>
      </c>
      <c r="BB129" s="336">
        <v>38</v>
      </c>
      <c r="BC129" s="337">
        <f t="shared" ref="BC129:BD129" si="2139">IF(ISBLANK(BE129),,BE129-BE128)</f>
        <v>91</v>
      </c>
      <c r="BD129" s="334">
        <f t="shared" si="2139"/>
        <v>2</v>
      </c>
      <c r="BE129" s="335">
        <v>13406</v>
      </c>
      <c r="BF129" s="339">
        <v>344</v>
      </c>
      <c r="BG129" s="316">
        <f t="shared" ref="BG129:BH129" si="2140">IF(ISBLANK(BI129),,BI129-BI128)</f>
        <v>4</v>
      </c>
      <c r="BH129" s="334">
        <f t="shared" si="2140"/>
        <v>0</v>
      </c>
      <c r="BI129" s="335">
        <v>842</v>
      </c>
      <c r="BJ129" s="336">
        <v>40</v>
      </c>
      <c r="BK129" s="337">
        <f t="shared" ref="BK129:BL129" si="2141">IF(ISBLANK(BM129),,BM129-BM128)</f>
        <v>1</v>
      </c>
      <c r="BL129" s="334">
        <f t="shared" si="2141"/>
        <v>0</v>
      </c>
      <c r="BM129" s="335">
        <v>275</v>
      </c>
      <c r="BN129" s="339">
        <v>1</v>
      </c>
      <c r="BO129" s="316">
        <f t="shared" ref="BO129:BP129" si="2142">IF(ISBLANK(BQ129),,BQ129-BQ128)</f>
        <v>75</v>
      </c>
      <c r="BP129" s="334">
        <f t="shared" si="2142"/>
        <v>1</v>
      </c>
      <c r="BQ129" s="335">
        <v>3025</v>
      </c>
      <c r="BR129" s="336">
        <v>178</v>
      </c>
      <c r="BS129" s="316">
        <f t="shared" ref="BS129:BT129" si="2143">IF(ISBLANK(BU129),,BU129-BU128)</f>
        <v>1</v>
      </c>
      <c r="BT129" s="334">
        <f t="shared" si="2143"/>
        <v>0</v>
      </c>
      <c r="BU129" s="335">
        <v>622</v>
      </c>
      <c r="BV129" s="336">
        <v>22</v>
      </c>
      <c r="BW129" s="233"/>
      <c r="BX129" s="233"/>
      <c r="BY129" s="233"/>
      <c r="BZ129" s="233"/>
      <c r="CA129" s="233"/>
      <c r="CB129" s="233"/>
      <c r="CC129" s="233"/>
      <c r="CD129" s="233"/>
      <c r="CE129" s="233"/>
    </row>
    <row r="130" spans="1:83" x14ac:dyDescent="0.25">
      <c r="A130" s="313">
        <v>44020</v>
      </c>
      <c r="B130" s="314">
        <f t="shared" si="1276"/>
        <v>127</v>
      </c>
      <c r="C130" s="315"/>
      <c r="D130" s="316">
        <v>277</v>
      </c>
      <c r="E130" s="317">
        <v>15</v>
      </c>
      <c r="F130" s="318">
        <v>24878</v>
      </c>
      <c r="G130" s="319"/>
      <c r="H130" s="330">
        <f t="shared" ref="H130:I130" si="2144">IF(ISBLANK(D130),,H129+D130)</f>
        <v>36689</v>
      </c>
      <c r="I130" s="331">
        <f t="shared" si="2144"/>
        <v>1542</v>
      </c>
      <c r="J130" s="332">
        <f t="shared" si="1"/>
        <v>640</v>
      </c>
      <c r="K130" s="333">
        <f t="shared" ref="K130:L130" si="2145">IF(ISBLANK(M130),,M130-M129)</f>
        <v>2</v>
      </c>
      <c r="L130" s="334">
        <f t="shared" si="2145"/>
        <v>1</v>
      </c>
      <c r="M130" s="335">
        <v>2952</v>
      </c>
      <c r="N130" s="336">
        <v>150</v>
      </c>
      <c r="O130" s="337">
        <f t="shared" ref="O130:P130" si="2146">IF(ISBLANK(Q130),,Q130-Q129)</f>
        <v>5</v>
      </c>
      <c r="P130" s="338">
        <f t="shared" si="2146"/>
        <v>0</v>
      </c>
      <c r="Q130" s="335">
        <v>690</v>
      </c>
      <c r="R130" s="339">
        <v>49</v>
      </c>
      <c r="S130" s="316">
        <f t="shared" ref="S130:T130" si="2147">IF(ISBLANK(U130),,U130-U129)</f>
        <v>10</v>
      </c>
      <c r="T130" s="334">
        <f t="shared" si="2147"/>
        <v>0</v>
      </c>
      <c r="U130" s="335">
        <v>743</v>
      </c>
      <c r="V130" s="336">
        <v>19</v>
      </c>
      <c r="W130" s="337">
        <f t="shared" ref="W130:X130" si="2148">IF(ISBLANK(Y130),,Y130-Y129)</f>
        <v>0</v>
      </c>
      <c r="X130" s="334">
        <f t="shared" si="2148"/>
        <v>0</v>
      </c>
      <c r="Y130" s="335">
        <v>152</v>
      </c>
      <c r="Z130" s="340">
        <v>0</v>
      </c>
      <c r="AA130" s="316">
        <f t="shared" ref="AA130:AB130" si="2149">IF(ISBLANK(AC130),,AC130-AC129)</f>
        <v>32</v>
      </c>
      <c r="AB130" s="334">
        <f t="shared" si="2149"/>
        <v>4</v>
      </c>
      <c r="AC130" s="335">
        <v>3316</v>
      </c>
      <c r="AD130" s="336">
        <v>183</v>
      </c>
      <c r="AE130" s="337">
        <f t="shared" ref="AE130:AF130" si="2150">IF(ISBLANK(AG130),,AG130-AG129)</f>
        <v>28</v>
      </c>
      <c r="AF130" s="334">
        <f t="shared" si="2150"/>
        <v>0</v>
      </c>
      <c r="AG130" s="335">
        <v>1912</v>
      </c>
      <c r="AH130" s="339">
        <v>44</v>
      </c>
      <c r="AI130" s="316">
        <f t="shared" ref="AI130:AJ130" si="2151">IF(ISBLANK(AK130),,AK130-AK129)</f>
        <v>37</v>
      </c>
      <c r="AJ130" s="334">
        <f t="shared" si="2151"/>
        <v>2</v>
      </c>
      <c r="AK130" s="335">
        <v>5251</v>
      </c>
      <c r="AL130" s="336">
        <v>347</v>
      </c>
      <c r="AM130" s="337">
        <f t="shared" ref="AM130:AN130" si="2152">IF(ISBLANK(AO130),,AO130-AO129)</f>
        <v>4</v>
      </c>
      <c r="AN130" s="334">
        <f t="shared" si="2152"/>
        <v>0</v>
      </c>
      <c r="AO130" s="335">
        <v>980</v>
      </c>
      <c r="AP130" s="339">
        <v>51</v>
      </c>
      <c r="AQ130" s="316">
        <f t="shared" ref="AQ130:AR130" si="2153">IF(ISBLANK(AS130),,AS130-AS129)</f>
        <v>27</v>
      </c>
      <c r="AR130" s="338">
        <f t="shared" si="2153"/>
        <v>0</v>
      </c>
      <c r="AS130" s="335">
        <v>819</v>
      </c>
      <c r="AT130" s="336">
        <v>55</v>
      </c>
      <c r="AU130" s="337">
        <f t="shared" ref="AU130:AV130" si="2154">IF(ISBLANK(AW130),,AW130-AW129)</f>
        <v>7</v>
      </c>
      <c r="AV130" s="334">
        <f t="shared" si="2154"/>
        <v>0</v>
      </c>
      <c r="AW130" s="335">
        <v>889</v>
      </c>
      <c r="AX130" s="339">
        <v>13</v>
      </c>
      <c r="AY130" s="316">
        <f t="shared" ref="AY130:AZ130" si="2155">IF(ISBLANK(BA130),,BA130-BA129)</f>
        <v>3</v>
      </c>
      <c r="AZ130" s="334">
        <f t="shared" si="2155"/>
        <v>0</v>
      </c>
      <c r="BA130" s="335">
        <v>693</v>
      </c>
      <c r="BB130" s="336">
        <v>38</v>
      </c>
      <c r="BC130" s="337">
        <f t="shared" ref="BC130:BD130" si="2156">IF(ISBLANK(BE130),,BE130-BE129)</f>
        <v>96</v>
      </c>
      <c r="BD130" s="334">
        <f t="shared" si="2156"/>
        <v>5</v>
      </c>
      <c r="BE130" s="335">
        <v>13502</v>
      </c>
      <c r="BF130" s="339">
        <v>349</v>
      </c>
      <c r="BG130" s="316">
        <f t="shared" ref="BG130:BH130" si="2157">IF(ISBLANK(BI130),,BI130-BI129)</f>
        <v>3</v>
      </c>
      <c r="BH130" s="334">
        <f t="shared" si="2157"/>
        <v>1</v>
      </c>
      <c r="BI130" s="335">
        <v>845</v>
      </c>
      <c r="BJ130" s="336">
        <v>41</v>
      </c>
      <c r="BK130" s="337">
        <f t="shared" ref="BK130:BL130" si="2158">IF(ISBLANK(BM130),,BM130-BM129)</f>
        <v>0</v>
      </c>
      <c r="BL130" s="334">
        <f t="shared" si="2158"/>
        <v>0</v>
      </c>
      <c r="BM130" s="335">
        <v>275</v>
      </c>
      <c r="BN130" s="339">
        <v>1</v>
      </c>
      <c r="BO130" s="316">
        <f t="shared" ref="BO130:BP130" si="2159">IF(ISBLANK(BQ130),,BQ130-BQ129)</f>
        <v>23</v>
      </c>
      <c r="BP130" s="334">
        <f t="shared" si="2159"/>
        <v>1</v>
      </c>
      <c r="BQ130" s="335">
        <v>3048</v>
      </c>
      <c r="BR130" s="336">
        <v>179</v>
      </c>
      <c r="BS130" s="316">
        <f t="shared" ref="BS130:BT130" si="2160">IF(ISBLANK(BU130),,BU130-BU129)</f>
        <v>0</v>
      </c>
      <c r="BT130" s="334">
        <f t="shared" si="2160"/>
        <v>1</v>
      </c>
      <c r="BU130" s="335">
        <v>622</v>
      </c>
      <c r="BV130" s="336">
        <v>23</v>
      </c>
      <c r="BW130" s="233"/>
      <c r="BX130" s="233"/>
      <c r="BY130" s="233"/>
      <c r="BZ130" s="233"/>
      <c r="CA130" s="233"/>
      <c r="CB130" s="233"/>
      <c r="CC130" s="233"/>
      <c r="CD130" s="233"/>
      <c r="CE130" s="233"/>
    </row>
    <row r="131" spans="1:83" x14ac:dyDescent="0.25">
      <c r="A131" s="313">
        <v>44021</v>
      </c>
      <c r="B131" s="314">
        <f t="shared" si="1276"/>
        <v>128</v>
      </c>
      <c r="C131" s="315"/>
      <c r="D131" s="316">
        <v>262</v>
      </c>
      <c r="E131" s="317">
        <v>9</v>
      </c>
      <c r="F131" s="318">
        <v>25477</v>
      </c>
      <c r="G131" s="319"/>
      <c r="H131" s="330">
        <f t="shared" ref="H131:I131" si="2161">IF(ISBLANK(D131),,H130+D131)</f>
        <v>36951</v>
      </c>
      <c r="I131" s="331">
        <f t="shared" si="2161"/>
        <v>1551</v>
      </c>
      <c r="J131" s="332">
        <f t="shared" si="1"/>
        <v>599</v>
      </c>
      <c r="K131" s="333">
        <f t="shared" ref="K131:L131" si="2162">IF(ISBLANK(M131),,M131-M130)</f>
        <v>5</v>
      </c>
      <c r="L131" s="334">
        <f t="shared" si="2162"/>
        <v>0</v>
      </c>
      <c r="M131" s="335">
        <v>2957</v>
      </c>
      <c r="N131" s="336">
        <v>150</v>
      </c>
      <c r="O131" s="337">
        <f t="shared" ref="O131:P131" si="2163">IF(ISBLANK(Q131),,Q131-Q130)</f>
        <v>3</v>
      </c>
      <c r="P131" s="338">
        <f t="shared" si="2163"/>
        <v>0</v>
      </c>
      <c r="Q131" s="335">
        <v>693</v>
      </c>
      <c r="R131" s="339">
        <v>49</v>
      </c>
      <c r="S131" s="316">
        <f t="shared" ref="S131:T131" si="2164">IF(ISBLANK(U131),,U131-U130)</f>
        <v>4</v>
      </c>
      <c r="T131" s="334">
        <f t="shared" si="2164"/>
        <v>0</v>
      </c>
      <c r="U131" s="335">
        <v>747</v>
      </c>
      <c r="V131" s="336">
        <v>19</v>
      </c>
      <c r="W131" s="337">
        <f t="shared" ref="W131:X131" si="2165">IF(ISBLANK(Y131),,Y131-Y130)</f>
        <v>3</v>
      </c>
      <c r="X131" s="334">
        <f t="shared" si="2165"/>
        <v>0</v>
      </c>
      <c r="Y131" s="335">
        <v>155</v>
      </c>
      <c r="Z131" s="340">
        <v>0</v>
      </c>
      <c r="AA131" s="316">
        <f t="shared" ref="AA131:AB131" si="2166">IF(ISBLANK(AC131),,AC131-AC130)</f>
        <v>22</v>
      </c>
      <c r="AB131" s="334">
        <f t="shared" si="2166"/>
        <v>2</v>
      </c>
      <c r="AC131" s="335">
        <v>3338</v>
      </c>
      <c r="AD131" s="336">
        <v>185</v>
      </c>
      <c r="AE131" s="337">
        <f t="shared" ref="AE131:AF131" si="2167">IF(ISBLANK(AG131),,AG131-AG130)</f>
        <v>35</v>
      </c>
      <c r="AF131" s="334">
        <f t="shared" si="2167"/>
        <v>1</v>
      </c>
      <c r="AG131" s="335">
        <v>1947</v>
      </c>
      <c r="AH131" s="339">
        <v>45</v>
      </c>
      <c r="AI131" s="316">
        <f t="shared" ref="AI131:AJ131" si="2168">IF(ISBLANK(AK131),,AK131-AK130)</f>
        <v>50</v>
      </c>
      <c r="AJ131" s="334">
        <f t="shared" si="2168"/>
        <v>2</v>
      </c>
      <c r="AK131" s="335">
        <v>5301</v>
      </c>
      <c r="AL131" s="336">
        <v>349</v>
      </c>
      <c r="AM131" s="337">
        <f t="shared" ref="AM131:AN131" si="2169">IF(ISBLANK(AO131),,AO131-AO130)</f>
        <v>6</v>
      </c>
      <c r="AN131" s="334">
        <f t="shared" si="2169"/>
        <v>2</v>
      </c>
      <c r="AO131" s="335">
        <v>986</v>
      </c>
      <c r="AP131" s="339">
        <v>53</v>
      </c>
      <c r="AQ131" s="316">
        <f t="shared" ref="AQ131:AR131" si="2170">IF(ISBLANK(AS131),,AS131-AS130)</f>
        <v>7</v>
      </c>
      <c r="AR131" s="338">
        <f t="shared" si="2170"/>
        <v>0</v>
      </c>
      <c r="AS131" s="335">
        <v>826</v>
      </c>
      <c r="AT131" s="336">
        <v>55</v>
      </c>
      <c r="AU131" s="337">
        <f t="shared" ref="AU131:AV131" si="2171">IF(ISBLANK(AW131),,AW131-AW130)</f>
        <v>6</v>
      </c>
      <c r="AV131" s="334">
        <f t="shared" si="2171"/>
        <v>0</v>
      </c>
      <c r="AW131" s="335">
        <v>895</v>
      </c>
      <c r="AX131" s="339">
        <v>13</v>
      </c>
      <c r="AY131" s="316">
        <f t="shared" ref="AY131:AZ131" si="2172">IF(ISBLANK(BA131),,BA131-BA130)</f>
        <v>0</v>
      </c>
      <c r="AZ131" s="334">
        <f t="shared" si="2172"/>
        <v>0</v>
      </c>
      <c r="BA131" s="335">
        <v>693</v>
      </c>
      <c r="BB131" s="336">
        <v>38</v>
      </c>
      <c r="BC131" s="337">
        <f t="shared" ref="BC131:BD131" si="2173">IF(ISBLANK(BE131),,BE131-BE130)</f>
        <v>84</v>
      </c>
      <c r="BD131" s="334">
        <f t="shared" si="2173"/>
        <v>2</v>
      </c>
      <c r="BE131" s="335">
        <v>13586</v>
      </c>
      <c r="BF131" s="339">
        <v>351</v>
      </c>
      <c r="BG131" s="316">
        <f t="shared" ref="BG131:BH131" si="2174">IF(ISBLANK(BI131),,BI131-BI130)</f>
        <v>5</v>
      </c>
      <c r="BH131" s="334">
        <f t="shared" si="2174"/>
        <v>0</v>
      </c>
      <c r="BI131" s="335">
        <v>850</v>
      </c>
      <c r="BJ131" s="336">
        <v>41</v>
      </c>
      <c r="BK131" s="337">
        <f t="shared" ref="BK131:BL131" si="2175">IF(ISBLANK(BM131),,BM131-BM130)</f>
        <v>3</v>
      </c>
      <c r="BL131" s="334">
        <f t="shared" si="2175"/>
        <v>0</v>
      </c>
      <c r="BM131" s="335">
        <v>278</v>
      </c>
      <c r="BN131" s="339">
        <v>1</v>
      </c>
      <c r="BO131" s="316">
        <f t="shared" ref="BO131:BP131" si="2176">IF(ISBLANK(BQ131),,BQ131-BQ130)</f>
        <v>28</v>
      </c>
      <c r="BP131" s="334">
        <f t="shared" si="2176"/>
        <v>0</v>
      </c>
      <c r="BQ131" s="335">
        <v>3076</v>
      </c>
      <c r="BR131" s="336">
        <v>179</v>
      </c>
      <c r="BS131" s="316">
        <f t="shared" ref="BS131:BT131" si="2177">IF(ISBLANK(BU131),,BU131-BU130)</f>
        <v>1</v>
      </c>
      <c r="BT131" s="334">
        <f t="shared" si="2177"/>
        <v>0</v>
      </c>
      <c r="BU131" s="335">
        <v>623</v>
      </c>
      <c r="BV131" s="336">
        <v>23</v>
      </c>
      <c r="BW131" s="233"/>
      <c r="BX131" s="233"/>
      <c r="BY131" s="233"/>
      <c r="BZ131" s="233"/>
      <c r="CA131" s="233"/>
      <c r="CB131" s="233"/>
      <c r="CC131" s="233"/>
      <c r="CD131" s="233"/>
      <c r="CE131" s="233"/>
    </row>
    <row r="132" spans="1:83" x14ac:dyDescent="0.25">
      <c r="A132" s="313">
        <v>44022</v>
      </c>
      <c r="B132" s="314">
        <f t="shared" si="1276"/>
        <v>129</v>
      </c>
      <c r="C132" s="315"/>
      <c r="D132" s="316">
        <v>265</v>
      </c>
      <c r="E132" s="317">
        <v>11</v>
      </c>
      <c r="F132" s="318">
        <v>26048</v>
      </c>
      <c r="G132" s="319"/>
      <c r="H132" s="330">
        <f t="shared" ref="H132:I132" si="2178">IF(ISBLANK(D132),,H131+D132)</f>
        <v>37216</v>
      </c>
      <c r="I132" s="331">
        <f t="shared" si="2178"/>
        <v>1562</v>
      </c>
      <c r="J132" s="332">
        <f t="shared" si="1"/>
        <v>571</v>
      </c>
      <c r="K132" s="333">
        <f t="shared" ref="K132:L132" si="2179">IF(ISBLANK(M132),,M132-M131)</f>
        <v>13</v>
      </c>
      <c r="L132" s="334">
        <f t="shared" si="2179"/>
        <v>0</v>
      </c>
      <c r="M132" s="335">
        <v>2970</v>
      </c>
      <c r="N132" s="336">
        <v>150</v>
      </c>
      <c r="O132" s="337">
        <f t="shared" ref="O132:P132" si="2180">IF(ISBLANK(Q132),,Q132-Q131)</f>
        <v>1</v>
      </c>
      <c r="P132" s="338">
        <f t="shared" si="2180"/>
        <v>0</v>
      </c>
      <c r="Q132" s="335">
        <v>694</v>
      </c>
      <c r="R132" s="339">
        <v>49</v>
      </c>
      <c r="S132" s="316">
        <f t="shared" ref="S132:T132" si="2181">IF(ISBLANK(U132),,U132-U131)</f>
        <v>13</v>
      </c>
      <c r="T132" s="334">
        <f t="shared" si="2181"/>
        <v>0</v>
      </c>
      <c r="U132" s="335">
        <v>760</v>
      </c>
      <c r="V132" s="336">
        <v>19</v>
      </c>
      <c r="W132" s="337">
        <f t="shared" ref="W132:X132" si="2182">IF(ISBLANK(Y132),,Y132-Y131)</f>
        <v>25</v>
      </c>
      <c r="X132" s="334">
        <f t="shared" si="2182"/>
        <v>0</v>
      </c>
      <c r="Y132" s="335">
        <v>180</v>
      </c>
      <c r="Z132" s="340">
        <v>0</v>
      </c>
      <c r="AA132" s="316">
        <f t="shared" ref="AA132:AB132" si="2183">IF(ISBLANK(AC132),,AC132-AC131)</f>
        <v>16</v>
      </c>
      <c r="AB132" s="334">
        <f t="shared" si="2183"/>
        <v>2</v>
      </c>
      <c r="AC132" s="335">
        <v>3354</v>
      </c>
      <c r="AD132" s="336">
        <v>187</v>
      </c>
      <c r="AE132" s="337">
        <f t="shared" ref="AE132:AF132" si="2184">IF(ISBLANK(AG132),,AG132-AG131)</f>
        <v>19</v>
      </c>
      <c r="AF132" s="334">
        <f t="shared" si="2184"/>
        <v>0</v>
      </c>
      <c r="AG132" s="335">
        <v>1966</v>
      </c>
      <c r="AH132" s="339">
        <v>45</v>
      </c>
      <c r="AI132" s="316">
        <f t="shared" ref="AI132:AJ132" si="2185">IF(ISBLANK(AK132),,AK132-AK131)</f>
        <v>23</v>
      </c>
      <c r="AJ132" s="334">
        <f t="shared" si="2185"/>
        <v>1</v>
      </c>
      <c r="AK132" s="335">
        <v>5324</v>
      </c>
      <c r="AL132" s="336">
        <v>350</v>
      </c>
      <c r="AM132" s="337">
        <f t="shared" ref="AM132:AN132" si="2186">IF(ISBLANK(AO132),,AO132-AO131)</f>
        <v>9</v>
      </c>
      <c r="AN132" s="334">
        <f t="shared" si="2186"/>
        <v>0</v>
      </c>
      <c r="AO132" s="335">
        <v>995</v>
      </c>
      <c r="AP132" s="339">
        <v>53</v>
      </c>
      <c r="AQ132" s="316">
        <f t="shared" ref="AQ132:AR132" si="2187">IF(ISBLANK(AS132),,AS132-AS131)</f>
        <v>16</v>
      </c>
      <c r="AR132" s="338">
        <f t="shared" si="2187"/>
        <v>0</v>
      </c>
      <c r="AS132" s="335">
        <v>842</v>
      </c>
      <c r="AT132" s="336">
        <v>55</v>
      </c>
      <c r="AU132" s="337">
        <f t="shared" ref="AU132:AV132" si="2188">IF(ISBLANK(AW132),,AW132-AW131)</f>
        <v>2</v>
      </c>
      <c r="AV132" s="334">
        <f t="shared" si="2188"/>
        <v>2</v>
      </c>
      <c r="AW132" s="335">
        <v>897</v>
      </c>
      <c r="AX132" s="339">
        <v>15</v>
      </c>
      <c r="AY132" s="316">
        <f t="shared" ref="AY132:AZ132" si="2189">IF(ISBLANK(BA132),,BA132-BA131)</f>
        <v>9</v>
      </c>
      <c r="AZ132" s="334">
        <f t="shared" si="2189"/>
        <v>0</v>
      </c>
      <c r="BA132" s="335">
        <v>702</v>
      </c>
      <c r="BB132" s="336">
        <v>38</v>
      </c>
      <c r="BC132" s="337">
        <f t="shared" ref="BC132:BD132" si="2190">IF(ISBLANK(BE132),,BE132-BE131)</f>
        <v>88</v>
      </c>
      <c r="BD132" s="334">
        <f t="shared" si="2190"/>
        <v>3</v>
      </c>
      <c r="BE132" s="335">
        <v>13674</v>
      </c>
      <c r="BF132" s="339">
        <v>354</v>
      </c>
      <c r="BG132" s="316">
        <f t="shared" ref="BG132:BH132" si="2191">IF(ISBLANK(BI132),,BI132-BI131)</f>
        <v>4</v>
      </c>
      <c r="BH132" s="334">
        <f t="shared" si="2191"/>
        <v>0</v>
      </c>
      <c r="BI132" s="335">
        <v>854</v>
      </c>
      <c r="BJ132" s="336">
        <v>41</v>
      </c>
      <c r="BK132" s="337">
        <f t="shared" ref="BK132:BL132" si="2192">IF(ISBLANK(BM132),,BM132-BM131)</f>
        <v>2</v>
      </c>
      <c r="BL132" s="334">
        <f t="shared" si="2192"/>
        <v>0</v>
      </c>
      <c r="BM132" s="335">
        <v>280</v>
      </c>
      <c r="BN132" s="339">
        <v>1</v>
      </c>
      <c r="BO132" s="316">
        <f t="shared" ref="BO132:BP132" si="2193">IF(ISBLANK(BQ132),,BQ132-BQ131)</f>
        <v>17</v>
      </c>
      <c r="BP132" s="334">
        <f t="shared" si="2193"/>
        <v>3</v>
      </c>
      <c r="BQ132" s="335">
        <v>3093</v>
      </c>
      <c r="BR132" s="336">
        <v>182</v>
      </c>
      <c r="BS132" s="316">
        <f t="shared" ref="BS132:BT132" si="2194">IF(ISBLANK(BU132),,BU132-BU131)</f>
        <v>8</v>
      </c>
      <c r="BT132" s="334">
        <f t="shared" si="2194"/>
        <v>0</v>
      </c>
      <c r="BU132" s="335">
        <v>631</v>
      </c>
      <c r="BV132" s="336">
        <v>23</v>
      </c>
      <c r="BW132" s="233"/>
      <c r="BX132" s="233"/>
      <c r="BY132" s="233"/>
      <c r="BZ132" s="233"/>
      <c r="CA132" s="233"/>
      <c r="CB132" s="233"/>
      <c r="CC132" s="233"/>
      <c r="CD132" s="233"/>
      <c r="CE132" s="233"/>
    </row>
    <row r="133" spans="1:83" x14ac:dyDescent="0.25">
      <c r="A133" s="313">
        <v>44023</v>
      </c>
      <c r="B133" s="314">
        <f t="shared" si="1276"/>
        <v>130</v>
      </c>
      <c r="C133" s="315"/>
      <c r="D133" s="316">
        <v>305</v>
      </c>
      <c r="E133" s="317">
        <v>6</v>
      </c>
      <c r="F133" s="318">
        <v>26635</v>
      </c>
      <c r="G133" s="319"/>
      <c r="H133" s="330">
        <f t="shared" ref="H133:I133" si="2195">IF(ISBLANK(D133),,H132+D133)</f>
        <v>37521</v>
      </c>
      <c r="I133" s="331">
        <f t="shared" si="2195"/>
        <v>1568</v>
      </c>
      <c r="J133" s="332">
        <f t="shared" si="1"/>
        <v>587</v>
      </c>
      <c r="K133" s="333">
        <f t="shared" ref="K133:L133" si="2196">IF(ISBLANK(M133),,M133-M132)</f>
        <v>2</v>
      </c>
      <c r="L133" s="334">
        <f t="shared" si="2196"/>
        <v>0</v>
      </c>
      <c r="M133" s="335">
        <v>2972</v>
      </c>
      <c r="N133" s="336">
        <v>150</v>
      </c>
      <c r="O133" s="337">
        <f t="shared" ref="O133:P133" si="2197">IF(ISBLANK(Q133),,Q133-Q132)</f>
        <v>2</v>
      </c>
      <c r="P133" s="338">
        <f t="shared" si="2197"/>
        <v>0</v>
      </c>
      <c r="Q133" s="335">
        <v>696</v>
      </c>
      <c r="R133" s="339">
        <v>49</v>
      </c>
      <c r="S133" s="316">
        <f t="shared" ref="S133:T133" si="2198">IF(ISBLANK(U133),,U133-U132)</f>
        <v>14</v>
      </c>
      <c r="T133" s="334">
        <f t="shared" si="2198"/>
        <v>1</v>
      </c>
      <c r="U133" s="335">
        <v>774</v>
      </c>
      <c r="V133" s="336">
        <v>20</v>
      </c>
      <c r="W133" s="337">
        <f t="shared" ref="W133:X133" si="2199">IF(ISBLANK(Y133),,Y133-Y132)</f>
        <v>6</v>
      </c>
      <c r="X133" s="334">
        <f t="shared" si="2199"/>
        <v>0</v>
      </c>
      <c r="Y133" s="335">
        <v>186</v>
      </c>
      <c r="Z133" s="340">
        <v>0</v>
      </c>
      <c r="AA133" s="316">
        <f t="shared" ref="AA133:AB133" si="2200">IF(ISBLANK(AC133),,AC133-AC132)</f>
        <v>34</v>
      </c>
      <c r="AB133" s="334">
        <f t="shared" si="2200"/>
        <v>1</v>
      </c>
      <c r="AC133" s="335">
        <v>3388</v>
      </c>
      <c r="AD133" s="336">
        <v>188</v>
      </c>
      <c r="AE133" s="337">
        <f t="shared" ref="AE133:AF133" si="2201">IF(ISBLANK(AG133),,AG133-AG132)</f>
        <v>53</v>
      </c>
      <c r="AF133" s="334">
        <f t="shared" si="2201"/>
        <v>0</v>
      </c>
      <c r="AG133" s="335">
        <v>2019</v>
      </c>
      <c r="AH133" s="339">
        <v>45</v>
      </c>
      <c r="AI133" s="316">
        <f t="shared" ref="AI133:AJ133" si="2202">IF(ISBLANK(AK133),,AK133-AK132)</f>
        <v>45</v>
      </c>
      <c r="AJ133" s="334">
        <f t="shared" si="2202"/>
        <v>1</v>
      </c>
      <c r="AK133" s="335">
        <v>5369</v>
      </c>
      <c r="AL133" s="336">
        <v>351</v>
      </c>
      <c r="AM133" s="337">
        <f t="shared" ref="AM133:AN133" si="2203">IF(ISBLANK(AO133),,AO133-AO132)</f>
        <v>8</v>
      </c>
      <c r="AN133" s="334">
        <f t="shared" si="2203"/>
        <v>0</v>
      </c>
      <c r="AO133" s="335">
        <v>1003</v>
      </c>
      <c r="AP133" s="339">
        <v>53</v>
      </c>
      <c r="AQ133" s="316">
        <f t="shared" ref="AQ133:AR133" si="2204">IF(ISBLANK(AS133),,AS133-AS132)</f>
        <v>9</v>
      </c>
      <c r="AR133" s="338">
        <f t="shared" si="2204"/>
        <v>0</v>
      </c>
      <c r="AS133" s="335">
        <v>851</v>
      </c>
      <c r="AT133" s="336">
        <v>55</v>
      </c>
      <c r="AU133" s="337">
        <f t="shared" ref="AU133:AV133" si="2205">IF(ISBLANK(AW133),,AW133-AW132)</f>
        <v>2</v>
      </c>
      <c r="AV133" s="334">
        <f t="shared" si="2205"/>
        <v>1</v>
      </c>
      <c r="AW133" s="335">
        <v>899</v>
      </c>
      <c r="AX133" s="339">
        <v>16</v>
      </c>
      <c r="AY133" s="316">
        <f t="shared" ref="AY133:AZ133" si="2206">IF(ISBLANK(BA133),,BA133-BA132)</f>
        <v>4</v>
      </c>
      <c r="AZ133" s="334">
        <f t="shared" si="2206"/>
        <v>0</v>
      </c>
      <c r="BA133" s="335">
        <v>706</v>
      </c>
      <c r="BB133" s="336">
        <v>38</v>
      </c>
      <c r="BC133" s="337">
        <f t="shared" ref="BC133:BD133" si="2207">IF(ISBLANK(BE133),,BE133-BE132)</f>
        <v>77</v>
      </c>
      <c r="BD133" s="334">
        <f t="shared" si="2207"/>
        <v>1</v>
      </c>
      <c r="BE133" s="335">
        <v>13751</v>
      </c>
      <c r="BF133" s="339">
        <v>355</v>
      </c>
      <c r="BG133" s="316">
        <f t="shared" ref="BG133:BH133" si="2208">IF(ISBLANK(BI133),,BI133-BI132)</f>
        <v>0</v>
      </c>
      <c r="BH133" s="334">
        <f t="shared" si="2208"/>
        <v>0</v>
      </c>
      <c r="BI133" s="335">
        <v>854</v>
      </c>
      <c r="BJ133" s="336">
        <v>41</v>
      </c>
      <c r="BK133" s="337">
        <f t="shared" ref="BK133:BL133" si="2209">IF(ISBLANK(BM133),,BM133-BM132)</f>
        <v>2</v>
      </c>
      <c r="BL133" s="334">
        <f t="shared" si="2209"/>
        <v>0</v>
      </c>
      <c r="BM133" s="335">
        <v>282</v>
      </c>
      <c r="BN133" s="339">
        <v>1</v>
      </c>
      <c r="BO133" s="316">
        <f t="shared" ref="BO133:BP133" si="2210">IF(ISBLANK(BQ133),,BQ133-BQ132)</f>
        <v>43</v>
      </c>
      <c r="BP133" s="334">
        <f t="shared" si="2210"/>
        <v>1</v>
      </c>
      <c r="BQ133" s="335">
        <v>3136</v>
      </c>
      <c r="BR133" s="336">
        <v>183</v>
      </c>
      <c r="BS133" s="316">
        <f t="shared" ref="BS133:BT133" si="2211">IF(ISBLANK(BU133),,BU133-BU132)</f>
        <v>4</v>
      </c>
      <c r="BT133" s="334">
        <f t="shared" si="2211"/>
        <v>0</v>
      </c>
      <c r="BU133" s="335">
        <v>635</v>
      </c>
      <c r="BV133" s="336">
        <v>23</v>
      </c>
      <c r="BW133" s="233"/>
      <c r="BX133" s="233"/>
      <c r="BY133" s="233"/>
      <c r="BZ133" s="233"/>
      <c r="CA133" s="233"/>
      <c r="CB133" s="233"/>
      <c r="CC133" s="233"/>
      <c r="CD133" s="233"/>
      <c r="CE133" s="233"/>
    </row>
    <row r="134" spans="1:83" x14ac:dyDescent="0.25">
      <c r="A134" s="313">
        <v>44024</v>
      </c>
      <c r="B134" s="314">
        <f t="shared" si="1276"/>
        <v>131</v>
      </c>
      <c r="C134" s="315"/>
      <c r="D134" s="316">
        <v>370</v>
      </c>
      <c r="E134" s="317">
        <v>3</v>
      </c>
      <c r="F134" s="318">
        <v>27148</v>
      </c>
      <c r="G134" s="319"/>
      <c r="H134" s="330">
        <f t="shared" ref="H134:I134" si="2212">IF(ISBLANK(D134),,H133+D134)</f>
        <v>37891</v>
      </c>
      <c r="I134" s="331">
        <f t="shared" si="2212"/>
        <v>1571</v>
      </c>
      <c r="J134" s="332">
        <f t="shared" si="1"/>
        <v>513</v>
      </c>
      <c r="K134" s="333">
        <f t="shared" ref="K134:L134" si="2213">IF(ISBLANK(M134),,M134-M133)</f>
        <v>2</v>
      </c>
      <c r="L134" s="334">
        <f t="shared" si="2213"/>
        <v>0</v>
      </c>
      <c r="M134" s="335">
        <v>2974</v>
      </c>
      <c r="N134" s="336">
        <v>150</v>
      </c>
      <c r="O134" s="337">
        <f t="shared" ref="O134:P134" si="2214">IF(ISBLANK(Q134),,Q134-Q133)</f>
        <v>0</v>
      </c>
      <c r="P134" s="338">
        <f t="shared" si="2214"/>
        <v>0</v>
      </c>
      <c r="Q134" s="335">
        <v>696</v>
      </c>
      <c r="R134" s="339">
        <v>49</v>
      </c>
      <c r="S134" s="316">
        <f t="shared" ref="S134:T134" si="2215">IF(ISBLANK(U134),,U134-U133)</f>
        <v>40</v>
      </c>
      <c r="T134" s="334">
        <f t="shared" si="2215"/>
        <v>0</v>
      </c>
      <c r="U134" s="335">
        <v>814</v>
      </c>
      <c r="V134" s="336">
        <v>20</v>
      </c>
      <c r="W134" s="337">
        <f t="shared" ref="W134:X134" si="2216">IF(ISBLANK(Y134),,Y134-Y133)</f>
        <v>48</v>
      </c>
      <c r="X134" s="334">
        <f t="shared" si="2216"/>
        <v>0</v>
      </c>
      <c r="Y134" s="335">
        <v>234</v>
      </c>
      <c r="Z134" s="340">
        <v>0</v>
      </c>
      <c r="AA134" s="316">
        <f t="shared" ref="AA134:AB134" si="2217">IF(ISBLANK(AC134),,AC134-AC133)</f>
        <v>29</v>
      </c>
      <c r="AB134" s="334">
        <f t="shared" si="2217"/>
        <v>0</v>
      </c>
      <c r="AC134" s="335">
        <v>3417</v>
      </c>
      <c r="AD134" s="336">
        <v>188</v>
      </c>
      <c r="AE134" s="337">
        <f t="shared" ref="AE134:AF134" si="2218">IF(ISBLANK(AG134),,AG134-AG133)</f>
        <v>29</v>
      </c>
      <c r="AF134" s="334">
        <f t="shared" si="2218"/>
        <v>0</v>
      </c>
      <c r="AG134" s="335">
        <v>2048</v>
      </c>
      <c r="AH134" s="339">
        <v>45</v>
      </c>
      <c r="AI134" s="316">
        <f t="shared" ref="AI134:AJ134" si="2219">IF(ISBLANK(AK134),,AK134-AK133)</f>
        <v>8</v>
      </c>
      <c r="AJ134" s="334">
        <f t="shared" si="2219"/>
        <v>0</v>
      </c>
      <c r="AK134" s="335">
        <v>5377</v>
      </c>
      <c r="AL134" s="336">
        <v>351</v>
      </c>
      <c r="AM134" s="337">
        <f t="shared" ref="AM134:AN134" si="2220">IF(ISBLANK(AO134),,AO134-AO133)</f>
        <v>6</v>
      </c>
      <c r="AN134" s="334">
        <f t="shared" si="2220"/>
        <v>0</v>
      </c>
      <c r="AO134" s="335">
        <v>1009</v>
      </c>
      <c r="AP134" s="339">
        <v>53</v>
      </c>
      <c r="AQ134" s="316">
        <f t="shared" ref="AQ134:AR134" si="2221">IF(ISBLANK(AS134),,AS134-AS133)</f>
        <v>46</v>
      </c>
      <c r="AR134" s="338">
        <f t="shared" si="2221"/>
        <v>0</v>
      </c>
      <c r="AS134" s="335">
        <v>897</v>
      </c>
      <c r="AT134" s="336">
        <v>55</v>
      </c>
      <c r="AU134" s="337">
        <f t="shared" ref="AU134:AV134" si="2222">IF(ISBLANK(AW134),,AW134-AW133)</f>
        <v>3</v>
      </c>
      <c r="AV134" s="334">
        <f t="shared" si="2222"/>
        <v>0</v>
      </c>
      <c r="AW134" s="335">
        <v>902</v>
      </c>
      <c r="AX134" s="339">
        <v>16</v>
      </c>
      <c r="AY134" s="316">
        <f t="shared" ref="AY134:AZ134" si="2223">IF(ISBLANK(BA134),,BA134-BA133)</f>
        <v>5</v>
      </c>
      <c r="AZ134" s="334">
        <f t="shared" si="2223"/>
        <v>0</v>
      </c>
      <c r="BA134" s="335">
        <v>711</v>
      </c>
      <c r="BB134" s="336">
        <v>38</v>
      </c>
      <c r="BC134" s="337">
        <f t="shared" ref="BC134:BD134" si="2224">IF(ISBLANK(BE134),,BE134-BE133)</f>
        <v>57</v>
      </c>
      <c r="BD134" s="334">
        <f t="shared" si="2224"/>
        <v>1</v>
      </c>
      <c r="BE134" s="335">
        <v>13808</v>
      </c>
      <c r="BF134" s="339">
        <v>356</v>
      </c>
      <c r="BG134" s="316">
        <f t="shared" ref="BG134:BH134" si="2225">IF(ISBLANK(BI134),,BI134-BI133)</f>
        <v>3</v>
      </c>
      <c r="BH134" s="334">
        <f t="shared" si="2225"/>
        <v>0</v>
      </c>
      <c r="BI134" s="335">
        <v>857</v>
      </c>
      <c r="BJ134" s="336">
        <v>41</v>
      </c>
      <c r="BK134" s="337">
        <f t="shared" ref="BK134:BL134" si="2226">IF(ISBLANK(BM134),,BM134-BM133)</f>
        <v>0</v>
      </c>
      <c r="BL134" s="334">
        <f t="shared" si="2226"/>
        <v>0</v>
      </c>
      <c r="BM134" s="335">
        <v>282</v>
      </c>
      <c r="BN134" s="339">
        <v>1</v>
      </c>
      <c r="BO134" s="316">
        <f t="shared" ref="BO134:BP134" si="2227">IF(ISBLANK(BQ134),,BQ134-BQ133)</f>
        <v>94</v>
      </c>
      <c r="BP134" s="334">
        <f t="shared" si="2227"/>
        <v>2</v>
      </c>
      <c r="BQ134" s="335">
        <v>3230</v>
      </c>
      <c r="BR134" s="336">
        <v>185</v>
      </c>
      <c r="BS134" s="316">
        <f t="shared" ref="BS134:BT134" si="2228">IF(ISBLANK(BU134),,BU134-BU133)</f>
        <v>0</v>
      </c>
      <c r="BT134" s="334">
        <f t="shared" si="2228"/>
        <v>0</v>
      </c>
      <c r="BU134" s="335">
        <v>635</v>
      </c>
      <c r="BV134" s="336">
        <v>23</v>
      </c>
      <c r="BW134" s="233"/>
      <c r="BX134" s="233"/>
      <c r="BY134" s="233"/>
      <c r="BZ134" s="233"/>
      <c r="CA134" s="233"/>
      <c r="CB134" s="233"/>
      <c r="CC134" s="233"/>
      <c r="CD134" s="233"/>
      <c r="CE134" s="233"/>
    </row>
    <row r="135" spans="1:83" x14ac:dyDescent="0.25">
      <c r="A135" s="313">
        <v>44025</v>
      </c>
      <c r="B135" s="314">
        <f t="shared" si="1276"/>
        <v>132</v>
      </c>
      <c r="C135" s="315"/>
      <c r="D135" s="316">
        <v>299</v>
      </c>
      <c r="E135" s="317">
        <v>5</v>
      </c>
      <c r="F135" s="318">
        <v>27515</v>
      </c>
      <c r="G135" s="319"/>
      <c r="H135" s="330">
        <f t="shared" ref="H135:I135" si="2229">IF(ISBLANK(D135),,H134+D135)</f>
        <v>38190</v>
      </c>
      <c r="I135" s="331">
        <f t="shared" si="2229"/>
        <v>1576</v>
      </c>
      <c r="J135" s="332">
        <f t="shared" si="1"/>
        <v>367</v>
      </c>
      <c r="K135" s="333">
        <f t="shared" ref="K135:L135" si="2230">IF(ISBLANK(M135),,M135-M134)</f>
        <v>1</v>
      </c>
      <c r="L135" s="334">
        <f t="shared" si="2230"/>
        <v>0</v>
      </c>
      <c r="M135" s="335">
        <v>2975</v>
      </c>
      <c r="N135" s="336">
        <v>150</v>
      </c>
      <c r="O135" s="337">
        <f t="shared" ref="O135:P135" si="2231">IF(ISBLANK(Q135),,Q135-Q134)</f>
        <v>0</v>
      </c>
      <c r="P135" s="338">
        <f t="shared" si="2231"/>
        <v>0</v>
      </c>
      <c r="Q135" s="335">
        <v>696</v>
      </c>
      <c r="R135" s="339">
        <v>49</v>
      </c>
      <c r="S135" s="316">
        <f t="shared" ref="S135:T135" si="2232">IF(ISBLANK(U135),,U135-U134)</f>
        <v>8</v>
      </c>
      <c r="T135" s="334">
        <f t="shared" si="2232"/>
        <v>0</v>
      </c>
      <c r="U135" s="335">
        <v>822</v>
      </c>
      <c r="V135" s="336">
        <v>20</v>
      </c>
      <c r="W135" s="337">
        <f t="shared" ref="W135:X135" si="2233">IF(ISBLANK(Y135),,Y135-Y134)</f>
        <v>5</v>
      </c>
      <c r="X135" s="334">
        <f t="shared" si="2233"/>
        <v>0</v>
      </c>
      <c r="Y135" s="335">
        <v>239</v>
      </c>
      <c r="Z135" s="340">
        <v>0</v>
      </c>
      <c r="AA135" s="316">
        <f t="shared" ref="AA135:AB135" si="2234">IF(ISBLANK(AC135),,AC135-AC134)</f>
        <v>18</v>
      </c>
      <c r="AB135" s="334">
        <f t="shared" si="2234"/>
        <v>0</v>
      </c>
      <c r="AC135" s="335">
        <v>3435</v>
      </c>
      <c r="AD135" s="336">
        <v>188</v>
      </c>
      <c r="AE135" s="337">
        <f t="shared" ref="AE135:AF135" si="2235">IF(ISBLANK(AG135),,AG135-AG134)</f>
        <v>38</v>
      </c>
      <c r="AF135" s="334">
        <f t="shared" si="2235"/>
        <v>0</v>
      </c>
      <c r="AG135" s="335">
        <v>2086</v>
      </c>
      <c r="AH135" s="339">
        <v>45</v>
      </c>
      <c r="AI135" s="316">
        <f t="shared" ref="AI135:AJ135" si="2236">IF(ISBLANK(AK135),,AK135-AK134)</f>
        <v>72</v>
      </c>
      <c r="AJ135" s="334">
        <f t="shared" si="2236"/>
        <v>1</v>
      </c>
      <c r="AK135" s="335">
        <v>5449</v>
      </c>
      <c r="AL135" s="336">
        <v>352</v>
      </c>
      <c r="AM135" s="337">
        <f t="shared" ref="AM135:AN135" si="2237">IF(ISBLANK(AO135),,AO135-AO134)</f>
        <v>1</v>
      </c>
      <c r="AN135" s="334">
        <f t="shared" si="2237"/>
        <v>0</v>
      </c>
      <c r="AO135" s="335">
        <v>1010</v>
      </c>
      <c r="AP135" s="339">
        <v>53</v>
      </c>
      <c r="AQ135" s="316">
        <f t="shared" ref="AQ135:AR135" si="2238">IF(ISBLANK(AS135),,AS135-AS134)</f>
        <v>62</v>
      </c>
      <c r="AR135" s="338">
        <f t="shared" si="2238"/>
        <v>0</v>
      </c>
      <c r="AS135" s="335">
        <v>959</v>
      </c>
      <c r="AT135" s="336">
        <v>55</v>
      </c>
      <c r="AU135" s="337">
        <f t="shared" ref="AU135:AV135" si="2239">IF(ISBLANK(AW135),,AW135-AW134)</f>
        <v>0</v>
      </c>
      <c r="AV135" s="334">
        <f t="shared" si="2239"/>
        <v>0</v>
      </c>
      <c r="AW135" s="335">
        <v>902</v>
      </c>
      <c r="AX135" s="339">
        <v>16</v>
      </c>
      <c r="AY135" s="316">
        <f t="shared" ref="AY135:AZ135" si="2240">IF(ISBLANK(BA135),,BA135-BA134)</f>
        <v>2</v>
      </c>
      <c r="AZ135" s="334">
        <f t="shared" si="2240"/>
        <v>0</v>
      </c>
      <c r="BA135" s="335">
        <v>713</v>
      </c>
      <c r="BB135" s="336">
        <v>38</v>
      </c>
      <c r="BC135" s="337">
        <f t="shared" ref="BC135:BD135" si="2241">IF(ISBLANK(BE135),,BE135-BE134)</f>
        <v>65</v>
      </c>
      <c r="BD135" s="334">
        <f t="shared" si="2241"/>
        <v>3</v>
      </c>
      <c r="BE135" s="335">
        <v>13873</v>
      </c>
      <c r="BF135" s="339">
        <v>359</v>
      </c>
      <c r="BG135" s="316">
        <f t="shared" ref="BG135:BH135" si="2242">IF(ISBLANK(BI135),,BI135-BI134)</f>
        <v>3</v>
      </c>
      <c r="BH135" s="334">
        <f t="shared" si="2242"/>
        <v>1</v>
      </c>
      <c r="BI135" s="335">
        <v>860</v>
      </c>
      <c r="BJ135" s="336">
        <v>42</v>
      </c>
      <c r="BK135" s="337">
        <f t="shared" ref="BK135:BL135" si="2243">IF(ISBLANK(BM135),,BM135-BM134)</f>
        <v>2</v>
      </c>
      <c r="BL135" s="334">
        <f t="shared" si="2243"/>
        <v>0</v>
      </c>
      <c r="BM135" s="335">
        <v>284</v>
      </c>
      <c r="BN135" s="339">
        <v>1</v>
      </c>
      <c r="BO135" s="316">
        <f t="shared" ref="BO135:BP135" si="2244">IF(ISBLANK(BQ135),,BQ135-BQ134)</f>
        <v>20</v>
      </c>
      <c r="BP135" s="334">
        <f t="shared" si="2244"/>
        <v>0</v>
      </c>
      <c r="BQ135" s="335">
        <v>3250</v>
      </c>
      <c r="BR135" s="336">
        <v>185</v>
      </c>
      <c r="BS135" s="316">
        <f t="shared" ref="BS135:BT135" si="2245">IF(ISBLANK(BU135),,BU135-BU134)</f>
        <v>2</v>
      </c>
      <c r="BT135" s="334">
        <f t="shared" si="2245"/>
        <v>0</v>
      </c>
      <c r="BU135" s="335">
        <v>637</v>
      </c>
      <c r="BV135" s="336">
        <v>23</v>
      </c>
      <c r="BW135" s="233"/>
      <c r="BX135" s="233"/>
      <c r="BY135" s="233"/>
      <c r="BZ135" s="233"/>
      <c r="CA135" s="233"/>
      <c r="CB135" s="233"/>
      <c r="CC135" s="233"/>
      <c r="CD135" s="233"/>
      <c r="CE135" s="233"/>
    </row>
    <row r="136" spans="1:83" x14ac:dyDescent="0.25">
      <c r="A136" s="313">
        <v>44026</v>
      </c>
      <c r="B136" s="314">
        <f t="shared" si="1276"/>
        <v>133</v>
      </c>
      <c r="C136" s="315"/>
      <c r="D136" s="316">
        <v>267</v>
      </c>
      <c r="E136" s="317">
        <v>12</v>
      </c>
      <c r="F136" s="318">
        <v>27756</v>
      </c>
      <c r="G136" s="319"/>
      <c r="H136" s="330">
        <f t="shared" ref="H136:I136" si="2246">IF(ISBLANK(D136),,H135+D136)</f>
        <v>38457</v>
      </c>
      <c r="I136" s="331">
        <f t="shared" si="2246"/>
        <v>1588</v>
      </c>
      <c r="J136" s="332">
        <f t="shared" si="1"/>
        <v>241</v>
      </c>
      <c r="K136" s="333">
        <f t="shared" ref="K136:L136" si="2247">IF(ISBLANK(M136),,M136-M135)</f>
        <v>8</v>
      </c>
      <c r="L136" s="334">
        <f t="shared" si="2247"/>
        <v>1</v>
      </c>
      <c r="M136" s="335">
        <v>2983</v>
      </c>
      <c r="N136" s="336">
        <v>151</v>
      </c>
      <c r="O136" s="337">
        <f t="shared" ref="O136:P136" si="2248">IF(ISBLANK(Q136),,Q136-Q135)</f>
        <v>6</v>
      </c>
      <c r="P136" s="338">
        <f t="shared" si="2248"/>
        <v>0</v>
      </c>
      <c r="Q136" s="335">
        <v>702</v>
      </c>
      <c r="R136" s="339">
        <v>49</v>
      </c>
      <c r="S136" s="316">
        <f t="shared" ref="S136:T136" si="2249">IF(ISBLANK(U136),,U136-U135)</f>
        <v>12</v>
      </c>
      <c r="T136" s="334">
        <f t="shared" si="2249"/>
        <v>0</v>
      </c>
      <c r="U136" s="335">
        <v>834</v>
      </c>
      <c r="V136" s="336">
        <v>20</v>
      </c>
      <c r="W136" s="337">
        <f t="shared" ref="W136:X136" si="2250">IF(ISBLANK(Y136),,Y136-Y135)</f>
        <v>6</v>
      </c>
      <c r="X136" s="334">
        <f t="shared" si="2250"/>
        <v>0</v>
      </c>
      <c r="Y136" s="335">
        <v>245</v>
      </c>
      <c r="Z136" s="340">
        <v>0</v>
      </c>
      <c r="AA136" s="316">
        <f t="shared" ref="AA136:AB136" si="2251">IF(ISBLANK(AC136),,AC136-AC135)</f>
        <v>19</v>
      </c>
      <c r="AB136" s="334">
        <f t="shared" si="2251"/>
        <v>2</v>
      </c>
      <c r="AC136" s="335">
        <v>3454</v>
      </c>
      <c r="AD136" s="336">
        <v>190</v>
      </c>
      <c r="AE136" s="337">
        <f t="shared" ref="AE136:AF136" si="2252">IF(ISBLANK(AG136),,AG136-AG135)</f>
        <v>44</v>
      </c>
      <c r="AF136" s="334">
        <f t="shared" si="2252"/>
        <v>1</v>
      </c>
      <c r="AG136" s="335">
        <v>2130</v>
      </c>
      <c r="AH136" s="339">
        <v>46</v>
      </c>
      <c r="AI136" s="316">
        <f t="shared" ref="AI136:AJ136" si="2253">IF(ISBLANK(AK136),,AK136-AK135)</f>
        <v>28</v>
      </c>
      <c r="AJ136" s="334">
        <f t="shared" si="2253"/>
        <v>0</v>
      </c>
      <c r="AK136" s="335">
        <v>5477</v>
      </c>
      <c r="AL136" s="336">
        <v>352</v>
      </c>
      <c r="AM136" s="337">
        <f t="shared" ref="AM136:AN136" si="2254">IF(ISBLANK(AO136),,AO136-AO135)</f>
        <v>2</v>
      </c>
      <c r="AN136" s="334">
        <f t="shared" si="2254"/>
        <v>1</v>
      </c>
      <c r="AO136" s="335">
        <v>1012</v>
      </c>
      <c r="AP136" s="339">
        <v>54</v>
      </c>
      <c r="AQ136" s="316">
        <f t="shared" ref="AQ136:AR136" si="2255">IF(ISBLANK(AS136),,AS136-AS135)</f>
        <v>12</v>
      </c>
      <c r="AR136" s="338">
        <f t="shared" si="2255"/>
        <v>0</v>
      </c>
      <c r="AS136" s="335">
        <v>971</v>
      </c>
      <c r="AT136" s="336">
        <v>55</v>
      </c>
      <c r="AU136" s="337">
        <f t="shared" ref="AU136:AV136" si="2256">IF(ISBLANK(AW136),,AW136-AW135)</f>
        <v>1</v>
      </c>
      <c r="AV136" s="334">
        <f t="shared" si="2256"/>
        <v>0</v>
      </c>
      <c r="AW136" s="335">
        <v>903</v>
      </c>
      <c r="AX136" s="339">
        <v>16</v>
      </c>
      <c r="AY136" s="316">
        <f t="shared" ref="AY136:AZ136" si="2257">IF(ISBLANK(BA136),,BA136-BA135)</f>
        <v>2</v>
      </c>
      <c r="AZ136" s="334">
        <f t="shared" si="2257"/>
        <v>0</v>
      </c>
      <c r="BA136" s="335">
        <v>715</v>
      </c>
      <c r="BB136" s="336">
        <v>38</v>
      </c>
      <c r="BC136" s="337">
        <f t="shared" ref="BC136:BD136" si="2258">IF(ISBLANK(BE136),,BE136-BE135)</f>
        <v>72</v>
      </c>
      <c r="BD136" s="334">
        <f t="shared" si="2258"/>
        <v>6</v>
      </c>
      <c r="BE136" s="335">
        <v>13945</v>
      </c>
      <c r="BF136" s="339">
        <v>365</v>
      </c>
      <c r="BG136" s="316">
        <f t="shared" ref="BG136:BH136" si="2259">IF(ISBLANK(BI136),,BI136-BI135)</f>
        <v>2</v>
      </c>
      <c r="BH136" s="334">
        <f t="shared" si="2259"/>
        <v>0</v>
      </c>
      <c r="BI136" s="335">
        <v>862</v>
      </c>
      <c r="BJ136" s="336">
        <v>42</v>
      </c>
      <c r="BK136" s="337">
        <f t="shared" ref="BK136:BL136" si="2260">IF(ISBLANK(BM136),,BM136-BM135)</f>
        <v>0</v>
      </c>
      <c r="BL136" s="334">
        <f t="shared" si="2260"/>
        <v>0</v>
      </c>
      <c r="BM136" s="335">
        <v>284</v>
      </c>
      <c r="BN136" s="339">
        <v>1</v>
      </c>
      <c r="BO136" s="316">
        <f t="shared" ref="BO136:BP136" si="2261">IF(ISBLANK(BQ136),,BQ136-BQ135)</f>
        <v>52</v>
      </c>
      <c r="BP136" s="334">
        <f t="shared" si="2261"/>
        <v>1</v>
      </c>
      <c r="BQ136" s="335">
        <v>3302</v>
      </c>
      <c r="BR136" s="336">
        <v>186</v>
      </c>
      <c r="BS136" s="316">
        <f t="shared" ref="BS136:BT136" si="2262">IF(ISBLANK(BU136),,BU136-BU135)</f>
        <v>1</v>
      </c>
      <c r="BT136" s="334">
        <f t="shared" si="2262"/>
        <v>0</v>
      </c>
      <c r="BU136" s="335">
        <v>638</v>
      </c>
      <c r="BV136" s="336">
        <v>23</v>
      </c>
      <c r="BW136" s="233"/>
      <c r="BX136" s="233"/>
      <c r="BY136" s="233"/>
      <c r="BZ136" s="233"/>
      <c r="CA136" s="233"/>
      <c r="CB136" s="233"/>
      <c r="CC136" s="233"/>
      <c r="CD136" s="233"/>
      <c r="CE136" s="233"/>
    </row>
    <row r="137" spans="1:83" x14ac:dyDescent="0.25">
      <c r="A137" s="313">
        <v>44027</v>
      </c>
      <c r="B137" s="314">
        <f t="shared" si="1276"/>
        <v>134</v>
      </c>
      <c r="C137" s="315"/>
      <c r="D137" s="316">
        <v>264</v>
      </c>
      <c r="E137" s="317">
        <v>6</v>
      </c>
      <c r="F137" s="318">
        <v>28492</v>
      </c>
      <c r="G137" s="319"/>
      <c r="H137" s="330">
        <f t="shared" ref="H137:I137" si="2263">IF(ISBLANK(D137),,H136+D137)</f>
        <v>38721</v>
      </c>
      <c r="I137" s="331">
        <f t="shared" si="2263"/>
        <v>1594</v>
      </c>
      <c r="J137" s="332">
        <f t="shared" si="1"/>
        <v>736</v>
      </c>
      <c r="K137" s="333">
        <f t="shared" ref="K137:L137" si="2264">IF(ISBLANK(M137),,M137-M136)</f>
        <v>8</v>
      </c>
      <c r="L137" s="334">
        <f t="shared" si="2264"/>
        <v>1</v>
      </c>
      <c r="M137" s="335">
        <v>2991</v>
      </c>
      <c r="N137" s="336">
        <v>152</v>
      </c>
      <c r="O137" s="337">
        <f t="shared" ref="O137:P137" si="2265">IF(ISBLANK(Q137),,Q137-Q136)</f>
        <v>5</v>
      </c>
      <c r="P137" s="338">
        <f t="shared" si="2265"/>
        <v>0</v>
      </c>
      <c r="Q137" s="335">
        <v>707</v>
      </c>
      <c r="R137" s="339">
        <v>49</v>
      </c>
      <c r="S137" s="316">
        <f t="shared" ref="S137:T137" si="2266">IF(ISBLANK(U137),,U137-U136)</f>
        <v>11</v>
      </c>
      <c r="T137" s="334">
        <f t="shared" si="2266"/>
        <v>0</v>
      </c>
      <c r="U137" s="335">
        <v>845</v>
      </c>
      <c r="V137" s="336">
        <v>20</v>
      </c>
      <c r="W137" s="337">
        <f t="shared" ref="W137:X137" si="2267">IF(ISBLANK(Y137),,Y137-Y136)</f>
        <v>12</v>
      </c>
      <c r="X137" s="334">
        <f t="shared" si="2267"/>
        <v>1</v>
      </c>
      <c r="Y137" s="335">
        <v>257</v>
      </c>
      <c r="Z137" s="340">
        <v>1</v>
      </c>
      <c r="AA137" s="316">
        <f t="shared" ref="AA137:AB137" si="2268">IF(ISBLANK(AC137),,AC137-AC136)</f>
        <v>31</v>
      </c>
      <c r="AB137" s="334">
        <f t="shared" si="2268"/>
        <v>0</v>
      </c>
      <c r="AC137" s="335">
        <v>3485</v>
      </c>
      <c r="AD137" s="336">
        <v>190</v>
      </c>
      <c r="AE137" s="337">
        <f t="shared" ref="AE137:AF137" si="2269">IF(ISBLANK(AG137),,AG137-AG136)</f>
        <v>43</v>
      </c>
      <c r="AF137" s="334">
        <f t="shared" si="2269"/>
        <v>1</v>
      </c>
      <c r="AG137" s="335">
        <v>2173</v>
      </c>
      <c r="AH137" s="339">
        <v>47</v>
      </c>
      <c r="AI137" s="316">
        <f t="shared" ref="AI137:AJ137" si="2270">IF(ISBLANK(AK137),,AK137-AK136)</f>
        <v>22</v>
      </c>
      <c r="AJ137" s="334">
        <f t="shared" si="2270"/>
        <v>1</v>
      </c>
      <c r="AK137" s="335">
        <v>5499</v>
      </c>
      <c r="AL137" s="336">
        <v>353</v>
      </c>
      <c r="AM137" s="337">
        <f t="shared" ref="AM137:AN137" si="2271">IF(ISBLANK(AO137),,AO137-AO136)</f>
        <v>3</v>
      </c>
      <c r="AN137" s="334">
        <f t="shared" si="2271"/>
        <v>0</v>
      </c>
      <c r="AO137" s="335">
        <v>1015</v>
      </c>
      <c r="AP137" s="339">
        <v>54</v>
      </c>
      <c r="AQ137" s="316">
        <f t="shared" ref="AQ137:AR137" si="2272">IF(ISBLANK(AS137),,AS137-AS136)</f>
        <v>9</v>
      </c>
      <c r="AR137" s="338">
        <f t="shared" si="2272"/>
        <v>0</v>
      </c>
      <c r="AS137" s="335">
        <v>980</v>
      </c>
      <c r="AT137" s="336">
        <v>55</v>
      </c>
      <c r="AU137" s="337">
        <f t="shared" ref="AU137:AV137" si="2273">IF(ISBLANK(AW137),,AW137-AW136)</f>
        <v>1</v>
      </c>
      <c r="AV137" s="334">
        <f t="shared" si="2273"/>
        <v>0</v>
      </c>
      <c r="AW137" s="335">
        <v>904</v>
      </c>
      <c r="AX137" s="339">
        <v>16</v>
      </c>
      <c r="AY137" s="316">
        <f t="shared" ref="AY137:AZ137" si="2274">IF(ISBLANK(BA137),,BA137-BA136)</f>
        <v>0</v>
      </c>
      <c r="AZ137" s="334">
        <f t="shared" si="2274"/>
        <v>0</v>
      </c>
      <c r="BA137" s="335">
        <v>715</v>
      </c>
      <c r="BB137" s="336">
        <v>38</v>
      </c>
      <c r="BC137" s="337">
        <f t="shared" ref="BC137:BD137" si="2275">IF(ISBLANK(BE137),,BE137-BE136)</f>
        <v>90</v>
      </c>
      <c r="BD137" s="334">
        <f t="shared" si="2275"/>
        <v>1</v>
      </c>
      <c r="BE137" s="335">
        <v>14035</v>
      </c>
      <c r="BF137" s="339">
        <v>366</v>
      </c>
      <c r="BG137" s="316">
        <f t="shared" ref="BG137:BH137" si="2276">IF(ISBLANK(BI137),,BI137-BI136)</f>
        <v>3</v>
      </c>
      <c r="BH137" s="334">
        <f t="shared" si="2276"/>
        <v>0</v>
      </c>
      <c r="BI137" s="335">
        <v>865</v>
      </c>
      <c r="BJ137" s="336">
        <v>42</v>
      </c>
      <c r="BK137" s="337">
        <f t="shared" ref="BK137:BL137" si="2277">IF(ISBLANK(BM137),,BM137-BM136)</f>
        <v>2</v>
      </c>
      <c r="BL137" s="334">
        <f t="shared" si="2277"/>
        <v>0</v>
      </c>
      <c r="BM137" s="335">
        <v>286</v>
      </c>
      <c r="BN137" s="339">
        <v>1</v>
      </c>
      <c r="BO137" s="316">
        <f t="shared" ref="BO137:BP137" si="2278">IF(ISBLANK(BQ137),,BQ137-BQ136)</f>
        <v>20</v>
      </c>
      <c r="BP137" s="334">
        <f t="shared" si="2278"/>
        <v>1</v>
      </c>
      <c r="BQ137" s="335">
        <v>3322</v>
      </c>
      <c r="BR137" s="336">
        <v>187</v>
      </c>
      <c r="BS137" s="316">
        <f t="shared" ref="BS137:BT137" si="2279">IF(ISBLANK(BU137),,BU137-BU136)</f>
        <v>4</v>
      </c>
      <c r="BT137" s="334">
        <f t="shared" si="2279"/>
        <v>0</v>
      </c>
      <c r="BU137" s="335">
        <v>642</v>
      </c>
      <c r="BV137" s="336">
        <v>23</v>
      </c>
      <c r="BW137" s="233"/>
      <c r="BX137" s="233"/>
      <c r="BY137" s="233"/>
      <c r="BZ137" s="233"/>
      <c r="CA137" s="233"/>
      <c r="CB137" s="233"/>
      <c r="CC137" s="233"/>
      <c r="CD137" s="233"/>
      <c r="CE137" s="233"/>
    </row>
    <row r="138" spans="1:83" x14ac:dyDescent="0.25">
      <c r="A138" s="313">
        <v>44028</v>
      </c>
      <c r="B138" s="314">
        <f t="shared" si="1276"/>
        <v>135</v>
      </c>
      <c r="C138" s="315"/>
      <c r="D138" s="316">
        <v>333</v>
      </c>
      <c r="E138" s="317">
        <v>10</v>
      </c>
      <c r="F138" s="318">
        <v>28928</v>
      </c>
      <c r="G138" s="319"/>
      <c r="H138" s="330">
        <f t="shared" ref="H138:I138" si="2280">IF(ISBLANK(D138),,H137+D138)</f>
        <v>39054</v>
      </c>
      <c r="I138" s="331">
        <f t="shared" si="2280"/>
        <v>1604</v>
      </c>
      <c r="J138" s="332">
        <f t="shared" si="1"/>
        <v>436</v>
      </c>
      <c r="K138" s="333">
        <f t="shared" ref="K138:L138" si="2281">IF(ISBLANK(M138),,M138-M137)</f>
        <v>26</v>
      </c>
      <c r="L138" s="334">
        <f t="shared" si="2281"/>
        <v>0</v>
      </c>
      <c r="M138" s="335">
        <v>3017</v>
      </c>
      <c r="N138" s="336">
        <v>152</v>
      </c>
      <c r="O138" s="337">
        <f t="shared" ref="O138:P138" si="2282">IF(ISBLANK(Q138),,Q138-Q137)</f>
        <v>6</v>
      </c>
      <c r="P138" s="338">
        <f t="shared" si="2282"/>
        <v>0</v>
      </c>
      <c r="Q138" s="335">
        <v>713</v>
      </c>
      <c r="R138" s="339">
        <v>49</v>
      </c>
      <c r="S138" s="316">
        <f t="shared" ref="S138:T138" si="2283">IF(ISBLANK(U138),,U138-U137)</f>
        <v>4</v>
      </c>
      <c r="T138" s="334">
        <f t="shared" si="2283"/>
        <v>0</v>
      </c>
      <c r="U138" s="335">
        <v>849</v>
      </c>
      <c r="V138" s="336">
        <v>20</v>
      </c>
      <c r="W138" s="337">
        <f t="shared" ref="W138:X138" si="2284">IF(ISBLANK(Y138),,Y138-Y137)</f>
        <v>4</v>
      </c>
      <c r="X138" s="334">
        <f t="shared" si="2284"/>
        <v>0</v>
      </c>
      <c r="Y138" s="335">
        <v>261</v>
      </c>
      <c r="Z138" s="340">
        <v>1</v>
      </c>
      <c r="AA138" s="316">
        <f t="shared" ref="AA138:AB138" si="2285">IF(ISBLANK(AC138),,AC138-AC137)</f>
        <v>38</v>
      </c>
      <c r="AB138" s="334">
        <f t="shared" si="2285"/>
        <v>1</v>
      </c>
      <c r="AC138" s="335">
        <v>3523</v>
      </c>
      <c r="AD138" s="336">
        <v>191</v>
      </c>
      <c r="AE138" s="337">
        <f t="shared" ref="AE138:AF138" si="2286">IF(ISBLANK(AG138),,AG138-AG137)</f>
        <v>60</v>
      </c>
      <c r="AF138" s="334">
        <f t="shared" si="2286"/>
        <v>0</v>
      </c>
      <c r="AG138" s="335">
        <v>2233</v>
      </c>
      <c r="AH138" s="339">
        <v>47</v>
      </c>
      <c r="AI138" s="316">
        <f t="shared" ref="AI138:AJ138" si="2287">IF(ISBLANK(AK138),,AK138-AK137)</f>
        <v>37</v>
      </c>
      <c r="AJ138" s="334">
        <f t="shared" si="2287"/>
        <v>5</v>
      </c>
      <c r="AK138" s="335">
        <v>5536</v>
      </c>
      <c r="AL138" s="336">
        <v>358</v>
      </c>
      <c r="AM138" s="337">
        <f t="shared" ref="AM138:AN138" si="2288">IF(ISBLANK(AO138),,AO138-AO137)</f>
        <v>4</v>
      </c>
      <c r="AN138" s="334">
        <f t="shared" si="2288"/>
        <v>0</v>
      </c>
      <c r="AO138" s="335">
        <v>1019</v>
      </c>
      <c r="AP138" s="339">
        <v>54</v>
      </c>
      <c r="AQ138" s="316">
        <f t="shared" ref="AQ138:AR138" si="2289">IF(ISBLANK(AS138),,AS138-AS137)</f>
        <v>36</v>
      </c>
      <c r="AR138" s="338">
        <f t="shared" si="2289"/>
        <v>0</v>
      </c>
      <c r="AS138" s="335">
        <v>1016</v>
      </c>
      <c r="AT138" s="336">
        <v>55</v>
      </c>
      <c r="AU138" s="337">
        <f t="shared" ref="AU138:AV138" si="2290">IF(ISBLANK(AW138),,AW138-AW137)</f>
        <v>0</v>
      </c>
      <c r="AV138" s="334">
        <f t="shared" si="2290"/>
        <v>0</v>
      </c>
      <c r="AW138" s="335">
        <v>904</v>
      </c>
      <c r="AX138" s="339">
        <v>16</v>
      </c>
      <c r="AY138" s="316">
        <f t="shared" ref="AY138:AZ138" si="2291">IF(ISBLANK(BA138),,BA138-BA137)</f>
        <v>3</v>
      </c>
      <c r="AZ138" s="334">
        <f t="shared" si="2291"/>
        <v>0</v>
      </c>
      <c r="BA138" s="335">
        <v>718</v>
      </c>
      <c r="BB138" s="336">
        <v>38</v>
      </c>
      <c r="BC138" s="337">
        <f t="shared" ref="BC138:BD138" si="2292">IF(ISBLANK(BE138),,BE138-BE137)</f>
        <v>89</v>
      </c>
      <c r="BD138" s="334">
        <f t="shared" si="2292"/>
        <v>2</v>
      </c>
      <c r="BE138" s="335">
        <v>14124</v>
      </c>
      <c r="BF138" s="339">
        <v>368</v>
      </c>
      <c r="BG138" s="316">
        <f t="shared" ref="BG138:BH138" si="2293">IF(ISBLANK(BI138),,BI138-BI137)</f>
        <v>3</v>
      </c>
      <c r="BH138" s="334">
        <f t="shared" si="2293"/>
        <v>2</v>
      </c>
      <c r="BI138" s="335">
        <v>868</v>
      </c>
      <c r="BJ138" s="336">
        <v>44</v>
      </c>
      <c r="BK138" s="337">
        <f t="shared" ref="BK138:BL138" si="2294">IF(ISBLANK(BM138),,BM138-BM137)</f>
        <v>0</v>
      </c>
      <c r="BL138" s="334">
        <f t="shared" si="2294"/>
        <v>0</v>
      </c>
      <c r="BM138" s="335">
        <v>286</v>
      </c>
      <c r="BN138" s="339">
        <v>1</v>
      </c>
      <c r="BO138" s="316">
        <f t="shared" ref="BO138:BP138" si="2295">IF(ISBLANK(BQ138),,BQ138-BQ137)</f>
        <v>20</v>
      </c>
      <c r="BP138" s="334">
        <f t="shared" si="2295"/>
        <v>0</v>
      </c>
      <c r="BQ138" s="335">
        <v>3342</v>
      </c>
      <c r="BR138" s="336">
        <v>187</v>
      </c>
      <c r="BS138" s="316">
        <f t="shared" ref="BS138:BT138" si="2296">IF(ISBLANK(BU138),,BU138-BU137)</f>
        <v>3</v>
      </c>
      <c r="BT138" s="334">
        <f t="shared" si="2296"/>
        <v>0</v>
      </c>
      <c r="BU138" s="335">
        <v>645</v>
      </c>
      <c r="BV138" s="336">
        <v>23</v>
      </c>
      <c r="BW138" s="233"/>
      <c r="BX138" s="233"/>
      <c r="BY138" s="233"/>
      <c r="BZ138" s="233"/>
      <c r="CA138" s="233"/>
      <c r="CB138" s="233"/>
      <c r="CC138" s="233"/>
      <c r="CD138" s="233"/>
      <c r="CE138" s="233"/>
    </row>
    <row r="139" spans="1:83" x14ac:dyDescent="0.25">
      <c r="A139" s="313">
        <v>44029</v>
      </c>
      <c r="B139" s="314">
        <f t="shared" si="1276"/>
        <v>136</v>
      </c>
      <c r="C139" s="315"/>
      <c r="D139" s="316">
        <v>353</v>
      </c>
      <c r="E139" s="317">
        <v>7</v>
      </c>
      <c r="F139" s="318">
        <v>29505</v>
      </c>
      <c r="G139" s="319"/>
      <c r="H139" s="330">
        <f t="shared" ref="H139:I139" si="2297">IF(ISBLANK(D139),,H138+D139)</f>
        <v>39407</v>
      </c>
      <c r="I139" s="331">
        <f t="shared" si="2297"/>
        <v>1611</v>
      </c>
      <c r="J139" s="332">
        <f t="shared" si="1"/>
        <v>577</v>
      </c>
      <c r="K139" s="333">
        <f t="shared" ref="K139:L139" si="2298">IF(ISBLANK(M139),,M139-M138)</f>
        <v>8</v>
      </c>
      <c r="L139" s="334">
        <f t="shared" si="2298"/>
        <v>0</v>
      </c>
      <c r="M139" s="335">
        <v>3025</v>
      </c>
      <c r="N139" s="336">
        <v>152</v>
      </c>
      <c r="O139" s="337">
        <f t="shared" ref="O139:P139" si="2299">IF(ISBLANK(Q139),,Q139-Q138)</f>
        <v>0</v>
      </c>
      <c r="P139" s="338">
        <f t="shared" si="2299"/>
        <v>0</v>
      </c>
      <c r="Q139" s="335">
        <v>713</v>
      </c>
      <c r="R139" s="339">
        <v>49</v>
      </c>
      <c r="S139" s="316">
        <f t="shared" ref="S139:T139" si="2300">IF(ISBLANK(U139),,U139-U138)</f>
        <v>11</v>
      </c>
      <c r="T139" s="334">
        <f t="shared" si="2300"/>
        <v>0</v>
      </c>
      <c r="U139" s="335">
        <v>860</v>
      </c>
      <c r="V139" s="336">
        <v>20</v>
      </c>
      <c r="W139" s="337">
        <f t="shared" ref="W139:X139" si="2301">IF(ISBLANK(Y139),,Y139-Y138)</f>
        <v>17</v>
      </c>
      <c r="X139" s="334">
        <f t="shared" si="2301"/>
        <v>0</v>
      </c>
      <c r="Y139" s="335">
        <v>278</v>
      </c>
      <c r="Z139" s="340">
        <v>1</v>
      </c>
      <c r="AA139" s="316">
        <f t="shared" ref="AA139:AB139" si="2302">IF(ISBLANK(AC139),,AC139-AC138)</f>
        <v>30</v>
      </c>
      <c r="AB139" s="334">
        <f t="shared" si="2302"/>
        <v>2</v>
      </c>
      <c r="AC139" s="335">
        <v>3553</v>
      </c>
      <c r="AD139" s="336">
        <v>193</v>
      </c>
      <c r="AE139" s="337">
        <f t="shared" ref="AE139:AF139" si="2303">IF(ISBLANK(AG139),,AG139-AG138)</f>
        <v>70</v>
      </c>
      <c r="AF139" s="334">
        <f t="shared" si="2303"/>
        <v>0</v>
      </c>
      <c r="AG139" s="335">
        <v>2303</v>
      </c>
      <c r="AH139" s="339">
        <v>47</v>
      </c>
      <c r="AI139" s="316">
        <f t="shared" ref="AI139:AJ139" si="2304">IF(ISBLANK(AK139),,AK139-AK138)</f>
        <v>36</v>
      </c>
      <c r="AJ139" s="334">
        <f t="shared" si="2304"/>
        <v>1</v>
      </c>
      <c r="AK139" s="335">
        <v>5572</v>
      </c>
      <c r="AL139" s="336">
        <v>359</v>
      </c>
      <c r="AM139" s="337">
        <f t="shared" ref="AM139:AN139" si="2305">IF(ISBLANK(AO139),,AO139-AO138)</f>
        <v>4</v>
      </c>
      <c r="AN139" s="334">
        <f t="shared" si="2305"/>
        <v>0</v>
      </c>
      <c r="AO139" s="335">
        <v>1023</v>
      </c>
      <c r="AP139" s="339">
        <v>54</v>
      </c>
      <c r="AQ139" s="316">
        <f t="shared" ref="AQ139:AR139" si="2306">IF(ISBLANK(AS139),,AS139-AS138)</f>
        <v>18</v>
      </c>
      <c r="AR139" s="338">
        <f t="shared" si="2306"/>
        <v>0</v>
      </c>
      <c r="AS139" s="335">
        <v>1034</v>
      </c>
      <c r="AT139" s="336">
        <v>55</v>
      </c>
      <c r="AU139" s="337">
        <f t="shared" ref="AU139:AV139" si="2307">IF(ISBLANK(AW139),,AW139-AW138)</f>
        <v>4</v>
      </c>
      <c r="AV139" s="334">
        <f t="shared" si="2307"/>
        <v>0</v>
      </c>
      <c r="AW139" s="335">
        <v>908</v>
      </c>
      <c r="AX139" s="339">
        <v>16</v>
      </c>
      <c r="AY139" s="316">
        <f t="shared" ref="AY139:AZ139" si="2308">IF(ISBLANK(BA139),,BA139-BA138)</f>
        <v>8</v>
      </c>
      <c r="AZ139" s="334">
        <f t="shared" si="2308"/>
        <v>0</v>
      </c>
      <c r="BA139" s="335">
        <v>726</v>
      </c>
      <c r="BB139" s="336">
        <v>38</v>
      </c>
      <c r="BC139" s="337">
        <f t="shared" ref="BC139:BD139" si="2309">IF(ISBLANK(BE139),,BE139-BE138)</f>
        <v>86</v>
      </c>
      <c r="BD139" s="334">
        <f t="shared" si="2309"/>
        <v>1</v>
      </c>
      <c r="BE139" s="335">
        <v>14210</v>
      </c>
      <c r="BF139" s="339">
        <v>369</v>
      </c>
      <c r="BG139" s="316">
        <f t="shared" ref="BG139:BH139" si="2310">IF(ISBLANK(BI139),,BI139-BI138)</f>
        <v>10</v>
      </c>
      <c r="BH139" s="334">
        <f t="shared" si="2310"/>
        <v>0</v>
      </c>
      <c r="BI139" s="335">
        <v>878</v>
      </c>
      <c r="BJ139" s="336">
        <v>44</v>
      </c>
      <c r="BK139" s="337">
        <f t="shared" ref="BK139:BL139" si="2311">IF(ISBLANK(BM139),,BM139-BM138)</f>
        <v>5</v>
      </c>
      <c r="BL139" s="334">
        <f t="shared" si="2311"/>
        <v>0</v>
      </c>
      <c r="BM139" s="335">
        <v>291</v>
      </c>
      <c r="BN139" s="339">
        <v>1</v>
      </c>
      <c r="BO139" s="316">
        <f t="shared" ref="BO139:BP139" si="2312">IF(ISBLANK(BQ139),,BQ139-BQ138)</f>
        <v>46</v>
      </c>
      <c r="BP139" s="334">
        <f t="shared" si="2312"/>
        <v>3</v>
      </c>
      <c r="BQ139" s="335">
        <v>3388</v>
      </c>
      <c r="BR139" s="336">
        <v>190</v>
      </c>
      <c r="BS139" s="316">
        <f t="shared" ref="BS139:BT139" si="2313">IF(ISBLANK(BU139),,BU139-BU138)</f>
        <v>0</v>
      </c>
      <c r="BT139" s="334">
        <f t="shared" si="2313"/>
        <v>0</v>
      </c>
      <c r="BU139" s="335">
        <v>645</v>
      </c>
      <c r="BV139" s="336">
        <v>23</v>
      </c>
      <c r="BW139" s="233"/>
      <c r="BX139" s="233"/>
      <c r="BY139" s="233"/>
      <c r="BZ139" s="233"/>
      <c r="CA139" s="233"/>
      <c r="CB139" s="233"/>
      <c r="CC139" s="233"/>
      <c r="CD139" s="233"/>
      <c r="CE139" s="233"/>
    </row>
    <row r="140" spans="1:83" x14ac:dyDescent="0.25">
      <c r="A140" s="313">
        <v>44030</v>
      </c>
      <c r="B140" s="314">
        <f t="shared" si="1276"/>
        <v>137</v>
      </c>
      <c r="C140" s="315"/>
      <c r="D140" s="316">
        <v>339</v>
      </c>
      <c r="E140" s="317">
        <v>6</v>
      </c>
      <c r="F140" s="318">
        <v>29924</v>
      </c>
      <c r="G140" s="319"/>
      <c r="H140" s="330">
        <f t="shared" ref="H140:I140" si="2314">IF(ISBLANK(D140),,H139+D140)</f>
        <v>39746</v>
      </c>
      <c r="I140" s="331">
        <f t="shared" si="2314"/>
        <v>1617</v>
      </c>
      <c r="J140" s="332">
        <f t="shared" si="1"/>
        <v>419</v>
      </c>
      <c r="K140" s="333">
        <f t="shared" ref="K140:L140" si="2315">IF(ISBLANK(M140),,M140-M139)</f>
        <v>17</v>
      </c>
      <c r="L140" s="334">
        <f t="shared" si="2315"/>
        <v>0</v>
      </c>
      <c r="M140" s="335">
        <v>3042</v>
      </c>
      <c r="N140" s="336">
        <v>152</v>
      </c>
      <c r="O140" s="337">
        <f t="shared" ref="O140:P140" si="2316">IF(ISBLANK(Q140),,Q140-Q139)</f>
        <v>4</v>
      </c>
      <c r="P140" s="338">
        <f t="shared" si="2316"/>
        <v>0</v>
      </c>
      <c r="Q140" s="335">
        <v>717</v>
      </c>
      <c r="R140" s="339">
        <v>49</v>
      </c>
      <c r="S140" s="316">
        <f t="shared" ref="S140:T140" si="2317">IF(ISBLANK(U140),,U140-U139)</f>
        <v>15</v>
      </c>
      <c r="T140" s="334">
        <f t="shared" si="2317"/>
        <v>0</v>
      </c>
      <c r="U140" s="335">
        <v>875</v>
      </c>
      <c r="V140" s="336">
        <v>20</v>
      </c>
      <c r="W140" s="337">
        <f t="shared" ref="W140:X140" si="2318">IF(ISBLANK(Y140),,Y140-Y139)</f>
        <v>6</v>
      </c>
      <c r="X140" s="334">
        <f t="shared" si="2318"/>
        <v>0</v>
      </c>
      <c r="Y140" s="335">
        <v>284</v>
      </c>
      <c r="Z140" s="340">
        <v>1</v>
      </c>
      <c r="AA140" s="316">
        <f t="shared" ref="AA140:AB140" si="2319">IF(ISBLANK(AC140),,AC140-AC139)</f>
        <v>22</v>
      </c>
      <c r="AB140" s="334">
        <f t="shared" si="2319"/>
        <v>0</v>
      </c>
      <c r="AC140" s="335">
        <v>3575</v>
      </c>
      <c r="AD140" s="336">
        <v>193</v>
      </c>
      <c r="AE140" s="337">
        <f t="shared" ref="AE140:AF140" si="2320">IF(ISBLANK(AG140),,AG140-AG139)</f>
        <v>76</v>
      </c>
      <c r="AF140" s="334">
        <f t="shared" si="2320"/>
        <v>0</v>
      </c>
      <c r="AG140" s="335">
        <v>2379</v>
      </c>
      <c r="AH140" s="339">
        <v>47</v>
      </c>
      <c r="AI140" s="316">
        <f t="shared" ref="AI140:AJ140" si="2321">IF(ISBLANK(AK140),,AK140-AK139)</f>
        <v>31</v>
      </c>
      <c r="AJ140" s="334">
        <f t="shared" si="2321"/>
        <v>3</v>
      </c>
      <c r="AK140" s="335">
        <v>5603</v>
      </c>
      <c r="AL140" s="336">
        <v>362</v>
      </c>
      <c r="AM140" s="337">
        <f t="shared" ref="AM140:AN140" si="2322">IF(ISBLANK(AO140),,AO140-AO139)</f>
        <v>5</v>
      </c>
      <c r="AN140" s="334">
        <f t="shared" si="2322"/>
        <v>0</v>
      </c>
      <c r="AO140" s="335">
        <v>1028</v>
      </c>
      <c r="AP140" s="339">
        <v>54</v>
      </c>
      <c r="AQ140" s="316">
        <f t="shared" ref="AQ140:AR140" si="2323">IF(ISBLANK(AS140),,AS140-AS139)</f>
        <v>25</v>
      </c>
      <c r="AR140" s="338">
        <f t="shared" si="2323"/>
        <v>1</v>
      </c>
      <c r="AS140" s="335">
        <v>1059</v>
      </c>
      <c r="AT140" s="336">
        <v>56</v>
      </c>
      <c r="AU140" s="337">
        <f t="shared" ref="AU140:AV140" si="2324">IF(ISBLANK(AW140),,AW140-AW139)</f>
        <v>3</v>
      </c>
      <c r="AV140" s="334">
        <f t="shared" si="2324"/>
        <v>0</v>
      </c>
      <c r="AW140" s="335">
        <v>911</v>
      </c>
      <c r="AX140" s="339">
        <v>16</v>
      </c>
      <c r="AY140" s="316">
        <f t="shared" ref="AY140:AZ140" si="2325">IF(ISBLANK(BA140),,BA140-BA139)</f>
        <v>15</v>
      </c>
      <c r="AZ140" s="334">
        <f t="shared" si="2325"/>
        <v>1</v>
      </c>
      <c r="BA140" s="335">
        <v>741</v>
      </c>
      <c r="BB140" s="336">
        <v>39</v>
      </c>
      <c r="BC140" s="337">
        <f t="shared" ref="BC140:BD140" si="2326">IF(ISBLANK(BE140),,BE140-BE139)</f>
        <v>101</v>
      </c>
      <c r="BD140" s="334">
        <f t="shared" si="2326"/>
        <v>0</v>
      </c>
      <c r="BE140" s="335">
        <v>14311</v>
      </c>
      <c r="BF140" s="339">
        <v>369</v>
      </c>
      <c r="BG140" s="316">
        <f t="shared" ref="BG140:BH140" si="2327">IF(ISBLANK(BI140),,BI140-BI139)</f>
        <v>0</v>
      </c>
      <c r="BH140" s="334">
        <f t="shared" si="2327"/>
        <v>1</v>
      </c>
      <c r="BI140" s="335">
        <v>878</v>
      </c>
      <c r="BJ140" s="336">
        <v>45</v>
      </c>
      <c r="BK140" s="337">
        <f t="shared" ref="BK140:BL140" si="2328">IF(ISBLANK(BM140),,BM140-BM139)</f>
        <v>1</v>
      </c>
      <c r="BL140" s="334">
        <f t="shared" si="2328"/>
        <v>0</v>
      </c>
      <c r="BM140" s="335">
        <v>292</v>
      </c>
      <c r="BN140" s="339">
        <v>1</v>
      </c>
      <c r="BO140" s="316">
        <f t="shared" ref="BO140:BP140" si="2329">IF(ISBLANK(BQ140),,BQ140-BQ139)</f>
        <v>10</v>
      </c>
      <c r="BP140" s="334">
        <f t="shared" si="2329"/>
        <v>0</v>
      </c>
      <c r="BQ140" s="335">
        <v>3398</v>
      </c>
      <c r="BR140" s="336">
        <v>190</v>
      </c>
      <c r="BS140" s="316">
        <f t="shared" ref="BS140:BT140" si="2330">IF(ISBLANK(BU140),,BU140-BU139)</f>
        <v>8</v>
      </c>
      <c r="BT140" s="334">
        <f t="shared" si="2330"/>
        <v>0</v>
      </c>
      <c r="BU140" s="335">
        <v>653</v>
      </c>
      <c r="BV140" s="336">
        <v>23</v>
      </c>
      <c r="BW140" s="233"/>
      <c r="BX140" s="233"/>
      <c r="BY140" s="233"/>
      <c r="BZ140" s="233"/>
      <c r="CA140" s="233"/>
      <c r="CB140" s="233"/>
      <c r="CC140" s="233"/>
      <c r="CD140" s="233"/>
      <c r="CE140" s="233"/>
    </row>
    <row r="141" spans="1:83" x14ac:dyDescent="0.25">
      <c r="A141" s="313">
        <v>44031</v>
      </c>
      <c r="B141" s="314">
        <f t="shared" si="1276"/>
        <v>138</v>
      </c>
      <c r="C141" s="315"/>
      <c r="D141" s="316">
        <v>358</v>
      </c>
      <c r="E141" s="317">
        <v>6</v>
      </c>
      <c r="F141" s="318">
        <v>30292</v>
      </c>
      <c r="G141" s="319"/>
      <c r="H141" s="330">
        <f t="shared" ref="H141:I141" si="2331">IF(ISBLANK(D141),,H140+D141)</f>
        <v>40104</v>
      </c>
      <c r="I141" s="331">
        <f t="shared" si="2331"/>
        <v>1623</v>
      </c>
      <c r="J141" s="332">
        <f t="shared" si="1"/>
        <v>368</v>
      </c>
      <c r="K141" s="333">
        <f t="shared" ref="K141:L141" si="2332">IF(ISBLANK(M141),,M141-M140)</f>
        <v>9</v>
      </c>
      <c r="L141" s="334">
        <f t="shared" si="2332"/>
        <v>0</v>
      </c>
      <c r="M141" s="335">
        <v>3051</v>
      </c>
      <c r="N141" s="336">
        <v>152</v>
      </c>
      <c r="O141" s="337">
        <f t="shared" ref="O141:P141" si="2333">IF(ISBLANK(Q141),,Q141-Q140)</f>
        <v>3</v>
      </c>
      <c r="P141" s="338">
        <f t="shared" si="2333"/>
        <v>0</v>
      </c>
      <c r="Q141" s="335">
        <v>720</v>
      </c>
      <c r="R141" s="339">
        <v>49</v>
      </c>
      <c r="S141" s="316">
        <f t="shared" ref="S141:T141" si="2334">IF(ISBLANK(U141),,U141-U140)</f>
        <v>7</v>
      </c>
      <c r="T141" s="334">
        <f t="shared" si="2334"/>
        <v>0</v>
      </c>
      <c r="U141" s="335">
        <v>882</v>
      </c>
      <c r="V141" s="336">
        <v>20</v>
      </c>
      <c r="W141" s="337">
        <f t="shared" ref="W141:X141" si="2335">IF(ISBLANK(Y141),,Y141-Y140)</f>
        <v>25</v>
      </c>
      <c r="X141" s="334">
        <f t="shared" si="2335"/>
        <v>0</v>
      </c>
      <c r="Y141" s="335">
        <v>309</v>
      </c>
      <c r="Z141" s="340">
        <v>1</v>
      </c>
      <c r="AA141" s="316">
        <f t="shared" ref="AA141:AB141" si="2336">IF(ISBLANK(AC141),,AC141-AC140)</f>
        <v>36</v>
      </c>
      <c r="AB141" s="334">
        <f t="shared" si="2336"/>
        <v>0</v>
      </c>
      <c r="AC141" s="335">
        <v>3611</v>
      </c>
      <c r="AD141" s="336">
        <v>193</v>
      </c>
      <c r="AE141" s="337">
        <f t="shared" ref="AE141:AF141" si="2337">IF(ISBLANK(AG141),,AG141-AG140)</f>
        <v>115</v>
      </c>
      <c r="AF141" s="334">
        <f t="shared" si="2337"/>
        <v>0</v>
      </c>
      <c r="AG141" s="335">
        <v>2494</v>
      </c>
      <c r="AH141" s="339">
        <v>47</v>
      </c>
      <c r="AI141" s="316">
        <f t="shared" ref="AI141:AJ141" si="2338">IF(ISBLANK(AK141),,AK141-AK140)</f>
        <v>47</v>
      </c>
      <c r="AJ141" s="334">
        <f t="shared" si="2338"/>
        <v>2</v>
      </c>
      <c r="AK141" s="335">
        <v>5650</v>
      </c>
      <c r="AL141" s="336">
        <v>364</v>
      </c>
      <c r="AM141" s="337">
        <f t="shared" ref="AM141:AN141" si="2339">IF(ISBLANK(AO141),,AO141-AO140)</f>
        <v>8</v>
      </c>
      <c r="AN141" s="334">
        <f t="shared" si="2339"/>
        <v>0</v>
      </c>
      <c r="AO141" s="335">
        <v>1036</v>
      </c>
      <c r="AP141" s="339">
        <v>54</v>
      </c>
      <c r="AQ141" s="316">
        <f t="shared" ref="AQ141:AR141" si="2340">IF(ISBLANK(AS141),,AS141-AS140)</f>
        <v>17</v>
      </c>
      <c r="AR141" s="338">
        <f t="shared" si="2340"/>
        <v>0</v>
      </c>
      <c r="AS141" s="335">
        <v>1076</v>
      </c>
      <c r="AT141" s="336">
        <v>56</v>
      </c>
      <c r="AU141" s="337">
        <f t="shared" ref="AU141:AV141" si="2341">IF(ISBLANK(AW141),,AW141-AW140)</f>
        <v>0</v>
      </c>
      <c r="AV141" s="334">
        <f t="shared" si="2341"/>
        <v>0</v>
      </c>
      <c r="AW141" s="335">
        <v>911</v>
      </c>
      <c r="AX141" s="339">
        <v>16</v>
      </c>
      <c r="AY141" s="316">
        <f t="shared" ref="AY141:AZ141" si="2342">IF(ISBLANK(BA141),,BA141-BA140)</f>
        <v>4</v>
      </c>
      <c r="AZ141" s="334">
        <f t="shared" si="2342"/>
        <v>0</v>
      </c>
      <c r="BA141" s="335">
        <v>745</v>
      </c>
      <c r="BB141" s="336">
        <v>39</v>
      </c>
      <c r="BC141" s="337">
        <f t="shared" ref="BC141:BD141" si="2343">IF(ISBLANK(BE141),,BE141-BE140)</f>
        <v>55</v>
      </c>
      <c r="BD141" s="334">
        <f t="shared" si="2343"/>
        <v>4</v>
      </c>
      <c r="BE141" s="335">
        <v>14366</v>
      </c>
      <c r="BF141" s="339">
        <v>373</v>
      </c>
      <c r="BG141" s="316">
        <f t="shared" ref="BG141:BH141" si="2344">IF(ISBLANK(BI141),,BI141-BI140)</f>
        <v>6</v>
      </c>
      <c r="BH141" s="334">
        <f t="shared" si="2344"/>
        <v>0</v>
      </c>
      <c r="BI141" s="335">
        <v>884</v>
      </c>
      <c r="BJ141" s="336">
        <v>45</v>
      </c>
      <c r="BK141" s="337">
        <f t="shared" ref="BK141:BL141" si="2345">IF(ISBLANK(BM141),,BM141-BM140)</f>
        <v>2</v>
      </c>
      <c r="BL141" s="334">
        <f t="shared" si="2345"/>
        <v>0</v>
      </c>
      <c r="BM141" s="335">
        <v>294</v>
      </c>
      <c r="BN141" s="339">
        <v>1</v>
      </c>
      <c r="BO141" s="316">
        <f t="shared" ref="BO141:BP141" si="2346">IF(ISBLANK(BQ141),,BQ141-BQ140)</f>
        <v>21</v>
      </c>
      <c r="BP141" s="334">
        <f t="shared" si="2346"/>
        <v>0</v>
      </c>
      <c r="BQ141" s="335">
        <v>3419</v>
      </c>
      <c r="BR141" s="336">
        <v>190</v>
      </c>
      <c r="BS141" s="316">
        <f t="shared" ref="BS141:BT141" si="2347">IF(ISBLANK(BU141),,BU141-BU140)</f>
        <v>3</v>
      </c>
      <c r="BT141" s="334">
        <f t="shared" si="2347"/>
        <v>0</v>
      </c>
      <c r="BU141" s="335">
        <v>656</v>
      </c>
      <c r="BV141" s="336">
        <v>23</v>
      </c>
      <c r="BW141" s="233"/>
      <c r="BX141" s="233"/>
      <c r="BY141" s="233"/>
      <c r="BZ141" s="233"/>
      <c r="CA141" s="233"/>
      <c r="CB141" s="233"/>
      <c r="CC141" s="233"/>
      <c r="CD141" s="233"/>
      <c r="CE141" s="233"/>
    </row>
    <row r="142" spans="1:83" x14ac:dyDescent="0.25">
      <c r="A142" s="313">
        <v>44032</v>
      </c>
      <c r="B142" s="314">
        <f t="shared" si="1276"/>
        <v>139</v>
      </c>
      <c r="C142" s="315"/>
      <c r="D142" s="316">
        <v>279</v>
      </c>
      <c r="E142" s="317">
        <v>4</v>
      </c>
      <c r="F142" s="318">
        <v>30539</v>
      </c>
      <c r="G142" s="319"/>
      <c r="H142" s="330">
        <f t="shared" ref="H142:I142" si="2348">IF(ISBLANK(D142),,H141+D142)</f>
        <v>40383</v>
      </c>
      <c r="I142" s="331">
        <f t="shared" si="2348"/>
        <v>1627</v>
      </c>
      <c r="J142" s="332">
        <f t="shared" si="1"/>
        <v>247</v>
      </c>
      <c r="K142" s="333">
        <f t="shared" ref="K142:L142" si="2349">IF(ISBLANK(M142),,M142-M141)</f>
        <v>22</v>
      </c>
      <c r="L142" s="334">
        <f t="shared" si="2349"/>
        <v>0</v>
      </c>
      <c r="M142" s="335">
        <v>3073</v>
      </c>
      <c r="N142" s="336">
        <v>152</v>
      </c>
      <c r="O142" s="337">
        <f t="shared" ref="O142:P142" si="2350">IF(ISBLANK(Q142),,Q142-Q141)</f>
        <v>4</v>
      </c>
      <c r="P142" s="338">
        <f t="shared" si="2350"/>
        <v>0</v>
      </c>
      <c r="Q142" s="335">
        <v>724</v>
      </c>
      <c r="R142" s="339">
        <v>49</v>
      </c>
      <c r="S142" s="316">
        <f t="shared" ref="S142:T142" si="2351">IF(ISBLANK(U142),,U142-U141)</f>
        <v>0</v>
      </c>
      <c r="T142" s="334">
        <f t="shared" si="2351"/>
        <v>0</v>
      </c>
      <c r="U142" s="335">
        <v>882</v>
      </c>
      <c r="V142" s="336">
        <v>20</v>
      </c>
      <c r="W142" s="337">
        <f t="shared" ref="W142:X142" si="2352">IF(ISBLANK(Y142),,Y142-Y141)</f>
        <v>10</v>
      </c>
      <c r="X142" s="334">
        <f t="shared" si="2352"/>
        <v>0</v>
      </c>
      <c r="Y142" s="335">
        <v>319</v>
      </c>
      <c r="Z142" s="340">
        <v>1</v>
      </c>
      <c r="AA142" s="316">
        <f t="shared" ref="AA142:AB142" si="2353">IF(ISBLANK(AC142),,AC142-AC141)</f>
        <v>16</v>
      </c>
      <c r="AB142" s="334">
        <f t="shared" si="2353"/>
        <v>1</v>
      </c>
      <c r="AC142" s="335">
        <v>3627</v>
      </c>
      <c r="AD142" s="336">
        <v>194</v>
      </c>
      <c r="AE142" s="337">
        <f t="shared" ref="AE142:AF142" si="2354">IF(ISBLANK(AG142),,AG142-AG141)</f>
        <v>40</v>
      </c>
      <c r="AF142" s="334">
        <f t="shared" si="2354"/>
        <v>2</v>
      </c>
      <c r="AG142" s="335">
        <v>2534</v>
      </c>
      <c r="AH142" s="339">
        <v>49</v>
      </c>
      <c r="AI142" s="316">
        <f t="shared" ref="AI142:AJ142" si="2355">IF(ISBLANK(AK142),,AK142-AK141)</f>
        <v>54</v>
      </c>
      <c r="AJ142" s="334">
        <f t="shared" si="2355"/>
        <v>0</v>
      </c>
      <c r="AK142" s="335">
        <v>5704</v>
      </c>
      <c r="AL142" s="336">
        <v>364</v>
      </c>
      <c r="AM142" s="337">
        <f t="shared" ref="AM142:AN142" si="2356">IF(ISBLANK(AO142),,AO142-AO141)</f>
        <v>4</v>
      </c>
      <c r="AN142" s="334">
        <f t="shared" si="2356"/>
        <v>0</v>
      </c>
      <c r="AO142" s="335">
        <v>1040</v>
      </c>
      <c r="AP142" s="339">
        <v>54</v>
      </c>
      <c r="AQ142" s="316">
        <f t="shared" ref="AQ142:AR142" si="2357">IF(ISBLANK(AS142),,AS142-AS141)</f>
        <v>22</v>
      </c>
      <c r="AR142" s="338">
        <f t="shared" si="2357"/>
        <v>0</v>
      </c>
      <c r="AS142" s="335">
        <v>1098</v>
      </c>
      <c r="AT142" s="336">
        <v>56</v>
      </c>
      <c r="AU142" s="337">
        <f t="shared" ref="AU142:AV142" si="2358">IF(ISBLANK(AW142),,AW142-AW141)</f>
        <v>4</v>
      </c>
      <c r="AV142" s="334">
        <f t="shared" si="2358"/>
        <v>0</v>
      </c>
      <c r="AW142" s="335">
        <v>915</v>
      </c>
      <c r="AX142" s="339">
        <v>16</v>
      </c>
      <c r="AY142" s="316">
        <f t="shared" ref="AY142:AZ142" si="2359">IF(ISBLANK(BA142),,BA142-BA141)</f>
        <v>1</v>
      </c>
      <c r="AZ142" s="334">
        <f t="shared" si="2359"/>
        <v>0</v>
      </c>
      <c r="BA142" s="335">
        <v>746</v>
      </c>
      <c r="BB142" s="336">
        <v>39</v>
      </c>
      <c r="BC142" s="337">
        <f t="shared" ref="BC142:BD142" si="2360">IF(ISBLANK(BE142),,BE142-BE141)</f>
        <v>55</v>
      </c>
      <c r="BD142" s="334">
        <f t="shared" si="2360"/>
        <v>0</v>
      </c>
      <c r="BE142" s="335">
        <v>14421</v>
      </c>
      <c r="BF142" s="339">
        <v>373</v>
      </c>
      <c r="BG142" s="316">
        <f t="shared" ref="BG142:BH142" si="2361">IF(ISBLANK(BI142),,BI142-BI141)</f>
        <v>5</v>
      </c>
      <c r="BH142" s="334">
        <f t="shared" si="2361"/>
        <v>0</v>
      </c>
      <c r="BI142" s="335">
        <v>889</v>
      </c>
      <c r="BJ142" s="336">
        <v>45</v>
      </c>
      <c r="BK142" s="337">
        <f t="shared" ref="BK142:BL142" si="2362">IF(ISBLANK(BM142),,BM142-BM141)</f>
        <v>4</v>
      </c>
      <c r="BL142" s="334">
        <f t="shared" si="2362"/>
        <v>1</v>
      </c>
      <c r="BM142" s="335">
        <v>298</v>
      </c>
      <c r="BN142" s="339">
        <v>2</v>
      </c>
      <c r="BO142" s="316">
        <f t="shared" ref="BO142:BP142" si="2363">IF(ISBLANK(BQ142),,BQ142-BQ141)</f>
        <v>34</v>
      </c>
      <c r="BP142" s="334">
        <f t="shared" si="2363"/>
        <v>0</v>
      </c>
      <c r="BQ142" s="335">
        <v>3453</v>
      </c>
      <c r="BR142" s="336">
        <v>190</v>
      </c>
      <c r="BS142" s="316">
        <f t="shared" ref="BS142:BT142" si="2364">IF(ISBLANK(BU142),,BU142-BU141)</f>
        <v>4</v>
      </c>
      <c r="BT142" s="334">
        <f t="shared" si="2364"/>
        <v>0</v>
      </c>
      <c r="BU142" s="335">
        <v>660</v>
      </c>
      <c r="BV142" s="336">
        <v>23</v>
      </c>
      <c r="BW142" s="233"/>
      <c r="BX142" s="233"/>
      <c r="BY142" s="233"/>
      <c r="BZ142" s="233"/>
      <c r="CA142" s="233"/>
      <c r="CB142" s="233"/>
      <c r="CC142" s="233"/>
      <c r="CD142" s="233"/>
      <c r="CE142" s="233"/>
    </row>
    <row r="143" spans="1:83" x14ac:dyDescent="0.25">
      <c r="A143" s="313">
        <v>44033</v>
      </c>
      <c r="B143" s="314">
        <f t="shared" si="1276"/>
        <v>140</v>
      </c>
      <c r="C143" s="315"/>
      <c r="D143" s="316">
        <v>399</v>
      </c>
      <c r="E143" s="317">
        <v>9</v>
      </c>
      <c r="F143" s="318">
        <v>30771</v>
      </c>
      <c r="G143" s="319"/>
      <c r="H143" s="330">
        <f t="shared" ref="H143:I143" si="2365">IF(ISBLANK(D143),,H142+D143)</f>
        <v>40782</v>
      </c>
      <c r="I143" s="331">
        <f t="shared" si="2365"/>
        <v>1636</v>
      </c>
      <c r="J143" s="332">
        <f t="shared" si="1"/>
        <v>232</v>
      </c>
      <c r="K143" s="333">
        <f t="shared" ref="K143:L143" si="2366">IF(ISBLANK(M143),,M143-M142)</f>
        <v>3</v>
      </c>
      <c r="L143" s="334">
        <f t="shared" si="2366"/>
        <v>0</v>
      </c>
      <c r="M143" s="335">
        <v>3076</v>
      </c>
      <c r="N143" s="336">
        <v>152</v>
      </c>
      <c r="O143" s="337">
        <f t="shared" ref="O143:P143" si="2367">IF(ISBLANK(Q143),,Q143-Q142)</f>
        <v>0</v>
      </c>
      <c r="P143" s="338">
        <f t="shared" si="2367"/>
        <v>0</v>
      </c>
      <c r="Q143" s="335">
        <v>724</v>
      </c>
      <c r="R143" s="339">
        <v>49</v>
      </c>
      <c r="S143" s="316">
        <f t="shared" ref="S143:T143" si="2368">IF(ISBLANK(U143),,U143-U142)</f>
        <v>2</v>
      </c>
      <c r="T143" s="334">
        <f t="shared" si="2368"/>
        <v>0</v>
      </c>
      <c r="U143" s="335">
        <v>884</v>
      </c>
      <c r="V143" s="336">
        <v>20</v>
      </c>
      <c r="W143" s="337">
        <f t="shared" ref="W143:X143" si="2369">IF(ISBLANK(Y143),,Y143-Y142)</f>
        <v>9</v>
      </c>
      <c r="X143" s="334">
        <f t="shared" si="2369"/>
        <v>0</v>
      </c>
      <c r="Y143" s="335">
        <v>328</v>
      </c>
      <c r="Z143" s="340">
        <v>1</v>
      </c>
      <c r="AA143" s="316">
        <f t="shared" ref="AA143:AB143" si="2370">IF(ISBLANK(AC143),,AC143-AC142)</f>
        <v>27</v>
      </c>
      <c r="AB143" s="334">
        <f t="shared" si="2370"/>
        <v>3</v>
      </c>
      <c r="AC143" s="335">
        <v>3654</v>
      </c>
      <c r="AD143" s="336">
        <v>197</v>
      </c>
      <c r="AE143" s="337">
        <f t="shared" ref="AE143:AF143" si="2371">IF(ISBLANK(AG143),,AG143-AG142)</f>
        <v>62</v>
      </c>
      <c r="AF143" s="334">
        <f t="shared" si="2371"/>
        <v>0</v>
      </c>
      <c r="AG143" s="335">
        <v>2596</v>
      </c>
      <c r="AH143" s="339">
        <v>49</v>
      </c>
      <c r="AI143" s="316">
        <f t="shared" ref="AI143:AJ143" si="2372">IF(ISBLANK(AK143),,AK143-AK142)</f>
        <v>59</v>
      </c>
      <c r="AJ143" s="334">
        <f t="shared" si="2372"/>
        <v>4</v>
      </c>
      <c r="AK143" s="335">
        <v>5763</v>
      </c>
      <c r="AL143" s="336">
        <v>368</v>
      </c>
      <c r="AM143" s="337">
        <f t="shared" ref="AM143:AN143" si="2373">IF(ISBLANK(AO143),,AO143-AO142)</f>
        <v>4</v>
      </c>
      <c r="AN143" s="334">
        <f t="shared" si="2373"/>
        <v>0</v>
      </c>
      <c r="AO143" s="335">
        <v>1044</v>
      </c>
      <c r="AP143" s="339">
        <v>54</v>
      </c>
      <c r="AQ143" s="316">
        <f t="shared" ref="AQ143:AR143" si="2374">IF(ISBLANK(AS143),,AS143-AS142)</f>
        <v>8</v>
      </c>
      <c r="AR143" s="338">
        <f t="shared" si="2374"/>
        <v>0</v>
      </c>
      <c r="AS143" s="335">
        <v>1106</v>
      </c>
      <c r="AT143" s="336">
        <v>56</v>
      </c>
      <c r="AU143" s="337">
        <f t="shared" ref="AU143:AV143" si="2375">IF(ISBLANK(AW143),,AW143-AW142)</f>
        <v>2</v>
      </c>
      <c r="AV143" s="334">
        <f t="shared" si="2375"/>
        <v>0</v>
      </c>
      <c r="AW143" s="335">
        <v>917</v>
      </c>
      <c r="AX143" s="339">
        <v>16</v>
      </c>
      <c r="AY143" s="316">
        <f t="shared" ref="AY143:AZ143" si="2376">IF(ISBLANK(BA143),,BA143-BA142)</f>
        <v>15</v>
      </c>
      <c r="AZ143" s="334">
        <f t="shared" si="2376"/>
        <v>0</v>
      </c>
      <c r="BA143" s="335">
        <v>761</v>
      </c>
      <c r="BB143" s="336">
        <v>39</v>
      </c>
      <c r="BC143" s="337">
        <f t="shared" ref="BC143:BD143" si="2377">IF(ISBLANK(BE143),,BE143-BE142)</f>
        <v>140</v>
      </c>
      <c r="BD143" s="334">
        <f t="shared" si="2377"/>
        <v>2</v>
      </c>
      <c r="BE143" s="335">
        <v>14561</v>
      </c>
      <c r="BF143" s="339">
        <v>375</v>
      </c>
      <c r="BG143" s="316">
        <f t="shared" ref="BG143:BH143" si="2378">IF(ISBLANK(BI143),,BI143-BI142)</f>
        <v>29</v>
      </c>
      <c r="BH143" s="334">
        <f t="shared" si="2378"/>
        <v>0</v>
      </c>
      <c r="BI143" s="335">
        <v>918</v>
      </c>
      <c r="BJ143" s="336">
        <v>45</v>
      </c>
      <c r="BK143" s="337">
        <f t="shared" ref="BK143:BL143" si="2379">IF(ISBLANK(BM143),,BM143-BM142)</f>
        <v>9</v>
      </c>
      <c r="BL143" s="334">
        <f t="shared" si="2379"/>
        <v>0</v>
      </c>
      <c r="BM143" s="335">
        <v>307</v>
      </c>
      <c r="BN143" s="339">
        <v>2</v>
      </c>
      <c r="BO143" s="316">
        <f t="shared" ref="BO143:BP143" si="2380">IF(ISBLANK(BQ143),,BQ143-BQ142)</f>
        <v>23</v>
      </c>
      <c r="BP143" s="334">
        <f t="shared" si="2380"/>
        <v>0</v>
      </c>
      <c r="BQ143" s="335">
        <v>3476</v>
      </c>
      <c r="BR143" s="336">
        <v>190</v>
      </c>
      <c r="BS143" s="316">
        <f t="shared" ref="BS143:BT143" si="2381">IF(ISBLANK(BU143),,BU143-BU142)</f>
        <v>7</v>
      </c>
      <c r="BT143" s="334">
        <f t="shared" si="2381"/>
        <v>0</v>
      </c>
      <c r="BU143" s="335">
        <v>667</v>
      </c>
      <c r="BV143" s="336">
        <v>23</v>
      </c>
      <c r="BW143" s="233"/>
      <c r="BX143" s="233"/>
      <c r="BY143" s="233"/>
      <c r="BZ143" s="233"/>
      <c r="CA143" s="233"/>
      <c r="CB143" s="233"/>
      <c r="CC143" s="233"/>
      <c r="CD143" s="233"/>
      <c r="CE143" s="233"/>
    </row>
    <row r="144" spans="1:83" x14ac:dyDescent="0.25">
      <c r="A144" s="313">
        <v>44034</v>
      </c>
      <c r="B144" s="314">
        <f t="shared" si="1276"/>
        <v>141</v>
      </c>
      <c r="C144" s="315"/>
      <c r="D144" s="316">
        <v>380</v>
      </c>
      <c r="E144" s="317">
        <v>6</v>
      </c>
      <c r="F144" s="318">
        <v>31139</v>
      </c>
      <c r="G144" s="319"/>
      <c r="H144" s="330">
        <f t="shared" ref="H144:I144" si="2382">IF(ISBLANK(D144),,H143+D144)</f>
        <v>41162</v>
      </c>
      <c r="I144" s="331">
        <f t="shared" si="2382"/>
        <v>1642</v>
      </c>
      <c r="J144" s="332">
        <f t="shared" si="1"/>
        <v>368</v>
      </c>
      <c r="K144" s="333">
        <f t="shared" ref="K144:L144" si="2383">IF(ISBLANK(M144),,M144-M143)</f>
        <v>18</v>
      </c>
      <c r="L144" s="334">
        <f t="shared" si="2383"/>
        <v>0</v>
      </c>
      <c r="M144" s="335">
        <v>3094</v>
      </c>
      <c r="N144" s="336">
        <v>152</v>
      </c>
      <c r="O144" s="337">
        <f t="shared" ref="O144:P144" si="2384">IF(ISBLANK(Q144),,Q144-Q143)</f>
        <v>2</v>
      </c>
      <c r="P144" s="338">
        <f t="shared" si="2384"/>
        <v>0</v>
      </c>
      <c r="Q144" s="335">
        <v>726</v>
      </c>
      <c r="R144" s="339">
        <v>49</v>
      </c>
      <c r="S144" s="316">
        <f t="shared" ref="S144:T144" si="2385">IF(ISBLANK(U144),,U144-U143)</f>
        <v>7</v>
      </c>
      <c r="T144" s="334">
        <f t="shared" si="2385"/>
        <v>0</v>
      </c>
      <c r="U144" s="335">
        <v>891</v>
      </c>
      <c r="V144" s="336">
        <v>20</v>
      </c>
      <c r="W144" s="337">
        <f t="shared" ref="W144:X144" si="2386">IF(ISBLANK(Y144),,Y144-Y143)</f>
        <v>4</v>
      </c>
      <c r="X144" s="334">
        <f t="shared" si="2386"/>
        <v>1</v>
      </c>
      <c r="Y144" s="335">
        <v>332</v>
      </c>
      <c r="Z144" s="340">
        <v>2</v>
      </c>
      <c r="AA144" s="316">
        <f t="shared" ref="AA144:AB144" si="2387">IF(ISBLANK(AC144),,AC144-AC143)</f>
        <v>33</v>
      </c>
      <c r="AB144" s="334">
        <f t="shared" si="2387"/>
        <v>3</v>
      </c>
      <c r="AC144" s="335">
        <v>3687</v>
      </c>
      <c r="AD144" s="336">
        <v>200</v>
      </c>
      <c r="AE144" s="337">
        <f t="shared" ref="AE144:AF144" si="2388">IF(ISBLANK(AG144),,AG144-AG143)</f>
        <v>50</v>
      </c>
      <c r="AF144" s="334">
        <f t="shared" si="2388"/>
        <v>0</v>
      </c>
      <c r="AG144" s="335">
        <v>2646</v>
      </c>
      <c r="AH144" s="339">
        <v>49</v>
      </c>
      <c r="AI144" s="316">
        <f t="shared" ref="AI144:AJ144" si="2389">IF(ISBLANK(AK144),,AK144-AK143)</f>
        <v>46</v>
      </c>
      <c r="AJ144" s="334">
        <f t="shared" si="2389"/>
        <v>1</v>
      </c>
      <c r="AK144" s="335">
        <v>5809</v>
      </c>
      <c r="AL144" s="336">
        <v>369</v>
      </c>
      <c r="AM144" s="337">
        <f t="shared" ref="AM144:AN144" si="2390">IF(ISBLANK(AO144),,AO144-AO143)</f>
        <v>20</v>
      </c>
      <c r="AN144" s="334">
        <f t="shared" si="2390"/>
        <v>0</v>
      </c>
      <c r="AO144" s="335">
        <v>1064</v>
      </c>
      <c r="AP144" s="339">
        <v>54</v>
      </c>
      <c r="AQ144" s="316">
        <f t="shared" ref="AQ144:AR144" si="2391">IF(ISBLANK(AS144),,AS144-AS143)</f>
        <v>17</v>
      </c>
      <c r="AR144" s="338">
        <f t="shared" si="2391"/>
        <v>0</v>
      </c>
      <c r="AS144" s="335">
        <v>1123</v>
      </c>
      <c r="AT144" s="336">
        <v>56</v>
      </c>
      <c r="AU144" s="337">
        <f t="shared" ref="AU144:AV144" si="2392">IF(ISBLANK(AW144),,AW144-AW143)</f>
        <v>5</v>
      </c>
      <c r="AV144" s="334">
        <f t="shared" si="2392"/>
        <v>0</v>
      </c>
      <c r="AW144" s="335">
        <v>922</v>
      </c>
      <c r="AX144" s="339">
        <v>16</v>
      </c>
      <c r="AY144" s="316">
        <f t="shared" ref="AY144:AZ144" si="2393">IF(ISBLANK(BA144),,BA144-BA143)</f>
        <v>13</v>
      </c>
      <c r="AZ144" s="334">
        <f t="shared" si="2393"/>
        <v>0</v>
      </c>
      <c r="BA144" s="335">
        <v>774</v>
      </c>
      <c r="BB144" s="336">
        <v>39</v>
      </c>
      <c r="BC144" s="337">
        <f t="shared" ref="BC144:BD144" si="2394">IF(ISBLANK(BE144),,BE144-BE143)</f>
        <v>113</v>
      </c>
      <c r="BD144" s="334">
        <f t="shared" si="2394"/>
        <v>0</v>
      </c>
      <c r="BE144" s="335">
        <v>14674</v>
      </c>
      <c r="BF144" s="339">
        <v>375</v>
      </c>
      <c r="BG144" s="316">
        <f t="shared" ref="BG144:BH144" si="2395">IF(ISBLANK(BI144),,BI144-BI143)</f>
        <v>7</v>
      </c>
      <c r="BH144" s="334">
        <f t="shared" si="2395"/>
        <v>0</v>
      </c>
      <c r="BI144" s="335">
        <v>925</v>
      </c>
      <c r="BJ144" s="336">
        <v>45</v>
      </c>
      <c r="BK144" s="337">
        <f t="shared" ref="BK144:BL144" si="2396">IF(ISBLANK(BM144),,BM144-BM143)</f>
        <v>17</v>
      </c>
      <c r="BL144" s="334">
        <f t="shared" si="2396"/>
        <v>0</v>
      </c>
      <c r="BM144" s="335">
        <v>324</v>
      </c>
      <c r="BN144" s="339">
        <v>2</v>
      </c>
      <c r="BO144" s="316">
        <f t="shared" ref="BO144:BP144" si="2397">IF(ISBLANK(BQ144),,BQ144-BQ143)</f>
        <v>22</v>
      </c>
      <c r="BP144" s="334">
        <f t="shared" si="2397"/>
        <v>1</v>
      </c>
      <c r="BQ144" s="335">
        <v>3498</v>
      </c>
      <c r="BR144" s="336">
        <v>191</v>
      </c>
      <c r="BS144" s="316">
        <f t="shared" ref="BS144:BT144" si="2398">IF(ISBLANK(BU144),,BU144-BU143)</f>
        <v>6</v>
      </c>
      <c r="BT144" s="334">
        <f t="shared" si="2398"/>
        <v>0</v>
      </c>
      <c r="BU144" s="335">
        <v>673</v>
      </c>
      <c r="BV144" s="336">
        <v>23</v>
      </c>
      <c r="BW144" s="233"/>
      <c r="BX144" s="233"/>
      <c r="BY144" s="233"/>
      <c r="BZ144" s="233"/>
      <c r="CA144" s="233"/>
      <c r="CB144" s="233"/>
      <c r="CC144" s="233"/>
      <c r="CD144" s="233"/>
      <c r="CE144" s="233"/>
    </row>
    <row r="145" spans="1:83" x14ac:dyDescent="0.25">
      <c r="A145" s="313">
        <v>44035</v>
      </c>
      <c r="B145" s="314">
        <f t="shared" si="1276"/>
        <v>142</v>
      </c>
      <c r="C145" s="315"/>
      <c r="D145" s="316">
        <v>418</v>
      </c>
      <c r="E145" s="317">
        <v>9</v>
      </c>
      <c r="F145" s="318">
        <v>31541</v>
      </c>
      <c r="G145" s="319"/>
      <c r="H145" s="330">
        <f t="shared" ref="H145:I145" si="2399">IF(ISBLANK(D145),,H144+D145)</f>
        <v>41580</v>
      </c>
      <c r="I145" s="331">
        <f t="shared" si="2399"/>
        <v>1651</v>
      </c>
      <c r="J145" s="332">
        <f t="shared" si="1"/>
        <v>402</v>
      </c>
      <c r="K145" s="333">
        <f t="shared" ref="K145:L145" si="2400">IF(ISBLANK(M145),,M145-M144)</f>
        <v>7</v>
      </c>
      <c r="L145" s="334">
        <f t="shared" si="2400"/>
        <v>0</v>
      </c>
      <c r="M145" s="335">
        <v>3101</v>
      </c>
      <c r="N145" s="336">
        <v>152</v>
      </c>
      <c r="O145" s="337">
        <f t="shared" ref="O145:P145" si="2401">IF(ISBLANK(Q145),,Q145-Q144)</f>
        <v>1</v>
      </c>
      <c r="P145" s="338">
        <f t="shared" si="2401"/>
        <v>1</v>
      </c>
      <c r="Q145" s="335">
        <v>727</v>
      </c>
      <c r="R145" s="339">
        <v>50</v>
      </c>
      <c r="S145" s="316">
        <f t="shared" ref="S145:T145" si="2402">IF(ISBLANK(U145),,U145-U144)</f>
        <v>1</v>
      </c>
      <c r="T145" s="334">
        <f t="shared" si="2402"/>
        <v>0</v>
      </c>
      <c r="U145" s="335">
        <v>892</v>
      </c>
      <c r="V145" s="336">
        <v>20</v>
      </c>
      <c r="W145" s="337">
        <f t="shared" ref="W145:X145" si="2403">IF(ISBLANK(Y145),,Y145-Y144)</f>
        <v>9</v>
      </c>
      <c r="X145" s="334">
        <f t="shared" si="2403"/>
        <v>1</v>
      </c>
      <c r="Y145" s="335">
        <v>341</v>
      </c>
      <c r="Z145" s="340">
        <v>3</v>
      </c>
      <c r="AA145" s="316">
        <f t="shared" ref="AA145:AB145" si="2404">IF(ISBLANK(AC145),,AC145-AC144)</f>
        <v>33</v>
      </c>
      <c r="AB145" s="334">
        <f t="shared" si="2404"/>
        <v>2</v>
      </c>
      <c r="AC145" s="335">
        <v>3720</v>
      </c>
      <c r="AD145" s="336">
        <v>202</v>
      </c>
      <c r="AE145" s="337">
        <f t="shared" ref="AE145:AF145" si="2405">IF(ISBLANK(AG145),,AG145-AG144)</f>
        <v>75</v>
      </c>
      <c r="AF145" s="334">
        <f t="shared" si="2405"/>
        <v>0</v>
      </c>
      <c r="AG145" s="335">
        <v>2721</v>
      </c>
      <c r="AH145" s="339">
        <v>49</v>
      </c>
      <c r="AI145" s="316">
        <f t="shared" ref="AI145:AJ145" si="2406">IF(ISBLANK(AK145),,AK145-AK144)</f>
        <v>104</v>
      </c>
      <c r="AJ145" s="334">
        <f t="shared" si="2406"/>
        <v>0</v>
      </c>
      <c r="AK145" s="335">
        <v>5913</v>
      </c>
      <c r="AL145" s="336">
        <v>369</v>
      </c>
      <c r="AM145" s="337">
        <f t="shared" ref="AM145:AN145" si="2407">IF(ISBLANK(AO145),,AO145-AO144)</f>
        <v>21</v>
      </c>
      <c r="AN145" s="334">
        <f t="shared" si="2407"/>
        <v>0</v>
      </c>
      <c r="AO145" s="335">
        <v>1085</v>
      </c>
      <c r="AP145" s="339">
        <v>54</v>
      </c>
      <c r="AQ145" s="316">
        <f t="shared" ref="AQ145:AR145" si="2408">IF(ISBLANK(AS145),,AS145-AS144)</f>
        <v>20</v>
      </c>
      <c r="AR145" s="338">
        <f t="shared" si="2408"/>
        <v>1</v>
      </c>
      <c r="AS145" s="335">
        <v>1143</v>
      </c>
      <c r="AT145" s="336">
        <v>57</v>
      </c>
      <c r="AU145" s="337">
        <f t="shared" ref="AU145:AV145" si="2409">IF(ISBLANK(AW145),,AW145-AW144)</f>
        <v>2</v>
      </c>
      <c r="AV145" s="334">
        <f t="shared" si="2409"/>
        <v>0</v>
      </c>
      <c r="AW145" s="335">
        <v>924</v>
      </c>
      <c r="AX145" s="339">
        <v>16</v>
      </c>
      <c r="AY145" s="316">
        <f t="shared" ref="AY145:AZ145" si="2410">IF(ISBLANK(BA145),,BA145-BA144)</f>
        <v>4</v>
      </c>
      <c r="AZ145" s="334">
        <f t="shared" si="2410"/>
        <v>0</v>
      </c>
      <c r="BA145" s="335">
        <v>778</v>
      </c>
      <c r="BB145" s="336">
        <v>39</v>
      </c>
      <c r="BC145" s="337">
        <f t="shared" ref="BC145:BD145" si="2411">IF(ISBLANK(BE145),,BE145-BE144)</f>
        <v>110</v>
      </c>
      <c r="BD145" s="334">
        <f t="shared" si="2411"/>
        <v>4</v>
      </c>
      <c r="BE145" s="335">
        <v>14784</v>
      </c>
      <c r="BF145" s="339">
        <v>379</v>
      </c>
      <c r="BG145" s="316">
        <f t="shared" ref="BG145:BH145" si="2412">IF(ISBLANK(BI145),,BI145-BI144)</f>
        <v>4</v>
      </c>
      <c r="BH145" s="334">
        <f t="shared" si="2412"/>
        <v>0</v>
      </c>
      <c r="BI145" s="335">
        <v>929</v>
      </c>
      <c r="BJ145" s="336">
        <v>45</v>
      </c>
      <c r="BK145" s="337">
        <f t="shared" ref="BK145:BL145" si="2413">IF(ISBLANK(BM145),,BM145-BM144)</f>
        <v>2</v>
      </c>
      <c r="BL145" s="334">
        <f t="shared" si="2413"/>
        <v>0</v>
      </c>
      <c r="BM145" s="335">
        <v>326</v>
      </c>
      <c r="BN145" s="339">
        <v>2</v>
      </c>
      <c r="BO145" s="316">
        <f t="shared" ref="BO145:BP145" si="2414">IF(ISBLANK(BQ145),,BQ145-BQ144)</f>
        <v>15</v>
      </c>
      <c r="BP145" s="334">
        <f t="shared" si="2414"/>
        <v>0</v>
      </c>
      <c r="BQ145" s="335">
        <v>3513</v>
      </c>
      <c r="BR145" s="336">
        <v>191</v>
      </c>
      <c r="BS145" s="316">
        <f t="shared" ref="BS145:BT145" si="2415">IF(ISBLANK(BU145),,BU145-BU144)</f>
        <v>10</v>
      </c>
      <c r="BT145" s="334">
        <f t="shared" si="2415"/>
        <v>0</v>
      </c>
      <c r="BU145" s="335">
        <v>683</v>
      </c>
      <c r="BV145" s="336">
        <v>23</v>
      </c>
      <c r="BW145" s="233"/>
      <c r="BX145" s="233"/>
      <c r="BY145" s="233"/>
      <c r="BZ145" s="233"/>
      <c r="CA145" s="233"/>
      <c r="CB145" s="233"/>
      <c r="CC145" s="233"/>
      <c r="CD145" s="233"/>
      <c r="CE145" s="233"/>
    </row>
    <row r="146" spans="1:83" x14ac:dyDescent="0.25">
      <c r="A146" s="313">
        <v>44036</v>
      </c>
      <c r="B146" s="314">
        <f t="shared" si="1276"/>
        <v>143</v>
      </c>
      <c r="C146" s="315"/>
      <c r="D146" s="316">
        <v>458</v>
      </c>
      <c r="E146" s="317">
        <v>4</v>
      </c>
      <c r="F146" s="318">
        <v>31997</v>
      </c>
      <c r="G146" s="319"/>
      <c r="H146" s="330">
        <f t="shared" ref="H146:I146" si="2416">IF(ISBLANK(D146),,H145+D146)</f>
        <v>42038</v>
      </c>
      <c r="I146" s="331">
        <f t="shared" si="2416"/>
        <v>1655</v>
      </c>
      <c r="J146" s="332">
        <f t="shared" si="1"/>
        <v>456</v>
      </c>
      <c r="K146" s="333">
        <f t="shared" ref="K146:L146" si="2417">IF(ISBLANK(M146),,M146-M145)</f>
        <v>29</v>
      </c>
      <c r="L146" s="334">
        <f t="shared" si="2417"/>
        <v>0</v>
      </c>
      <c r="M146" s="335">
        <v>3130</v>
      </c>
      <c r="N146" s="336">
        <v>152</v>
      </c>
      <c r="O146" s="337">
        <f t="shared" ref="O146:P146" si="2418">IF(ISBLANK(Q146),,Q146-Q145)</f>
        <v>9</v>
      </c>
      <c r="P146" s="338">
        <f t="shared" si="2418"/>
        <v>0</v>
      </c>
      <c r="Q146" s="335">
        <v>736</v>
      </c>
      <c r="R146" s="339">
        <v>50</v>
      </c>
      <c r="S146" s="316">
        <f t="shared" ref="S146:T146" si="2419">IF(ISBLANK(U146),,U146-U145)</f>
        <v>7</v>
      </c>
      <c r="T146" s="334">
        <f t="shared" si="2419"/>
        <v>0</v>
      </c>
      <c r="U146" s="335">
        <v>899</v>
      </c>
      <c r="V146" s="336">
        <v>20</v>
      </c>
      <c r="W146" s="337">
        <f t="shared" ref="W146:X146" si="2420">IF(ISBLANK(Y146),,Y146-Y145)</f>
        <v>9</v>
      </c>
      <c r="X146" s="334">
        <f t="shared" si="2420"/>
        <v>3</v>
      </c>
      <c r="Y146" s="335">
        <v>350</v>
      </c>
      <c r="Z146" s="340">
        <v>6</v>
      </c>
      <c r="AA146" s="316">
        <f t="shared" ref="AA146:AB146" si="2421">IF(ISBLANK(AC146),,AC146-AC145)</f>
        <v>29</v>
      </c>
      <c r="AB146" s="334">
        <f t="shared" si="2421"/>
        <v>0</v>
      </c>
      <c r="AC146" s="335">
        <v>3749</v>
      </c>
      <c r="AD146" s="336">
        <v>202</v>
      </c>
      <c r="AE146" s="337">
        <f t="shared" ref="AE146:AF146" si="2422">IF(ISBLANK(AG146),,AG146-AG145)</f>
        <v>99</v>
      </c>
      <c r="AF146" s="334">
        <f t="shared" si="2422"/>
        <v>0</v>
      </c>
      <c r="AG146" s="335">
        <v>2820</v>
      </c>
      <c r="AH146" s="339">
        <v>49</v>
      </c>
      <c r="AI146" s="316">
        <f t="shared" ref="AI146:AJ146" si="2423">IF(ISBLANK(AK146),,AK146-AK145)</f>
        <v>32</v>
      </c>
      <c r="AJ146" s="334">
        <f t="shared" si="2423"/>
        <v>0</v>
      </c>
      <c r="AK146" s="335">
        <v>5945</v>
      </c>
      <c r="AL146" s="336">
        <v>369</v>
      </c>
      <c r="AM146" s="337">
        <f t="shared" ref="AM146:AN146" si="2424">IF(ISBLANK(AO146),,AO146-AO145)</f>
        <v>8</v>
      </c>
      <c r="AN146" s="334">
        <f t="shared" si="2424"/>
        <v>0</v>
      </c>
      <c r="AO146" s="335">
        <v>1093</v>
      </c>
      <c r="AP146" s="339">
        <v>54</v>
      </c>
      <c r="AQ146" s="316">
        <f t="shared" ref="AQ146:AR146" si="2425">IF(ISBLANK(AS146),,AS146-AS145)</f>
        <v>7</v>
      </c>
      <c r="AR146" s="338">
        <f t="shared" si="2425"/>
        <v>0</v>
      </c>
      <c r="AS146" s="335">
        <v>1150</v>
      </c>
      <c r="AT146" s="336">
        <v>57</v>
      </c>
      <c r="AU146" s="337">
        <f t="shared" ref="AU146:AV146" si="2426">IF(ISBLANK(AW146),,AW146-AW145)</f>
        <v>5</v>
      </c>
      <c r="AV146" s="334">
        <f t="shared" si="2426"/>
        <v>0</v>
      </c>
      <c r="AW146" s="335">
        <v>929</v>
      </c>
      <c r="AX146" s="339">
        <v>16</v>
      </c>
      <c r="AY146" s="316">
        <f t="shared" ref="AY146:AZ146" si="2427">IF(ISBLANK(BA146),,BA146-BA145)</f>
        <v>9</v>
      </c>
      <c r="AZ146" s="334">
        <f t="shared" si="2427"/>
        <v>0</v>
      </c>
      <c r="BA146" s="335">
        <v>787</v>
      </c>
      <c r="BB146" s="336">
        <v>39</v>
      </c>
      <c r="BC146" s="337">
        <f t="shared" ref="BC146:BD146" si="2428">IF(ISBLANK(BE146),,BE146-BE145)</f>
        <v>184</v>
      </c>
      <c r="BD146" s="334">
        <f t="shared" si="2428"/>
        <v>1</v>
      </c>
      <c r="BE146" s="335">
        <v>14968</v>
      </c>
      <c r="BF146" s="339">
        <v>380</v>
      </c>
      <c r="BG146" s="316">
        <f t="shared" ref="BG146:BH146" si="2429">IF(ISBLANK(BI146),,BI146-BI145)</f>
        <v>8</v>
      </c>
      <c r="BH146" s="334">
        <f t="shared" si="2429"/>
        <v>0</v>
      </c>
      <c r="BI146" s="335">
        <v>937</v>
      </c>
      <c r="BJ146" s="336">
        <v>45</v>
      </c>
      <c r="BK146" s="337">
        <f t="shared" ref="BK146:BL146" si="2430">IF(ISBLANK(BM146),,BM146-BM145)</f>
        <v>6</v>
      </c>
      <c r="BL146" s="334">
        <f t="shared" si="2430"/>
        <v>0</v>
      </c>
      <c r="BM146" s="335">
        <v>332</v>
      </c>
      <c r="BN146" s="339">
        <v>2</v>
      </c>
      <c r="BO146" s="316">
        <f t="shared" ref="BO146:BP146" si="2431">IF(ISBLANK(BQ146),,BQ146-BQ145)</f>
        <v>13</v>
      </c>
      <c r="BP146" s="334">
        <f t="shared" si="2431"/>
        <v>0</v>
      </c>
      <c r="BQ146" s="335">
        <v>3526</v>
      </c>
      <c r="BR146" s="336">
        <v>191</v>
      </c>
      <c r="BS146" s="316">
        <f t="shared" ref="BS146:BT146" si="2432">IF(ISBLANK(BU146),,BU146-BU145)</f>
        <v>4</v>
      </c>
      <c r="BT146" s="334">
        <f t="shared" si="2432"/>
        <v>0</v>
      </c>
      <c r="BU146" s="335">
        <v>687</v>
      </c>
      <c r="BV146" s="336">
        <v>23</v>
      </c>
      <c r="BW146" s="233"/>
      <c r="BX146" s="233"/>
      <c r="BY146" s="233"/>
      <c r="BZ146" s="233"/>
      <c r="CA146" s="233"/>
      <c r="CB146" s="233"/>
      <c r="CC146" s="233"/>
      <c r="CD146" s="233"/>
      <c r="CE146" s="233"/>
    </row>
    <row r="147" spans="1:83" x14ac:dyDescent="0.25">
      <c r="A147" s="313">
        <v>44037</v>
      </c>
      <c r="B147" s="314">
        <f t="shared" si="1276"/>
        <v>144</v>
      </c>
      <c r="C147" s="315"/>
      <c r="D147" s="316">
        <v>584</v>
      </c>
      <c r="E147" s="317">
        <v>9</v>
      </c>
      <c r="F147" s="318">
        <v>32419</v>
      </c>
      <c r="G147" s="319"/>
      <c r="H147" s="330">
        <f t="shared" ref="H147:I147" si="2433">IF(ISBLANK(D147),,H146+D147)</f>
        <v>42622</v>
      </c>
      <c r="I147" s="331">
        <f t="shared" si="2433"/>
        <v>1664</v>
      </c>
      <c r="J147" s="332">
        <f t="shared" si="1"/>
        <v>422</v>
      </c>
      <c r="K147" s="333">
        <f t="shared" ref="K147:L147" si="2434">IF(ISBLANK(M147),,M147-M146)</f>
        <v>21</v>
      </c>
      <c r="L147" s="334">
        <f t="shared" si="2434"/>
        <v>0</v>
      </c>
      <c r="M147" s="335">
        <v>3151</v>
      </c>
      <c r="N147" s="336">
        <v>152</v>
      </c>
      <c r="O147" s="337">
        <f t="shared" ref="O147:P147" si="2435">IF(ISBLANK(Q147),,Q147-Q146)</f>
        <v>3</v>
      </c>
      <c r="P147" s="338">
        <f t="shared" si="2435"/>
        <v>0</v>
      </c>
      <c r="Q147" s="335">
        <v>739</v>
      </c>
      <c r="R147" s="339">
        <v>50</v>
      </c>
      <c r="S147" s="316">
        <f t="shared" ref="S147:T147" si="2436">IF(ISBLANK(U147),,U147-U146)</f>
        <v>12</v>
      </c>
      <c r="T147" s="334">
        <f t="shared" si="2436"/>
        <v>0</v>
      </c>
      <c r="U147" s="335">
        <v>911</v>
      </c>
      <c r="V147" s="336">
        <v>20</v>
      </c>
      <c r="W147" s="337">
        <f t="shared" ref="W147:X147" si="2437">IF(ISBLANK(Y147),,Y147-Y146)</f>
        <v>7</v>
      </c>
      <c r="X147" s="334">
        <f t="shared" si="2437"/>
        <v>1</v>
      </c>
      <c r="Y147" s="335">
        <v>357</v>
      </c>
      <c r="Z147" s="340">
        <v>7</v>
      </c>
      <c r="AA147" s="316">
        <f t="shared" ref="AA147:AB147" si="2438">IF(ISBLANK(AC147),,AC147-AC146)</f>
        <v>32</v>
      </c>
      <c r="AB147" s="334">
        <f t="shared" si="2438"/>
        <v>2</v>
      </c>
      <c r="AC147" s="335">
        <v>3781</v>
      </c>
      <c r="AD147" s="336">
        <v>204</v>
      </c>
      <c r="AE147" s="337">
        <f t="shared" ref="AE147:AF147" si="2439">IF(ISBLANK(AG147),,AG147-AG146)</f>
        <v>142</v>
      </c>
      <c r="AF147" s="334">
        <f t="shared" si="2439"/>
        <v>1</v>
      </c>
      <c r="AG147" s="335">
        <v>2962</v>
      </c>
      <c r="AH147" s="339">
        <v>50</v>
      </c>
      <c r="AI147" s="316">
        <f t="shared" ref="AI147:AJ147" si="2440">IF(ISBLANK(AK147),,AK147-AK146)</f>
        <v>62</v>
      </c>
      <c r="AJ147" s="334">
        <f t="shared" si="2440"/>
        <v>0</v>
      </c>
      <c r="AK147" s="335">
        <v>6007</v>
      </c>
      <c r="AL147" s="336">
        <v>369</v>
      </c>
      <c r="AM147" s="337">
        <f t="shared" ref="AM147:AN147" si="2441">IF(ISBLANK(AO147),,AO147-AO146)</f>
        <v>20</v>
      </c>
      <c r="AN147" s="334">
        <f t="shared" si="2441"/>
        <v>0</v>
      </c>
      <c r="AO147" s="335">
        <v>1113</v>
      </c>
      <c r="AP147" s="339">
        <v>54</v>
      </c>
      <c r="AQ147" s="316">
        <f t="shared" ref="AQ147:AR147" si="2442">IF(ISBLANK(AS147),,AS147-AS146)</f>
        <v>21</v>
      </c>
      <c r="AR147" s="338">
        <f t="shared" si="2442"/>
        <v>0</v>
      </c>
      <c r="AS147" s="335">
        <v>1171</v>
      </c>
      <c r="AT147" s="336">
        <v>57</v>
      </c>
      <c r="AU147" s="337">
        <f t="shared" ref="AU147:AV147" si="2443">IF(ISBLANK(AW147),,AW147-AW146)</f>
        <v>9</v>
      </c>
      <c r="AV147" s="334">
        <f t="shared" si="2443"/>
        <v>2</v>
      </c>
      <c r="AW147" s="335">
        <v>938</v>
      </c>
      <c r="AX147" s="339">
        <v>18</v>
      </c>
      <c r="AY147" s="316">
        <f t="shared" ref="AY147:AZ147" si="2444">IF(ISBLANK(BA147),,BA147-BA146)</f>
        <v>23</v>
      </c>
      <c r="AZ147" s="334">
        <f t="shared" si="2444"/>
        <v>0</v>
      </c>
      <c r="BA147" s="335">
        <v>810</v>
      </c>
      <c r="BB147" s="336">
        <v>39</v>
      </c>
      <c r="BC147" s="337">
        <f t="shared" ref="BC147:BD147" si="2445">IF(ISBLANK(BE147),,BE147-BE146)</f>
        <v>188</v>
      </c>
      <c r="BD147" s="334">
        <f t="shared" si="2445"/>
        <v>2</v>
      </c>
      <c r="BE147" s="335">
        <v>15156</v>
      </c>
      <c r="BF147" s="339">
        <v>382</v>
      </c>
      <c r="BG147" s="316">
        <f t="shared" ref="BG147:BH147" si="2446">IF(ISBLANK(BI147),,BI147-BI146)</f>
        <v>7</v>
      </c>
      <c r="BH147" s="334">
        <f t="shared" si="2446"/>
        <v>0</v>
      </c>
      <c r="BI147" s="335">
        <v>944</v>
      </c>
      <c r="BJ147" s="336">
        <v>45</v>
      </c>
      <c r="BK147" s="337">
        <f t="shared" ref="BK147:BL147" si="2447">IF(ISBLANK(BM147),,BM147-BM146)</f>
        <v>2</v>
      </c>
      <c r="BL147" s="334">
        <f t="shared" si="2447"/>
        <v>0</v>
      </c>
      <c r="BM147" s="335">
        <v>334</v>
      </c>
      <c r="BN147" s="339">
        <v>2</v>
      </c>
      <c r="BO147" s="316">
        <f t="shared" ref="BO147:BP147" si="2448">IF(ISBLANK(BQ147),,BQ147-BQ146)</f>
        <v>34</v>
      </c>
      <c r="BP147" s="334">
        <f t="shared" si="2448"/>
        <v>1</v>
      </c>
      <c r="BQ147" s="335">
        <v>3560</v>
      </c>
      <c r="BR147" s="336">
        <v>192</v>
      </c>
      <c r="BS147" s="316">
        <f t="shared" ref="BS147:BT147" si="2449">IF(ISBLANK(BU147),,BU147-BU146)</f>
        <v>1</v>
      </c>
      <c r="BT147" s="334">
        <f t="shared" si="2449"/>
        <v>0</v>
      </c>
      <c r="BU147" s="335">
        <v>688</v>
      </c>
      <c r="BV147" s="336">
        <v>23</v>
      </c>
      <c r="BW147" s="233"/>
      <c r="BX147" s="233"/>
      <c r="BY147" s="233"/>
      <c r="BZ147" s="233"/>
      <c r="CA147" s="233"/>
      <c r="CB147" s="233"/>
      <c r="CC147" s="233"/>
      <c r="CD147" s="233"/>
      <c r="CE147" s="233"/>
    </row>
    <row r="148" spans="1:83" x14ac:dyDescent="0.25">
      <c r="A148" s="313">
        <v>44038</v>
      </c>
      <c r="B148" s="314">
        <f t="shared" si="1276"/>
        <v>145</v>
      </c>
      <c r="C148" s="315"/>
      <c r="D148" s="316">
        <v>443</v>
      </c>
      <c r="E148" s="317">
        <v>7</v>
      </c>
      <c r="F148" s="318">
        <v>32753</v>
      </c>
      <c r="G148" s="319"/>
      <c r="H148" s="330">
        <f t="shared" ref="H148:I148" si="2450">IF(ISBLANK(D148),,H147+D148)</f>
        <v>43065</v>
      </c>
      <c r="I148" s="331">
        <f t="shared" si="2450"/>
        <v>1671</v>
      </c>
      <c r="J148" s="332">
        <f t="shared" si="1"/>
        <v>334</v>
      </c>
      <c r="K148" s="333">
        <f t="shared" ref="K148:L148" si="2451">IF(ISBLANK(M148),,M148-M147)</f>
        <v>10</v>
      </c>
      <c r="L148" s="334">
        <f t="shared" si="2451"/>
        <v>1</v>
      </c>
      <c r="M148" s="335">
        <v>3161</v>
      </c>
      <c r="N148" s="336">
        <v>153</v>
      </c>
      <c r="O148" s="337">
        <f t="shared" ref="O148:P148" si="2452">IF(ISBLANK(Q148),,Q148-Q147)</f>
        <v>10</v>
      </c>
      <c r="P148" s="338">
        <f t="shared" si="2452"/>
        <v>0</v>
      </c>
      <c r="Q148" s="335">
        <v>749</v>
      </c>
      <c r="R148" s="339">
        <v>50</v>
      </c>
      <c r="S148" s="316">
        <f t="shared" ref="S148:T148" si="2453">IF(ISBLANK(U148),,U148-U147)</f>
        <v>13</v>
      </c>
      <c r="T148" s="334">
        <f t="shared" si="2453"/>
        <v>0</v>
      </c>
      <c r="U148" s="335">
        <v>924</v>
      </c>
      <c r="V148" s="336">
        <v>20</v>
      </c>
      <c r="W148" s="337">
        <f t="shared" ref="W148:X148" si="2454">IF(ISBLANK(Y148),,Y148-Y147)</f>
        <v>5</v>
      </c>
      <c r="X148" s="334">
        <f t="shared" si="2454"/>
        <v>0</v>
      </c>
      <c r="Y148" s="335">
        <v>362</v>
      </c>
      <c r="Z148" s="340">
        <v>7</v>
      </c>
      <c r="AA148" s="316">
        <f t="shared" ref="AA148:AB148" si="2455">IF(ISBLANK(AC148),,AC148-AC147)</f>
        <v>22</v>
      </c>
      <c r="AB148" s="334">
        <f t="shared" si="2455"/>
        <v>0</v>
      </c>
      <c r="AC148" s="335">
        <v>3803</v>
      </c>
      <c r="AD148" s="336">
        <v>204</v>
      </c>
      <c r="AE148" s="337">
        <f t="shared" ref="AE148:AF148" si="2456">IF(ISBLANK(AG148),,AG148-AG147)</f>
        <v>109</v>
      </c>
      <c r="AF148" s="334">
        <f t="shared" si="2456"/>
        <v>1</v>
      </c>
      <c r="AG148" s="335">
        <v>3071</v>
      </c>
      <c r="AH148" s="339">
        <v>51</v>
      </c>
      <c r="AI148" s="316">
        <f t="shared" ref="AI148:AJ148" si="2457">IF(ISBLANK(AK148),,AK148-AK147)</f>
        <v>54</v>
      </c>
      <c r="AJ148" s="334">
        <f t="shared" si="2457"/>
        <v>1</v>
      </c>
      <c r="AK148" s="335">
        <v>6061</v>
      </c>
      <c r="AL148" s="336">
        <v>370</v>
      </c>
      <c r="AM148" s="337">
        <f t="shared" ref="AM148:AN148" si="2458">IF(ISBLANK(AO148),,AO148-AO147)</f>
        <v>16</v>
      </c>
      <c r="AN148" s="334">
        <f t="shared" si="2458"/>
        <v>0</v>
      </c>
      <c r="AO148" s="335">
        <v>1129</v>
      </c>
      <c r="AP148" s="339">
        <v>54</v>
      </c>
      <c r="AQ148" s="316">
        <f t="shared" ref="AQ148:AR148" si="2459">IF(ISBLANK(AS148),,AS148-AS147)</f>
        <v>12</v>
      </c>
      <c r="AR148" s="338">
        <f t="shared" si="2459"/>
        <v>1</v>
      </c>
      <c r="AS148" s="335">
        <v>1183</v>
      </c>
      <c r="AT148" s="336">
        <v>58</v>
      </c>
      <c r="AU148" s="337">
        <f t="shared" ref="AU148:AV148" si="2460">IF(ISBLANK(AW148),,AW148-AW147)</f>
        <v>2</v>
      </c>
      <c r="AV148" s="334">
        <f t="shared" si="2460"/>
        <v>0</v>
      </c>
      <c r="AW148" s="335">
        <v>940</v>
      </c>
      <c r="AX148" s="339">
        <v>18</v>
      </c>
      <c r="AY148" s="316">
        <f t="shared" ref="AY148:AZ148" si="2461">IF(ISBLANK(BA148),,BA148-BA147)</f>
        <v>19</v>
      </c>
      <c r="AZ148" s="334">
        <f t="shared" si="2461"/>
        <v>0</v>
      </c>
      <c r="BA148" s="335">
        <v>829</v>
      </c>
      <c r="BB148" s="336">
        <v>39</v>
      </c>
      <c r="BC148" s="337">
        <f t="shared" ref="BC148:BD148" si="2462">IF(ISBLANK(BE148),,BE148-BE147)</f>
        <v>133</v>
      </c>
      <c r="BD148" s="334">
        <f t="shared" si="2462"/>
        <v>2</v>
      </c>
      <c r="BE148" s="335">
        <v>15289</v>
      </c>
      <c r="BF148" s="339">
        <v>384</v>
      </c>
      <c r="BG148" s="316">
        <f t="shared" ref="BG148:BH148" si="2463">IF(ISBLANK(BI148),,BI148-BI147)</f>
        <v>3</v>
      </c>
      <c r="BH148" s="334">
        <f t="shared" si="2463"/>
        <v>0</v>
      </c>
      <c r="BI148" s="335">
        <v>947</v>
      </c>
      <c r="BJ148" s="336">
        <v>45</v>
      </c>
      <c r="BK148" s="337">
        <f t="shared" ref="BK148:BL148" si="2464">IF(ISBLANK(BM148),,BM148-BM147)</f>
        <v>4</v>
      </c>
      <c r="BL148" s="334">
        <f t="shared" si="2464"/>
        <v>0</v>
      </c>
      <c r="BM148" s="335">
        <v>338</v>
      </c>
      <c r="BN148" s="339">
        <v>2</v>
      </c>
      <c r="BO148" s="316">
        <f t="shared" ref="BO148:BP148" si="2465">IF(ISBLANK(BQ148),,BQ148-BQ147)</f>
        <v>24</v>
      </c>
      <c r="BP148" s="334">
        <f t="shared" si="2465"/>
        <v>1</v>
      </c>
      <c r="BQ148" s="335">
        <v>3584</v>
      </c>
      <c r="BR148" s="336">
        <v>193</v>
      </c>
      <c r="BS148" s="316">
        <f t="shared" ref="BS148:BT148" si="2466">IF(ISBLANK(BU148),,BU148-BU147)</f>
        <v>7</v>
      </c>
      <c r="BT148" s="334">
        <f t="shared" si="2466"/>
        <v>0</v>
      </c>
      <c r="BU148" s="335">
        <v>695</v>
      </c>
      <c r="BV148" s="336">
        <v>23</v>
      </c>
      <c r="BW148" s="233"/>
      <c r="BX148" s="233"/>
      <c r="BY148" s="233"/>
      <c r="BZ148" s="233"/>
      <c r="CA148" s="233"/>
      <c r="CB148" s="233"/>
      <c r="CC148" s="233"/>
      <c r="CD148" s="233"/>
      <c r="CE148" s="233"/>
    </row>
    <row r="149" spans="1:83" x14ac:dyDescent="0.25">
      <c r="A149" s="313">
        <v>44039</v>
      </c>
      <c r="B149" s="314">
        <f t="shared" si="1276"/>
        <v>146</v>
      </c>
      <c r="C149" s="315"/>
      <c r="D149" s="316">
        <v>337</v>
      </c>
      <c r="E149" s="317">
        <v>5</v>
      </c>
      <c r="F149" s="318">
        <v>32856</v>
      </c>
      <c r="G149" s="319"/>
      <c r="H149" s="330">
        <f t="shared" ref="H149:I149" si="2467">IF(ISBLANK(D149),,H148+D149)</f>
        <v>43402</v>
      </c>
      <c r="I149" s="331">
        <f t="shared" si="2467"/>
        <v>1676</v>
      </c>
      <c r="J149" s="332">
        <f t="shared" si="1"/>
        <v>103</v>
      </c>
      <c r="K149" s="333">
        <f t="shared" ref="K149:L149" si="2468">IF(ISBLANK(M149),,M149-M148)</f>
        <v>9</v>
      </c>
      <c r="L149" s="334">
        <f t="shared" si="2468"/>
        <v>0</v>
      </c>
      <c r="M149" s="335">
        <v>3170</v>
      </c>
      <c r="N149" s="336">
        <v>153</v>
      </c>
      <c r="O149" s="337">
        <f t="shared" ref="O149:P149" si="2469">IF(ISBLANK(Q149),,Q149-Q148)</f>
        <v>1</v>
      </c>
      <c r="P149" s="338">
        <f t="shared" si="2469"/>
        <v>0</v>
      </c>
      <c r="Q149" s="335">
        <v>750</v>
      </c>
      <c r="R149" s="339">
        <v>50</v>
      </c>
      <c r="S149" s="316">
        <f t="shared" ref="S149:T149" si="2470">IF(ISBLANK(U149),,U149-U148)</f>
        <v>3</v>
      </c>
      <c r="T149" s="334">
        <f t="shared" si="2470"/>
        <v>0</v>
      </c>
      <c r="U149" s="335">
        <v>927</v>
      </c>
      <c r="V149" s="336">
        <v>20</v>
      </c>
      <c r="W149" s="337">
        <f t="shared" ref="W149:X149" si="2471">IF(ISBLANK(Y149),,Y149-Y148)</f>
        <v>4</v>
      </c>
      <c r="X149" s="334">
        <f t="shared" si="2471"/>
        <v>1</v>
      </c>
      <c r="Y149" s="335">
        <v>366</v>
      </c>
      <c r="Z149" s="340">
        <v>8</v>
      </c>
      <c r="AA149" s="316">
        <f t="shared" ref="AA149:AB149" si="2472">IF(ISBLANK(AC149),,AC149-AC148)</f>
        <v>18</v>
      </c>
      <c r="AB149" s="334">
        <f t="shared" si="2472"/>
        <v>0</v>
      </c>
      <c r="AC149" s="335">
        <v>3821</v>
      </c>
      <c r="AD149" s="336">
        <v>204</v>
      </c>
      <c r="AE149" s="337">
        <f t="shared" ref="AE149:AF149" si="2473">IF(ISBLANK(AG149),,AG149-AG148)</f>
        <v>61</v>
      </c>
      <c r="AF149" s="334">
        <f t="shared" si="2473"/>
        <v>1</v>
      </c>
      <c r="AG149" s="335">
        <v>3132</v>
      </c>
      <c r="AH149" s="339">
        <v>52</v>
      </c>
      <c r="AI149" s="316">
        <f t="shared" ref="AI149:AJ149" si="2474">IF(ISBLANK(AK149),,AK149-AK148)</f>
        <v>58</v>
      </c>
      <c r="AJ149" s="334">
        <f t="shared" si="2474"/>
        <v>0</v>
      </c>
      <c r="AK149" s="335">
        <v>6119</v>
      </c>
      <c r="AL149" s="336">
        <v>370</v>
      </c>
      <c r="AM149" s="337">
        <f t="shared" ref="AM149:AN149" si="2475">IF(ISBLANK(AO149),,AO149-AO148)</f>
        <v>1</v>
      </c>
      <c r="AN149" s="334">
        <f t="shared" si="2475"/>
        <v>0</v>
      </c>
      <c r="AO149" s="335">
        <v>1130</v>
      </c>
      <c r="AP149" s="339">
        <v>54</v>
      </c>
      <c r="AQ149" s="316">
        <f t="shared" ref="AQ149:AR149" si="2476">IF(ISBLANK(AS149),,AS149-AS148)</f>
        <v>6</v>
      </c>
      <c r="AR149" s="338">
        <f t="shared" si="2476"/>
        <v>1</v>
      </c>
      <c r="AS149" s="335">
        <v>1189</v>
      </c>
      <c r="AT149" s="336">
        <v>59</v>
      </c>
      <c r="AU149" s="337">
        <f t="shared" ref="AU149:AV149" si="2477">IF(ISBLANK(AW149),,AW149-AW148)</f>
        <v>7</v>
      </c>
      <c r="AV149" s="334">
        <f t="shared" si="2477"/>
        <v>0</v>
      </c>
      <c r="AW149" s="335">
        <v>947</v>
      </c>
      <c r="AX149" s="339">
        <v>18</v>
      </c>
      <c r="AY149" s="316">
        <f t="shared" ref="AY149:AZ149" si="2478">IF(ISBLANK(BA149),,BA149-BA148)</f>
        <v>3</v>
      </c>
      <c r="AZ149" s="334">
        <f t="shared" si="2478"/>
        <v>0</v>
      </c>
      <c r="BA149" s="335">
        <v>832</v>
      </c>
      <c r="BB149" s="336">
        <v>39</v>
      </c>
      <c r="BC149" s="337">
        <f t="shared" ref="BC149:BD149" si="2479">IF(ISBLANK(BE149),,BE149-BE148)</f>
        <v>150</v>
      </c>
      <c r="BD149" s="334">
        <f t="shared" si="2479"/>
        <v>0</v>
      </c>
      <c r="BE149" s="335">
        <v>15439</v>
      </c>
      <c r="BF149" s="339">
        <v>384</v>
      </c>
      <c r="BG149" s="316">
        <f t="shared" ref="BG149:BH149" si="2480">IF(ISBLANK(BI149),,BI149-BI148)</f>
        <v>2</v>
      </c>
      <c r="BH149" s="334">
        <f t="shared" si="2480"/>
        <v>0</v>
      </c>
      <c r="BI149" s="335">
        <v>949</v>
      </c>
      <c r="BJ149" s="336">
        <v>45</v>
      </c>
      <c r="BK149" s="337">
        <f t="shared" ref="BK149:BL149" si="2481">IF(ISBLANK(BM149),,BM149-BM148)</f>
        <v>0</v>
      </c>
      <c r="BL149" s="334">
        <f t="shared" si="2481"/>
        <v>0</v>
      </c>
      <c r="BM149" s="335">
        <v>338</v>
      </c>
      <c r="BN149" s="339">
        <v>2</v>
      </c>
      <c r="BO149" s="316">
        <f t="shared" ref="BO149:BP149" si="2482">IF(ISBLANK(BQ149),,BQ149-BQ148)</f>
        <v>12</v>
      </c>
      <c r="BP149" s="334">
        <f t="shared" si="2482"/>
        <v>2</v>
      </c>
      <c r="BQ149" s="335">
        <v>3596</v>
      </c>
      <c r="BR149" s="336">
        <v>195</v>
      </c>
      <c r="BS149" s="316">
        <f t="shared" ref="BS149:BT149" si="2483">IF(ISBLANK(BU149),,BU149-BU148)</f>
        <v>2</v>
      </c>
      <c r="BT149" s="334">
        <f t="shared" si="2483"/>
        <v>0</v>
      </c>
      <c r="BU149" s="335">
        <v>697</v>
      </c>
      <c r="BV149" s="336">
        <v>23</v>
      </c>
      <c r="BW149" s="233"/>
      <c r="BX149" s="233"/>
      <c r="BY149" s="233"/>
      <c r="BZ149" s="233"/>
      <c r="CA149" s="233"/>
      <c r="CB149" s="233"/>
      <c r="CC149" s="233"/>
      <c r="CD149" s="233"/>
      <c r="CE149" s="233"/>
    </row>
    <row r="150" spans="1:83" x14ac:dyDescent="0.25">
      <c r="A150" s="313">
        <v>44040</v>
      </c>
      <c r="B150" s="314">
        <f t="shared" si="1276"/>
        <v>147</v>
      </c>
      <c r="C150" s="315"/>
      <c r="D150" s="316">
        <v>502</v>
      </c>
      <c r="E150" s="317">
        <v>6</v>
      </c>
      <c r="F150" s="318">
        <v>33043</v>
      </c>
      <c r="G150" s="319"/>
      <c r="H150" s="330">
        <f t="shared" ref="H150:I150" si="2484">IF(ISBLANK(D150),,H149+D150)</f>
        <v>43904</v>
      </c>
      <c r="I150" s="331">
        <f t="shared" si="2484"/>
        <v>1682</v>
      </c>
      <c r="J150" s="332">
        <f t="shared" si="1"/>
        <v>187</v>
      </c>
      <c r="K150" s="333">
        <f t="shared" ref="K150:L150" si="2485">IF(ISBLANK(M150),,M150-M149)</f>
        <v>31</v>
      </c>
      <c r="L150" s="334">
        <f t="shared" si="2485"/>
        <v>0</v>
      </c>
      <c r="M150" s="335">
        <v>3201</v>
      </c>
      <c r="N150" s="336">
        <v>153</v>
      </c>
      <c r="O150" s="337">
        <f t="shared" ref="O150:P150" si="2486">IF(ISBLANK(Q150),,Q150-Q149)</f>
        <v>4</v>
      </c>
      <c r="P150" s="338">
        <f t="shared" si="2486"/>
        <v>0</v>
      </c>
      <c r="Q150" s="335">
        <v>754</v>
      </c>
      <c r="R150" s="339">
        <v>50</v>
      </c>
      <c r="S150" s="316">
        <f t="shared" ref="S150:T150" si="2487">IF(ISBLANK(U150),,U150-U149)</f>
        <v>0</v>
      </c>
      <c r="T150" s="334">
        <f t="shared" si="2487"/>
        <v>0</v>
      </c>
      <c r="U150" s="335">
        <v>927</v>
      </c>
      <c r="V150" s="336">
        <v>20</v>
      </c>
      <c r="W150" s="337">
        <f t="shared" ref="W150:X150" si="2488">IF(ISBLANK(Y150),,Y150-Y149)</f>
        <v>4</v>
      </c>
      <c r="X150" s="334">
        <f t="shared" si="2488"/>
        <v>0</v>
      </c>
      <c r="Y150" s="335">
        <v>370</v>
      </c>
      <c r="Z150" s="340">
        <v>8</v>
      </c>
      <c r="AA150" s="316">
        <f t="shared" ref="AA150:AB150" si="2489">IF(ISBLANK(AC150),,AC150-AC149)</f>
        <v>29</v>
      </c>
      <c r="AB150" s="334">
        <f t="shared" si="2489"/>
        <v>0</v>
      </c>
      <c r="AC150" s="335">
        <v>3850</v>
      </c>
      <c r="AD150" s="336">
        <v>204</v>
      </c>
      <c r="AE150" s="337">
        <f t="shared" ref="AE150:AF150" si="2490">IF(ISBLANK(AG150),,AG150-AG149)</f>
        <v>91</v>
      </c>
      <c r="AF150" s="334">
        <f t="shared" si="2490"/>
        <v>1</v>
      </c>
      <c r="AG150" s="335">
        <v>3223</v>
      </c>
      <c r="AH150" s="339">
        <v>53</v>
      </c>
      <c r="AI150" s="316">
        <f t="shared" ref="AI150:AJ150" si="2491">IF(ISBLANK(AK150),,AK150-AK149)</f>
        <v>62</v>
      </c>
      <c r="AJ150" s="334">
        <f t="shared" si="2491"/>
        <v>0</v>
      </c>
      <c r="AK150" s="335">
        <v>6181</v>
      </c>
      <c r="AL150" s="336">
        <v>370</v>
      </c>
      <c r="AM150" s="337">
        <f t="shared" ref="AM150:AN150" si="2492">IF(ISBLANK(AO150),,AO150-AO149)</f>
        <v>16</v>
      </c>
      <c r="AN150" s="334">
        <f t="shared" si="2492"/>
        <v>0</v>
      </c>
      <c r="AO150" s="335">
        <v>1146</v>
      </c>
      <c r="AP150" s="339">
        <v>54</v>
      </c>
      <c r="AQ150" s="316">
        <f t="shared" ref="AQ150:AR150" si="2493">IF(ISBLANK(AS150),,AS150-AS149)</f>
        <v>19</v>
      </c>
      <c r="AR150" s="338">
        <f t="shared" si="2493"/>
        <v>0</v>
      </c>
      <c r="AS150" s="335">
        <v>1208</v>
      </c>
      <c r="AT150" s="336">
        <v>59</v>
      </c>
      <c r="AU150" s="337">
        <f t="shared" ref="AU150:AV150" si="2494">IF(ISBLANK(AW150),,AW150-AW149)</f>
        <v>8</v>
      </c>
      <c r="AV150" s="334">
        <f t="shared" si="2494"/>
        <v>1</v>
      </c>
      <c r="AW150" s="335">
        <v>955</v>
      </c>
      <c r="AX150" s="339">
        <v>19</v>
      </c>
      <c r="AY150" s="316">
        <f t="shared" ref="AY150:AZ150" si="2495">IF(ISBLANK(BA150),,BA150-BA149)</f>
        <v>15</v>
      </c>
      <c r="AZ150" s="334">
        <f t="shared" si="2495"/>
        <v>0</v>
      </c>
      <c r="BA150" s="335">
        <v>847</v>
      </c>
      <c r="BB150" s="336">
        <v>39</v>
      </c>
      <c r="BC150" s="337">
        <f t="shared" ref="BC150:BD150" si="2496">IF(ISBLANK(BE150),,BE150-BE149)</f>
        <v>161</v>
      </c>
      <c r="BD150" s="334">
        <f t="shared" si="2496"/>
        <v>3</v>
      </c>
      <c r="BE150" s="335">
        <v>15600</v>
      </c>
      <c r="BF150" s="339">
        <v>387</v>
      </c>
      <c r="BG150" s="316">
        <f t="shared" ref="BG150:BH150" si="2497">IF(ISBLANK(BI150),,BI150-BI149)</f>
        <v>6</v>
      </c>
      <c r="BH150" s="334">
        <f t="shared" si="2497"/>
        <v>0</v>
      </c>
      <c r="BI150" s="335">
        <v>955</v>
      </c>
      <c r="BJ150" s="336">
        <v>45</v>
      </c>
      <c r="BK150" s="337">
        <f t="shared" ref="BK150:BL150" si="2498">IF(ISBLANK(BM150),,BM150-BM149)</f>
        <v>5</v>
      </c>
      <c r="BL150" s="334">
        <f t="shared" si="2498"/>
        <v>0</v>
      </c>
      <c r="BM150" s="335">
        <v>343</v>
      </c>
      <c r="BN150" s="339">
        <v>2</v>
      </c>
      <c r="BO150" s="316">
        <f t="shared" ref="BO150:BP150" si="2499">IF(ISBLANK(BQ150),,BQ150-BQ149)</f>
        <v>45</v>
      </c>
      <c r="BP150" s="334">
        <f t="shared" si="2499"/>
        <v>1</v>
      </c>
      <c r="BQ150" s="335">
        <v>3641</v>
      </c>
      <c r="BR150" s="336">
        <v>196</v>
      </c>
      <c r="BS150" s="316">
        <f t="shared" ref="BS150:BT150" si="2500">IF(ISBLANK(BU150),,BU150-BU149)</f>
        <v>6</v>
      </c>
      <c r="BT150" s="334">
        <f t="shared" si="2500"/>
        <v>0</v>
      </c>
      <c r="BU150" s="335">
        <v>703</v>
      </c>
      <c r="BV150" s="336">
        <v>23</v>
      </c>
      <c r="BW150" s="233"/>
      <c r="BX150" s="233"/>
      <c r="BY150" s="233"/>
      <c r="BZ150" s="233"/>
      <c r="CA150" s="233"/>
      <c r="CB150" s="233"/>
      <c r="CC150" s="233"/>
      <c r="CD150" s="233"/>
      <c r="CE150" s="233"/>
    </row>
    <row r="151" spans="1:83" x14ac:dyDescent="0.25">
      <c r="A151" s="313">
        <v>44041</v>
      </c>
      <c r="B151" s="314">
        <f t="shared" si="1276"/>
        <v>148</v>
      </c>
      <c r="C151" s="315"/>
      <c r="D151" s="316">
        <v>512</v>
      </c>
      <c r="E151" s="317">
        <v>12</v>
      </c>
      <c r="F151" s="318">
        <v>33190</v>
      </c>
      <c r="G151" s="319"/>
      <c r="H151" s="330">
        <f t="shared" ref="H151:I151" si="2501">IF(ISBLANK(D151),,H150+D151)</f>
        <v>44416</v>
      </c>
      <c r="I151" s="331">
        <f t="shared" si="2501"/>
        <v>1694</v>
      </c>
      <c r="J151" s="332">
        <f t="shared" si="1"/>
        <v>147</v>
      </c>
      <c r="K151" s="333">
        <f t="shared" ref="K151:L151" si="2502">IF(ISBLANK(M151),,M151-M150)</f>
        <v>17</v>
      </c>
      <c r="L151" s="334">
        <f t="shared" si="2502"/>
        <v>3</v>
      </c>
      <c r="M151" s="335">
        <v>3218</v>
      </c>
      <c r="N151" s="336">
        <v>156</v>
      </c>
      <c r="O151" s="337">
        <f t="shared" ref="O151:P151" si="2503">IF(ISBLANK(Q151),,Q151-Q150)</f>
        <v>10</v>
      </c>
      <c r="P151" s="338">
        <f t="shared" si="2503"/>
        <v>0</v>
      </c>
      <c r="Q151" s="335">
        <v>764</v>
      </c>
      <c r="R151" s="339">
        <v>50</v>
      </c>
      <c r="S151" s="316">
        <f t="shared" ref="S151:T151" si="2504">IF(ISBLANK(U151),,U151-U150)</f>
        <v>18</v>
      </c>
      <c r="T151" s="334">
        <f t="shared" si="2504"/>
        <v>0</v>
      </c>
      <c r="U151" s="335">
        <v>945</v>
      </c>
      <c r="V151" s="336">
        <v>20</v>
      </c>
      <c r="W151" s="337">
        <f t="shared" ref="W151:X151" si="2505">IF(ISBLANK(Y151),,Y151-Y150)</f>
        <v>10</v>
      </c>
      <c r="X151" s="334">
        <f t="shared" si="2505"/>
        <v>0</v>
      </c>
      <c r="Y151" s="335">
        <v>380</v>
      </c>
      <c r="Z151" s="340">
        <v>8</v>
      </c>
      <c r="AA151" s="316">
        <f t="shared" ref="AA151:AB151" si="2506">IF(ISBLANK(AC151),,AC151-AC150)</f>
        <v>30</v>
      </c>
      <c r="AB151" s="334">
        <f t="shared" si="2506"/>
        <v>2</v>
      </c>
      <c r="AC151" s="335">
        <v>3880</v>
      </c>
      <c r="AD151" s="336">
        <v>206</v>
      </c>
      <c r="AE151" s="337">
        <f t="shared" ref="AE151:AF151" si="2507">IF(ISBLANK(AG151),,AG151-AG150)</f>
        <v>102</v>
      </c>
      <c r="AF151" s="334">
        <f t="shared" si="2507"/>
        <v>0</v>
      </c>
      <c r="AG151" s="335">
        <v>3325</v>
      </c>
      <c r="AH151" s="339">
        <v>53</v>
      </c>
      <c r="AI151" s="316">
        <f t="shared" ref="AI151:AJ151" si="2508">IF(ISBLANK(AK151),,AK151-AK150)</f>
        <v>43</v>
      </c>
      <c r="AJ151" s="334">
        <f t="shared" si="2508"/>
        <v>3</v>
      </c>
      <c r="AK151" s="335">
        <v>6224</v>
      </c>
      <c r="AL151" s="336">
        <v>373</v>
      </c>
      <c r="AM151" s="337">
        <f t="shared" ref="AM151:AN151" si="2509">IF(ISBLANK(AO151),,AO151-AO150)</f>
        <v>5</v>
      </c>
      <c r="AN151" s="334">
        <f t="shared" si="2509"/>
        <v>0</v>
      </c>
      <c r="AO151" s="335">
        <v>1151</v>
      </c>
      <c r="AP151" s="339">
        <v>54</v>
      </c>
      <c r="AQ151" s="316">
        <f t="shared" ref="AQ151:AR151" si="2510">IF(ISBLANK(AS151),,AS151-AS150)</f>
        <v>23</v>
      </c>
      <c r="AR151" s="338">
        <f t="shared" si="2510"/>
        <v>1</v>
      </c>
      <c r="AS151" s="335">
        <v>1231</v>
      </c>
      <c r="AT151" s="336">
        <v>60</v>
      </c>
      <c r="AU151" s="337">
        <f t="shared" ref="AU151:AV151" si="2511">IF(ISBLANK(AW151),,AW151-AW150)</f>
        <v>7</v>
      </c>
      <c r="AV151" s="334">
        <f t="shared" si="2511"/>
        <v>1</v>
      </c>
      <c r="AW151" s="335">
        <v>962</v>
      </c>
      <c r="AX151" s="339">
        <v>20</v>
      </c>
      <c r="AY151" s="316">
        <f t="shared" ref="AY151:AZ151" si="2512">IF(ISBLANK(BA151),,BA151-BA150)</f>
        <v>28</v>
      </c>
      <c r="AZ151" s="334">
        <f t="shared" si="2512"/>
        <v>0</v>
      </c>
      <c r="BA151" s="335">
        <v>875</v>
      </c>
      <c r="BB151" s="336">
        <v>39</v>
      </c>
      <c r="BC151" s="337">
        <f t="shared" ref="BC151:BD151" si="2513">IF(ISBLANK(BE151),,BE151-BE150)</f>
        <v>183</v>
      </c>
      <c r="BD151" s="334">
        <f t="shared" si="2513"/>
        <v>0</v>
      </c>
      <c r="BE151" s="335">
        <v>15783</v>
      </c>
      <c r="BF151" s="339">
        <v>387</v>
      </c>
      <c r="BG151" s="316">
        <f t="shared" ref="BG151:BH151" si="2514">IF(ISBLANK(BI151),,BI151-BI150)</f>
        <v>5</v>
      </c>
      <c r="BH151" s="334">
        <f t="shared" si="2514"/>
        <v>0</v>
      </c>
      <c r="BI151" s="335">
        <v>960</v>
      </c>
      <c r="BJ151" s="336">
        <v>45</v>
      </c>
      <c r="BK151" s="337">
        <f t="shared" ref="BK151:BL151" si="2515">IF(ISBLANK(BM151),,BM151-BM150)</f>
        <v>5</v>
      </c>
      <c r="BL151" s="334">
        <f t="shared" si="2515"/>
        <v>0</v>
      </c>
      <c r="BM151" s="335">
        <v>348</v>
      </c>
      <c r="BN151" s="339">
        <v>2</v>
      </c>
      <c r="BO151" s="316">
        <f t="shared" ref="BO151:BP151" si="2516">IF(ISBLANK(BQ151),,BQ151-BQ150)</f>
        <v>14</v>
      </c>
      <c r="BP151" s="334">
        <f t="shared" si="2516"/>
        <v>2</v>
      </c>
      <c r="BQ151" s="335">
        <v>3655</v>
      </c>
      <c r="BR151" s="336">
        <v>198</v>
      </c>
      <c r="BS151" s="316">
        <f t="shared" ref="BS151:BT151" si="2517">IF(ISBLANK(BU151),,BU151-BU150)</f>
        <v>12</v>
      </c>
      <c r="BT151" s="334">
        <f t="shared" si="2517"/>
        <v>0</v>
      </c>
      <c r="BU151" s="335">
        <v>715</v>
      </c>
      <c r="BV151" s="336">
        <v>23</v>
      </c>
      <c r="BW151" s="233"/>
      <c r="BX151" s="233"/>
      <c r="BY151" s="233"/>
      <c r="BZ151" s="233"/>
      <c r="CA151" s="233"/>
      <c r="CB151" s="233"/>
      <c r="CC151" s="233"/>
      <c r="CD151" s="233"/>
      <c r="CE151" s="233"/>
    </row>
    <row r="152" spans="1:83" x14ac:dyDescent="0.25">
      <c r="A152" s="313">
        <v>44042</v>
      </c>
      <c r="B152" s="314">
        <f t="shared" si="1276"/>
        <v>149</v>
      </c>
      <c r="C152" s="315"/>
      <c r="D152" s="316">
        <v>615</v>
      </c>
      <c r="E152" s="317">
        <v>15</v>
      </c>
      <c r="F152" s="318">
        <v>33643</v>
      </c>
      <c r="G152" s="319"/>
      <c r="H152" s="330">
        <f t="shared" ref="H152:I152" si="2518">IF(ISBLANK(D152),,H151+D152)</f>
        <v>45031</v>
      </c>
      <c r="I152" s="331">
        <f t="shared" si="2518"/>
        <v>1709</v>
      </c>
      <c r="J152" s="332">
        <f t="shared" si="1"/>
        <v>453</v>
      </c>
      <c r="K152" s="333">
        <f t="shared" ref="K152:L152" si="2519">IF(ISBLANK(M152),,M152-M151)</f>
        <v>5</v>
      </c>
      <c r="L152" s="334">
        <f t="shared" si="2519"/>
        <v>0</v>
      </c>
      <c r="M152" s="335">
        <v>3223</v>
      </c>
      <c r="N152" s="336">
        <v>156</v>
      </c>
      <c r="O152" s="337">
        <f t="shared" ref="O152:P152" si="2520">IF(ISBLANK(Q152),,Q152-Q151)</f>
        <v>9</v>
      </c>
      <c r="P152" s="338">
        <f t="shared" si="2520"/>
        <v>0</v>
      </c>
      <c r="Q152" s="335">
        <v>773</v>
      </c>
      <c r="R152" s="339">
        <v>50</v>
      </c>
      <c r="S152" s="316">
        <f t="shared" ref="S152:T152" si="2521">IF(ISBLANK(U152),,U152-U151)</f>
        <v>11</v>
      </c>
      <c r="T152" s="334">
        <f t="shared" si="2521"/>
        <v>0</v>
      </c>
      <c r="U152" s="335">
        <v>956</v>
      </c>
      <c r="V152" s="336">
        <v>20</v>
      </c>
      <c r="W152" s="337">
        <f t="shared" ref="W152:X152" si="2522">IF(ISBLANK(Y152),,Y152-Y151)</f>
        <v>10</v>
      </c>
      <c r="X152" s="334">
        <f t="shared" si="2522"/>
        <v>1</v>
      </c>
      <c r="Y152" s="335">
        <v>390</v>
      </c>
      <c r="Z152" s="340">
        <v>9</v>
      </c>
      <c r="AA152" s="316">
        <f t="shared" ref="AA152:AB152" si="2523">IF(ISBLANK(AC152),,AC152-AC151)</f>
        <v>67</v>
      </c>
      <c r="AB152" s="334">
        <f t="shared" si="2523"/>
        <v>0</v>
      </c>
      <c r="AC152" s="335">
        <v>3947</v>
      </c>
      <c r="AD152" s="336">
        <v>206</v>
      </c>
      <c r="AE152" s="337">
        <f t="shared" ref="AE152:AF152" si="2524">IF(ISBLANK(AG152),,AG152-AG151)</f>
        <v>133</v>
      </c>
      <c r="AF152" s="334">
        <f t="shared" si="2524"/>
        <v>7</v>
      </c>
      <c r="AG152" s="335">
        <v>3458</v>
      </c>
      <c r="AH152" s="339">
        <v>60</v>
      </c>
      <c r="AI152" s="316">
        <f t="shared" ref="AI152:AJ152" si="2525">IF(ISBLANK(AK152),,AK152-AK151)</f>
        <v>95</v>
      </c>
      <c r="AJ152" s="334">
        <f t="shared" si="2525"/>
        <v>1</v>
      </c>
      <c r="AK152" s="335">
        <v>6319</v>
      </c>
      <c r="AL152" s="336">
        <v>374</v>
      </c>
      <c r="AM152" s="337">
        <f t="shared" ref="AM152:AN152" si="2526">IF(ISBLANK(AO152),,AO152-AO151)</f>
        <v>17</v>
      </c>
      <c r="AN152" s="334">
        <f t="shared" si="2526"/>
        <v>1</v>
      </c>
      <c r="AO152" s="335">
        <v>1168</v>
      </c>
      <c r="AP152" s="339">
        <v>55</v>
      </c>
      <c r="AQ152" s="316">
        <f t="shared" ref="AQ152:AR152" si="2527">IF(ISBLANK(AS152),,AS152-AS151)</f>
        <v>45</v>
      </c>
      <c r="AR152" s="338">
        <f t="shared" si="2527"/>
        <v>0</v>
      </c>
      <c r="AS152" s="335">
        <v>1276</v>
      </c>
      <c r="AT152" s="336">
        <v>60</v>
      </c>
      <c r="AU152" s="337">
        <f t="shared" ref="AU152:AV152" si="2528">IF(ISBLANK(AW152),,AW152-AW151)</f>
        <v>7</v>
      </c>
      <c r="AV152" s="334">
        <f t="shared" si="2528"/>
        <v>1</v>
      </c>
      <c r="AW152" s="335">
        <v>969</v>
      </c>
      <c r="AX152" s="339">
        <v>21</v>
      </c>
      <c r="AY152" s="316">
        <f t="shared" ref="AY152:AZ152" si="2529">IF(ISBLANK(BA152),,BA152-BA151)</f>
        <v>12</v>
      </c>
      <c r="AZ152" s="334">
        <f t="shared" si="2529"/>
        <v>0</v>
      </c>
      <c r="BA152" s="335">
        <v>887</v>
      </c>
      <c r="BB152" s="336">
        <v>39</v>
      </c>
      <c r="BC152" s="337">
        <f t="shared" ref="BC152:BD152" si="2530">IF(ISBLANK(BE152),,BE152-BE151)</f>
        <v>160</v>
      </c>
      <c r="BD152" s="334">
        <f t="shared" si="2530"/>
        <v>3</v>
      </c>
      <c r="BE152" s="335">
        <v>15943</v>
      </c>
      <c r="BF152" s="339">
        <v>390</v>
      </c>
      <c r="BG152" s="316">
        <f t="shared" ref="BG152:BH152" si="2531">IF(ISBLANK(BI152),,BI152-BI151)</f>
        <v>5</v>
      </c>
      <c r="BH152" s="334">
        <f t="shared" si="2531"/>
        <v>0</v>
      </c>
      <c r="BI152" s="335">
        <v>965</v>
      </c>
      <c r="BJ152" s="336">
        <v>45</v>
      </c>
      <c r="BK152" s="337">
        <f t="shared" ref="BK152:BL152" si="2532">IF(ISBLANK(BM152),,BM152-BM151)</f>
        <v>5</v>
      </c>
      <c r="BL152" s="334">
        <f t="shared" si="2532"/>
        <v>0</v>
      </c>
      <c r="BM152" s="335">
        <v>353</v>
      </c>
      <c r="BN152" s="339">
        <v>2</v>
      </c>
      <c r="BO152" s="316">
        <f t="shared" ref="BO152:BP152" si="2533">IF(ISBLANK(BQ152),,BQ152-BQ151)</f>
        <v>27</v>
      </c>
      <c r="BP152" s="334">
        <f t="shared" si="2533"/>
        <v>1</v>
      </c>
      <c r="BQ152" s="335">
        <v>3682</v>
      </c>
      <c r="BR152" s="336">
        <v>199</v>
      </c>
      <c r="BS152" s="316">
        <f t="shared" ref="BS152:BT152" si="2534">IF(ISBLANK(BU152),,BU152-BU151)</f>
        <v>7</v>
      </c>
      <c r="BT152" s="334">
        <f t="shared" si="2534"/>
        <v>0</v>
      </c>
      <c r="BU152" s="335">
        <v>722</v>
      </c>
      <c r="BV152" s="336">
        <v>23</v>
      </c>
      <c r="BW152" s="233"/>
      <c r="BX152" s="233"/>
      <c r="BY152" s="233"/>
      <c r="BZ152" s="233"/>
      <c r="CA152" s="233"/>
      <c r="CB152" s="233"/>
      <c r="CC152" s="233"/>
      <c r="CD152" s="233"/>
      <c r="CE152" s="233"/>
    </row>
    <row r="153" spans="1:83" x14ac:dyDescent="0.25">
      <c r="A153" s="313">
        <v>44043</v>
      </c>
      <c r="B153" s="314">
        <f t="shared" si="1276"/>
        <v>150</v>
      </c>
      <c r="C153" s="315"/>
      <c r="D153" s="316">
        <v>657</v>
      </c>
      <c r="E153" s="317">
        <v>7</v>
      </c>
      <c r="F153" s="318">
        <v>33987</v>
      </c>
      <c r="G153" s="319"/>
      <c r="H153" s="330">
        <f t="shared" ref="H153:I153" si="2535">IF(ISBLANK(D153),,H152+D153)</f>
        <v>45688</v>
      </c>
      <c r="I153" s="331">
        <f t="shared" si="2535"/>
        <v>1716</v>
      </c>
      <c r="J153" s="332">
        <f t="shared" si="1"/>
        <v>344</v>
      </c>
      <c r="K153" s="333">
        <f t="shared" ref="K153:L153" si="2536">IF(ISBLANK(M153),,M153-M152)</f>
        <v>35</v>
      </c>
      <c r="L153" s="334">
        <f t="shared" si="2536"/>
        <v>0</v>
      </c>
      <c r="M153" s="335">
        <v>3258</v>
      </c>
      <c r="N153" s="336">
        <v>156</v>
      </c>
      <c r="O153" s="337">
        <f t="shared" ref="O153:P153" si="2537">IF(ISBLANK(Q153),,Q153-Q152)</f>
        <v>17</v>
      </c>
      <c r="P153" s="338">
        <f t="shared" si="2537"/>
        <v>0</v>
      </c>
      <c r="Q153" s="335">
        <v>790</v>
      </c>
      <c r="R153" s="339">
        <v>50</v>
      </c>
      <c r="S153" s="316">
        <f t="shared" ref="S153:T153" si="2538">IF(ISBLANK(U153),,U153-U152)</f>
        <v>20</v>
      </c>
      <c r="T153" s="334">
        <f t="shared" si="2538"/>
        <v>0</v>
      </c>
      <c r="U153" s="335">
        <v>976</v>
      </c>
      <c r="V153" s="336">
        <v>20</v>
      </c>
      <c r="W153" s="337">
        <f t="shared" ref="W153:X153" si="2539">IF(ISBLANK(Y153),,Y153-Y152)</f>
        <v>11</v>
      </c>
      <c r="X153" s="334">
        <f t="shared" si="2539"/>
        <v>1</v>
      </c>
      <c r="Y153" s="335">
        <v>401</v>
      </c>
      <c r="Z153" s="340">
        <v>10</v>
      </c>
      <c r="AA153" s="316">
        <f t="shared" ref="AA153:AB153" si="2540">IF(ISBLANK(AC153),,AC153-AC152)</f>
        <v>30</v>
      </c>
      <c r="AB153" s="334">
        <f t="shared" si="2540"/>
        <v>0</v>
      </c>
      <c r="AC153" s="335">
        <v>3977</v>
      </c>
      <c r="AD153" s="336">
        <v>206</v>
      </c>
      <c r="AE153" s="337">
        <f t="shared" ref="AE153:AF153" si="2541">IF(ISBLANK(AG153),,AG153-AG152)</f>
        <v>77</v>
      </c>
      <c r="AF153" s="334">
        <f t="shared" si="2541"/>
        <v>3</v>
      </c>
      <c r="AG153" s="335">
        <v>3535</v>
      </c>
      <c r="AH153" s="339">
        <v>63</v>
      </c>
      <c r="AI153" s="316">
        <f t="shared" ref="AI153:AJ153" si="2542">IF(ISBLANK(AK153),,AK153-AK152)</f>
        <v>104</v>
      </c>
      <c r="AJ153" s="334">
        <f t="shared" si="2542"/>
        <v>3</v>
      </c>
      <c r="AK153" s="335">
        <v>6423</v>
      </c>
      <c r="AL153" s="336">
        <v>377</v>
      </c>
      <c r="AM153" s="337">
        <f t="shared" ref="AM153:AN153" si="2543">IF(ISBLANK(AO153),,AO153-AO152)</f>
        <v>13</v>
      </c>
      <c r="AN153" s="334">
        <f t="shared" si="2543"/>
        <v>0</v>
      </c>
      <c r="AO153" s="335">
        <v>1181</v>
      </c>
      <c r="AP153" s="339">
        <v>55</v>
      </c>
      <c r="AQ153" s="316">
        <f t="shared" ref="AQ153:AR153" si="2544">IF(ISBLANK(AS153),,AS153-AS152)</f>
        <v>28</v>
      </c>
      <c r="AR153" s="338">
        <f t="shared" si="2544"/>
        <v>0</v>
      </c>
      <c r="AS153" s="335">
        <v>1304</v>
      </c>
      <c r="AT153" s="336">
        <v>60</v>
      </c>
      <c r="AU153" s="337">
        <f t="shared" ref="AU153:AV153" si="2545">IF(ISBLANK(AW153),,AW153-AW152)</f>
        <v>6</v>
      </c>
      <c r="AV153" s="334">
        <f t="shared" si="2545"/>
        <v>0</v>
      </c>
      <c r="AW153" s="335">
        <v>975</v>
      </c>
      <c r="AX153" s="339">
        <v>21</v>
      </c>
      <c r="AY153" s="316">
        <f t="shared" ref="AY153:AZ153" si="2546">IF(ISBLANK(BA153),,BA153-BA152)</f>
        <v>15</v>
      </c>
      <c r="AZ153" s="334">
        <f t="shared" si="2546"/>
        <v>0</v>
      </c>
      <c r="BA153" s="335">
        <v>902</v>
      </c>
      <c r="BB153" s="336">
        <v>39</v>
      </c>
      <c r="BC153" s="337">
        <f t="shared" ref="BC153:BD153" si="2547">IF(ISBLANK(BE153),,BE153-BE152)</f>
        <v>227</v>
      </c>
      <c r="BD153" s="334">
        <f t="shared" si="2547"/>
        <v>0</v>
      </c>
      <c r="BE153" s="335">
        <v>16170</v>
      </c>
      <c r="BF153" s="339">
        <v>390</v>
      </c>
      <c r="BG153" s="316">
        <f t="shared" ref="BG153:BH153" si="2548">IF(ISBLANK(BI153),,BI153-BI152)</f>
        <v>2</v>
      </c>
      <c r="BH153" s="334">
        <f t="shared" si="2548"/>
        <v>0</v>
      </c>
      <c r="BI153" s="335">
        <v>967</v>
      </c>
      <c r="BJ153" s="336">
        <v>45</v>
      </c>
      <c r="BK153" s="337">
        <f t="shared" ref="BK153:BL153" si="2549">IF(ISBLANK(BM153),,BM153-BM152)</f>
        <v>9</v>
      </c>
      <c r="BL153" s="334">
        <f t="shared" si="2549"/>
        <v>0</v>
      </c>
      <c r="BM153" s="335">
        <v>362</v>
      </c>
      <c r="BN153" s="339">
        <v>2</v>
      </c>
      <c r="BO153" s="316">
        <f t="shared" ref="BO153:BP153" si="2550">IF(ISBLANK(BQ153),,BQ153-BQ152)</f>
        <v>59</v>
      </c>
      <c r="BP153" s="334">
        <f t="shared" si="2550"/>
        <v>0</v>
      </c>
      <c r="BQ153" s="335">
        <v>3741</v>
      </c>
      <c r="BR153" s="336">
        <v>199</v>
      </c>
      <c r="BS153" s="316">
        <f t="shared" ref="BS153:BT153" si="2551">IF(ISBLANK(BU153),,BU153-BU152)</f>
        <v>4</v>
      </c>
      <c r="BT153" s="334">
        <f t="shared" si="2551"/>
        <v>0</v>
      </c>
      <c r="BU153" s="335">
        <v>726</v>
      </c>
      <c r="BV153" s="336">
        <v>23</v>
      </c>
      <c r="BW153" s="233"/>
      <c r="BX153" s="233"/>
      <c r="BY153" s="233"/>
      <c r="BZ153" s="233"/>
      <c r="CA153" s="233"/>
      <c r="CB153" s="233"/>
      <c r="CC153" s="233"/>
      <c r="CD153" s="233"/>
      <c r="CE153" s="233"/>
    </row>
    <row r="154" spans="1:83" x14ac:dyDescent="0.25">
      <c r="A154" s="313">
        <v>44044</v>
      </c>
      <c r="B154" s="314">
        <f t="shared" si="1276"/>
        <v>151</v>
      </c>
      <c r="C154" s="315"/>
      <c r="D154" s="316">
        <v>658</v>
      </c>
      <c r="E154" s="317">
        <v>5</v>
      </c>
      <c r="F154" s="318">
        <v>34374</v>
      </c>
      <c r="G154" s="319"/>
      <c r="H154" s="330">
        <f t="shared" ref="H154:I154" si="2552">IF(ISBLANK(D154),,H153+D154)</f>
        <v>46346</v>
      </c>
      <c r="I154" s="331">
        <f t="shared" si="2552"/>
        <v>1721</v>
      </c>
      <c r="J154" s="332">
        <f t="shared" si="1"/>
        <v>387</v>
      </c>
      <c r="K154" s="333">
        <f t="shared" ref="K154:L154" si="2553">IF(ISBLANK(M154),,M154-M153)</f>
        <v>15</v>
      </c>
      <c r="L154" s="334">
        <f t="shared" si="2553"/>
        <v>0</v>
      </c>
      <c r="M154" s="335">
        <v>3273</v>
      </c>
      <c r="N154" s="336">
        <v>156</v>
      </c>
      <c r="O154" s="337">
        <f t="shared" ref="O154:P154" si="2554">IF(ISBLANK(Q154),,Q154-Q153)</f>
        <v>11</v>
      </c>
      <c r="P154" s="338">
        <f t="shared" si="2554"/>
        <v>0</v>
      </c>
      <c r="Q154" s="335">
        <v>801</v>
      </c>
      <c r="R154" s="339">
        <v>50</v>
      </c>
      <c r="S154" s="316">
        <f t="shared" ref="S154:T154" si="2555">IF(ISBLANK(U154),,U154-U153)</f>
        <v>18</v>
      </c>
      <c r="T154" s="334">
        <f t="shared" si="2555"/>
        <v>0</v>
      </c>
      <c r="U154" s="335">
        <v>994</v>
      </c>
      <c r="V154" s="336">
        <v>20</v>
      </c>
      <c r="W154" s="337">
        <f t="shared" ref="W154:X154" si="2556">IF(ISBLANK(Y154),,Y154-Y153)</f>
        <v>9</v>
      </c>
      <c r="X154" s="334">
        <f t="shared" si="2556"/>
        <v>0</v>
      </c>
      <c r="Y154" s="335">
        <v>410</v>
      </c>
      <c r="Z154" s="340">
        <v>10</v>
      </c>
      <c r="AA154" s="316">
        <f t="shared" ref="AA154:AB154" si="2557">IF(ISBLANK(AC154),,AC154-AC153)</f>
        <v>42</v>
      </c>
      <c r="AB154" s="334">
        <f t="shared" si="2557"/>
        <v>0</v>
      </c>
      <c r="AC154" s="335">
        <v>4019</v>
      </c>
      <c r="AD154" s="336">
        <v>206</v>
      </c>
      <c r="AE154" s="337">
        <f t="shared" ref="AE154:AF154" si="2558">IF(ISBLANK(AG154),,AG154-AG153)</f>
        <v>157</v>
      </c>
      <c r="AF154" s="334">
        <f t="shared" si="2558"/>
        <v>0</v>
      </c>
      <c r="AG154" s="335">
        <v>3692</v>
      </c>
      <c r="AH154" s="339">
        <v>63</v>
      </c>
      <c r="AI154" s="316">
        <f t="shared" ref="AI154:AJ154" si="2559">IF(ISBLANK(AK154),,AK154-AK153)</f>
        <v>60</v>
      </c>
      <c r="AJ154" s="334">
        <f t="shared" si="2559"/>
        <v>0</v>
      </c>
      <c r="AK154" s="335">
        <v>6483</v>
      </c>
      <c r="AL154" s="336">
        <v>377</v>
      </c>
      <c r="AM154" s="337">
        <f t="shared" ref="AM154:AN154" si="2560">IF(ISBLANK(AO154),,AO154-AO153)</f>
        <v>7</v>
      </c>
      <c r="AN154" s="334">
        <f t="shared" si="2560"/>
        <v>1</v>
      </c>
      <c r="AO154" s="335">
        <v>1188</v>
      </c>
      <c r="AP154" s="339">
        <v>56</v>
      </c>
      <c r="AQ154" s="316">
        <f t="shared" ref="AQ154:AR154" si="2561">IF(ISBLANK(AS154),,AS154-AS153)</f>
        <v>26</v>
      </c>
      <c r="AR154" s="338">
        <f t="shared" si="2561"/>
        <v>0</v>
      </c>
      <c r="AS154" s="335">
        <v>1330</v>
      </c>
      <c r="AT154" s="336">
        <v>60</v>
      </c>
      <c r="AU154" s="337">
        <f t="shared" ref="AU154:AV154" si="2562">IF(ISBLANK(AW154),,AW154-AW153)</f>
        <v>4</v>
      </c>
      <c r="AV154" s="334">
        <f t="shared" si="2562"/>
        <v>0</v>
      </c>
      <c r="AW154" s="335">
        <v>979</v>
      </c>
      <c r="AX154" s="339">
        <v>21</v>
      </c>
      <c r="AY154" s="316">
        <f t="shared" ref="AY154:AZ154" si="2563">IF(ISBLANK(BA154),,BA154-BA153)</f>
        <v>17</v>
      </c>
      <c r="AZ154" s="334">
        <f t="shared" si="2563"/>
        <v>0</v>
      </c>
      <c r="BA154" s="335">
        <v>919</v>
      </c>
      <c r="BB154" s="336">
        <v>39</v>
      </c>
      <c r="BC154" s="337">
        <f t="shared" ref="BC154:BD154" si="2564">IF(ISBLANK(BE154),,BE154-BE153)</f>
        <v>214</v>
      </c>
      <c r="BD154" s="334">
        <f t="shared" si="2564"/>
        <v>4</v>
      </c>
      <c r="BE154" s="335">
        <v>16384</v>
      </c>
      <c r="BF154" s="339">
        <v>394</v>
      </c>
      <c r="BG154" s="316">
        <f t="shared" ref="BG154:BH154" si="2565">IF(ISBLANK(BI154),,BI154-BI153)</f>
        <v>7</v>
      </c>
      <c r="BH154" s="334">
        <f t="shared" si="2565"/>
        <v>0</v>
      </c>
      <c r="BI154" s="335">
        <v>974</v>
      </c>
      <c r="BJ154" s="336">
        <v>45</v>
      </c>
      <c r="BK154" s="337">
        <f t="shared" ref="BK154:BL154" si="2566">IF(ISBLANK(BM154),,BM154-BM153)</f>
        <v>17</v>
      </c>
      <c r="BL154" s="334">
        <f t="shared" si="2566"/>
        <v>0</v>
      </c>
      <c r="BM154" s="335">
        <v>379</v>
      </c>
      <c r="BN154" s="339">
        <v>2</v>
      </c>
      <c r="BO154" s="316">
        <f t="shared" ref="BO154:BP154" si="2567">IF(ISBLANK(BQ154),,BQ154-BQ153)</f>
        <v>39</v>
      </c>
      <c r="BP154" s="334">
        <f t="shared" si="2567"/>
        <v>0</v>
      </c>
      <c r="BQ154" s="335">
        <v>3780</v>
      </c>
      <c r="BR154" s="336">
        <v>199</v>
      </c>
      <c r="BS154" s="316">
        <f t="shared" ref="BS154:BT154" si="2568">IF(ISBLANK(BU154),,BU154-BU153)</f>
        <v>15</v>
      </c>
      <c r="BT154" s="334">
        <f t="shared" si="2568"/>
        <v>0</v>
      </c>
      <c r="BU154" s="335">
        <v>741</v>
      </c>
      <c r="BV154" s="336">
        <v>23</v>
      </c>
      <c r="BW154" s="233"/>
      <c r="BX154" s="233"/>
      <c r="BY154" s="233"/>
      <c r="BZ154" s="233"/>
      <c r="CA154" s="233"/>
      <c r="CB154" s="233"/>
      <c r="CC154" s="233"/>
      <c r="CD154" s="233"/>
      <c r="CE154" s="233"/>
    </row>
    <row r="155" spans="1:83" x14ac:dyDescent="0.25">
      <c r="A155" s="313">
        <v>44045</v>
      </c>
      <c r="B155" s="314">
        <f t="shared" si="1276"/>
        <v>152</v>
      </c>
      <c r="C155" s="315"/>
      <c r="D155" s="316">
        <v>548</v>
      </c>
      <c r="E155" s="317">
        <v>10</v>
      </c>
      <c r="F155" s="318">
        <v>34709</v>
      </c>
      <c r="G155" s="319"/>
      <c r="H155" s="330">
        <f t="shared" ref="H155:I155" si="2569">IF(ISBLANK(D155),,H154+D155)</f>
        <v>46894</v>
      </c>
      <c r="I155" s="331">
        <f t="shared" si="2569"/>
        <v>1731</v>
      </c>
      <c r="J155" s="332">
        <f t="shared" si="1"/>
        <v>335</v>
      </c>
      <c r="K155" s="333">
        <f t="shared" ref="K155:L155" si="2570">IF(ISBLANK(M155),,M155-M154)</f>
        <v>16</v>
      </c>
      <c r="L155" s="334">
        <f t="shared" si="2570"/>
        <v>2</v>
      </c>
      <c r="M155" s="335">
        <v>3289</v>
      </c>
      <c r="N155" s="336">
        <v>158</v>
      </c>
      <c r="O155" s="337">
        <f t="shared" ref="O155:P155" si="2571">IF(ISBLANK(Q155),,Q155-Q154)</f>
        <v>9</v>
      </c>
      <c r="P155" s="338">
        <f t="shared" si="2571"/>
        <v>0</v>
      </c>
      <c r="Q155" s="335">
        <v>810</v>
      </c>
      <c r="R155" s="339">
        <v>50</v>
      </c>
      <c r="S155" s="316">
        <f t="shared" ref="S155:T155" si="2572">IF(ISBLANK(U155),,U155-U154)</f>
        <v>7</v>
      </c>
      <c r="T155" s="334">
        <f t="shared" si="2572"/>
        <v>0</v>
      </c>
      <c r="U155" s="335">
        <v>1001</v>
      </c>
      <c r="V155" s="336">
        <v>20</v>
      </c>
      <c r="W155" s="337">
        <f t="shared" ref="W155:X155" si="2573">IF(ISBLANK(Y155),,Y155-Y154)</f>
        <v>9</v>
      </c>
      <c r="X155" s="334">
        <f t="shared" si="2573"/>
        <v>0</v>
      </c>
      <c r="Y155" s="335">
        <v>419</v>
      </c>
      <c r="Z155" s="340">
        <v>10</v>
      </c>
      <c r="AA155" s="316">
        <f t="shared" ref="AA155:AB155" si="2574">IF(ISBLANK(AC155),,AC155-AC154)</f>
        <v>13</v>
      </c>
      <c r="AB155" s="334">
        <f t="shared" si="2574"/>
        <v>1</v>
      </c>
      <c r="AC155" s="335">
        <v>4032</v>
      </c>
      <c r="AD155" s="336">
        <v>207</v>
      </c>
      <c r="AE155" s="337">
        <f t="shared" ref="AE155:AF155" si="2575">IF(ISBLANK(AG155),,AG155-AG154)</f>
        <v>76</v>
      </c>
      <c r="AF155" s="334">
        <f t="shared" si="2575"/>
        <v>4</v>
      </c>
      <c r="AG155" s="335">
        <v>3768</v>
      </c>
      <c r="AH155" s="339">
        <v>67</v>
      </c>
      <c r="AI155" s="316">
        <f t="shared" ref="AI155:AJ155" si="2576">IF(ISBLANK(AK155),,AK155-AK154)</f>
        <v>71</v>
      </c>
      <c r="AJ155" s="334">
        <f t="shared" si="2576"/>
        <v>0</v>
      </c>
      <c r="AK155" s="335">
        <v>6554</v>
      </c>
      <c r="AL155" s="336">
        <v>377</v>
      </c>
      <c r="AM155" s="337">
        <f t="shared" ref="AM155:AN155" si="2577">IF(ISBLANK(AO155),,AO155-AO154)</f>
        <v>16</v>
      </c>
      <c r="AN155" s="334">
        <f t="shared" si="2577"/>
        <v>1</v>
      </c>
      <c r="AO155" s="335">
        <v>1204</v>
      </c>
      <c r="AP155" s="339">
        <v>57</v>
      </c>
      <c r="AQ155" s="316">
        <f t="shared" ref="AQ155:AR155" si="2578">IF(ISBLANK(AS155),,AS155-AS154)</f>
        <v>23</v>
      </c>
      <c r="AR155" s="338">
        <f t="shared" si="2578"/>
        <v>0</v>
      </c>
      <c r="AS155" s="335">
        <v>1353</v>
      </c>
      <c r="AT155" s="336">
        <v>60</v>
      </c>
      <c r="AU155" s="337">
        <f t="shared" ref="AU155:AV155" si="2579">IF(ISBLANK(AW155),,AW155-AW154)</f>
        <v>9</v>
      </c>
      <c r="AV155" s="334">
        <f t="shared" si="2579"/>
        <v>0</v>
      </c>
      <c r="AW155" s="335">
        <v>988</v>
      </c>
      <c r="AX155" s="339">
        <v>21</v>
      </c>
      <c r="AY155" s="316">
        <f t="shared" ref="AY155:AZ155" si="2580">IF(ISBLANK(BA155),,BA155-BA154)</f>
        <v>24</v>
      </c>
      <c r="AZ155" s="334">
        <f t="shared" si="2580"/>
        <v>0</v>
      </c>
      <c r="BA155" s="335">
        <v>943</v>
      </c>
      <c r="BB155" s="336">
        <v>39</v>
      </c>
      <c r="BC155" s="337">
        <f t="shared" ref="BC155:BD155" si="2581">IF(ISBLANK(BE155),,BE155-BE154)</f>
        <v>191</v>
      </c>
      <c r="BD155" s="334">
        <f t="shared" si="2581"/>
        <v>1</v>
      </c>
      <c r="BE155" s="335">
        <v>16575</v>
      </c>
      <c r="BF155" s="339">
        <v>395</v>
      </c>
      <c r="BG155" s="316">
        <f t="shared" ref="BG155:BH155" si="2582">IF(ISBLANK(BI155),,BI155-BI154)</f>
        <v>2</v>
      </c>
      <c r="BH155" s="334">
        <f t="shared" si="2582"/>
        <v>0</v>
      </c>
      <c r="BI155" s="335">
        <v>976</v>
      </c>
      <c r="BJ155" s="336">
        <v>45</v>
      </c>
      <c r="BK155" s="337">
        <f t="shared" ref="BK155:BL155" si="2583">IF(ISBLANK(BM155),,BM155-BM154)</f>
        <v>5</v>
      </c>
      <c r="BL155" s="334">
        <f t="shared" si="2583"/>
        <v>0</v>
      </c>
      <c r="BM155" s="335">
        <v>384</v>
      </c>
      <c r="BN155" s="339">
        <v>2</v>
      </c>
      <c r="BO155" s="316">
        <f t="shared" ref="BO155:BP155" si="2584">IF(ISBLANK(BQ155),,BQ155-BQ154)</f>
        <v>72</v>
      </c>
      <c r="BP155" s="334">
        <f t="shared" si="2584"/>
        <v>1</v>
      </c>
      <c r="BQ155" s="335">
        <v>3852</v>
      </c>
      <c r="BR155" s="336">
        <v>200</v>
      </c>
      <c r="BS155" s="316">
        <f t="shared" ref="BS155:BT155" si="2585">IF(ISBLANK(BU155),,BU155-BU154)</f>
        <v>5</v>
      </c>
      <c r="BT155" s="334">
        <f t="shared" si="2585"/>
        <v>0</v>
      </c>
      <c r="BU155" s="335">
        <v>746</v>
      </c>
      <c r="BV155" s="336">
        <v>23</v>
      </c>
      <c r="BW155" s="233"/>
      <c r="BX155" s="233"/>
      <c r="BY155" s="233"/>
      <c r="BZ155" s="233"/>
      <c r="CA155" s="233"/>
      <c r="CB155" s="233"/>
      <c r="CC155" s="233"/>
      <c r="CD155" s="233"/>
      <c r="CE155" s="233"/>
    </row>
    <row r="156" spans="1:83" x14ac:dyDescent="0.25">
      <c r="A156" s="313">
        <v>44046</v>
      </c>
      <c r="B156" s="314">
        <f t="shared" si="1276"/>
        <v>153</v>
      </c>
      <c r="C156" s="315"/>
      <c r="D156" s="316">
        <v>575</v>
      </c>
      <c r="E156" s="317">
        <v>1</v>
      </c>
      <c r="F156" s="318">
        <v>34881</v>
      </c>
      <c r="G156" s="319"/>
      <c r="H156" s="330">
        <f t="shared" ref="H156:I156" si="2586">IF(ISBLANK(D156),,H155+D156)</f>
        <v>47469</v>
      </c>
      <c r="I156" s="331">
        <f t="shared" si="2586"/>
        <v>1732</v>
      </c>
      <c r="J156" s="332">
        <f t="shared" si="1"/>
        <v>172</v>
      </c>
      <c r="K156" s="333">
        <f t="shared" ref="K156:L156" si="2587">IF(ISBLANK(M156),,M156-M155)</f>
        <v>17</v>
      </c>
      <c r="L156" s="334">
        <f t="shared" si="2587"/>
        <v>0</v>
      </c>
      <c r="M156" s="335">
        <v>3306</v>
      </c>
      <c r="N156" s="336">
        <v>158</v>
      </c>
      <c r="O156" s="337">
        <f t="shared" ref="O156:P156" si="2588">IF(ISBLANK(Q156),,Q156-Q155)</f>
        <v>9</v>
      </c>
      <c r="P156" s="338">
        <f t="shared" si="2588"/>
        <v>0</v>
      </c>
      <c r="Q156" s="335">
        <v>819</v>
      </c>
      <c r="R156" s="339">
        <v>50</v>
      </c>
      <c r="S156" s="316">
        <f t="shared" ref="S156:T156" si="2589">IF(ISBLANK(U156),,U156-U155)</f>
        <v>13</v>
      </c>
      <c r="T156" s="334">
        <f t="shared" si="2589"/>
        <v>0</v>
      </c>
      <c r="U156" s="335">
        <v>1014</v>
      </c>
      <c r="V156" s="336">
        <v>20</v>
      </c>
      <c r="W156" s="337">
        <f t="shared" ref="W156:X156" si="2590">IF(ISBLANK(Y156),,Y156-Y155)</f>
        <v>13</v>
      </c>
      <c r="X156" s="334">
        <f t="shared" si="2590"/>
        <v>0</v>
      </c>
      <c r="Y156" s="335">
        <v>432</v>
      </c>
      <c r="Z156" s="340">
        <v>10</v>
      </c>
      <c r="AA156" s="316">
        <f t="shared" ref="AA156:AB156" si="2591">IF(ISBLANK(AC156),,AC156-AC155)</f>
        <v>20</v>
      </c>
      <c r="AB156" s="334">
        <f t="shared" si="2591"/>
        <v>0</v>
      </c>
      <c r="AC156" s="335">
        <v>4052</v>
      </c>
      <c r="AD156" s="336">
        <v>207</v>
      </c>
      <c r="AE156" s="337">
        <f t="shared" ref="AE156:AF156" si="2592">IF(ISBLANK(AG156),,AG156-AG155)</f>
        <v>78</v>
      </c>
      <c r="AF156" s="334">
        <f t="shared" si="2592"/>
        <v>0</v>
      </c>
      <c r="AG156" s="335">
        <v>3846</v>
      </c>
      <c r="AH156" s="339">
        <v>67</v>
      </c>
      <c r="AI156" s="316">
        <f t="shared" ref="AI156:AJ156" si="2593">IF(ISBLANK(AK156),,AK156-AK155)</f>
        <v>82</v>
      </c>
      <c r="AJ156" s="334">
        <f t="shared" si="2593"/>
        <v>0</v>
      </c>
      <c r="AK156" s="335">
        <v>6636</v>
      </c>
      <c r="AL156" s="336">
        <v>377</v>
      </c>
      <c r="AM156" s="337">
        <f t="shared" ref="AM156:AN156" si="2594">IF(ISBLANK(AO156),,AO156-AO155)</f>
        <v>3</v>
      </c>
      <c r="AN156" s="334">
        <f t="shared" si="2594"/>
        <v>0</v>
      </c>
      <c r="AO156" s="335">
        <v>1207</v>
      </c>
      <c r="AP156" s="339">
        <v>57</v>
      </c>
      <c r="AQ156" s="316">
        <f t="shared" ref="AQ156:AR156" si="2595">IF(ISBLANK(AS156),,AS156-AS155)</f>
        <v>42</v>
      </c>
      <c r="AR156" s="338">
        <f t="shared" si="2595"/>
        <v>0</v>
      </c>
      <c r="AS156" s="335">
        <v>1395</v>
      </c>
      <c r="AT156" s="336">
        <v>60</v>
      </c>
      <c r="AU156" s="337">
        <f t="shared" ref="AU156:AV156" si="2596">IF(ISBLANK(AW156),,AW156-AW155)</f>
        <v>10</v>
      </c>
      <c r="AV156" s="334">
        <f t="shared" si="2596"/>
        <v>1</v>
      </c>
      <c r="AW156" s="335">
        <v>998</v>
      </c>
      <c r="AX156" s="339">
        <v>22</v>
      </c>
      <c r="AY156" s="316">
        <f t="shared" ref="AY156:AZ156" si="2597">IF(ISBLANK(BA156),,BA156-BA155)</f>
        <v>20</v>
      </c>
      <c r="AZ156" s="334">
        <f t="shared" si="2597"/>
        <v>0</v>
      </c>
      <c r="BA156" s="335">
        <v>963</v>
      </c>
      <c r="BB156" s="336">
        <v>39</v>
      </c>
      <c r="BC156" s="337">
        <f t="shared" ref="BC156:BD156" si="2598">IF(ISBLANK(BE156),,BE156-BE155)</f>
        <v>146</v>
      </c>
      <c r="BD156" s="334">
        <f t="shared" si="2598"/>
        <v>0</v>
      </c>
      <c r="BE156" s="335">
        <v>16721</v>
      </c>
      <c r="BF156" s="339">
        <v>395</v>
      </c>
      <c r="BG156" s="316">
        <f t="shared" ref="BG156:BH156" si="2599">IF(ISBLANK(BI156),,BI156-BI155)</f>
        <v>8</v>
      </c>
      <c r="BH156" s="334">
        <f t="shared" si="2599"/>
        <v>0</v>
      </c>
      <c r="BI156" s="335">
        <v>984</v>
      </c>
      <c r="BJ156" s="336">
        <v>45</v>
      </c>
      <c r="BK156" s="337">
        <f t="shared" ref="BK156:BL156" si="2600">IF(ISBLANK(BM156),,BM156-BM155)</f>
        <v>1</v>
      </c>
      <c r="BL156" s="334">
        <f t="shared" si="2600"/>
        <v>0</v>
      </c>
      <c r="BM156" s="335">
        <v>385</v>
      </c>
      <c r="BN156" s="339">
        <v>2</v>
      </c>
      <c r="BO156" s="316">
        <f t="shared" ref="BO156:BP156" si="2601">IF(ISBLANK(BQ156),,BQ156-BQ155)</f>
        <v>98</v>
      </c>
      <c r="BP156" s="334">
        <f t="shared" si="2601"/>
        <v>0</v>
      </c>
      <c r="BQ156" s="335">
        <v>3950</v>
      </c>
      <c r="BR156" s="336">
        <v>200</v>
      </c>
      <c r="BS156" s="316">
        <f t="shared" ref="BS156:BT156" si="2602">IF(ISBLANK(BU156),,BU156-BU155)</f>
        <v>15</v>
      </c>
      <c r="BT156" s="334">
        <f t="shared" si="2602"/>
        <v>0</v>
      </c>
      <c r="BU156" s="335">
        <v>761</v>
      </c>
      <c r="BV156" s="336">
        <v>23</v>
      </c>
      <c r="BW156" s="233"/>
      <c r="BX156" s="233"/>
      <c r="BY156" s="233"/>
      <c r="BZ156" s="233"/>
      <c r="CA156" s="233"/>
      <c r="CB156" s="233"/>
      <c r="CC156" s="233"/>
      <c r="CD156" s="233"/>
      <c r="CE156" s="233"/>
    </row>
    <row r="157" spans="1:83" x14ac:dyDescent="0.25">
      <c r="A157" s="313">
        <v>44047</v>
      </c>
      <c r="B157" s="314">
        <f t="shared" si="1276"/>
        <v>154</v>
      </c>
      <c r="C157" s="315"/>
      <c r="D157" s="316">
        <v>680</v>
      </c>
      <c r="E157" s="317">
        <v>6</v>
      </c>
      <c r="F157" s="318">
        <v>35056</v>
      </c>
      <c r="G157" s="319"/>
      <c r="H157" s="330">
        <f t="shared" ref="H157:I157" si="2603">IF(ISBLANK(D157),,H156+D157)</f>
        <v>48149</v>
      </c>
      <c r="I157" s="331">
        <f t="shared" si="2603"/>
        <v>1738</v>
      </c>
      <c r="J157" s="332">
        <f t="shared" si="1"/>
        <v>175</v>
      </c>
      <c r="K157" s="333">
        <f t="shared" ref="K157:L157" si="2604">IF(ISBLANK(M157),,M157-M156)</f>
        <v>47</v>
      </c>
      <c r="L157" s="334">
        <f t="shared" si="2604"/>
        <v>0</v>
      </c>
      <c r="M157" s="335">
        <v>3353</v>
      </c>
      <c r="N157" s="336">
        <v>158</v>
      </c>
      <c r="O157" s="337">
        <f t="shared" ref="O157:P157" si="2605">IF(ISBLANK(Q157),,Q157-Q156)</f>
        <v>3</v>
      </c>
      <c r="P157" s="338">
        <f t="shared" si="2605"/>
        <v>0</v>
      </c>
      <c r="Q157" s="335">
        <v>822</v>
      </c>
      <c r="R157" s="339">
        <v>50</v>
      </c>
      <c r="S157" s="316">
        <f t="shared" ref="S157:T157" si="2606">IF(ISBLANK(U157),,U157-U156)</f>
        <v>8</v>
      </c>
      <c r="T157" s="334">
        <f t="shared" si="2606"/>
        <v>0</v>
      </c>
      <c r="U157" s="335">
        <v>1022</v>
      </c>
      <c r="V157" s="336">
        <v>20</v>
      </c>
      <c r="W157" s="337">
        <f t="shared" ref="W157:X157" si="2607">IF(ISBLANK(Y157),,Y157-Y156)</f>
        <v>5</v>
      </c>
      <c r="X157" s="334">
        <f t="shared" si="2607"/>
        <v>0</v>
      </c>
      <c r="Y157" s="335">
        <v>437</v>
      </c>
      <c r="Z157" s="340">
        <v>10</v>
      </c>
      <c r="AA157" s="316">
        <f t="shared" ref="AA157:AB157" si="2608">IF(ISBLANK(AC157),,AC157-AC156)</f>
        <v>39</v>
      </c>
      <c r="AB157" s="334">
        <f t="shared" si="2608"/>
        <v>0</v>
      </c>
      <c r="AC157" s="335">
        <v>4091</v>
      </c>
      <c r="AD157" s="336">
        <v>207</v>
      </c>
      <c r="AE157" s="337">
        <f t="shared" ref="AE157:AF157" si="2609">IF(ISBLANK(AG157),,AG157-AG156)</f>
        <v>88</v>
      </c>
      <c r="AF157" s="334">
        <f t="shared" si="2609"/>
        <v>1</v>
      </c>
      <c r="AG157" s="335">
        <v>3934</v>
      </c>
      <c r="AH157" s="339">
        <v>68</v>
      </c>
      <c r="AI157" s="316">
        <f t="shared" ref="AI157:AJ157" si="2610">IF(ISBLANK(AK157),,AK157-AK156)</f>
        <v>49</v>
      </c>
      <c r="AJ157" s="334">
        <f t="shared" si="2610"/>
        <v>0</v>
      </c>
      <c r="AK157" s="335">
        <v>6685</v>
      </c>
      <c r="AL157" s="336">
        <v>377</v>
      </c>
      <c r="AM157" s="337">
        <f t="shared" ref="AM157:AN157" si="2611">IF(ISBLANK(AO157),,AO157-AO156)</f>
        <v>7</v>
      </c>
      <c r="AN157" s="334">
        <f t="shared" si="2611"/>
        <v>0</v>
      </c>
      <c r="AO157" s="335">
        <v>1214</v>
      </c>
      <c r="AP157" s="339">
        <v>57</v>
      </c>
      <c r="AQ157" s="316">
        <f t="shared" ref="AQ157:AR157" si="2612">IF(ISBLANK(AS157),,AS157-AS156)</f>
        <v>41</v>
      </c>
      <c r="AR157" s="338">
        <f t="shared" si="2612"/>
        <v>2</v>
      </c>
      <c r="AS157" s="335">
        <v>1436</v>
      </c>
      <c r="AT157" s="336">
        <v>62</v>
      </c>
      <c r="AU157" s="337">
        <f t="shared" ref="AU157:AV157" si="2613">IF(ISBLANK(AW157),,AW157-AW156)</f>
        <v>15</v>
      </c>
      <c r="AV157" s="334">
        <f t="shared" si="2613"/>
        <v>0</v>
      </c>
      <c r="AW157" s="335">
        <v>1013</v>
      </c>
      <c r="AX157" s="339">
        <v>22</v>
      </c>
      <c r="AY157" s="316">
        <f t="shared" ref="AY157:AZ157" si="2614">IF(ISBLANK(BA157),,BA157-BA156)</f>
        <v>17</v>
      </c>
      <c r="AZ157" s="334">
        <f t="shared" si="2614"/>
        <v>0</v>
      </c>
      <c r="BA157" s="335">
        <v>980</v>
      </c>
      <c r="BB157" s="336">
        <v>39</v>
      </c>
      <c r="BC157" s="337">
        <f t="shared" ref="BC157:BD157" si="2615">IF(ISBLANK(BE157),,BE157-BE156)</f>
        <v>222</v>
      </c>
      <c r="BD157" s="334">
        <f t="shared" si="2615"/>
        <v>2</v>
      </c>
      <c r="BE157" s="335">
        <v>16943</v>
      </c>
      <c r="BF157" s="339">
        <v>397</v>
      </c>
      <c r="BG157" s="316">
        <f t="shared" ref="BG157:BH157" si="2616">IF(ISBLANK(BI157),,BI157-BI156)</f>
        <v>26</v>
      </c>
      <c r="BH157" s="334">
        <f t="shared" si="2616"/>
        <v>0</v>
      </c>
      <c r="BI157" s="335">
        <v>1010</v>
      </c>
      <c r="BJ157" s="336">
        <v>45</v>
      </c>
      <c r="BK157" s="337">
        <f t="shared" ref="BK157:BL157" si="2617">IF(ISBLANK(BM157),,BM157-BM156)</f>
        <v>4</v>
      </c>
      <c r="BL157" s="334">
        <f t="shared" si="2617"/>
        <v>0</v>
      </c>
      <c r="BM157" s="335">
        <v>389</v>
      </c>
      <c r="BN157" s="339">
        <v>2</v>
      </c>
      <c r="BO157" s="316">
        <f t="shared" ref="BO157:BP157" si="2618">IF(ISBLANK(BQ157),,BQ157-BQ156)</f>
        <v>94</v>
      </c>
      <c r="BP157" s="334">
        <f t="shared" si="2618"/>
        <v>1</v>
      </c>
      <c r="BQ157" s="335">
        <v>4044</v>
      </c>
      <c r="BR157" s="336">
        <v>201</v>
      </c>
      <c r="BS157" s="316">
        <f t="shared" ref="BS157:BT157" si="2619">IF(ISBLANK(BU157),,BU157-BU156)</f>
        <v>15</v>
      </c>
      <c r="BT157" s="334">
        <f t="shared" si="2619"/>
        <v>0</v>
      </c>
      <c r="BU157" s="335">
        <v>776</v>
      </c>
      <c r="BV157" s="336">
        <v>23</v>
      </c>
      <c r="BW157" s="233"/>
      <c r="BX157" s="233"/>
      <c r="BY157" s="233"/>
      <c r="BZ157" s="233"/>
      <c r="CA157" s="233"/>
      <c r="CB157" s="233"/>
      <c r="CC157" s="233"/>
      <c r="CD157" s="233"/>
      <c r="CE157" s="233"/>
    </row>
    <row r="158" spans="1:83" x14ac:dyDescent="0.25">
      <c r="A158" s="313">
        <v>44048</v>
      </c>
      <c r="B158" s="314">
        <f t="shared" si="1276"/>
        <v>155</v>
      </c>
      <c r="C158" s="315"/>
      <c r="D158" s="316">
        <v>640</v>
      </c>
      <c r="E158" s="317">
        <v>18</v>
      </c>
      <c r="F158" s="318">
        <v>35321</v>
      </c>
      <c r="G158" s="319"/>
      <c r="H158" s="330">
        <f t="shared" ref="H158:I158" si="2620">IF(ISBLANK(D158),,H157+D158)</f>
        <v>48789</v>
      </c>
      <c r="I158" s="331">
        <f t="shared" si="2620"/>
        <v>1756</v>
      </c>
      <c r="J158" s="332">
        <f t="shared" si="1"/>
        <v>265</v>
      </c>
      <c r="K158" s="333">
        <f t="shared" ref="K158:L158" si="2621">IF(ISBLANK(M158),,M158-M157)</f>
        <v>22</v>
      </c>
      <c r="L158" s="334">
        <f t="shared" si="2621"/>
        <v>1</v>
      </c>
      <c r="M158" s="335">
        <v>3375</v>
      </c>
      <c r="N158" s="336">
        <v>159</v>
      </c>
      <c r="O158" s="337">
        <f t="shared" ref="O158:P158" si="2622">IF(ISBLANK(Q158),,Q158-Q157)</f>
        <v>5</v>
      </c>
      <c r="P158" s="338">
        <f t="shared" si="2622"/>
        <v>0</v>
      </c>
      <c r="Q158" s="335">
        <v>827</v>
      </c>
      <c r="R158" s="339">
        <v>50</v>
      </c>
      <c r="S158" s="316">
        <f t="shared" ref="S158:T158" si="2623">IF(ISBLANK(U158),,U158-U157)</f>
        <v>25</v>
      </c>
      <c r="T158" s="334">
        <f t="shared" si="2623"/>
        <v>0</v>
      </c>
      <c r="U158" s="335">
        <v>1047</v>
      </c>
      <c r="V158" s="336">
        <v>20</v>
      </c>
      <c r="W158" s="337">
        <f t="shared" ref="W158:X158" si="2624">IF(ISBLANK(Y158),,Y158-Y157)</f>
        <v>13</v>
      </c>
      <c r="X158" s="334">
        <f t="shared" si="2624"/>
        <v>2</v>
      </c>
      <c r="Y158" s="335">
        <v>450</v>
      </c>
      <c r="Z158" s="340">
        <v>12</v>
      </c>
      <c r="AA158" s="316">
        <f t="shared" ref="AA158:AB158" si="2625">IF(ISBLANK(AC158),,AC158-AC157)</f>
        <v>37</v>
      </c>
      <c r="AB158" s="334">
        <f t="shared" si="2625"/>
        <v>3</v>
      </c>
      <c r="AC158" s="335">
        <v>4128</v>
      </c>
      <c r="AD158" s="336">
        <v>210</v>
      </c>
      <c r="AE158" s="337">
        <f t="shared" ref="AE158:AF158" si="2626">IF(ISBLANK(AG158),,AG158-AG157)</f>
        <v>90</v>
      </c>
      <c r="AF158" s="334">
        <f t="shared" si="2626"/>
        <v>3</v>
      </c>
      <c r="AG158" s="335">
        <v>4024</v>
      </c>
      <c r="AH158" s="339">
        <v>71</v>
      </c>
      <c r="AI158" s="316">
        <f t="shared" ref="AI158:AJ158" si="2627">IF(ISBLANK(AK158),,AK158-AK157)</f>
        <v>86</v>
      </c>
      <c r="AJ158" s="334">
        <f t="shared" si="2627"/>
        <v>7</v>
      </c>
      <c r="AK158" s="335">
        <v>6771</v>
      </c>
      <c r="AL158" s="336">
        <v>384</v>
      </c>
      <c r="AM158" s="337">
        <f t="shared" ref="AM158:AN158" si="2628">IF(ISBLANK(AO158),,AO158-AO157)</f>
        <v>21</v>
      </c>
      <c r="AN158" s="334">
        <f t="shared" si="2628"/>
        <v>0</v>
      </c>
      <c r="AO158" s="335">
        <v>1235</v>
      </c>
      <c r="AP158" s="339">
        <v>57</v>
      </c>
      <c r="AQ158" s="316">
        <f t="shared" ref="AQ158:AR158" si="2629">IF(ISBLANK(AS158),,AS158-AS157)</f>
        <v>32</v>
      </c>
      <c r="AR158" s="338">
        <f t="shared" si="2629"/>
        <v>1</v>
      </c>
      <c r="AS158" s="335">
        <v>1468</v>
      </c>
      <c r="AT158" s="336">
        <v>63</v>
      </c>
      <c r="AU158" s="337">
        <f t="shared" ref="AU158:AV158" si="2630">IF(ISBLANK(AW158),,AW158-AW157)</f>
        <v>10</v>
      </c>
      <c r="AV158" s="334">
        <f t="shared" si="2630"/>
        <v>0</v>
      </c>
      <c r="AW158" s="335">
        <v>1023</v>
      </c>
      <c r="AX158" s="339">
        <v>22</v>
      </c>
      <c r="AY158" s="316">
        <f t="shared" ref="AY158:AZ158" si="2631">IF(ISBLANK(BA158),,BA158-BA157)</f>
        <v>17</v>
      </c>
      <c r="AZ158" s="334">
        <f t="shared" si="2631"/>
        <v>0</v>
      </c>
      <c r="BA158" s="335">
        <v>997</v>
      </c>
      <c r="BB158" s="336">
        <v>39</v>
      </c>
      <c r="BC158" s="337">
        <f t="shared" ref="BC158:BD158" si="2632">IF(ISBLANK(BE158),,BE158-BE157)</f>
        <v>152</v>
      </c>
      <c r="BD158" s="334">
        <f t="shared" si="2632"/>
        <v>1</v>
      </c>
      <c r="BE158" s="335">
        <v>17095</v>
      </c>
      <c r="BF158" s="339">
        <v>398</v>
      </c>
      <c r="BG158" s="316">
        <f t="shared" ref="BG158:BH158" si="2633">IF(ISBLANK(BI158),,BI158-BI157)</f>
        <v>3</v>
      </c>
      <c r="BH158" s="334">
        <f t="shared" si="2633"/>
        <v>0</v>
      </c>
      <c r="BI158" s="335">
        <v>1013</v>
      </c>
      <c r="BJ158" s="336">
        <v>45</v>
      </c>
      <c r="BK158" s="337">
        <f t="shared" ref="BK158:BL158" si="2634">IF(ISBLANK(BM158),,BM158-BM157)</f>
        <v>13</v>
      </c>
      <c r="BL158" s="334">
        <f t="shared" si="2634"/>
        <v>0</v>
      </c>
      <c r="BM158" s="335">
        <v>402</v>
      </c>
      <c r="BN158" s="339">
        <v>2</v>
      </c>
      <c r="BO158" s="316">
        <f t="shared" ref="BO158:BP158" si="2635">IF(ISBLANK(BQ158),,BQ158-BQ157)</f>
        <v>97</v>
      </c>
      <c r="BP158" s="334">
        <f t="shared" si="2635"/>
        <v>0</v>
      </c>
      <c r="BQ158" s="335">
        <v>4141</v>
      </c>
      <c r="BR158" s="336">
        <v>201</v>
      </c>
      <c r="BS158" s="316">
        <f t="shared" ref="BS158:BT158" si="2636">IF(ISBLANK(BU158),,BU158-BU157)</f>
        <v>17</v>
      </c>
      <c r="BT158" s="334">
        <f t="shared" si="2636"/>
        <v>0</v>
      </c>
      <c r="BU158" s="335">
        <v>793</v>
      </c>
      <c r="BV158" s="336">
        <v>23</v>
      </c>
      <c r="BW158" s="233"/>
      <c r="BX158" s="233"/>
      <c r="BY158" s="233"/>
      <c r="BZ158" s="233"/>
      <c r="CA158" s="233"/>
      <c r="CB158" s="233"/>
      <c r="CC158" s="233"/>
      <c r="CD158" s="233"/>
      <c r="CE158" s="233"/>
    </row>
    <row r="159" spans="1:83" x14ac:dyDescent="0.25">
      <c r="A159" s="313">
        <v>44049</v>
      </c>
      <c r="B159" s="314">
        <f t="shared" si="1276"/>
        <v>156</v>
      </c>
      <c r="C159" s="315"/>
      <c r="D159" s="316">
        <v>726</v>
      </c>
      <c r="E159" s="317">
        <v>18</v>
      </c>
      <c r="F159" s="318">
        <v>35642</v>
      </c>
      <c r="G159" s="319"/>
      <c r="H159" s="330">
        <f t="shared" ref="H159:I159" si="2637">IF(ISBLANK(D159),,H158+D159)</f>
        <v>49515</v>
      </c>
      <c r="I159" s="331">
        <f t="shared" si="2637"/>
        <v>1774</v>
      </c>
      <c r="J159" s="332">
        <f t="shared" si="1"/>
        <v>321</v>
      </c>
      <c r="K159" s="333">
        <f t="shared" ref="K159:L159" si="2638">IF(ISBLANK(M159),,M159-M158)</f>
        <v>39</v>
      </c>
      <c r="L159" s="334">
        <f t="shared" si="2638"/>
        <v>1</v>
      </c>
      <c r="M159" s="335">
        <v>3414</v>
      </c>
      <c r="N159" s="336">
        <v>160</v>
      </c>
      <c r="O159" s="337">
        <f t="shared" ref="O159:P159" si="2639">IF(ISBLANK(Q159),,Q159-Q158)</f>
        <v>11</v>
      </c>
      <c r="P159" s="338">
        <f t="shared" si="2639"/>
        <v>0</v>
      </c>
      <c r="Q159" s="335">
        <v>838</v>
      </c>
      <c r="R159" s="339">
        <v>50</v>
      </c>
      <c r="S159" s="316">
        <f t="shared" ref="S159:T159" si="2640">IF(ISBLANK(U159),,U159-U158)</f>
        <v>13</v>
      </c>
      <c r="T159" s="334">
        <f t="shared" si="2640"/>
        <v>0</v>
      </c>
      <c r="U159" s="335">
        <v>1060</v>
      </c>
      <c r="V159" s="336">
        <v>20</v>
      </c>
      <c r="W159" s="337">
        <f t="shared" ref="W159:X159" si="2641">IF(ISBLANK(Y159),,Y159-Y158)</f>
        <v>8</v>
      </c>
      <c r="X159" s="334">
        <f t="shared" si="2641"/>
        <v>0</v>
      </c>
      <c r="Y159" s="335">
        <v>458</v>
      </c>
      <c r="Z159" s="340">
        <v>12</v>
      </c>
      <c r="AA159" s="316">
        <f t="shared" ref="AA159:AB159" si="2642">IF(ISBLANK(AC159),,AC159-AC158)</f>
        <v>39</v>
      </c>
      <c r="AB159" s="334">
        <f t="shared" si="2642"/>
        <v>2</v>
      </c>
      <c r="AC159" s="335">
        <v>4167</v>
      </c>
      <c r="AD159" s="336">
        <v>212</v>
      </c>
      <c r="AE159" s="337">
        <f t="shared" ref="AE159:AF159" si="2643">IF(ISBLANK(AG159),,AG159-AG158)</f>
        <v>118</v>
      </c>
      <c r="AF159" s="334">
        <f t="shared" si="2643"/>
        <v>1</v>
      </c>
      <c r="AG159" s="335">
        <v>4142</v>
      </c>
      <c r="AH159" s="339">
        <v>72</v>
      </c>
      <c r="AI159" s="316">
        <f t="shared" ref="AI159:AJ159" si="2644">IF(ISBLANK(AK159),,AK159-AK158)</f>
        <v>107</v>
      </c>
      <c r="AJ159" s="334">
        <f t="shared" si="2644"/>
        <v>3</v>
      </c>
      <c r="AK159" s="335">
        <v>6878</v>
      </c>
      <c r="AL159" s="336">
        <v>387</v>
      </c>
      <c r="AM159" s="337">
        <f t="shared" ref="AM159:AN159" si="2645">IF(ISBLANK(AO159),,AO159-AO158)</f>
        <v>25</v>
      </c>
      <c r="AN159" s="334">
        <f t="shared" si="2645"/>
        <v>0</v>
      </c>
      <c r="AO159" s="335">
        <v>1260</v>
      </c>
      <c r="AP159" s="339">
        <v>57</v>
      </c>
      <c r="AQ159" s="316">
        <f t="shared" ref="AQ159:AR159" si="2646">IF(ISBLANK(AS159),,AS159-AS158)</f>
        <v>33</v>
      </c>
      <c r="AR159" s="338">
        <f t="shared" si="2646"/>
        <v>4</v>
      </c>
      <c r="AS159" s="335">
        <v>1501</v>
      </c>
      <c r="AT159" s="336">
        <v>67</v>
      </c>
      <c r="AU159" s="337">
        <f t="shared" ref="AU159:AV159" si="2647">IF(ISBLANK(AW159),,AW159-AW158)</f>
        <v>17</v>
      </c>
      <c r="AV159" s="334">
        <f t="shared" si="2647"/>
        <v>0</v>
      </c>
      <c r="AW159" s="335">
        <v>1040</v>
      </c>
      <c r="AX159" s="339">
        <v>22</v>
      </c>
      <c r="AY159" s="316">
        <f t="shared" ref="AY159:AZ159" si="2648">IF(ISBLANK(BA159),,BA159-BA158)</f>
        <v>29</v>
      </c>
      <c r="AZ159" s="334">
        <f t="shared" si="2648"/>
        <v>0</v>
      </c>
      <c r="BA159" s="335">
        <v>1026</v>
      </c>
      <c r="BB159" s="336">
        <v>39</v>
      </c>
      <c r="BC159" s="337">
        <f t="shared" ref="BC159:BD159" si="2649">IF(ISBLANK(BE159),,BE159-BE158)</f>
        <v>137</v>
      </c>
      <c r="BD159" s="334">
        <f t="shared" si="2649"/>
        <v>5</v>
      </c>
      <c r="BE159" s="335">
        <v>17232</v>
      </c>
      <c r="BF159" s="339">
        <v>403</v>
      </c>
      <c r="BG159" s="316">
        <f t="shared" ref="BG159:BH159" si="2650">IF(ISBLANK(BI159),,BI159-BI158)</f>
        <v>30</v>
      </c>
      <c r="BH159" s="334">
        <f t="shared" si="2650"/>
        <v>0</v>
      </c>
      <c r="BI159" s="335">
        <v>1043</v>
      </c>
      <c r="BJ159" s="336">
        <v>45</v>
      </c>
      <c r="BK159" s="337">
        <f t="shared" ref="BK159:BL159" si="2651">IF(ISBLANK(BM159),,BM159-BM158)</f>
        <v>12</v>
      </c>
      <c r="BL159" s="334">
        <f t="shared" si="2651"/>
        <v>0</v>
      </c>
      <c r="BM159" s="335">
        <v>414</v>
      </c>
      <c r="BN159" s="339">
        <v>2</v>
      </c>
      <c r="BO159" s="316">
        <f t="shared" ref="BO159:BP159" si="2652">IF(ISBLANK(BQ159),,BQ159-BQ158)</f>
        <v>89</v>
      </c>
      <c r="BP159" s="334">
        <f t="shared" si="2652"/>
        <v>2</v>
      </c>
      <c r="BQ159" s="335">
        <v>4230</v>
      </c>
      <c r="BR159" s="336">
        <v>203</v>
      </c>
      <c r="BS159" s="316">
        <f t="shared" ref="BS159:BT159" si="2653">IF(ISBLANK(BU159),,BU159-BU158)</f>
        <v>19</v>
      </c>
      <c r="BT159" s="334">
        <f t="shared" si="2653"/>
        <v>0</v>
      </c>
      <c r="BU159" s="335">
        <v>812</v>
      </c>
      <c r="BV159" s="336">
        <v>23</v>
      </c>
      <c r="BW159" s="233"/>
      <c r="BX159" s="233"/>
      <c r="BY159" s="233"/>
      <c r="BZ159" s="233"/>
      <c r="CA159" s="233"/>
      <c r="CB159" s="233"/>
      <c r="CC159" s="233"/>
      <c r="CD159" s="233"/>
      <c r="CE159" s="233"/>
    </row>
    <row r="160" spans="1:83" x14ac:dyDescent="0.25">
      <c r="A160" s="313">
        <v>44050</v>
      </c>
      <c r="B160" s="314">
        <f t="shared" si="1276"/>
        <v>157</v>
      </c>
      <c r="C160" s="315"/>
      <c r="D160" s="316">
        <v>809</v>
      </c>
      <c r="E160" s="317">
        <v>13</v>
      </c>
      <c r="F160" s="318">
        <v>36041</v>
      </c>
      <c r="G160" s="319"/>
      <c r="H160" s="330">
        <f t="shared" ref="H160:I160" si="2654">IF(ISBLANK(D160),,H159+D160)</f>
        <v>50324</v>
      </c>
      <c r="I160" s="331">
        <f t="shared" si="2654"/>
        <v>1787</v>
      </c>
      <c r="J160" s="332">
        <f t="shared" si="1"/>
        <v>399</v>
      </c>
      <c r="K160" s="333">
        <f t="shared" ref="K160:L160" si="2655">IF(ISBLANK(M160),,M160-M159)</f>
        <v>22</v>
      </c>
      <c r="L160" s="334">
        <f t="shared" si="2655"/>
        <v>1</v>
      </c>
      <c r="M160" s="335">
        <v>3436</v>
      </c>
      <c r="N160" s="336">
        <v>161</v>
      </c>
      <c r="O160" s="337">
        <f t="shared" ref="O160:P160" si="2656">IF(ISBLANK(Q160),,Q160-Q159)</f>
        <v>8</v>
      </c>
      <c r="P160" s="338">
        <f t="shared" si="2656"/>
        <v>0</v>
      </c>
      <c r="Q160" s="335">
        <v>846</v>
      </c>
      <c r="R160" s="339">
        <v>50</v>
      </c>
      <c r="S160" s="316">
        <f t="shared" ref="S160:T160" si="2657">IF(ISBLANK(U160),,U160-U159)</f>
        <v>14</v>
      </c>
      <c r="T160" s="334">
        <f t="shared" si="2657"/>
        <v>0</v>
      </c>
      <c r="U160" s="335">
        <v>1074</v>
      </c>
      <c r="V160" s="336">
        <v>20</v>
      </c>
      <c r="W160" s="337">
        <f t="shared" ref="W160:X160" si="2658">IF(ISBLANK(Y160),,Y160-Y159)</f>
        <v>21</v>
      </c>
      <c r="X160" s="334">
        <f t="shared" si="2658"/>
        <v>0</v>
      </c>
      <c r="Y160" s="335">
        <v>479</v>
      </c>
      <c r="Z160" s="340">
        <v>12</v>
      </c>
      <c r="AA160" s="316">
        <f t="shared" ref="AA160:AB160" si="2659">IF(ISBLANK(AC160),,AC160-AC159)</f>
        <v>46</v>
      </c>
      <c r="AB160" s="334">
        <f t="shared" si="2659"/>
        <v>2</v>
      </c>
      <c r="AC160" s="335">
        <v>4213</v>
      </c>
      <c r="AD160" s="336">
        <v>214</v>
      </c>
      <c r="AE160" s="337">
        <f t="shared" ref="AE160:AF160" si="2660">IF(ISBLANK(AG160),,AG160-AG159)</f>
        <v>144</v>
      </c>
      <c r="AF160" s="334">
        <f t="shared" si="2660"/>
        <v>3</v>
      </c>
      <c r="AG160" s="335">
        <v>4286</v>
      </c>
      <c r="AH160" s="339">
        <v>75</v>
      </c>
      <c r="AI160" s="316">
        <f t="shared" ref="AI160:AJ160" si="2661">IF(ISBLANK(AK160),,AK160-AK159)</f>
        <v>104</v>
      </c>
      <c r="AJ160" s="334">
        <f t="shared" si="2661"/>
        <v>1</v>
      </c>
      <c r="AK160" s="335">
        <v>6982</v>
      </c>
      <c r="AL160" s="336">
        <v>388</v>
      </c>
      <c r="AM160" s="337">
        <f t="shared" ref="AM160:AN160" si="2662">IF(ISBLANK(AO160),,AO160-AO159)</f>
        <v>26</v>
      </c>
      <c r="AN160" s="334">
        <f t="shared" si="2662"/>
        <v>1</v>
      </c>
      <c r="AO160" s="335">
        <v>1286</v>
      </c>
      <c r="AP160" s="339">
        <v>58</v>
      </c>
      <c r="AQ160" s="316">
        <f t="shared" ref="AQ160:AR160" si="2663">IF(ISBLANK(AS160),,AS160-AS159)</f>
        <v>35</v>
      </c>
      <c r="AR160" s="338">
        <f t="shared" si="2663"/>
        <v>1</v>
      </c>
      <c r="AS160" s="335">
        <v>1536</v>
      </c>
      <c r="AT160" s="336">
        <v>68</v>
      </c>
      <c r="AU160" s="337">
        <f t="shared" ref="AU160:AV160" si="2664">IF(ISBLANK(AW160),,AW160-AW159)</f>
        <v>1</v>
      </c>
      <c r="AV160" s="334">
        <f t="shared" si="2664"/>
        <v>1</v>
      </c>
      <c r="AW160" s="335">
        <v>1041</v>
      </c>
      <c r="AX160" s="339">
        <v>23</v>
      </c>
      <c r="AY160" s="316">
        <f t="shared" ref="AY160:AZ160" si="2665">IF(ISBLANK(BA160),,BA160-BA159)</f>
        <v>41</v>
      </c>
      <c r="AZ160" s="334">
        <f t="shared" si="2665"/>
        <v>0</v>
      </c>
      <c r="BA160" s="335">
        <v>1067</v>
      </c>
      <c r="BB160" s="336">
        <v>39</v>
      </c>
      <c r="BC160" s="337">
        <f t="shared" ref="BC160:BD160" si="2666">IF(ISBLANK(BE160),,BE160-BE159)</f>
        <v>259</v>
      </c>
      <c r="BD160" s="334">
        <f t="shared" si="2666"/>
        <v>2</v>
      </c>
      <c r="BE160" s="335">
        <v>17491</v>
      </c>
      <c r="BF160" s="339">
        <v>405</v>
      </c>
      <c r="BG160" s="316">
        <f t="shared" ref="BG160:BH160" si="2667">IF(ISBLANK(BI160),,BI160-BI159)</f>
        <v>11</v>
      </c>
      <c r="BH160" s="334">
        <f t="shared" si="2667"/>
        <v>0</v>
      </c>
      <c r="BI160" s="335">
        <v>1054</v>
      </c>
      <c r="BJ160" s="336">
        <v>45</v>
      </c>
      <c r="BK160" s="337">
        <f t="shared" ref="BK160:BL160" si="2668">IF(ISBLANK(BM160),,BM160-BM159)</f>
        <v>17</v>
      </c>
      <c r="BL160" s="334">
        <f t="shared" si="2668"/>
        <v>0</v>
      </c>
      <c r="BM160" s="335">
        <v>431</v>
      </c>
      <c r="BN160" s="339">
        <v>2</v>
      </c>
      <c r="BO160" s="316">
        <f t="shared" ref="BO160:BP160" si="2669">IF(ISBLANK(BQ160),,BQ160-BQ159)</f>
        <v>46</v>
      </c>
      <c r="BP160" s="334">
        <f t="shared" si="2669"/>
        <v>1</v>
      </c>
      <c r="BQ160" s="335">
        <v>4276</v>
      </c>
      <c r="BR160" s="336">
        <v>204</v>
      </c>
      <c r="BS160" s="316">
        <f t="shared" ref="BS160:BT160" si="2670">IF(ISBLANK(BU160),,BU160-BU159)</f>
        <v>14</v>
      </c>
      <c r="BT160" s="334">
        <f t="shared" si="2670"/>
        <v>0</v>
      </c>
      <c r="BU160" s="335">
        <v>826</v>
      </c>
      <c r="BV160" s="336">
        <v>23</v>
      </c>
      <c r="BW160" s="233"/>
      <c r="BX160" s="233"/>
      <c r="BY160" s="233"/>
      <c r="BZ160" s="233"/>
      <c r="CA160" s="233"/>
      <c r="CB160" s="233"/>
      <c r="CC160" s="233"/>
      <c r="CD160" s="233"/>
      <c r="CE160" s="233"/>
    </row>
    <row r="161" spans="1:83" x14ac:dyDescent="0.25">
      <c r="A161" s="313">
        <v>44051</v>
      </c>
      <c r="B161" s="314">
        <f t="shared" si="1276"/>
        <v>158</v>
      </c>
      <c r="C161" s="315"/>
      <c r="D161" s="316">
        <v>843</v>
      </c>
      <c r="E161" s="317">
        <v>13</v>
      </c>
      <c r="F161" s="318">
        <v>36403</v>
      </c>
      <c r="G161" s="319"/>
      <c r="H161" s="330">
        <f t="shared" ref="H161:I161" si="2671">IF(ISBLANK(D161),,H160+D161)</f>
        <v>51167</v>
      </c>
      <c r="I161" s="331">
        <f t="shared" si="2671"/>
        <v>1800</v>
      </c>
      <c r="J161" s="332">
        <f t="shared" si="1"/>
        <v>362</v>
      </c>
      <c r="K161" s="333">
        <f t="shared" ref="K161:L161" si="2672">IF(ISBLANK(M161),,M161-M160)</f>
        <v>35</v>
      </c>
      <c r="L161" s="334">
        <f t="shared" si="2672"/>
        <v>1</v>
      </c>
      <c r="M161" s="335">
        <v>3471</v>
      </c>
      <c r="N161" s="336">
        <v>162</v>
      </c>
      <c r="O161" s="337">
        <f t="shared" ref="O161:P161" si="2673">IF(ISBLANK(Q161),,Q161-Q160)</f>
        <v>24</v>
      </c>
      <c r="P161" s="338">
        <f t="shared" si="2673"/>
        <v>0</v>
      </c>
      <c r="Q161" s="335">
        <v>870</v>
      </c>
      <c r="R161" s="339">
        <v>50</v>
      </c>
      <c r="S161" s="316">
        <f t="shared" ref="S161:T161" si="2674">IF(ISBLANK(U161),,U161-U160)</f>
        <v>22</v>
      </c>
      <c r="T161" s="334">
        <f t="shared" si="2674"/>
        <v>0</v>
      </c>
      <c r="U161" s="335">
        <v>1096</v>
      </c>
      <c r="V161" s="336">
        <v>20</v>
      </c>
      <c r="W161" s="337">
        <f t="shared" ref="W161:X161" si="2675">IF(ISBLANK(Y161),,Y161-Y160)</f>
        <v>25</v>
      </c>
      <c r="X161" s="334">
        <f t="shared" si="2675"/>
        <v>0</v>
      </c>
      <c r="Y161" s="335">
        <v>504</v>
      </c>
      <c r="Z161" s="340">
        <v>12</v>
      </c>
      <c r="AA161" s="316">
        <f t="shared" ref="AA161:AB161" si="2676">IF(ISBLANK(AC161),,AC161-AC160)</f>
        <v>31</v>
      </c>
      <c r="AB161" s="334">
        <f t="shared" si="2676"/>
        <v>1</v>
      </c>
      <c r="AC161" s="335">
        <v>4244</v>
      </c>
      <c r="AD161" s="336">
        <v>215</v>
      </c>
      <c r="AE161" s="337">
        <f t="shared" ref="AE161:AF161" si="2677">IF(ISBLANK(AG161),,AG161-AG160)</f>
        <v>124</v>
      </c>
      <c r="AF161" s="334">
        <f t="shared" si="2677"/>
        <v>0</v>
      </c>
      <c r="AG161" s="335">
        <v>4410</v>
      </c>
      <c r="AH161" s="339">
        <v>75</v>
      </c>
      <c r="AI161" s="316">
        <f t="shared" ref="AI161:AJ161" si="2678">IF(ISBLANK(AK161),,AK161-AK160)</f>
        <v>131</v>
      </c>
      <c r="AJ161" s="334">
        <f t="shared" si="2678"/>
        <v>0</v>
      </c>
      <c r="AK161" s="335">
        <v>7113</v>
      </c>
      <c r="AL161" s="336">
        <v>388</v>
      </c>
      <c r="AM161" s="337">
        <f t="shared" ref="AM161:AN161" si="2679">IF(ISBLANK(AO161),,AO161-AO160)</f>
        <v>17</v>
      </c>
      <c r="AN161" s="334">
        <f t="shared" si="2679"/>
        <v>0</v>
      </c>
      <c r="AO161" s="335">
        <v>1303</v>
      </c>
      <c r="AP161" s="339">
        <v>58</v>
      </c>
      <c r="AQ161" s="316">
        <f t="shared" ref="AQ161:AR161" si="2680">IF(ISBLANK(AS161),,AS161-AS160)</f>
        <v>44</v>
      </c>
      <c r="AR161" s="338">
        <f t="shared" si="2680"/>
        <v>1</v>
      </c>
      <c r="AS161" s="335">
        <v>1580</v>
      </c>
      <c r="AT161" s="336">
        <v>69</v>
      </c>
      <c r="AU161" s="337">
        <f t="shared" ref="AU161:AV161" si="2681">IF(ISBLANK(AW161),,AW161-AW160)</f>
        <v>12</v>
      </c>
      <c r="AV161" s="334">
        <f t="shared" si="2681"/>
        <v>0</v>
      </c>
      <c r="AW161" s="335">
        <v>1053</v>
      </c>
      <c r="AX161" s="339">
        <v>23</v>
      </c>
      <c r="AY161" s="316">
        <f t="shared" ref="AY161:AZ161" si="2682">IF(ISBLANK(BA161),,BA161-BA160)</f>
        <v>53</v>
      </c>
      <c r="AZ161" s="334">
        <f t="shared" si="2682"/>
        <v>0</v>
      </c>
      <c r="BA161" s="335">
        <v>1120</v>
      </c>
      <c r="BB161" s="336">
        <v>39</v>
      </c>
      <c r="BC161" s="337">
        <f t="shared" ref="BC161:BD161" si="2683">IF(ISBLANK(BE161),,BE161-BE160)</f>
        <v>208</v>
      </c>
      <c r="BD161" s="334">
        <f t="shared" si="2683"/>
        <v>8</v>
      </c>
      <c r="BE161" s="335">
        <v>17699</v>
      </c>
      <c r="BF161" s="339">
        <v>413</v>
      </c>
      <c r="BG161" s="316">
        <f t="shared" ref="BG161:BH161" si="2684">IF(ISBLANK(BI161),,BI161-BI160)</f>
        <v>13</v>
      </c>
      <c r="BH161" s="334">
        <f t="shared" si="2684"/>
        <v>0</v>
      </c>
      <c r="BI161" s="335">
        <v>1067</v>
      </c>
      <c r="BJ161" s="336">
        <v>45</v>
      </c>
      <c r="BK161" s="337">
        <f t="shared" ref="BK161:BL161" si="2685">IF(ISBLANK(BM161),,BM161-BM160)</f>
        <v>29</v>
      </c>
      <c r="BL161" s="334">
        <f t="shared" si="2685"/>
        <v>0</v>
      </c>
      <c r="BM161" s="335">
        <v>460</v>
      </c>
      <c r="BN161" s="339">
        <v>2</v>
      </c>
      <c r="BO161" s="316">
        <f t="shared" ref="BO161:BP161" si="2686">IF(ISBLANK(BQ161),,BQ161-BQ160)</f>
        <v>54</v>
      </c>
      <c r="BP161" s="334">
        <f t="shared" si="2686"/>
        <v>2</v>
      </c>
      <c r="BQ161" s="335">
        <v>4330</v>
      </c>
      <c r="BR161" s="336">
        <v>206</v>
      </c>
      <c r="BS161" s="316">
        <f t="shared" ref="BS161:BT161" si="2687">IF(ISBLANK(BU161),,BU161-BU160)</f>
        <v>21</v>
      </c>
      <c r="BT161" s="334">
        <f t="shared" si="2687"/>
        <v>0</v>
      </c>
      <c r="BU161" s="335">
        <v>847</v>
      </c>
      <c r="BV161" s="336">
        <v>23</v>
      </c>
      <c r="BW161" s="233"/>
      <c r="BX161" s="233"/>
      <c r="BY161" s="233"/>
      <c r="BZ161" s="233"/>
      <c r="CA161" s="233"/>
      <c r="CB161" s="233"/>
      <c r="CC161" s="233"/>
      <c r="CD161" s="233"/>
      <c r="CE161" s="233"/>
    </row>
    <row r="162" spans="1:83" x14ac:dyDescent="0.25">
      <c r="A162" s="313">
        <v>44052</v>
      </c>
      <c r="B162" s="314">
        <f t="shared" si="1276"/>
        <v>159</v>
      </c>
      <c r="C162" s="315"/>
      <c r="D162" s="316">
        <v>624</v>
      </c>
      <c r="E162" s="317">
        <v>7</v>
      </c>
      <c r="F162" s="318">
        <v>36691</v>
      </c>
      <c r="G162" s="319"/>
      <c r="H162" s="330">
        <f t="shared" ref="H162:I162" si="2688">IF(ISBLANK(D162),,H161+D162)</f>
        <v>51791</v>
      </c>
      <c r="I162" s="331">
        <f t="shared" si="2688"/>
        <v>1807</v>
      </c>
      <c r="J162" s="332">
        <f t="shared" si="1"/>
        <v>288</v>
      </c>
      <c r="K162" s="333">
        <f t="shared" ref="K162:L162" si="2689">IF(ISBLANK(M162),,M162-M161)</f>
        <v>12</v>
      </c>
      <c r="L162" s="334">
        <f t="shared" si="2689"/>
        <v>0</v>
      </c>
      <c r="M162" s="335">
        <v>3483</v>
      </c>
      <c r="N162" s="336">
        <v>162</v>
      </c>
      <c r="O162" s="337">
        <f t="shared" ref="O162:P162" si="2690">IF(ISBLANK(Q162),,Q162-Q161)</f>
        <v>5</v>
      </c>
      <c r="P162" s="338">
        <f t="shared" si="2690"/>
        <v>0</v>
      </c>
      <c r="Q162" s="335">
        <v>875</v>
      </c>
      <c r="R162" s="339">
        <v>50</v>
      </c>
      <c r="S162" s="316">
        <f t="shared" ref="S162:T162" si="2691">IF(ISBLANK(U162),,U162-U161)</f>
        <v>17</v>
      </c>
      <c r="T162" s="334">
        <f t="shared" si="2691"/>
        <v>0</v>
      </c>
      <c r="U162" s="335">
        <v>1113</v>
      </c>
      <c r="V162" s="336">
        <v>20</v>
      </c>
      <c r="W162" s="337">
        <f t="shared" ref="W162:X162" si="2692">IF(ISBLANK(Y162),,Y162-Y161)</f>
        <v>20</v>
      </c>
      <c r="X162" s="334">
        <f t="shared" si="2692"/>
        <v>0</v>
      </c>
      <c r="Y162" s="335">
        <v>524</v>
      </c>
      <c r="Z162" s="340">
        <v>12</v>
      </c>
      <c r="AA162" s="316">
        <f t="shared" ref="AA162:AB162" si="2693">IF(ISBLANK(AC162),,AC162-AC161)</f>
        <v>22</v>
      </c>
      <c r="AB162" s="334">
        <f t="shared" si="2693"/>
        <v>0</v>
      </c>
      <c r="AC162" s="335">
        <v>4266</v>
      </c>
      <c r="AD162" s="336">
        <v>215</v>
      </c>
      <c r="AE162" s="337">
        <f t="shared" ref="AE162:AF162" si="2694">IF(ISBLANK(AG162),,AG162-AG161)</f>
        <v>108</v>
      </c>
      <c r="AF162" s="334">
        <f t="shared" si="2694"/>
        <v>2</v>
      </c>
      <c r="AG162" s="335">
        <v>4518</v>
      </c>
      <c r="AH162" s="339">
        <v>77</v>
      </c>
      <c r="AI162" s="316">
        <f t="shared" ref="AI162:AJ162" si="2695">IF(ISBLANK(AK162),,AK162-AK161)</f>
        <v>81</v>
      </c>
      <c r="AJ162" s="334">
        <f t="shared" si="2695"/>
        <v>1</v>
      </c>
      <c r="AK162" s="335">
        <v>7194</v>
      </c>
      <c r="AL162" s="336">
        <v>389</v>
      </c>
      <c r="AM162" s="337">
        <f t="shared" ref="AM162:AN162" si="2696">IF(ISBLANK(AO162),,AO162-AO161)</f>
        <v>13</v>
      </c>
      <c r="AN162" s="334">
        <f t="shared" si="2696"/>
        <v>0</v>
      </c>
      <c r="AO162" s="335">
        <v>1316</v>
      </c>
      <c r="AP162" s="339">
        <v>58</v>
      </c>
      <c r="AQ162" s="316">
        <f t="shared" ref="AQ162:AR162" si="2697">IF(ISBLANK(AS162),,AS162-AS161)</f>
        <v>28</v>
      </c>
      <c r="AR162" s="338">
        <f t="shared" si="2697"/>
        <v>1</v>
      </c>
      <c r="AS162" s="335">
        <v>1608</v>
      </c>
      <c r="AT162" s="336">
        <v>70</v>
      </c>
      <c r="AU162" s="337">
        <f t="shared" ref="AU162:AV162" si="2698">IF(ISBLANK(AW162),,AW162-AW161)</f>
        <v>10</v>
      </c>
      <c r="AV162" s="334">
        <f t="shared" si="2698"/>
        <v>0</v>
      </c>
      <c r="AW162" s="335">
        <v>1063</v>
      </c>
      <c r="AX162" s="339">
        <v>23</v>
      </c>
      <c r="AY162" s="316">
        <f t="shared" ref="AY162:AZ162" si="2699">IF(ISBLANK(BA162),,BA162-BA161)</f>
        <v>40</v>
      </c>
      <c r="AZ162" s="334">
        <f t="shared" si="2699"/>
        <v>0</v>
      </c>
      <c r="BA162" s="335">
        <v>1160</v>
      </c>
      <c r="BB162" s="336">
        <v>39</v>
      </c>
      <c r="BC162" s="337">
        <f t="shared" ref="BC162:BD162" si="2700">IF(ISBLANK(BE162),,BE162-BE161)</f>
        <v>149</v>
      </c>
      <c r="BD162" s="334">
        <f t="shared" si="2700"/>
        <v>1</v>
      </c>
      <c r="BE162" s="335">
        <v>17848</v>
      </c>
      <c r="BF162" s="339">
        <v>414</v>
      </c>
      <c r="BG162" s="316">
        <f t="shared" ref="BG162:BH162" si="2701">IF(ISBLANK(BI162),,BI162-BI161)</f>
        <v>11</v>
      </c>
      <c r="BH162" s="334">
        <f t="shared" si="2701"/>
        <v>1</v>
      </c>
      <c r="BI162" s="335">
        <v>1078</v>
      </c>
      <c r="BJ162" s="336">
        <v>46</v>
      </c>
      <c r="BK162" s="337">
        <f t="shared" ref="BK162:BL162" si="2702">IF(ISBLANK(BM162),,BM162-BM161)</f>
        <v>30</v>
      </c>
      <c r="BL162" s="334">
        <f t="shared" si="2702"/>
        <v>0</v>
      </c>
      <c r="BM162" s="335">
        <v>490</v>
      </c>
      <c r="BN162" s="339">
        <v>2</v>
      </c>
      <c r="BO162" s="316">
        <f t="shared" ref="BO162:BP162" si="2703">IF(ISBLANK(BQ162),,BQ162-BQ161)</f>
        <v>63</v>
      </c>
      <c r="BP162" s="334">
        <f t="shared" si="2703"/>
        <v>1</v>
      </c>
      <c r="BQ162" s="335">
        <v>4393</v>
      </c>
      <c r="BR162" s="336">
        <v>207</v>
      </c>
      <c r="BS162" s="316">
        <f t="shared" ref="BS162:BT162" si="2704">IF(ISBLANK(BU162),,BU162-BU161)</f>
        <v>15</v>
      </c>
      <c r="BT162" s="334">
        <f t="shared" si="2704"/>
        <v>0</v>
      </c>
      <c r="BU162" s="335">
        <v>862</v>
      </c>
      <c r="BV162" s="336">
        <v>23</v>
      </c>
      <c r="BW162" s="233"/>
      <c r="BX162" s="233"/>
      <c r="BY162" s="233"/>
      <c r="BZ162" s="233"/>
      <c r="CA162" s="233"/>
      <c r="CB162" s="233"/>
      <c r="CC162" s="233"/>
      <c r="CD162" s="233"/>
      <c r="CE162" s="233"/>
    </row>
    <row r="163" spans="1:83" x14ac:dyDescent="0.25">
      <c r="A163" s="313">
        <v>44053</v>
      </c>
      <c r="B163" s="314">
        <f t="shared" si="1276"/>
        <v>160</v>
      </c>
      <c r="C163" s="315"/>
      <c r="D163" s="316">
        <v>619</v>
      </c>
      <c r="E163" s="317">
        <v>2</v>
      </c>
      <c r="F163" s="318">
        <v>36877</v>
      </c>
      <c r="G163" s="319"/>
      <c r="H163" s="330">
        <f t="shared" ref="H163:I163" si="2705">IF(ISBLANK(D163),,H162+D163)</f>
        <v>52410</v>
      </c>
      <c r="I163" s="331">
        <f t="shared" si="2705"/>
        <v>1809</v>
      </c>
      <c r="J163" s="332">
        <f t="shared" si="1"/>
        <v>186</v>
      </c>
      <c r="K163" s="333">
        <f t="shared" ref="K163:L163" si="2706">IF(ISBLANK(M163),,M163-M162)</f>
        <v>18</v>
      </c>
      <c r="L163" s="334">
        <f t="shared" si="2706"/>
        <v>0</v>
      </c>
      <c r="M163" s="335">
        <v>3501</v>
      </c>
      <c r="N163" s="336">
        <v>162</v>
      </c>
      <c r="O163" s="337">
        <f t="shared" ref="O163:P163" si="2707">IF(ISBLANK(Q163),,Q163-Q162)</f>
        <v>12</v>
      </c>
      <c r="P163" s="338">
        <f t="shared" si="2707"/>
        <v>0</v>
      </c>
      <c r="Q163" s="335">
        <v>887</v>
      </c>
      <c r="R163" s="339">
        <v>50</v>
      </c>
      <c r="S163" s="316">
        <f t="shared" ref="S163:T163" si="2708">IF(ISBLANK(U163),,U163-U162)</f>
        <v>17</v>
      </c>
      <c r="T163" s="334">
        <f t="shared" si="2708"/>
        <v>0</v>
      </c>
      <c r="U163" s="335">
        <v>1130</v>
      </c>
      <c r="V163" s="336">
        <v>20</v>
      </c>
      <c r="W163" s="337">
        <f t="shared" ref="W163:X163" si="2709">IF(ISBLANK(Y163),,Y163-Y162)</f>
        <v>26</v>
      </c>
      <c r="X163" s="334">
        <f t="shared" si="2709"/>
        <v>0</v>
      </c>
      <c r="Y163" s="335">
        <v>550</v>
      </c>
      <c r="Z163" s="340">
        <v>12</v>
      </c>
      <c r="AA163" s="316">
        <f t="shared" ref="AA163:AB163" si="2710">IF(ISBLANK(AC163),,AC163-AC162)</f>
        <v>31</v>
      </c>
      <c r="AB163" s="334">
        <f t="shared" si="2710"/>
        <v>0</v>
      </c>
      <c r="AC163" s="335">
        <v>4297</v>
      </c>
      <c r="AD163" s="336">
        <v>215</v>
      </c>
      <c r="AE163" s="337">
        <f t="shared" ref="AE163:AF163" si="2711">IF(ISBLANK(AG163),,AG163-AG162)</f>
        <v>175</v>
      </c>
      <c r="AF163" s="334">
        <f t="shared" si="2711"/>
        <v>0</v>
      </c>
      <c r="AG163" s="335">
        <v>4693</v>
      </c>
      <c r="AH163" s="339">
        <v>77</v>
      </c>
      <c r="AI163" s="316">
        <f t="shared" ref="AI163:AJ163" si="2712">IF(ISBLANK(AK163),,AK163-AK162)</f>
        <v>53</v>
      </c>
      <c r="AJ163" s="334">
        <f t="shared" si="2712"/>
        <v>0</v>
      </c>
      <c r="AK163" s="335">
        <v>7247</v>
      </c>
      <c r="AL163" s="336">
        <v>389</v>
      </c>
      <c r="AM163" s="337">
        <f t="shared" ref="AM163:AN163" si="2713">IF(ISBLANK(AO163),,AO163-AO162)</f>
        <v>7</v>
      </c>
      <c r="AN163" s="334">
        <f t="shared" si="2713"/>
        <v>0</v>
      </c>
      <c r="AO163" s="335">
        <v>1323</v>
      </c>
      <c r="AP163" s="339">
        <v>58</v>
      </c>
      <c r="AQ163" s="316">
        <f t="shared" ref="AQ163:AR163" si="2714">IF(ISBLANK(AS163),,AS163-AS162)</f>
        <v>37</v>
      </c>
      <c r="AR163" s="338">
        <f t="shared" si="2714"/>
        <v>1</v>
      </c>
      <c r="AS163" s="335">
        <v>1645</v>
      </c>
      <c r="AT163" s="336">
        <v>71</v>
      </c>
      <c r="AU163" s="337">
        <f t="shared" ref="AU163:AV163" si="2715">IF(ISBLANK(AW163),,AW163-AW162)</f>
        <v>8</v>
      </c>
      <c r="AV163" s="334">
        <f t="shared" si="2715"/>
        <v>0</v>
      </c>
      <c r="AW163" s="335">
        <v>1071</v>
      </c>
      <c r="AX163" s="339">
        <v>23</v>
      </c>
      <c r="AY163" s="316">
        <f t="shared" ref="AY163:AZ163" si="2716">IF(ISBLANK(BA163),,BA163-BA162)</f>
        <v>48</v>
      </c>
      <c r="AZ163" s="334">
        <f t="shared" si="2716"/>
        <v>0</v>
      </c>
      <c r="BA163" s="335">
        <v>1208</v>
      </c>
      <c r="BB163" s="336">
        <v>39</v>
      </c>
      <c r="BC163" s="337">
        <f t="shared" ref="BC163:BD163" si="2717">IF(ISBLANK(BE163),,BE163-BE162)</f>
        <v>98</v>
      </c>
      <c r="BD163" s="334">
        <f t="shared" si="2717"/>
        <v>1</v>
      </c>
      <c r="BE163" s="335">
        <v>17946</v>
      </c>
      <c r="BF163" s="339">
        <v>415</v>
      </c>
      <c r="BG163" s="316">
        <f t="shared" ref="BG163:BH163" si="2718">IF(ISBLANK(BI163),,BI163-BI162)</f>
        <v>8</v>
      </c>
      <c r="BH163" s="334">
        <f t="shared" si="2718"/>
        <v>0</v>
      </c>
      <c r="BI163" s="335">
        <v>1086</v>
      </c>
      <c r="BJ163" s="336">
        <v>46</v>
      </c>
      <c r="BK163" s="337">
        <f t="shared" ref="BK163:BL163" si="2719">IF(ISBLANK(BM163),,BM163-BM162)</f>
        <v>6</v>
      </c>
      <c r="BL163" s="334">
        <f t="shared" si="2719"/>
        <v>0</v>
      </c>
      <c r="BM163" s="335">
        <v>496</v>
      </c>
      <c r="BN163" s="339">
        <v>2</v>
      </c>
      <c r="BO163" s="316">
        <f t="shared" ref="BO163:BP163" si="2720">IF(ISBLANK(BQ163),,BQ163-BQ162)</f>
        <v>64</v>
      </c>
      <c r="BP163" s="334">
        <f t="shared" si="2720"/>
        <v>0</v>
      </c>
      <c r="BQ163" s="335">
        <v>4457</v>
      </c>
      <c r="BR163" s="336">
        <v>207</v>
      </c>
      <c r="BS163" s="316">
        <f t="shared" ref="BS163:BT163" si="2721">IF(ISBLANK(BU163),,BU163-BU162)</f>
        <v>11</v>
      </c>
      <c r="BT163" s="334">
        <f t="shared" si="2721"/>
        <v>0</v>
      </c>
      <c r="BU163" s="335">
        <v>873</v>
      </c>
      <c r="BV163" s="336">
        <v>23</v>
      </c>
      <c r="BW163" s="233"/>
      <c r="BX163" s="233"/>
      <c r="BY163" s="233"/>
      <c r="BZ163" s="233"/>
      <c r="CA163" s="233"/>
      <c r="CB163" s="233"/>
      <c r="CC163" s="233"/>
      <c r="CD163" s="233"/>
      <c r="CE163" s="233"/>
    </row>
    <row r="164" spans="1:83" x14ac:dyDescent="0.25">
      <c r="A164" s="313">
        <v>44054</v>
      </c>
      <c r="B164" s="314">
        <f t="shared" si="1276"/>
        <v>161</v>
      </c>
      <c r="C164" s="315"/>
      <c r="D164" s="316">
        <v>551</v>
      </c>
      <c r="E164" s="317">
        <v>12</v>
      </c>
      <c r="F164" s="318">
        <v>37150</v>
      </c>
      <c r="G164" s="319"/>
      <c r="H164" s="330">
        <f t="shared" ref="H164:I164" si="2722">IF(ISBLANK(D164),,H163+D164)</f>
        <v>52961</v>
      </c>
      <c r="I164" s="331">
        <f t="shared" si="2722"/>
        <v>1821</v>
      </c>
      <c r="J164" s="332">
        <f t="shared" si="1"/>
        <v>273</v>
      </c>
      <c r="K164" s="333">
        <f t="shared" ref="K164:L164" si="2723">IF(ISBLANK(M164),,M164-M163)</f>
        <v>27</v>
      </c>
      <c r="L164" s="334">
        <f t="shared" si="2723"/>
        <v>1</v>
      </c>
      <c r="M164" s="335">
        <v>3528</v>
      </c>
      <c r="N164" s="336">
        <v>163</v>
      </c>
      <c r="O164" s="337">
        <f t="shared" ref="O164:P164" si="2724">IF(ISBLANK(Q164),,Q164-Q163)</f>
        <v>34</v>
      </c>
      <c r="P164" s="338">
        <f t="shared" si="2724"/>
        <v>0</v>
      </c>
      <c r="Q164" s="335">
        <v>921</v>
      </c>
      <c r="R164" s="339">
        <v>50</v>
      </c>
      <c r="S164" s="316">
        <f t="shared" ref="S164:T164" si="2725">IF(ISBLANK(U164),,U164-U163)</f>
        <v>8</v>
      </c>
      <c r="T164" s="334">
        <f t="shared" si="2725"/>
        <v>0</v>
      </c>
      <c r="U164" s="335">
        <v>1138</v>
      </c>
      <c r="V164" s="336">
        <v>20</v>
      </c>
      <c r="W164" s="337">
        <f t="shared" ref="W164:X164" si="2726">IF(ISBLANK(Y164),,Y164-Y163)</f>
        <v>2</v>
      </c>
      <c r="X164" s="334">
        <f t="shared" si="2726"/>
        <v>0</v>
      </c>
      <c r="Y164" s="335">
        <v>552</v>
      </c>
      <c r="Z164" s="340">
        <v>12</v>
      </c>
      <c r="AA164" s="316">
        <f t="shared" ref="AA164:AB164" si="2727">IF(ISBLANK(AC164),,AC164-AC163)</f>
        <v>51</v>
      </c>
      <c r="AB164" s="334">
        <f t="shared" si="2727"/>
        <v>2</v>
      </c>
      <c r="AC164" s="335">
        <v>4348</v>
      </c>
      <c r="AD164" s="336">
        <v>217</v>
      </c>
      <c r="AE164" s="337">
        <f t="shared" ref="AE164:AF164" si="2728">IF(ISBLANK(AG164),,AG164-AG163)</f>
        <v>71</v>
      </c>
      <c r="AF164" s="334">
        <f t="shared" si="2728"/>
        <v>0</v>
      </c>
      <c r="AG164" s="335">
        <v>4764</v>
      </c>
      <c r="AH164" s="339">
        <v>77</v>
      </c>
      <c r="AI164" s="316">
        <f t="shared" ref="AI164:AJ164" si="2729">IF(ISBLANK(AK164),,AK164-AK163)</f>
        <v>50</v>
      </c>
      <c r="AJ164" s="334">
        <f t="shared" si="2729"/>
        <v>1</v>
      </c>
      <c r="AK164" s="335">
        <v>7297</v>
      </c>
      <c r="AL164" s="336">
        <v>390</v>
      </c>
      <c r="AM164" s="337">
        <f t="shared" ref="AM164:AN164" si="2730">IF(ISBLANK(AO164),,AO164-AO163)</f>
        <v>20</v>
      </c>
      <c r="AN164" s="334">
        <f t="shared" si="2730"/>
        <v>0</v>
      </c>
      <c r="AO164" s="335">
        <v>1343</v>
      </c>
      <c r="AP164" s="339">
        <v>58</v>
      </c>
      <c r="AQ164" s="316">
        <f t="shared" ref="AQ164:AR164" si="2731">IF(ISBLANK(AS164),,AS164-AS163)</f>
        <v>16</v>
      </c>
      <c r="AR164" s="338">
        <f t="shared" si="2731"/>
        <v>1</v>
      </c>
      <c r="AS164" s="335">
        <v>1661</v>
      </c>
      <c r="AT164" s="336">
        <v>72</v>
      </c>
      <c r="AU164" s="337">
        <f t="shared" ref="AU164:AV164" si="2732">IF(ISBLANK(AW164),,AW164-AW163)</f>
        <v>7</v>
      </c>
      <c r="AV164" s="334">
        <f t="shared" si="2732"/>
        <v>1</v>
      </c>
      <c r="AW164" s="335">
        <v>1078</v>
      </c>
      <c r="AX164" s="339">
        <v>24</v>
      </c>
      <c r="AY164" s="316">
        <f t="shared" ref="AY164:AZ164" si="2733">IF(ISBLANK(BA164),,BA164-BA163)</f>
        <v>30</v>
      </c>
      <c r="AZ164" s="334">
        <f t="shared" si="2733"/>
        <v>1</v>
      </c>
      <c r="BA164" s="335">
        <v>1238</v>
      </c>
      <c r="BB164" s="336">
        <v>40</v>
      </c>
      <c r="BC164" s="337">
        <f t="shared" ref="BC164:BD164" si="2734">IF(ISBLANK(BE164),,BE164-BE163)</f>
        <v>128</v>
      </c>
      <c r="BD164" s="334">
        <f t="shared" si="2734"/>
        <v>2</v>
      </c>
      <c r="BE164" s="335">
        <v>18074</v>
      </c>
      <c r="BF164" s="339">
        <v>417</v>
      </c>
      <c r="BG164" s="316">
        <f t="shared" ref="BG164:BH164" si="2735">IF(ISBLANK(BI164),,BI164-BI163)</f>
        <v>11</v>
      </c>
      <c r="BH164" s="334">
        <f t="shared" si="2735"/>
        <v>0</v>
      </c>
      <c r="BI164" s="335">
        <v>1097</v>
      </c>
      <c r="BJ164" s="336">
        <v>46</v>
      </c>
      <c r="BK164" s="337">
        <f t="shared" ref="BK164:BL164" si="2736">IF(ISBLANK(BM164),,BM164-BM163)</f>
        <v>32</v>
      </c>
      <c r="BL164" s="334">
        <f t="shared" si="2736"/>
        <v>1</v>
      </c>
      <c r="BM164" s="335">
        <v>528</v>
      </c>
      <c r="BN164" s="339">
        <v>3</v>
      </c>
      <c r="BO164" s="316">
        <f t="shared" ref="BO164:BP164" si="2737">IF(ISBLANK(BQ164),,BQ164-BQ163)</f>
        <v>38</v>
      </c>
      <c r="BP164" s="334">
        <f t="shared" si="2737"/>
        <v>2</v>
      </c>
      <c r="BQ164" s="335">
        <v>4495</v>
      </c>
      <c r="BR164" s="336">
        <v>209</v>
      </c>
      <c r="BS164" s="316">
        <f t="shared" ref="BS164:BT164" si="2738">IF(ISBLANK(BU164),,BU164-BU163)</f>
        <v>26</v>
      </c>
      <c r="BT164" s="334">
        <f t="shared" si="2738"/>
        <v>0</v>
      </c>
      <c r="BU164" s="335">
        <v>899</v>
      </c>
      <c r="BV164" s="336">
        <v>23</v>
      </c>
      <c r="BW164" s="233"/>
      <c r="BX164" s="233"/>
      <c r="BY164" s="233"/>
      <c r="BZ164" s="233"/>
      <c r="CA164" s="233"/>
      <c r="CB164" s="233"/>
      <c r="CC164" s="233"/>
      <c r="CD164" s="233"/>
      <c r="CE164" s="233"/>
    </row>
    <row r="165" spans="1:83" x14ac:dyDescent="0.25">
      <c r="A165" s="313">
        <v>44055</v>
      </c>
      <c r="B165" s="314">
        <f t="shared" si="1276"/>
        <v>162</v>
      </c>
      <c r="C165" s="315"/>
      <c r="D165" s="316">
        <v>715</v>
      </c>
      <c r="E165" s="317">
        <v>9</v>
      </c>
      <c r="F165" s="318">
        <v>37611</v>
      </c>
      <c r="G165" s="319"/>
      <c r="H165" s="330">
        <f t="shared" ref="H165:I165" si="2739">IF(ISBLANK(D165),,H164+D165)</f>
        <v>53676</v>
      </c>
      <c r="I165" s="331">
        <f t="shared" si="2739"/>
        <v>1830</v>
      </c>
      <c r="J165" s="332">
        <f t="shared" si="1"/>
        <v>461</v>
      </c>
      <c r="K165" s="333">
        <f t="shared" ref="K165:L165" si="2740">IF(ISBLANK(M165),,M165-M164)</f>
        <v>31</v>
      </c>
      <c r="L165" s="334">
        <f t="shared" si="2740"/>
        <v>0</v>
      </c>
      <c r="M165" s="335">
        <v>3559</v>
      </c>
      <c r="N165" s="336">
        <v>163</v>
      </c>
      <c r="O165" s="337">
        <f t="shared" ref="O165:P165" si="2741">IF(ISBLANK(Q165),,Q165-Q164)</f>
        <v>7</v>
      </c>
      <c r="P165" s="338">
        <f t="shared" si="2741"/>
        <v>0</v>
      </c>
      <c r="Q165" s="335">
        <v>928</v>
      </c>
      <c r="R165" s="339">
        <v>50</v>
      </c>
      <c r="S165" s="316">
        <f t="shared" ref="S165:T165" si="2742">IF(ISBLANK(U165),,U165-U164)</f>
        <v>39</v>
      </c>
      <c r="T165" s="334">
        <f t="shared" si="2742"/>
        <v>1</v>
      </c>
      <c r="U165" s="335">
        <v>1177</v>
      </c>
      <c r="V165" s="336">
        <v>21</v>
      </c>
      <c r="W165" s="337">
        <f t="shared" ref="W165:X165" si="2743">IF(ISBLANK(Y165),,Y165-Y164)</f>
        <v>1</v>
      </c>
      <c r="X165" s="334">
        <f t="shared" si="2743"/>
        <v>0</v>
      </c>
      <c r="Y165" s="335">
        <v>553</v>
      </c>
      <c r="Z165" s="340">
        <v>12</v>
      </c>
      <c r="AA165" s="316">
        <f t="shared" ref="AA165:AB165" si="2744">IF(ISBLANK(AC165),,AC165-AC164)</f>
        <v>43</v>
      </c>
      <c r="AB165" s="334">
        <f t="shared" si="2744"/>
        <v>1</v>
      </c>
      <c r="AC165" s="335">
        <v>4391</v>
      </c>
      <c r="AD165" s="336">
        <v>218</v>
      </c>
      <c r="AE165" s="337">
        <f t="shared" ref="AE165:AF165" si="2745">IF(ISBLANK(AG165),,AG165-AG164)</f>
        <v>173</v>
      </c>
      <c r="AF165" s="334">
        <f t="shared" si="2745"/>
        <v>2</v>
      </c>
      <c r="AG165" s="335">
        <v>4937</v>
      </c>
      <c r="AH165" s="339">
        <v>79</v>
      </c>
      <c r="AI165" s="316">
        <f t="shared" ref="AI165:AJ165" si="2746">IF(ISBLANK(AK165),,AK165-AK164)</f>
        <v>76</v>
      </c>
      <c r="AJ165" s="334">
        <f t="shared" si="2746"/>
        <v>1</v>
      </c>
      <c r="AK165" s="335">
        <v>7373</v>
      </c>
      <c r="AL165" s="336">
        <v>391</v>
      </c>
      <c r="AM165" s="337">
        <f t="shared" ref="AM165:AN165" si="2747">IF(ISBLANK(AO165),,AO165-AO164)</f>
        <v>8</v>
      </c>
      <c r="AN165" s="334">
        <f t="shared" si="2747"/>
        <v>0</v>
      </c>
      <c r="AO165" s="335">
        <v>1351</v>
      </c>
      <c r="AP165" s="339">
        <v>58</v>
      </c>
      <c r="AQ165" s="316">
        <f t="shared" ref="AQ165:AR165" si="2748">IF(ISBLANK(AS165),,AS165-AS164)</f>
        <v>22</v>
      </c>
      <c r="AR165" s="338">
        <f t="shared" si="2748"/>
        <v>0</v>
      </c>
      <c r="AS165" s="335">
        <v>1683</v>
      </c>
      <c r="AT165" s="336">
        <v>72</v>
      </c>
      <c r="AU165" s="337">
        <f t="shared" ref="AU165:AV165" si="2749">IF(ISBLANK(AW165),,AW165-AW164)</f>
        <v>7</v>
      </c>
      <c r="AV165" s="334">
        <f t="shared" si="2749"/>
        <v>0</v>
      </c>
      <c r="AW165" s="335">
        <v>1085</v>
      </c>
      <c r="AX165" s="339">
        <v>24</v>
      </c>
      <c r="AY165" s="316">
        <f t="shared" ref="AY165:AZ165" si="2750">IF(ISBLANK(BA165),,BA165-BA164)</f>
        <v>75</v>
      </c>
      <c r="AZ165" s="334">
        <f t="shared" si="2750"/>
        <v>0</v>
      </c>
      <c r="BA165" s="335">
        <v>1313</v>
      </c>
      <c r="BB165" s="336">
        <v>40</v>
      </c>
      <c r="BC165" s="337">
        <f t="shared" ref="BC165:BD165" si="2751">IF(ISBLANK(BE165),,BE165-BE164)</f>
        <v>145</v>
      </c>
      <c r="BD165" s="334">
        <f t="shared" si="2751"/>
        <v>2</v>
      </c>
      <c r="BE165" s="335">
        <v>18219</v>
      </c>
      <c r="BF165" s="339">
        <v>419</v>
      </c>
      <c r="BG165" s="316">
        <f t="shared" ref="BG165:BH165" si="2752">IF(ISBLANK(BI165),,BI165-BI164)</f>
        <v>2</v>
      </c>
      <c r="BH165" s="334">
        <f t="shared" si="2752"/>
        <v>0</v>
      </c>
      <c r="BI165" s="335">
        <v>1099</v>
      </c>
      <c r="BJ165" s="336">
        <v>46</v>
      </c>
      <c r="BK165" s="337">
        <f t="shared" ref="BK165:BL165" si="2753">IF(ISBLANK(BM165),,BM165-BM164)</f>
        <v>33</v>
      </c>
      <c r="BL165" s="334">
        <f t="shared" si="2753"/>
        <v>0</v>
      </c>
      <c r="BM165" s="335">
        <v>561</v>
      </c>
      <c r="BN165" s="339">
        <v>3</v>
      </c>
      <c r="BO165" s="316">
        <f t="shared" ref="BO165:BP165" si="2754">IF(ISBLANK(BQ165),,BQ165-BQ164)</f>
        <v>39</v>
      </c>
      <c r="BP165" s="334">
        <f t="shared" si="2754"/>
        <v>2</v>
      </c>
      <c r="BQ165" s="335">
        <v>4534</v>
      </c>
      <c r="BR165" s="336">
        <v>211</v>
      </c>
      <c r="BS165" s="316">
        <f t="shared" ref="BS165:BT165" si="2755">IF(ISBLANK(BU165),,BU165-BU164)</f>
        <v>14</v>
      </c>
      <c r="BT165" s="334">
        <f t="shared" si="2755"/>
        <v>0</v>
      </c>
      <c r="BU165" s="335">
        <v>913</v>
      </c>
      <c r="BV165" s="336">
        <v>23</v>
      </c>
      <c r="BW165" s="233"/>
      <c r="BX165" s="233"/>
      <c r="BY165" s="233"/>
      <c r="BZ165" s="233"/>
      <c r="CA165" s="233"/>
      <c r="CB165" s="233"/>
      <c r="CC165" s="233"/>
      <c r="CD165" s="233"/>
      <c r="CE165" s="233"/>
    </row>
    <row r="166" spans="1:83" x14ac:dyDescent="0.25">
      <c r="A166" s="313">
        <v>44056</v>
      </c>
      <c r="B166" s="314">
        <f t="shared" si="1276"/>
        <v>163</v>
      </c>
      <c r="C166" s="315"/>
      <c r="D166" s="316">
        <v>811</v>
      </c>
      <c r="E166" s="317">
        <v>13</v>
      </c>
      <c r="F166" s="318">
        <v>37961</v>
      </c>
      <c r="G166" s="319"/>
      <c r="H166" s="330">
        <f t="shared" ref="H166:I166" si="2756">IF(ISBLANK(D166),,H165+D166)</f>
        <v>54487</v>
      </c>
      <c r="I166" s="331">
        <f t="shared" si="2756"/>
        <v>1843</v>
      </c>
      <c r="J166" s="332">
        <f t="shared" si="1"/>
        <v>350</v>
      </c>
      <c r="K166" s="333">
        <f t="shared" ref="K166:L166" si="2757">IF(ISBLANK(M166),,M166-M165)</f>
        <v>23</v>
      </c>
      <c r="L166" s="334">
        <f t="shared" si="2757"/>
        <v>0</v>
      </c>
      <c r="M166" s="335">
        <v>3582</v>
      </c>
      <c r="N166" s="336">
        <v>163</v>
      </c>
      <c r="O166" s="337">
        <f t="shared" ref="O166:P166" si="2758">IF(ISBLANK(Q166),,Q166-Q165)</f>
        <v>14</v>
      </c>
      <c r="P166" s="338">
        <f t="shared" si="2758"/>
        <v>0</v>
      </c>
      <c r="Q166" s="335">
        <v>942</v>
      </c>
      <c r="R166" s="339">
        <v>50</v>
      </c>
      <c r="S166" s="316">
        <f t="shared" ref="S166:T166" si="2759">IF(ISBLANK(U166),,U166-U165)</f>
        <v>46</v>
      </c>
      <c r="T166" s="334">
        <f t="shared" si="2759"/>
        <v>0</v>
      </c>
      <c r="U166" s="335">
        <v>1223</v>
      </c>
      <c r="V166" s="336">
        <v>21</v>
      </c>
      <c r="W166" s="337">
        <f t="shared" ref="W166:X166" si="2760">IF(ISBLANK(Y166),,Y166-Y165)</f>
        <v>2</v>
      </c>
      <c r="X166" s="334">
        <f t="shared" si="2760"/>
        <v>0</v>
      </c>
      <c r="Y166" s="335">
        <v>555</v>
      </c>
      <c r="Z166" s="340">
        <v>12</v>
      </c>
      <c r="AA166" s="316">
        <f t="shared" ref="AA166:AB166" si="2761">IF(ISBLANK(AC166),,AC166-AC165)</f>
        <v>39</v>
      </c>
      <c r="AB166" s="334">
        <f t="shared" si="2761"/>
        <v>0</v>
      </c>
      <c r="AC166" s="335">
        <v>4430</v>
      </c>
      <c r="AD166" s="336">
        <v>218</v>
      </c>
      <c r="AE166" s="337">
        <f t="shared" ref="AE166:AF166" si="2762">IF(ISBLANK(AG166),,AG166-AG165)</f>
        <v>136</v>
      </c>
      <c r="AF166" s="334">
        <f t="shared" si="2762"/>
        <v>3</v>
      </c>
      <c r="AG166" s="335">
        <v>5073</v>
      </c>
      <c r="AH166" s="339">
        <v>82</v>
      </c>
      <c r="AI166" s="316">
        <f t="shared" ref="AI166:AJ166" si="2763">IF(ISBLANK(AK166),,AK166-AK165)</f>
        <v>148</v>
      </c>
      <c r="AJ166" s="334">
        <f t="shared" si="2763"/>
        <v>0</v>
      </c>
      <c r="AK166" s="335">
        <v>7521</v>
      </c>
      <c r="AL166" s="336">
        <v>391</v>
      </c>
      <c r="AM166" s="337">
        <f t="shared" ref="AM166:AN166" si="2764">IF(ISBLANK(AO166),,AO166-AO165)</f>
        <v>15</v>
      </c>
      <c r="AN166" s="334">
        <f t="shared" si="2764"/>
        <v>0</v>
      </c>
      <c r="AO166" s="335">
        <v>1366</v>
      </c>
      <c r="AP166" s="339">
        <v>58</v>
      </c>
      <c r="AQ166" s="316">
        <f t="shared" ref="AQ166:AR166" si="2765">IF(ISBLANK(AS166),,AS166-AS165)</f>
        <v>46</v>
      </c>
      <c r="AR166" s="338">
        <f t="shared" si="2765"/>
        <v>1</v>
      </c>
      <c r="AS166" s="335">
        <v>1729</v>
      </c>
      <c r="AT166" s="336">
        <v>73</v>
      </c>
      <c r="AU166" s="337">
        <f t="shared" ref="AU166:AV166" si="2766">IF(ISBLANK(AW166),,AW166-AW165)</f>
        <v>17</v>
      </c>
      <c r="AV166" s="334">
        <f t="shared" si="2766"/>
        <v>0</v>
      </c>
      <c r="AW166" s="335">
        <v>1102</v>
      </c>
      <c r="AX166" s="339">
        <v>24</v>
      </c>
      <c r="AY166" s="316">
        <f t="shared" ref="AY166:AZ166" si="2767">IF(ISBLANK(BA166),,BA166-BA165)</f>
        <v>61</v>
      </c>
      <c r="AZ166" s="334">
        <f t="shared" si="2767"/>
        <v>0</v>
      </c>
      <c r="BA166" s="335">
        <v>1374</v>
      </c>
      <c r="BB166" s="336">
        <v>40</v>
      </c>
      <c r="BC166" s="337">
        <f t="shared" ref="BC166:BD166" si="2768">IF(ISBLANK(BE166),,BE166-BE165)</f>
        <v>181</v>
      </c>
      <c r="BD166" s="334">
        <f t="shared" si="2768"/>
        <v>9</v>
      </c>
      <c r="BE166" s="335">
        <v>18400</v>
      </c>
      <c r="BF166" s="339">
        <v>428</v>
      </c>
      <c r="BG166" s="316">
        <f t="shared" ref="BG166:BH166" si="2769">IF(ISBLANK(BI166),,BI166-BI165)</f>
        <v>12</v>
      </c>
      <c r="BH166" s="334">
        <f t="shared" si="2769"/>
        <v>0</v>
      </c>
      <c r="BI166" s="335">
        <v>1111</v>
      </c>
      <c r="BJ166" s="336">
        <v>46</v>
      </c>
      <c r="BK166" s="337">
        <f t="shared" ref="BK166:BL166" si="2770">IF(ISBLANK(BM166),,BM166-BM165)</f>
        <v>11</v>
      </c>
      <c r="BL166" s="334">
        <f t="shared" si="2770"/>
        <v>0</v>
      </c>
      <c r="BM166" s="335">
        <v>572</v>
      </c>
      <c r="BN166" s="339">
        <v>3</v>
      </c>
      <c r="BO166" s="316">
        <f t="shared" ref="BO166:BP166" si="2771">IF(ISBLANK(BQ166),,BQ166-BQ165)</f>
        <v>54</v>
      </c>
      <c r="BP166" s="334">
        <f t="shared" si="2771"/>
        <v>0</v>
      </c>
      <c r="BQ166" s="335">
        <v>4588</v>
      </c>
      <c r="BR166" s="336">
        <v>211</v>
      </c>
      <c r="BS166" s="316">
        <f t="shared" ref="BS166:BT166" si="2772">IF(ISBLANK(BU166),,BU166-BU165)</f>
        <v>6</v>
      </c>
      <c r="BT166" s="334">
        <f t="shared" si="2772"/>
        <v>0</v>
      </c>
      <c r="BU166" s="335">
        <v>919</v>
      </c>
      <c r="BV166" s="336">
        <v>23</v>
      </c>
      <c r="BW166" s="233"/>
      <c r="BX166" s="233"/>
      <c r="BY166" s="233"/>
      <c r="BZ166" s="233"/>
      <c r="CA166" s="233"/>
      <c r="CB166" s="233"/>
      <c r="CC166" s="233"/>
      <c r="CD166" s="233"/>
      <c r="CE166" s="233"/>
    </row>
    <row r="167" spans="1:83" x14ac:dyDescent="0.25">
      <c r="A167" s="313">
        <v>44057</v>
      </c>
      <c r="B167" s="314">
        <f t="shared" si="1276"/>
        <v>164</v>
      </c>
      <c r="C167" s="315"/>
      <c r="D167" s="316">
        <v>832</v>
      </c>
      <c r="E167" s="317">
        <v>15</v>
      </c>
      <c r="F167" s="318">
        <v>38362</v>
      </c>
      <c r="G167" s="319"/>
      <c r="H167" s="330">
        <f t="shared" ref="H167:I167" si="2773">IF(ISBLANK(D167),,H166+D167)</f>
        <v>55319</v>
      </c>
      <c r="I167" s="331">
        <f t="shared" si="2773"/>
        <v>1858</v>
      </c>
      <c r="J167" s="332">
        <f t="shared" si="1"/>
        <v>401</v>
      </c>
      <c r="K167" s="333">
        <f t="shared" ref="K167:L167" si="2774">IF(ISBLANK(M167),,M167-M166)</f>
        <v>21</v>
      </c>
      <c r="L167" s="334">
        <f t="shared" si="2774"/>
        <v>1</v>
      </c>
      <c r="M167" s="335">
        <v>3603</v>
      </c>
      <c r="N167" s="336">
        <v>164</v>
      </c>
      <c r="O167" s="337">
        <f t="shared" ref="O167:P167" si="2775">IF(ISBLANK(Q167),,Q167-Q166)</f>
        <v>22</v>
      </c>
      <c r="P167" s="338">
        <f t="shared" si="2775"/>
        <v>0</v>
      </c>
      <c r="Q167" s="335">
        <v>964</v>
      </c>
      <c r="R167" s="339">
        <v>50</v>
      </c>
      <c r="S167" s="316">
        <f t="shared" ref="S167:T167" si="2776">IF(ISBLANK(U167),,U167-U166)</f>
        <v>23</v>
      </c>
      <c r="T167" s="334">
        <f t="shared" si="2776"/>
        <v>0</v>
      </c>
      <c r="U167" s="335">
        <v>1246</v>
      </c>
      <c r="V167" s="336">
        <v>21</v>
      </c>
      <c r="W167" s="337">
        <f t="shared" ref="W167:X167" si="2777">IF(ISBLANK(Y167),,Y167-Y166)</f>
        <v>8</v>
      </c>
      <c r="X167" s="334">
        <f t="shared" si="2777"/>
        <v>0</v>
      </c>
      <c r="Y167" s="335">
        <v>563</v>
      </c>
      <c r="Z167" s="340">
        <v>12</v>
      </c>
      <c r="AA167" s="316">
        <f t="shared" ref="AA167:AB167" si="2778">IF(ISBLANK(AC167),,AC167-AC166)</f>
        <v>54</v>
      </c>
      <c r="AB167" s="334">
        <f t="shared" si="2778"/>
        <v>5</v>
      </c>
      <c r="AC167" s="335">
        <v>4484</v>
      </c>
      <c r="AD167" s="336">
        <v>223</v>
      </c>
      <c r="AE167" s="337">
        <f t="shared" ref="AE167:AF167" si="2779">IF(ISBLANK(AG167),,AG167-AG166)</f>
        <v>184</v>
      </c>
      <c r="AF167" s="334">
        <f t="shared" si="2779"/>
        <v>2</v>
      </c>
      <c r="AG167" s="335">
        <v>5257</v>
      </c>
      <c r="AH167" s="339">
        <v>84</v>
      </c>
      <c r="AI167" s="316">
        <f t="shared" ref="AI167:AJ167" si="2780">IF(ISBLANK(AK167),,AK167-AK166)</f>
        <v>143</v>
      </c>
      <c r="AJ167" s="334">
        <f t="shared" si="2780"/>
        <v>0</v>
      </c>
      <c r="AK167" s="335">
        <v>7664</v>
      </c>
      <c r="AL167" s="336">
        <v>391</v>
      </c>
      <c r="AM167" s="337">
        <f t="shared" ref="AM167:AN167" si="2781">IF(ISBLANK(AO167),,AO167-AO166)</f>
        <v>31</v>
      </c>
      <c r="AN167" s="334">
        <f t="shared" si="2781"/>
        <v>0</v>
      </c>
      <c r="AO167" s="335">
        <v>1397</v>
      </c>
      <c r="AP167" s="339">
        <v>58</v>
      </c>
      <c r="AQ167" s="316">
        <f t="shared" ref="AQ167:AR167" si="2782">IF(ISBLANK(AS167),,AS167-AS166)</f>
        <v>39</v>
      </c>
      <c r="AR167" s="338">
        <f t="shared" si="2782"/>
        <v>1</v>
      </c>
      <c r="AS167" s="335">
        <v>1768</v>
      </c>
      <c r="AT167" s="336">
        <v>74</v>
      </c>
      <c r="AU167" s="337">
        <f t="shared" ref="AU167:AV167" si="2783">IF(ISBLANK(AW167),,AW167-AW166)</f>
        <v>31</v>
      </c>
      <c r="AV167" s="334">
        <f t="shared" si="2783"/>
        <v>1</v>
      </c>
      <c r="AW167" s="335">
        <v>1133</v>
      </c>
      <c r="AX167" s="339">
        <v>25</v>
      </c>
      <c r="AY167" s="316">
        <f t="shared" ref="AY167:AZ167" si="2784">IF(ISBLANK(BA167),,BA167-BA166)</f>
        <v>46</v>
      </c>
      <c r="AZ167" s="334">
        <f t="shared" si="2784"/>
        <v>0</v>
      </c>
      <c r="BA167" s="335">
        <v>1420</v>
      </c>
      <c r="BB167" s="336">
        <v>40</v>
      </c>
      <c r="BC167" s="337">
        <f t="shared" ref="BC167:BD167" si="2785">IF(ISBLANK(BE167),,BE167-BE166)</f>
        <v>160</v>
      </c>
      <c r="BD167" s="334">
        <f t="shared" si="2785"/>
        <v>2</v>
      </c>
      <c r="BE167" s="335">
        <v>18560</v>
      </c>
      <c r="BF167" s="339">
        <v>430</v>
      </c>
      <c r="BG167" s="316">
        <f t="shared" ref="BG167:BH167" si="2786">IF(ISBLANK(BI167),,BI167-BI166)</f>
        <v>3</v>
      </c>
      <c r="BH167" s="334">
        <f t="shared" si="2786"/>
        <v>1</v>
      </c>
      <c r="BI167" s="335">
        <v>1114</v>
      </c>
      <c r="BJ167" s="336">
        <v>47</v>
      </c>
      <c r="BK167" s="337">
        <f t="shared" ref="BK167:BL167" si="2787">IF(ISBLANK(BM167),,BM167-BM166)</f>
        <v>16</v>
      </c>
      <c r="BL167" s="334">
        <f t="shared" si="2787"/>
        <v>0</v>
      </c>
      <c r="BM167" s="335">
        <v>588</v>
      </c>
      <c r="BN167" s="339">
        <v>3</v>
      </c>
      <c r="BO167" s="316">
        <f t="shared" ref="BO167:BP167" si="2788">IF(ISBLANK(BQ167),,BQ167-BQ166)</f>
        <v>43</v>
      </c>
      <c r="BP167" s="334">
        <f t="shared" si="2788"/>
        <v>2</v>
      </c>
      <c r="BQ167" s="335">
        <v>4631</v>
      </c>
      <c r="BR167" s="336">
        <v>213</v>
      </c>
      <c r="BS167" s="316">
        <f t="shared" ref="BS167:BT167" si="2789">IF(ISBLANK(BU167),,BU167-BU166)</f>
        <v>8</v>
      </c>
      <c r="BT167" s="334">
        <f t="shared" si="2789"/>
        <v>0</v>
      </c>
      <c r="BU167" s="335">
        <v>927</v>
      </c>
      <c r="BV167" s="336">
        <v>23</v>
      </c>
      <c r="BW167" s="233"/>
      <c r="BX167" s="233"/>
      <c r="BY167" s="233"/>
      <c r="BZ167" s="233"/>
      <c r="CA167" s="233"/>
      <c r="CB167" s="233"/>
      <c r="CC167" s="233"/>
      <c r="CD167" s="233"/>
      <c r="CE167" s="233"/>
    </row>
    <row r="168" spans="1:83" x14ac:dyDescent="0.25">
      <c r="A168" s="313">
        <v>44058</v>
      </c>
      <c r="B168" s="314">
        <f t="shared" si="1276"/>
        <v>165</v>
      </c>
      <c r="C168" s="315"/>
      <c r="D168" s="316">
        <v>771</v>
      </c>
      <c r="E168" s="317">
        <v>11</v>
      </c>
      <c r="F168" s="318">
        <v>38853</v>
      </c>
      <c r="G168" s="319"/>
      <c r="H168" s="330">
        <f t="shared" ref="H168:I168" si="2790">IF(ISBLANK(D168),,H167+D168)</f>
        <v>56090</v>
      </c>
      <c r="I168" s="331">
        <f t="shared" si="2790"/>
        <v>1869</v>
      </c>
      <c r="J168" s="332">
        <f t="shared" si="1"/>
        <v>491</v>
      </c>
      <c r="K168" s="333">
        <f t="shared" ref="K168:L168" si="2791">IF(ISBLANK(M168),,M168-M167)</f>
        <v>57</v>
      </c>
      <c r="L168" s="334">
        <f t="shared" si="2791"/>
        <v>0</v>
      </c>
      <c r="M168" s="335">
        <v>3660</v>
      </c>
      <c r="N168" s="336">
        <v>164</v>
      </c>
      <c r="O168" s="337">
        <f t="shared" ref="O168:P168" si="2792">IF(ISBLANK(Q168),,Q168-Q167)</f>
        <v>11</v>
      </c>
      <c r="P168" s="338">
        <f t="shared" si="2792"/>
        <v>1</v>
      </c>
      <c r="Q168" s="335">
        <v>975</v>
      </c>
      <c r="R168" s="339">
        <v>51</v>
      </c>
      <c r="S168" s="316">
        <f t="shared" ref="S168:T168" si="2793">IF(ISBLANK(U168),,U168-U167)</f>
        <v>16</v>
      </c>
      <c r="T168" s="334">
        <f t="shared" si="2793"/>
        <v>1</v>
      </c>
      <c r="U168" s="335">
        <v>1262</v>
      </c>
      <c r="V168" s="336">
        <v>22</v>
      </c>
      <c r="W168" s="337">
        <f t="shared" ref="W168:X168" si="2794">IF(ISBLANK(Y168),,Y168-Y167)</f>
        <v>10</v>
      </c>
      <c r="X168" s="334">
        <f t="shared" si="2794"/>
        <v>0</v>
      </c>
      <c r="Y168" s="335">
        <v>573</v>
      </c>
      <c r="Z168" s="340">
        <v>12</v>
      </c>
      <c r="AA168" s="316">
        <f t="shared" ref="AA168:AB168" si="2795">IF(ISBLANK(AC168),,AC168-AC167)</f>
        <v>42</v>
      </c>
      <c r="AB168" s="334">
        <f t="shared" si="2795"/>
        <v>0</v>
      </c>
      <c r="AC168" s="335">
        <v>4526</v>
      </c>
      <c r="AD168" s="336">
        <v>223</v>
      </c>
      <c r="AE168" s="337">
        <f t="shared" ref="AE168:AF168" si="2796">IF(ISBLANK(AG168),,AG168-AG167)</f>
        <v>150</v>
      </c>
      <c r="AF168" s="334">
        <f t="shared" si="2796"/>
        <v>2</v>
      </c>
      <c r="AG168" s="335">
        <v>5407</v>
      </c>
      <c r="AH168" s="339">
        <v>86</v>
      </c>
      <c r="AI168" s="316">
        <f t="shared" ref="AI168:AJ168" si="2797">IF(ISBLANK(AK168),,AK168-AK167)</f>
        <v>96</v>
      </c>
      <c r="AJ168" s="334">
        <f t="shared" si="2797"/>
        <v>0</v>
      </c>
      <c r="AK168" s="335">
        <v>7760</v>
      </c>
      <c r="AL168" s="336">
        <v>391</v>
      </c>
      <c r="AM168" s="337">
        <f t="shared" ref="AM168:AN168" si="2798">IF(ISBLANK(AO168),,AO168-AO167)</f>
        <v>7</v>
      </c>
      <c r="AN168" s="334">
        <f t="shared" si="2798"/>
        <v>1</v>
      </c>
      <c r="AO168" s="335">
        <v>1404</v>
      </c>
      <c r="AP168" s="339">
        <v>59</v>
      </c>
      <c r="AQ168" s="316">
        <f t="shared" ref="AQ168:AR168" si="2799">IF(ISBLANK(AS168),,AS168-AS167)</f>
        <v>36</v>
      </c>
      <c r="AR168" s="338">
        <f t="shared" si="2799"/>
        <v>1</v>
      </c>
      <c r="AS168" s="335">
        <v>1804</v>
      </c>
      <c r="AT168" s="336">
        <v>75</v>
      </c>
      <c r="AU168" s="337">
        <f t="shared" ref="AU168:AV168" si="2800">IF(ISBLANK(AW168),,AW168-AW167)</f>
        <v>6</v>
      </c>
      <c r="AV168" s="334">
        <f t="shared" si="2800"/>
        <v>0</v>
      </c>
      <c r="AW168" s="335">
        <v>1139</v>
      </c>
      <c r="AX168" s="339">
        <v>25</v>
      </c>
      <c r="AY168" s="316">
        <f t="shared" ref="AY168:AZ168" si="2801">IF(ISBLANK(BA168),,BA168-BA167)</f>
        <v>69</v>
      </c>
      <c r="AZ168" s="334">
        <f t="shared" si="2801"/>
        <v>0</v>
      </c>
      <c r="BA168" s="335">
        <v>1489</v>
      </c>
      <c r="BB168" s="336">
        <v>40</v>
      </c>
      <c r="BC168" s="337">
        <f t="shared" ref="BC168:BD168" si="2802">IF(ISBLANK(BE168),,BE168-BE167)</f>
        <v>133</v>
      </c>
      <c r="BD168" s="334">
        <f t="shared" si="2802"/>
        <v>4</v>
      </c>
      <c r="BE168" s="335">
        <v>18693</v>
      </c>
      <c r="BF168" s="339">
        <v>434</v>
      </c>
      <c r="BG168" s="316">
        <f t="shared" ref="BG168:BH168" si="2803">IF(ISBLANK(BI168),,BI168-BI167)</f>
        <v>41</v>
      </c>
      <c r="BH168" s="334">
        <f t="shared" si="2803"/>
        <v>0</v>
      </c>
      <c r="BI168" s="335">
        <v>1155</v>
      </c>
      <c r="BJ168" s="336">
        <v>47</v>
      </c>
      <c r="BK168" s="337">
        <f t="shared" ref="BK168:BL168" si="2804">IF(ISBLANK(BM168),,BM168-BM167)</f>
        <v>14</v>
      </c>
      <c r="BL168" s="334">
        <f t="shared" si="2804"/>
        <v>0</v>
      </c>
      <c r="BM168" s="335">
        <v>602</v>
      </c>
      <c r="BN168" s="339">
        <v>3</v>
      </c>
      <c r="BO168" s="316">
        <f t="shared" ref="BO168:BP168" si="2805">IF(ISBLANK(BQ168),,BQ168-BQ167)</f>
        <v>62</v>
      </c>
      <c r="BP168" s="334">
        <f t="shared" si="2805"/>
        <v>1</v>
      </c>
      <c r="BQ168" s="335">
        <v>4693</v>
      </c>
      <c r="BR168" s="336">
        <v>214</v>
      </c>
      <c r="BS168" s="316">
        <f t="shared" ref="BS168:BT168" si="2806">IF(ISBLANK(BU168),,BU168-BU167)</f>
        <v>21</v>
      </c>
      <c r="BT168" s="334">
        <f t="shared" si="2806"/>
        <v>0</v>
      </c>
      <c r="BU168" s="335">
        <v>948</v>
      </c>
      <c r="BV168" s="336">
        <v>23</v>
      </c>
      <c r="BW168" s="233"/>
      <c r="BX168" s="233"/>
      <c r="BY168" s="233"/>
      <c r="BZ168" s="233"/>
      <c r="CA168" s="233"/>
      <c r="CB168" s="233"/>
      <c r="CC168" s="233"/>
      <c r="CD168" s="233"/>
      <c r="CE168" s="233"/>
    </row>
    <row r="169" spans="1:83" x14ac:dyDescent="0.25">
      <c r="A169" s="313">
        <v>44059</v>
      </c>
      <c r="B169" s="314">
        <f t="shared" si="1276"/>
        <v>166</v>
      </c>
      <c r="C169" s="315"/>
      <c r="D169" s="316">
        <v>594</v>
      </c>
      <c r="E169" s="317">
        <v>8</v>
      </c>
      <c r="F169" s="318">
        <v>39130</v>
      </c>
      <c r="G169" s="319"/>
      <c r="H169" s="330">
        <f t="shared" ref="H169:I169" si="2807">IF(ISBLANK(D169),,H168+D169)</f>
        <v>56684</v>
      </c>
      <c r="I169" s="331">
        <f t="shared" si="2807"/>
        <v>1877</v>
      </c>
      <c r="J169" s="332">
        <f t="shared" si="1"/>
        <v>277</v>
      </c>
      <c r="K169" s="333">
        <f t="shared" ref="K169:L169" si="2808">IF(ISBLANK(M169),,M169-M168)</f>
        <v>11</v>
      </c>
      <c r="L169" s="334">
        <f t="shared" si="2808"/>
        <v>0</v>
      </c>
      <c r="M169" s="335">
        <v>3671</v>
      </c>
      <c r="N169" s="336">
        <v>164</v>
      </c>
      <c r="O169" s="337">
        <f t="shared" ref="O169:P169" si="2809">IF(ISBLANK(Q169),,Q169-Q168)</f>
        <v>13</v>
      </c>
      <c r="P169" s="338">
        <f t="shared" si="2809"/>
        <v>0</v>
      </c>
      <c r="Q169" s="335">
        <v>988</v>
      </c>
      <c r="R169" s="339">
        <v>51</v>
      </c>
      <c r="S169" s="316">
        <f t="shared" ref="S169:T169" si="2810">IF(ISBLANK(U169),,U169-U168)</f>
        <v>0</v>
      </c>
      <c r="T169" s="334">
        <f t="shared" si="2810"/>
        <v>0</v>
      </c>
      <c r="U169" s="335">
        <v>1262</v>
      </c>
      <c r="V169" s="336">
        <v>22</v>
      </c>
      <c r="W169" s="337">
        <f t="shared" ref="W169:X169" si="2811">IF(ISBLANK(Y169),,Y169-Y168)</f>
        <v>8</v>
      </c>
      <c r="X169" s="334">
        <f t="shared" si="2811"/>
        <v>0</v>
      </c>
      <c r="Y169" s="335">
        <v>581</v>
      </c>
      <c r="Z169" s="340">
        <v>12</v>
      </c>
      <c r="AA169" s="316">
        <f t="shared" ref="AA169:AB169" si="2812">IF(ISBLANK(AC169),,AC169-AC168)</f>
        <v>70</v>
      </c>
      <c r="AB169" s="334">
        <f t="shared" si="2812"/>
        <v>0</v>
      </c>
      <c r="AC169" s="335">
        <v>4596</v>
      </c>
      <c r="AD169" s="336">
        <v>223</v>
      </c>
      <c r="AE169" s="337">
        <f t="shared" ref="AE169:AF169" si="2813">IF(ISBLANK(AG169),,AG169-AG168)</f>
        <v>77</v>
      </c>
      <c r="AF169" s="334">
        <f t="shared" si="2813"/>
        <v>6</v>
      </c>
      <c r="AG169" s="335">
        <v>5484</v>
      </c>
      <c r="AH169" s="339">
        <v>92</v>
      </c>
      <c r="AI169" s="316">
        <f t="shared" ref="AI169:AJ169" si="2814">IF(ISBLANK(AK169),,AK169-AK168)</f>
        <v>73</v>
      </c>
      <c r="AJ169" s="334">
        <f t="shared" si="2814"/>
        <v>1</v>
      </c>
      <c r="AK169" s="335">
        <v>7833</v>
      </c>
      <c r="AL169" s="336">
        <v>392</v>
      </c>
      <c r="AM169" s="337">
        <f t="shared" ref="AM169:AN169" si="2815">IF(ISBLANK(AO169),,AO169-AO168)</f>
        <v>14</v>
      </c>
      <c r="AN169" s="334">
        <f t="shared" si="2815"/>
        <v>0</v>
      </c>
      <c r="AO169" s="335">
        <v>1418</v>
      </c>
      <c r="AP169" s="339">
        <v>59</v>
      </c>
      <c r="AQ169" s="316">
        <f t="shared" ref="AQ169:AR169" si="2816">IF(ISBLANK(AS169),,AS169-AS168)</f>
        <v>38</v>
      </c>
      <c r="AR169" s="338">
        <f t="shared" si="2816"/>
        <v>0</v>
      </c>
      <c r="AS169" s="335">
        <v>1842</v>
      </c>
      <c r="AT169" s="336">
        <v>75</v>
      </c>
      <c r="AU169" s="337">
        <f t="shared" ref="AU169:AV169" si="2817">IF(ISBLANK(AW169),,AW169-AW168)</f>
        <v>3</v>
      </c>
      <c r="AV169" s="334">
        <f t="shared" si="2817"/>
        <v>1</v>
      </c>
      <c r="AW169" s="335">
        <v>1142</v>
      </c>
      <c r="AX169" s="339">
        <v>26</v>
      </c>
      <c r="AY169" s="316">
        <f t="shared" ref="AY169:AZ169" si="2818">IF(ISBLANK(BA169),,BA169-BA168)</f>
        <v>85</v>
      </c>
      <c r="AZ169" s="334">
        <f t="shared" si="2818"/>
        <v>0</v>
      </c>
      <c r="BA169" s="335">
        <v>1574</v>
      </c>
      <c r="BB169" s="336">
        <v>40</v>
      </c>
      <c r="BC169" s="337">
        <f t="shared" ref="BC169:BD169" si="2819">IF(ISBLANK(BE169),,BE169-BE168)</f>
        <v>108</v>
      </c>
      <c r="BD169" s="334">
        <f t="shared" si="2819"/>
        <v>0</v>
      </c>
      <c r="BE169" s="335">
        <v>18801</v>
      </c>
      <c r="BF169" s="339">
        <v>434</v>
      </c>
      <c r="BG169" s="316">
        <f t="shared" ref="BG169:BH169" si="2820">IF(ISBLANK(BI169),,BI169-BI168)</f>
        <v>16</v>
      </c>
      <c r="BH169" s="334">
        <f t="shared" si="2820"/>
        <v>0</v>
      </c>
      <c r="BI169" s="335">
        <v>1171</v>
      </c>
      <c r="BJ169" s="336">
        <v>47</v>
      </c>
      <c r="BK169" s="337">
        <f t="shared" ref="BK169:BL169" si="2821">IF(ISBLANK(BM169),,BM169-BM168)</f>
        <v>10</v>
      </c>
      <c r="BL169" s="334">
        <f t="shared" si="2821"/>
        <v>0</v>
      </c>
      <c r="BM169" s="335">
        <v>612</v>
      </c>
      <c r="BN169" s="339">
        <v>3</v>
      </c>
      <c r="BO169" s="316">
        <f t="shared" ref="BO169:BP169" si="2822">IF(ISBLANK(BQ169),,BQ169-BQ168)</f>
        <v>50</v>
      </c>
      <c r="BP169" s="334">
        <f t="shared" si="2822"/>
        <v>0</v>
      </c>
      <c r="BQ169" s="335">
        <v>4743</v>
      </c>
      <c r="BR169" s="336">
        <v>214</v>
      </c>
      <c r="BS169" s="316">
        <f t="shared" ref="BS169:BT169" si="2823">IF(ISBLANK(BU169),,BU169-BU168)</f>
        <v>18</v>
      </c>
      <c r="BT169" s="334">
        <f t="shared" si="2823"/>
        <v>0</v>
      </c>
      <c r="BU169" s="335">
        <v>966</v>
      </c>
      <c r="BV169" s="336">
        <v>23</v>
      </c>
      <c r="BW169" s="233"/>
      <c r="BX169" s="233"/>
      <c r="BY169" s="233"/>
      <c r="BZ169" s="233"/>
      <c r="CA169" s="233"/>
      <c r="CB169" s="233"/>
      <c r="CC169" s="233"/>
      <c r="CD169" s="233"/>
      <c r="CE169" s="233"/>
    </row>
    <row r="170" spans="1:83" x14ac:dyDescent="0.25">
      <c r="A170" s="313">
        <v>44060</v>
      </c>
      <c r="B170" s="314">
        <f t="shared" si="1276"/>
        <v>167</v>
      </c>
      <c r="C170" s="315"/>
      <c r="D170" s="316">
        <v>595</v>
      </c>
      <c r="E170" s="317">
        <v>8</v>
      </c>
      <c r="F170" s="318">
        <v>39359</v>
      </c>
      <c r="G170" s="319"/>
      <c r="H170" s="330">
        <f t="shared" ref="H170:I170" si="2824">IF(ISBLANK(D170),,H169+D170)</f>
        <v>57279</v>
      </c>
      <c r="I170" s="331">
        <f t="shared" si="2824"/>
        <v>1885</v>
      </c>
      <c r="J170" s="332">
        <f t="shared" si="1"/>
        <v>229</v>
      </c>
      <c r="K170" s="333">
        <f t="shared" ref="K170:L170" si="2825">IF(ISBLANK(M170),,M170-M169)</f>
        <v>17</v>
      </c>
      <c r="L170" s="334">
        <f t="shared" si="2825"/>
        <v>0</v>
      </c>
      <c r="M170" s="335">
        <v>3688</v>
      </c>
      <c r="N170" s="336">
        <v>164</v>
      </c>
      <c r="O170" s="337">
        <f t="shared" ref="O170:P170" si="2826">IF(ISBLANK(Q170),,Q170-Q169)</f>
        <v>28</v>
      </c>
      <c r="P170" s="338">
        <f t="shared" si="2826"/>
        <v>0</v>
      </c>
      <c r="Q170" s="335">
        <v>1016</v>
      </c>
      <c r="R170" s="339">
        <v>51</v>
      </c>
      <c r="S170" s="316">
        <f t="shared" ref="S170:T170" si="2827">IF(ISBLANK(U170),,U170-U169)</f>
        <v>6</v>
      </c>
      <c r="T170" s="334">
        <f t="shared" si="2827"/>
        <v>0</v>
      </c>
      <c r="U170" s="335">
        <v>1268</v>
      </c>
      <c r="V170" s="336">
        <v>22</v>
      </c>
      <c r="W170" s="337">
        <f t="shared" ref="W170:X170" si="2828">IF(ISBLANK(Y170),,Y170-Y169)</f>
        <v>8</v>
      </c>
      <c r="X170" s="334">
        <f t="shared" si="2828"/>
        <v>0</v>
      </c>
      <c r="Y170" s="335">
        <v>589</v>
      </c>
      <c r="Z170" s="340">
        <v>12</v>
      </c>
      <c r="AA170" s="316">
        <f t="shared" ref="AA170:AB170" si="2829">IF(ISBLANK(AC170),,AC170-AC169)</f>
        <v>44</v>
      </c>
      <c r="AB170" s="334">
        <f t="shared" si="2829"/>
        <v>0</v>
      </c>
      <c r="AC170" s="335">
        <v>4640</v>
      </c>
      <c r="AD170" s="336">
        <v>223</v>
      </c>
      <c r="AE170" s="337">
        <f t="shared" ref="AE170:AF170" si="2830">IF(ISBLANK(AG170),,AG170-AG169)</f>
        <v>84</v>
      </c>
      <c r="AF170" s="334">
        <f t="shared" si="2830"/>
        <v>4</v>
      </c>
      <c r="AG170" s="335">
        <v>5568</v>
      </c>
      <c r="AH170" s="339">
        <v>96</v>
      </c>
      <c r="AI170" s="316">
        <f t="shared" ref="AI170:AJ170" si="2831">IF(ISBLANK(AK170),,AK170-AK169)</f>
        <v>150</v>
      </c>
      <c r="AJ170" s="334">
        <f t="shared" si="2831"/>
        <v>0</v>
      </c>
      <c r="AK170" s="335">
        <v>7983</v>
      </c>
      <c r="AL170" s="336">
        <v>392</v>
      </c>
      <c r="AM170" s="337">
        <f t="shared" ref="AM170:AN170" si="2832">IF(ISBLANK(AO170),,AO170-AO169)</f>
        <v>23</v>
      </c>
      <c r="AN170" s="334">
        <f t="shared" si="2832"/>
        <v>0</v>
      </c>
      <c r="AO170" s="335">
        <v>1441</v>
      </c>
      <c r="AP170" s="339">
        <v>59</v>
      </c>
      <c r="AQ170" s="316">
        <f t="shared" ref="AQ170:AR170" si="2833">IF(ISBLANK(AS170),,AS170-AS169)</f>
        <v>37</v>
      </c>
      <c r="AR170" s="338">
        <f t="shared" si="2833"/>
        <v>0</v>
      </c>
      <c r="AS170" s="335">
        <v>1879</v>
      </c>
      <c r="AT170" s="336">
        <v>75</v>
      </c>
      <c r="AU170" s="337">
        <f t="shared" ref="AU170:AV170" si="2834">IF(ISBLANK(AW170),,AW170-AW169)</f>
        <v>5</v>
      </c>
      <c r="AV170" s="334">
        <f t="shared" si="2834"/>
        <v>1</v>
      </c>
      <c r="AW170" s="335">
        <v>1147</v>
      </c>
      <c r="AX170" s="339">
        <v>27</v>
      </c>
      <c r="AY170" s="316">
        <f t="shared" ref="AY170:AZ170" si="2835">IF(ISBLANK(BA170),,BA170-BA169)</f>
        <v>52</v>
      </c>
      <c r="AZ170" s="334">
        <f t="shared" si="2835"/>
        <v>1</v>
      </c>
      <c r="BA170" s="335">
        <v>1626</v>
      </c>
      <c r="BB170" s="336">
        <v>41</v>
      </c>
      <c r="BC170" s="337">
        <f t="shared" ref="BC170:BD170" si="2836">IF(ISBLANK(BE170),,BE170-BE169)</f>
        <v>76</v>
      </c>
      <c r="BD170" s="334">
        <f t="shared" si="2836"/>
        <v>2</v>
      </c>
      <c r="BE170" s="335">
        <v>18877</v>
      </c>
      <c r="BF170" s="339">
        <v>436</v>
      </c>
      <c r="BG170" s="316">
        <f t="shared" ref="BG170:BH170" si="2837">IF(ISBLANK(BI170),,BI170-BI169)</f>
        <v>10</v>
      </c>
      <c r="BH170" s="334">
        <f t="shared" si="2837"/>
        <v>0</v>
      </c>
      <c r="BI170" s="335">
        <v>1181</v>
      </c>
      <c r="BJ170" s="336">
        <v>47</v>
      </c>
      <c r="BK170" s="337">
        <f t="shared" ref="BK170:BL170" si="2838">IF(ISBLANK(BM170),,BM170-BM169)</f>
        <v>11</v>
      </c>
      <c r="BL170" s="334">
        <f t="shared" si="2838"/>
        <v>0</v>
      </c>
      <c r="BM170" s="335">
        <v>623</v>
      </c>
      <c r="BN170" s="339">
        <v>3</v>
      </c>
      <c r="BO170" s="316">
        <f t="shared" ref="BO170:BP170" si="2839">IF(ISBLANK(BQ170),,BQ170-BQ169)</f>
        <v>30</v>
      </c>
      <c r="BP170" s="334">
        <f t="shared" si="2839"/>
        <v>0</v>
      </c>
      <c r="BQ170" s="335">
        <v>4773</v>
      </c>
      <c r="BR170" s="336">
        <v>214</v>
      </c>
      <c r="BS170" s="316">
        <f t="shared" ref="BS170:BT170" si="2840">IF(ISBLANK(BU170),,BU170-BU169)</f>
        <v>14</v>
      </c>
      <c r="BT170" s="334">
        <f t="shared" si="2840"/>
        <v>0</v>
      </c>
      <c r="BU170" s="335">
        <v>980</v>
      </c>
      <c r="BV170" s="336">
        <v>23</v>
      </c>
      <c r="BW170" s="233"/>
      <c r="BX170" s="233"/>
      <c r="BY170" s="233"/>
      <c r="BZ170" s="233"/>
      <c r="CA170" s="233"/>
      <c r="CB170" s="233"/>
      <c r="CC170" s="233"/>
      <c r="CD170" s="233"/>
      <c r="CE170" s="233"/>
    </row>
    <row r="171" spans="1:83" x14ac:dyDescent="0.25">
      <c r="A171" s="313">
        <v>44061</v>
      </c>
      <c r="B171" s="314">
        <f t="shared" si="1276"/>
        <v>168</v>
      </c>
      <c r="C171" s="315"/>
      <c r="D171" s="316">
        <v>597</v>
      </c>
      <c r="E171" s="317">
        <v>11</v>
      </c>
      <c r="F171" s="318">
        <v>39643</v>
      </c>
      <c r="G171" s="319"/>
      <c r="H171" s="330">
        <f t="shared" ref="H171:I171" si="2841">IF(ISBLANK(D171),,H170+D171)</f>
        <v>57876</v>
      </c>
      <c r="I171" s="331">
        <f t="shared" si="2841"/>
        <v>1896</v>
      </c>
      <c r="J171" s="332">
        <f t="shared" si="1"/>
        <v>284</v>
      </c>
      <c r="K171" s="333">
        <f t="shared" ref="K171:L171" si="2842">IF(ISBLANK(M171),,M171-M170)</f>
        <v>33</v>
      </c>
      <c r="L171" s="334">
        <f t="shared" si="2842"/>
        <v>0</v>
      </c>
      <c r="M171" s="335">
        <v>3721</v>
      </c>
      <c r="N171" s="336">
        <v>164</v>
      </c>
      <c r="O171" s="337">
        <f t="shared" ref="O171:P171" si="2843">IF(ISBLANK(Q171),,Q171-Q170)</f>
        <v>17</v>
      </c>
      <c r="P171" s="338">
        <f t="shared" si="2843"/>
        <v>0</v>
      </c>
      <c r="Q171" s="335">
        <v>1033</v>
      </c>
      <c r="R171" s="339">
        <v>51</v>
      </c>
      <c r="S171" s="316">
        <f t="shared" ref="S171:T171" si="2844">IF(ISBLANK(U171),,U171-U170)</f>
        <v>19</v>
      </c>
      <c r="T171" s="334">
        <f t="shared" si="2844"/>
        <v>1</v>
      </c>
      <c r="U171" s="335">
        <v>1287</v>
      </c>
      <c r="V171" s="336">
        <v>23</v>
      </c>
      <c r="W171" s="337">
        <f t="shared" ref="W171:X171" si="2845">IF(ISBLANK(Y171),,Y171-Y170)</f>
        <v>14</v>
      </c>
      <c r="X171" s="334">
        <f t="shared" si="2845"/>
        <v>0</v>
      </c>
      <c r="Y171" s="335">
        <v>603</v>
      </c>
      <c r="Z171" s="340">
        <v>12</v>
      </c>
      <c r="AA171" s="316">
        <f t="shared" ref="AA171:AB171" si="2846">IF(ISBLANK(AC171),,AC171-AC170)</f>
        <v>48</v>
      </c>
      <c r="AB171" s="334">
        <f t="shared" si="2846"/>
        <v>0</v>
      </c>
      <c r="AC171" s="335">
        <v>4688</v>
      </c>
      <c r="AD171" s="336">
        <v>223</v>
      </c>
      <c r="AE171" s="337">
        <f t="shared" ref="AE171:AF171" si="2847">IF(ISBLANK(AG171),,AG171-AG170)</f>
        <v>130</v>
      </c>
      <c r="AF171" s="334">
        <f t="shared" si="2847"/>
        <v>1</v>
      </c>
      <c r="AG171" s="335">
        <v>5698</v>
      </c>
      <c r="AH171" s="339">
        <v>97</v>
      </c>
      <c r="AI171" s="316">
        <f t="shared" ref="AI171:AJ171" si="2848">IF(ISBLANK(AK171),,AK171-AK170)</f>
        <v>62</v>
      </c>
      <c r="AJ171" s="334">
        <f t="shared" si="2848"/>
        <v>0</v>
      </c>
      <c r="AK171" s="335">
        <v>8045</v>
      </c>
      <c r="AL171" s="336">
        <v>392</v>
      </c>
      <c r="AM171" s="337">
        <f t="shared" ref="AM171:AN171" si="2849">IF(ISBLANK(AO171),,AO171-AO170)</f>
        <v>15</v>
      </c>
      <c r="AN171" s="334">
        <f t="shared" si="2849"/>
        <v>0</v>
      </c>
      <c r="AO171" s="335">
        <v>1456</v>
      </c>
      <c r="AP171" s="339">
        <v>59</v>
      </c>
      <c r="AQ171" s="316">
        <f t="shared" ref="AQ171:AR171" si="2850">IF(ISBLANK(AS171),,AS171-AS170)</f>
        <v>39</v>
      </c>
      <c r="AR171" s="338">
        <f t="shared" si="2850"/>
        <v>0</v>
      </c>
      <c r="AS171" s="335">
        <v>1918</v>
      </c>
      <c r="AT171" s="336">
        <v>75</v>
      </c>
      <c r="AU171" s="337">
        <f t="shared" ref="AU171:AV171" si="2851">IF(ISBLANK(AW171),,AW171-AW170)</f>
        <v>10</v>
      </c>
      <c r="AV171" s="334">
        <f t="shared" si="2851"/>
        <v>0</v>
      </c>
      <c r="AW171" s="335">
        <v>1157</v>
      </c>
      <c r="AX171" s="339">
        <v>27</v>
      </c>
      <c r="AY171" s="316">
        <f t="shared" ref="AY171:AZ171" si="2852">IF(ISBLANK(BA171),,BA171-BA170)</f>
        <v>51</v>
      </c>
      <c r="AZ171" s="334">
        <f t="shared" si="2852"/>
        <v>0</v>
      </c>
      <c r="BA171" s="335">
        <v>1677</v>
      </c>
      <c r="BB171" s="336">
        <v>41</v>
      </c>
      <c r="BC171" s="337">
        <f t="shared" ref="BC171:BD171" si="2853">IF(ISBLANK(BE171),,BE171-BE170)</f>
        <v>85</v>
      </c>
      <c r="BD171" s="334">
        <f t="shared" si="2853"/>
        <v>7</v>
      </c>
      <c r="BE171" s="335">
        <v>18962</v>
      </c>
      <c r="BF171" s="339">
        <v>443</v>
      </c>
      <c r="BG171" s="316">
        <f t="shared" ref="BG171:BH171" si="2854">IF(ISBLANK(BI171),,BI171-BI170)</f>
        <v>8</v>
      </c>
      <c r="BH171" s="334">
        <f t="shared" si="2854"/>
        <v>1</v>
      </c>
      <c r="BI171" s="335">
        <v>1189</v>
      </c>
      <c r="BJ171" s="336">
        <v>48</v>
      </c>
      <c r="BK171" s="337">
        <f t="shared" ref="BK171:BL171" si="2855">IF(ISBLANK(BM171),,BM171-BM170)</f>
        <v>8</v>
      </c>
      <c r="BL171" s="334">
        <f t="shared" si="2855"/>
        <v>0</v>
      </c>
      <c r="BM171" s="335">
        <v>631</v>
      </c>
      <c r="BN171" s="339">
        <v>3</v>
      </c>
      <c r="BO171" s="316">
        <f t="shared" ref="BO171:BP171" si="2856">IF(ISBLANK(BQ171),,BQ171-BQ170)</f>
        <v>42</v>
      </c>
      <c r="BP171" s="334">
        <f t="shared" si="2856"/>
        <v>1</v>
      </c>
      <c r="BQ171" s="335">
        <v>4815</v>
      </c>
      <c r="BR171" s="336">
        <v>215</v>
      </c>
      <c r="BS171" s="316">
        <f t="shared" ref="BS171:BT171" si="2857">IF(ISBLANK(BU171),,BU171-BU170)</f>
        <v>16</v>
      </c>
      <c r="BT171" s="334">
        <f t="shared" si="2857"/>
        <v>0</v>
      </c>
      <c r="BU171" s="335">
        <v>996</v>
      </c>
      <c r="BV171" s="336">
        <v>23</v>
      </c>
      <c r="BW171" s="233"/>
      <c r="BX171" s="233"/>
      <c r="BY171" s="233"/>
      <c r="BZ171" s="233"/>
      <c r="CA171" s="233"/>
      <c r="CB171" s="233"/>
      <c r="CC171" s="233"/>
      <c r="CD171" s="233"/>
      <c r="CE171" s="233"/>
    </row>
    <row r="172" spans="1:83" x14ac:dyDescent="0.25">
      <c r="A172" s="313">
        <v>44062</v>
      </c>
      <c r="B172" s="314">
        <f t="shared" si="1276"/>
        <v>169</v>
      </c>
      <c r="C172" s="315"/>
      <c r="D172" s="316">
        <v>735</v>
      </c>
      <c r="E172" s="317">
        <v>17</v>
      </c>
      <c r="F172" s="318">
        <v>40099</v>
      </c>
      <c r="G172" s="319"/>
      <c r="H172" s="330">
        <f t="shared" ref="H172:I172" si="2858">IF(ISBLANK(D172),,H171+D172)</f>
        <v>58611</v>
      </c>
      <c r="I172" s="331">
        <f t="shared" si="2858"/>
        <v>1913</v>
      </c>
      <c r="J172" s="332">
        <f t="shared" si="1"/>
        <v>456</v>
      </c>
      <c r="K172" s="333">
        <f t="shared" ref="K172:L172" si="2859">IF(ISBLANK(M172),,M172-M171)</f>
        <v>31</v>
      </c>
      <c r="L172" s="334">
        <f t="shared" si="2859"/>
        <v>0</v>
      </c>
      <c r="M172" s="335">
        <v>3752</v>
      </c>
      <c r="N172" s="336">
        <v>164</v>
      </c>
      <c r="O172" s="337">
        <f t="shared" ref="O172:P172" si="2860">IF(ISBLANK(Q172),,Q172-Q171)</f>
        <v>17</v>
      </c>
      <c r="P172" s="338">
        <f t="shared" si="2860"/>
        <v>0</v>
      </c>
      <c r="Q172" s="335">
        <v>1050</v>
      </c>
      <c r="R172" s="339">
        <v>51</v>
      </c>
      <c r="S172" s="316">
        <f t="shared" ref="S172:T172" si="2861">IF(ISBLANK(U172),,U172-U171)</f>
        <v>28</v>
      </c>
      <c r="T172" s="334">
        <f t="shared" si="2861"/>
        <v>0</v>
      </c>
      <c r="U172" s="335">
        <v>1315</v>
      </c>
      <c r="V172" s="336">
        <v>23</v>
      </c>
      <c r="W172" s="337">
        <f t="shared" ref="W172:X172" si="2862">IF(ISBLANK(Y172),,Y172-Y171)</f>
        <v>8</v>
      </c>
      <c r="X172" s="334">
        <f t="shared" si="2862"/>
        <v>0</v>
      </c>
      <c r="Y172" s="335">
        <v>611</v>
      </c>
      <c r="Z172" s="340">
        <v>12</v>
      </c>
      <c r="AA172" s="316">
        <f t="shared" ref="AA172:AB172" si="2863">IF(ISBLANK(AC172),,AC172-AC171)</f>
        <v>31</v>
      </c>
      <c r="AB172" s="334">
        <f t="shared" si="2863"/>
        <v>1</v>
      </c>
      <c r="AC172" s="335">
        <v>4719</v>
      </c>
      <c r="AD172" s="336">
        <v>224</v>
      </c>
      <c r="AE172" s="337">
        <f t="shared" ref="AE172:AF172" si="2864">IF(ISBLANK(AG172),,AG172-AG171)</f>
        <v>140</v>
      </c>
      <c r="AF172" s="334">
        <f t="shared" si="2864"/>
        <v>2</v>
      </c>
      <c r="AG172" s="335">
        <v>5838</v>
      </c>
      <c r="AH172" s="339">
        <v>99</v>
      </c>
      <c r="AI172" s="316">
        <f t="shared" ref="AI172:AJ172" si="2865">IF(ISBLANK(AK172),,AK172-AK171)</f>
        <v>126</v>
      </c>
      <c r="AJ172" s="334">
        <f t="shared" si="2865"/>
        <v>2</v>
      </c>
      <c r="AK172" s="335">
        <v>8171</v>
      </c>
      <c r="AL172" s="336">
        <v>394</v>
      </c>
      <c r="AM172" s="337">
        <f t="shared" ref="AM172:AN172" si="2866">IF(ISBLANK(AO172),,AO172-AO171)</f>
        <v>12</v>
      </c>
      <c r="AN172" s="334">
        <f t="shared" si="2866"/>
        <v>1</v>
      </c>
      <c r="AO172" s="335">
        <v>1468</v>
      </c>
      <c r="AP172" s="339">
        <v>60</v>
      </c>
      <c r="AQ172" s="316">
        <f t="shared" ref="AQ172:AR172" si="2867">IF(ISBLANK(AS172),,AS172-AS171)</f>
        <v>33</v>
      </c>
      <c r="AR172" s="338">
        <f t="shared" si="2867"/>
        <v>1</v>
      </c>
      <c r="AS172" s="335">
        <v>1951</v>
      </c>
      <c r="AT172" s="336">
        <v>76</v>
      </c>
      <c r="AU172" s="337">
        <f t="shared" ref="AU172:AV172" si="2868">IF(ISBLANK(AW172),,AW172-AW171)</f>
        <v>8</v>
      </c>
      <c r="AV172" s="334">
        <f t="shared" si="2868"/>
        <v>0</v>
      </c>
      <c r="AW172" s="335">
        <v>1165</v>
      </c>
      <c r="AX172" s="339">
        <v>27</v>
      </c>
      <c r="AY172" s="316">
        <f t="shared" ref="AY172:AZ172" si="2869">IF(ISBLANK(BA172),,BA172-BA171)</f>
        <v>60</v>
      </c>
      <c r="AZ172" s="334">
        <f t="shared" si="2869"/>
        <v>0</v>
      </c>
      <c r="BA172" s="335">
        <v>1737</v>
      </c>
      <c r="BB172" s="336">
        <v>41</v>
      </c>
      <c r="BC172" s="337">
        <f t="shared" ref="BC172:BD172" si="2870">IF(ISBLANK(BE172),,BE172-BE171)</f>
        <v>160</v>
      </c>
      <c r="BD172" s="334">
        <f t="shared" si="2870"/>
        <v>6</v>
      </c>
      <c r="BE172" s="335">
        <v>19122</v>
      </c>
      <c r="BF172" s="339">
        <v>449</v>
      </c>
      <c r="BG172" s="316">
        <f t="shared" ref="BG172:BH172" si="2871">IF(ISBLANK(BI172),,BI172-BI171)</f>
        <v>4</v>
      </c>
      <c r="BH172" s="334">
        <f t="shared" si="2871"/>
        <v>0</v>
      </c>
      <c r="BI172" s="335">
        <v>1193</v>
      </c>
      <c r="BJ172" s="336">
        <v>48</v>
      </c>
      <c r="BK172" s="337">
        <f t="shared" ref="BK172:BL172" si="2872">IF(ISBLANK(BM172),,BM172-BM171)</f>
        <v>21</v>
      </c>
      <c r="BL172" s="334">
        <f t="shared" si="2872"/>
        <v>1</v>
      </c>
      <c r="BM172" s="335">
        <v>652</v>
      </c>
      <c r="BN172" s="339">
        <v>4</v>
      </c>
      <c r="BO172" s="316">
        <f t="shared" ref="BO172:BP172" si="2873">IF(ISBLANK(BQ172),,BQ172-BQ171)</f>
        <v>43</v>
      </c>
      <c r="BP172" s="334">
        <f t="shared" si="2873"/>
        <v>1</v>
      </c>
      <c r="BQ172" s="335">
        <v>4858</v>
      </c>
      <c r="BR172" s="336">
        <v>216</v>
      </c>
      <c r="BS172" s="316">
        <f t="shared" ref="BS172:BT172" si="2874">IF(ISBLANK(BU172),,BU172-BU171)</f>
        <v>13</v>
      </c>
      <c r="BT172" s="334">
        <f t="shared" si="2874"/>
        <v>2</v>
      </c>
      <c r="BU172" s="335">
        <v>1009</v>
      </c>
      <c r="BV172" s="336">
        <v>25</v>
      </c>
      <c r="BW172" s="233"/>
      <c r="BX172" s="233"/>
      <c r="BY172" s="233"/>
      <c r="BZ172" s="233"/>
      <c r="CA172" s="233"/>
      <c r="CB172" s="233"/>
      <c r="CC172" s="233"/>
      <c r="CD172" s="233"/>
      <c r="CE172" s="233"/>
    </row>
    <row r="173" spans="1:83" x14ac:dyDescent="0.25">
      <c r="A173" s="313">
        <v>44063</v>
      </c>
      <c r="B173" s="314">
        <f t="shared" si="1276"/>
        <v>170</v>
      </c>
      <c r="C173" s="315"/>
      <c r="D173" s="316">
        <v>767</v>
      </c>
      <c r="E173" s="317">
        <v>12</v>
      </c>
      <c r="F173" s="318">
        <v>40481</v>
      </c>
      <c r="G173" s="319"/>
      <c r="H173" s="330">
        <f t="shared" ref="H173:I173" si="2875">IF(ISBLANK(D173),,H172+D173)</f>
        <v>59378</v>
      </c>
      <c r="I173" s="331">
        <f t="shared" si="2875"/>
        <v>1925</v>
      </c>
      <c r="J173" s="332">
        <f t="shared" si="1"/>
        <v>382</v>
      </c>
      <c r="K173" s="333">
        <f t="shared" ref="K173:L173" si="2876">IF(ISBLANK(M173),,M173-M172)</f>
        <v>21</v>
      </c>
      <c r="L173" s="334">
        <f t="shared" si="2876"/>
        <v>1</v>
      </c>
      <c r="M173" s="335">
        <v>3773</v>
      </c>
      <c r="N173" s="336">
        <v>165</v>
      </c>
      <c r="O173" s="337">
        <f t="shared" ref="O173:P173" si="2877">IF(ISBLANK(Q173),,Q173-Q172)</f>
        <v>21</v>
      </c>
      <c r="P173" s="338">
        <f t="shared" si="2877"/>
        <v>0</v>
      </c>
      <c r="Q173" s="335">
        <v>1071</v>
      </c>
      <c r="R173" s="339">
        <v>51</v>
      </c>
      <c r="S173" s="316">
        <f t="shared" ref="S173:T173" si="2878">IF(ISBLANK(U173),,U173-U172)</f>
        <v>16</v>
      </c>
      <c r="T173" s="334">
        <f t="shared" si="2878"/>
        <v>0</v>
      </c>
      <c r="U173" s="335">
        <v>1331</v>
      </c>
      <c r="V173" s="336">
        <v>23</v>
      </c>
      <c r="W173" s="337">
        <f t="shared" ref="W173:X173" si="2879">IF(ISBLANK(Y173),,Y173-Y172)</f>
        <v>8</v>
      </c>
      <c r="X173" s="334">
        <f t="shared" si="2879"/>
        <v>0</v>
      </c>
      <c r="Y173" s="335">
        <v>619</v>
      </c>
      <c r="Z173" s="340">
        <v>12</v>
      </c>
      <c r="AA173" s="316">
        <f t="shared" ref="AA173:AB173" si="2880">IF(ISBLANK(AC173),,AC173-AC172)</f>
        <v>44</v>
      </c>
      <c r="AB173" s="334">
        <f t="shared" si="2880"/>
        <v>1</v>
      </c>
      <c r="AC173" s="335">
        <v>4763</v>
      </c>
      <c r="AD173" s="336">
        <v>225</v>
      </c>
      <c r="AE173" s="337">
        <f t="shared" ref="AE173:AF173" si="2881">IF(ISBLANK(AG173),,AG173-AG172)</f>
        <v>151</v>
      </c>
      <c r="AF173" s="334">
        <f t="shared" si="2881"/>
        <v>1</v>
      </c>
      <c r="AG173" s="335">
        <v>5989</v>
      </c>
      <c r="AH173" s="339">
        <v>100</v>
      </c>
      <c r="AI173" s="316">
        <f t="shared" ref="AI173:AJ173" si="2882">IF(ISBLANK(AK173),,AK173-AK172)</f>
        <v>96</v>
      </c>
      <c r="AJ173" s="334">
        <f t="shared" si="2882"/>
        <v>0</v>
      </c>
      <c r="AK173" s="335">
        <v>8267</v>
      </c>
      <c r="AL173" s="336">
        <v>394</v>
      </c>
      <c r="AM173" s="337">
        <f t="shared" ref="AM173:AN173" si="2883">IF(ISBLANK(AO173),,AO173-AO172)</f>
        <v>8</v>
      </c>
      <c r="AN173" s="334">
        <f t="shared" si="2883"/>
        <v>0</v>
      </c>
      <c r="AO173" s="335">
        <v>1476</v>
      </c>
      <c r="AP173" s="339">
        <v>60</v>
      </c>
      <c r="AQ173" s="316">
        <f t="shared" ref="AQ173:AR173" si="2884">IF(ISBLANK(AS173),,AS173-AS172)</f>
        <v>26</v>
      </c>
      <c r="AR173" s="338">
        <f t="shared" si="2884"/>
        <v>1</v>
      </c>
      <c r="AS173" s="335">
        <v>1977</v>
      </c>
      <c r="AT173" s="336">
        <v>77</v>
      </c>
      <c r="AU173" s="337">
        <f t="shared" ref="AU173:AV173" si="2885">IF(ISBLANK(AW173),,AW173-AW172)</f>
        <v>12</v>
      </c>
      <c r="AV173" s="334">
        <f t="shared" si="2885"/>
        <v>2</v>
      </c>
      <c r="AW173" s="335">
        <v>1177</v>
      </c>
      <c r="AX173" s="339">
        <v>29</v>
      </c>
      <c r="AY173" s="316">
        <f t="shared" ref="AY173:AZ173" si="2886">IF(ISBLANK(BA173),,BA173-BA172)</f>
        <v>68</v>
      </c>
      <c r="AZ173" s="334">
        <f t="shared" si="2886"/>
        <v>1</v>
      </c>
      <c r="BA173" s="335">
        <v>1805</v>
      </c>
      <c r="BB173" s="336">
        <v>42</v>
      </c>
      <c r="BC173" s="337">
        <f t="shared" ref="BC173:BD173" si="2887">IF(ISBLANK(BE173),,BE173-BE172)</f>
        <v>176</v>
      </c>
      <c r="BD173" s="334">
        <f t="shared" si="2887"/>
        <v>2</v>
      </c>
      <c r="BE173" s="335">
        <v>19298</v>
      </c>
      <c r="BF173" s="339">
        <v>451</v>
      </c>
      <c r="BG173" s="316">
        <f t="shared" ref="BG173:BH173" si="2888">IF(ISBLANK(BI173),,BI173-BI172)</f>
        <v>15</v>
      </c>
      <c r="BH173" s="334">
        <f t="shared" si="2888"/>
        <v>0</v>
      </c>
      <c r="BI173" s="335">
        <v>1208</v>
      </c>
      <c r="BJ173" s="336">
        <v>48</v>
      </c>
      <c r="BK173" s="337">
        <f t="shared" ref="BK173:BL173" si="2889">IF(ISBLANK(BM173),,BM173-BM172)</f>
        <v>13</v>
      </c>
      <c r="BL173" s="334">
        <f t="shared" si="2889"/>
        <v>1</v>
      </c>
      <c r="BM173" s="335">
        <v>665</v>
      </c>
      <c r="BN173" s="339">
        <v>5</v>
      </c>
      <c r="BO173" s="316">
        <f t="shared" ref="BO173:BP173" si="2890">IF(ISBLANK(BQ173),,BQ173-BQ172)</f>
        <v>80</v>
      </c>
      <c r="BP173" s="334">
        <f t="shared" si="2890"/>
        <v>0</v>
      </c>
      <c r="BQ173" s="335">
        <v>4938</v>
      </c>
      <c r="BR173" s="336">
        <v>216</v>
      </c>
      <c r="BS173" s="316">
        <f t="shared" ref="BS173:BT173" si="2891">IF(ISBLANK(BU173),,BU173-BU172)</f>
        <v>12</v>
      </c>
      <c r="BT173" s="334">
        <f t="shared" si="2891"/>
        <v>2</v>
      </c>
      <c r="BU173" s="335">
        <v>1021</v>
      </c>
      <c r="BV173" s="336">
        <v>27</v>
      </c>
      <c r="BW173" s="233"/>
      <c r="BX173" s="233"/>
      <c r="BY173" s="233"/>
      <c r="BZ173" s="233"/>
      <c r="CA173" s="233"/>
      <c r="CB173" s="233"/>
      <c r="CC173" s="233"/>
      <c r="CD173" s="233"/>
      <c r="CE173" s="233"/>
    </row>
    <row r="174" spans="1:83" x14ac:dyDescent="0.25">
      <c r="A174" s="313">
        <v>44064</v>
      </c>
      <c r="B174" s="314">
        <f t="shared" si="1276"/>
        <v>171</v>
      </c>
      <c r="C174" s="315"/>
      <c r="D174" s="316">
        <v>903</v>
      </c>
      <c r="E174" s="317">
        <v>13</v>
      </c>
      <c r="F174" s="318">
        <v>41029</v>
      </c>
      <c r="G174" s="319"/>
      <c r="H174" s="330">
        <f t="shared" ref="H174:I174" si="2892">IF(ISBLANK(D174),,H173+D174)</f>
        <v>60281</v>
      </c>
      <c r="I174" s="331">
        <f t="shared" si="2892"/>
        <v>1938</v>
      </c>
      <c r="J174" s="332">
        <f t="shared" si="1"/>
        <v>548</v>
      </c>
      <c r="K174" s="333">
        <f t="shared" ref="K174:L174" si="2893">IF(ISBLANK(M174),,M174-M173)</f>
        <v>30</v>
      </c>
      <c r="L174" s="334">
        <f t="shared" si="2893"/>
        <v>1</v>
      </c>
      <c r="M174" s="335">
        <v>3803</v>
      </c>
      <c r="N174" s="336">
        <v>166</v>
      </c>
      <c r="O174" s="337">
        <f t="shared" ref="O174:P174" si="2894">IF(ISBLANK(Q174),,Q174-Q173)</f>
        <v>31</v>
      </c>
      <c r="P174" s="338">
        <f t="shared" si="2894"/>
        <v>0</v>
      </c>
      <c r="Q174" s="335">
        <v>1102</v>
      </c>
      <c r="R174" s="339">
        <v>51</v>
      </c>
      <c r="S174" s="316">
        <f t="shared" ref="S174:T174" si="2895">IF(ISBLANK(U174),,U174-U173)</f>
        <v>21</v>
      </c>
      <c r="T174" s="334">
        <f t="shared" si="2895"/>
        <v>0</v>
      </c>
      <c r="U174" s="335">
        <v>1352</v>
      </c>
      <c r="V174" s="336">
        <v>23</v>
      </c>
      <c r="W174" s="337">
        <f t="shared" ref="W174:X174" si="2896">IF(ISBLANK(Y174),,Y174-Y173)</f>
        <v>1</v>
      </c>
      <c r="X174" s="334">
        <f t="shared" si="2896"/>
        <v>1</v>
      </c>
      <c r="Y174" s="335">
        <v>620</v>
      </c>
      <c r="Z174" s="340">
        <v>13</v>
      </c>
      <c r="AA174" s="316">
        <f t="shared" ref="AA174:AB174" si="2897">IF(ISBLANK(AC174),,AC174-AC173)</f>
        <v>49</v>
      </c>
      <c r="AB174" s="334">
        <f t="shared" si="2897"/>
        <v>0</v>
      </c>
      <c r="AC174" s="335">
        <v>4812</v>
      </c>
      <c r="AD174" s="336">
        <v>225</v>
      </c>
      <c r="AE174" s="337">
        <f t="shared" ref="AE174:AF174" si="2898">IF(ISBLANK(AG174),,AG174-AG173)</f>
        <v>156</v>
      </c>
      <c r="AF174" s="334">
        <f t="shared" si="2898"/>
        <v>2</v>
      </c>
      <c r="AG174" s="335">
        <v>6145</v>
      </c>
      <c r="AH174" s="339">
        <v>102</v>
      </c>
      <c r="AI174" s="316">
        <f t="shared" ref="AI174:AJ174" si="2899">IF(ISBLANK(AK174),,AK174-AK173)</f>
        <v>146</v>
      </c>
      <c r="AJ174" s="334">
        <f t="shared" si="2899"/>
        <v>2</v>
      </c>
      <c r="AK174" s="335">
        <v>8413</v>
      </c>
      <c r="AL174" s="336">
        <v>396</v>
      </c>
      <c r="AM174" s="337">
        <f t="shared" ref="AM174:AN174" si="2900">IF(ISBLANK(AO174),,AO174-AO173)</f>
        <v>25</v>
      </c>
      <c r="AN174" s="334">
        <f t="shared" si="2900"/>
        <v>0</v>
      </c>
      <c r="AO174" s="335">
        <v>1501</v>
      </c>
      <c r="AP174" s="339">
        <v>60</v>
      </c>
      <c r="AQ174" s="316">
        <f t="shared" ref="AQ174:AR174" si="2901">IF(ISBLANK(AS174),,AS174-AS173)</f>
        <v>46</v>
      </c>
      <c r="AR174" s="338">
        <f t="shared" si="2901"/>
        <v>1</v>
      </c>
      <c r="AS174" s="335">
        <v>2023</v>
      </c>
      <c r="AT174" s="336">
        <v>78</v>
      </c>
      <c r="AU174" s="337">
        <f t="shared" ref="AU174:AV174" si="2902">IF(ISBLANK(AW174),,AW174-AW173)</f>
        <v>6</v>
      </c>
      <c r="AV174" s="334">
        <f t="shared" si="2902"/>
        <v>0</v>
      </c>
      <c r="AW174" s="335">
        <v>1183</v>
      </c>
      <c r="AX174" s="339">
        <v>29</v>
      </c>
      <c r="AY174" s="316">
        <f t="shared" ref="AY174:AZ174" si="2903">IF(ISBLANK(BA174),,BA174-BA173)</f>
        <v>89</v>
      </c>
      <c r="AZ174" s="334">
        <f t="shared" si="2903"/>
        <v>1</v>
      </c>
      <c r="BA174" s="335">
        <v>1894</v>
      </c>
      <c r="BB174" s="336">
        <v>43</v>
      </c>
      <c r="BC174" s="337">
        <f t="shared" ref="BC174:BD174" si="2904">IF(ISBLANK(BE174),,BE174-BE173)</f>
        <v>168</v>
      </c>
      <c r="BD174" s="334">
        <f t="shared" si="2904"/>
        <v>3</v>
      </c>
      <c r="BE174" s="335">
        <v>19466</v>
      </c>
      <c r="BF174" s="339">
        <v>454</v>
      </c>
      <c r="BG174" s="316">
        <f t="shared" ref="BG174:BH174" si="2905">IF(ISBLANK(BI174),,BI174-BI173)</f>
        <v>22</v>
      </c>
      <c r="BH174" s="334">
        <f t="shared" si="2905"/>
        <v>0</v>
      </c>
      <c r="BI174" s="335">
        <v>1230</v>
      </c>
      <c r="BJ174" s="336">
        <v>48</v>
      </c>
      <c r="BK174" s="337">
        <f t="shared" ref="BK174:BL174" si="2906">IF(ISBLANK(BM174),,BM174-BM173)</f>
        <v>30</v>
      </c>
      <c r="BL174" s="334">
        <f t="shared" si="2906"/>
        <v>0</v>
      </c>
      <c r="BM174" s="335">
        <v>695</v>
      </c>
      <c r="BN174" s="339">
        <v>5</v>
      </c>
      <c r="BO174" s="316">
        <f t="shared" ref="BO174:BP174" si="2907">IF(ISBLANK(BQ174),,BQ174-BQ173)</f>
        <v>77</v>
      </c>
      <c r="BP174" s="334">
        <f t="shared" si="2907"/>
        <v>2</v>
      </c>
      <c r="BQ174" s="335">
        <v>5015</v>
      </c>
      <c r="BR174" s="336">
        <v>218</v>
      </c>
      <c r="BS174" s="316">
        <f t="shared" ref="BS174:BT174" si="2908">IF(ISBLANK(BU174),,BU174-BU173)</f>
        <v>6</v>
      </c>
      <c r="BT174" s="334">
        <f t="shared" si="2908"/>
        <v>0</v>
      </c>
      <c r="BU174" s="335">
        <v>1027</v>
      </c>
      <c r="BV174" s="336">
        <v>27</v>
      </c>
      <c r="BW174" s="233"/>
      <c r="BX174" s="233"/>
      <c r="BY174" s="233"/>
      <c r="BZ174" s="233"/>
      <c r="CA174" s="233"/>
      <c r="CB174" s="233"/>
      <c r="CC174" s="233"/>
      <c r="CD174" s="233"/>
      <c r="CE174" s="233"/>
    </row>
    <row r="175" spans="1:83" x14ac:dyDescent="0.25">
      <c r="A175" s="313">
        <v>44065</v>
      </c>
      <c r="B175" s="314">
        <f t="shared" si="1276"/>
        <v>172</v>
      </c>
      <c r="C175" s="315"/>
      <c r="D175" s="316">
        <v>900</v>
      </c>
      <c r="E175" s="317">
        <v>13</v>
      </c>
      <c r="F175" s="318">
        <v>41661</v>
      </c>
      <c r="G175" s="319"/>
      <c r="H175" s="330">
        <f t="shared" ref="H175:I175" si="2909">IF(ISBLANK(D175),,H174+D175)</f>
        <v>61181</v>
      </c>
      <c r="I175" s="331">
        <f t="shared" si="2909"/>
        <v>1951</v>
      </c>
      <c r="J175" s="332">
        <f t="shared" si="1"/>
        <v>632</v>
      </c>
      <c r="K175" s="333">
        <f t="shared" ref="K175:L175" si="2910">IF(ISBLANK(M175),,M175-M174)</f>
        <v>31</v>
      </c>
      <c r="L175" s="334">
        <f t="shared" si="2910"/>
        <v>0</v>
      </c>
      <c r="M175" s="335">
        <v>3834</v>
      </c>
      <c r="N175" s="336">
        <v>166</v>
      </c>
      <c r="O175" s="337">
        <f t="shared" ref="O175:P175" si="2911">IF(ISBLANK(Q175),,Q175-Q174)</f>
        <v>18</v>
      </c>
      <c r="P175" s="338">
        <f t="shared" si="2911"/>
        <v>0</v>
      </c>
      <c r="Q175" s="335">
        <v>1120</v>
      </c>
      <c r="R175" s="339">
        <v>51</v>
      </c>
      <c r="S175" s="316">
        <f t="shared" ref="S175:T175" si="2912">IF(ISBLANK(U175),,U175-U174)</f>
        <v>23</v>
      </c>
      <c r="T175" s="334">
        <f t="shared" si="2912"/>
        <v>0</v>
      </c>
      <c r="U175" s="335">
        <v>1375</v>
      </c>
      <c r="V175" s="336">
        <v>23</v>
      </c>
      <c r="W175" s="337">
        <f t="shared" ref="W175:X175" si="2913">IF(ISBLANK(Y175),,Y175-Y174)</f>
        <v>5</v>
      </c>
      <c r="X175" s="334">
        <f t="shared" si="2913"/>
        <v>0</v>
      </c>
      <c r="Y175" s="335">
        <v>625</v>
      </c>
      <c r="Z175" s="340">
        <v>13</v>
      </c>
      <c r="AA175" s="316">
        <f t="shared" ref="AA175:AB175" si="2914">IF(ISBLANK(AC175),,AC175-AC174)</f>
        <v>73</v>
      </c>
      <c r="AB175" s="334">
        <f t="shared" si="2914"/>
        <v>1</v>
      </c>
      <c r="AC175" s="335">
        <v>4885</v>
      </c>
      <c r="AD175" s="336">
        <v>226</v>
      </c>
      <c r="AE175" s="337">
        <f t="shared" ref="AE175:AF175" si="2915">IF(ISBLANK(AG175),,AG175-AG174)</f>
        <v>193</v>
      </c>
      <c r="AF175" s="334">
        <f t="shared" si="2915"/>
        <v>3</v>
      </c>
      <c r="AG175" s="335">
        <v>6338</v>
      </c>
      <c r="AH175" s="339">
        <v>105</v>
      </c>
      <c r="AI175" s="316">
        <f t="shared" ref="AI175:AJ175" si="2916">IF(ISBLANK(AK175),,AK175-AK174)</f>
        <v>150</v>
      </c>
      <c r="AJ175" s="334">
        <f t="shared" si="2916"/>
        <v>2</v>
      </c>
      <c r="AK175" s="335">
        <v>8563</v>
      </c>
      <c r="AL175" s="336">
        <v>398</v>
      </c>
      <c r="AM175" s="337">
        <f t="shared" ref="AM175:AN175" si="2917">IF(ISBLANK(AO175),,AO175-AO174)</f>
        <v>29</v>
      </c>
      <c r="AN175" s="334">
        <f t="shared" si="2917"/>
        <v>0</v>
      </c>
      <c r="AO175" s="335">
        <v>1530</v>
      </c>
      <c r="AP175" s="339">
        <v>60</v>
      </c>
      <c r="AQ175" s="316">
        <f t="shared" ref="AQ175:AR175" si="2918">IF(ISBLANK(AS175),,AS175-AS174)</f>
        <v>32</v>
      </c>
      <c r="AR175" s="338">
        <f t="shared" si="2918"/>
        <v>1</v>
      </c>
      <c r="AS175" s="335">
        <v>2055</v>
      </c>
      <c r="AT175" s="336">
        <v>79</v>
      </c>
      <c r="AU175" s="337">
        <f t="shared" ref="AU175:AV175" si="2919">IF(ISBLANK(AW175),,AW175-AW174)</f>
        <v>7</v>
      </c>
      <c r="AV175" s="334">
        <f t="shared" si="2919"/>
        <v>0</v>
      </c>
      <c r="AW175" s="335">
        <v>1190</v>
      </c>
      <c r="AX175" s="339">
        <v>29</v>
      </c>
      <c r="AY175" s="316">
        <f t="shared" ref="AY175:AZ175" si="2920">IF(ISBLANK(BA175),,BA175-BA174)</f>
        <v>65</v>
      </c>
      <c r="AZ175" s="334">
        <f t="shared" si="2920"/>
        <v>0</v>
      </c>
      <c r="BA175" s="335">
        <v>1959</v>
      </c>
      <c r="BB175" s="336">
        <v>43</v>
      </c>
      <c r="BC175" s="337">
        <f t="shared" ref="BC175:BD175" si="2921">IF(ISBLANK(BE175),,BE175-BE174)</f>
        <v>153</v>
      </c>
      <c r="BD175" s="334">
        <f t="shared" si="2921"/>
        <v>5</v>
      </c>
      <c r="BE175" s="335">
        <v>19619</v>
      </c>
      <c r="BF175" s="339">
        <v>459</v>
      </c>
      <c r="BG175" s="316">
        <f t="shared" ref="BG175:BH175" si="2922">IF(ISBLANK(BI175),,BI175-BI174)</f>
        <v>11</v>
      </c>
      <c r="BH175" s="334">
        <f t="shared" si="2922"/>
        <v>1</v>
      </c>
      <c r="BI175" s="335">
        <v>1241</v>
      </c>
      <c r="BJ175" s="336">
        <v>49</v>
      </c>
      <c r="BK175" s="337">
        <f t="shared" ref="BK175:BL175" si="2923">IF(ISBLANK(BM175),,BM175-BM174)</f>
        <v>18</v>
      </c>
      <c r="BL175" s="334">
        <f t="shared" si="2923"/>
        <v>0</v>
      </c>
      <c r="BM175" s="335">
        <v>713</v>
      </c>
      <c r="BN175" s="339">
        <v>5</v>
      </c>
      <c r="BO175" s="316">
        <f t="shared" ref="BO175:BP175" si="2924">IF(ISBLANK(BQ175),,BQ175-BQ174)</f>
        <v>81</v>
      </c>
      <c r="BP175" s="334">
        <f t="shared" si="2924"/>
        <v>0</v>
      </c>
      <c r="BQ175" s="335">
        <v>5096</v>
      </c>
      <c r="BR175" s="336">
        <v>218</v>
      </c>
      <c r="BS175" s="316">
        <f t="shared" ref="BS175:BT175" si="2925">IF(ISBLANK(BU175),,BU175-BU174)</f>
        <v>11</v>
      </c>
      <c r="BT175" s="334">
        <f t="shared" si="2925"/>
        <v>0</v>
      </c>
      <c r="BU175" s="335">
        <v>1038</v>
      </c>
      <c r="BV175" s="336">
        <v>27</v>
      </c>
      <c r="BW175" s="233"/>
      <c r="BX175" s="233"/>
      <c r="BY175" s="233"/>
      <c r="BZ175" s="233"/>
      <c r="CA175" s="233"/>
      <c r="CB175" s="233"/>
      <c r="CC175" s="233"/>
      <c r="CD175" s="233"/>
      <c r="CE175" s="233"/>
    </row>
    <row r="176" spans="1:83" x14ac:dyDescent="0.25">
      <c r="A176" s="313">
        <v>44066</v>
      </c>
      <c r="B176" s="314">
        <f t="shared" si="1276"/>
        <v>173</v>
      </c>
      <c r="C176" s="315"/>
      <c r="D176" s="316">
        <v>581</v>
      </c>
      <c r="E176" s="317">
        <v>4</v>
      </c>
      <c r="F176" s="318">
        <v>42183</v>
      </c>
      <c r="G176" s="319"/>
      <c r="H176" s="330">
        <f t="shared" ref="H176:I176" si="2926">IF(ISBLANK(D176),,H175+D176)</f>
        <v>61762</v>
      </c>
      <c r="I176" s="331">
        <f t="shared" si="2926"/>
        <v>1955</v>
      </c>
      <c r="J176" s="332">
        <f t="shared" si="1"/>
        <v>522</v>
      </c>
      <c r="K176" s="333">
        <f t="shared" ref="K176:L176" si="2927">IF(ISBLANK(M176),,M176-M175)</f>
        <v>24</v>
      </c>
      <c r="L176" s="334">
        <f t="shared" si="2927"/>
        <v>0</v>
      </c>
      <c r="M176" s="335">
        <v>3858</v>
      </c>
      <c r="N176" s="336">
        <v>166</v>
      </c>
      <c r="O176" s="337">
        <f t="shared" ref="O176:P176" si="2928">IF(ISBLANK(Q176),,Q176-Q175)</f>
        <v>6</v>
      </c>
      <c r="P176" s="338">
        <f t="shared" si="2928"/>
        <v>0</v>
      </c>
      <c r="Q176" s="335">
        <v>1126</v>
      </c>
      <c r="R176" s="339">
        <v>51</v>
      </c>
      <c r="S176" s="316">
        <f t="shared" ref="S176:T176" si="2929">IF(ISBLANK(U176),,U176-U175)</f>
        <v>12</v>
      </c>
      <c r="T176" s="334">
        <f t="shared" si="2929"/>
        <v>0</v>
      </c>
      <c r="U176" s="335">
        <v>1387</v>
      </c>
      <c r="V176" s="336">
        <v>23</v>
      </c>
      <c r="W176" s="337">
        <f t="shared" ref="W176:X176" si="2930">IF(ISBLANK(Y176),,Y176-Y175)</f>
        <v>4</v>
      </c>
      <c r="X176" s="334">
        <f t="shared" si="2930"/>
        <v>0</v>
      </c>
      <c r="Y176" s="335">
        <v>629</v>
      </c>
      <c r="Z176" s="340">
        <v>13</v>
      </c>
      <c r="AA176" s="316">
        <f t="shared" ref="AA176:AB176" si="2931">IF(ISBLANK(AC176),,AC176-AC175)</f>
        <v>67</v>
      </c>
      <c r="AB176" s="334">
        <f t="shared" si="2931"/>
        <v>0</v>
      </c>
      <c r="AC176" s="335">
        <v>4952</v>
      </c>
      <c r="AD176" s="336">
        <v>226</v>
      </c>
      <c r="AE176" s="337">
        <f t="shared" ref="AE176:AF176" si="2932">IF(ISBLANK(AG176),,AG176-AG175)</f>
        <v>98</v>
      </c>
      <c r="AF176" s="334">
        <f t="shared" si="2932"/>
        <v>0</v>
      </c>
      <c r="AG176" s="335">
        <v>6436</v>
      </c>
      <c r="AH176" s="339">
        <v>105</v>
      </c>
      <c r="AI176" s="316">
        <f t="shared" ref="AI176:AJ176" si="2933">IF(ISBLANK(AK176),,AK176-AK175)</f>
        <v>49</v>
      </c>
      <c r="AJ176" s="334">
        <f t="shared" si="2933"/>
        <v>2</v>
      </c>
      <c r="AK176" s="335">
        <v>8612</v>
      </c>
      <c r="AL176" s="336">
        <v>400</v>
      </c>
      <c r="AM176" s="337">
        <f t="shared" ref="AM176:AN176" si="2934">IF(ISBLANK(AO176),,AO176-AO175)</f>
        <v>5</v>
      </c>
      <c r="AN176" s="334">
        <f t="shared" si="2934"/>
        <v>0</v>
      </c>
      <c r="AO176" s="335">
        <v>1535</v>
      </c>
      <c r="AP176" s="339">
        <v>60</v>
      </c>
      <c r="AQ176" s="316">
        <f t="shared" ref="AQ176:AR176" si="2935">IF(ISBLANK(AS176),,AS176-AS175)</f>
        <v>45</v>
      </c>
      <c r="AR176" s="338">
        <f t="shared" si="2935"/>
        <v>0</v>
      </c>
      <c r="AS176" s="335">
        <v>2100</v>
      </c>
      <c r="AT176" s="336">
        <v>79</v>
      </c>
      <c r="AU176" s="337">
        <f t="shared" ref="AU176:AV176" si="2936">IF(ISBLANK(AW176),,AW176-AW175)</f>
        <v>6</v>
      </c>
      <c r="AV176" s="334">
        <f t="shared" si="2936"/>
        <v>0</v>
      </c>
      <c r="AW176" s="335">
        <v>1196</v>
      </c>
      <c r="AX176" s="339">
        <v>29</v>
      </c>
      <c r="AY176" s="316">
        <f t="shared" ref="AY176:AZ176" si="2937">IF(ISBLANK(BA176),,BA176-BA175)</f>
        <v>86</v>
      </c>
      <c r="AZ176" s="334">
        <f t="shared" si="2937"/>
        <v>1</v>
      </c>
      <c r="BA176" s="335">
        <v>2045</v>
      </c>
      <c r="BB176" s="336">
        <v>44</v>
      </c>
      <c r="BC176" s="337">
        <f t="shared" ref="BC176:BD176" si="2938">IF(ISBLANK(BE176),,BE176-BE175)</f>
        <v>97</v>
      </c>
      <c r="BD176" s="334">
        <f t="shared" si="2938"/>
        <v>1</v>
      </c>
      <c r="BE176" s="335">
        <v>19716</v>
      </c>
      <c r="BF176" s="339">
        <v>460</v>
      </c>
      <c r="BG176" s="316">
        <f t="shared" ref="BG176:BH176" si="2939">IF(ISBLANK(BI176),,BI176-BI175)</f>
        <v>8</v>
      </c>
      <c r="BH176" s="334">
        <f t="shared" si="2939"/>
        <v>0</v>
      </c>
      <c r="BI176" s="335">
        <v>1249</v>
      </c>
      <c r="BJ176" s="336">
        <v>49</v>
      </c>
      <c r="BK176" s="337">
        <f t="shared" ref="BK176:BL176" si="2940">IF(ISBLANK(BM176),,BM176-BM175)</f>
        <v>25</v>
      </c>
      <c r="BL176" s="334">
        <f t="shared" si="2940"/>
        <v>0</v>
      </c>
      <c r="BM176" s="335">
        <v>738</v>
      </c>
      <c r="BN176" s="339">
        <v>5</v>
      </c>
      <c r="BO176" s="316">
        <f t="shared" ref="BO176:BP176" si="2941">IF(ISBLANK(BQ176),,BQ176-BQ175)</f>
        <v>46</v>
      </c>
      <c r="BP176" s="334">
        <f t="shared" si="2941"/>
        <v>0</v>
      </c>
      <c r="BQ176" s="335">
        <v>5142</v>
      </c>
      <c r="BR176" s="336">
        <v>218</v>
      </c>
      <c r="BS176" s="316">
        <f t="shared" ref="BS176:BT176" si="2942">IF(ISBLANK(BU176),,BU176-BU175)</f>
        <v>3</v>
      </c>
      <c r="BT176" s="334">
        <f t="shared" si="2942"/>
        <v>0</v>
      </c>
      <c r="BU176" s="335">
        <v>1041</v>
      </c>
      <c r="BV176" s="336">
        <v>27</v>
      </c>
      <c r="BW176" s="233"/>
      <c r="BX176" s="233"/>
      <c r="BY176" s="233"/>
      <c r="BZ176" s="233"/>
      <c r="CA176" s="233"/>
      <c r="CB176" s="233"/>
      <c r="CC176" s="233"/>
      <c r="CD176" s="233"/>
      <c r="CE176" s="233"/>
    </row>
    <row r="177" spans="1:83" x14ac:dyDescent="0.25">
      <c r="A177" s="313">
        <v>44067</v>
      </c>
      <c r="B177" s="314">
        <f t="shared" si="1276"/>
        <v>174</v>
      </c>
      <c r="C177" s="315"/>
      <c r="D177" s="316">
        <v>548</v>
      </c>
      <c r="E177" s="317">
        <v>5</v>
      </c>
      <c r="F177" s="318">
        <v>42448</v>
      </c>
      <c r="G177" s="319"/>
      <c r="H177" s="330">
        <f t="shared" ref="H177:I177" si="2943">IF(ISBLANK(D177),,H176+D177)</f>
        <v>62310</v>
      </c>
      <c r="I177" s="331">
        <f t="shared" si="2943"/>
        <v>1960</v>
      </c>
      <c r="J177" s="332">
        <f t="shared" si="1"/>
        <v>265</v>
      </c>
      <c r="K177" s="333">
        <f t="shared" ref="K177:L177" si="2944">IF(ISBLANK(M177),,M177-M176)</f>
        <v>20</v>
      </c>
      <c r="L177" s="334">
        <f t="shared" si="2944"/>
        <v>0</v>
      </c>
      <c r="M177" s="335">
        <v>3878</v>
      </c>
      <c r="N177" s="336">
        <v>166</v>
      </c>
      <c r="O177" s="337">
        <f t="shared" ref="O177:P177" si="2945">IF(ISBLANK(Q177),,Q177-Q176)</f>
        <v>27</v>
      </c>
      <c r="P177" s="338">
        <f t="shared" si="2945"/>
        <v>1</v>
      </c>
      <c r="Q177" s="335">
        <v>1153</v>
      </c>
      <c r="R177" s="339">
        <v>52</v>
      </c>
      <c r="S177" s="316">
        <f t="shared" ref="S177:T177" si="2946">IF(ISBLANK(U177),,U177-U176)</f>
        <v>7</v>
      </c>
      <c r="T177" s="334">
        <f t="shared" si="2946"/>
        <v>0</v>
      </c>
      <c r="U177" s="335">
        <v>1394</v>
      </c>
      <c r="V177" s="336">
        <v>23</v>
      </c>
      <c r="W177" s="337">
        <f t="shared" ref="W177:X177" si="2947">IF(ISBLANK(Y177),,Y177-Y176)</f>
        <v>0</v>
      </c>
      <c r="X177" s="334">
        <f t="shared" si="2947"/>
        <v>0</v>
      </c>
      <c r="Y177" s="335">
        <v>629</v>
      </c>
      <c r="Z177" s="340">
        <v>13</v>
      </c>
      <c r="AA177" s="316">
        <f t="shared" ref="AA177:AB177" si="2948">IF(ISBLANK(AC177),,AC177-AC176)</f>
        <v>71</v>
      </c>
      <c r="AB177" s="334">
        <f t="shared" si="2948"/>
        <v>3</v>
      </c>
      <c r="AC177" s="335">
        <v>5023</v>
      </c>
      <c r="AD177" s="336">
        <v>229</v>
      </c>
      <c r="AE177" s="337">
        <f t="shared" ref="AE177:AF177" si="2949">IF(ISBLANK(AG177),,AG177-AG176)</f>
        <v>61</v>
      </c>
      <c r="AF177" s="334">
        <f t="shared" si="2949"/>
        <v>1</v>
      </c>
      <c r="AG177" s="335">
        <v>6497</v>
      </c>
      <c r="AH177" s="339">
        <v>106</v>
      </c>
      <c r="AI177" s="316">
        <f t="shared" ref="AI177:AJ177" si="2950">IF(ISBLANK(AK177),,AK177-AK176)</f>
        <v>54</v>
      </c>
      <c r="AJ177" s="334">
        <f t="shared" si="2950"/>
        <v>0</v>
      </c>
      <c r="AK177" s="335">
        <v>8666</v>
      </c>
      <c r="AL177" s="336">
        <v>400</v>
      </c>
      <c r="AM177" s="337">
        <f t="shared" ref="AM177:AN177" si="2951">IF(ISBLANK(AO177),,AO177-AO176)</f>
        <v>10</v>
      </c>
      <c r="AN177" s="334">
        <f t="shared" si="2951"/>
        <v>0</v>
      </c>
      <c r="AO177" s="335">
        <v>1545</v>
      </c>
      <c r="AP177" s="339">
        <v>60</v>
      </c>
      <c r="AQ177" s="316">
        <f t="shared" ref="AQ177:AR177" si="2952">IF(ISBLANK(AS177),,AS177-AS176)</f>
        <v>21</v>
      </c>
      <c r="AR177" s="338">
        <f t="shared" si="2952"/>
        <v>0</v>
      </c>
      <c r="AS177" s="335">
        <v>2121</v>
      </c>
      <c r="AT177" s="336">
        <v>79</v>
      </c>
      <c r="AU177" s="337">
        <f t="shared" ref="AU177:AV177" si="2953">IF(ISBLANK(AW177),,AW177-AW176)</f>
        <v>8</v>
      </c>
      <c r="AV177" s="334">
        <f t="shared" si="2953"/>
        <v>0</v>
      </c>
      <c r="AW177" s="335">
        <v>1204</v>
      </c>
      <c r="AX177" s="339">
        <v>29</v>
      </c>
      <c r="AY177" s="316">
        <f t="shared" ref="AY177:AZ177" si="2954">IF(ISBLANK(BA177),,BA177-BA176)</f>
        <v>60</v>
      </c>
      <c r="AZ177" s="334">
        <f t="shared" si="2954"/>
        <v>0</v>
      </c>
      <c r="BA177" s="335">
        <v>2105</v>
      </c>
      <c r="BB177" s="336">
        <v>44</v>
      </c>
      <c r="BC177" s="337">
        <f t="shared" ref="BC177:BD177" si="2955">IF(ISBLANK(BE177),,BE177-BE176)</f>
        <v>98</v>
      </c>
      <c r="BD177" s="334">
        <f t="shared" si="2955"/>
        <v>0</v>
      </c>
      <c r="BE177" s="335">
        <v>19814</v>
      </c>
      <c r="BF177" s="339">
        <v>460</v>
      </c>
      <c r="BG177" s="316">
        <f t="shared" ref="BG177:BH177" si="2956">IF(ISBLANK(BI177),,BI177-BI176)</f>
        <v>53</v>
      </c>
      <c r="BH177" s="334">
        <f t="shared" si="2956"/>
        <v>0</v>
      </c>
      <c r="BI177" s="335">
        <v>1302</v>
      </c>
      <c r="BJ177" s="336">
        <v>49</v>
      </c>
      <c r="BK177" s="337">
        <f t="shared" ref="BK177:BL177" si="2957">IF(ISBLANK(BM177),,BM177-BM176)</f>
        <v>1</v>
      </c>
      <c r="BL177" s="334">
        <f t="shared" si="2957"/>
        <v>0</v>
      </c>
      <c r="BM177" s="335">
        <v>739</v>
      </c>
      <c r="BN177" s="339">
        <v>5</v>
      </c>
      <c r="BO177" s="316">
        <f t="shared" ref="BO177:BP177" si="2958">IF(ISBLANK(BQ177),,BQ177-BQ176)</f>
        <v>53</v>
      </c>
      <c r="BP177" s="334">
        <f t="shared" si="2958"/>
        <v>0</v>
      </c>
      <c r="BQ177" s="335">
        <v>5195</v>
      </c>
      <c r="BR177" s="336">
        <v>218</v>
      </c>
      <c r="BS177" s="316">
        <f t="shared" ref="BS177:BT177" si="2959">IF(ISBLANK(BU177),,BU177-BU176)</f>
        <v>4</v>
      </c>
      <c r="BT177" s="334">
        <f t="shared" si="2959"/>
        <v>0</v>
      </c>
      <c r="BU177" s="335">
        <v>1045</v>
      </c>
      <c r="BV177" s="336">
        <v>27</v>
      </c>
      <c r="BW177" s="233"/>
      <c r="BX177" s="233"/>
      <c r="BY177" s="233"/>
      <c r="BZ177" s="233"/>
      <c r="CA177" s="233"/>
      <c r="CB177" s="233"/>
      <c r="CC177" s="233"/>
      <c r="CD177" s="233"/>
      <c r="CE177" s="233"/>
    </row>
    <row r="178" spans="1:83" x14ac:dyDescent="0.25">
      <c r="A178" s="313">
        <v>44068</v>
      </c>
      <c r="B178" s="314">
        <f t="shared" si="1276"/>
        <v>175</v>
      </c>
      <c r="C178" s="315"/>
      <c r="D178" s="316">
        <v>763</v>
      </c>
      <c r="E178" s="317">
        <v>17</v>
      </c>
      <c r="F178" s="318">
        <v>42784</v>
      </c>
      <c r="G178" s="319"/>
      <c r="H178" s="330">
        <f t="shared" ref="H178:I178" si="2960">IF(ISBLANK(D178),,H177+D178)</f>
        <v>63073</v>
      </c>
      <c r="I178" s="331">
        <f t="shared" si="2960"/>
        <v>1977</v>
      </c>
      <c r="J178" s="332">
        <f t="shared" si="1"/>
        <v>336</v>
      </c>
      <c r="K178" s="333">
        <f t="shared" ref="K178:L178" si="2961">IF(ISBLANK(M178),,M178-M177)</f>
        <v>44</v>
      </c>
      <c r="L178" s="334">
        <f t="shared" si="2961"/>
        <v>1</v>
      </c>
      <c r="M178" s="335">
        <v>3922</v>
      </c>
      <c r="N178" s="336">
        <v>167</v>
      </c>
      <c r="O178" s="337">
        <f t="shared" ref="O178:P178" si="2962">IF(ISBLANK(Q178),,Q178-Q177)</f>
        <v>30</v>
      </c>
      <c r="P178" s="338">
        <f t="shared" si="2962"/>
        <v>1</v>
      </c>
      <c r="Q178" s="335">
        <v>1183</v>
      </c>
      <c r="R178" s="339">
        <v>53</v>
      </c>
      <c r="S178" s="316">
        <f t="shared" ref="S178:T178" si="2963">IF(ISBLANK(U178),,U178-U177)</f>
        <v>29</v>
      </c>
      <c r="T178" s="334">
        <f t="shared" si="2963"/>
        <v>0</v>
      </c>
      <c r="U178" s="335">
        <v>1423</v>
      </c>
      <c r="V178" s="336">
        <v>23</v>
      </c>
      <c r="W178" s="337">
        <f t="shared" ref="W178:X178" si="2964">IF(ISBLANK(Y178),,Y178-Y177)</f>
        <v>6</v>
      </c>
      <c r="X178" s="334">
        <f t="shared" si="2964"/>
        <v>0</v>
      </c>
      <c r="Y178" s="335">
        <v>635</v>
      </c>
      <c r="Z178" s="340">
        <v>13</v>
      </c>
      <c r="AA178" s="316">
        <f t="shared" ref="AA178:AB178" si="2965">IF(ISBLANK(AC178),,AC178-AC177)</f>
        <v>50</v>
      </c>
      <c r="AB178" s="334">
        <f t="shared" si="2965"/>
        <v>2</v>
      </c>
      <c r="AC178" s="335">
        <v>5073</v>
      </c>
      <c r="AD178" s="336">
        <v>231</v>
      </c>
      <c r="AE178" s="337">
        <f t="shared" ref="AE178:AF178" si="2966">IF(ISBLANK(AG178),,AG178-AG177)</f>
        <v>141</v>
      </c>
      <c r="AF178" s="334">
        <f t="shared" si="2966"/>
        <v>3</v>
      </c>
      <c r="AG178" s="335">
        <v>6638</v>
      </c>
      <c r="AH178" s="339">
        <v>109</v>
      </c>
      <c r="AI178" s="316">
        <f t="shared" ref="AI178:AJ178" si="2967">IF(ISBLANK(AK178),,AK178-AK177)</f>
        <v>99</v>
      </c>
      <c r="AJ178" s="334">
        <f t="shared" si="2967"/>
        <v>1</v>
      </c>
      <c r="AK178" s="335">
        <v>8765</v>
      </c>
      <c r="AL178" s="336">
        <v>401</v>
      </c>
      <c r="AM178" s="337">
        <f t="shared" ref="AM178:AN178" si="2968">IF(ISBLANK(AO178),,AO178-AO177)</f>
        <v>10</v>
      </c>
      <c r="AN178" s="334">
        <f t="shared" si="2968"/>
        <v>0</v>
      </c>
      <c r="AO178" s="335">
        <v>1555</v>
      </c>
      <c r="AP178" s="339">
        <v>60</v>
      </c>
      <c r="AQ178" s="316">
        <f t="shared" ref="AQ178:AR178" si="2969">IF(ISBLANK(AS178),,AS178-AS177)</f>
        <v>59</v>
      </c>
      <c r="AR178" s="338">
        <f t="shared" si="2969"/>
        <v>0</v>
      </c>
      <c r="AS178" s="335">
        <v>2180</v>
      </c>
      <c r="AT178" s="336">
        <v>79</v>
      </c>
      <c r="AU178" s="337">
        <f t="shared" ref="AU178:AV178" si="2970">IF(ISBLANK(AW178),,AW178-AW177)</f>
        <v>28</v>
      </c>
      <c r="AV178" s="334">
        <f t="shared" si="2970"/>
        <v>0</v>
      </c>
      <c r="AW178" s="335">
        <v>1232</v>
      </c>
      <c r="AX178" s="339">
        <v>29</v>
      </c>
      <c r="AY178" s="316">
        <f t="shared" ref="AY178:AZ178" si="2971">IF(ISBLANK(BA178),,BA178-BA177)</f>
        <v>93</v>
      </c>
      <c r="AZ178" s="334">
        <f t="shared" si="2971"/>
        <v>0</v>
      </c>
      <c r="BA178" s="335">
        <v>2198</v>
      </c>
      <c r="BB178" s="336">
        <v>44</v>
      </c>
      <c r="BC178" s="337">
        <f t="shared" ref="BC178:BD178" si="2972">IF(ISBLANK(BE178),,BE178-BE177)</f>
        <v>89</v>
      </c>
      <c r="BD178" s="334">
        <f t="shared" si="2972"/>
        <v>5</v>
      </c>
      <c r="BE178" s="335">
        <v>19903</v>
      </c>
      <c r="BF178" s="339">
        <v>465</v>
      </c>
      <c r="BG178" s="316">
        <f t="shared" ref="BG178:BH178" si="2973">IF(ISBLANK(BI178),,BI178-BI177)</f>
        <v>20</v>
      </c>
      <c r="BH178" s="334">
        <f t="shared" si="2973"/>
        <v>0</v>
      </c>
      <c r="BI178" s="335">
        <v>1322</v>
      </c>
      <c r="BJ178" s="336">
        <v>49</v>
      </c>
      <c r="BK178" s="337">
        <f t="shared" ref="BK178:BL178" si="2974">IF(ISBLANK(BM178),,BM178-BM177)</f>
        <v>21</v>
      </c>
      <c r="BL178" s="334">
        <f t="shared" si="2974"/>
        <v>2</v>
      </c>
      <c r="BM178" s="335">
        <v>760</v>
      </c>
      <c r="BN178" s="339">
        <v>7</v>
      </c>
      <c r="BO178" s="316">
        <f t="shared" ref="BO178:BP178" si="2975">IF(ISBLANK(BQ178),,BQ178-BQ177)</f>
        <v>32</v>
      </c>
      <c r="BP178" s="334">
        <f t="shared" si="2975"/>
        <v>2</v>
      </c>
      <c r="BQ178" s="335">
        <v>5227</v>
      </c>
      <c r="BR178" s="336">
        <v>220</v>
      </c>
      <c r="BS178" s="316">
        <f t="shared" ref="BS178:BT178" si="2976">IF(ISBLANK(BU178),,BU178-BU177)</f>
        <v>12</v>
      </c>
      <c r="BT178" s="334">
        <f t="shared" si="2976"/>
        <v>0</v>
      </c>
      <c r="BU178" s="335">
        <v>1057</v>
      </c>
      <c r="BV178" s="336">
        <v>27</v>
      </c>
      <c r="BW178" s="233"/>
      <c r="BX178" s="233"/>
      <c r="BY178" s="233"/>
      <c r="BZ178" s="233"/>
      <c r="CA178" s="233"/>
      <c r="CB178" s="233"/>
      <c r="CC178" s="233"/>
      <c r="CD178" s="233"/>
      <c r="CE178" s="233"/>
    </row>
    <row r="179" spans="1:83" x14ac:dyDescent="0.25">
      <c r="A179" s="313">
        <v>44069</v>
      </c>
      <c r="B179" s="314">
        <f t="shared" si="1276"/>
        <v>176</v>
      </c>
      <c r="C179" s="315"/>
      <c r="D179" s="316">
        <v>729</v>
      </c>
      <c r="E179" s="317">
        <v>17</v>
      </c>
      <c r="F179" s="318">
        <v>43399</v>
      </c>
      <c r="G179" s="319"/>
      <c r="H179" s="330">
        <f t="shared" ref="H179:I179" si="2977">IF(ISBLANK(D179),,H178+D179)</f>
        <v>63802</v>
      </c>
      <c r="I179" s="331">
        <f t="shared" si="2977"/>
        <v>1994</v>
      </c>
      <c r="J179" s="332">
        <f t="shared" si="1"/>
        <v>615</v>
      </c>
      <c r="K179" s="333">
        <f t="shared" ref="K179:L179" si="2978">IF(ISBLANK(M179),,M179-M178)</f>
        <v>15</v>
      </c>
      <c r="L179" s="334">
        <f t="shared" si="2978"/>
        <v>2</v>
      </c>
      <c r="M179" s="335">
        <v>3937</v>
      </c>
      <c r="N179" s="336">
        <v>169</v>
      </c>
      <c r="O179" s="337">
        <f t="shared" ref="O179:P179" si="2979">IF(ISBLANK(Q179),,Q179-Q178)</f>
        <v>23</v>
      </c>
      <c r="P179" s="338">
        <f t="shared" si="2979"/>
        <v>0</v>
      </c>
      <c r="Q179" s="335">
        <v>1206</v>
      </c>
      <c r="R179" s="339">
        <v>53</v>
      </c>
      <c r="S179" s="316">
        <f t="shared" ref="S179:T179" si="2980">IF(ISBLANK(U179),,U179-U178)</f>
        <v>20</v>
      </c>
      <c r="T179" s="334">
        <f t="shared" si="2980"/>
        <v>1</v>
      </c>
      <c r="U179" s="335">
        <v>1443</v>
      </c>
      <c r="V179" s="336">
        <v>24</v>
      </c>
      <c r="W179" s="337">
        <f t="shared" ref="W179:X179" si="2981">IF(ISBLANK(Y179),,Y179-Y178)</f>
        <v>4</v>
      </c>
      <c r="X179" s="334">
        <f t="shared" si="2981"/>
        <v>0</v>
      </c>
      <c r="Y179" s="335">
        <v>639</v>
      </c>
      <c r="Z179" s="340">
        <v>13</v>
      </c>
      <c r="AA179" s="316">
        <f t="shared" ref="AA179:AB179" si="2982">IF(ISBLANK(AC179),,AC179-AC178)</f>
        <v>34</v>
      </c>
      <c r="AB179" s="334">
        <f t="shared" si="2982"/>
        <v>2</v>
      </c>
      <c r="AC179" s="335">
        <v>5107</v>
      </c>
      <c r="AD179" s="336">
        <v>233</v>
      </c>
      <c r="AE179" s="337">
        <f t="shared" ref="AE179:AF179" si="2983">IF(ISBLANK(AG179),,AG179-AG178)</f>
        <v>118</v>
      </c>
      <c r="AF179" s="334">
        <f t="shared" si="2983"/>
        <v>6</v>
      </c>
      <c r="AG179" s="335">
        <v>6756</v>
      </c>
      <c r="AH179" s="339">
        <v>115</v>
      </c>
      <c r="AI179" s="316">
        <f t="shared" ref="AI179:AJ179" si="2984">IF(ISBLANK(AK179),,AK179-AK178)</f>
        <v>106</v>
      </c>
      <c r="AJ179" s="334">
        <f t="shared" si="2984"/>
        <v>2</v>
      </c>
      <c r="AK179" s="335">
        <v>8871</v>
      </c>
      <c r="AL179" s="336">
        <v>403</v>
      </c>
      <c r="AM179" s="337">
        <f t="shared" ref="AM179:AN179" si="2985">IF(ISBLANK(AO179),,AO179-AO178)</f>
        <v>17</v>
      </c>
      <c r="AN179" s="334">
        <f t="shared" si="2985"/>
        <v>0</v>
      </c>
      <c r="AO179" s="335">
        <v>1572</v>
      </c>
      <c r="AP179" s="339">
        <v>60</v>
      </c>
      <c r="AQ179" s="316">
        <f t="shared" ref="AQ179:AR179" si="2986">IF(ISBLANK(AS179),,AS179-AS178)</f>
        <v>49</v>
      </c>
      <c r="AR179" s="338">
        <f t="shared" si="2986"/>
        <v>0</v>
      </c>
      <c r="AS179" s="335">
        <v>2229</v>
      </c>
      <c r="AT179" s="336">
        <v>79</v>
      </c>
      <c r="AU179" s="337">
        <f t="shared" ref="AU179:AV179" si="2987">IF(ISBLANK(AW179),,AW179-AW178)</f>
        <v>13</v>
      </c>
      <c r="AV179" s="334">
        <f t="shared" si="2987"/>
        <v>0</v>
      </c>
      <c r="AW179" s="335">
        <v>1245</v>
      </c>
      <c r="AX179" s="339">
        <v>29</v>
      </c>
      <c r="AY179" s="316">
        <f t="shared" ref="AY179:AZ179" si="2988">IF(ISBLANK(BA179),,BA179-BA178)</f>
        <v>60</v>
      </c>
      <c r="AZ179" s="334">
        <f t="shared" si="2988"/>
        <v>0</v>
      </c>
      <c r="BA179" s="335">
        <v>2258</v>
      </c>
      <c r="BB179" s="336">
        <v>44</v>
      </c>
      <c r="BC179" s="337">
        <f t="shared" ref="BC179:BD179" si="2989">IF(ISBLANK(BE179),,BE179-BE178)</f>
        <v>114</v>
      </c>
      <c r="BD179" s="334">
        <f t="shared" si="2989"/>
        <v>4</v>
      </c>
      <c r="BE179" s="335">
        <v>20017</v>
      </c>
      <c r="BF179" s="339">
        <v>469</v>
      </c>
      <c r="BG179" s="316">
        <f t="shared" ref="BG179:BH179" si="2990">IF(ISBLANK(BI179),,BI179-BI178)</f>
        <v>20</v>
      </c>
      <c r="BH179" s="334">
        <f t="shared" si="2990"/>
        <v>0</v>
      </c>
      <c r="BI179" s="335">
        <v>1342</v>
      </c>
      <c r="BJ179" s="336">
        <v>49</v>
      </c>
      <c r="BK179" s="337">
        <f t="shared" ref="BK179:BL179" si="2991">IF(ISBLANK(BM179),,BM179-BM178)</f>
        <v>24</v>
      </c>
      <c r="BL179" s="334">
        <f t="shared" si="2991"/>
        <v>0</v>
      </c>
      <c r="BM179" s="335">
        <v>784</v>
      </c>
      <c r="BN179" s="339">
        <v>7</v>
      </c>
      <c r="BO179" s="316">
        <f t="shared" ref="BO179:BP179" si="2992">IF(ISBLANK(BQ179),,BQ179-BQ178)</f>
        <v>94</v>
      </c>
      <c r="BP179" s="334">
        <f t="shared" si="2992"/>
        <v>0</v>
      </c>
      <c r="BQ179" s="335">
        <v>5321</v>
      </c>
      <c r="BR179" s="336">
        <v>220</v>
      </c>
      <c r="BS179" s="316">
        <f t="shared" ref="BS179:BT179" si="2993">IF(ISBLANK(BU179),,BU179-BU178)</f>
        <v>18</v>
      </c>
      <c r="BT179" s="334">
        <f t="shared" si="2993"/>
        <v>0</v>
      </c>
      <c r="BU179" s="335">
        <v>1075</v>
      </c>
      <c r="BV179" s="336">
        <v>27</v>
      </c>
      <c r="BW179" s="233"/>
      <c r="BX179" s="233"/>
      <c r="BY179" s="233"/>
      <c r="BZ179" s="233"/>
      <c r="CA179" s="233"/>
      <c r="CB179" s="233"/>
      <c r="CC179" s="233"/>
      <c r="CD179" s="233"/>
      <c r="CE179" s="233"/>
    </row>
    <row r="180" spans="1:83" x14ac:dyDescent="0.25">
      <c r="A180" s="313">
        <v>44070</v>
      </c>
      <c r="B180" s="314">
        <f t="shared" si="1276"/>
        <v>177</v>
      </c>
      <c r="C180" s="315"/>
      <c r="D180" s="316">
        <v>887</v>
      </c>
      <c r="E180" s="317">
        <v>15</v>
      </c>
      <c r="F180" s="318">
        <v>44097</v>
      </c>
      <c r="G180" s="319"/>
      <c r="H180" s="330">
        <f t="shared" ref="H180:I180" si="2994">IF(ISBLANK(D180),,H179+D180)</f>
        <v>64689</v>
      </c>
      <c r="I180" s="331">
        <f t="shared" si="2994"/>
        <v>2009</v>
      </c>
      <c r="J180" s="332">
        <f t="shared" si="1"/>
        <v>698</v>
      </c>
      <c r="K180" s="333">
        <f t="shared" ref="K180:L180" si="2995">IF(ISBLANK(M180),,M180-M179)</f>
        <v>28</v>
      </c>
      <c r="L180" s="334">
        <f t="shared" si="2995"/>
        <v>2</v>
      </c>
      <c r="M180" s="335">
        <v>3965</v>
      </c>
      <c r="N180" s="336">
        <v>171</v>
      </c>
      <c r="O180" s="337">
        <f t="shared" ref="O180:P180" si="2996">IF(ISBLANK(Q180),,Q180-Q179)</f>
        <v>24</v>
      </c>
      <c r="P180" s="338">
        <f t="shared" si="2996"/>
        <v>0</v>
      </c>
      <c r="Q180" s="335">
        <v>1230</v>
      </c>
      <c r="R180" s="339">
        <v>53</v>
      </c>
      <c r="S180" s="316">
        <f t="shared" ref="S180:T180" si="2997">IF(ISBLANK(U180),,U180-U179)</f>
        <v>14</v>
      </c>
      <c r="T180" s="334">
        <f t="shared" si="2997"/>
        <v>0</v>
      </c>
      <c r="U180" s="335">
        <v>1457</v>
      </c>
      <c r="V180" s="336">
        <v>24</v>
      </c>
      <c r="W180" s="337">
        <f t="shared" ref="W180:X180" si="2998">IF(ISBLANK(Y180),,Y180-Y179)</f>
        <v>12</v>
      </c>
      <c r="X180" s="334">
        <f t="shared" si="2998"/>
        <v>1</v>
      </c>
      <c r="Y180" s="335">
        <v>651</v>
      </c>
      <c r="Z180" s="340">
        <v>14</v>
      </c>
      <c r="AA180" s="316">
        <f t="shared" ref="AA180:AB180" si="2999">IF(ISBLANK(AC180),,AC180-AC179)</f>
        <v>47</v>
      </c>
      <c r="AB180" s="334">
        <f t="shared" si="2999"/>
        <v>2</v>
      </c>
      <c r="AC180" s="335">
        <v>5154</v>
      </c>
      <c r="AD180" s="336">
        <v>235</v>
      </c>
      <c r="AE180" s="337">
        <f t="shared" ref="AE180:AF180" si="3000">IF(ISBLANK(AG180),,AG180-AG179)</f>
        <v>233</v>
      </c>
      <c r="AF180" s="334">
        <f t="shared" si="3000"/>
        <v>3</v>
      </c>
      <c r="AG180" s="335">
        <v>6989</v>
      </c>
      <c r="AH180" s="339">
        <v>118</v>
      </c>
      <c r="AI180" s="316">
        <f t="shared" ref="AI180:AJ180" si="3001">IF(ISBLANK(AK180),,AK180-AK179)</f>
        <v>107</v>
      </c>
      <c r="AJ180" s="334">
        <f t="shared" si="3001"/>
        <v>0</v>
      </c>
      <c r="AK180" s="335">
        <v>8978</v>
      </c>
      <c r="AL180" s="336">
        <v>403</v>
      </c>
      <c r="AM180" s="337">
        <f t="shared" ref="AM180:AN180" si="3002">IF(ISBLANK(AO180),,AO180-AO179)</f>
        <v>16</v>
      </c>
      <c r="AN180" s="334">
        <f t="shared" si="3002"/>
        <v>0</v>
      </c>
      <c r="AO180" s="335">
        <v>1588</v>
      </c>
      <c r="AP180" s="339">
        <v>60</v>
      </c>
      <c r="AQ180" s="316">
        <f t="shared" ref="AQ180:AR180" si="3003">IF(ISBLANK(AS180),,AS180-AS179)</f>
        <v>33</v>
      </c>
      <c r="AR180" s="338">
        <f t="shared" si="3003"/>
        <v>2</v>
      </c>
      <c r="AS180" s="335">
        <v>2262</v>
      </c>
      <c r="AT180" s="336">
        <v>81</v>
      </c>
      <c r="AU180" s="337">
        <f t="shared" ref="AU180:AV180" si="3004">IF(ISBLANK(AW180),,AW180-AW179)</f>
        <v>12</v>
      </c>
      <c r="AV180" s="334">
        <f t="shared" si="3004"/>
        <v>0</v>
      </c>
      <c r="AW180" s="335">
        <v>1257</v>
      </c>
      <c r="AX180" s="339">
        <v>29</v>
      </c>
      <c r="AY180" s="316">
        <f t="shared" ref="AY180:AZ180" si="3005">IF(ISBLANK(BA180),,BA180-BA179)</f>
        <v>71</v>
      </c>
      <c r="AZ180" s="334">
        <f t="shared" si="3005"/>
        <v>0</v>
      </c>
      <c r="BA180" s="335">
        <v>2329</v>
      </c>
      <c r="BB180" s="336">
        <v>44</v>
      </c>
      <c r="BC180" s="337">
        <f t="shared" ref="BC180:BD180" si="3006">IF(ISBLANK(BE180),,BE180-BE179)</f>
        <v>118</v>
      </c>
      <c r="BD180" s="334">
        <f t="shared" si="3006"/>
        <v>4</v>
      </c>
      <c r="BE180" s="335">
        <v>20135</v>
      </c>
      <c r="BF180" s="339">
        <v>473</v>
      </c>
      <c r="BG180" s="316">
        <f t="shared" ref="BG180:BH180" si="3007">IF(ISBLANK(BI180),,BI180-BI179)</f>
        <v>18</v>
      </c>
      <c r="BH180" s="334">
        <f t="shared" si="3007"/>
        <v>0</v>
      </c>
      <c r="BI180" s="335">
        <v>1360</v>
      </c>
      <c r="BJ180" s="336">
        <v>49</v>
      </c>
      <c r="BK180" s="337">
        <f t="shared" ref="BK180:BL180" si="3008">IF(ISBLANK(BM180),,BM180-BM179)</f>
        <v>51</v>
      </c>
      <c r="BL180" s="334">
        <f t="shared" si="3008"/>
        <v>1</v>
      </c>
      <c r="BM180" s="335">
        <v>835</v>
      </c>
      <c r="BN180" s="339">
        <v>8</v>
      </c>
      <c r="BO180" s="316">
        <f t="shared" ref="BO180:BP180" si="3009">IF(ISBLANK(BQ180),,BQ180-BQ179)</f>
        <v>92</v>
      </c>
      <c r="BP180" s="334">
        <f t="shared" si="3009"/>
        <v>0</v>
      </c>
      <c r="BQ180" s="335">
        <v>5413</v>
      </c>
      <c r="BR180" s="336">
        <v>220</v>
      </c>
      <c r="BS180" s="316">
        <f t="shared" ref="BS180:BT180" si="3010">IF(ISBLANK(BU180),,BU180-BU179)</f>
        <v>11</v>
      </c>
      <c r="BT180" s="334">
        <f t="shared" si="3010"/>
        <v>0</v>
      </c>
      <c r="BU180" s="335">
        <v>1086</v>
      </c>
      <c r="BV180" s="336">
        <v>27</v>
      </c>
      <c r="BW180" s="233"/>
      <c r="BX180" s="233"/>
      <c r="BY180" s="233"/>
      <c r="BZ180" s="233"/>
      <c r="CA180" s="233"/>
      <c r="CB180" s="233"/>
      <c r="CC180" s="233"/>
      <c r="CD180" s="233"/>
      <c r="CE180" s="233"/>
    </row>
    <row r="181" spans="1:83" x14ac:dyDescent="0.25">
      <c r="A181" s="313">
        <v>44071</v>
      </c>
      <c r="B181" s="314">
        <f t="shared" si="1276"/>
        <v>178</v>
      </c>
      <c r="C181" s="315"/>
      <c r="D181" s="316">
        <v>791</v>
      </c>
      <c r="E181" s="317">
        <v>9</v>
      </c>
      <c r="F181" s="318">
        <v>44785</v>
      </c>
      <c r="G181" s="319"/>
      <c r="H181" s="330">
        <f t="shared" ref="H181:I181" si="3011">IF(ISBLANK(D181),,H180+D181)</f>
        <v>65480</v>
      </c>
      <c r="I181" s="331">
        <f t="shared" si="3011"/>
        <v>2018</v>
      </c>
      <c r="J181" s="332">
        <f t="shared" si="1"/>
        <v>688</v>
      </c>
      <c r="K181" s="333">
        <f t="shared" ref="K181:L181" si="3012">IF(ISBLANK(M181),,M181-M180)</f>
        <v>30</v>
      </c>
      <c r="L181" s="334">
        <f t="shared" si="3012"/>
        <v>0</v>
      </c>
      <c r="M181" s="335">
        <v>3995</v>
      </c>
      <c r="N181" s="336">
        <v>171</v>
      </c>
      <c r="O181" s="337">
        <f t="shared" ref="O181:P181" si="3013">IF(ISBLANK(Q181),,Q181-Q180)</f>
        <v>38</v>
      </c>
      <c r="P181" s="338">
        <f t="shared" si="3013"/>
        <v>1</v>
      </c>
      <c r="Q181" s="335">
        <v>1268</v>
      </c>
      <c r="R181" s="339">
        <v>54</v>
      </c>
      <c r="S181" s="316">
        <f t="shared" ref="S181:T181" si="3014">IF(ISBLANK(U181),,U181-U180)</f>
        <v>27</v>
      </c>
      <c r="T181" s="334">
        <f t="shared" si="3014"/>
        <v>0</v>
      </c>
      <c r="U181" s="335">
        <v>1484</v>
      </c>
      <c r="V181" s="336">
        <v>24</v>
      </c>
      <c r="W181" s="337">
        <f t="shared" ref="W181:X181" si="3015">IF(ISBLANK(Y181),,Y181-Y180)</f>
        <v>9</v>
      </c>
      <c r="X181" s="334">
        <f t="shared" si="3015"/>
        <v>0</v>
      </c>
      <c r="Y181" s="335">
        <v>660</v>
      </c>
      <c r="Z181" s="340">
        <v>14</v>
      </c>
      <c r="AA181" s="316">
        <f t="shared" ref="AA181:AB181" si="3016">IF(ISBLANK(AC181),,AC181-AC180)</f>
        <v>39</v>
      </c>
      <c r="AB181" s="334">
        <f t="shared" si="3016"/>
        <v>0</v>
      </c>
      <c r="AC181" s="335">
        <v>5193</v>
      </c>
      <c r="AD181" s="336">
        <v>235</v>
      </c>
      <c r="AE181" s="337">
        <f t="shared" ref="AE181:AF181" si="3017">IF(ISBLANK(AG181),,AG181-AG180)</f>
        <v>139</v>
      </c>
      <c r="AF181" s="334">
        <f t="shared" si="3017"/>
        <v>4</v>
      </c>
      <c r="AG181" s="335">
        <v>7128</v>
      </c>
      <c r="AH181" s="339">
        <v>122</v>
      </c>
      <c r="AI181" s="316">
        <f t="shared" ref="AI181:AJ181" si="3018">IF(ISBLANK(AK181),,AK181-AK180)</f>
        <v>130</v>
      </c>
      <c r="AJ181" s="334">
        <f t="shared" si="3018"/>
        <v>1</v>
      </c>
      <c r="AK181" s="335">
        <v>9108</v>
      </c>
      <c r="AL181" s="336">
        <v>404</v>
      </c>
      <c r="AM181" s="337">
        <f t="shared" ref="AM181:AN181" si="3019">IF(ISBLANK(AO181),,AO181-AO180)</f>
        <v>15</v>
      </c>
      <c r="AN181" s="334">
        <f t="shared" si="3019"/>
        <v>0</v>
      </c>
      <c r="AO181" s="335">
        <v>1603</v>
      </c>
      <c r="AP181" s="339">
        <v>60</v>
      </c>
      <c r="AQ181" s="316">
        <f t="shared" ref="AQ181:AR181" si="3020">IF(ISBLANK(AS181),,AS181-AS180)</f>
        <v>70</v>
      </c>
      <c r="AR181" s="338">
        <f t="shared" si="3020"/>
        <v>0</v>
      </c>
      <c r="AS181" s="335">
        <v>2332</v>
      </c>
      <c r="AT181" s="336">
        <v>81</v>
      </c>
      <c r="AU181" s="337">
        <f t="shared" ref="AU181:AV181" si="3021">IF(ISBLANK(AW181),,AW181-AW180)</f>
        <v>5</v>
      </c>
      <c r="AV181" s="334">
        <f t="shared" si="3021"/>
        <v>1</v>
      </c>
      <c r="AW181" s="335">
        <v>1262</v>
      </c>
      <c r="AX181" s="339">
        <v>30</v>
      </c>
      <c r="AY181" s="316">
        <f t="shared" ref="AY181:AZ181" si="3022">IF(ISBLANK(BA181),,BA181-BA180)</f>
        <v>42</v>
      </c>
      <c r="AZ181" s="334">
        <f t="shared" si="3022"/>
        <v>0</v>
      </c>
      <c r="BA181" s="335">
        <v>2371</v>
      </c>
      <c r="BB181" s="336">
        <v>44</v>
      </c>
      <c r="BC181" s="337">
        <f t="shared" ref="BC181:BD181" si="3023">IF(ISBLANK(BE181),,BE181-BE180)</f>
        <v>104</v>
      </c>
      <c r="BD181" s="334">
        <f t="shared" si="3023"/>
        <v>1</v>
      </c>
      <c r="BE181" s="335">
        <v>20239</v>
      </c>
      <c r="BF181" s="339">
        <v>474</v>
      </c>
      <c r="BG181" s="316">
        <f t="shared" ref="BG181:BH181" si="3024">IF(ISBLANK(BI181),,BI181-BI180)</f>
        <v>19</v>
      </c>
      <c r="BH181" s="334">
        <f t="shared" si="3024"/>
        <v>0</v>
      </c>
      <c r="BI181" s="335">
        <v>1379</v>
      </c>
      <c r="BJ181" s="336">
        <v>49</v>
      </c>
      <c r="BK181" s="337">
        <f t="shared" ref="BK181:BL181" si="3025">IF(ISBLANK(BM181),,BM181-BM180)</f>
        <v>22</v>
      </c>
      <c r="BL181" s="334">
        <f t="shared" si="3025"/>
        <v>0</v>
      </c>
      <c r="BM181" s="335">
        <v>857</v>
      </c>
      <c r="BN181" s="339">
        <v>8</v>
      </c>
      <c r="BO181" s="316">
        <f t="shared" ref="BO181:BP181" si="3026">IF(ISBLANK(BQ181),,BQ181-BQ180)</f>
        <v>92</v>
      </c>
      <c r="BP181" s="334">
        <f t="shared" si="3026"/>
        <v>1</v>
      </c>
      <c r="BQ181" s="335">
        <v>5505</v>
      </c>
      <c r="BR181" s="336">
        <v>221</v>
      </c>
      <c r="BS181" s="316">
        <f t="shared" ref="BS181:BT181" si="3027">IF(ISBLANK(BU181),,BU181-BU180)</f>
        <v>10</v>
      </c>
      <c r="BT181" s="334">
        <f t="shared" si="3027"/>
        <v>0</v>
      </c>
      <c r="BU181" s="335">
        <v>1096</v>
      </c>
      <c r="BV181" s="336">
        <v>27</v>
      </c>
      <c r="BW181" s="233"/>
      <c r="BX181" s="233"/>
      <c r="BY181" s="233"/>
      <c r="BZ181" s="233"/>
      <c r="CA181" s="233"/>
      <c r="CB181" s="233"/>
      <c r="CC181" s="233"/>
      <c r="CD181" s="233"/>
      <c r="CE181" s="233"/>
    </row>
    <row r="182" spans="1:83" x14ac:dyDescent="0.25">
      <c r="A182" s="313">
        <v>44072</v>
      </c>
      <c r="B182" s="314">
        <f t="shared" si="1276"/>
        <v>179</v>
      </c>
      <c r="C182" s="315"/>
      <c r="D182" s="316">
        <v>759</v>
      </c>
      <c r="E182" s="317">
        <v>14</v>
      </c>
      <c r="F182" s="318">
        <v>45536</v>
      </c>
      <c r="G182" s="319"/>
      <c r="H182" s="330">
        <f t="shared" ref="H182:I182" si="3028">IF(ISBLANK(D182),,H181+D182)</f>
        <v>66239</v>
      </c>
      <c r="I182" s="331">
        <f t="shared" si="3028"/>
        <v>2032</v>
      </c>
      <c r="J182" s="332">
        <f t="shared" si="1"/>
        <v>751</v>
      </c>
      <c r="K182" s="333">
        <f t="shared" ref="K182:L182" si="3029">IF(ISBLANK(M182),,M182-M181)</f>
        <v>44</v>
      </c>
      <c r="L182" s="334">
        <f t="shared" si="3029"/>
        <v>0</v>
      </c>
      <c r="M182" s="335">
        <v>4039</v>
      </c>
      <c r="N182" s="336">
        <v>171</v>
      </c>
      <c r="O182" s="337">
        <f t="shared" ref="O182:P182" si="3030">IF(ISBLANK(Q182),,Q182-Q181)</f>
        <v>23</v>
      </c>
      <c r="P182" s="338">
        <f t="shared" si="3030"/>
        <v>0</v>
      </c>
      <c r="Q182" s="335">
        <v>1291</v>
      </c>
      <c r="R182" s="339">
        <v>54</v>
      </c>
      <c r="S182" s="316">
        <f t="shared" ref="S182:T182" si="3031">IF(ISBLANK(U182),,U182-U181)</f>
        <v>16</v>
      </c>
      <c r="T182" s="334">
        <f t="shared" si="3031"/>
        <v>0</v>
      </c>
      <c r="U182" s="335">
        <v>1500</v>
      </c>
      <c r="V182" s="336">
        <v>24</v>
      </c>
      <c r="W182" s="337">
        <f t="shared" ref="W182:X182" si="3032">IF(ISBLANK(Y182),,Y182-Y181)</f>
        <v>12</v>
      </c>
      <c r="X182" s="334">
        <f t="shared" si="3032"/>
        <v>0</v>
      </c>
      <c r="Y182" s="335">
        <v>672</v>
      </c>
      <c r="Z182" s="340">
        <v>14</v>
      </c>
      <c r="AA182" s="316">
        <f t="shared" ref="AA182:AB182" si="3033">IF(ISBLANK(AC182),,AC182-AC181)</f>
        <v>34</v>
      </c>
      <c r="AB182" s="334">
        <f t="shared" si="3033"/>
        <v>0</v>
      </c>
      <c r="AC182" s="335">
        <v>5227</v>
      </c>
      <c r="AD182" s="336">
        <v>235</v>
      </c>
      <c r="AE182" s="337">
        <f t="shared" ref="AE182:AF182" si="3034">IF(ISBLANK(AG182),,AG182-AG181)</f>
        <v>128</v>
      </c>
      <c r="AF182" s="334">
        <f t="shared" si="3034"/>
        <v>2</v>
      </c>
      <c r="AG182" s="335">
        <v>7256</v>
      </c>
      <c r="AH182" s="339">
        <v>124</v>
      </c>
      <c r="AI182" s="316">
        <f t="shared" ref="AI182:AJ182" si="3035">IF(ISBLANK(AK182),,AK182-AK181)</f>
        <v>140</v>
      </c>
      <c r="AJ182" s="334">
        <f t="shared" si="3035"/>
        <v>2</v>
      </c>
      <c r="AK182" s="335">
        <v>9248</v>
      </c>
      <c r="AL182" s="336">
        <v>406</v>
      </c>
      <c r="AM182" s="337">
        <f t="shared" ref="AM182:AN182" si="3036">IF(ISBLANK(AO182),,AO182-AO181)</f>
        <v>8</v>
      </c>
      <c r="AN182" s="334">
        <f t="shared" si="3036"/>
        <v>0</v>
      </c>
      <c r="AO182" s="335">
        <v>1611</v>
      </c>
      <c r="AP182" s="339">
        <v>60</v>
      </c>
      <c r="AQ182" s="316">
        <f t="shared" ref="AQ182:AR182" si="3037">IF(ISBLANK(AS182),,AS182-AS181)</f>
        <v>42</v>
      </c>
      <c r="AR182" s="338">
        <f t="shared" si="3037"/>
        <v>1</v>
      </c>
      <c r="AS182" s="335">
        <v>2374</v>
      </c>
      <c r="AT182" s="336">
        <v>82</v>
      </c>
      <c r="AU182" s="337">
        <f t="shared" ref="AU182:AV182" si="3038">IF(ISBLANK(AW182),,AW182-AW181)</f>
        <v>24</v>
      </c>
      <c r="AV182" s="334">
        <f t="shared" si="3038"/>
        <v>0</v>
      </c>
      <c r="AW182" s="335">
        <v>1286</v>
      </c>
      <c r="AX182" s="339">
        <v>30</v>
      </c>
      <c r="AY182" s="316">
        <f t="shared" ref="AY182:AZ182" si="3039">IF(ISBLANK(BA182),,BA182-BA181)</f>
        <v>45</v>
      </c>
      <c r="AZ182" s="334">
        <f t="shared" si="3039"/>
        <v>0</v>
      </c>
      <c r="BA182" s="335">
        <v>2416</v>
      </c>
      <c r="BB182" s="336">
        <v>44</v>
      </c>
      <c r="BC182" s="337">
        <f t="shared" ref="BC182:BD182" si="3040">IF(ISBLANK(BE182),,BE182-BE181)</f>
        <v>95</v>
      </c>
      <c r="BD182" s="334">
        <f t="shared" si="3040"/>
        <v>3</v>
      </c>
      <c r="BE182" s="335">
        <v>20334</v>
      </c>
      <c r="BF182" s="339">
        <v>477</v>
      </c>
      <c r="BG182" s="316">
        <f t="shared" ref="BG182:BH182" si="3041">IF(ISBLANK(BI182),,BI182-BI181)</f>
        <v>27</v>
      </c>
      <c r="BH182" s="334">
        <f t="shared" si="3041"/>
        <v>1</v>
      </c>
      <c r="BI182" s="335">
        <v>1406</v>
      </c>
      <c r="BJ182" s="336">
        <v>50</v>
      </c>
      <c r="BK182" s="337">
        <f t="shared" ref="BK182:BL182" si="3042">IF(ISBLANK(BM182),,BM182-BM181)</f>
        <v>14</v>
      </c>
      <c r="BL182" s="334">
        <f t="shared" si="3042"/>
        <v>1</v>
      </c>
      <c r="BM182" s="335">
        <v>871</v>
      </c>
      <c r="BN182" s="339">
        <v>9</v>
      </c>
      <c r="BO182" s="316">
        <f t="shared" ref="BO182:BP182" si="3043">IF(ISBLANK(BQ182),,BQ182-BQ181)</f>
        <v>96</v>
      </c>
      <c r="BP182" s="334">
        <f t="shared" si="3043"/>
        <v>4</v>
      </c>
      <c r="BQ182" s="335">
        <v>5601</v>
      </c>
      <c r="BR182" s="336">
        <v>225</v>
      </c>
      <c r="BS182" s="316">
        <f t="shared" ref="BS182:BT182" si="3044">IF(ISBLANK(BU182),,BU182-BU181)</f>
        <v>11</v>
      </c>
      <c r="BT182" s="334">
        <f t="shared" si="3044"/>
        <v>0</v>
      </c>
      <c r="BU182" s="335">
        <v>1107</v>
      </c>
      <c r="BV182" s="336">
        <v>27</v>
      </c>
      <c r="BW182" s="233"/>
      <c r="BX182" s="233"/>
      <c r="BY182" s="233"/>
      <c r="BZ182" s="233"/>
      <c r="CA182" s="233"/>
      <c r="CB182" s="233"/>
      <c r="CC182" s="233"/>
      <c r="CD182" s="233"/>
      <c r="CE182" s="233"/>
    </row>
    <row r="183" spans="1:83" x14ac:dyDescent="0.25">
      <c r="A183" s="313">
        <v>44073</v>
      </c>
      <c r="B183" s="314">
        <f t="shared" si="1276"/>
        <v>180</v>
      </c>
      <c r="C183" s="315"/>
      <c r="D183" s="316">
        <v>631</v>
      </c>
      <c r="E183" s="317">
        <v>1</v>
      </c>
      <c r="F183" s="318">
        <v>46192</v>
      </c>
      <c r="G183" s="319"/>
      <c r="H183" s="330">
        <f t="shared" ref="H183:I183" si="3045">IF(ISBLANK(D183),,H182+D183)</f>
        <v>66870</v>
      </c>
      <c r="I183" s="331">
        <f t="shared" si="3045"/>
        <v>2033</v>
      </c>
      <c r="J183" s="332">
        <f t="shared" si="1"/>
        <v>656</v>
      </c>
      <c r="K183" s="333">
        <f t="shared" ref="K183:L183" si="3046">IF(ISBLANK(M183),,M183-M182)</f>
        <v>10</v>
      </c>
      <c r="L183" s="334">
        <f t="shared" si="3046"/>
        <v>0</v>
      </c>
      <c r="M183" s="335">
        <v>4049</v>
      </c>
      <c r="N183" s="336">
        <v>171</v>
      </c>
      <c r="O183" s="337">
        <f t="shared" ref="O183:P183" si="3047">IF(ISBLANK(Q183),,Q183-Q182)</f>
        <v>22</v>
      </c>
      <c r="P183" s="338">
        <f t="shared" si="3047"/>
        <v>0</v>
      </c>
      <c r="Q183" s="335">
        <v>1313</v>
      </c>
      <c r="R183" s="339">
        <v>54</v>
      </c>
      <c r="S183" s="316">
        <f t="shared" ref="S183:T183" si="3048">IF(ISBLANK(U183),,U183-U182)</f>
        <v>69</v>
      </c>
      <c r="T183" s="334">
        <f t="shared" si="3048"/>
        <v>0</v>
      </c>
      <c r="U183" s="335">
        <v>1569</v>
      </c>
      <c r="V183" s="336">
        <v>24</v>
      </c>
      <c r="W183" s="337">
        <f t="shared" ref="W183:X183" si="3049">IF(ISBLANK(Y183),,Y183-Y182)</f>
        <v>17</v>
      </c>
      <c r="X183" s="334">
        <f t="shared" si="3049"/>
        <v>0</v>
      </c>
      <c r="Y183" s="335">
        <v>689</v>
      </c>
      <c r="Z183" s="340">
        <v>14</v>
      </c>
      <c r="AA183" s="316">
        <f t="shared" ref="AA183:AB183" si="3050">IF(ISBLANK(AC183),,AC183-AC182)</f>
        <v>33</v>
      </c>
      <c r="AB183" s="334">
        <f t="shared" si="3050"/>
        <v>0</v>
      </c>
      <c r="AC183" s="335">
        <v>5260</v>
      </c>
      <c r="AD183" s="336">
        <v>235</v>
      </c>
      <c r="AE183" s="337">
        <f t="shared" ref="AE183:AF183" si="3051">IF(ISBLANK(AG183),,AG183-AG182)</f>
        <v>153</v>
      </c>
      <c r="AF183" s="334">
        <f t="shared" si="3051"/>
        <v>0</v>
      </c>
      <c r="AG183" s="335">
        <v>7409</v>
      </c>
      <c r="AH183" s="339">
        <v>124</v>
      </c>
      <c r="AI183" s="316">
        <f t="shared" ref="AI183:AJ183" si="3052">IF(ISBLANK(AK183),,AK183-AK182)</f>
        <v>47</v>
      </c>
      <c r="AJ183" s="334">
        <f t="shared" si="3052"/>
        <v>1</v>
      </c>
      <c r="AK183" s="335">
        <v>9295</v>
      </c>
      <c r="AL183" s="336">
        <v>407</v>
      </c>
      <c r="AM183" s="337">
        <f t="shared" ref="AM183:AN183" si="3053">IF(ISBLANK(AO183),,AO183-AO182)</f>
        <v>8</v>
      </c>
      <c r="AN183" s="334">
        <f t="shared" si="3053"/>
        <v>0</v>
      </c>
      <c r="AO183" s="335">
        <v>1619</v>
      </c>
      <c r="AP183" s="339">
        <v>60</v>
      </c>
      <c r="AQ183" s="316">
        <f t="shared" ref="AQ183:AR183" si="3054">IF(ISBLANK(AS183),,AS183-AS182)</f>
        <v>30</v>
      </c>
      <c r="AR183" s="338">
        <f t="shared" si="3054"/>
        <v>0</v>
      </c>
      <c r="AS183" s="335">
        <v>2404</v>
      </c>
      <c r="AT183" s="336">
        <v>82</v>
      </c>
      <c r="AU183" s="337">
        <f t="shared" ref="AU183:AV183" si="3055">IF(ISBLANK(AW183),,AW183-AW182)</f>
        <v>4</v>
      </c>
      <c r="AV183" s="334">
        <f t="shared" si="3055"/>
        <v>0</v>
      </c>
      <c r="AW183" s="335">
        <v>1290</v>
      </c>
      <c r="AX183" s="339">
        <v>30</v>
      </c>
      <c r="AY183" s="316">
        <f t="shared" ref="AY183:AZ183" si="3056">IF(ISBLANK(BA183),,BA183-BA182)</f>
        <v>53</v>
      </c>
      <c r="AZ183" s="334">
        <f t="shared" si="3056"/>
        <v>0</v>
      </c>
      <c r="BA183" s="335">
        <v>2469</v>
      </c>
      <c r="BB183" s="336">
        <v>44</v>
      </c>
      <c r="BC183" s="337">
        <f t="shared" ref="BC183:BD183" si="3057">IF(ISBLANK(BE183),,BE183-BE182)</f>
        <v>86</v>
      </c>
      <c r="BD183" s="334">
        <f t="shared" si="3057"/>
        <v>0</v>
      </c>
      <c r="BE183" s="335">
        <v>20420</v>
      </c>
      <c r="BF183" s="339">
        <v>477</v>
      </c>
      <c r="BG183" s="316">
        <f t="shared" ref="BG183:BH183" si="3058">IF(ISBLANK(BI183),,BI183-BI182)</f>
        <v>6</v>
      </c>
      <c r="BH183" s="334">
        <f t="shared" si="3058"/>
        <v>0</v>
      </c>
      <c r="BI183" s="335">
        <v>1412</v>
      </c>
      <c r="BJ183" s="336">
        <v>50</v>
      </c>
      <c r="BK183" s="337">
        <f t="shared" ref="BK183:BL183" si="3059">IF(ISBLANK(BM183),,BM183-BM182)</f>
        <v>17</v>
      </c>
      <c r="BL183" s="334">
        <f t="shared" si="3059"/>
        <v>0</v>
      </c>
      <c r="BM183" s="335">
        <v>888</v>
      </c>
      <c r="BN183" s="339">
        <v>9</v>
      </c>
      <c r="BO183" s="316">
        <f t="shared" ref="BO183:BP183" si="3060">IF(ISBLANK(BQ183),,BQ183-BQ182)</f>
        <v>68</v>
      </c>
      <c r="BP183" s="334">
        <f t="shared" si="3060"/>
        <v>0</v>
      </c>
      <c r="BQ183" s="335">
        <v>5669</v>
      </c>
      <c r="BR183" s="336">
        <v>225</v>
      </c>
      <c r="BS183" s="316">
        <f t="shared" ref="BS183:BT183" si="3061">IF(ISBLANK(BU183),,BU183-BU182)</f>
        <v>8</v>
      </c>
      <c r="BT183" s="334">
        <f t="shared" si="3061"/>
        <v>0</v>
      </c>
      <c r="BU183" s="335">
        <v>1115</v>
      </c>
      <c r="BV183" s="336">
        <v>27</v>
      </c>
      <c r="BW183" s="233"/>
      <c r="BX183" s="233"/>
      <c r="BY183" s="233"/>
      <c r="BZ183" s="233"/>
      <c r="CA183" s="233"/>
      <c r="CB183" s="233"/>
      <c r="CC183" s="233"/>
      <c r="CD183" s="233"/>
      <c r="CE183" s="233"/>
    </row>
    <row r="184" spans="1:83" x14ac:dyDescent="0.25">
      <c r="A184" s="313">
        <v>44074</v>
      </c>
      <c r="B184" s="314">
        <f t="shared" si="1276"/>
        <v>181</v>
      </c>
      <c r="C184" s="315"/>
      <c r="D184" s="316">
        <v>502</v>
      </c>
      <c r="E184" s="317">
        <v>6</v>
      </c>
      <c r="F184" s="318">
        <v>46638</v>
      </c>
      <c r="G184" s="319"/>
      <c r="H184" s="330">
        <f t="shared" ref="H184:I184" si="3062">IF(ISBLANK(D184),,H183+D184)</f>
        <v>67372</v>
      </c>
      <c r="I184" s="331">
        <f t="shared" si="3062"/>
        <v>2039</v>
      </c>
      <c r="J184" s="332">
        <f t="shared" si="1"/>
        <v>446</v>
      </c>
      <c r="K184" s="333">
        <f t="shared" ref="K184:L184" si="3063">IF(ISBLANK(M184),,M184-M183)</f>
        <v>10</v>
      </c>
      <c r="L184" s="334">
        <f t="shared" si="3063"/>
        <v>0</v>
      </c>
      <c r="M184" s="335">
        <v>4059</v>
      </c>
      <c r="N184" s="336">
        <v>171</v>
      </c>
      <c r="O184" s="337">
        <f t="shared" ref="O184:P184" si="3064">IF(ISBLANK(Q184),,Q184-Q183)</f>
        <v>20</v>
      </c>
      <c r="P184" s="338">
        <f t="shared" si="3064"/>
        <v>0</v>
      </c>
      <c r="Q184" s="335">
        <v>1333</v>
      </c>
      <c r="R184" s="339">
        <v>54</v>
      </c>
      <c r="S184" s="316">
        <f t="shared" ref="S184:T184" si="3065">IF(ISBLANK(U184),,U184-U183)</f>
        <v>18</v>
      </c>
      <c r="T184" s="334">
        <f t="shared" si="3065"/>
        <v>0</v>
      </c>
      <c r="U184" s="335">
        <v>1587</v>
      </c>
      <c r="V184" s="336">
        <v>24</v>
      </c>
      <c r="W184" s="337">
        <f t="shared" ref="W184:X184" si="3066">IF(ISBLANK(Y184),,Y184-Y183)</f>
        <v>8</v>
      </c>
      <c r="X184" s="334">
        <f t="shared" si="3066"/>
        <v>0</v>
      </c>
      <c r="Y184" s="335">
        <v>697</v>
      </c>
      <c r="Z184" s="340">
        <v>14</v>
      </c>
      <c r="AA184" s="316">
        <f t="shared" ref="AA184:AB184" si="3067">IF(ISBLANK(AC184),,AC184-AC183)</f>
        <v>32</v>
      </c>
      <c r="AB184" s="334">
        <f t="shared" si="3067"/>
        <v>0</v>
      </c>
      <c r="AC184" s="335">
        <v>5292</v>
      </c>
      <c r="AD184" s="336">
        <v>235</v>
      </c>
      <c r="AE184" s="337">
        <f t="shared" ref="AE184:AF184" si="3068">IF(ISBLANK(AG184),,AG184-AG183)</f>
        <v>79</v>
      </c>
      <c r="AF184" s="334">
        <f t="shared" si="3068"/>
        <v>1</v>
      </c>
      <c r="AG184" s="335">
        <v>7488</v>
      </c>
      <c r="AH184" s="339">
        <v>125</v>
      </c>
      <c r="AI184" s="316">
        <f t="shared" ref="AI184:AJ184" si="3069">IF(ISBLANK(AK184),,AK184-AK183)</f>
        <v>75</v>
      </c>
      <c r="AJ184" s="334">
        <f t="shared" si="3069"/>
        <v>0</v>
      </c>
      <c r="AK184" s="335">
        <v>9370</v>
      </c>
      <c r="AL184" s="336">
        <v>407</v>
      </c>
      <c r="AM184" s="337">
        <f t="shared" ref="AM184:AN184" si="3070">IF(ISBLANK(AO184),,AO184-AO183)</f>
        <v>11</v>
      </c>
      <c r="AN184" s="334">
        <f t="shared" si="3070"/>
        <v>1</v>
      </c>
      <c r="AO184" s="335">
        <v>1630</v>
      </c>
      <c r="AP184" s="339">
        <v>61</v>
      </c>
      <c r="AQ184" s="316">
        <f t="shared" ref="AQ184:AR184" si="3071">IF(ISBLANK(AS184),,AS184-AS183)</f>
        <v>32</v>
      </c>
      <c r="AR184" s="338">
        <f t="shared" si="3071"/>
        <v>0</v>
      </c>
      <c r="AS184" s="335">
        <v>2436</v>
      </c>
      <c r="AT184" s="336">
        <v>82</v>
      </c>
      <c r="AU184" s="337">
        <f t="shared" ref="AU184:AV184" si="3072">IF(ISBLANK(AW184),,AW184-AW183)</f>
        <v>9</v>
      </c>
      <c r="AV184" s="334">
        <f t="shared" si="3072"/>
        <v>0</v>
      </c>
      <c r="AW184" s="335">
        <v>1299</v>
      </c>
      <c r="AX184" s="339">
        <v>30</v>
      </c>
      <c r="AY184" s="316">
        <f t="shared" ref="AY184:AZ184" si="3073">IF(ISBLANK(BA184),,BA184-BA183)</f>
        <v>75</v>
      </c>
      <c r="AZ184" s="334">
        <f t="shared" si="3073"/>
        <v>3</v>
      </c>
      <c r="BA184" s="335">
        <v>2544</v>
      </c>
      <c r="BB184" s="336">
        <v>47</v>
      </c>
      <c r="BC184" s="337">
        <f t="shared" ref="BC184:BD184" si="3074">IF(ISBLANK(BE184),,BE184-BE183)</f>
        <v>77</v>
      </c>
      <c r="BD184" s="334">
        <f t="shared" si="3074"/>
        <v>1</v>
      </c>
      <c r="BE184" s="335">
        <v>20497</v>
      </c>
      <c r="BF184" s="339">
        <v>478</v>
      </c>
      <c r="BG184" s="316">
        <f t="shared" ref="BG184:BH184" si="3075">IF(ISBLANK(BI184),,BI184-BI183)</f>
        <v>14</v>
      </c>
      <c r="BH184" s="334">
        <f t="shared" si="3075"/>
        <v>0</v>
      </c>
      <c r="BI184" s="335">
        <v>1426</v>
      </c>
      <c r="BJ184" s="336">
        <v>50</v>
      </c>
      <c r="BK184" s="337">
        <f t="shared" ref="BK184:BL184" si="3076">IF(ISBLANK(BM184),,BM184-BM183)</f>
        <v>2</v>
      </c>
      <c r="BL184" s="334">
        <f t="shared" si="3076"/>
        <v>0</v>
      </c>
      <c r="BM184" s="335">
        <v>890</v>
      </c>
      <c r="BN184" s="339">
        <v>9</v>
      </c>
      <c r="BO184" s="316">
        <f t="shared" ref="BO184:BP184" si="3077">IF(ISBLANK(BQ184),,BQ184-BQ183)</f>
        <v>30</v>
      </c>
      <c r="BP184" s="334">
        <f t="shared" si="3077"/>
        <v>0</v>
      </c>
      <c r="BQ184" s="335">
        <v>5699</v>
      </c>
      <c r="BR184" s="336">
        <v>225</v>
      </c>
      <c r="BS184" s="316">
        <f t="shared" ref="BS184:BT184" si="3078">IF(ISBLANK(BU184),,BU184-BU183)</f>
        <v>10</v>
      </c>
      <c r="BT184" s="334">
        <f t="shared" si="3078"/>
        <v>0</v>
      </c>
      <c r="BU184" s="335">
        <v>1125</v>
      </c>
      <c r="BV184" s="336">
        <v>27</v>
      </c>
      <c r="BW184" s="233"/>
      <c r="BX184" s="233"/>
      <c r="BY184" s="233"/>
      <c r="BZ184" s="233"/>
      <c r="CA184" s="233"/>
      <c r="CB184" s="233"/>
      <c r="CC184" s="233"/>
      <c r="CD184" s="233"/>
      <c r="CE184" s="233"/>
    </row>
    <row r="185" spans="1:83" x14ac:dyDescent="0.25">
      <c r="A185" s="313">
        <v>44075</v>
      </c>
      <c r="B185" s="314">
        <f t="shared" si="1276"/>
        <v>182</v>
      </c>
      <c r="C185" s="315"/>
      <c r="D185" s="316">
        <v>550</v>
      </c>
      <c r="E185" s="317">
        <v>19</v>
      </c>
      <c r="F185" s="318">
        <v>47030</v>
      </c>
      <c r="G185" s="319"/>
      <c r="H185" s="330">
        <f t="shared" ref="H185:I185" si="3079">IF(ISBLANK(D185),,H184+D185)</f>
        <v>67922</v>
      </c>
      <c r="I185" s="331">
        <f t="shared" si="3079"/>
        <v>2058</v>
      </c>
      <c r="J185" s="332">
        <f t="shared" si="1"/>
        <v>392</v>
      </c>
      <c r="K185" s="333">
        <f t="shared" ref="K185:L185" si="3080">IF(ISBLANK(M185),,M185-M184)</f>
        <v>35</v>
      </c>
      <c r="L185" s="334">
        <f t="shared" si="3080"/>
        <v>2</v>
      </c>
      <c r="M185" s="335">
        <v>4094</v>
      </c>
      <c r="N185" s="336">
        <v>173</v>
      </c>
      <c r="O185" s="337">
        <f t="shared" ref="O185:P185" si="3081">IF(ISBLANK(Q185),,Q185-Q184)</f>
        <v>35</v>
      </c>
      <c r="P185" s="338">
        <f t="shared" si="3081"/>
        <v>0</v>
      </c>
      <c r="Q185" s="335">
        <v>1368</v>
      </c>
      <c r="R185" s="339">
        <v>54</v>
      </c>
      <c r="S185" s="316">
        <f t="shared" ref="S185:T185" si="3082">IF(ISBLANK(U185),,U185-U184)</f>
        <v>13</v>
      </c>
      <c r="T185" s="334">
        <f t="shared" si="3082"/>
        <v>0</v>
      </c>
      <c r="U185" s="335">
        <v>1600</v>
      </c>
      <c r="V185" s="336">
        <v>24</v>
      </c>
      <c r="W185" s="337">
        <f t="shared" ref="W185:X185" si="3083">IF(ISBLANK(Y185),,Y185-Y184)</f>
        <v>9</v>
      </c>
      <c r="X185" s="334">
        <f t="shared" si="3083"/>
        <v>0</v>
      </c>
      <c r="Y185" s="335">
        <v>706</v>
      </c>
      <c r="Z185" s="340">
        <v>14</v>
      </c>
      <c r="AA185" s="316">
        <f t="shared" ref="AA185:AB185" si="3084">IF(ISBLANK(AC185),,AC185-AC184)</f>
        <v>31</v>
      </c>
      <c r="AB185" s="334">
        <f t="shared" si="3084"/>
        <v>1</v>
      </c>
      <c r="AC185" s="335">
        <v>5323</v>
      </c>
      <c r="AD185" s="336">
        <v>236</v>
      </c>
      <c r="AE185" s="337">
        <f t="shared" ref="AE185:AF185" si="3085">IF(ISBLANK(AG185),,AG185-AG184)</f>
        <v>136</v>
      </c>
      <c r="AF185" s="334">
        <f t="shared" si="3085"/>
        <v>3</v>
      </c>
      <c r="AG185" s="335">
        <v>7624</v>
      </c>
      <c r="AH185" s="339">
        <v>128</v>
      </c>
      <c r="AI185" s="316">
        <f t="shared" ref="AI185:AJ185" si="3086">IF(ISBLANK(AK185),,AK185-AK184)</f>
        <v>89</v>
      </c>
      <c r="AJ185" s="334">
        <f t="shared" si="3086"/>
        <v>4</v>
      </c>
      <c r="AK185" s="335">
        <v>9459</v>
      </c>
      <c r="AL185" s="336">
        <v>411</v>
      </c>
      <c r="AM185" s="337">
        <f t="shared" ref="AM185:AN185" si="3087">IF(ISBLANK(AO185),,AO185-AO184)</f>
        <v>14</v>
      </c>
      <c r="AN185" s="334">
        <f t="shared" si="3087"/>
        <v>1</v>
      </c>
      <c r="AO185" s="335">
        <v>1644</v>
      </c>
      <c r="AP185" s="339">
        <v>62</v>
      </c>
      <c r="AQ185" s="316">
        <f t="shared" ref="AQ185:AR185" si="3088">IF(ISBLANK(AS185),,AS185-AS184)</f>
        <v>26</v>
      </c>
      <c r="AR185" s="338">
        <f t="shared" si="3088"/>
        <v>0</v>
      </c>
      <c r="AS185" s="335">
        <v>2462</v>
      </c>
      <c r="AT185" s="336">
        <v>82</v>
      </c>
      <c r="AU185" s="337">
        <f t="shared" ref="AU185:AV185" si="3089">IF(ISBLANK(AW185),,AW185-AW184)</f>
        <v>10</v>
      </c>
      <c r="AV185" s="334">
        <f t="shared" si="3089"/>
        <v>1</v>
      </c>
      <c r="AW185" s="335">
        <v>1309</v>
      </c>
      <c r="AX185" s="339">
        <v>31</v>
      </c>
      <c r="AY185" s="316">
        <f t="shared" ref="AY185:AZ185" si="3090">IF(ISBLANK(BA185),,BA185-BA184)</f>
        <v>34</v>
      </c>
      <c r="AZ185" s="334">
        <f t="shared" si="3090"/>
        <v>0</v>
      </c>
      <c r="BA185" s="335">
        <v>2578</v>
      </c>
      <c r="BB185" s="336">
        <v>47</v>
      </c>
      <c r="BC185" s="337">
        <f t="shared" ref="BC185:BD185" si="3091">IF(ISBLANK(BE185),,BE185-BE184)</f>
        <v>53</v>
      </c>
      <c r="BD185" s="334">
        <f t="shared" si="3091"/>
        <v>7</v>
      </c>
      <c r="BE185" s="335">
        <v>20550</v>
      </c>
      <c r="BF185" s="339">
        <v>485</v>
      </c>
      <c r="BG185" s="316">
        <f t="shared" ref="BG185:BH185" si="3092">IF(ISBLANK(BI185),,BI185-BI184)</f>
        <v>16</v>
      </c>
      <c r="BH185" s="334">
        <f t="shared" si="3092"/>
        <v>0</v>
      </c>
      <c r="BI185" s="335">
        <v>1442</v>
      </c>
      <c r="BJ185" s="336">
        <v>50</v>
      </c>
      <c r="BK185" s="337">
        <f t="shared" ref="BK185:BL185" si="3093">IF(ISBLANK(BM185),,BM185-BM184)</f>
        <v>12</v>
      </c>
      <c r="BL185" s="334">
        <f t="shared" si="3093"/>
        <v>0</v>
      </c>
      <c r="BM185" s="335">
        <v>902</v>
      </c>
      <c r="BN185" s="339">
        <v>9</v>
      </c>
      <c r="BO185" s="316">
        <f t="shared" ref="BO185:BP185" si="3094">IF(ISBLANK(BQ185),,BQ185-BQ184)</f>
        <v>30</v>
      </c>
      <c r="BP185" s="334">
        <f t="shared" si="3094"/>
        <v>0</v>
      </c>
      <c r="BQ185" s="335">
        <v>5729</v>
      </c>
      <c r="BR185" s="336">
        <v>225</v>
      </c>
      <c r="BS185" s="316">
        <f t="shared" ref="BS185:BT185" si="3095">IF(ISBLANK(BU185),,BU185-BU184)</f>
        <v>7</v>
      </c>
      <c r="BT185" s="334">
        <f t="shared" si="3095"/>
        <v>0</v>
      </c>
      <c r="BU185" s="335">
        <v>1132</v>
      </c>
      <c r="BV185" s="336">
        <v>27</v>
      </c>
      <c r="BW185" s="233"/>
      <c r="BX185" s="233"/>
      <c r="BY185" s="233"/>
      <c r="BZ185" s="233"/>
      <c r="CA185" s="233"/>
      <c r="CB185" s="233"/>
      <c r="CC185" s="233"/>
      <c r="CD185" s="233"/>
      <c r="CE185" s="233"/>
    </row>
    <row r="186" spans="1:83" x14ac:dyDescent="0.25">
      <c r="A186" s="313">
        <v>44076</v>
      </c>
      <c r="B186" s="314">
        <f t="shared" si="1276"/>
        <v>183</v>
      </c>
      <c r="C186" s="315"/>
      <c r="D186" s="316">
        <v>595</v>
      </c>
      <c r="E186" s="317">
        <v>20</v>
      </c>
      <c r="F186" s="318">
        <v>47865</v>
      </c>
      <c r="G186" s="319"/>
      <c r="H186" s="330">
        <f t="shared" ref="H186:I186" si="3096">IF(ISBLANK(D186),,H185+D186)</f>
        <v>68517</v>
      </c>
      <c r="I186" s="331">
        <f t="shared" si="3096"/>
        <v>2078</v>
      </c>
      <c r="J186" s="332">
        <f t="shared" si="1"/>
        <v>835</v>
      </c>
      <c r="K186" s="333">
        <f t="shared" ref="K186:L186" si="3097">IF(ISBLANK(M186),,M186-M185)</f>
        <v>13</v>
      </c>
      <c r="L186" s="334">
        <f t="shared" si="3097"/>
        <v>0</v>
      </c>
      <c r="M186" s="335">
        <v>4107</v>
      </c>
      <c r="N186" s="336">
        <v>173</v>
      </c>
      <c r="O186" s="337">
        <f t="shared" ref="O186:P186" si="3098">IF(ISBLANK(Q186),,Q186-Q185)</f>
        <v>16</v>
      </c>
      <c r="P186" s="338">
        <f t="shared" si="3098"/>
        <v>0</v>
      </c>
      <c r="Q186" s="335">
        <v>1384</v>
      </c>
      <c r="R186" s="339">
        <v>54</v>
      </c>
      <c r="S186" s="316">
        <f t="shared" ref="S186:T186" si="3099">IF(ISBLANK(U186),,U186-U185)</f>
        <v>19</v>
      </c>
      <c r="T186" s="334">
        <f t="shared" si="3099"/>
        <v>0</v>
      </c>
      <c r="U186" s="335">
        <v>1619</v>
      </c>
      <c r="V186" s="336">
        <v>24</v>
      </c>
      <c r="W186" s="337">
        <f t="shared" ref="W186:X186" si="3100">IF(ISBLANK(Y186),,Y186-Y185)</f>
        <v>9</v>
      </c>
      <c r="X186" s="334">
        <f t="shared" si="3100"/>
        <v>0</v>
      </c>
      <c r="Y186" s="335">
        <v>715</v>
      </c>
      <c r="Z186" s="340">
        <v>14</v>
      </c>
      <c r="AA186" s="316">
        <f t="shared" ref="AA186:AB186" si="3101">IF(ISBLANK(AC186),,AC186-AC185)</f>
        <v>34</v>
      </c>
      <c r="AB186" s="334">
        <f t="shared" si="3101"/>
        <v>1</v>
      </c>
      <c r="AC186" s="335">
        <v>5357</v>
      </c>
      <c r="AD186" s="336">
        <v>237</v>
      </c>
      <c r="AE186" s="337">
        <f t="shared" ref="AE186:AF186" si="3102">IF(ISBLANK(AG186),,AG186-AG185)</f>
        <v>114</v>
      </c>
      <c r="AF186" s="334">
        <f t="shared" si="3102"/>
        <v>5</v>
      </c>
      <c r="AG186" s="335">
        <v>7738</v>
      </c>
      <c r="AH186" s="339">
        <v>133</v>
      </c>
      <c r="AI186" s="316">
        <f t="shared" ref="AI186:AJ186" si="3103">IF(ISBLANK(AK186),,AK186-AK185)</f>
        <v>133</v>
      </c>
      <c r="AJ186" s="334">
        <f t="shared" si="3103"/>
        <v>0</v>
      </c>
      <c r="AK186" s="335">
        <v>9592</v>
      </c>
      <c r="AL186" s="336">
        <v>411</v>
      </c>
      <c r="AM186" s="337">
        <f t="shared" ref="AM186:AN186" si="3104">IF(ISBLANK(AO186),,AO186-AO185)</f>
        <v>8</v>
      </c>
      <c r="AN186" s="334">
        <f t="shared" si="3104"/>
        <v>1</v>
      </c>
      <c r="AO186" s="335">
        <v>1652</v>
      </c>
      <c r="AP186" s="339">
        <v>63</v>
      </c>
      <c r="AQ186" s="316">
        <f t="shared" ref="AQ186:AR186" si="3105">IF(ISBLANK(AS186),,AS186-AS185)</f>
        <v>46</v>
      </c>
      <c r="AR186" s="338">
        <f t="shared" si="3105"/>
        <v>2</v>
      </c>
      <c r="AS186" s="335">
        <v>2508</v>
      </c>
      <c r="AT186" s="336">
        <v>84</v>
      </c>
      <c r="AU186" s="337">
        <f t="shared" ref="AU186:AV186" si="3106">IF(ISBLANK(AW186),,AW186-AW185)</f>
        <v>7</v>
      </c>
      <c r="AV186" s="334">
        <f t="shared" si="3106"/>
        <v>1</v>
      </c>
      <c r="AW186" s="335">
        <v>1316</v>
      </c>
      <c r="AX186" s="339">
        <v>32</v>
      </c>
      <c r="AY186" s="316">
        <f t="shared" ref="AY186:AZ186" si="3107">IF(ISBLANK(BA186),,BA186-BA185)</f>
        <v>42</v>
      </c>
      <c r="AZ186" s="334">
        <f t="shared" si="3107"/>
        <v>0</v>
      </c>
      <c r="BA186" s="335">
        <v>2620</v>
      </c>
      <c r="BB186" s="336">
        <v>47</v>
      </c>
      <c r="BC186" s="337">
        <f t="shared" ref="BC186:BD186" si="3108">IF(ISBLANK(BE186),,BE186-BE185)</f>
        <v>63</v>
      </c>
      <c r="BD186" s="334">
        <f t="shared" si="3108"/>
        <v>8</v>
      </c>
      <c r="BE186" s="335">
        <v>20613</v>
      </c>
      <c r="BF186" s="339">
        <v>493</v>
      </c>
      <c r="BG186" s="316">
        <f t="shared" ref="BG186:BH186" si="3109">IF(ISBLANK(BI186),,BI186-BI185)</f>
        <v>15</v>
      </c>
      <c r="BH186" s="334">
        <f t="shared" si="3109"/>
        <v>1</v>
      </c>
      <c r="BI186" s="335">
        <v>1457</v>
      </c>
      <c r="BJ186" s="336">
        <v>51</v>
      </c>
      <c r="BK186" s="337">
        <f t="shared" ref="BK186:BL186" si="3110">IF(ISBLANK(BM186),,BM186-BM185)</f>
        <v>19</v>
      </c>
      <c r="BL186" s="334">
        <f t="shared" si="3110"/>
        <v>0</v>
      </c>
      <c r="BM186" s="335">
        <v>921</v>
      </c>
      <c r="BN186" s="339">
        <v>9</v>
      </c>
      <c r="BO186" s="316">
        <f t="shared" ref="BO186:BP186" si="3111">IF(ISBLANK(BQ186),,BQ186-BQ185)</f>
        <v>53</v>
      </c>
      <c r="BP186" s="334">
        <f t="shared" si="3111"/>
        <v>1</v>
      </c>
      <c r="BQ186" s="335">
        <v>5782</v>
      </c>
      <c r="BR186" s="336">
        <v>226</v>
      </c>
      <c r="BS186" s="316">
        <f t="shared" ref="BS186:BT186" si="3112">IF(ISBLANK(BU186),,BU186-BU185)</f>
        <v>4</v>
      </c>
      <c r="BT186" s="334">
        <f t="shared" si="3112"/>
        <v>0</v>
      </c>
      <c r="BU186" s="335">
        <v>1136</v>
      </c>
      <c r="BV186" s="336">
        <v>27</v>
      </c>
      <c r="BW186" s="233"/>
      <c r="BX186" s="233"/>
      <c r="BY186" s="233"/>
      <c r="BZ186" s="233"/>
      <c r="CA186" s="233"/>
      <c r="CB186" s="233"/>
      <c r="CC186" s="233"/>
      <c r="CD186" s="233"/>
      <c r="CE186" s="233"/>
    </row>
    <row r="187" spans="1:83" x14ac:dyDescent="0.25">
      <c r="A187" s="313">
        <v>44077</v>
      </c>
      <c r="B187" s="314">
        <f t="shared" si="1276"/>
        <v>184</v>
      </c>
      <c r="C187" s="315"/>
      <c r="D187" s="316">
        <v>612</v>
      </c>
      <c r="E187" s="317">
        <v>14</v>
      </c>
      <c r="F187" s="318">
        <v>48593</v>
      </c>
      <c r="G187" s="319"/>
      <c r="H187" s="330">
        <f t="shared" ref="H187:I187" si="3113">IF(ISBLANK(D187),,H186+D187)</f>
        <v>69129</v>
      </c>
      <c r="I187" s="331">
        <f t="shared" si="3113"/>
        <v>2092</v>
      </c>
      <c r="J187" s="332">
        <f t="shared" si="1"/>
        <v>728</v>
      </c>
      <c r="K187" s="333">
        <f t="shared" ref="K187:L187" si="3114">IF(ISBLANK(M187),,M187-M186)</f>
        <v>24</v>
      </c>
      <c r="L187" s="334">
        <f t="shared" si="3114"/>
        <v>0</v>
      </c>
      <c r="M187" s="335">
        <v>4131</v>
      </c>
      <c r="N187" s="336">
        <v>173</v>
      </c>
      <c r="O187" s="337">
        <f t="shared" ref="O187:P187" si="3115">IF(ISBLANK(Q187),,Q187-Q186)</f>
        <v>33</v>
      </c>
      <c r="P187" s="338">
        <f t="shared" si="3115"/>
        <v>0</v>
      </c>
      <c r="Q187" s="335">
        <v>1417</v>
      </c>
      <c r="R187" s="339">
        <v>54</v>
      </c>
      <c r="S187" s="316">
        <f t="shared" ref="S187:T187" si="3116">IF(ISBLANK(U187),,U187-U186)</f>
        <v>40</v>
      </c>
      <c r="T187" s="334">
        <f t="shared" si="3116"/>
        <v>1</v>
      </c>
      <c r="U187" s="335">
        <v>1659</v>
      </c>
      <c r="V187" s="336">
        <v>25</v>
      </c>
      <c r="W187" s="337">
        <f t="shared" ref="W187:X187" si="3117">IF(ISBLANK(Y187),,Y187-Y186)</f>
        <v>7</v>
      </c>
      <c r="X187" s="334">
        <f t="shared" si="3117"/>
        <v>1</v>
      </c>
      <c r="Y187" s="335">
        <v>722</v>
      </c>
      <c r="Z187" s="340">
        <v>15</v>
      </c>
      <c r="AA187" s="316">
        <f t="shared" ref="AA187:AB187" si="3118">IF(ISBLANK(AC187),,AC187-AC186)</f>
        <v>48</v>
      </c>
      <c r="AB187" s="334">
        <f t="shared" si="3118"/>
        <v>1</v>
      </c>
      <c r="AC187" s="335">
        <v>5405</v>
      </c>
      <c r="AD187" s="336">
        <v>238</v>
      </c>
      <c r="AE187" s="337">
        <f t="shared" ref="AE187:AF187" si="3119">IF(ISBLANK(AG187),,AG187-AG186)</f>
        <v>100</v>
      </c>
      <c r="AF187" s="334">
        <f t="shared" si="3119"/>
        <v>3</v>
      </c>
      <c r="AG187" s="335">
        <v>7838</v>
      </c>
      <c r="AH187" s="339">
        <v>136</v>
      </c>
      <c r="AI187" s="316">
        <f t="shared" ref="AI187:AJ187" si="3120">IF(ISBLANK(AK187),,AK187-AK186)</f>
        <v>93</v>
      </c>
      <c r="AJ187" s="334">
        <f t="shared" si="3120"/>
        <v>2</v>
      </c>
      <c r="AK187" s="335">
        <v>9685</v>
      </c>
      <c r="AL187" s="336">
        <v>413</v>
      </c>
      <c r="AM187" s="337">
        <f t="shared" ref="AM187:AN187" si="3121">IF(ISBLANK(AO187),,AO187-AO186)</f>
        <v>8</v>
      </c>
      <c r="AN187" s="334">
        <f t="shared" si="3121"/>
        <v>0</v>
      </c>
      <c r="AO187" s="335">
        <v>1660</v>
      </c>
      <c r="AP187" s="339">
        <v>63</v>
      </c>
      <c r="AQ187" s="316">
        <f t="shared" ref="AQ187:AR187" si="3122">IF(ISBLANK(AS187),,AS187-AS186)</f>
        <v>32</v>
      </c>
      <c r="AR187" s="338">
        <f t="shared" si="3122"/>
        <v>2</v>
      </c>
      <c r="AS187" s="335">
        <v>2540</v>
      </c>
      <c r="AT187" s="336">
        <v>86</v>
      </c>
      <c r="AU187" s="337">
        <f t="shared" ref="AU187:AV187" si="3123">IF(ISBLANK(AW187),,AW187-AW186)</f>
        <v>10</v>
      </c>
      <c r="AV187" s="334">
        <f t="shared" si="3123"/>
        <v>0</v>
      </c>
      <c r="AW187" s="335">
        <v>1326</v>
      </c>
      <c r="AX187" s="339">
        <v>32</v>
      </c>
      <c r="AY187" s="316">
        <f t="shared" ref="AY187:AZ187" si="3124">IF(ISBLANK(BA187),,BA187-BA186)</f>
        <v>44</v>
      </c>
      <c r="AZ187" s="334">
        <f t="shared" si="3124"/>
        <v>1</v>
      </c>
      <c r="BA187" s="335">
        <v>2664</v>
      </c>
      <c r="BB187" s="336">
        <v>48</v>
      </c>
      <c r="BC187" s="337">
        <f t="shared" ref="BC187:BD187" si="3125">IF(ISBLANK(BE187),,BE187-BE186)</f>
        <v>71</v>
      </c>
      <c r="BD187" s="334">
        <f t="shared" si="3125"/>
        <v>3</v>
      </c>
      <c r="BE187" s="335">
        <v>20684</v>
      </c>
      <c r="BF187" s="339">
        <v>496</v>
      </c>
      <c r="BG187" s="316">
        <f t="shared" ref="BG187:BH187" si="3126">IF(ISBLANK(BI187),,BI187-BI186)</f>
        <v>21</v>
      </c>
      <c r="BH187" s="334">
        <f t="shared" si="3126"/>
        <v>0</v>
      </c>
      <c r="BI187" s="335">
        <v>1478</v>
      </c>
      <c r="BJ187" s="336">
        <v>51</v>
      </c>
      <c r="BK187" s="337">
        <f t="shared" ref="BK187:BL187" si="3127">IF(ISBLANK(BM187),,BM187-BM186)</f>
        <v>16</v>
      </c>
      <c r="BL187" s="334">
        <f t="shared" si="3127"/>
        <v>0</v>
      </c>
      <c r="BM187" s="335">
        <v>937</v>
      </c>
      <c r="BN187" s="339">
        <v>9</v>
      </c>
      <c r="BO187" s="316">
        <f t="shared" ref="BO187:BP187" si="3128">IF(ISBLANK(BQ187),,BQ187-BQ186)</f>
        <v>48</v>
      </c>
      <c r="BP187" s="334">
        <f t="shared" si="3128"/>
        <v>0</v>
      </c>
      <c r="BQ187" s="335">
        <v>5830</v>
      </c>
      <c r="BR187" s="336">
        <v>226</v>
      </c>
      <c r="BS187" s="316">
        <f t="shared" ref="BS187:BT187" si="3129">IF(ISBLANK(BU187),,BU187-BU186)</f>
        <v>17</v>
      </c>
      <c r="BT187" s="334">
        <f t="shared" si="3129"/>
        <v>0</v>
      </c>
      <c r="BU187" s="335">
        <v>1153</v>
      </c>
      <c r="BV187" s="336">
        <v>27</v>
      </c>
      <c r="BW187" s="233"/>
      <c r="BX187" s="233"/>
      <c r="BY187" s="233"/>
      <c r="BZ187" s="233"/>
      <c r="CA187" s="233"/>
      <c r="CB187" s="233"/>
      <c r="CC187" s="233"/>
      <c r="CD187" s="233"/>
      <c r="CE187" s="233"/>
    </row>
    <row r="188" spans="1:83" x14ac:dyDescent="0.25">
      <c r="A188" s="313">
        <v>44078</v>
      </c>
      <c r="B188" s="314">
        <f t="shared" si="1276"/>
        <v>185</v>
      </c>
      <c r="C188" s="315"/>
      <c r="D188" s="316">
        <v>691</v>
      </c>
      <c r="E188" s="317">
        <v>8</v>
      </c>
      <c r="F188" s="318">
        <v>49820</v>
      </c>
      <c r="G188" s="319"/>
      <c r="H188" s="330">
        <f t="shared" ref="H188:I188" si="3130">IF(ISBLANK(D188),,H187+D188)</f>
        <v>69820</v>
      </c>
      <c r="I188" s="331">
        <f t="shared" si="3130"/>
        <v>2100</v>
      </c>
      <c r="J188" s="332">
        <f t="shared" si="1"/>
        <v>1227</v>
      </c>
      <c r="K188" s="333">
        <f t="shared" ref="K188:L188" si="3131">IF(ISBLANK(M188),,M188-M187)</f>
        <v>27</v>
      </c>
      <c r="L188" s="334">
        <f t="shared" si="3131"/>
        <v>0</v>
      </c>
      <c r="M188" s="335">
        <v>4158</v>
      </c>
      <c r="N188" s="336">
        <v>173</v>
      </c>
      <c r="O188" s="337">
        <f t="shared" ref="O188:P188" si="3132">IF(ISBLANK(Q188),,Q188-Q187)</f>
        <v>11</v>
      </c>
      <c r="P188" s="338">
        <f t="shared" si="3132"/>
        <v>0</v>
      </c>
      <c r="Q188" s="335">
        <v>1428</v>
      </c>
      <c r="R188" s="339">
        <v>54</v>
      </c>
      <c r="S188" s="316">
        <f t="shared" ref="S188:T188" si="3133">IF(ISBLANK(U188),,U188-U187)</f>
        <v>27</v>
      </c>
      <c r="T188" s="334">
        <f t="shared" si="3133"/>
        <v>0</v>
      </c>
      <c r="U188" s="335">
        <v>1686</v>
      </c>
      <c r="V188" s="336">
        <v>25</v>
      </c>
      <c r="W188" s="337">
        <f t="shared" ref="W188:X188" si="3134">IF(ISBLANK(Y188),,Y188-Y187)</f>
        <v>13</v>
      </c>
      <c r="X188" s="334">
        <f t="shared" si="3134"/>
        <v>0</v>
      </c>
      <c r="Y188" s="335">
        <v>735</v>
      </c>
      <c r="Z188" s="340">
        <v>15</v>
      </c>
      <c r="AA188" s="316">
        <f t="shared" ref="AA188:AB188" si="3135">IF(ISBLANK(AC188),,AC188-AC187)</f>
        <v>43</v>
      </c>
      <c r="AB188" s="334">
        <f t="shared" si="3135"/>
        <v>0</v>
      </c>
      <c r="AC188" s="335">
        <v>5448</v>
      </c>
      <c r="AD188" s="336">
        <v>238</v>
      </c>
      <c r="AE188" s="337">
        <f t="shared" ref="AE188:AF188" si="3136">IF(ISBLANK(AG188),,AG188-AG187)</f>
        <v>120</v>
      </c>
      <c r="AF188" s="334">
        <f t="shared" si="3136"/>
        <v>3</v>
      </c>
      <c r="AG188" s="335">
        <v>7958</v>
      </c>
      <c r="AH188" s="339">
        <v>139</v>
      </c>
      <c r="AI188" s="316">
        <f t="shared" ref="AI188:AJ188" si="3137">IF(ISBLANK(AK188),,AK188-AK187)</f>
        <v>121</v>
      </c>
      <c r="AJ188" s="334">
        <f t="shared" si="3137"/>
        <v>0</v>
      </c>
      <c r="AK188" s="335">
        <v>9806</v>
      </c>
      <c r="AL188" s="336">
        <v>413</v>
      </c>
      <c r="AM188" s="337">
        <f t="shared" ref="AM188:AN188" si="3138">IF(ISBLANK(AO188),,AO188-AO187)</f>
        <v>9</v>
      </c>
      <c r="AN188" s="334">
        <f t="shared" si="3138"/>
        <v>0</v>
      </c>
      <c r="AO188" s="335">
        <v>1669</v>
      </c>
      <c r="AP188" s="339">
        <v>63</v>
      </c>
      <c r="AQ188" s="316">
        <f t="shared" ref="AQ188:AR188" si="3139">IF(ISBLANK(AS188),,AS188-AS187)</f>
        <v>92</v>
      </c>
      <c r="AR188" s="338">
        <f t="shared" si="3139"/>
        <v>0</v>
      </c>
      <c r="AS188" s="335">
        <v>2632</v>
      </c>
      <c r="AT188" s="336">
        <v>86</v>
      </c>
      <c r="AU188" s="337">
        <f t="shared" ref="AU188:AV188" si="3140">IF(ISBLANK(AW188),,AW188-AW187)</f>
        <v>8</v>
      </c>
      <c r="AV188" s="334">
        <f t="shared" si="3140"/>
        <v>0</v>
      </c>
      <c r="AW188" s="335">
        <v>1334</v>
      </c>
      <c r="AX188" s="339">
        <v>32</v>
      </c>
      <c r="AY188" s="316">
        <f t="shared" ref="AY188:AZ188" si="3141">IF(ISBLANK(BA188),,BA188-BA187)</f>
        <v>41</v>
      </c>
      <c r="AZ188" s="334">
        <f t="shared" si="3141"/>
        <v>0</v>
      </c>
      <c r="BA188" s="335">
        <v>2705</v>
      </c>
      <c r="BB188" s="336">
        <v>48</v>
      </c>
      <c r="BC188" s="337">
        <f t="shared" ref="BC188:BD188" si="3142">IF(ISBLANK(BE188),,BE188-BE187)</f>
        <v>54</v>
      </c>
      <c r="BD188" s="334">
        <f t="shared" si="3142"/>
        <v>1</v>
      </c>
      <c r="BE188" s="335">
        <v>20738</v>
      </c>
      <c r="BF188" s="339">
        <v>497</v>
      </c>
      <c r="BG188" s="316">
        <f t="shared" ref="BG188:BH188" si="3143">IF(ISBLANK(BI188),,BI188-BI187)</f>
        <v>15</v>
      </c>
      <c r="BH188" s="334">
        <f t="shared" si="3143"/>
        <v>1</v>
      </c>
      <c r="BI188" s="335">
        <v>1493</v>
      </c>
      <c r="BJ188" s="336">
        <v>52</v>
      </c>
      <c r="BK188" s="337">
        <f t="shared" ref="BK188:BL188" si="3144">IF(ISBLANK(BM188),,BM188-BM187)</f>
        <v>15</v>
      </c>
      <c r="BL188" s="334">
        <f t="shared" si="3144"/>
        <v>0</v>
      </c>
      <c r="BM188" s="335">
        <v>952</v>
      </c>
      <c r="BN188" s="339">
        <v>9</v>
      </c>
      <c r="BO188" s="316">
        <f t="shared" ref="BO188:BP188" si="3145">IF(ISBLANK(BQ188),,BQ188-BQ187)</f>
        <v>93</v>
      </c>
      <c r="BP188" s="334">
        <f t="shared" si="3145"/>
        <v>2</v>
      </c>
      <c r="BQ188" s="335">
        <v>5923</v>
      </c>
      <c r="BR188" s="336">
        <v>228</v>
      </c>
      <c r="BS188" s="316">
        <f t="shared" ref="BS188:BT188" si="3146">IF(ISBLANK(BU188),,BU188-BU187)</f>
        <v>2</v>
      </c>
      <c r="BT188" s="334">
        <f t="shared" si="3146"/>
        <v>1</v>
      </c>
      <c r="BU188" s="335">
        <v>1155</v>
      </c>
      <c r="BV188" s="336">
        <v>28</v>
      </c>
      <c r="BW188" s="233"/>
      <c r="BX188" s="233"/>
      <c r="BY188" s="233"/>
      <c r="BZ188" s="233"/>
      <c r="CA188" s="233"/>
      <c r="CB188" s="233"/>
      <c r="CC188" s="233"/>
      <c r="CD188" s="233"/>
      <c r="CE188" s="233"/>
    </row>
    <row r="189" spans="1:83" x14ac:dyDescent="0.25">
      <c r="A189" s="313">
        <v>44079</v>
      </c>
      <c r="B189" s="314">
        <f t="shared" si="1276"/>
        <v>186</v>
      </c>
      <c r="C189" s="315"/>
      <c r="D189" s="316">
        <v>567</v>
      </c>
      <c r="E189" s="317">
        <v>13</v>
      </c>
      <c r="F189" s="318">
        <v>52346</v>
      </c>
      <c r="G189" s="319"/>
      <c r="H189" s="330">
        <f t="shared" ref="H189:I189" si="3147">IF(ISBLANK(D189),,H188+D189)</f>
        <v>70387</v>
      </c>
      <c r="I189" s="331">
        <f t="shared" si="3147"/>
        <v>2113</v>
      </c>
      <c r="J189" s="332">
        <f t="shared" si="1"/>
        <v>2526</v>
      </c>
      <c r="K189" s="333">
        <f t="shared" ref="K189:L189" si="3148">IF(ISBLANK(M189),,M189-M188)</f>
        <v>23</v>
      </c>
      <c r="L189" s="334">
        <f t="shared" si="3148"/>
        <v>0</v>
      </c>
      <c r="M189" s="335">
        <v>4181</v>
      </c>
      <c r="N189" s="336">
        <v>173</v>
      </c>
      <c r="O189" s="337">
        <f t="shared" ref="O189:P189" si="3149">IF(ISBLANK(Q189),,Q189-Q188)</f>
        <v>13</v>
      </c>
      <c r="P189" s="338">
        <f t="shared" si="3149"/>
        <v>0</v>
      </c>
      <c r="Q189" s="335">
        <v>1441</v>
      </c>
      <c r="R189" s="339">
        <v>54</v>
      </c>
      <c r="S189" s="316">
        <f t="shared" ref="S189:T189" si="3150">IF(ISBLANK(U189),,U189-U188)</f>
        <v>15</v>
      </c>
      <c r="T189" s="334">
        <f t="shared" si="3150"/>
        <v>0</v>
      </c>
      <c r="U189" s="335">
        <v>1701</v>
      </c>
      <c r="V189" s="336">
        <v>25</v>
      </c>
      <c r="W189" s="337">
        <f t="shared" ref="W189:X189" si="3151">IF(ISBLANK(Y189),,Y189-Y188)</f>
        <v>14</v>
      </c>
      <c r="X189" s="334">
        <f t="shared" si="3151"/>
        <v>0</v>
      </c>
      <c r="Y189" s="335">
        <v>749</v>
      </c>
      <c r="Z189" s="340">
        <v>15</v>
      </c>
      <c r="AA189" s="316">
        <f t="shared" ref="AA189:AB189" si="3152">IF(ISBLANK(AC189),,AC189-AC188)</f>
        <v>31</v>
      </c>
      <c r="AB189" s="334">
        <f t="shared" si="3152"/>
        <v>1</v>
      </c>
      <c r="AC189" s="335">
        <v>5479</v>
      </c>
      <c r="AD189" s="336">
        <v>239</v>
      </c>
      <c r="AE189" s="337">
        <f t="shared" ref="AE189:AF189" si="3153">IF(ISBLANK(AG189),,AG189-AG188)</f>
        <v>120</v>
      </c>
      <c r="AF189" s="334">
        <f t="shared" si="3153"/>
        <v>7</v>
      </c>
      <c r="AG189" s="335">
        <v>8078</v>
      </c>
      <c r="AH189" s="339">
        <v>146</v>
      </c>
      <c r="AI189" s="316">
        <f t="shared" ref="AI189:AJ189" si="3154">IF(ISBLANK(AK189),,AK189-AK188)</f>
        <v>68</v>
      </c>
      <c r="AJ189" s="334">
        <f t="shared" si="3154"/>
        <v>0</v>
      </c>
      <c r="AK189" s="335">
        <v>9874</v>
      </c>
      <c r="AL189" s="336">
        <v>413</v>
      </c>
      <c r="AM189" s="337">
        <f t="shared" ref="AM189:AN189" si="3155">IF(ISBLANK(AO189),,AO189-AO188)</f>
        <v>9</v>
      </c>
      <c r="AN189" s="334">
        <f t="shared" si="3155"/>
        <v>1</v>
      </c>
      <c r="AO189" s="335">
        <v>1678</v>
      </c>
      <c r="AP189" s="339">
        <v>64</v>
      </c>
      <c r="AQ189" s="316">
        <f t="shared" ref="AQ189:AR189" si="3156">IF(ISBLANK(AS189),,AS189-AS188)</f>
        <v>58</v>
      </c>
      <c r="AR189" s="338">
        <f t="shared" si="3156"/>
        <v>2</v>
      </c>
      <c r="AS189" s="335">
        <v>2690</v>
      </c>
      <c r="AT189" s="336">
        <v>88</v>
      </c>
      <c r="AU189" s="337">
        <f t="shared" ref="AU189:AV189" si="3157">IF(ISBLANK(AW189),,AW189-AW188)</f>
        <v>11</v>
      </c>
      <c r="AV189" s="334">
        <f t="shared" si="3157"/>
        <v>0</v>
      </c>
      <c r="AW189" s="335">
        <v>1345</v>
      </c>
      <c r="AX189" s="339">
        <v>32</v>
      </c>
      <c r="AY189" s="316">
        <f t="shared" ref="AY189:AZ189" si="3158">IF(ISBLANK(BA189),,BA189-BA188)</f>
        <v>42</v>
      </c>
      <c r="AZ189" s="334">
        <f t="shared" si="3158"/>
        <v>1</v>
      </c>
      <c r="BA189" s="335">
        <v>2747</v>
      </c>
      <c r="BB189" s="336">
        <v>49</v>
      </c>
      <c r="BC189" s="337">
        <f t="shared" ref="BC189:BD189" si="3159">IF(ISBLANK(BE189),,BE189-BE188)</f>
        <v>48</v>
      </c>
      <c r="BD189" s="334">
        <f t="shared" si="3159"/>
        <v>0</v>
      </c>
      <c r="BE189" s="335">
        <v>20786</v>
      </c>
      <c r="BF189" s="339">
        <v>497</v>
      </c>
      <c r="BG189" s="316">
        <f t="shared" ref="BG189:BH189" si="3160">IF(ISBLANK(BI189),,BI189-BI188)</f>
        <v>26</v>
      </c>
      <c r="BH189" s="334">
        <f t="shared" si="3160"/>
        <v>0</v>
      </c>
      <c r="BI189" s="335">
        <v>1519</v>
      </c>
      <c r="BJ189" s="336">
        <v>52</v>
      </c>
      <c r="BK189" s="337">
        <f t="shared" ref="BK189:BL189" si="3161">IF(ISBLANK(BM189),,BM189-BM188)</f>
        <v>16</v>
      </c>
      <c r="BL189" s="334">
        <f t="shared" si="3161"/>
        <v>0</v>
      </c>
      <c r="BM189" s="335">
        <v>968</v>
      </c>
      <c r="BN189" s="339">
        <v>9</v>
      </c>
      <c r="BO189" s="316">
        <f t="shared" ref="BO189:BP189" si="3162">IF(ISBLANK(BQ189),,BQ189-BQ188)</f>
        <v>59</v>
      </c>
      <c r="BP189" s="334">
        <f t="shared" si="3162"/>
        <v>1</v>
      </c>
      <c r="BQ189" s="335">
        <v>5982</v>
      </c>
      <c r="BR189" s="336">
        <v>229</v>
      </c>
      <c r="BS189" s="316">
        <f t="shared" ref="BS189:BT189" si="3163">IF(ISBLANK(BU189),,BU189-BU188)</f>
        <v>14</v>
      </c>
      <c r="BT189" s="334">
        <f t="shared" si="3163"/>
        <v>0</v>
      </c>
      <c r="BU189" s="335">
        <v>1169</v>
      </c>
      <c r="BV189" s="336">
        <v>28</v>
      </c>
      <c r="BW189" s="233"/>
      <c r="BX189" s="233"/>
      <c r="BY189" s="233"/>
      <c r="BZ189" s="233"/>
      <c r="CA189" s="233"/>
      <c r="CB189" s="233"/>
      <c r="CC189" s="233"/>
      <c r="CD189" s="233"/>
      <c r="CE189" s="233"/>
    </row>
    <row r="190" spans="1:83" x14ac:dyDescent="0.25">
      <c r="A190" s="313">
        <v>44080</v>
      </c>
      <c r="B190" s="314">
        <f t="shared" si="1276"/>
        <v>187</v>
      </c>
      <c r="C190" s="315"/>
      <c r="D190" s="316">
        <v>437</v>
      </c>
      <c r="E190" s="317">
        <v>7</v>
      </c>
      <c r="F190" s="318">
        <v>54256</v>
      </c>
      <c r="G190" s="319"/>
      <c r="H190" s="330">
        <f t="shared" ref="H190:I190" si="3164">IF(ISBLANK(D190),,H189+D190)</f>
        <v>70824</v>
      </c>
      <c r="I190" s="331">
        <f t="shared" si="3164"/>
        <v>2120</v>
      </c>
      <c r="J190" s="332">
        <f t="shared" si="1"/>
        <v>1910</v>
      </c>
      <c r="K190" s="333">
        <f t="shared" ref="K190:L190" si="3165">IF(ISBLANK(M190),,M190-M189)</f>
        <v>8</v>
      </c>
      <c r="L190" s="334">
        <f t="shared" si="3165"/>
        <v>0</v>
      </c>
      <c r="M190" s="335">
        <v>4189</v>
      </c>
      <c r="N190" s="336">
        <v>173</v>
      </c>
      <c r="O190" s="337">
        <f t="shared" ref="O190:P190" si="3166">IF(ISBLANK(Q190),,Q190-Q189)</f>
        <v>19</v>
      </c>
      <c r="P190" s="338">
        <f t="shared" si="3166"/>
        <v>0</v>
      </c>
      <c r="Q190" s="335">
        <v>1460</v>
      </c>
      <c r="R190" s="339">
        <v>54</v>
      </c>
      <c r="S190" s="316">
        <f t="shared" ref="S190:T190" si="3167">IF(ISBLANK(U190),,U190-U189)</f>
        <v>13</v>
      </c>
      <c r="T190" s="334">
        <f t="shared" si="3167"/>
        <v>0</v>
      </c>
      <c r="U190" s="335">
        <v>1714</v>
      </c>
      <c r="V190" s="336">
        <v>25</v>
      </c>
      <c r="W190" s="337">
        <f t="shared" ref="W190:X190" si="3168">IF(ISBLANK(Y190),,Y190-Y189)</f>
        <v>2</v>
      </c>
      <c r="X190" s="334">
        <f t="shared" si="3168"/>
        <v>0</v>
      </c>
      <c r="Y190" s="335">
        <v>751</v>
      </c>
      <c r="Z190" s="340">
        <v>15</v>
      </c>
      <c r="AA190" s="316">
        <f t="shared" ref="AA190:AB190" si="3169">IF(ISBLANK(AC190),,AC190-AC189)</f>
        <v>20</v>
      </c>
      <c r="AB190" s="334">
        <f t="shared" si="3169"/>
        <v>0</v>
      </c>
      <c r="AC190" s="335">
        <v>5499</v>
      </c>
      <c r="AD190" s="336">
        <v>239</v>
      </c>
      <c r="AE190" s="337">
        <f t="shared" ref="AE190:AF190" si="3170">IF(ISBLANK(AG190),,AG190-AG189)</f>
        <v>90</v>
      </c>
      <c r="AF190" s="334">
        <f t="shared" si="3170"/>
        <v>0</v>
      </c>
      <c r="AG190" s="335">
        <v>8168</v>
      </c>
      <c r="AH190" s="339">
        <v>146</v>
      </c>
      <c r="AI190" s="316">
        <f t="shared" ref="AI190:AJ190" si="3171">IF(ISBLANK(AK190),,AK190-AK189)</f>
        <v>59</v>
      </c>
      <c r="AJ190" s="334">
        <f t="shared" si="3171"/>
        <v>1</v>
      </c>
      <c r="AK190" s="335">
        <v>9933</v>
      </c>
      <c r="AL190" s="336">
        <v>414</v>
      </c>
      <c r="AM190" s="337">
        <f t="shared" ref="AM190:AN190" si="3172">IF(ISBLANK(AO190),,AO190-AO189)</f>
        <v>36</v>
      </c>
      <c r="AN190" s="334">
        <f t="shared" si="3172"/>
        <v>0</v>
      </c>
      <c r="AO190" s="335">
        <v>1714</v>
      </c>
      <c r="AP190" s="339">
        <v>64</v>
      </c>
      <c r="AQ190" s="316">
        <f t="shared" ref="AQ190:AR190" si="3173">IF(ISBLANK(AS190),,AS190-AS189)</f>
        <v>33</v>
      </c>
      <c r="AR190" s="338">
        <f t="shared" si="3173"/>
        <v>1</v>
      </c>
      <c r="AS190" s="335">
        <v>2723</v>
      </c>
      <c r="AT190" s="336">
        <v>89</v>
      </c>
      <c r="AU190" s="337">
        <f t="shared" ref="AU190:AV190" si="3174">IF(ISBLANK(AW190),,AW190-AW189)</f>
        <v>14</v>
      </c>
      <c r="AV190" s="334">
        <f t="shared" si="3174"/>
        <v>0</v>
      </c>
      <c r="AW190" s="335">
        <v>1359</v>
      </c>
      <c r="AX190" s="339">
        <v>32</v>
      </c>
      <c r="AY190" s="316">
        <f t="shared" ref="AY190:AZ190" si="3175">IF(ISBLANK(BA190),,BA190-BA189)</f>
        <v>45</v>
      </c>
      <c r="AZ190" s="334">
        <f t="shared" si="3175"/>
        <v>0</v>
      </c>
      <c r="BA190" s="335">
        <v>2792</v>
      </c>
      <c r="BB190" s="336">
        <v>49</v>
      </c>
      <c r="BC190" s="337">
        <f t="shared" ref="BC190:BD190" si="3176">IF(ISBLANK(BE190),,BE190-BE189)</f>
        <v>35</v>
      </c>
      <c r="BD190" s="334">
        <f t="shared" si="3176"/>
        <v>4</v>
      </c>
      <c r="BE190" s="335">
        <v>20821</v>
      </c>
      <c r="BF190" s="339">
        <v>501</v>
      </c>
      <c r="BG190" s="316">
        <f t="shared" ref="BG190:BH190" si="3177">IF(ISBLANK(BI190),,BI190-BI189)</f>
        <v>15</v>
      </c>
      <c r="BH190" s="334">
        <f t="shared" si="3177"/>
        <v>0</v>
      </c>
      <c r="BI190" s="335">
        <v>1534</v>
      </c>
      <c r="BJ190" s="336">
        <v>52</v>
      </c>
      <c r="BK190" s="337">
        <f t="shared" ref="BK190:BL190" si="3178">IF(ISBLANK(BM190),,BM190-BM189)</f>
        <v>9</v>
      </c>
      <c r="BL190" s="334">
        <f t="shared" si="3178"/>
        <v>0</v>
      </c>
      <c r="BM190" s="335">
        <v>977</v>
      </c>
      <c r="BN190" s="339">
        <v>9</v>
      </c>
      <c r="BO190" s="316">
        <f t="shared" ref="BO190:BP190" si="3179">IF(ISBLANK(BQ190),,BQ190-BQ189)</f>
        <v>35</v>
      </c>
      <c r="BP190" s="334">
        <f t="shared" si="3179"/>
        <v>1</v>
      </c>
      <c r="BQ190" s="335">
        <v>6017</v>
      </c>
      <c r="BR190" s="336">
        <v>230</v>
      </c>
      <c r="BS190" s="316">
        <f t="shared" ref="BS190:BT190" si="3180">IF(ISBLANK(BU190),,BU190-BU189)</f>
        <v>4</v>
      </c>
      <c r="BT190" s="334">
        <f t="shared" si="3180"/>
        <v>0</v>
      </c>
      <c r="BU190" s="335">
        <v>1173</v>
      </c>
      <c r="BV190" s="336">
        <v>28</v>
      </c>
      <c r="BW190" s="233"/>
      <c r="BX190" s="233"/>
      <c r="BY190" s="233"/>
      <c r="BZ190" s="233"/>
      <c r="CA190" s="233"/>
      <c r="CB190" s="233"/>
      <c r="CC190" s="233"/>
      <c r="CD190" s="233"/>
      <c r="CE190" s="233"/>
    </row>
    <row r="191" spans="1:83" x14ac:dyDescent="0.25">
      <c r="A191" s="313">
        <v>44081</v>
      </c>
      <c r="B191" s="314">
        <f t="shared" si="1276"/>
        <v>188</v>
      </c>
      <c r="C191" s="315"/>
      <c r="D191" s="316">
        <v>302</v>
      </c>
      <c r="E191" s="317">
        <v>3</v>
      </c>
      <c r="F191" s="318">
        <v>55113</v>
      </c>
      <c r="G191" s="319"/>
      <c r="H191" s="330">
        <f t="shared" ref="H191:I191" si="3181">IF(ISBLANK(D191),,H190+D191)</f>
        <v>71126</v>
      </c>
      <c r="I191" s="331">
        <f t="shared" si="3181"/>
        <v>2123</v>
      </c>
      <c r="J191" s="332">
        <f t="shared" si="1"/>
        <v>857</v>
      </c>
      <c r="K191" s="333">
        <f t="shared" ref="K191:L191" si="3182">IF(ISBLANK(M191),,M191-M190)</f>
        <v>6</v>
      </c>
      <c r="L191" s="334">
        <f t="shared" si="3182"/>
        <v>0</v>
      </c>
      <c r="M191" s="335">
        <v>4195</v>
      </c>
      <c r="N191" s="336">
        <v>173</v>
      </c>
      <c r="O191" s="337">
        <f t="shared" ref="O191:P191" si="3183">IF(ISBLANK(Q191),,Q191-Q190)</f>
        <v>15</v>
      </c>
      <c r="P191" s="338">
        <f t="shared" si="3183"/>
        <v>0</v>
      </c>
      <c r="Q191" s="335">
        <v>1475</v>
      </c>
      <c r="R191" s="339">
        <v>54</v>
      </c>
      <c r="S191" s="316">
        <f t="shared" ref="S191:T191" si="3184">IF(ISBLANK(U191),,U191-U190)</f>
        <v>13</v>
      </c>
      <c r="T191" s="334">
        <f t="shared" si="3184"/>
        <v>1</v>
      </c>
      <c r="U191" s="335">
        <v>1727</v>
      </c>
      <c r="V191" s="336">
        <v>26</v>
      </c>
      <c r="W191" s="337">
        <f t="shared" ref="W191:X191" si="3185">IF(ISBLANK(Y191),,Y191-Y190)</f>
        <v>1</v>
      </c>
      <c r="X191" s="334">
        <f t="shared" si="3185"/>
        <v>0</v>
      </c>
      <c r="Y191" s="335">
        <v>752</v>
      </c>
      <c r="Z191" s="340">
        <v>15</v>
      </c>
      <c r="AA191" s="316">
        <f t="shared" ref="AA191:AB191" si="3186">IF(ISBLANK(AC191),,AC191-AC190)</f>
        <v>8</v>
      </c>
      <c r="AB191" s="334">
        <f t="shared" si="3186"/>
        <v>1</v>
      </c>
      <c r="AC191" s="335">
        <v>5507</v>
      </c>
      <c r="AD191" s="336">
        <v>240</v>
      </c>
      <c r="AE191" s="337">
        <f t="shared" ref="AE191:AF191" si="3187">IF(ISBLANK(AG191),,AG191-AG190)</f>
        <v>88</v>
      </c>
      <c r="AF191" s="334">
        <f t="shared" si="3187"/>
        <v>0</v>
      </c>
      <c r="AG191" s="335">
        <v>8256</v>
      </c>
      <c r="AH191" s="339">
        <v>146</v>
      </c>
      <c r="AI191" s="316">
        <f t="shared" ref="AI191:AJ191" si="3188">IF(ISBLANK(AK191),,AK191-AK190)</f>
        <v>25</v>
      </c>
      <c r="AJ191" s="334">
        <f t="shared" si="3188"/>
        <v>0</v>
      </c>
      <c r="AK191" s="335">
        <v>9958</v>
      </c>
      <c r="AL191" s="336">
        <v>414</v>
      </c>
      <c r="AM191" s="337">
        <f t="shared" ref="AM191:AN191" si="3189">IF(ISBLANK(AO191),,AO191-AO190)</f>
        <v>5</v>
      </c>
      <c r="AN191" s="334">
        <f t="shared" si="3189"/>
        <v>0</v>
      </c>
      <c r="AO191" s="335">
        <v>1719</v>
      </c>
      <c r="AP191" s="339">
        <v>64</v>
      </c>
      <c r="AQ191" s="316">
        <f t="shared" ref="AQ191:AR191" si="3190">IF(ISBLANK(AS191),,AS191-AS190)</f>
        <v>23</v>
      </c>
      <c r="AR191" s="338">
        <f t="shared" si="3190"/>
        <v>1</v>
      </c>
      <c r="AS191" s="335">
        <v>2746</v>
      </c>
      <c r="AT191" s="336">
        <v>90</v>
      </c>
      <c r="AU191" s="337">
        <f t="shared" ref="AU191:AV191" si="3191">IF(ISBLANK(AW191),,AW191-AW190)</f>
        <v>19</v>
      </c>
      <c r="AV191" s="334">
        <f t="shared" si="3191"/>
        <v>0</v>
      </c>
      <c r="AW191" s="335">
        <v>1378</v>
      </c>
      <c r="AX191" s="339">
        <v>32</v>
      </c>
      <c r="AY191" s="316">
        <f t="shared" ref="AY191:AZ191" si="3192">IF(ISBLANK(BA191),,BA191-BA190)</f>
        <v>20</v>
      </c>
      <c r="AZ191" s="334">
        <f t="shared" si="3192"/>
        <v>0</v>
      </c>
      <c r="BA191" s="335">
        <v>2812</v>
      </c>
      <c r="BB191" s="336">
        <v>49</v>
      </c>
      <c r="BC191" s="337">
        <f t="shared" ref="BC191:BD191" si="3193">IF(ISBLANK(BE191),,BE191-BE190)</f>
        <v>31</v>
      </c>
      <c r="BD191" s="334">
        <f t="shared" si="3193"/>
        <v>0</v>
      </c>
      <c r="BE191" s="335">
        <v>20852</v>
      </c>
      <c r="BF191" s="339">
        <v>501</v>
      </c>
      <c r="BG191" s="316">
        <f t="shared" ref="BG191:BH191" si="3194">IF(ISBLANK(BI191),,BI191-BI190)</f>
        <v>9</v>
      </c>
      <c r="BH191" s="334">
        <f t="shared" si="3194"/>
        <v>0</v>
      </c>
      <c r="BI191" s="335">
        <v>1543</v>
      </c>
      <c r="BJ191" s="336">
        <v>52</v>
      </c>
      <c r="BK191" s="337">
        <f t="shared" ref="BK191:BL191" si="3195">IF(ISBLANK(BM191),,BM191-BM190)</f>
        <v>15</v>
      </c>
      <c r="BL191" s="334">
        <f t="shared" si="3195"/>
        <v>0</v>
      </c>
      <c r="BM191" s="335">
        <v>992</v>
      </c>
      <c r="BN191" s="339">
        <v>9</v>
      </c>
      <c r="BO191" s="316">
        <f t="shared" ref="BO191:BP191" si="3196">IF(ISBLANK(BQ191),,BQ191-BQ190)</f>
        <v>21</v>
      </c>
      <c r="BP191" s="334">
        <f t="shared" si="3196"/>
        <v>0</v>
      </c>
      <c r="BQ191" s="335">
        <v>6038</v>
      </c>
      <c r="BR191" s="336">
        <v>230</v>
      </c>
      <c r="BS191" s="316">
        <f t="shared" ref="BS191:BT191" si="3197">IF(ISBLANK(BU191),,BU191-BU190)</f>
        <v>3</v>
      </c>
      <c r="BT191" s="334">
        <f t="shared" si="3197"/>
        <v>0</v>
      </c>
      <c r="BU191" s="335">
        <v>1176</v>
      </c>
      <c r="BV191" s="336">
        <v>28</v>
      </c>
      <c r="BW191" s="233"/>
      <c r="BX191" s="233"/>
      <c r="BY191" s="233"/>
      <c r="BZ191" s="233"/>
      <c r="CA191" s="233"/>
      <c r="CB191" s="233"/>
      <c r="CC191" s="233"/>
      <c r="CD191" s="233"/>
      <c r="CE191" s="233"/>
    </row>
    <row r="192" spans="1:83" x14ac:dyDescent="0.25">
      <c r="A192" s="313">
        <v>44082</v>
      </c>
      <c r="B192" s="314">
        <f t="shared" si="1276"/>
        <v>189</v>
      </c>
      <c r="C192" s="315"/>
      <c r="D192" s="316">
        <v>400</v>
      </c>
      <c r="E192" s="317">
        <v>12</v>
      </c>
      <c r="F192" s="318">
        <v>55910</v>
      </c>
      <c r="G192" s="319"/>
      <c r="H192" s="330">
        <f t="shared" ref="H192:I192" si="3198">IF(ISBLANK(D192),,H191+D192)</f>
        <v>71526</v>
      </c>
      <c r="I192" s="331">
        <f t="shared" si="3198"/>
        <v>2135</v>
      </c>
      <c r="J192" s="332">
        <f t="shared" si="1"/>
        <v>797</v>
      </c>
      <c r="K192" s="333">
        <f t="shared" ref="K192:L192" si="3199">IF(ISBLANK(M192),,M192-M191)</f>
        <v>49</v>
      </c>
      <c r="L192" s="334">
        <f t="shared" si="3199"/>
        <v>0</v>
      </c>
      <c r="M192" s="335">
        <v>4244</v>
      </c>
      <c r="N192" s="336">
        <v>173</v>
      </c>
      <c r="O192" s="337">
        <f t="shared" ref="O192:P192" si="3200">IF(ISBLANK(Q192),,Q192-Q191)</f>
        <v>8</v>
      </c>
      <c r="P192" s="338">
        <f t="shared" si="3200"/>
        <v>0</v>
      </c>
      <c r="Q192" s="335">
        <v>1483</v>
      </c>
      <c r="R192" s="339">
        <v>54</v>
      </c>
      <c r="S192" s="316">
        <f t="shared" ref="S192:T192" si="3201">IF(ISBLANK(U192),,U192-U191)</f>
        <v>6</v>
      </c>
      <c r="T192" s="334">
        <f t="shared" si="3201"/>
        <v>0</v>
      </c>
      <c r="U192" s="335">
        <v>1733</v>
      </c>
      <c r="V192" s="336">
        <v>26</v>
      </c>
      <c r="W192" s="337">
        <f t="shared" ref="W192:X192" si="3202">IF(ISBLANK(Y192),,Y192-Y191)</f>
        <v>4</v>
      </c>
      <c r="X192" s="334">
        <f t="shared" si="3202"/>
        <v>0</v>
      </c>
      <c r="Y192" s="335">
        <v>756</v>
      </c>
      <c r="Z192" s="340">
        <v>15</v>
      </c>
      <c r="AA192" s="316">
        <f t="shared" ref="AA192:AB192" si="3203">IF(ISBLANK(AC192),,AC192-AC191)</f>
        <v>12</v>
      </c>
      <c r="AB192" s="334">
        <f t="shared" si="3203"/>
        <v>1</v>
      </c>
      <c r="AC192" s="335">
        <v>5519</v>
      </c>
      <c r="AD192" s="336">
        <v>241</v>
      </c>
      <c r="AE192" s="337">
        <f t="shared" ref="AE192:AF192" si="3204">IF(ISBLANK(AG192),,AG192-AG191)</f>
        <v>97</v>
      </c>
      <c r="AF192" s="334">
        <f t="shared" si="3204"/>
        <v>3</v>
      </c>
      <c r="AG192" s="335">
        <v>8353</v>
      </c>
      <c r="AH192" s="339">
        <v>149</v>
      </c>
      <c r="AI192" s="316">
        <f t="shared" ref="AI192:AJ192" si="3205">IF(ISBLANK(AK192),,AK192-AK191)</f>
        <v>52</v>
      </c>
      <c r="AJ192" s="334">
        <f t="shared" si="3205"/>
        <v>4</v>
      </c>
      <c r="AK192" s="335">
        <v>10010</v>
      </c>
      <c r="AL192" s="336">
        <v>418</v>
      </c>
      <c r="AM192" s="337">
        <f t="shared" ref="AM192:AN192" si="3206">IF(ISBLANK(AO192),,AO192-AO191)</f>
        <v>7</v>
      </c>
      <c r="AN192" s="334">
        <f t="shared" si="3206"/>
        <v>0</v>
      </c>
      <c r="AO192" s="335">
        <v>1726</v>
      </c>
      <c r="AP192" s="339">
        <v>64</v>
      </c>
      <c r="AQ192" s="316">
        <f t="shared" ref="AQ192:AR192" si="3207">IF(ISBLANK(AS192),,AS192-AS191)</f>
        <v>16</v>
      </c>
      <c r="AR192" s="338">
        <f t="shared" si="3207"/>
        <v>2</v>
      </c>
      <c r="AS192" s="335">
        <v>2762</v>
      </c>
      <c r="AT192" s="336">
        <v>92</v>
      </c>
      <c r="AU192" s="337">
        <f t="shared" ref="AU192:AV192" si="3208">IF(ISBLANK(AW192),,AW192-AW191)</f>
        <v>9</v>
      </c>
      <c r="AV192" s="334">
        <f t="shared" si="3208"/>
        <v>0</v>
      </c>
      <c r="AW192" s="335">
        <v>1387</v>
      </c>
      <c r="AX192" s="339">
        <v>32</v>
      </c>
      <c r="AY192" s="316">
        <f t="shared" ref="AY192:AZ192" si="3209">IF(ISBLANK(BA192),,BA192-BA191)</f>
        <v>26</v>
      </c>
      <c r="AZ192" s="334">
        <f t="shared" si="3209"/>
        <v>0</v>
      </c>
      <c r="BA192" s="335">
        <v>2838</v>
      </c>
      <c r="BB192" s="336">
        <v>49</v>
      </c>
      <c r="BC192" s="337">
        <f t="shared" ref="BC192:BD192" si="3210">IF(ISBLANK(BE192),,BE192-BE191)</f>
        <v>52</v>
      </c>
      <c r="BD192" s="334">
        <f t="shared" si="3210"/>
        <v>2</v>
      </c>
      <c r="BE192" s="335">
        <v>20904</v>
      </c>
      <c r="BF192" s="339">
        <v>503</v>
      </c>
      <c r="BG192" s="316">
        <f t="shared" ref="BG192:BH192" si="3211">IF(ISBLANK(BI192),,BI192-BI191)</f>
        <v>11</v>
      </c>
      <c r="BH192" s="334">
        <f t="shared" si="3211"/>
        <v>0</v>
      </c>
      <c r="BI192" s="335">
        <v>1554</v>
      </c>
      <c r="BJ192" s="336">
        <v>52</v>
      </c>
      <c r="BK192" s="337">
        <f t="shared" ref="BK192:BL192" si="3212">IF(ISBLANK(BM192),,BM192-BM191)</f>
        <v>4</v>
      </c>
      <c r="BL192" s="334">
        <f t="shared" si="3212"/>
        <v>0</v>
      </c>
      <c r="BM192" s="335">
        <v>996</v>
      </c>
      <c r="BN192" s="339">
        <v>9</v>
      </c>
      <c r="BO192" s="316">
        <f t="shared" ref="BO192:BP192" si="3213">IF(ISBLANK(BQ192),,BQ192-BQ191)</f>
        <v>31</v>
      </c>
      <c r="BP192" s="334">
        <f t="shared" si="3213"/>
        <v>0</v>
      </c>
      <c r="BQ192" s="335">
        <v>6069</v>
      </c>
      <c r="BR192" s="336">
        <v>230</v>
      </c>
      <c r="BS192" s="316">
        <f t="shared" ref="BS192:BT192" si="3214">IF(ISBLANK(BU192),,BU192-BU191)</f>
        <v>16</v>
      </c>
      <c r="BT192" s="334">
        <f t="shared" si="3214"/>
        <v>0</v>
      </c>
      <c r="BU192" s="335">
        <v>1192</v>
      </c>
      <c r="BV192" s="336">
        <v>28</v>
      </c>
      <c r="BW192" s="233"/>
      <c r="BX192" s="233"/>
      <c r="BY192" s="233"/>
      <c r="BZ192" s="233"/>
      <c r="CA192" s="233"/>
      <c r="CB192" s="233"/>
      <c r="CC192" s="233"/>
      <c r="CD192" s="233"/>
      <c r="CE192" s="233"/>
    </row>
    <row r="193" spans="1:83" x14ac:dyDescent="0.25">
      <c r="A193" s="313">
        <v>44083</v>
      </c>
      <c r="B193" s="314">
        <f t="shared" si="1276"/>
        <v>190</v>
      </c>
      <c r="C193" s="315"/>
      <c r="D193" s="316">
        <v>421</v>
      </c>
      <c r="E193" s="317">
        <v>11</v>
      </c>
      <c r="F193" s="318">
        <v>57135</v>
      </c>
      <c r="G193" s="319"/>
      <c r="H193" s="330">
        <f t="shared" ref="H193:I193" si="3215">IF(ISBLANK(D193),,H192+D193)</f>
        <v>71947</v>
      </c>
      <c r="I193" s="331">
        <f t="shared" si="3215"/>
        <v>2146</v>
      </c>
      <c r="J193" s="332">
        <f t="shared" si="1"/>
        <v>1225</v>
      </c>
      <c r="K193" s="333">
        <f t="shared" ref="K193:L193" si="3216">IF(ISBLANK(M193),,M193-M192)</f>
        <v>34</v>
      </c>
      <c r="L193" s="334">
        <f t="shared" si="3216"/>
        <v>0</v>
      </c>
      <c r="M193" s="335">
        <v>4278</v>
      </c>
      <c r="N193" s="336">
        <v>173</v>
      </c>
      <c r="O193" s="337">
        <f t="shared" ref="O193:P193" si="3217">IF(ISBLANK(Q193),,Q193-Q192)</f>
        <v>14</v>
      </c>
      <c r="P193" s="338">
        <f t="shared" si="3217"/>
        <v>0</v>
      </c>
      <c r="Q193" s="335">
        <v>1497</v>
      </c>
      <c r="R193" s="339">
        <v>54</v>
      </c>
      <c r="S193" s="316">
        <f t="shared" ref="S193:T193" si="3218">IF(ISBLANK(U193),,U193-U192)</f>
        <v>19</v>
      </c>
      <c r="T193" s="334">
        <f t="shared" si="3218"/>
        <v>1</v>
      </c>
      <c r="U193" s="335">
        <v>1752</v>
      </c>
      <c r="V193" s="336">
        <v>27</v>
      </c>
      <c r="W193" s="337">
        <f t="shared" ref="W193:X193" si="3219">IF(ISBLANK(Y193),,Y193-Y192)</f>
        <v>6</v>
      </c>
      <c r="X193" s="334">
        <f t="shared" si="3219"/>
        <v>1</v>
      </c>
      <c r="Y193" s="335">
        <v>762</v>
      </c>
      <c r="Z193" s="340">
        <v>16</v>
      </c>
      <c r="AA193" s="316">
        <f t="shared" ref="AA193:AB193" si="3220">IF(ISBLANK(AC193),,AC193-AC192)</f>
        <v>12</v>
      </c>
      <c r="AB193" s="334">
        <f t="shared" si="3220"/>
        <v>0</v>
      </c>
      <c r="AC193" s="335">
        <v>5531</v>
      </c>
      <c r="AD193" s="336">
        <v>241</v>
      </c>
      <c r="AE193" s="337">
        <f t="shared" ref="AE193:AF193" si="3221">IF(ISBLANK(AG193),,AG193-AG192)</f>
        <v>67</v>
      </c>
      <c r="AF193" s="334">
        <f t="shared" si="3221"/>
        <v>1</v>
      </c>
      <c r="AG193" s="335">
        <v>8420</v>
      </c>
      <c r="AH193" s="339">
        <v>150</v>
      </c>
      <c r="AI193" s="316">
        <f t="shared" ref="AI193:AJ193" si="3222">IF(ISBLANK(AK193),,AK193-AK192)</f>
        <v>61</v>
      </c>
      <c r="AJ193" s="334">
        <f t="shared" si="3222"/>
        <v>1</v>
      </c>
      <c r="AK193" s="335">
        <v>10071</v>
      </c>
      <c r="AL193" s="336">
        <v>419</v>
      </c>
      <c r="AM193" s="337">
        <f t="shared" ref="AM193:AN193" si="3223">IF(ISBLANK(AO193),,AO193-AO192)</f>
        <v>12</v>
      </c>
      <c r="AN193" s="334">
        <f t="shared" si="3223"/>
        <v>0</v>
      </c>
      <c r="AO193" s="335">
        <v>1738</v>
      </c>
      <c r="AP193" s="339">
        <v>64</v>
      </c>
      <c r="AQ193" s="316">
        <f t="shared" ref="AQ193:AR193" si="3224">IF(ISBLANK(AS193),,AS193-AS192)</f>
        <v>22</v>
      </c>
      <c r="AR193" s="338">
        <f t="shared" si="3224"/>
        <v>1</v>
      </c>
      <c r="AS193" s="335">
        <v>2784</v>
      </c>
      <c r="AT193" s="336">
        <v>93</v>
      </c>
      <c r="AU193" s="337">
        <f t="shared" ref="AU193:AV193" si="3225">IF(ISBLANK(AW193),,AW193-AW192)</f>
        <v>5</v>
      </c>
      <c r="AV193" s="334">
        <f t="shared" si="3225"/>
        <v>0</v>
      </c>
      <c r="AW193" s="335">
        <v>1392</v>
      </c>
      <c r="AX193" s="339">
        <v>32</v>
      </c>
      <c r="AY193" s="316">
        <f t="shared" ref="AY193:AZ193" si="3226">IF(ISBLANK(BA193),,BA193-BA192)</f>
        <v>38</v>
      </c>
      <c r="AZ193" s="334">
        <f t="shared" si="3226"/>
        <v>1</v>
      </c>
      <c r="BA193" s="335">
        <v>2876</v>
      </c>
      <c r="BB193" s="336">
        <v>50</v>
      </c>
      <c r="BC193" s="337">
        <f t="shared" ref="BC193:BD193" si="3227">IF(ISBLANK(BE193),,BE193-BE192)</f>
        <v>57</v>
      </c>
      <c r="BD193" s="334">
        <f t="shared" si="3227"/>
        <v>3</v>
      </c>
      <c r="BE193" s="335">
        <v>20961</v>
      </c>
      <c r="BF193" s="339">
        <v>506</v>
      </c>
      <c r="BG193" s="316">
        <f t="shared" ref="BG193:BH193" si="3228">IF(ISBLANK(BI193),,BI193-BI192)</f>
        <v>17</v>
      </c>
      <c r="BH193" s="334">
        <f t="shared" si="3228"/>
        <v>1</v>
      </c>
      <c r="BI193" s="335">
        <v>1571</v>
      </c>
      <c r="BJ193" s="336">
        <v>53</v>
      </c>
      <c r="BK193" s="337">
        <f t="shared" ref="BK193:BL193" si="3229">IF(ISBLANK(BM193),,BM193-BM192)</f>
        <v>18</v>
      </c>
      <c r="BL193" s="334">
        <f t="shared" si="3229"/>
        <v>0</v>
      </c>
      <c r="BM193" s="335">
        <v>1014</v>
      </c>
      <c r="BN193" s="339">
        <v>9</v>
      </c>
      <c r="BO193" s="316">
        <f t="shared" ref="BO193:BP193" si="3230">IF(ISBLANK(BQ193),,BQ193-BQ192)</f>
        <v>28</v>
      </c>
      <c r="BP193" s="334">
        <f t="shared" si="3230"/>
        <v>1</v>
      </c>
      <c r="BQ193" s="335">
        <v>6097</v>
      </c>
      <c r="BR193" s="336">
        <v>231</v>
      </c>
      <c r="BS193" s="316">
        <f t="shared" ref="BS193:BT193" si="3231">IF(ISBLANK(BU193),,BU193-BU192)</f>
        <v>11</v>
      </c>
      <c r="BT193" s="334">
        <f t="shared" si="3231"/>
        <v>0</v>
      </c>
      <c r="BU193" s="335">
        <v>1203</v>
      </c>
      <c r="BV193" s="336">
        <v>28</v>
      </c>
      <c r="BW193" s="233"/>
      <c r="BX193" s="233"/>
      <c r="BY193" s="233"/>
      <c r="BZ193" s="233"/>
      <c r="CA193" s="233"/>
      <c r="CB193" s="233"/>
      <c r="CC193" s="233"/>
      <c r="CD193" s="233"/>
      <c r="CE193" s="233"/>
    </row>
    <row r="194" spans="1:83" x14ac:dyDescent="0.25">
      <c r="A194" s="313">
        <v>44084</v>
      </c>
      <c r="B194" s="314">
        <f t="shared" si="1276"/>
        <v>191</v>
      </c>
      <c r="C194" s="315"/>
      <c r="D194" s="316">
        <v>506</v>
      </c>
      <c r="E194" s="317">
        <v>12</v>
      </c>
      <c r="F194" s="318">
        <v>58069</v>
      </c>
      <c r="G194" s="319"/>
      <c r="H194" s="330">
        <f t="shared" ref="H194:I194" si="3232">IF(ISBLANK(D194),,H193+D194)</f>
        <v>72453</v>
      </c>
      <c r="I194" s="331">
        <f t="shared" si="3232"/>
        <v>2158</v>
      </c>
      <c r="J194" s="332">
        <f t="shared" si="1"/>
        <v>934</v>
      </c>
      <c r="K194" s="333">
        <f t="shared" ref="K194:L194" si="3233">IF(ISBLANK(M194),,M194-M193)</f>
        <v>20</v>
      </c>
      <c r="L194" s="334">
        <f t="shared" si="3233"/>
        <v>1</v>
      </c>
      <c r="M194" s="335">
        <v>4298</v>
      </c>
      <c r="N194" s="336">
        <v>174</v>
      </c>
      <c r="O194" s="337">
        <f t="shared" ref="O194:P194" si="3234">IF(ISBLANK(Q194),,Q194-Q193)</f>
        <v>20</v>
      </c>
      <c r="P194" s="338">
        <f t="shared" si="3234"/>
        <v>0</v>
      </c>
      <c r="Q194" s="335">
        <v>1517</v>
      </c>
      <c r="R194" s="339">
        <v>54</v>
      </c>
      <c r="S194" s="316">
        <f t="shared" ref="S194:T194" si="3235">IF(ISBLANK(U194),,U194-U193)</f>
        <v>21</v>
      </c>
      <c r="T194" s="334">
        <f t="shared" si="3235"/>
        <v>1</v>
      </c>
      <c r="U194" s="335">
        <v>1773</v>
      </c>
      <c r="V194" s="336">
        <v>28</v>
      </c>
      <c r="W194" s="337">
        <f t="shared" ref="W194:X194" si="3236">IF(ISBLANK(Y194),,Y194-Y193)</f>
        <v>6</v>
      </c>
      <c r="X194" s="334">
        <f t="shared" si="3236"/>
        <v>0</v>
      </c>
      <c r="Y194" s="335">
        <v>768</v>
      </c>
      <c r="Z194" s="340">
        <v>16</v>
      </c>
      <c r="AA194" s="316">
        <f t="shared" ref="AA194:AB194" si="3237">IF(ISBLANK(AC194),,AC194-AC193)</f>
        <v>13</v>
      </c>
      <c r="AB194" s="334">
        <f t="shared" si="3237"/>
        <v>2</v>
      </c>
      <c r="AC194" s="335">
        <v>5544</v>
      </c>
      <c r="AD194" s="336">
        <v>243</v>
      </c>
      <c r="AE194" s="337">
        <f t="shared" ref="AE194:AF194" si="3238">IF(ISBLANK(AG194),,AG194-AG193)</f>
        <v>99</v>
      </c>
      <c r="AF194" s="334">
        <f t="shared" si="3238"/>
        <v>0</v>
      </c>
      <c r="AG194" s="335">
        <v>8519</v>
      </c>
      <c r="AH194" s="339">
        <v>150</v>
      </c>
      <c r="AI194" s="316">
        <f t="shared" ref="AI194:AJ194" si="3239">IF(ISBLANK(AK194),,AK194-AK193)</f>
        <v>68</v>
      </c>
      <c r="AJ194" s="334">
        <f t="shared" si="3239"/>
        <v>1</v>
      </c>
      <c r="AK194" s="335">
        <v>10139</v>
      </c>
      <c r="AL194" s="336">
        <v>420</v>
      </c>
      <c r="AM194" s="337">
        <f t="shared" ref="AM194:AN194" si="3240">IF(ISBLANK(AO194),,AO194-AO193)</f>
        <v>24</v>
      </c>
      <c r="AN194" s="334">
        <f t="shared" si="3240"/>
        <v>0</v>
      </c>
      <c r="AO194" s="335">
        <v>1762</v>
      </c>
      <c r="AP194" s="339">
        <v>64</v>
      </c>
      <c r="AQ194" s="316">
        <f t="shared" ref="AQ194:AR194" si="3241">IF(ISBLANK(AS194),,AS194-AS193)</f>
        <v>17</v>
      </c>
      <c r="AR194" s="338">
        <f t="shared" si="3241"/>
        <v>0</v>
      </c>
      <c r="AS194" s="335">
        <v>2801</v>
      </c>
      <c r="AT194" s="336">
        <v>93</v>
      </c>
      <c r="AU194" s="337">
        <f t="shared" ref="AU194:AV194" si="3242">IF(ISBLANK(AW194),,AW194-AW193)</f>
        <v>16</v>
      </c>
      <c r="AV194" s="334">
        <f t="shared" si="3242"/>
        <v>1</v>
      </c>
      <c r="AW194" s="335">
        <v>1408</v>
      </c>
      <c r="AX194" s="339">
        <v>33</v>
      </c>
      <c r="AY194" s="316">
        <f t="shared" ref="AY194:AZ194" si="3243">IF(ISBLANK(BA194),,BA194-BA193)</f>
        <v>32</v>
      </c>
      <c r="AZ194" s="334">
        <f t="shared" si="3243"/>
        <v>0</v>
      </c>
      <c r="BA194" s="335">
        <v>2908</v>
      </c>
      <c r="BB194" s="336">
        <v>50</v>
      </c>
      <c r="BC194" s="337">
        <f t="shared" ref="BC194:BD194" si="3244">IF(ISBLANK(BE194),,BE194-BE193)</f>
        <v>51</v>
      </c>
      <c r="BD194" s="334">
        <f t="shared" si="3244"/>
        <v>1</v>
      </c>
      <c r="BE194" s="335">
        <v>21012</v>
      </c>
      <c r="BF194" s="339">
        <v>507</v>
      </c>
      <c r="BG194" s="316">
        <f t="shared" ref="BG194:BH194" si="3245">IF(ISBLANK(BI194),,BI194-BI193)</f>
        <v>18</v>
      </c>
      <c r="BH194" s="334">
        <f t="shared" si="3245"/>
        <v>0</v>
      </c>
      <c r="BI194" s="335">
        <v>1589</v>
      </c>
      <c r="BJ194" s="336">
        <v>53</v>
      </c>
      <c r="BK194" s="337">
        <f t="shared" ref="BK194:BL194" si="3246">IF(ISBLANK(BM194),,BM194-BM193)</f>
        <v>13</v>
      </c>
      <c r="BL194" s="334">
        <f t="shared" si="3246"/>
        <v>0</v>
      </c>
      <c r="BM194" s="335">
        <v>1027</v>
      </c>
      <c r="BN194" s="339">
        <v>9</v>
      </c>
      <c r="BO194" s="316">
        <f t="shared" ref="BO194:BP194" si="3247">IF(ISBLANK(BQ194),,BQ194-BQ193)</f>
        <v>76</v>
      </c>
      <c r="BP194" s="334">
        <f t="shared" si="3247"/>
        <v>5</v>
      </c>
      <c r="BQ194" s="335">
        <v>6173</v>
      </c>
      <c r="BR194" s="336">
        <v>236</v>
      </c>
      <c r="BS194" s="316">
        <f t="shared" ref="BS194:BT194" si="3248">IF(ISBLANK(BU194),,BU194-BU193)</f>
        <v>12</v>
      </c>
      <c r="BT194" s="334">
        <f t="shared" si="3248"/>
        <v>0</v>
      </c>
      <c r="BU194" s="335">
        <v>1215</v>
      </c>
      <c r="BV194" s="336">
        <v>28</v>
      </c>
      <c r="BW194" s="233"/>
      <c r="BX194" s="233"/>
      <c r="BY194" s="233"/>
      <c r="BZ194" s="233"/>
      <c r="CA194" s="233"/>
      <c r="CB194" s="233"/>
      <c r="CC194" s="233"/>
      <c r="CD194" s="233"/>
      <c r="CE194" s="233"/>
    </row>
    <row r="195" spans="1:83" x14ac:dyDescent="0.25">
      <c r="A195" s="313">
        <v>44085</v>
      </c>
      <c r="B195" s="314">
        <f t="shared" si="1276"/>
        <v>192</v>
      </c>
      <c r="C195" s="315"/>
      <c r="D195" s="316">
        <v>594</v>
      </c>
      <c r="E195" s="317">
        <v>10</v>
      </c>
      <c r="F195" s="318">
        <v>58848</v>
      </c>
      <c r="G195" s="319"/>
      <c r="H195" s="330">
        <f t="shared" ref="H195:I195" si="3249">IF(ISBLANK(D195),,H194+D195)</f>
        <v>73047</v>
      </c>
      <c r="I195" s="331">
        <f t="shared" si="3249"/>
        <v>2168</v>
      </c>
      <c r="J195" s="332">
        <f t="shared" si="1"/>
        <v>779</v>
      </c>
      <c r="K195" s="333">
        <f t="shared" ref="K195:L195" si="3250">IF(ISBLANK(M195),,M195-M194)</f>
        <v>47</v>
      </c>
      <c r="L195" s="334">
        <f t="shared" si="3250"/>
        <v>0</v>
      </c>
      <c r="M195" s="335">
        <v>4345</v>
      </c>
      <c r="N195" s="336">
        <v>174</v>
      </c>
      <c r="O195" s="337">
        <f t="shared" ref="O195:P195" si="3251">IF(ISBLANK(Q195),,Q195-Q194)</f>
        <v>15</v>
      </c>
      <c r="P195" s="338">
        <f t="shared" si="3251"/>
        <v>0</v>
      </c>
      <c r="Q195" s="335">
        <v>1532</v>
      </c>
      <c r="R195" s="339">
        <v>54</v>
      </c>
      <c r="S195" s="316">
        <f t="shared" ref="S195:T195" si="3252">IF(ISBLANK(U195),,U195-U194)</f>
        <v>26</v>
      </c>
      <c r="T195" s="334">
        <f t="shared" si="3252"/>
        <v>1</v>
      </c>
      <c r="U195" s="335">
        <v>1799</v>
      </c>
      <c r="V195" s="336">
        <v>29</v>
      </c>
      <c r="W195" s="337">
        <f t="shared" ref="W195:X195" si="3253">IF(ISBLANK(Y195),,Y195-Y194)</f>
        <v>5</v>
      </c>
      <c r="X195" s="334">
        <f t="shared" si="3253"/>
        <v>0</v>
      </c>
      <c r="Y195" s="335">
        <v>773</v>
      </c>
      <c r="Z195" s="340">
        <v>16</v>
      </c>
      <c r="AA195" s="316">
        <f t="shared" ref="AA195:AB195" si="3254">IF(ISBLANK(AC195),,AC195-AC194)</f>
        <v>28</v>
      </c>
      <c r="AB195" s="334">
        <f t="shared" si="3254"/>
        <v>1</v>
      </c>
      <c r="AC195" s="335">
        <v>5572</v>
      </c>
      <c r="AD195" s="336">
        <v>244</v>
      </c>
      <c r="AE195" s="337">
        <f t="shared" ref="AE195:AF195" si="3255">IF(ISBLANK(AG195),,AG195-AG194)</f>
        <v>116</v>
      </c>
      <c r="AF195" s="334">
        <f t="shared" si="3255"/>
        <v>3</v>
      </c>
      <c r="AG195" s="335">
        <v>8635</v>
      </c>
      <c r="AH195" s="339">
        <v>153</v>
      </c>
      <c r="AI195" s="316">
        <f t="shared" ref="AI195:AJ195" si="3256">IF(ISBLANK(AK195),,AK195-AK194)</f>
        <v>78</v>
      </c>
      <c r="AJ195" s="334">
        <f t="shared" si="3256"/>
        <v>1</v>
      </c>
      <c r="AK195" s="335">
        <v>10217</v>
      </c>
      <c r="AL195" s="336">
        <v>421</v>
      </c>
      <c r="AM195" s="337">
        <f t="shared" ref="AM195:AN195" si="3257">IF(ISBLANK(AO195),,AO195-AO194)</f>
        <v>16</v>
      </c>
      <c r="AN195" s="334">
        <f t="shared" si="3257"/>
        <v>0</v>
      </c>
      <c r="AO195" s="335">
        <v>1778</v>
      </c>
      <c r="AP195" s="339">
        <v>64</v>
      </c>
      <c r="AQ195" s="316">
        <f t="shared" ref="AQ195:AR195" si="3258">IF(ISBLANK(AS195),,AS195-AS194)</f>
        <v>46</v>
      </c>
      <c r="AR195" s="338">
        <f t="shared" si="3258"/>
        <v>0</v>
      </c>
      <c r="AS195" s="335">
        <v>2847</v>
      </c>
      <c r="AT195" s="336">
        <v>93</v>
      </c>
      <c r="AU195" s="337">
        <f t="shared" ref="AU195:AV195" si="3259">IF(ISBLANK(AW195),,AW195-AW194)</f>
        <v>33</v>
      </c>
      <c r="AV195" s="334">
        <f t="shared" si="3259"/>
        <v>0</v>
      </c>
      <c r="AW195" s="335">
        <v>1441</v>
      </c>
      <c r="AX195" s="339">
        <v>33</v>
      </c>
      <c r="AY195" s="316">
        <f t="shared" ref="AY195:AZ195" si="3260">IF(ISBLANK(BA195),,BA195-BA194)</f>
        <v>39</v>
      </c>
      <c r="AZ195" s="334">
        <f t="shared" si="3260"/>
        <v>0</v>
      </c>
      <c r="BA195" s="335">
        <v>2947</v>
      </c>
      <c r="BB195" s="336">
        <v>50</v>
      </c>
      <c r="BC195" s="337">
        <f t="shared" ref="BC195:BD195" si="3261">IF(ISBLANK(BE195),,BE195-BE194)</f>
        <v>45</v>
      </c>
      <c r="BD195" s="334">
        <f t="shared" si="3261"/>
        <v>2</v>
      </c>
      <c r="BE195" s="335">
        <v>21057</v>
      </c>
      <c r="BF195" s="339">
        <v>509</v>
      </c>
      <c r="BG195" s="316">
        <f t="shared" ref="BG195:BH195" si="3262">IF(ISBLANK(BI195),,BI195-BI194)</f>
        <v>15</v>
      </c>
      <c r="BH195" s="334">
        <f t="shared" si="3262"/>
        <v>0</v>
      </c>
      <c r="BI195" s="335">
        <v>1604</v>
      </c>
      <c r="BJ195" s="336">
        <v>53</v>
      </c>
      <c r="BK195" s="337">
        <f t="shared" ref="BK195:BL195" si="3263">IF(ISBLANK(BM195),,BM195-BM194)</f>
        <v>17</v>
      </c>
      <c r="BL195" s="334">
        <f t="shared" si="3263"/>
        <v>0</v>
      </c>
      <c r="BM195" s="335">
        <v>1044</v>
      </c>
      <c r="BN195" s="339">
        <v>9</v>
      </c>
      <c r="BO195" s="316">
        <f t="shared" ref="BO195:BP195" si="3264">IF(ISBLANK(BQ195),,BQ195-BQ194)</f>
        <v>57</v>
      </c>
      <c r="BP195" s="334">
        <f t="shared" si="3264"/>
        <v>2</v>
      </c>
      <c r="BQ195" s="335">
        <v>6230</v>
      </c>
      <c r="BR195" s="336">
        <v>238</v>
      </c>
      <c r="BS195" s="316">
        <f t="shared" ref="BS195:BT195" si="3265">IF(ISBLANK(BU195),,BU195-BU194)</f>
        <v>11</v>
      </c>
      <c r="BT195" s="334">
        <f t="shared" si="3265"/>
        <v>0</v>
      </c>
      <c r="BU195" s="335">
        <v>1226</v>
      </c>
      <c r="BV195" s="336">
        <v>28</v>
      </c>
      <c r="BW195" s="233"/>
      <c r="BX195" s="233"/>
      <c r="BY195" s="233"/>
      <c r="BZ195" s="233"/>
      <c r="CA195" s="233"/>
      <c r="CB195" s="233"/>
      <c r="CC195" s="233"/>
      <c r="CD195" s="233"/>
      <c r="CE195" s="233"/>
    </row>
    <row r="196" spans="1:83" x14ac:dyDescent="0.25">
      <c r="A196" s="313">
        <v>44086</v>
      </c>
      <c r="B196" s="314">
        <f t="shared" si="1276"/>
        <v>193</v>
      </c>
      <c r="C196" s="315"/>
      <c r="D196" s="316">
        <v>603</v>
      </c>
      <c r="E196" s="317">
        <v>13</v>
      </c>
      <c r="F196" s="318">
        <v>59725</v>
      </c>
      <c r="G196" s="319"/>
      <c r="H196" s="330">
        <f t="shared" ref="H196:I196" si="3266">IF(ISBLANK(D196),,H195+D196)</f>
        <v>73650</v>
      </c>
      <c r="I196" s="331">
        <f t="shared" si="3266"/>
        <v>2181</v>
      </c>
      <c r="J196" s="332">
        <f t="shared" si="1"/>
        <v>877</v>
      </c>
      <c r="K196" s="333">
        <f t="shared" ref="K196:L196" si="3267">IF(ISBLANK(M196),,M196-M195)</f>
        <v>11</v>
      </c>
      <c r="L196" s="334">
        <f t="shared" si="3267"/>
        <v>2</v>
      </c>
      <c r="M196" s="335">
        <v>4356</v>
      </c>
      <c r="N196" s="336">
        <v>176</v>
      </c>
      <c r="O196" s="337">
        <f t="shared" ref="O196:P196" si="3268">IF(ISBLANK(Q196),,Q196-Q195)</f>
        <v>54</v>
      </c>
      <c r="P196" s="338">
        <f t="shared" si="3268"/>
        <v>1</v>
      </c>
      <c r="Q196" s="335">
        <v>1586</v>
      </c>
      <c r="R196" s="339">
        <v>55</v>
      </c>
      <c r="S196" s="316">
        <f t="shared" ref="S196:T196" si="3269">IF(ISBLANK(U196),,U196-U195)</f>
        <v>29</v>
      </c>
      <c r="T196" s="334">
        <f t="shared" si="3269"/>
        <v>0</v>
      </c>
      <c r="U196" s="335">
        <v>1828</v>
      </c>
      <c r="V196" s="336">
        <v>29</v>
      </c>
      <c r="W196" s="337">
        <f t="shared" ref="W196:X196" si="3270">IF(ISBLANK(Y196),,Y196-Y195)</f>
        <v>7</v>
      </c>
      <c r="X196" s="334">
        <f t="shared" si="3270"/>
        <v>0</v>
      </c>
      <c r="Y196" s="335">
        <v>780</v>
      </c>
      <c r="Z196" s="340">
        <v>16</v>
      </c>
      <c r="AA196" s="316">
        <f t="shared" ref="AA196:AB196" si="3271">IF(ISBLANK(AC196),,AC196-AC195)</f>
        <v>37</v>
      </c>
      <c r="AB196" s="334">
        <f t="shared" si="3271"/>
        <v>1</v>
      </c>
      <c r="AC196" s="335">
        <v>5609</v>
      </c>
      <c r="AD196" s="336">
        <v>245</v>
      </c>
      <c r="AE196" s="337">
        <f t="shared" ref="AE196:AF196" si="3272">IF(ISBLANK(AG196),,AG196-AG195)</f>
        <v>93</v>
      </c>
      <c r="AF196" s="334">
        <f t="shared" si="3272"/>
        <v>0</v>
      </c>
      <c r="AG196" s="335">
        <v>8728</v>
      </c>
      <c r="AH196" s="339">
        <v>153</v>
      </c>
      <c r="AI196" s="316">
        <f t="shared" ref="AI196:AJ196" si="3273">IF(ISBLANK(AK196),,AK196-AK195)</f>
        <v>64</v>
      </c>
      <c r="AJ196" s="334">
        <f t="shared" si="3273"/>
        <v>2</v>
      </c>
      <c r="AK196" s="335">
        <v>10281</v>
      </c>
      <c r="AL196" s="336">
        <v>423</v>
      </c>
      <c r="AM196" s="337">
        <f t="shared" ref="AM196:AN196" si="3274">IF(ISBLANK(AO196),,AO196-AO195)</f>
        <v>14</v>
      </c>
      <c r="AN196" s="334">
        <f t="shared" si="3274"/>
        <v>2</v>
      </c>
      <c r="AO196" s="335">
        <v>1792</v>
      </c>
      <c r="AP196" s="339">
        <v>66</v>
      </c>
      <c r="AQ196" s="316">
        <f t="shared" ref="AQ196:AR196" si="3275">IF(ISBLANK(AS196),,AS196-AS195)</f>
        <v>39</v>
      </c>
      <c r="AR196" s="338">
        <f t="shared" si="3275"/>
        <v>1</v>
      </c>
      <c r="AS196" s="335">
        <v>2886</v>
      </c>
      <c r="AT196" s="336">
        <v>94</v>
      </c>
      <c r="AU196" s="337">
        <f t="shared" ref="AU196:AV196" si="3276">IF(ISBLANK(AW196),,AW196-AW195)</f>
        <v>5</v>
      </c>
      <c r="AV196" s="334">
        <f t="shared" si="3276"/>
        <v>0</v>
      </c>
      <c r="AW196" s="335">
        <v>1446</v>
      </c>
      <c r="AX196" s="339">
        <v>33</v>
      </c>
      <c r="AY196" s="316">
        <f t="shared" ref="AY196:AZ196" si="3277">IF(ISBLANK(BA196),,BA196-BA195)</f>
        <v>79</v>
      </c>
      <c r="AZ196" s="334">
        <f t="shared" si="3277"/>
        <v>0</v>
      </c>
      <c r="BA196" s="335">
        <v>3026</v>
      </c>
      <c r="BB196" s="336">
        <v>50</v>
      </c>
      <c r="BC196" s="337">
        <f t="shared" ref="BC196:BD196" si="3278">IF(ISBLANK(BE196),,BE196-BE195)</f>
        <v>72</v>
      </c>
      <c r="BD196" s="334">
        <f t="shared" si="3278"/>
        <v>3</v>
      </c>
      <c r="BE196" s="335">
        <v>21129</v>
      </c>
      <c r="BF196" s="339">
        <v>512</v>
      </c>
      <c r="BG196" s="316">
        <f t="shared" ref="BG196:BH196" si="3279">IF(ISBLANK(BI196),,BI196-BI195)</f>
        <v>17</v>
      </c>
      <c r="BH196" s="334">
        <f t="shared" si="3279"/>
        <v>0</v>
      </c>
      <c r="BI196" s="335">
        <v>1621</v>
      </c>
      <c r="BJ196" s="336">
        <v>53</v>
      </c>
      <c r="BK196" s="337">
        <f t="shared" ref="BK196:BL196" si="3280">IF(ISBLANK(BM196),,BM196-BM195)</f>
        <v>18</v>
      </c>
      <c r="BL196" s="334">
        <f t="shared" si="3280"/>
        <v>0</v>
      </c>
      <c r="BM196" s="335">
        <v>1062</v>
      </c>
      <c r="BN196" s="339">
        <v>9</v>
      </c>
      <c r="BO196" s="316">
        <f t="shared" ref="BO196:BP196" si="3281">IF(ISBLANK(BQ196),,BQ196-BQ195)</f>
        <v>50</v>
      </c>
      <c r="BP196" s="334">
        <f t="shared" si="3281"/>
        <v>1</v>
      </c>
      <c r="BQ196" s="335">
        <v>6280</v>
      </c>
      <c r="BR196" s="336">
        <v>239</v>
      </c>
      <c r="BS196" s="316">
        <f t="shared" ref="BS196:BT196" si="3282">IF(ISBLANK(BU196),,BU196-BU195)</f>
        <v>14</v>
      </c>
      <c r="BT196" s="334">
        <f t="shared" si="3282"/>
        <v>0</v>
      </c>
      <c r="BU196" s="335">
        <v>1240</v>
      </c>
      <c r="BV196" s="336">
        <v>28</v>
      </c>
      <c r="BW196" s="233"/>
      <c r="BX196" s="233"/>
      <c r="BY196" s="233"/>
      <c r="BZ196" s="233"/>
      <c r="CA196" s="233"/>
      <c r="CB196" s="233"/>
      <c r="CC196" s="233"/>
      <c r="CD196" s="233"/>
      <c r="CE196" s="233"/>
    </row>
    <row r="197" spans="1:83" x14ac:dyDescent="0.25">
      <c r="A197" s="313">
        <v>44087</v>
      </c>
      <c r="B197" s="314">
        <f t="shared" si="1276"/>
        <v>194</v>
      </c>
      <c r="C197" s="315"/>
      <c r="D197" s="316">
        <v>502</v>
      </c>
      <c r="E197" s="317">
        <v>6</v>
      </c>
      <c r="F197" s="318">
        <v>60659</v>
      </c>
      <c r="G197" s="319"/>
      <c r="H197" s="330">
        <f t="shared" ref="H197:I197" si="3283">IF(ISBLANK(D197),,H196+D197)</f>
        <v>74152</v>
      </c>
      <c r="I197" s="331">
        <f t="shared" si="3283"/>
        <v>2187</v>
      </c>
      <c r="J197" s="332">
        <f t="shared" si="1"/>
        <v>934</v>
      </c>
      <c r="K197" s="333">
        <f t="shared" ref="K197:L197" si="3284">IF(ISBLANK(M197),,M197-M196)</f>
        <v>16</v>
      </c>
      <c r="L197" s="334">
        <f t="shared" si="3284"/>
        <v>0</v>
      </c>
      <c r="M197" s="335">
        <v>4372</v>
      </c>
      <c r="N197" s="336">
        <v>176</v>
      </c>
      <c r="O197" s="337">
        <f t="shared" ref="O197:P197" si="3285">IF(ISBLANK(Q197),,Q197-Q196)</f>
        <v>21</v>
      </c>
      <c r="P197" s="338">
        <f t="shared" si="3285"/>
        <v>0</v>
      </c>
      <c r="Q197" s="335">
        <v>1607</v>
      </c>
      <c r="R197" s="339">
        <v>55</v>
      </c>
      <c r="S197" s="316">
        <f t="shared" ref="S197:T197" si="3286">IF(ISBLANK(U197),,U197-U196)</f>
        <v>26</v>
      </c>
      <c r="T197" s="334">
        <f t="shared" si="3286"/>
        <v>1</v>
      </c>
      <c r="U197" s="335">
        <v>1854</v>
      </c>
      <c r="V197" s="336">
        <v>30</v>
      </c>
      <c r="W197" s="337">
        <f t="shared" ref="W197:X197" si="3287">IF(ISBLANK(Y197),,Y197-Y196)</f>
        <v>6</v>
      </c>
      <c r="X197" s="334">
        <f t="shared" si="3287"/>
        <v>0</v>
      </c>
      <c r="Y197" s="335">
        <v>786</v>
      </c>
      <c r="Z197" s="340">
        <v>16</v>
      </c>
      <c r="AA197" s="316">
        <f t="shared" ref="AA197:AB197" si="3288">IF(ISBLANK(AC197),,AC197-AC196)</f>
        <v>18</v>
      </c>
      <c r="AB197" s="334">
        <f t="shared" si="3288"/>
        <v>0</v>
      </c>
      <c r="AC197" s="335">
        <v>5627</v>
      </c>
      <c r="AD197" s="336">
        <v>245</v>
      </c>
      <c r="AE197" s="337">
        <f t="shared" ref="AE197:AF197" si="3289">IF(ISBLANK(AG197),,AG197-AG196)</f>
        <v>66</v>
      </c>
      <c r="AF197" s="334">
        <f t="shared" si="3289"/>
        <v>2</v>
      </c>
      <c r="AG197" s="335">
        <v>8794</v>
      </c>
      <c r="AH197" s="339">
        <v>155</v>
      </c>
      <c r="AI197" s="316">
        <f t="shared" ref="AI197:AJ197" si="3290">IF(ISBLANK(AK197),,AK197-AK196)</f>
        <v>85</v>
      </c>
      <c r="AJ197" s="334">
        <f t="shared" si="3290"/>
        <v>1</v>
      </c>
      <c r="AK197" s="335">
        <v>10366</v>
      </c>
      <c r="AL197" s="336">
        <v>424</v>
      </c>
      <c r="AM197" s="337">
        <f t="shared" ref="AM197:AN197" si="3291">IF(ISBLANK(AO197),,AO197-AO196)</f>
        <v>5</v>
      </c>
      <c r="AN197" s="334">
        <f t="shared" si="3291"/>
        <v>0</v>
      </c>
      <c r="AO197" s="335">
        <v>1797</v>
      </c>
      <c r="AP197" s="339">
        <v>66</v>
      </c>
      <c r="AQ197" s="316">
        <f t="shared" ref="AQ197:AR197" si="3292">IF(ISBLANK(AS197),,AS197-AS196)</f>
        <v>33</v>
      </c>
      <c r="AR197" s="338">
        <f t="shared" si="3292"/>
        <v>2</v>
      </c>
      <c r="AS197" s="335">
        <v>2919</v>
      </c>
      <c r="AT197" s="336">
        <v>96</v>
      </c>
      <c r="AU197" s="337">
        <f t="shared" ref="AU197:AV197" si="3293">IF(ISBLANK(AW197),,AW197-AW196)</f>
        <v>17</v>
      </c>
      <c r="AV197" s="334">
        <f t="shared" si="3293"/>
        <v>0</v>
      </c>
      <c r="AW197" s="335">
        <v>1463</v>
      </c>
      <c r="AX197" s="339">
        <v>33</v>
      </c>
      <c r="AY197" s="316">
        <f t="shared" ref="AY197:AZ197" si="3294">IF(ISBLANK(BA197),,BA197-BA196)</f>
        <v>55</v>
      </c>
      <c r="AZ197" s="334">
        <f t="shared" si="3294"/>
        <v>0</v>
      </c>
      <c r="BA197" s="335">
        <v>3081</v>
      </c>
      <c r="BB197" s="336">
        <v>50</v>
      </c>
      <c r="BC197" s="337">
        <f t="shared" ref="BC197:BD197" si="3295">IF(ISBLANK(BE197),,BE197-BE196)</f>
        <v>53</v>
      </c>
      <c r="BD197" s="334">
        <f t="shared" si="3295"/>
        <v>0</v>
      </c>
      <c r="BE197" s="335">
        <v>21182</v>
      </c>
      <c r="BF197" s="339">
        <v>512</v>
      </c>
      <c r="BG197" s="316">
        <f t="shared" ref="BG197:BH197" si="3296">IF(ISBLANK(BI197),,BI197-BI196)</f>
        <v>13</v>
      </c>
      <c r="BH197" s="334">
        <f t="shared" si="3296"/>
        <v>0</v>
      </c>
      <c r="BI197" s="335">
        <v>1634</v>
      </c>
      <c r="BJ197" s="336">
        <v>53</v>
      </c>
      <c r="BK197" s="337">
        <f t="shared" ref="BK197:BL197" si="3297">IF(ISBLANK(BM197),,BM197-BM196)</f>
        <v>13</v>
      </c>
      <c r="BL197" s="334">
        <f t="shared" si="3297"/>
        <v>0</v>
      </c>
      <c r="BM197" s="335">
        <v>1075</v>
      </c>
      <c r="BN197" s="339">
        <v>9</v>
      </c>
      <c r="BO197" s="316">
        <f t="shared" ref="BO197:BP197" si="3298">IF(ISBLANK(BQ197),,BQ197-BQ196)</f>
        <v>73</v>
      </c>
      <c r="BP197" s="334">
        <f t="shared" si="3298"/>
        <v>0</v>
      </c>
      <c r="BQ197" s="335">
        <v>6353</v>
      </c>
      <c r="BR197" s="336">
        <v>239</v>
      </c>
      <c r="BS197" s="316">
        <f t="shared" ref="BS197:BT197" si="3299">IF(ISBLANK(BU197),,BU197-BU196)</f>
        <v>2</v>
      </c>
      <c r="BT197" s="334">
        <f t="shared" si="3299"/>
        <v>0</v>
      </c>
      <c r="BU197" s="335">
        <v>1242</v>
      </c>
      <c r="BV197" s="336">
        <v>28</v>
      </c>
      <c r="BW197" s="233"/>
      <c r="BX197" s="233"/>
      <c r="BY197" s="233"/>
      <c r="BZ197" s="233"/>
      <c r="CA197" s="233"/>
      <c r="CB197" s="233"/>
      <c r="CC197" s="233"/>
      <c r="CD197" s="233"/>
      <c r="CE197" s="233"/>
    </row>
    <row r="198" spans="1:83" x14ac:dyDescent="0.25">
      <c r="A198" s="313">
        <v>44088</v>
      </c>
      <c r="B198" s="314">
        <f t="shared" si="1276"/>
        <v>195</v>
      </c>
      <c r="C198" s="315"/>
      <c r="D198" s="316">
        <v>377</v>
      </c>
      <c r="E198" s="317">
        <v>15</v>
      </c>
      <c r="F198" s="318">
        <v>61097</v>
      </c>
      <c r="G198" s="319"/>
      <c r="H198" s="330">
        <f t="shared" ref="H198:I198" si="3300">IF(ISBLANK(D198),,H197+D198)</f>
        <v>74529</v>
      </c>
      <c r="I198" s="331">
        <f t="shared" si="3300"/>
        <v>2202</v>
      </c>
      <c r="J198" s="332">
        <f t="shared" si="1"/>
        <v>438</v>
      </c>
      <c r="K198" s="333">
        <f t="shared" ref="K198:L198" si="3301">IF(ISBLANK(M198),,M198-M197)</f>
        <v>9</v>
      </c>
      <c r="L198" s="334">
        <f t="shared" si="3301"/>
        <v>1</v>
      </c>
      <c r="M198" s="335">
        <v>4381</v>
      </c>
      <c r="N198" s="336">
        <v>177</v>
      </c>
      <c r="O198" s="337">
        <f t="shared" ref="O198:P198" si="3302">IF(ISBLANK(Q198),,Q198-Q197)</f>
        <v>24</v>
      </c>
      <c r="P198" s="338">
        <f t="shared" si="3302"/>
        <v>0</v>
      </c>
      <c r="Q198" s="335">
        <v>1631</v>
      </c>
      <c r="R198" s="339">
        <v>55</v>
      </c>
      <c r="S198" s="316">
        <f t="shared" ref="S198:T198" si="3303">IF(ISBLANK(U198),,U198-U197)</f>
        <v>4</v>
      </c>
      <c r="T198" s="334">
        <f t="shared" si="3303"/>
        <v>0</v>
      </c>
      <c r="U198" s="335">
        <v>1858</v>
      </c>
      <c r="V198" s="336">
        <v>30</v>
      </c>
      <c r="W198" s="337">
        <f t="shared" ref="W198:X198" si="3304">IF(ISBLANK(Y198),,Y198-Y197)</f>
        <v>5</v>
      </c>
      <c r="X198" s="334">
        <f t="shared" si="3304"/>
        <v>0</v>
      </c>
      <c r="Y198" s="335">
        <v>791</v>
      </c>
      <c r="Z198" s="340">
        <v>16</v>
      </c>
      <c r="AA198" s="316">
        <f t="shared" ref="AA198:AB198" si="3305">IF(ISBLANK(AC198),,AC198-AC197)</f>
        <v>24</v>
      </c>
      <c r="AB198" s="334">
        <f t="shared" si="3305"/>
        <v>0</v>
      </c>
      <c r="AC198" s="335">
        <v>5651</v>
      </c>
      <c r="AD198" s="336">
        <v>245</v>
      </c>
      <c r="AE198" s="337">
        <f t="shared" ref="AE198:AF198" si="3306">IF(ISBLANK(AG198),,AG198-AG197)</f>
        <v>52</v>
      </c>
      <c r="AF198" s="334">
        <f t="shared" si="3306"/>
        <v>3</v>
      </c>
      <c r="AG198" s="335">
        <v>8846</v>
      </c>
      <c r="AH198" s="339">
        <v>158</v>
      </c>
      <c r="AI198" s="316">
        <f t="shared" ref="AI198:AJ198" si="3307">IF(ISBLANK(AK198),,AK198-AK197)</f>
        <v>61</v>
      </c>
      <c r="AJ198" s="334">
        <f t="shared" si="3307"/>
        <v>1</v>
      </c>
      <c r="AK198" s="335">
        <v>10427</v>
      </c>
      <c r="AL198" s="336">
        <v>425</v>
      </c>
      <c r="AM198" s="337">
        <f t="shared" ref="AM198:AN198" si="3308">IF(ISBLANK(AO198),,AO198-AO197)</f>
        <v>26</v>
      </c>
      <c r="AN198" s="334">
        <f t="shared" si="3308"/>
        <v>1</v>
      </c>
      <c r="AO198" s="335">
        <v>1823</v>
      </c>
      <c r="AP198" s="339">
        <v>67</v>
      </c>
      <c r="AQ198" s="316">
        <f t="shared" ref="AQ198:AR198" si="3309">IF(ISBLANK(AS198),,AS198-AS197)</f>
        <v>41</v>
      </c>
      <c r="AR198" s="338">
        <f t="shared" si="3309"/>
        <v>4</v>
      </c>
      <c r="AS198" s="335">
        <v>2960</v>
      </c>
      <c r="AT198" s="336">
        <v>100</v>
      </c>
      <c r="AU198" s="337">
        <f t="shared" ref="AU198:AV198" si="3310">IF(ISBLANK(AW198),,AW198-AW197)</f>
        <v>8</v>
      </c>
      <c r="AV198" s="334">
        <f t="shared" si="3310"/>
        <v>3</v>
      </c>
      <c r="AW198" s="335">
        <v>1471</v>
      </c>
      <c r="AX198" s="339">
        <v>36</v>
      </c>
      <c r="AY198" s="316">
        <f t="shared" ref="AY198:AZ198" si="3311">IF(ISBLANK(BA198),,BA198-BA197)</f>
        <v>46</v>
      </c>
      <c r="AZ198" s="334">
        <f t="shared" si="3311"/>
        <v>0</v>
      </c>
      <c r="BA198" s="335">
        <v>3127</v>
      </c>
      <c r="BB198" s="336">
        <v>50</v>
      </c>
      <c r="BC198" s="337">
        <f t="shared" ref="BC198:BD198" si="3312">IF(ISBLANK(BE198),,BE198-BE197)</f>
        <v>45</v>
      </c>
      <c r="BD198" s="334">
        <f t="shared" si="3312"/>
        <v>0</v>
      </c>
      <c r="BE198" s="335">
        <v>21227</v>
      </c>
      <c r="BF198" s="339">
        <v>512</v>
      </c>
      <c r="BG198" s="316">
        <f t="shared" ref="BG198:BH198" si="3313">IF(ISBLANK(BI198),,BI198-BI197)</f>
        <v>4</v>
      </c>
      <c r="BH198" s="334">
        <f t="shared" si="3313"/>
        <v>0</v>
      </c>
      <c r="BI198" s="335">
        <v>1638</v>
      </c>
      <c r="BJ198" s="336">
        <v>53</v>
      </c>
      <c r="BK198" s="337">
        <f t="shared" ref="BK198:BL198" si="3314">IF(ISBLANK(BM198),,BM198-BM197)</f>
        <v>2</v>
      </c>
      <c r="BL198" s="334">
        <f t="shared" si="3314"/>
        <v>0</v>
      </c>
      <c r="BM198" s="335">
        <v>1077</v>
      </c>
      <c r="BN198" s="339">
        <v>9</v>
      </c>
      <c r="BO198" s="316">
        <f t="shared" ref="BO198:BP198" si="3315">IF(ISBLANK(BQ198),,BQ198-BQ197)</f>
        <v>23</v>
      </c>
      <c r="BP198" s="334">
        <f t="shared" si="3315"/>
        <v>2</v>
      </c>
      <c r="BQ198" s="335">
        <v>6376</v>
      </c>
      <c r="BR198" s="336">
        <v>241</v>
      </c>
      <c r="BS198" s="316">
        <f t="shared" ref="BS198:BT198" si="3316">IF(ISBLANK(BU198),,BU198-BU197)</f>
        <v>3</v>
      </c>
      <c r="BT198" s="334">
        <f t="shared" si="3316"/>
        <v>0</v>
      </c>
      <c r="BU198" s="335">
        <v>1245</v>
      </c>
      <c r="BV198" s="336">
        <v>28</v>
      </c>
      <c r="BW198" s="233"/>
      <c r="BX198" s="233"/>
      <c r="BY198" s="233"/>
      <c r="BZ198" s="233"/>
      <c r="CA198" s="233"/>
      <c r="CB198" s="233"/>
      <c r="CC198" s="233"/>
      <c r="CD198" s="233"/>
      <c r="CE198" s="233"/>
    </row>
    <row r="199" spans="1:83" x14ac:dyDescent="0.25">
      <c r="A199" s="313">
        <v>44089</v>
      </c>
      <c r="B199" s="314">
        <f t="shared" si="1276"/>
        <v>196</v>
      </c>
      <c r="C199" s="315"/>
      <c r="D199" s="316">
        <v>605</v>
      </c>
      <c r="E199" s="317">
        <v>24</v>
      </c>
      <c r="F199" s="318">
        <v>61548</v>
      </c>
      <c r="G199" s="319"/>
      <c r="H199" s="330">
        <f t="shared" ref="H199:I199" si="3317">IF(ISBLANK(D199),,H198+D199)</f>
        <v>75134</v>
      </c>
      <c r="I199" s="331">
        <f t="shared" si="3317"/>
        <v>2226</v>
      </c>
      <c r="J199" s="332">
        <f t="shared" si="1"/>
        <v>451</v>
      </c>
      <c r="K199" s="333">
        <f t="shared" ref="K199:L199" si="3318">IF(ISBLANK(M199),,M199-M198)</f>
        <v>60</v>
      </c>
      <c r="L199" s="334">
        <f t="shared" si="3318"/>
        <v>0</v>
      </c>
      <c r="M199" s="335">
        <v>4441</v>
      </c>
      <c r="N199" s="336">
        <v>177</v>
      </c>
      <c r="O199" s="337">
        <f t="shared" ref="O199:P199" si="3319">IF(ISBLANK(Q199),,Q199-Q198)</f>
        <v>22</v>
      </c>
      <c r="P199" s="338">
        <f t="shared" si="3319"/>
        <v>2</v>
      </c>
      <c r="Q199" s="335">
        <v>1653</v>
      </c>
      <c r="R199" s="339">
        <v>57</v>
      </c>
      <c r="S199" s="316">
        <f t="shared" ref="S199:T199" si="3320">IF(ISBLANK(U199),,U199-U198)</f>
        <v>22</v>
      </c>
      <c r="T199" s="334">
        <f t="shared" si="3320"/>
        <v>0</v>
      </c>
      <c r="U199" s="335">
        <v>1880</v>
      </c>
      <c r="V199" s="336">
        <v>30</v>
      </c>
      <c r="W199" s="337">
        <f t="shared" ref="W199:X199" si="3321">IF(ISBLANK(Y199),,Y199-Y198)</f>
        <v>5</v>
      </c>
      <c r="X199" s="334">
        <f t="shared" si="3321"/>
        <v>0</v>
      </c>
      <c r="Y199" s="335">
        <v>796</v>
      </c>
      <c r="Z199" s="340">
        <v>16</v>
      </c>
      <c r="AA199" s="316">
        <f t="shared" ref="AA199:AB199" si="3322">IF(ISBLANK(AC199),,AC199-AC198)</f>
        <v>17</v>
      </c>
      <c r="AB199" s="334">
        <f t="shared" si="3322"/>
        <v>3</v>
      </c>
      <c r="AC199" s="335">
        <v>5668</v>
      </c>
      <c r="AD199" s="336">
        <v>248</v>
      </c>
      <c r="AE199" s="337">
        <f t="shared" ref="AE199:AF199" si="3323">IF(ISBLANK(AG199),,AG199-AG198)</f>
        <v>120</v>
      </c>
      <c r="AF199" s="334">
        <f t="shared" si="3323"/>
        <v>4</v>
      </c>
      <c r="AG199" s="335">
        <v>8966</v>
      </c>
      <c r="AH199" s="339">
        <v>162</v>
      </c>
      <c r="AI199" s="316">
        <f t="shared" ref="AI199:AJ199" si="3324">IF(ISBLANK(AK199),,AK199-AK198)</f>
        <v>98</v>
      </c>
      <c r="AJ199" s="334">
        <f t="shared" si="3324"/>
        <v>1</v>
      </c>
      <c r="AK199" s="335">
        <v>10525</v>
      </c>
      <c r="AL199" s="336">
        <v>426</v>
      </c>
      <c r="AM199" s="337">
        <f t="shared" ref="AM199:AN199" si="3325">IF(ISBLANK(AO199),,AO199-AO198)</f>
        <v>28</v>
      </c>
      <c r="AN199" s="334">
        <f t="shared" si="3325"/>
        <v>3</v>
      </c>
      <c r="AO199" s="335">
        <v>1851</v>
      </c>
      <c r="AP199" s="339">
        <v>70</v>
      </c>
      <c r="AQ199" s="316">
        <f t="shared" ref="AQ199:AR199" si="3326">IF(ISBLANK(AS199),,AS199-AS198)</f>
        <v>20</v>
      </c>
      <c r="AR199" s="338">
        <f t="shared" si="3326"/>
        <v>1</v>
      </c>
      <c r="AS199" s="335">
        <v>2980</v>
      </c>
      <c r="AT199" s="336">
        <v>101</v>
      </c>
      <c r="AU199" s="337">
        <f t="shared" ref="AU199:AV199" si="3327">IF(ISBLANK(AW199),,AW199-AW198)</f>
        <v>11</v>
      </c>
      <c r="AV199" s="334">
        <f t="shared" si="3327"/>
        <v>1</v>
      </c>
      <c r="AW199" s="335">
        <v>1482</v>
      </c>
      <c r="AX199" s="339">
        <v>37</v>
      </c>
      <c r="AY199" s="316">
        <f t="shared" ref="AY199:AZ199" si="3328">IF(ISBLANK(BA199),,BA199-BA198)</f>
        <v>41</v>
      </c>
      <c r="AZ199" s="334">
        <f t="shared" si="3328"/>
        <v>1</v>
      </c>
      <c r="BA199" s="335">
        <v>3168</v>
      </c>
      <c r="BB199" s="336">
        <v>51</v>
      </c>
      <c r="BC199" s="337">
        <f t="shared" ref="BC199:BD199" si="3329">IF(ISBLANK(BE199),,BE199-BE198)</f>
        <v>62</v>
      </c>
      <c r="BD199" s="334">
        <f t="shared" si="3329"/>
        <v>3</v>
      </c>
      <c r="BE199" s="335">
        <v>21289</v>
      </c>
      <c r="BF199" s="339">
        <v>515</v>
      </c>
      <c r="BG199" s="316">
        <f t="shared" ref="BG199:BH199" si="3330">IF(ISBLANK(BI199),,BI199-BI198)</f>
        <v>33</v>
      </c>
      <c r="BH199" s="334">
        <f t="shared" si="3330"/>
        <v>0</v>
      </c>
      <c r="BI199" s="335">
        <v>1671</v>
      </c>
      <c r="BJ199" s="336">
        <v>53</v>
      </c>
      <c r="BK199" s="337">
        <f t="shared" ref="BK199:BL199" si="3331">IF(ISBLANK(BM199),,BM199-BM198)</f>
        <v>21</v>
      </c>
      <c r="BL199" s="334">
        <f t="shared" si="3331"/>
        <v>0</v>
      </c>
      <c r="BM199" s="335">
        <v>1098</v>
      </c>
      <c r="BN199" s="339">
        <v>9</v>
      </c>
      <c r="BO199" s="316">
        <f t="shared" ref="BO199:BP199" si="3332">IF(ISBLANK(BQ199),,BQ199-BQ198)</f>
        <v>28</v>
      </c>
      <c r="BP199" s="334">
        <f t="shared" si="3332"/>
        <v>3</v>
      </c>
      <c r="BQ199" s="335">
        <v>6404</v>
      </c>
      <c r="BR199" s="336">
        <v>244</v>
      </c>
      <c r="BS199" s="316">
        <f t="shared" ref="BS199:BT199" si="3333">IF(ISBLANK(BU199),,BU199-BU198)</f>
        <v>17</v>
      </c>
      <c r="BT199" s="334">
        <f t="shared" si="3333"/>
        <v>2</v>
      </c>
      <c r="BU199" s="335">
        <v>1262</v>
      </c>
      <c r="BV199" s="336">
        <v>30</v>
      </c>
      <c r="BW199" s="233"/>
      <c r="BX199" s="233"/>
      <c r="BY199" s="233"/>
      <c r="BZ199" s="233"/>
      <c r="CA199" s="233"/>
      <c r="CB199" s="233"/>
      <c r="CC199" s="233"/>
      <c r="CD199" s="233"/>
      <c r="CE199" s="233"/>
    </row>
    <row r="200" spans="1:83" x14ac:dyDescent="0.25">
      <c r="A200" s="313">
        <v>44090</v>
      </c>
      <c r="B200" s="314">
        <f t="shared" si="1276"/>
        <v>197</v>
      </c>
      <c r="C200" s="315"/>
      <c r="D200" s="316">
        <v>600</v>
      </c>
      <c r="E200" s="317">
        <v>10</v>
      </c>
      <c r="F200" s="318">
        <v>62110</v>
      </c>
      <c r="G200" s="319"/>
      <c r="H200" s="330">
        <f t="shared" ref="H200:I200" si="3334">IF(ISBLANK(D200),,H199+D200)</f>
        <v>75734</v>
      </c>
      <c r="I200" s="331">
        <f t="shared" si="3334"/>
        <v>2236</v>
      </c>
      <c r="J200" s="332">
        <f t="shared" si="1"/>
        <v>562</v>
      </c>
      <c r="K200" s="333">
        <f t="shared" ref="K200:L200" si="3335">IF(ISBLANK(M200),,M200-M199)</f>
        <v>47</v>
      </c>
      <c r="L200" s="334">
        <f t="shared" si="3335"/>
        <v>0</v>
      </c>
      <c r="M200" s="335">
        <v>4488</v>
      </c>
      <c r="N200" s="336">
        <v>177</v>
      </c>
      <c r="O200" s="337">
        <f t="shared" ref="O200:P200" si="3336">IF(ISBLANK(Q200),,Q200-Q199)</f>
        <v>35</v>
      </c>
      <c r="P200" s="338">
        <f t="shared" si="3336"/>
        <v>0</v>
      </c>
      <c r="Q200" s="335">
        <v>1688</v>
      </c>
      <c r="R200" s="339">
        <v>57</v>
      </c>
      <c r="S200" s="316">
        <f t="shared" ref="S200:T200" si="3337">IF(ISBLANK(U200),,U200-U199)</f>
        <v>42</v>
      </c>
      <c r="T200" s="334">
        <f t="shared" si="3337"/>
        <v>0</v>
      </c>
      <c r="U200" s="335">
        <v>1922</v>
      </c>
      <c r="V200" s="336">
        <v>30</v>
      </c>
      <c r="W200" s="337">
        <f t="shared" ref="W200:X200" si="3338">IF(ISBLANK(Y200),,Y200-Y199)</f>
        <v>4</v>
      </c>
      <c r="X200" s="334">
        <f t="shared" si="3338"/>
        <v>0</v>
      </c>
      <c r="Y200" s="335">
        <v>800</v>
      </c>
      <c r="Z200" s="340">
        <v>16</v>
      </c>
      <c r="AA200" s="316">
        <f t="shared" ref="AA200:AB200" si="3339">IF(ISBLANK(AC200),,AC200-AC199)</f>
        <v>31</v>
      </c>
      <c r="AB200" s="334">
        <f t="shared" si="3339"/>
        <v>2</v>
      </c>
      <c r="AC200" s="335">
        <v>5699</v>
      </c>
      <c r="AD200" s="336">
        <v>250</v>
      </c>
      <c r="AE200" s="337">
        <f t="shared" ref="AE200:AF200" si="3340">IF(ISBLANK(AG200),,AG200-AG199)</f>
        <v>111</v>
      </c>
      <c r="AF200" s="334">
        <f t="shared" si="3340"/>
        <v>0</v>
      </c>
      <c r="AG200" s="335">
        <v>9077</v>
      </c>
      <c r="AH200" s="339">
        <v>162</v>
      </c>
      <c r="AI200" s="316">
        <f t="shared" ref="AI200:AJ200" si="3341">IF(ISBLANK(AK200),,AK200-AK199)</f>
        <v>70</v>
      </c>
      <c r="AJ200" s="334">
        <f t="shared" si="3341"/>
        <v>1</v>
      </c>
      <c r="AK200" s="335">
        <v>10595</v>
      </c>
      <c r="AL200" s="336">
        <v>427</v>
      </c>
      <c r="AM200" s="337">
        <f t="shared" ref="AM200:AN200" si="3342">IF(ISBLANK(AO200),,AO200-AO199)</f>
        <v>19</v>
      </c>
      <c r="AN200" s="334">
        <f t="shared" si="3342"/>
        <v>1</v>
      </c>
      <c r="AO200" s="335">
        <v>1870</v>
      </c>
      <c r="AP200" s="339">
        <v>71</v>
      </c>
      <c r="AQ200" s="316">
        <f t="shared" ref="AQ200:AR200" si="3343">IF(ISBLANK(AS200),,AS200-AS199)</f>
        <v>34</v>
      </c>
      <c r="AR200" s="338">
        <f t="shared" si="3343"/>
        <v>2</v>
      </c>
      <c r="AS200" s="335">
        <v>3014</v>
      </c>
      <c r="AT200" s="336">
        <v>103</v>
      </c>
      <c r="AU200" s="337">
        <f t="shared" ref="AU200:AV200" si="3344">IF(ISBLANK(AW200),,AW200-AW199)</f>
        <v>27</v>
      </c>
      <c r="AV200" s="334">
        <f t="shared" si="3344"/>
        <v>0</v>
      </c>
      <c r="AW200" s="335">
        <v>1509</v>
      </c>
      <c r="AX200" s="339">
        <v>37</v>
      </c>
      <c r="AY200" s="316">
        <f t="shared" ref="AY200:AZ200" si="3345">IF(ISBLANK(BA200),,BA200-BA199)</f>
        <v>53</v>
      </c>
      <c r="AZ200" s="334">
        <f t="shared" si="3345"/>
        <v>1</v>
      </c>
      <c r="BA200" s="335">
        <v>3221</v>
      </c>
      <c r="BB200" s="336">
        <v>52</v>
      </c>
      <c r="BC200" s="337">
        <f t="shared" ref="BC200:BD200" si="3346">IF(ISBLANK(BE200),,BE200-BE199)</f>
        <v>62</v>
      </c>
      <c r="BD200" s="334">
        <f t="shared" si="3346"/>
        <v>2</v>
      </c>
      <c r="BE200" s="335">
        <v>21351</v>
      </c>
      <c r="BF200" s="339">
        <v>517</v>
      </c>
      <c r="BG200" s="316">
        <f t="shared" ref="BG200:BH200" si="3347">IF(ISBLANK(BI200),,BI200-BI199)</f>
        <v>8</v>
      </c>
      <c r="BH200" s="334">
        <f t="shared" si="3347"/>
        <v>0</v>
      </c>
      <c r="BI200" s="335">
        <v>1679</v>
      </c>
      <c r="BJ200" s="336">
        <v>53</v>
      </c>
      <c r="BK200" s="337">
        <f t="shared" ref="BK200:BL200" si="3348">IF(ISBLANK(BM200),,BM200-BM199)</f>
        <v>13</v>
      </c>
      <c r="BL200" s="334">
        <f t="shared" si="3348"/>
        <v>0</v>
      </c>
      <c r="BM200" s="335">
        <v>1111</v>
      </c>
      <c r="BN200" s="339">
        <v>9</v>
      </c>
      <c r="BO200" s="316">
        <f t="shared" ref="BO200:BP200" si="3349">IF(ISBLANK(BQ200),,BQ200-BQ199)</f>
        <v>20</v>
      </c>
      <c r="BP200" s="334">
        <f t="shared" si="3349"/>
        <v>1</v>
      </c>
      <c r="BQ200" s="335">
        <v>6424</v>
      </c>
      <c r="BR200" s="336">
        <v>245</v>
      </c>
      <c r="BS200" s="316">
        <f t="shared" ref="BS200:BT200" si="3350">IF(ISBLANK(BU200),,BU200-BU199)</f>
        <v>24</v>
      </c>
      <c r="BT200" s="334">
        <f t="shared" si="3350"/>
        <v>0</v>
      </c>
      <c r="BU200" s="335">
        <v>1286</v>
      </c>
      <c r="BV200" s="336">
        <v>30</v>
      </c>
      <c r="BW200" s="233"/>
      <c r="BX200" s="233"/>
      <c r="BY200" s="233"/>
      <c r="BZ200" s="233"/>
      <c r="CA200" s="233"/>
      <c r="CB200" s="233"/>
      <c r="CC200" s="233"/>
      <c r="CD200" s="233"/>
      <c r="CE200" s="233"/>
    </row>
    <row r="201" spans="1:83" x14ac:dyDescent="0.25">
      <c r="A201" s="313">
        <v>44091</v>
      </c>
      <c r="B201" s="314">
        <f t="shared" si="1276"/>
        <v>198</v>
      </c>
      <c r="C201" s="315"/>
      <c r="D201" s="316">
        <v>837</v>
      </c>
      <c r="E201" s="317">
        <v>16</v>
      </c>
      <c r="F201" s="318">
        <v>62725</v>
      </c>
      <c r="G201" s="319"/>
      <c r="H201" s="330">
        <f t="shared" ref="H201:I201" si="3351">IF(ISBLANK(D201),,H200+D201)</f>
        <v>76571</v>
      </c>
      <c r="I201" s="331">
        <f t="shared" si="3351"/>
        <v>2252</v>
      </c>
      <c r="J201" s="332">
        <f t="shared" si="1"/>
        <v>615</v>
      </c>
      <c r="K201" s="333">
        <f t="shared" ref="K201:L201" si="3352">IF(ISBLANK(M201),,M201-M200)</f>
        <v>25</v>
      </c>
      <c r="L201" s="334">
        <f t="shared" si="3352"/>
        <v>0</v>
      </c>
      <c r="M201" s="335">
        <v>4513</v>
      </c>
      <c r="N201" s="336">
        <v>177</v>
      </c>
      <c r="O201" s="337">
        <f t="shared" ref="O201:P201" si="3353">IF(ISBLANK(Q201),,Q201-Q200)</f>
        <v>15</v>
      </c>
      <c r="P201" s="338">
        <f t="shared" si="3353"/>
        <v>0</v>
      </c>
      <c r="Q201" s="335">
        <v>1703</v>
      </c>
      <c r="R201" s="339">
        <v>57</v>
      </c>
      <c r="S201" s="316">
        <f t="shared" ref="S201:T201" si="3354">IF(ISBLANK(U201),,U201-U200)</f>
        <v>3</v>
      </c>
      <c r="T201" s="334">
        <f t="shared" si="3354"/>
        <v>0</v>
      </c>
      <c r="U201" s="335">
        <v>1925</v>
      </c>
      <c r="V201" s="336">
        <v>30</v>
      </c>
      <c r="W201" s="337">
        <f t="shared" ref="W201:X201" si="3355">IF(ISBLANK(Y201),,Y201-Y200)</f>
        <v>4</v>
      </c>
      <c r="X201" s="334">
        <f t="shared" si="3355"/>
        <v>0</v>
      </c>
      <c r="Y201" s="335">
        <v>804</v>
      </c>
      <c r="Z201" s="340">
        <v>16</v>
      </c>
      <c r="AA201" s="316">
        <f t="shared" ref="AA201:AB201" si="3356">IF(ISBLANK(AC201),,AC201-AC200)</f>
        <v>41</v>
      </c>
      <c r="AB201" s="334">
        <f t="shared" si="3356"/>
        <v>3</v>
      </c>
      <c r="AC201" s="335">
        <v>5740</v>
      </c>
      <c r="AD201" s="336">
        <v>253</v>
      </c>
      <c r="AE201" s="337">
        <f t="shared" ref="AE201:AF201" si="3357">IF(ISBLANK(AG201),,AG201-AG200)</f>
        <v>124</v>
      </c>
      <c r="AF201" s="334">
        <f t="shared" si="3357"/>
        <v>4</v>
      </c>
      <c r="AG201" s="335">
        <v>9201</v>
      </c>
      <c r="AH201" s="339">
        <v>166</v>
      </c>
      <c r="AI201" s="316">
        <f t="shared" ref="AI201:AJ201" si="3358">IF(ISBLANK(AK201),,AK201-AK200)</f>
        <v>168</v>
      </c>
      <c r="AJ201" s="334">
        <f t="shared" si="3358"/>
        <v>0</v>
      </c>
      <c r="AK201" s="335">
        <v>10763</v>
      </c>
      <c r="AL201" s="336">
        <v>427</v>
      </c>
      <c r="AM201" s="337">
        <f t="shared" ref="AM201:AN201" si="3359">IF(ISBLANK(AO201),,AO201-AO200)</f>
        <v>19</v>
      </c>
      <c r="AN201" s="334">
        <f t="shared" si="3359"/>
        <v>0</v>
      </c>
      <c r="AO201" s="335">
        <v>1889</v>
      </c>
      <c r="AP201" s="339">
        <v>71</v>
      </c>
      <c r="AQ201" s="316">
        <f t="shared" ref="AQ201:AR201" si="3360">IF(ISBLANK(AS201),,AS201-AS200)</f>
        <v>41</v>
      </c>
      <c r="AR201" s="338">
        <f t="shared" si="3360"/>
        <v>1</v>
      </c>
      <c r="AS201" s="335">
        <v>3055</v>
      </c>
      <c r="AT201" s="336">
        <v>104</v>
      </c>
      <c r="AU201" s="337">
        <f t="shared" ref="AU201:AV201" si="3361">IF(ISBLANK(AW201),,AW201-AW200)</f>
        <v>23</v>
      </c>
      <c r="AV201" s="334">
        <f t="shared" si="3361"/>
        <v>0</v>
      </c>
      <c r="AW201" s="335">
        <v>1532</v>
      </c>
      <c r="AX201" s="339">
        <v>37</v>
      </c>
      <c r="AY201" s="316">
        <f t="shared" ref="AY201:AZ201" si="3362">IF(ISBLANK(BA201),,BA201-BA200)</f>
        <v>134</v>
      </c>
      <c r="AZ201" s="334">
        <f t="shared" si="3362"/>
        <v>0</v>
      </c>
      <c r="BA201" s="335">
        <v>3355</v>
      </c>
      <c r="BB201" s="336">
        <v>52</v>
      </c>
      <c r="BC201" s="337">
        <f t="shared" ref="BC201:BD201" si="3363">IF(ISBLANK(BE201),,BE201-BE200)</f>
        <v>64</v>
      </c>
      <c r="BD201" s="334">
        <f t="shared" si="3363"/>
        <v>3</v>
      </c>
      <c r="BE201" s="335">
        <v>21415</v>
      </c>
      <c r="BF201" s="339">
        <v>520</v>
      </c>
      <c r="BG201" s="316">
        <f t="shared" ref="BG201:BH201" si="3364">IF(ISBLANK(BI201),,BI201-BI200)</f>
        <v>32</v>
      </c>
      <c r="BH201" s="334">
        <f t="shared" si="3364"/>
        <v>1</v>
      </c>
      <c r="BI201" s="335">
        <v>1711</v>
      </c>
      <c r="BJ201" s="336">
        <v>54</v>
      </c>
      <c r="BK201" s="337">
        <f t="shared" ref="BK201:BL201" si="3365">IF(ISBLANK(BM201),,BM201-BM200)</f>
        <v>29</v>
      </c>
      <c r="BL201" s="334">
        <f t="shared" si="3365"/>
        <v>0</v>
      </c>
      <c r="BM201" s="335">
        <v>1140</v>
      </c>
      <c r="BN201" s="339">
        <v>9</v>
      </c>
      <c r="BO201" s="316">
        <f t="shared" ref="BO201:BP201" si="3366">IF(ISBLANK(BQ201),,BQ201-BQ200)</f>
        <v>74</v>
      </c>
      <c r="BP201" s="334">
        <f t="shared" si="3366"/>
        <v>4</v>
      </c>
      <c r="BQ201" s="335">
        <v>6498</v>
      </c>
      <c r="BR201" s="336">
        <v>249</v>
      </c>
      <c r="BS201" s="316">
        <f t="shared" ref="BS201:BT201" si="3367">IF(ISBLANK(BU201),,BU201-BU200)</f>
        <v>41</v>
      </c>
      <c r="BT201" s="334">
        <f t="shared" si="3367"/>
        <v>0</v>
      </c>
      <c r="BU201" s="335">
        <v>1327</v>
      </c>
      <c r="BV201" s="336">
        <v>30</v>
      </c>
      <c r="BW201" s="233"/>
      <c r="BX201" s="233"/>
      <c r="BY201" s="233"/>
      <c r="BZ201" s="233"/>
      <c r="CA201" s="233"/>
      <c r="CB201" s="233"/>
      <c r="CC201" s="233"/>
      <c r="CD201" s="233"/>
      <c r="CE201" s="233"/>
    </row>
    <row r="202" spans="1:83" x14ac:dyDescent="0.25">
      <c r="A202" s="313">
        <v>44092</v>
      </c>
      <c r="B202" s="314">
        <f t="shared" si="1276"/>
        <v>199</v>
      </c>
      <c r="C202" s="315"/>
      <c r="D202" s="316">
        <v>757</v>
      </c>
      <c r="E202" s="317">
        <v>17</v>
      </c>
      <c r="F202" s="318">
        <v>63312</v>
      </c>
      <c r="G202" s="319"/>
      <c r="H202" s="330">
        <f t="shared" ref="H202:I202" si="3368">IF(ISBLANK(D202),,H201+D202)</f>
        <v>77328</v>
      </c>
      <c r="I202" s="331">
        <f t="shared" si="3368"/>
        <v>2269</v>
      </c>
      <c r="J202" s="332">
        <f t="shared" si="1"/>
        <v>587</v>
      </c>
      <c r="K202" s="333">
        <f t="shared" ref="K202:L202" si="3369">IF(ISBLANK(M202),,M202-M201)</f>
        <v>37</v>
      </c>
      <c r="L202" s="334">
        <f t="shared" si="3369"/>
        <v>1</v>
      </c>
      <c r="M202" s="335">
        <v>4550</v>
      </c>
      <c r="N202" s="336">
        <v>178</v>
      </c>
      <c r="O202" s="337">
        <f t="shared" ref="O202:P202" si="3370">IF(ISBLANK(Q202),,Q202-Q201)</f>
        <v>42</v>
      </c>
      <c r="P202" s="338">
        <f t="shared" si="3370"/>
        <v>0</v>
      </c>
      <c r="Q202" s="335">
        <v>1745</v>
      </c>
      <c r="R202" s="339">
        <v>57</v>
      </c>
      <c r="S202" s="316">
        <f t="shared" ref="S202:T202" si="3371">IF(ISBLANK(U202),,U202-U201)</f>
        <v>39</v>
      </c>
      <c r="T202" s="334">
        <f t="shared" si="3371"/>
        <v>1</v>
      </c>
      <c r="U202" s="335">
        <v>1964</v>
      </c>
      <c r="V202" s="336">
        <v>31</v>
      </c>
      <c r="W202" s="337">
        <f t="shared" ref="W202:X202" si="3372">IF(ISBLANK(Y202),,Y202-Y201)</f>
        <v>15</v>
      </c>
      <c r="X202" s="334">
        <f t="shared" si="3372"/>
        <v>0</v>
      </c>
      <c r="Y202" s="335">
        <v>819</v>
      </c>
      <c r="Z202" s="340">
        <v>16</v>
      </c>
      <c r="AA202" s="316">
        <f t="shared" ref="AA202:AB202" si="3373">IF(ISBLANK(AC202),,AC202-AC201)</f>
        <v>77</v>
      </c>
      <c r="AB202" s="334">
        <f t="shared" si="3373"/>
        <v>1</v>
      </c>
      <c r="AC202" s="335">
        <v>5817</v>
      </c>
      <c r="AD202" s="336">
        <v>254</v>
      </c>
      <c r="AE202" s="337">
        <f t="shared" ref="AE202:AF202" si="3374">IF(ISBLANK(AG202),,AG202-AG201)</f>
        <v>92</v>
      </c>
      <c r="AF202" s="334">
        <f t="shared" si="3374"/>
        <v>1</v>
      </c>
      <c r="AG202" s="335">
        <v>9293</v>
      </c>
      <c r="AH202" s="339">
        <v>167</v>
      </c>
      <c r="AI202" s="316">
        <f t="shared" ref="AI202:AJ202" si="3375">IF(ISBLANK(AK202),,AK202-AK201)</f>
        <v>88</v>
      </c>
      <c r="AJ202" s="334">
        <f t="shared" si="3375"/>
        <v>3</v>
      </c>
      <c r="AK202" s="335">
        <v>10851</v>
      </c>
      <c r="AL202" s="336">
        <v>430</v>
      </c>
      <c r="AM202" s="337">
        <f t="shared" ref="AM202:AN202" si="3376">IF(ISBLANK(AO202),,AO202-AO201)</f>
        <v>19</v>
      </c>
      <c r="AN202" s="334">
        <f t="shared" si="3376"/>
        <v>0</v>
      </c>
      <c r="AO202" s="335">
        <v>1908</v>
      </c>
      <c r="AP202" s="339">
        <v>71</v>
      </c>
      <c r="AQ202" s="316">
        <f t="shared" ref="AQ202:AR202" si="3377">IF(ISBLANK(AS202),,AS202-AS201)</f>
        <v>47</v>
      </c>
      <c r="AR202" s="338">
        <f t="shared" si="3377"/>
        <v>4</v>
      </c>
      <c r="AS202" s="335">
        <v>3102</v>
      </c>
      <c r="AT202" s="336">
        <v>108</v>
      </c>
      <c r="AU202" s="337">
        <f t="shared" ref="AU202:AV202" si="3378">IF(ISBLANK(AW202),,AW202-AW201)</f>
        <v>15</v>
      </c>
      <c r="AV202" s="334">
        <f t="shared" si="3378"/>
        <v>1</v>
      </c>
      <c r="AW202" s="335">
        <v>1547</v>
      </c>
      <c r="AX202" s="339">
        <v>38</v>
      </c>
      <c r="AY202" s="316">
        <f t="shared" ref="AY202:AZ202" si="3379">IF(ISBLANK(BA202),,BA202-BA201)</f>
        <v>73</v>
      </c>
      <c r="AZ202" s="334">
        <f t="shared" si="3379"/>
        <v>0</v>
      </c>
      <c r="BA202" s="335">
        <v>3428</v>
      </c>
      <c r="BB202" s="336">
        <v>52</v>
      </c>
      <c r="BC202" s="337">
        <f t="shared" ref="BC202:BD202" si="3380">IF(ISBLANK(BE202),,BE202-BE201)</f>
        <v>65</v>
      </c>
      <c r="BD202" s="334">
        <f t="shared" si="3380"/>
        <v>3</v>
      </c>
      <c r="BE202" s="335">
        <v>21480</v>
      </c>
      <c r="BF202" s="339">
        <v>523</v>
      </c>
      <c r="BG202" s="316">
        <f t="shared" ref="BG202:BH202" si="3381">IF(ISBLANK(BI202),,BI202-BI201)</f>
        <v>27</v>
      </c>
      <c r="BH202" s="334">
        <f t="shared" si="3381"/>
        <v>0</v>
      </c>
      <c r="BI202" s="335">
        <v>1738</v>
      </c>
      <c r="BJ202" s="336">
        <v>54</v>
      </c>
      <c r="BK202" s="337">
        <f t="shared" ref="BK202:BL202" si="3382">IF(ISBLANK(BM202),,BM202-BM201)</f>
        <v>26</v>
      </c>
      <c r="BL202" s="334">
        <f t="shared" si="3382"/>
        <v>1</v>
      </c>
      <c r="BM202" s="335">
        <v>1166</v>
      </c>
      <c r="BN202" s="339">
        <v>10</v>
      </c>
      <c r="BO202" s="316">
        <f t="shared" ref="BO202:BP202" si="3383">IF(ISBLANK(BQ202),,BQ202-BQ201)</f>
        <v>75</v>
      </c>
      <c r="BP202" s="334">
        <f t="shared" si="3383"/>
        <v>1</v>
      </c>
      <c r="BQ202" s="335">
        <v>6573</v>
      </c>
      <c r="BR202" s="336">
        <v>250</v>
      </c>
      <c r="BS202" s="316">
        <f t="shared" ref="BS202:BT202" si="3384">IF(ISBLANK(BU202),,BU202-BU201)</f>
        <v>20</v>
      </c>
      <c r="BT202" s="334">
        <f t="shared" si="3384"/>
        <v>0</v>
      </c>
      <c r="BU202" s="335">
        <v>1347</v>
      </c>
      <c r="BV202" s="336">
        <v>30</v>
      </c>
      <c r="BW202" s="233"/>
      <c r="BX202" s="233"/>
      <c r="BY202" s="233"/>
      <c r="BZ202" s="233"/>
      <c r="CA202" s="233"/>
      <c r="CB202" s="233"/>
      <c r="CC202" s="233"/>
      <c r="CD202" s="233"/>
      <c r="CE202" s="233"/>
    </row>
    <row r="203" spans="1:83" x14ac:dyDescent="0.25">
      <c r="A203" s="313">
        <v>44093</v>
      </c>
      <c r="B203" s="314">
        <f t="shared" si="1276"/>
        <v>200</v>
      </c>
      <c r="C203" s="315"/>
      <c r="D203" s="316">
        <v>1002</v>
      </c>
      <c r="E203" s="317">
        <v>12</v>
      </c>
      <c r="F203" s="318">
        <v>63861</v>
      </c>
      <c r="G203" s="319"/>
      <c r="H203" s="330">
        <f t="shared" ref="H203:I203" si="3385">IF(ISBLANK(D203),,H202+D203)</f>
        <v>78330</v>
      </c>
      <c r="I203" s="331">
        <f t="shared" si="3385"/>
        <v>2281</v>
      </c>
      <c r="J203" s="332">
        <f t="shared" si="1"/>
        <v>549</v>
      </c>
      <c r="K203" s="333">
        <f t="shared" ref="K203:L203" si="3386">IF(ISBLANK(M203),,M203-M202)</f>
        <v>83</v>
      </c>
      <c r="L203" s="334">
        <f t="shared" si="3386"/>
        <v>0</v>
      </c>
      <c r="M203" s="335">
        <v>4633</v>
      </c>
      <c r="N203" s="336">
        <v>178</v>
      </c>
      <c r="O203" s="337">
        <f t="shared" ref="O203:P203" si="3387">IF(ISBLANK(Q203),,Q203-Q202)</f>
        <v>35</v>
      </c>
      <c r="P203" s="338">
        <f t="shared" si="3387"/>
        <v>2</v>
      </c>
      <c r="Q203" s="335">
        <v>1780</v>
      </c>
      <c r="R203" s="339">
        <v>59</v>
      </c>
      <c r="S203" s="316">
        <f t="shared" ref="S203:T203" si="3388">IF(ISBLANK(U203),,U203-U202)</f>
        <v>122</v>
      </c>
      <c r="T203" s="334">
        <f t="shared" si="3388"/>
        <v>1</v>
      </c>
      <c r="U203" s="335">
        <v>2086</v>
      </c>
      <c r="V203" s="336">
        <v>32</v>
      </c>
      <c r="W203" s="337">
        <f t="shared" ref="W203:X203" si="3389">IF(ISBLANK(Y203),,Y203-Y202)</f>
        <v>8</v>
      </c>
      <c r="X203" s="334">
        <f t="shared" si="3389"/>
        <v>0</v>
      </c>
      <c r="Y203" s="335">
        <v>827</v>
      </c>
      <c r="Z203" s="340">
        <v>16</v>
      </c>
      <c r="AA203" s="316">
        <f t="shared" ref="AA203:AB203" si="3390">IF(ISBLANK(AC203),,AC203-AC202)</f>
        <v>61</v>
      </c>
      <c r="AB203" s="334">
        <f t="shared" si="3390"/>
        <v>2</v>
      </c>
      <c r="AC203" s="335">
        <v>5878</v>
      </c>
      <c r="AD203" s="336">
        <v>256</v>
      </c>
      <c r="AE203" s="337">
        <f t="shared" ref="AE203:AF203" si="3391">IF(ISBLANK(AG203),,AG203-AG202)</f>
        <v>149</v>
      </c>
      <c r="AF203" s="334">
        <f t="shared" si="3391"/>
        <v>0</v>
      </c>
      <c r="AG203" s="335">
        <v>9442</v>
      </c>
      <c r="AH203" s="339">
        <v>167</v>
      </c>
      <c r="AI203" s="316">
        <f t="shared" ref="AI203:AJ203" si="3392">IF(ISBLANK(AK203),,AK203-AK202)</f>
        <v>88</v>
      </c>
      <c r="AJ203" s="334">
        <f t="shared" si="3392"/>
        <v>2</v>
      </c>
      <c r="AK203" s="335">
        <v>10939</v>
      </c>
      <c r="AL203" s="336">
        <v>432</v>
      </c>
      <c r="AM203" s="337">
        <f t="shared" ref="AM203:AN203" si="3393">IF(ISBLANK(AO203),,AO203-AO202)</f>
        <v>35</v>
      </c>
      <c r="AN203" s="334">
        <f t="shared" si="3393"/>
        <v>1</v>
      </c>
      <c r="AO203" s="335">
        <v>1943</v>
      </c>
      <c r="AP203" s="339">
        <v>72</v>
      </c>
      <c r="AQ203" s="316">
        <f t="shared" ref="AQ203:AR203" si="3394">IF(ISBLANK(AS203),,AS203-AS202)</f>
        <v>69</v>
      </c>
      <c r="AR203" s="338">
        <f t="shared" si="3394"/>
        <v>0</v>
      </c>
      <c r="AS203" s="335">
        <v>3171</v>
      </c>
      <c r="AT203" s="336">
        <v>108</v>
      </c>
      <c r="AU203" s="337">
        <f t="shared" ref="AU203:AV203" si="3395">IF(ISBLANK(AW203),,AW203-AW202)</f>
        <v>24</v>
      </c>
      <c r="AV203" s="334">
        <f t="shared" si="3395"/>
        <v>0</v>
      </c>
      <c r="AW203" s="335">
        <v>1571</v>
      </c>
      <c r="AX203" s="339">
        <v>38</v>
      </c>
      <c r="AY203" s="316">
        <f t="shared" ref="AY203:AZ203" si="3396">IF(ISBLANK(BA203),,BA203-BA202)</f>
        <v>96</v>
      </c>
      <c r="AZ203" s="334">
        <f t="shared" si="3396"/>
        <v>2</v>
      </c>
      <c r="BA203" s="335">
        <v>3524</v>
      </c>
      <c r="BB203" s="336">
        <v>54</v>
      </c>
      <c r="BC203" s="337">
        <f t="shared" ref="BC203:BD203" si="3397">IF(ISBLANK(BE203),,BE203-BE202)</f>
        <v>64</v>
      </c>
      <c r="BD203" s="334">
        <f t="shared" si="3397"/>
        <v>1</v>
      </c>
      <c r="BE203" s="335">
        <v>21544</v>
      </c>
      <c r="BF203" s="339">
        <v>524</v>
      </c>
      <c r="BG203" s="316">
        <f t="shared" ref="BG203:BH203" si="3398">IF(ISBLANK(BI203),,BI203-BI202)</f>
        <v>21</v>
      </c>
      <c r="BH203" s="334">
        <f t="shared" si="3398"/>
        <v>0</v>
      </c>
      <c r="BI203" s="335">
        <v>1759</v>
      </c>
      <c r="BJ203" s="336">
        <v>54</v>
      </c>
      <c r="BK203" s="337">
        <f t="shared" ref="BK203:BL203" si="3399">IF(ISBLANK(BM203),,BM203-BM202)</f>
        <v>22</v>
      </c>
      <c r="BL203" s="334">
        <f t="shared" si="3399"/>
        <v>0</v>
      </c>
      <c r="BM203" s="335">
        <v>1188</v>
      </c>
      <c r="BN203" s="339">
        <v>10</v>
      </c>
      <c r="BO203" s="316">
        <f t="shared" ref="BO203:BP203" si="3400">IF(ISBLANK(BQ203),,BQ203-BQ202)</f>
        <v>94</v>
      </c>
      <c r="BP203" s="334">
        <f t="shared" si="3400"/>
        <v>1</v>
      </c>
      <c r="BQ203" s="335">
        <v>6667</v>
      </c>
      <c r="BR203" s="336">
        <v>251</v>
      </c>
      <c r="BS203" s="316">
        <f t="shared" ref="BS203:BT203" si="3401">IF(ISBLANK(BU203),,BU203-BU202)</f>
        <v>31</v>
      </c>
      <c r="BT203" s="334">
        <f t="shared" si="3401"/>
        <v>0</v>
      </c>
      <c r="BU203" s="335">
        <v>1378</v>
      </c>
      <c r="BV203" s="336">
        <v>30</v>
      </c>
      <c r="BW203" s="233"/>
      <c r="BX203" s="233"/>
      <c r="BY203" s="233"/>
      <c r="BZ203" s="233"/>
      <c r="CA203" s="233"/>
      <c r="CB203" s="233"/>
      <c r="CC203" s="233"/>
      <c r="CD203" s="233"/>
      <c r="CE203" s="233"/>
    </row>
    <row r="204" spans="1:83" x14ac:dyDescent="0.25">
      <c r="A204" s="313">
        <v>44094</v>
      </c>
      <c r="B204" s="314">
        <f t="shared" si="1276"/>
        <v>201</v>
      </c>
      <c r="C204" s="315"/>
      <c r="D204" s="316">
        <v>910</v>
      </c>
      <c r="E204" s="317">
        <v>11</v>
      </c>
      <c r="F204" s="318">
        <v>64302</v>
      </c>
      <c r="G204" s="319"/>
      <c r="H204" s="330">
        <f t="shared" ref="H204:I204" si="3402">IF(ISBLANK(D204),,H203+D204)</f>
        <v>79240</v>
      </c>
      <c r="I204" s="331">
        <f t="shared" si="3402"/>
        <v>2292</v>
      </c>
      <c r="J204" s="332">
        <f t="shared" si="1"/>
        <v>441</v>
      </c>
      <c r="K204" s="333">
        <f t="shared" ref="K204:L204" si="3403">IF(ISBLANK(M204),,M204-M203)</f>
        <v>45</v>
      </c>
      <c r="L204" s="334">
        <f t="shared" si="3403"/>
        <v>0</v>
      </c>
      <c r="M204" s="335">
        <v>4678</v>
      </c>
      <c r="N204" s="336">
        <v>178</v>
      </c>
      <c r="O204" s="337">
        <f t="shared" ref="O204:P204" si="3404">IF(ISBLANK(Q204),,Q204-Q203)</f>
        <v>26</v>
      </c>
      <c r="P204" s="338">
        <f t="shared" si="3404"/>
        <v>0</v>
      </c>
      <c r="Q204" s="335">
        <v>1806</v>
      </c>
      <c r="R204" s="339">
        <v>59</v>
      </c>
      <c r="S204" s="316">
        <f t="shared" ref="S204:T204" si="3405">IF(ISBLANK(U204),,U204-U203)</f>
        <v>35</v>
      </c>
      <c r="T204" s="334">
        <f t="shared" si="3405"/>
        <v>1</v>
      </c>
      <c r="U204" s="335">
        <v>2121</v>
      </c>
      <c r="V204" s="336">
        <v>33</v>
      </c>
      <c r="W204" s="337">
        <f t="shared" ref="W204:X204" si="3406">IF(ISBLANK(Y204),,Y204-Y203)</f>
        <v>10</v>
      </c>
      <c r="X204" s="334">
        <f t="shared" si="3406"/>
        <v>0</v>
      </c>
      <c r="Y204" s="335">
        <v>837</v>
      </c>
      <c r="Z204" s="340">
        <v>16</v>
      </c>
      <c r="AA204" s="316">
        <f t="shared" ref="AA204:AB204" si="3407">IF(ISBLANK(AC204),,AC204-AC203)</f>
        <v>54</v>
      </c>
      <c r="AB204" s="334">
        <f t="shared" si="3407"/>
        <v>0</v>
      </c>
      <c r="AC204" s="335">
        <v>5932</v>
      </c>
      <c r="AD204" s="336">
        <v>256</v>
      </c>
      <c r="AE204" s="337">
        <f t="shared" ref="AE204:AF204" si="3408">IF(ISBLANK(AG204),,AG204-AG203)</f>
        <v>103</v>
      </c>
      <c r="AF204" s="334">
        <f t="shared" si="3408"/>
        <v>2</v>
      </c>
      <c r="AG204" s="335">
        <v>9545</v>
      </c>
      <c r="AH204" s="339">
        <v>169</v>
      </c>
      <c r="AI204" s="316">
        <f t="shared" ref="AI204:AJ204" si="3409">IF(ISBLANK(AK204),,AK204-AK203)</f>
        <v>164</v>
      </c>
      <c r="AJ204" s="334">
        <f t="shared" si="3409"/>
        <v>1</v>
      </c>
      <c r="AK204" s="335">
        <v>11103</v>
      </c>
      <c r="AL204" s="336">
        <v>433</v>
      </c>
      <c r="AM204" s="337">
        <f t="shared" ref="AM204:AN204" si="3410">IF(ISBLANK(AO204),,AO204-AO203)</f>
        <v>84</v>
      </c>
      <c r="AN204" s="334">
        <f t="shared" si="3410"/>
        <v>0</v>
      </c>
      <c r="AO204" s="335">
        <v>2027</v>
      </c>
      <c r="AP204" s="339">
        <v>72</v>
      </c>
      <c r="AQ204" s="316">
        <f t="shared" ref="AQ204:AR204" si="3411">IF(ISBLANK(AS204),,AS204-AS203)</f>
        <v>62</v>
      </c>
      <c r="AR204" s="338">
        <f t="shared" si="3411"/>
        <v>3</v>
      </c>
      <c r="AS204" s="335">
        <v>3233</v>
      </c>
      <c r="AT204" s="336">
        <v>111</v>
      </c>
      <c r="AU204" s="337">
        <f t="shared" ref="AU204:AV204" si="3412">IF(ISBLANK(AW204),,AW204-AW203)</f>
        <v>21</v>
      </c>
      <c r="AV204" s="334">
        <f t="shared" si="3412"/>
        <v>1</v>
      </c>
      <c r="AW204" s="335">
        <v>1592</v>
      </c>
      <c r="AX204" s="339">
        <v>39</v>
      </c>
      <c r="AY204" s="316">
        <f t="shared" ref="AY204:AZ204" si="3413">IF(ISBLANK(BA204),,BA204-BA203)</f>
        <v>55</v>
      </c>
      <c r="AZ204" s="334">
        <f t="shared" si="3413"/>
        <v>0</v>
      </c>
      <c r="BA204" s="335">
        <v>3579</v>
      </c>
      <c r="BB204" s="336">
        <v>54</v>
      </c>
      <c r="BC204" s="337">
        <f t="shared" ref="BC204:BD204" si="3414">IF(ISBLANK(BE204),,BE204-BE203)</f>
        <v>74</v>
      </c>
      <c r="BD204" s="334">
        <f t="shared" si="3414"/>
        <v>1</v>
      </c>
      <c r="BE204" s="335">
        <v>21618</v>
      </c>
      <c r="BF204" s="339">
        <v>525</v>
      </c>
      <c r="BG204" s="316">
        <f t="shared" ref="BG204:BH204" si="3415">IF(ISBLANK(BI204),,BI204-BI203)</f>
        <v>18</v>
      </c>
      <c r="BH204" s="334">
        <f t="shared" si="3415"/>
        <v>0</v>
      </c>
      <c r="BI204" s="335">
        <v>1777</v>
      </c>
      <c r="BJ204" s="336">
        <v>54</v>
      </c>
      <c r="BK204" s="337">
        <f t="shared" ref="BK204:BL204" si="3416">IF(ISBLANK(BM204),,BM204-BM203)</f>
        <v>23</v>
      </c>
      <c r="BL204" s="334">
        <f t="shared" si="3416"/>
        <v>0</v>
      </c>
      <c r="BM204" s="335">
        <v>1211</v>
      </c>
      <c r="BN204" s="339">
        <v>10</v>
      </c>
      <c r="BO204" s="316">
        <f t="shared" ref="BO204:BP204" si="3417">IF(ISBLANK(BQ204),,BQ204-BQ203)</f>
        <v>123</v>
      </c>
      <c r="BP204" s="334">
        <f t="shared" si="3417"/>
        <v>2</v>
      </c>
      <c r="BQ204" s="335">
        <v>6790</v>
      </c>
      <c r="BR204" s="336">
        <v>253</v>
      </c>
      <c r="BS204" s="316">
        <f t="shared" ref="BS204:BT204" si="3418">IF(ISBLANK(BU204),,BU204-BU203)</f>
        <v>13</v>
      </c>
      <c r="BT204" s="334">
        <f t="shared" si="3418"/>
        <v>0</v>
      </c>
      <c r="BU204" s="335">
        <v>1391</v>
      </c>
      <c r="BV204" s="336">
        <v>30</v>
      </c>
      <c r="BW204" s="233"/>
      <c r="BX204" s="233"/>
      <c r="BY204" s="233"/>
      <c r="BZ204" s="233"/>
      <c r="CA204" s="233"/>
      <c r="CB204" s="233"/>
      <c r="CC204" s="233"/>
      <c r="CD204" s="233"/>
      <c r="CE204" s="233"/>
    </row>
    <row r="205" spans="1:83" x14ac:dyDescent="0.25">
      <c r="A205" s="313">
        <v>44095</v>
      </c>
      <c r="B205" s="314">
        <f t="shared" si="1276"/>
        <v>202</v>
      </c>
      <c r="C205" s="315"/>
      <c r="D205" s="316">
        <v>748</v>
      </c>
      <c r="E205" s="317">
        <v>5</v>
      </c>
      <c r="F205" s="318">
        <v>64604</v>
      </c>
      <c r="G205" s="319"/>
      <c r="H205" s="330">
        <f t="shared" ref="H205:I205" si="3419">IF(ISBLANK(D205),,H204+D205)</f>
        <v>79988</v>
      </c>
      <c r="I205" s="331">
        <f t="shared" si="3419"/>
        <v>2297</v>
      </c>
      <c r="J205" s="332">
        <f t="shared" si="1"/>
        <v>302</v>
      </c>
      <c r="K205" s="333">
        <f t="shared" ref="K205:L205" si="3420">IF(ISBLANK(M205),,M205-M204)</f>
        <v>9</v>
      </c>
      <c r="L205" s="334">
        <f t="shared" si="3420"/>
        <v>0</v>
      </c>
      <c r="M205" s="335">
        <v>4687</v>
      </c>
      <c r="N205" s="336">
        <v>178</v>
      </c>
      <c r="O205" s="337">
        <f t="shared" ref="O205:P205" si="3421">IF(ISBLANK(Q205),,Q205-Q204)</f>
        <v>21</v>
      </c>
      <c r="P205" s="338">
        <f t="shared" si="3421"/>
        <v>0</v>
      </c>
      <c r="Q205" s="335">
        <v>1827</v>
      </c>
      <c r="R205" s="339">
        <v>59</v>
      </c>
      <c r="S205" s="316">
        <f t="shared" ref="S205:T205" si="3422">IF(ISBLANK(U205),,U205-U204)</f>
        <v>48</v>
      </c>
      <c r="T205" s="334">
        <f t="shared" si="3422"/>
        <v>0</v>
      </c>
      <c r="U205" s="335">
        <v>2169</v>
      </c>
      <c r="V205" s="336">
        <v>33</v>
      </c>
      <c r="W205" s="337">
        <f t="shared" ref="W205:X205" si="3423">IF(ISBLANK(Y205),,Y205-Y204)</f>
        <v>15</v>
      </c>
      <c r="X205" s="334">
        <f t="shared" si="3423"/>
        <v>0</v>
      </c>
      <c r="Y205" s="335">
        <v>852</v>
      </c>
      <c r="Z205" s="340">
        <v>16</v>
      </c>
      <c r="AA205" s="316">
        <f t="shared" ref="AA205:AB205" si="3424">IF(ISBLANK(AC205),,AC205-AC204)</f>
        <v>93</v>
      </c>
      <c r="AB205" s="334">
        <f t="shared" si="3424"/>
        <v>0</v>
      </c>
      <c r="AC205" s="335">
        <v>6025</v>
      </c>
      <c r="AD205" s="336">
        <v>256</v>
      </c>
      <c r="AE205" s="337">
        <f t="shared" ref="AE205:AF205" si="3425">IF(ISBLANK(AG205),,AG205-AG204)</f>
        <v>83</v>
      </c>
      <c r="AF205" s="334">
        <f t="shared" si="3425"/>
        <v>2</v>
      </c>
      <c r="AG205" s="335">
        <v>9628</v>
      </c>
      <c r="AH205" s="339">
        <v>171</v>
      </c>
      <c r="AI205" s="316">
        <f t="shared" ref="AI205:AJ205" si="3426">IF(ISBLANK(AK205),,AK205-AK204)</f>
        <v>120</v>
      </c>
      <c r="AJ205" s="334">
        <f t="shared" si="3426"/>
        <v>0</v>
      </c>
      <c r="AK205" s="335">
        <v>11223</v>
      </c>
      <c r="AL205" s="336">
        <v>433</v>
      </c>
      <c r="AM205" s="337">
        <f t="shared" ref="AM205:AN205" si="3427">IF(ISBLANK(AO205),,AO205-AO204)</f>
        <v>70</v>
      </c>
      <c r="AN205" s="334">
        <f t="shared" si="3427"/>
        <v>0</v>
      </c>
      <c r="AO205" s="335">
        <v>2097</v>
      </c>
      <c r="AP205" s="339">
        <v>72</v>
      </c>
      <c r="AQ205" s="316">
        <f t="shared" ref="AQ205:AR205" si="3428">IF(ISBLANK(AS205),,AS205-AS204)</f>
        <v>58</v>
      </c>
      <c r="AR205" s="338">
        <f t="shared" si="3428"/>
        <v>0</v>
      </c>
      <c r="AS205" s="335">
        <v>3291</v>
      </c>
      <c r="AT205" s="336">
        <v>111</v>
      </c>
      <c r="AU205" s="337">
        <f t="shared" ref="AU205:AV205" si="3429">IF(ISBLANK(AW205),,AW205-AW204)</f>
        <v>13</v>
      </c>
      <c r="AV205" s="334">
        <f t="shared" si="3429"/>
        <v>0</v>
      </c>
      <c r="AW205" s="335">
        <v>1605</v>
      </c>
      <c r="AX205" s="339">
        <v>39</v>
      </c>
      <c r="AY205" s="316">
        <f t="shared" ref="AY205:AZ205" si="3430">IF(ISBLANK(BA205),,BA205-BA204)</f>
        <v>90</v>
      </c>
      <c r="AZ205" s="334">
        <f t="shared" si="3430"/>
        <v>0</v>
      </c>
      <c r="BA205" s="335">
        <v>3669</v>
      </c>
      <c r="BB205" s="336">
        <v>54</v>
      </c>
      <c r="BC205" s="337">
        <f t="shared" ref="BC205:BD205" si="3431">IF(ISBLANK(BE205),,BE205-BE204)</f>
        <v>45</v>
      </c>
      <c r="BD205" s="334">
        <f t="shared" si="3431"/>
        <v>0</v>
      </c>
      <c r="BE205" s="335">
        <v>21663</v>
      </c>
      <c r="BF205" s="339">
        <v>525</v>
      </c>
      <c r="BG205" s="316">
        <f t="shared" ref="BG205:BH205" si="3432">IF(ISBLANK(BI205),,BI205-BI204)</f>
        <v>8</v>
      </c>
      <c r="BH205" s="334">
        <f t="shared" si="3432"/>
        <v>0</v>
      </c>
      <c r="BI205" s="335">
        <v>1785</v>
      </c>
      <c r="BJ205" s="336">
        <v>54</v>
      </c>
      <c r="BK205" s="337">
        <f t="shared" ref="BK205:BL205" si="3433">IF(ISBLANK(BM205),,BM205-BM204)</f>
        <v>11</v>
      </c>
      <c r="BL205" s="334">
        <f t="shared" si="3433"/>
        <v>2</v>
      </c>
      <c r="BM205" s="335">
        <v>1222</v>
      </c>
      <c r="BN205" s="339">
        <v>12</v>
      </c>
      <c r="BO205" s="316">
        <f t="shared" ref="BO205:BP205" si="3434">IF(ISBLANK(BQ205),,BQ205-BQ204)</f>
        <v>52</v>
      </c>
      <c r="BP205" s="334">
        <f t="shared" si="3434"/>
        <v>1</v>
      </c>
      <c r="BQ205" s="335">
        <v>6842</v>
      </c>
      <c r="BR205" s="336">
        <v>254</v>
      </c>
      <c r="BS205" s="316">
        <f t="shared" ref="BS205:BT205" si="3435">IF(ISBLANK(BU205),,BU205-BU204)</f>
        <v>12</v>
      </c>
      <c r="BT205" s="334">
        <f t="shared" si="3435"/>
        <v>0</v>
      </c>
      <c r="BU205" s="335">
        <v>1403</v>
      </c>
      <c r="BV205" s="336">
        <v>30</v>
      </c>
      <c r="BW205" s="233"/>
      <c r="BX205" s="233"/>
      <c r="BY205" s="233"/>
      <c r="BZ205" s="233"/>
      <c r="CA205" s="233"/>
      <c r="CB205" s="233"/>
      <c r="CC205" s="233"/>
      <c r="CD205" s="233"/>
      <c r="CE205" s="233"/>
    </row>
    <row r="206" spans="1:83" x14ac:dyDescent="0.25">
      <c r="A206" s="313">
        <v>44096</v>
      </c>
      <c r="B206" s="314">
        <f t="shared" si="1276"/>
        <v>203</v>
      </c>
      <c r="C206" s="315"/>
      <c r="D206" s="316">
        <v>711</v>
      </c>
      <c r="E206" s="317">
        <v>18</v>
      </c>
      <c r="F206" s="318">
        <v>64972</v>
      </c>
      <c r="G206" s="319"/>
      <c r="H206" s="330">
        <f t="shared" ref="H206:I206" si="3436">IF(ISBLANK(D206),,H205+D206)</f>
        <v>80699</v>
      </c>
      <c r="I206" s="331">
        <f t="shared" si="3436"/>
        <v>2315</v>
      </c>
      <c r="J206" s="332">
        <f t="shared" si="1"/>
        <v>368</v>
      </c>
      <c r="K206" s="333">
        <f t="shared" ref="K206:L206" si="3437">IF(ISBLANK(M206),,M206-M205)</f>
        <v>47</v>
      </c>
      <c r="L206" s="334">
        <f t="shared" si="3437"/>
        <v>0</v>
      </c>
      <c r="M206" s="335">
        <v>4734</v>
      </c>
      <c r="N206" s="336">
        <v>178</v>
      </c>
      <c r="O206" s="337">
        <f t="shared" ref="O206:P206" si="3438">IF(ISBLANK(Q206),,Q206-Q205)</f>
        <v>13</v>
      </c>
      <c r="P206" s="338">
        <f t="shared" si="3438"/>
        <v>3</v>
      </c>
      <c r="Q206" s="335">
        <v>1840</v>
      </c>
      <c r="R206" s="339">
        <v>62</v>
      </c>
      <c r="S206" s="316">
        <f t="shared" ref="S206:T206" si="3439">IF(ISBLANK(U206),,U206-U205)</f>
        <v>21</v>
      </c>
      <c r="T206" s="334">
        <f t="shared" si="3439"/>
        <v>1</v>
      </c>
      <c r="U206" s="335">
        <v>2190</v>
      </c>
      <c r="V206" s="336">
        <v>34</v>
      </c>
      <c r="W206" s="337">
        <f t="shared" ref="W206:X206" si="3440">IF(ISBLANK(Y206),,Y206-Y205)</f>
        <v>8</v>
      </c>
      <c r="X206" s="334">
        <f t="shared" si="3440"/>
        <v>0</v>
      </c>
      <c r="Y206" s="335">
        <v>860</v>
      </c>
      <c r="Z206" s="340">
        <v>16</v>
      </c>
      <c r="AA206" s="316">
        <f t="shared" ref="AA206:AB206" si="3441">IF(ISBLANK(AC206),,AC206-AC205)</f>
        <v>51</v>
      </c>
      <c r="AB206" s="334">
        <f t="shared" si="3441"/>
        <v>0</v>
      </c>
      <c r="AC206" s="335">
        <v>6076</v>
      </c>
      <c r="AD206" s="336">
        <v>256</v>
      </c>
      <c r="AE206" s="337">
        <f t="shared" ref="AE206:AF206" si="3442">IF(ISBLANK(AG206),,AG206-AG205)</f>
        <v>112</v>
      </c>
      <c r="AF206" s="334">
        <f t="shared" si="3442"/>
        <v>4</v>
      </c>
      <c r="AG206" s="335">
        <v>9740</v>
      </c>
      <c r="AH206" s="339">
        <v>175</v>
      </c>
      <c r="AI206" s="316">
        <f t="shared" ref="AI206:AJ206" si="3443">IF(ISBLANK(AK206),,AK206-AK205)</f>
        <v>108</v>
      </c>
      <c r="AJ206" s="334">
        <f t="shared" si="3443"/>
        <v>0</v>
      </c>
      <c r="AK206" s="335">
        <v>11331</v>
      </c>
      <c r="AL206" s="336">
        <v>433</v>
      </c>
      <c r="AM206" s="337">
        <f t="shared" ref="AM206:AN206" si="3444">IF(ISBLANK(AO206),,AO206-AO205)</f>
        <v>28</v>
      </c>
      <c r="AN206" s="334">
        <f t="shared" si="3444"/>
        <v>1</v>
      </c>
      <c r="AO206" s="335">
        <v>2125</v>
      </c>
      <c r="AP206" s="339">
        <v>73</v>
      </c>
      <c r="AQ206" s="316">
        <f t="shared" ref="AQ206:AR206" si="3445">IF(ISBLANK(AS206),,AS206-AS205)</f>
        <v>30</v>
      </c>
      <c r="AR206" s="338">
        <f t="shared" si="3445"/>
        <v>3</v>
      </c>
      <c r="AS206" s="335">
        <v>3321</v>
      </c>
      <c r="AT206" s="336">
        <v>114</v>
      </c>
      <c r="AU206" s="337">
        <f t="shared" ref="AU206:AV206" si="3446">IF(ISBLANK(AW206),,AW206-AW205)</f>
        <v>21</v>
      </c>
      <c r="AV206" s="334">
        <f t="shared" si="3446"/>
        <v>0</v>
      </c>
      <c r="AW206" s="335">
        <v>1626</v>
      </c>
      <c r="AX206" s="339">
        <v>39</v>
      </c>
      <c r="AY206" s="316">
        <f t="shared" ref="AY206:AZ206" si="3447">IF(ISBLANK(BA206),,BA206-BA205)</f>
        <v>83</v>
      </c>
      <c r="AZ206" s="334">
        <f t="shared" si="3447"/>
        <v>1</v>
      </c>
      <c r="BA206" s="335">
        <v>3752</v>
      </c>
      <c r="BB206" s="336">
        <v>55</v>
      </c>
      <c r="BC206" s="337">
        <f t="shared" ref="BC206:BD206" si="3448">IF(ISBLANK(BE206),,BE206-BE205)</f>
        <v>72</v>
      </c>
      <c r="BD206" s="334">
        <f t="shared" si="3448"/>
        <v>2</v>
      </c>
      <c r="BE206" s="335">
        <v>21735</v>
      </c>
      <c r="BF206" s="339">
        <v>527</v>
      </c>
      <c r="BG206" s="316">
        <f t="shared" ref="BG206:BH206" si="3449">IF(ISBLANK(BI206),,BI206-BI205)</f>
        <v>21</v>
      </c>
      <c r="BH206" s="334">
        <f t="shared" si="3449"/>
        <v>0</v>
      </c>
      <c r="BI206" s="335">
        <v>1806</v>
      </c>
      <c r="BJ206" s="336">
        <v>54</v>
      </c>
      <c r="BK206" s="337">
        <f t="shared" ref="BK206:BL206" si="3450">IF(ISBLANK(BM206),,BM206-BM205)</f>
        <v>21</v>
      </c>
      <c r="BL206" s="334">
        <f t="shared" si="3450"/>
        <v>0</v>
      </c>
      <c r="BM206" s="335">
        <v>1243</v>
      </c>
      <c r="BN206" s="339">
        <v>12</v>
      </c>
      <c r="BO206" s="316">
        <f t="shared" ref="BO206:BP206" si="3451">IF(ISBLANK(BQ206),,BQ206-BQ205)</f>
        <v>36</v>
      </c>
      <c r="BP206" s="334">
        <f t="shared" si="3451"/>
        <v>3</v>
      </c>
      <c r="BQ206" s="335">
        <v>6878</v>
      </c>
      <c r="BR206" s="336">
        <v>257</v>
      </c>
      <c r="BS206" s="316">
        <f t="shared" ref="BS206:BT206" si="3452">IF(ISBLANK(BU206),,BU206-BU205)</f>
        <v>39</v>
      </c>
      <c r="BT206" s="334">
        <f t="shared" si="3452"/>
        <v>0</v>
      </c>
      <c r="BU206" s="335">
        <v>1442</v>
      </c>
      <c r="BV206" s="336">
        <v>30</v>
      </c>
      <c r="BW206" s="233"/>
      <c r="BX206" s="233"/>
      <c r="BY206" s="233"/>
      <c r="BZ206" s="233"/>
      <c r="CA206" s="233"/>
      <c r="CB206" s="233"/>
      <c r="CC206" s="233"/>
      <c r="CD206" s="233"/>
      <c r="CE206" s="233"/>
    </row>
    <row r="207" spans="1:83" x14ac:dyDescent="0.25">
      <c r="A207" s="313">
        <v>44097</v>
      </c>
      <c r="B207" s="314">
        <f t="shared" si="1276"/>
        <v>204</v>
      </c>
      <c r="C207" s="315"/>
      <c r="D207" s="316">
        <v>974</v>
      </c>
      <c r="E207" s="317">
        <v>28</v>
      </c>
      <c r="F207" s="318">
        <v>65561</v>
      </c>
      <c r="G207" s="319"/>
      <c r="H207" s="330">
        <f t="shared" ref="H207:I207" si="3453">IF(ISBLANK(D207),,H206+D207)</f>
        <v>81673</v>
      </c>
      <c r="I207" s="331">
        <f t="shared" si="3453"/>
        <v>2343</v>
      </c>
      <c r="J207" s="332">
        <f t="shared" si="1"/>
        <v>589</v>
      </c>
      <c r="K207" s="333">
        <f t="shared" ref="K207:L207" si="3454">IF(ISBLANK(M207),,M207-M206)</f>
        <v>46</v>
      </c>
      <c r="L207" s="334">
        <f t="shared" si="3454"/>
        <v>0</v>
      </c>
      <c r="M207" s="335">
        <v>4780</v>
      </c>
      <c r="N207" s="336">
        <v>178</v>
      </c>
      <c r="O207" s="337">
        <f t="shared" ref="O207:P207" si="3455">IF(ISBLANK(Q207),,Q207-Q206)</f>
        <v>54</v>
      </c>
      <c r="P207" s="338">
        <f t="shared" si="3455"/>
        <v>2</v>
      </c>
      <c r="Q207" s="335">
        <v>1894</v>
      </c>
      <c r="R207" s="339">
        <v>64</v>
      </c>
      <c r="S207" s="316">
        <f t="shared" ref="S207:T207" si="3456">IF(ISBLANK(U207),,U207-U206)</f>
        <v>46</v>
      </c>
      <c r="T207" s="334">
        <f t="shared" si="3456"/>
        <v>0</v>
      </c>
      <c r="U207" s="335">
        <v>2236</v>
      </c>
      <c r="V207" s="336">
        <v>34</v>
      </c>
      <c r="W207" s="337">
        <f t="shared" ref="W207:X207" si="3457">IF(ISBLANK(Y207),,Y207-Y206)</f>
        <v>17</v>
      </c>
      <c r="X207" s="334">
        <f t="shared" si="3457"/>
        <v>0</v>
      </c>
      <c r="Y207" s="335">
        <v>877</v>
      </c>
      <c r="Z207" s="340">
        <v>16</v>
      </c>
      <c r="AA207" s="316">
        <f t="shared" ref="AA207:AB207" si="3458">IF(ISBLANK(AC207),,AC207-AC206)</f>
        <v>84</v>
      </c>
      <c r="AB207" s="334">
        <f t="shared" si="3458"/>
        <v>6</v>
      </c>
      <c r="AC207" s="335">
        <v>6160</v>
      </c>
      <c r="AD207" s="336">
        <v>262</v>
      </c>
      <c r="AE207" s="337">
        <f t="shared" ref="AE207:AF207" si="3459">IF(ISBLANK(AG207),,AG207-AG206)</f>
        <v>135</v>
      </c>
      <c r="AF207" s="334">
        <f t="shared" si="3459"/>
        <v>4</v>
      </c>
      <c r="AG207" s="335">
        <v>9875</v>
      </c>
      <c r="AH207" s="339">
        <v>179</v>
      </c>
      <c r="AI207" s="316">
        <f t="shared" ref="AI207:AJ207" si="3460">IF(ISBLANK(AK207),,AK207-AK206)</f>
        <v>164</v>
      </c>
      <c r="AJ207" s="334">
        <f t="shared" si="3460"/>
        <v>4</v>
      </c>
      <c r="AK207" s="335">
        <v>11495</v>
      </c>
      <c r="AL207" s="336">
        <v>437</v>
      </c>
      <c r="AM207" s="337">
        <f t="shared" ref="AM207:AN207" si="3461">IF(ISBLANK(AO207),,AO207-AO206)</f>
        <v>24</v>
      </c>
      <c r="AN207" s="334">
        <f t="shared" si="3461"/>
        <v>1</v>
      </c>
      <c r="AO207" s="335">
        <v>2149</v>
      </c>
      <c r="AP207" s="339">
        <v>74</v>
      </c>
      <c r="AQ207" s="316">
        <f t="shared" ref="AQ207:AR207" si="3462">IF(ISBLANK(AS207),,AS207-AS206)</f>
        <v>24</v>
      </c>
      <c r="AR207" s="338">
        <f t="shared" si="3462"/>
        <v>2</v>
      </c>
      <c r="AS207" s="335">
        <v>3345</v>
      </c>
      <c r="AT207" s="336">
        <v>116</v>
      </c>
      <c r="AU207" s="337">
        <f t="shared" ref="AU207:AV207" si="3463">IF(ISBLANK(AW207),,AW207-AW206)</f>
        <v>22</v>
      </c>
      <c r="AV207" s="334">
        <f t="shared" si="3463"/>
        <v>1</v>
      </c>
      <c r="AW207" s="335">
        <v>1648</v>
      </c>
      <c r="AX207" s="339">
        <v>40</v>
      </c>
      <c r="AY207" s="316">
        <f t="shared" ref="AY207:AZ207" si="3464">IF(ISBLANK(BA207),,BA207-BA206)</f>
        <v>114</v>
      </c>
      <c r="AZ207" s="334">
        <f t="shared" si="3464"/>
        <v>3</v>
      </c>
      <c r="BA207" s="335">
        <v>3866</v>
      </c>
      <c r="BB207" s="336">
        <v>58</v>
      </c>
      <c r="BC207" s="337">
        <f t="shared" ref="BC207:BD207" si="3465">IF(ISBLANK(BE207),,BE207-BE206)</f>
        <v>82</v>
      </c>
      <c r="BD207" s="334">
        <f t="shared" si="3465"/>
        <v>3</v>
      </c>
      <c r="BE207" s="335">
        <v>21817</v>
      </c>
      <c r="BF207" s="339">
        <v>530</v>
      </c>
      <c r="BG207" s="316">
        <f t="shared" ref="BG207:BH207" si="3466">IF(ISBLANK(BI207),,BI207-BI206)</f>
        <v>36</v>
      </c>
      <c r="BH207" s="334">
        <f t="shared" si="3466"/>
        <v>1</v>
      </c>
      <c r="BI207" s="335">
        <v>1842</v>
      </c>
      <c r="BJ207" s="336">
        <v>55</v>
      </c>
      <c r="BK207" s="337">
        <f t="shared" ref="BK207:BL207" si="3467">IF(ISBLANK(BM207),,BM207-BM206)</f>
        <v>34</v>
      </c>
      <c r="BL207" s="334">
        <f t="shared" si="3467"/>
        <v>0</v>
      </c>
      <c r="BM207" s="335">
        <v>1277</v>
      </c>
      <c r="BN207" s="339">
        <v>12</v>
      </c>
      <c r="BO207" s="316">
        <f t="shared" ref="BO207:BP207" si="3468">IF(ISBLANK(BQ207),,BQ207-BQ206)</f>
        <v>76</v>
      </c>
      <c r="BP207" s="334">
        <f t="shared" si="3468"/>
        <v>1</v>
      </c>
      <c r="BQ207" s="335">
        <v>6954</v>
      </c>
      <c r="BR207" s="336">
        <v>258</v>
      </c>
      <c r="BS207" s="316">
        <f t="shared" ref="BS207:BT207" si="3469">IF(ISBLANK(BU207),,BU207-BU206)</f>
        <v>16</v>
      </c>
      <c r="BT207" s="334">
        <f t="shared" si="3469"/>
        <v>0</v>
      </c>
      <c r="BU207" s="335">
        <v>1458</v>
      </c>
      <c r="BV207" s="336">
        <v>30</v>
      </c>
      <c r="BW207" s="233"/>
      <c r="BX207" s="233"/>
      <c r="BY207" s="233"/>
      <c r="BZ207" s="233"/>
      <c r="CA207" s="233"/>
      <c r="CB207" s="233"/>
      <c r="CC207" s="233"/>
      <c r="CD207" s="233"/>
      <c r="CE207" s="233"/>
    </row>
    <row r="208" spans="1:83" x14ac:dyDescent="0.25">
      <c r="A208" s="313">
        <v>44098</v>
      </c>
      <c r="B208" s="314">
        <f t="shared" si="1276"/>
        <v>205</v>
      </c>
      <c r="C208" s="315"/>
      <c r="D208" s="316">
        <v>1136</v>
      </c>
      <c r="E208" s="317">
        <v>25</v>
      </c>
      <c r="F208" s="318">
        <v>66158</v>
      </c>
      <c r="G208" s="319"/>
      <c r="H208" s="330">
        <f t="shared" ref="H208:I208" si="3470">IF(ISBLANK(D208),,H207+D208)</f>
        <v>82809</v>
      </c>
      <c r="I208" s="331">
        <f t="shared" si="3470"/>
        <v>2368</v>
      </c>
      <c r="J208" s="332">
        <f t="shared" si="1"/>
        <v>597</v>
      </c>
      <c r="K208" s="333">
        <f t="shared" ref="K208:L208" si="3471">IF(ISBLANK(M208),,M208-M207)</f>
        <v>58</v>
      </c>
      <c r="L208" s="334">
        <f t="shared" si="3471"/>
        <v>0</v>
      </c>
      <c r="M208" s="335">
        <v>4838</v>
      </c>
      <c r="N208" s="336">
        <v>178</v>
      </c>
      <c r="O208" s="337">
        <f t="shared" ref="O208:P208" si="3472">IF(ISBLANK(Q208),,Q208-Q207)</f>
        <v>41</v>
      </c>
      <c r="P208" s="338">
        <f t="shared" si="3472"/>
        <v>2</v>
      </c>
      <c r="Q208" s="335">
        <v>1935</v>
      </c>
      <c r="R208" s="339">
        <v>66</v>
      </c>
      <c r="S208" s="316">
        <f t="shared" ref="S208:T208" si="3473">IF(ISBLANK(U208),,U208-U207)</f>
        <v>58</v>
      </c>
      <c r="T208" s="334">
        <f t="shared" si="3473"/>
        <v>1</v>
      </c>
      <c r="U208" s="335">
        <v>2294</v>
      </c>
      <c r="V208" s="336">
        <v>35</v>
      </c>
      <c r="W208" s="337">
        <f t="shared" ref="W208:X208" si="3474">IF(ISBLANK(Y208),,Y208-Y207)</f>
        <v>20</v>
      </c>
      <c r="X208" s="334">
        <f t="shared" si="3474"/>
        <v>1</v>
      </c>
      <c r="Y208" s="335">
        <v>897</v>
      </c>
      <c r="Z208" s="340">
        <v>17</v>
      </c>
      <c r="AA208" s="316">
        <f t="shared" ref="AA208:AB208" si="3475">IF(ISBLANK(AC208),,AC208-AC207)</f>
        <v>84</v>
      </c>
      <c r="AB208" s="334">
        <f t="shared" si="3475"/>
        <v>3</v>
      </c>
      <c r="AC208" s="335">
        <v>6244</v>
      </c>
      <c r="AD208" s="336">
        <v>265</v>
      </c>
      <c r="AE208" s="337">
        <f t="shared" ref="AE208:AF208" si="3476">IF(ISBLANK(AG208),,AG208-AG207)</f>
        <v>183</v>
      </c>
      <c r="AF208" s="334">
        <f t="shared" si="3476"/>
        <v>1</v>
      </c>
      <c r="AG208" s="335">
        <v>10058</v>
      </c>
      <c r="AH208" s="339">
        <v>180</v>
      </c>
      <c r="AI208" s="316">
        <f t="shared" ref="AI208:AJ208" si="3477">IF(ISBLANK(AK208),,AK208-AK207)</f>
        <v>149</v>
      </c>
      <c r="AJ208" s="334">
        <f t="shared" si="3477"/>
        <v>1</v>
      </c>
      <c r="AK208" s="335">
        <v>11644</v>
      </c>
      <c r="AL208" s="336">
        <v>438</v>
      </c>
      <c r="AM208" s="337">
        <f t="shared" ref="AM208:AN208" si="3478">IF(ISBLANK(AO208),,AO208-AO207)</f>
        <v>19</v>
      </c>
      <c r="AN208" s="334">
        <f t="shared" si="3478"/>
        <v>1</v>
      </c>
      <c r="AO208" s="335">
        <v>2168</v>
      </c>
      <c r="AP208" s="339">
        <v>75</v>
      </c>
      <c r="AQ208" s="316">
        <f t="shared" ref="AQ208:AR208" si="3479">IF(ISBLANK(AS208),,AS208-AS207)</f>
        <v>62</v>
      </c>
      <c r="AR208" s="338">
        <f t="shared" si="3479"/>
        <v>5</v>
      </c>
      <c r="AS208" s="335">
        <v>3407</v>
      </c>
      <c r="AT208" s="336">
        <v>121</v>
      </c>
      <c r="AU208" s="337">
        <f t="shared" ref="AU208:AV208" si="3480">IF(ISBLANK(AW208),,AW208-AW207)</f>
        <v>38</v>
      </c>
      <c r="AV208" s="334">
        <f t="shared" si="3480"/>
        <v>1</v>
      </c>
      <c r="AW208" s="335">
        <v>1686</v>
      </c>
      <c r="AX208" s="339">
        <v>41</v>
      </c>
      <c r="AY208" s="316">
        <f t="shared" ref="AY208:AZ208" si="3481">IF(ISBLANK(BA208),,BA208-BA207)</f>
        <v>143</v>
      </c>
      <c r="AZ208" s="334">
        <f t="shared" si="3481"/>
        <v>1</v>
      </c>
      <c r="BA208" s="335">
        <v>4009</v>
      </c>
      <c r="BB208" s="336">
        <v>59</v>
      </c>
      <c r="BC208" s="337">
        <f t="shared" ref="BC208:BD208" si="3482">IF(ISBLANK(BE208),,BE208-BE207)</f>
        <v>110</v>
      </c>
      <c r="BD208" s="334">
        <f t="shared" si="3482"/>
        <v>4</v>
      </c>
      <c r="BE208" s="335">
        <v>21927</v>
      </c>
      <c r="BF208" s="339">
        <v>534</v>
      </c>
      <c r="BG208" s="316">
        <f t="shared" ref="BG208:BH208" si="3483">IF(ISBLANK(BI208),,BI208-BI207)</f>
        <v>36</v>
      </c>
      <c r="BH208" s="334">
        <f t="shared" si="3483"/>
        <v>0</v>
      </c>
      <c r="BI208" s="335">
        <v>1878</v>
      </c>
      <c r="BJ208" s="336">
        <v>55</v>
      </c>
      <c r="BK208" s="337">
        <f t="shared" ref="BK208:BL208" si="3484">IF(ISBLANK(BM208),,BM208-BM207)</f>
        <v>23</v>
      </c>
      <c r="BL208" s="334">
        <f t="shared" si="3484"/>
        <v>0</v>
      </c>
      <c r="BM208" s="335">
        <v>1300</v>
      </c>
      <c r="BN208" s="339">
        <v>12</v>
      </c>
      <c r="BO208" s="316">
        <f t="shared" ref="BO208:BP208" si="3485">IF(ISBLANK(BQ208),,BQ208-BQ207)</f>
        <v>84</v>
      </c>
      <c r="BP208" s="334">
        <f t="shared" si="3485"/>
        <v>4</v>
      </c>
      <c r="BQ208" s="335">
        <v>7038</v>
      </c>
      <c r="BR208" s="336">
        <v>262</v>
      </c>
      <c r="BS208" s="316">
        <f t="shared" ref="BS208:BT208" si="3486">IF(ISBLANK(BU208),,BU208-BU207)</f>
        <v>28</v>
      </c>
      <c r="BT208" s="334">
        <f t="shared" si="3486"/>
        <v>0</v>
      </c>
      <c r="BU208" s="335">
        <v>1486</v>
      </c>
      <c r="BV208" s="336">
        <v>30</v>
      </c>
      <c r="BW208" s="233"/>
      <c r="BX208" s="233"/>
      <c r="BY208" s="233"/>
      <c r="BZ208" s="233"/>
      <c r="CA208" s="233"/>
      <c r="CB208" s="233"/>
      <c r="CC208" s="233"/>
      <c r="CD208" s="233"/>
      <c r="CE208" s="233"/>
    </row>
    <row r="209" spans="1:83" x14ac:dyDescent="0.25">
      <c r="A209" s="313">
        <v>44099</v>
      </c>
      <c r="B209" s="314">
        <f t="shared" si="1276"/>
        <v>206</v>
      </c>
      <c r="C209" s="315"/>
      <c r="D209" s="316">
        <v>1587</v>
      </c>
      <c r="E209" s="317">
        <v>23</v>
      </c>
      <c r="F209" s="318">
        <v>66740</v>
      </c>
      <c r="G209" s="319"/>
      <c r="H209" s="330">
        <f t="shared" ref="H209:I209" si="3487">IF(ISBLANK(D209),,H208+D209)</f>
        <v>84396</v>
      </c>
      <c r="I209" s="331">
        <f t="shared" si="3487"/>
        <v>2391</v>
      </c>
      <c r="J209" s="332">
        <f t="shared" si="1"/>
        <v>582</v>
      </c>
      <c r="K209" s="333">
        <f t="shared" ref="K209:L209" si="3488">IF(ISBLANK(M209),,M209-M208)</f>
        <v>52</v>
      </c>
      <c r="L209" s="334">
        <f t="shared" si="3488"/>
        <v>0</v>
      </c>
      <c r="M209" s="335">
        <v>4890</v>
      </c>
      <c r="N209" s="336">
        <v>178</v>
      </c>
      <c r="O209" s="337">
        <f t="shared" ref="O209:P209" si="3489">IF(ISBLANK(Q209),,Q209-Q208)</f>
        <v>162</v>
      </c>
      <c r="P209" s="338">
        <f t="shared" si="3489"/>
        <v>0</v>
      </c>
      <c r="Q209" s="335">
        <v>2097</v>
      </c>
      <c r="R209" s="339">
        <v>66</v>
      </c>
      <c r="S209" s="316">
        <f t="shared" ref="S209:T209" si="3490">IF(ISBLANK(U209),,U209-U208)</f>
        <v>59</v>
      </c>
      <c r="T209" s="334">
        <f t="shared" si="3490"/>
        <v>2</v>
      </c>
      <c r="U209" s="335">
        <v>2353</v>
      </c>
      <c r="V209" s="336">
        <v>37</v>
      </c>
      <c r="W209" s="337">
        <f t="shared" ref="W209:X209" si="3491">IF(ISBLANK(Y209),,Y209-Y208)</f>
        <v>15</v>
      </c>
      <c r="X209" s="334">
        <f t="shared" si="3491"/>
        <v>0</v>
      </c>
      <c r="Y209" s="335">
        <v>912</v>
      </c>
      <c r="Z209" s="340">
        <v>17</v>
      </c>
      <c r="AA209" s="316">
        <f t="shared" ref="AA209:AB209" si="3492">IF(ISBLANK(AC209),,AC209-AC208)</f>
        <v>78</v>
      </c>
      <c r="AB209" s="334">
        <f t="shared" si="3492"/>
        <v>7</v>
      </c>
      <c r="AC209" s="335">
        <v>6322</v>
      </c>
      <c r="AD209" s="336">
        <v>272</v>
      </c>
      <c r="AE209" s="337">
        <f t="shared" ref="AE209:AF209" si="3493">IF(ISBLANK(AG209),,AG209-AG208)</f>
        <v>241</v>
      </c>
      <c r="AF209" s="334">
        <f t="shared" si="3493"/>
        <v>1</v>
      </c>
      <c r="AG209" s="335">
        <v>10299</v>
      </c>
      <c r="AH209" s="339">
        <v>181</v>
      </c>
      <c r="AI209" s="316">
        <f t="shared" ref="AI209:AJ209" si="3494">IF(ISBLANK(AK209),,AK209-AK208)</f>
        <v>295</v>
      </c>
      <c r="AJ209" s="334">
        <f t="shared" si="3494"/>
        <v>1</v>
      </c>
      <c r="AK209" s="335">
        <v>11939</v>
      </c>
      <c r="AL209" s="336">
        <v>439</v>
      </c>
      <c r="AM209" s="337">
        <f t="shared" ref="AM209:AN209" si="3495">IF(ISBLANK(AO209),,AO209-AO208)</f>
        <v>38</v>
      </c>
      <c r="AN209" s="334">
        <f t="shared" si="3495"/>
        <v>1</v>
      </c>
      <c r="AO209" s="335">
        <v>2206</v>
      </c>
      <c r="AP209" s="339">
        <v>76</v>
      </c>
      <c r="AQ209" s="316">
        <f t="shared" ref="AQ209:AR209" si="3496">IF(ISBLANK(AS209),,AS209-AS208)</f>
        <v>55</v>
      </c>
      <c r="AR209" s="338">
        <f t="shared" si="3496"/>
        <v>0</v>
      </c>
      <c r="AS209" s="335">
        <v>3462</v>
      </c>
      <c r="AT209" s="336">
        <v>121</v>
      </c>
      <c r="AU209" s="337">
        <f t="shared" ref="AU209:AV209" si="3497">IF(ISBLANK(AW209),,AW209-AW208)</f>
        <v>54</v>
      </c>
      <c r="AV209" s="334">
        <f t="shared" si="3497"/>
        <v>0</v>
      </c>
      <c r="AW209" s="335">
        <v>1740</v>
      </c>
      <c r="AX209" s="339">
        <v>41</v>
      </c>
      <c r="AY209" s="316">
        <f t="shared" ref="AY209:AZ209" si="3498">IF(ISBLANK(BA209),,BA209-BA208)</f>
        <v>128</v>
      </c>
      <c r="AZ209" s="334">
        <f t="shared" si="3498"/>
        <v>2</v>
      </c>
      <c r="BA209" s="335">
        <v>4137</v>
      </c>
      <c r="BB209" s="336">
        <v>61</v>
      </c>
      <c r="BC209" s="337">
        <f t="shared" ref="BC209:BD209" si="3499">IF(ISBLANK(BE209),,BE209-BE208)</f>
        <v>126</v>
      </c>
      <c r="BD209" s="334">
        <f t="shared" si="3499"/>
        <v>3</v>
      </c>
      <c r="BE209" s="335">
        <v>22053</v>
      </c>
      <c r="BF209" s="339">
        <v>537</v>
      </c>
      <c r="BG209" s="316">
        <f t="shared" ref="BG209:BH209" si="3500">IF(ISBLANK(BI209),,BI209-BI208)</f>
        <v>52</v>
      </c>
      <c r="BH209" s="334">
        <f t="shared" si="3500"/>
        <v>0</v>
      </c>
      <c r="BI209" s="335">
        <v>1930</v>
      </c>
      <c r="BJ209" s="336">
        <v>55</v>
      </c>
      <c r="BK209" s="337">
        <f t="shared" ref="BK209:BL209" si="3501">IF(ISBLANK(BM209),,BM209-BM208)</f>
        <v>87</v>
      </c>
      <c r="BL209" s="334">
        <f t="shared" si="3501"/>
        <v>1</v>
      </c>
      <c r="BM209" s="335">
        <v>1387</v>
      </c>
      <c r="BN209" s="339">
        <v>13</v>
      </c>
      <c r="BO209" s="316">
        <f t="shared" ref="BO209:BP209" si="3502">IF(ISBLANK(BQ209),,BQ209-BQ208)</f>
        <v>84</v>
      </c>
      <c r="BP209" s="334">
        <f t="shared" si="3502"/>
        <v>5</v>
      </c>
      <c r="BQ209" s="335">
        <v>7122</v>
      </c>
      <c r="BR209" s="336">
        <v>267</v>
      </c>
      <c r="BS209" s="316">
        <f t="shared" ref="BS209:BT209" si="3503">IF(ISBLANK(BU209),,BU209-BU208)</f>
        <v>61</v>
      </c>
      <c r="BT209" s="334">
        <f t="shared" si="3503"/>
        <v>0</v>
      </c>
      <c r="BU209" s="335">
        <v>1547</v>
      </c>
      <c r="BV209" s="336">
        <v>30</v>
      </c>
      <c r="BW209" s="233"/>
      <c r="BX209" s="233"/>
      <c r="BY209" s="233"/>
      <c r="BZ209" s="233"/>
      <c r="CA209" s="233"/>
      <c r="CB209" s="233"/>
      <c r="CC209" s="233"/>
      <c r="CD209" s="233"/>
      <c r="CE209" s="233"/>
    </row>
    <row r="210" spans="1:83" x14ac:dyDescent="0.25">
      <c r="A210" s="313">
        <v>44100</v>
      </c>
      <c r="B210" s="314">
        <f t="shared" si="1276"/>
        <v>207</v>
      </c>
      <c r="C210" s="315"/>
      <c r="D210" s="316">
        <v>1584</v>
      </c>
      <c r="E210" s="317">
        <v>32</v>
      </c>
      <c r="F210" s="318">
        <v>67326</v>
      </c>
      <c r="G210" s="319"/>
      <c r="H210" s="330">
        <f t="shared" ref="H210:I210" si="3504">IF(ISBLANK(D210),,H209+D210)</f>
        <v>85980</v>
      </c>
      <c r="I210" s="331">
        <f t="shared" si="3504"/>
        <v>2423</v>
      </c>
      <c r="J210" s="332">
        <f t="shared" si="1"/>
        <v>586</v>
      </c>
      <c r="K210" s="333">
        <f t="shared" ref="K210:L210" si="3505">IF(ISBLANK(M210),,M210-M209)</f>
        <v>63</v>
      </c>
      <c r="L210" s="334">
        <f t="shared" si="3505"/>
        <v>3</v>
      </c>
      <c r="M210" s="335">
        <v>4953</v>
      </c>
      <c r="N210" s="336">
        <v>181</v>
      </c>
      <c r="O210" s="337">
        <f t="shared" ref="O210:P210" si="3506">IF(ISBLANK(Q210),,Q210-Q209)</f>
        <v>166</v>
      </c>
      <c r="P210" s="338">
        <f t="shared" si="3506"/>
        <v>1</v>
      </c>
      <c r="Q210" s="335">
        <v>2263</v>
      </c>
      <c r="R210" s="339">
        <v>67</v>
      </c>
      <c r="S210" s="316">
        <f t="shared" ref="S210:T210" si="3507">IF(ISBLANK(U210),,U210-U209)</f>
        <v>60</v>
      </c>
      <c r="T210" s="334">
        <f t="shared" si="3507"/>
        <v>0</v>
      </c>
      <c r="U210" s="335">
        <v>2413</v>
      </c>
      <c r="V210" s="336">
        <v>37</v>
      </c>
      <c r="W210" s="337">
        <f t="shared" ref="W210:X210" si="3508">IF(ISBLANK(Y210),,Y210-Y209)</f>
        <v>12</v>
      </c>
      <c r="X210" s="334">
        <f t="shared" si="3508"/>
        <v>0</v>
      </c>
      <c r="Y210" s="335">
        <v>924</v>
      </c>
      <c r="Z210" s="340">
        <v>17</v>
      </c>
      <c r="AA210" s="316">
        <f t="shared" ref="AA210:AB210" si="3509">IF(ISBLANK(AC210),,AC210-AC209)</f>
        <v>104</v>
      </c>
      <c r="AB210" s="334">
        <f t="shared" si="3509"/>
        <v>3</v>
      </c>
      <c r="AC210" s="335">
        <v>6426</v>
      </c>
      <c r="AD210" s="336">
        <v>275</v>
      </c>
      <c r="AE210" s="337">
        <f t="shared" ref="AE210:AF210" si="3510">IF(ISBLANK(AG210),,AG210-AG209)</f>
        <v>259</v>
      </c>
      <c r="AF210" s="334">
        <f t="shared" si="3510"/>
        <v>4</v>
      </c>
      <c r="AG210" s="335">
        <v>10558</v>
      </c>
      <c r="AH210" s="339">
        <v>185</v>
      </c>
      <c r="AI210" s="316">
        <f t="shared" ref="AI210:AJ210" si="3511">IF(ISBLANK(AK210),,AK210-AK209)</f>
        <v>146</v>
      </c>
      <c r="AJ210" s="334">
        <f t="shared" si="3511"/>
        <v>4</v>
      </c>
      <c r="AK210" s="335">
        <v>12085</v>
      </c>
      <c r="AL210" s="336">
        <v>443</v>
      </c>
      <c r="AM210" s="337">
        <f t="shared" ref="AM210:AN210" si="3512">IF(ISBLANK(AO210),,AO210-AO209)</f>
        <v>32</v>
      </c>
      <c r="AN210" s="334">
        <f t="shared" si="3512"/>
        <v>2</v>
      </c>
      <c r="AO210" s="335">
        <v>2238</v>
      </c>
      <c r="AP210" s="339">
        <v>78</v>
      </c>
      <c r="AQ210" s="316">
        <f t="shared" ref="AQ210:AR210" si="3513">IF(ISBLANK(AS210),,AS210-AS209)</f>
        <v>72</v>
      </c>
      <c r="AR210" s="338">
        <f t="shared" si="3513"/>
        <v>1</v>
      </c>
      <c r="AS210" s="335">
        <v>3534</v>
      </c>
      <c r="AT210" s="336">
        <v>122</v>
      </c>
      <c r="AU210" s="337">
        <f t="shared" ref="AU210:AV210" si="3514">IF(ISBLANK(AW210),,AW210-AW209)</f>
        <v>76</v>
      </c>
      <c r="AV210" s="334">
        <f t="shared" si="3514"/>
        <v>1</v>
      </c>
      <c r="AW210" s="335">
        <v>1816</v>
      </c>
      <c r="AX210" s="339">
        <v>42</v>
      </c>
      <c r="AY210" s="316">
        <f t="shared" ref="AY210:AZ210" si="3515">IF(ISBLANK(BA210),,BA210-BA209)</f>
        <v>151</v>
      </c>
      <c r="AZ210" s="334">
        <f t="shared" si="3515"/>
        <v>4</v>
      </c>
      <c r="BA210" s="335">
        <v>4288</v>
      </c>
      <c r="BB210" s="336">
        <v>65</v>
      </c>
      <c r="BC210" s="337">
        <f t="shared" ref="BC210:BD210" si="3516">IF(ISBLANK(BE210),,BE210-BE209)</f>
        <v>141</v>
      </c>
      <c r="BD210" s="334">
        <f t="shared" si="3516"/>
        <v>4</v>
      </c>
      <c r="BE210" s="335">
        <v>22194</v>
      </c>
      <c r="BF210" s="339">
        <v>541</v>
      </c>
      <c r="BG210" s="316">
        <f t="shared" ref="BG210:BH210" si="3517">IF(ISBLANK(BI210),,BI210-BI209)</f>
        <v>41</v>
      </c>
      <c r="BH210" s="334">
        <f t="shared" si="3517"/>
        <v>0</v>
      </c>
      <c r="BI210" s="335">
        <v>1971</v>
      </c>
      <c r="BJ210" s="336">
        <v>55</v>
      </c>
      <c r="BK210" s="337">
        <f t="shared" ref="BK210:BL210" si="3518">IF(ISBLANK(BM210),,BM210-BM209)</f>
        <v>43</v>
      </c>
      <c r="BL210" s="334">
        <f t="shared" si="3518"/>
        <v>0</v>
      </c>
      <c r="BM210" s="335">
        <v>1430</v>
      </c>
      <c r="BN210" s="339">
        <v>13</v>
      </c>
      <c r="BO210" s="316">
        <f t="shared" ref="BO210:BP210" si="3519">IF(ISBLANK(BQ210),,BQ210-BQ209)</f>
        <v>167</v>
      </c>
      <c r="BP210" s="334">
        <f t="shared" si="3519"/>
        <v>4</v>
      </c>
      <c r="BQ210" s="335">
        <v>7289</v>
      </c>
      <c r="BR210" s="336">
        <v>271</v>
      </c>
      <c r="BS210" s="316">
        <f t="shared" ref="BS210:BT210" si="3520">IF(ISBLANK(BU210),,BU210-BU209)</f>
        <v>51</v>
      </c>
      <c r="BT210" s="334">
        <f t="shared" si="3520"/>
        <v>1</v>
      </c>
      <c r="BU210" s="335">
        <v>1598</v>
      </c>
      <c r="BV210" s="336">
        <v>31</v>
      </c>
      <c r="BW210" s="233"/>
      <c r="BX210" s="233"/>
      <c r="BY210" s="233"/>
      <c r="BZ210" s="233"/>
      <c r="CA210" s="233"/>
      <c r="CB210" s="233"/>
      <c r="CC210" s="233"/>
      <c r="CD210" s="233"/>
      <c r="CE210" s="233"/>
    </row>
    <row r="211" spans="1:83" x14ac:dyDescent="0.25">
      <c r="A211" s="313">
        <v>44101</v>
      </c>
      <c r="B211" s="314">
        <f t="shared" si="1276"/>
        <v>208</v>
      </c>
      <c r="C211" s="315"/>
      <c r="D211" s="316">
        <v>1350</v>
      </c>
      <c r="E211" s="317">
        <v>8</v>
      </c>
      <c r="F211" s="318">
        <v>67904</v>
      </c>
      <c r="G211" s="319"/>
      <c r="H211" s="330">
        <f t="shared" ref="H211:I211" si="3521">IF(ISBLANK(D211),,H210+D211)</f>
        <v>87330</v>
      </c>
      <c r="I211" s="331">
        <f t="shared" si="3521"/>
        <v>2431</v>
      </c>
      <c r="J211" s="332">
        <f t="shared" si="1"/>
        <v>578</v>
      </c>
      <c r="K211" s="333">
        <f t="shared" ref="K211:L211" si="3522">IF(ISBLANK(M211),,M211-M210)</f>
        <v>49</v>
      </c>
      <c r="L211" s="334">
        <f t="shared" si="3522"/>
        <v>0</v>
      </c>
      <c r="M211" s="335">
        <v>5002</v>
      </c>
      <c r="N211" s="336">
        <v>181</v>
      </c>
      <c r="O211" s="337">
        <f t="shared" ref="O211:P211" si="3523">IF(ISBLANK(Q211),,Q211-Q210)</f>
        <v>72</v>
      </c>
      <c r="P211" s="338">
        <f t="shared" si="3523"/>
        <v>0</v>
      </c>
      <c r="Q211" s="335">
        <v>2335</v>
      </c>
      <c r="R211" s="339">
        <v>67</v>
      </c>
      <c r="S211" s="316">
        <f t="shared" ref="S211:T211" si="3524">IF(ISBLANK(U211),,U211-U210)</f>
        <v>77</v>
      </c>
      <c r="T211" s="334">
        <f t="shared" si="3524"/>
        <v>0</v>
      </c>
      <c r="U211" s="335">
        <v>2490</v>
      </c>
      <c r="V211" s="336">
        <v>37</v>
      </c>
      <c r="W211" s="337">
        <f t="shared" ref="W211:X211" si="3525">IF(ISBLANK(Y211),,Y211-Y210)</f>
        <v>6</v>
      </c>
      <c r="X211" s="334">
        <f t="shared" si="3525"/>
        <v>0</v>
      </c>
      <c r="Y211" s="335">
        <v>930</v>
      </c>
      <c r="Z211" s="340">
        <v>17</v>
      </c>
      <c r="AA211" s="316">
        <f t="shared" ref="AA211:AB211" si="3526">IF(ISBLANK(AC211),,AC211-AC210)</f>
        <v>86</v>
      </c>
      <c r="AB211" s="334">
        <f t="shared" si="3526"/>
        <v>0</v>
      </c>
      <c r="AC211" s="335">
        <v>6512</v>
      </c>
      <c r="AD211" s="336">
        <v>275</v>
      </c>
      <c r="AE211" s="337">
        <f t="shared" ref="AE211:AF211" si="3527">IF(ISBLANK(AG211),,AG211-AG210)</f>
        <v>152</v>
      </c>
      <c r="AF211" s="334">
        <f t="shared" si="3527"/>
        <v>1</v>
      </c>
      <c r="AG211" s="335">
        <v>10710</v>
      </c>
      <c r="AH211" s="339">
        <v>186</v>
      </c>
      <c r="AI211" s="316">
        <f t="shared" ref="AI211:AJ211" si="3528">IF(ISBLANK(AK211),,AK211-AK210)</f>
        <v>193</v>
      </c>
      <c r="AJ211" s="334">
        <f t="shared" si="3528"/>
        <v>0</v>
      </c>
      <c r="AK211" s="335">
        <v>12278</v>
      </c>
      <c r="AL211" s="336">
        <v>443</v>
      </c>
      <c r="AM211" s="337">
        <f t="shared" ref="AM211:AN211" si="3529">IF(ISBLANK(AO211),,AO211-AO210)</f>
        <v>16</v>
      </c>
      <c r="AN211" s="334">
        <f t="shared" si="3529"/>
        <v>1</v>
      </c>
      <c r="AO211" s="335">
        <v>2254</v>
      </c>
      <c r="AP211" s="339">
        <v>79</v>
      </c>
      <c r="AQ211" s="316">
        <f t="shared" ref="AQ211:AR211" si="3530">IF(ISBLANK(AS211),,AS211-AS210)</f>
        <v>70</v>
      </c>
      <c r="AR211" s="338">
        <f t="shared" si="3530"/>
        <v>3</v>
      </c>
      <c r="AS211" s="335">
        <v>3604</v>
      </c>
      <c r="AT211" s="336">
        <v>125</v>
      </c>
      <c r="AU211" s="337">
        <f t="shared" ref="AU211:AV211" si="3531">IF(ISBLANK(AW211),,AW211-AW210)</f>
        <v>65</v>
      </c>
      <c r="AV211" s="334">
        <f t="shared" si="3531"/>
        <v>1</v>
      </c>
      <c r="AW211" s="335">
        <v>1881</v>
      </c>
      <c r="AX211" s="339">
        <v>43</v>
      </c>
      <c r="AY211" s="316">
        <f t="shared" ref="AY211:AZ211" si="3532">IF(ISBLANK(BA211),,BA211-BA210)</f>
        <v>191</v>
      </c>
      <c r="AZ211" s="334">
        <f t="shared" si="3532"/>
        <v>2</v>
      </c>
      <c r="BA211" s="335">
        <v>4479</v>
      </c>
      <c r="BB211" s="336">
        <v>67</v>
      </c>
      <c r="BC211" s="337">
        <f t="shared" ref="BC211:BD211" si="3533">IF(ISBLANK(BE211),,BE211-BE210)</f>
        <v>93</v>
      </c>
      <c r="BD211" s="334">
        <f t="shared" si="3533"/>
        <v>0</v>
      </c>
      <c r="BE211" s="335">
        <v>22287</v>
      </c>
      <c r="BF211" s="339">
        <v>541</v>
      </c>
      <c r="BG211" s="316">
        <f t="shared" ref="BG211:BH211" si="3534">IF(ISBLANK(BI211),,BI211-BI210)</f>
        <v>39</v>
      </c>
      <c r="BH211" s="334">
        <f t="shared" si="3534"/>
        <v>0</v>
      </c>
      <c r="BI211" s="335">
        <v>2010</v>
      </c>
      <c r="BJ211" s="336">
        <v>55</v>
      </c>
      <c r="BK211" s="337">
        <f t="shared" ref="BK211:BL211" si="3535">IF(ISBLANK(BM211),,BM211-BM210)</f>
        <v>82</v>
      </c>
      <c r="BL211" s="334">
        <f t="shared" si="3535"/>
        <v>0</v>
      </c>
      <c r="BM211" s="335">
        <v>1512</v>
      </c>
      <c r="BN211" s="339">
        <v>13</v>
      </c>
      <c r="BO211" s="316">
        <f t="shared" ref="BO211:BP211" si="3536">IF(ISBLANK(BQ211),,BQ211-BQ210)</f>
        <v>102</v>
      </c>
      <c r="BP211" s="334">
        <f t="shared" si="3536"/>
        <v>0</v>
      </c>
      <c r="BQ211" s="335">
        <v>7391</v>
      </c>
      <c r="BR211" s="336">
        <v>271</v>
      </c>
      <c r="BS211" s="316">
        <f t="shared" ref="BS211:BT211" si="3537">IF(ISBLANK(BU211),,BU211-BU210)</f>
        <v>57</v>
      </c>
      <c r="BT211" s="334">
        <f t="shared" si="3537"/>
        <v>0</v>
      </c>
      <c r="BU211" s="335">
        <v>1655</v>
      </c>
      <c r="BV211" s="336">
        <v>31</v>
      </c>
      <c r="BW211" s="233"/>
      <c r="BX211" s="233"/>
      <c r="BY211" s="233"/>
      <c r="BZ211" s="233"/>
      <c r="CA211" s="233"/>
      <c r="CB211" s="233"/>
      <c r="CC211" s="233"/>
      <c r="CD211" s="233"/>
      <c r="CE211" s="233"/>
    </row>
    <row r="212" spans="1:83" x14ac:dyDescent="0.25">
      <c r="A212" s="313">
        <v>44102</v>
      </c>
      <c r="B212" s="314">
        <f t="shared" si="1276"/>
        <v>209</v>
      </c>
      <c r="C212" s="315"/>
      <c r="D212" s="316">
        <v>1306</v>
      </c>
      <c r="E212" s="317">
        <v>15</v>
      </c>
      <c r="F212" s="318">
        <v>68420</v>
      </c>
      <c r="G212" s="319"/>
      <c r="H212" s="330">
        <f t="shared" ref="H212:I212" si="3538">IF(ISBLANK(D212),,H211+D212)</f>
        <v>88636</v>
      </c>
      <c r="I212" s="331">
        <f t="shared" si="3538"/>
        <v>2446</v>
      </c>
      <c r="J212" s="332">
        <f t="shared" si="1"/>
        <v>516</v>
      </c>
      <c r="K212" s="333">
        <f t="shared" ref="K212:L212" si="3539">IF(ISBLANK(M212),,M212-M211)</f>
        <v>28</v>
      </c>
      <c r="L212" s="334">
        <f t="shared" si="3539"/>
        <v>0</v>
      </c>
      <c r="M212" s="335">
        <v>5030</v>
      </c>
      <c r="N212" s="336">
        <v>181</v>
      </c>
      <c r="O212" s="337">
        <f t="shared" ref="O212:P212" si="3540">IF(ISBLANK(Q212),,Q212-Q211)</f>
        <v>152</v>
      </c>
      <c r="P212" s="338">
        <f t="shared" si="3540"/>
        <v>0</v>
      </c>
      <c r="Q212" s="335">
        <v>2487</v>
      </c>
      <c r="R212" s="339">
        <v>67</v>
      </c>
      <c r="S212" s="316">
        <f t="shared" ref="S212:T212" si="3541">IF(ISBLANK(U212),,U212-U211)</f>
        <v>87</v>
      </c>
      <c r="T212" s="334">
        <f t="shared" si="3541"/>
        <v>0</v>
      </c>
      <c r="U212" s="335">
        <v>2577</v>
      </c>
      <c r="V212" s="336">
        <v>37</v>
      </c>
      <c r="W212" s="337">
        <f t="shared" ref="W212:X212" si="3542">IF(ISBLANK(Y212),,Y212-Y211)</f>
        <v>39</v>
      </c>
      <c r="X212" s="334">
        <f t="shared" si="3542"/>
        <v>0</v>
      </c>
      <c r="Y212" s="335">
        <v>969</v>
      </c>
      <c r="Z212" s="340">
        <v>17</v>
      </c>
      <c r="AA212" s="316">
        <f t="shared" ref="AA212:AB212" si="3543">IF(ISBLANK(AC212),,AC212-AC211)</f>
        <v>57</v>
      </c>
      <c r="AB212" s="334">
        <f t="shared" si="3543"/>
        <v>0</v>
      </c>
      <c r="AC212" s="335">
        <v>6569</v>
      </c>
      <c r="AD212" s="336">
        <v>275</v>
      </c>
      <c r="AE212" s="337">
        <f t="shared" ref="AE212:AF212" si="3544">IF(ISBLANK(AG212),,AG212-AG211)</f>
        <v>134</v>
      </c>
      <c r="AF212" s="334">
        <f t="shared" si="3544"/>
        <v>2</v>
      </c>
      <c r="AG212" s="335">
        <v>10844</v>
      </c>
      <c r="AH212" s="339">
        <v>188</v>
      </c>
      <c r="AI212" s="316">
        <f t="shared" ref="AI212:AJ212" si="3545">IF(ISBLANK(AK212),,AK212-AK211)</f>
        <v>152</v>
      </c>
      <c r="AJ212" s="334">
        <f t="shared" si="3545"/>
        <v>1</v>
      </c>
      <c r="AK212" s="335">
        <v>12430</v>
      </c>
      <c r="AL212" s="336">
        <v>444</v>
      </c>
      <c r="AM212" s="337">
        <f t="shared" ref="AM212:AN212" si="3546">IF(ISBLANK(AO212),,AO212-AO211)</f>
        <v>35</v>
      </c>
      <c r="AN212" s="334">
        <f t="shared" si="3546"/>
        <v>0</v>
      </c>
      <c r="AO212" s="335">
        <v>2289</v>
      </c>
      <c r="AP212" s="339">
        <v>79</v>
      </c>
      <c r="AQ212" s="316">
        <f t="shared" ref="AQ212:AR212" si="3547">IF(ISBLANK(AS212),,AS212-AS211)</f>
        <v>73</v>
      </c>
      <c r="AR212" s="338">
        <f t="shared" si="3547"/>
        <v>0</v>
      </c>
      <c r="AS212" s="335">
        <v>3677</v>
      </c>
      <c r="AT212" s="336">
        <v>125</v>
      </c>
      <c r="AU212" s="337">
        <f t="shared" ref="AU212:AV212" si="3548">IF(ISBLANK(AW212),,AW212-AW211)</f>
        <v>59</v>
      </c>
      <c r="AV212" s="334">
        <f t="shared" si="3548"/>
        <v>0</v>
      </c>
      <c r="AW212" s="335">
        <v>1940</v>
      </c>
      <c r="AX212" s="339">
        <v>43</v>
      </c>
      <c r="AY212" s="316">
        <f t="shared" ref="AY212:AZ212" si="3549">IF(ISBLANK(BA212),,BA212-BA211)</f>
        <v>150</v>
      </c>
      <c r="AZ212" s="334">
        <f t="shared" si="3549"/>
        <v>6</v>
      </c>
      <c r="BA212" s="335">
        <v>4629</v>
      </c>
      <c r="BB212" s="336">
        <v>73</v>
      </c>
      <c r="BC212" s="337">
        <f t="shared" ref="BC212:BD212" si="3550">IF(ISBLANK(BE212),,BE212-BE211)</f>
        <v>83</v>
      </c>
      <c r="BD212" s="334">
        <f t="shared" si="3550"/>
        <v>2</v>
      </c>
      <c r="BE212" s="335">
        <v>22370</v>
      </c>
      <c r="BF212" s="339">
        <v>543</v>
      </c>
      <c r="BG212" s="316">
        <f t="shared" ref="BG212:BH212" si="3551">IF(ISBLANK(BI212),,BI212-BI211)</f>
        <v>18</v>
      </c>
      <c r="BH212" s="334">
        <f t="shared" si="3551"/>
        <v>0</v>
      </c>
      <c r="BI212" s="335">
        <v>2028</v>
      </c>
      <c r="BJ212" s="336">
        <v>55</v>
      </c>
      <c r="BK212" s="337">
        <f t="shared" ref="BK212:BL212" si="3552">IF(ISBLANK(BM212),,BM212-BM211)</f>
        <v>14</v>
      </c>
      <c r="BL212" s="334">
        <f t="shared" si="3552"/>
        <v>0</v>
      </c>
      <c r="BM212" s="335">
        <v>1526</v>
      </c>
      <c r="BN212" s="339">
        <v>13</v>
      </c>
      <c r="BO212" s="316">
        <f t="shared" ref="BO212:BP212" si="3553">IF(ISBLANK(BQ212),,BQ212-BQ211)</f>
        <v>200</v>
      </c>
      <c r="BP212" s="334">
        <f t="shared" si="3553"/>
        <v>4</v>
      </c>
      <c r="BQ212" s="335">
        <v>7591</v>
      </c>
      <c r="BR212" s="336">
        <v>275</v>
      </c>
      <c r="BS212" s="316">
        <f t="shared" ref="BS212:BT212" si="3554">IF(ISBLANK(BU212),,BU212-BU211)</f>
        <v>25</v>
      </c>
      <c r="BT212" s="334">
        <f t="shared" si="3554"/>
        <v>0</v>
      </c>
      <c r="BU212" s="335">
        <v>1680</v>
      </c>
      <c r="BV212" s="336">
        <v>31</v>
      </c>
      <c r="BW212" s="233"/>
      <c r="BX212" s="233"/>
      <c r="BY212" s="233"/>
      <c r="BZ212" s="233"/>
      <c r="CA212" s="233"/>
      <c r="CB212" s="233"/>
      <c r="CC212" s="233"/>
      <c r="CD212" s="233"/>
      <c r="CE212" s="233"/>
    </row>
    <row r="213" spans="1:83" x14ac:dyDescent="0.25">
      <c r="A213" s="313">
        <v>44103</v>
      </c>
      <c r="B213" s="314">
        <f t="shared" si="1276"/>
        <v>210</v>
      </c>
      <c r="C213" s="315"/>
      <c r="D213" s="316">
        <v>1326</v>
      </c>
      <c r="E213" s="317">
        <v>36</v>
      </c>
      <c r="F213" s="318">
        <v>68955</v>
      </c>
      <c r="G213" s="319"/>
      <c r="H213" s="330">
        <f t="shared" ref="H213:I213" si="3555">IF(ISBLANK(D213),,H212+D213)</f>
        <v>89962</v>
      </c>
      <c r="I213" s="331">
        <f t="shared" si="3555"/>
        <v>2482</v>
      </c>
      <c r="J213" s="332">
        <f t="shared" si="1"/>
        <v>535</v>
      </c>
      <c r="K213" s="333">
        <f t="shared" ref="K213:L213" si="3556">IF(ISBLANK(M213),,M213-M212)</f>
        <v>64</v>
      </c>
      <c r="L213" s="334">
        <f t="shared" si="3556"/>
        <v>1</v>
      </c>
      <c r="M213" s="335">
        <v>5094</v>
      </c>
      <c r="N213" s="336">
        <v>182</v>
      </c>
      <c r="O213" s="337">
        <f t="shared" ref="O213:P213" si="3557">IF(ISBLANK(Q213),,Q213-Q212)</f>
        <v>120</v>
      </c>
      <c r="P213" s="338">
        <f t="shared" si="3557"/>
        <v>1</v>
      </c>
      <c r="Q213" s="335">
        <v>2607</v>
      </c>
      <c r="R213" s="339">
        <v>68</v>
      </c>
      <c r="S213" s="316">
        <f t="shared" ref="S213:T213" si="3558">IF(ISBLANK(U213),,U213-U212)</f>
        <v>29</v>
      </c>
      <c r="T213" s="334">
        <f t="shared" si="3558"/>
        <v>1</v>
      </c>
      <c r="U213" s="335">
        <v>2606</v>
      </c>
      <c r="V213" s="336">
        <v>38</v>
      </c>
      <c r="W213" s="337">
        <f t="shared" ref="W213:X213" si="3559">IF(ISBLANK(Y213),,Y213-Y212)</f>
        <v>16</v>
      </c>
      <c r="X213" s="334">
        <f t="shared" si="3559"/>
        <v>1</v>
      </c>
      <c r="Y213" s="335">
        <v>985</v>
      </c>
      <c r="Z213" s="340">
        <v>18</v>
      </c>
      <c r="AA213" s="316">
        <f t="shared" ref="AA213:AB213" si="3560">IF(ISBLANK(AC213),,AC213-AC212)</f>
        <v>92</v>
      </c>
      <c r="AB213" s="334">
        <f t="shared" si="3560"/>
        <v>2</v>
      </c>
      <c r="AC213" s="335">
        <v>6661</v>
      </c>
      <c r="AD213" s="336">
        <v>277</v>
      </c>
      <c r="AE213" s="337">
        <f t="shared" ref="AE213:AF213" si="3561">IF(ISBLANK(AG213),,AG213-AG212)</f>
        <v>167</v>
      </c>
      <c r="AF213" s="334">
        <f t="shared" si="3561"/>
        <v>3</v>
      </c>
      <c r="AG213" s="335">
        <v>11011</v>
      </c>
      <c r="AH213" s="339">
        <v>191</v>
      </c>
      <c r="AI213" s="316">
        <f t="shared" ref="AI213:AJ213" si="3562">IF(ISBLANK(AK213),,AK213-AK212)</f>
        <v>151</v>
      </c>
      <c r="AJ213" s="334">
        <f t="shared" si="3562"/>
        <v>0</v>
      </c>
      <c r="AK213" s="335">
        <v>12581</v>
      </c>
      <c r="AL213" s="336">
        <v>444</v>
      </c>
      <c r="AM213" s="337">
        <f t="shared" ref="AM213:AN213" si="3563">IF(ISBLANK(AO213),,AO213-AO212)</f>
        <v>36</v>
      </c>
      <c r="AN213" s="334">
        <f t="shared" si="3563"/>
        <v>1</v>
      </c>
      <c r="AO213" s="335">
        <v>2325</v>
      </c>
      <c r="AP213" s="339">
        <v>80</v>
      </c>
      <c r="AQ213" s="316">
        <f t="shared" ref="AQ213:AR213" si="3564">IF(ISBLANK(AS213),,AS213-AS212)</f>
        <v>115</v>
      </c>
      <c r="AR213" s="338">
        <f t="shared" si="3564"/>
        <v>3</v>
      </c>
      <c r="AS213" s="335">
        <v>3792</v>
      </c>
      <c r="AT213" s="336">
        <v>128</v>
      </c>
      <c r="AU213" s="337">
        <f t="shared" ref="AU213:AV213" si="3565">IF(ISBLANK(AW213),,AW213-AW212)</f>
        <v>57</v>
      </c>
      <c r="AV213" s="334">
        <f t="shared" si="3565"/>
        <v>2</v>
      </c>
      <c r="AW213" s="335">
        <v>1997</v>
      </c>
      <c r="AX213" s="339">
        <v>45</v>
      </c>
      <c r="AY213" s="316">
        <f t="shared" ref="AY213:AZ213" si="3566">IF(ISBLANK(BA213),,BA213-BA212)</f>
        <v>127</v>
      </c>
      <c r="AZ213" s="334">
        <f t="shared" si="3566"/>
        <v>7</v>
      </c>
      <c r="BA213" s="335">
        <v>4756</v>
      </c>
      <c r="BB213" s="336">
        <v>80</v>
      </c>
      <c r="BC213" s="337">
        <f t="shared" ref="BC213:BD213" si="3567">IF(ISBLANK(BE213),,BE213-BE212)</f>
        <v>124</v>
      </c>
      <c r="BD213" s="334">
        <f t="shared" si="3567"/>
        <v>6</v>
      </c>
      <c r="BE213" s="335">
        <v>22494</v>
      </c>
      <c r="BF213" s="339">
        <v>549</v>
      </c>
      <c r="BG213" s="316">
        <f t="shared" ref="BG213:BH213" si="3568">IF(ISBLANK(BI213),,BI213-BI212)</f>
        <v>39</v>
      </c>
      <c r="BH213" s="334">
        <f t="shared" si="3568"/>
        <v>1</v>
      </c>
      <c r="BI213" s="335">
        <v>2067</v>
      </c>
      <c r="BJ213" s="336">
        <v>56</v>
      </c>
      <c r="BK213" s="337">
        <f t="shared" ref="BK213:BL213" si="3569">IF(ISBLANK(BM213),,BM213-BM212)</f>
        <v>50</v>
      </c>
      <c r="BL213" s="334">
        <f t="shared" si="3569"/>
        <v>2</v>
      </c>
      <c r="BM213" s="335">
        <v>1576</v>
      </c>
      <c r="BN213" s="339">
        <v>15</v>
      </c>
      <c r="BO213" s="316">
        <f t="shared" ref="BO213:BP213" si="3570">IF(ISBLANK(BQ213),,BQ213-BQ212)</f>
        <v>81</v>
      </c>
      <c r="BP213" s="334">
        <f t="shared" si="3570"/>
        <v>4</v>
      </c>
      <c r="BQ213" s="335">
        <v>7672</v>
      </c>
      <c r="BR213" s="336">
        <v>279</v>
      </c>
      <c r="BS213" s="316">
        <f t="shared" ref="BS213:BT213" si="3571">IF(ISBLANK(BU213),,BU213-BU212)</f>
        <v>58</v>
      </c>
      <c r="BT213" s="334">
        <f t="shared" si="3571"/>
        <v>1</v>
      </c>
      <c r="BU213" s="335">
        <v>1738</v>
      </c>
      <c r="BV213" s="336">
        <v>32</v>
      </c>
      <c r="BW213" s="233"/>
      <c r="BX213" s="233"/>
      <c r="BY213" s="233"/>
      <c r="BZ213" s="233"/>
      <c r="CA213" s="233"/>
      <c r="CB213" s="233"/>
      <c r="CC213" s="233"/>
      <c r="CD213" s="233"/>
      <c r="CE213" s="233"/>
    </row>
    <row r="214" spans="1:83" x14ac:dyDescent="0.25">
      <c r="A214" s="313">
        <v>44104</v>
      </c>
      <c r="B214" s="314">
        <f t="shared" si="1276"/>
        <v>211</v>
      </c>
      <c r="C214" s="315"/>
      <c r="D214" s="316">
        <v>1552</v>
      </c>
      <c r="E214" s="317">
        <v>30</v>
      </c>
      <c r="F214" s="318">
        <v>69695</v>
      </c>
      <c r="G214" s="319"/>
      <c r="H214" s="330">
        <f t="shared" ref="H214:I214" si="3572">IF(ISBLANK(D214),,H213+D214)</f>
        <v>91514</v>
      </c>
      <c r="I214" s="331">
        <f t="shared" si="3572"/>
        <v>2512</v>
      </c>
      <c r="J214" s="332">
        <f t="shared" si="1"/>
        <v>740</v>
      </c>
      <c r="K214" s="333">
        <f t="shared" ref="K214:L214" si="3573">IF(ISBLANK(M214),,M214-M213)</f>
        <v>69</v>
      </c>
      <c r="L214" s="334">
        <f t="shared" si="3573"/>
        <v>3</v>
      </c>
      <c r="M214" s="335">
        <v>5163</v>
      </c>
      <c r="N214" s="336">
        <v>185</v>
      </c>
      <c r="O214" s="337">
        <f t="shared" ref="O214:P214" si="3574">IF(ISBLANK(Q214),,Q214-Q213)</f>
        <v>78</v>
      </c>
      <c r="P214" s="338">
        <f t="shared" si="3574"/>
        <v>4</v>
      </c>
      <c r="Q214" s="335">
        <v>2685</v>
      </c>
      <c r="R214" s="339">
        <v>72</v>
      </c>
      <c r="S214" s="316">
        <f t="shared" ref="S214:T214" si="3575">IF(ISBLANK(U214),,U214-U213)</f>
        <v>82</v>
      </c>
      <c r="T214" s="334">
        <f t="shared" si="3575"/>
        <v>1</v>
      </c>
      <c r="U214" s="335">
        <v>2688</v>
      </c>
      <c r="V214" s="336">
        <v>39</v>
      </c>
      <c r="W214" s="337">
        <f t="shared" ref="W214:X214" si="3576">IF(ISBLANK(Y214),,Y214-Y213)</f>
        <v>33</v>
      </c>
      <c r="X214" s="334">
        <f t="shared" si="3576"/>
        <v>0</v>
      </c>
      <c r="Y214" s="335">
        <v>1018</v>
      </c>
      <c r="Z214" s="340">
        <v>18</v>
      </c>
      <c r="AA214" s="316">
        <f t="shared" ref="AA214:AB214" si="3577">IF(ISBLANK(AC214),,AC214-AC213)</f>
        <v>87</v>
      </c>
      <c r="AB214" s="334">
        <f t="shared" si="3577"/>
        <v>0</v>
      </c>
      <c r="AC214" s="335">
        <v>6748</v>
      </c>
      <c r="AD214" s="336">
        <v>277</v>
      </c>
      <c r="AE214" s="337">
        <f t="shared" ref="AE214:AF214" si="3578">IF(ISBLANK(AG214),,AG214-AG213)</f>
        <v>205</v>
      </c>
      <c r="AF214" s="334">
        <f t="shared" si="3578"/>
        <v>1</v>
      </c>
      <c r="AG214" s="335">
        <v>11216</v>
      </c>
      <c r="AH214" s="339">
        <v>192</v>
      </c>
      <c r="AI214" s="316">
        <f t="shared" ref="AI214:AJ214" si="3579">IF(ISBLANK(AK214),,AK214-AK213)</f>
        <v>159</v>
      </c>
      <c r="AJ214" s="334">
        <f t="shared" si="3579"/>
        <v>4</v>
      </c>
      <c r="AK214" s="335">
        <v>12740</v>
      </c>
      <c r="AL214" s="336">
        <v>448</v>
      </c>
      <c r="AM214" s="337">
        <f t="shared" ref="AM214:AN214" si="3580">IF(ISBLANK(AO214),,AO214-AO213)</f>
        <v>36</v>
      </c>
      <c r="AN214" s="334">
        <f t="shared" si="3580"/>
        <v>0</v>
      </c>
      <c r="AO214" s="335">
        <v>2361</v>
      </c>
      <c r="AP214" s="339">
        <v>80</v>
      </c>
      <c r="AQ214" s="316">
        <f t="shared" ref="AQ214:AR214" si="3581">IF(ISBLANK(AS214),,AS214-AS213)</f>
        <v>94</v>
      </c>
      <c r="AR214" s="338">
        <f t="shared" si="3581"/>
        <v>2</v>
      </c>
      <c r="AS214" s="335">
        <v>3886</v>
      </c>
      <c r="AT214" s="336">
        <v>130</v>
      </c>
      <c r="AU214" s="337">
        <f t="shared" ref="AU214:AV214" si="3582">IF(ISBLANK(AW214),,AW214-AW213)</f>
        <v>57</v>
      </c>
      <c r="AV214" s="334">
        <f t="shared" si="3582"/>
        <v>1</v>
      </c>
      <c r="AW214" s="335">
        <v>2054</v>
      </c>
      <c r="AX214" s="339">
        <v>46</v>
      </c>
      <c r="AY214" s="316">
        <f t="shared" ref="AY214:AZ214" si="3583">IF(ISBLANK(BA214),,BA214-BA213)</f>
        <v>194</v>
      </c>
      <c r="AZ214" s="334">
        <f t="shared" si="3583"/>
        <v>2</v>
      </c>
      <c r="BA214" s="335">
        <v>4950</v>
      </c>
      <c r="BB214" s="336">
        <v>82</v>
      </c>
      <c r="BC214" s="337">
        <f t="shared" ref="BC214:BD214" si="3584">IF(ISBLANK(BE214),,BE214-BE213)</f>
        <v>128</v>
      </c>
      <c r="BD214" s="334">
        <f t="shared" si="3584"/>
        <v>5</v>
      </c>
      <c r="BE214" s="335">
        <v>22622</v>
      </c>
      <c r="BF214" s="339">
        <v>554</v>
      </c>
      <c r="BG214" s="316">
        <f t="shared" ref="BG214:BH214" si="3585">IF(ISBLANK(BI214),,BI214-BI213)</f>
        <v>50</v>
      </c>
      <c r="BH214" s="334">
        <f t="shared" si="3585"/>
        <v>0</v>
      </c>
      <c r="BI214" s="335">
        <v>2117</v>
      </c>
      <c r="BJ214" s="336">
        <v>56</v>
      </c>
      <c r="BK214" s="337">
        <f t="shared" ref="BK214:BL214" si="3586">IF(ISBLANK(BM214),,BM214-BM213)</f>
        <v>67</v>
      </c>
      <c r="BL214" s="334">
        <f t="shared" si="3586"/>
        <v>1</v>
      </c>
      <c r="BM214" s="335">
        <v>1643</v>
      </c>
      <c r="BN214" s="339">
        <v>16</v>
      </c>
      <c r="BO214" s="316">
        <f t="shared" ref="BO214:BP214" si="3587">IF(ISBLANK(BQ214),,BQ214-BQ213)</f>
        <v>140</v>
      </c>
      <c r="BP214" s="334">
        <f t="shared" si="3587"/>
        <v>4</v>
      </c>
      <c r="BQ214" s="335">
        <v>7812</v>
      </c>
      <c r="BR214" s="336">
        <v>283</v>
      </c>
      <c r="BS214" s="316">
        <f t="shared" ref="BS214:BT214" si="3588">IF(ISBLANK(BU214),,BU214-BU213)</f>
        <v>73</v>
      </c>
      <c r="BT214" s="334">
        <f t="shared" si="3588"/>
        <v>2</v>
      </c>
      <c r="BU214" s="335">
        <v>1811</v>
      </c>
      <c r="BV214" s="336">
        <v>34</v>
      </c>
      <c r="BW214" s="233"/>
      <c r="BX214" s="233"/>
      <c r="BY214" s="233"/>
      <c r="BZ214" s="233"/>
      <c r="CA214" s="233"/>
      <c r="CB214" s="233"/>
      <c r="CC214" s="233"/>
      <c r="CD214" s="233"/>
      <c r="CE214" s="233"/>
    </row>
    <row r="215" spans="1:83" x14ac:dyDescent="0.25">
      <c r="A215" s="313">
        <v>44105</v>
      </c>
      <c r="B215" s="314">
        <f t="shared" si="1276"/>
        <v>212</v>
      </c>
      <c r="C215" s="315"/>
      <c r="D215" s="316">
        <v>1967</v>
      </c>
      <c r="E215" s="317">
        <v>30</v>
      </c>
      <c r="F215" s="318">
        <v>70401</v>
      </c>
      <c r="G215" s="319"/>
      <c r="H215" s="330">
        <f t="shared" ref="H215:I215" si="3589">IF(ISBLANK(D215),,H214+D215)</f>
        <v>93481</v>
      </c>
      <c r="I215" s="331">
        <f t="shared" si="3589"/>
        <v>2542</v>
      </c>
      <c r="J215" s="332">
        <f t="shared" si="1"/>
        <v>706</v>
      </c>
      <c r="K215" s="333">
        <f t="shared" ref="K215:L215" si="3590">IF(ISBLANK(M215),,M215-M214)</f>
        <v>96</v>
      </c>
      <c r="L215" s="334">
        <f t="shared" si="3590"/>
        <v>1</v>
      </c>
      <c r="M215" s="335">
        <v>5259</v>
      </c>
      <c r="N215" s="336">
        <v>186</v>
      </c>
      <c r="O215" s="337">
        <f t="shared" ref="O215:P215" si="3591">IF(ISBLANK(Q215),,Q215-Q214)</f>
        <v>179</v>
      </c>
      <c r="P215" s="338">
        <f t="shared" si="3591"/>
        <v>0</v>
      </c>
      <c r="Q215" s="335">
        <v>2864</v>
      </c>
      <c r="R215" s="339">
        <v>72</v>
      </c>
      <c r="S215" s="316">
        <f t="shared" ref="S215:T215" si="3592">IF(ISBLANK(U215),,U215-U214)</f>
        <v>98</v>
      </c>
      <c r="T215" s="334">
        <f t="shared" si="3592"/>
        <v>2</v>
      </c>
      <c r="U215" s="335">
        <v>2786</v>
      </c>
      <c r="V215" s="336">
        <v>41</v>
      </c>
      <c r="W215" s="337">
        <f t="shared" ref="W215:X215" si="3593">IF(ISBLANK(Y215),,Y215-Y214)</f>
        <v>28</v>
      </c>
      <c r="X215" s="334">
        <f t="shared" si="3593"/>
        <v>1</v>
      </c>
      <c r="Y215" s="335">
        <v>1046</v>
      </c>
      <c r="Z215" s="340">
        <v>19</v>
      </c>
      <c r="AA215" s="316">
        <f t="shared" ref="AA215:AB215" si="3594">IF(ISBLANK(AC215),,AC215-AC214)</f>
        <v>117</v>
      </c>
      <c r="AB215" s="334">
        <f t="shared" si="3594"/>
        <v>1</v>
      </c>
      <c r="AC215" s="335">
        <v>6865</v>
      </c>
      <c r="AD215" s="336">
        <v>278</v>
      </c>
      <c r="AE215" s="337">
        <f t="shared" ref="AE215:AF215" si="3595">IF(ISBLANK(AG215),,AG215-AG214)</f>
        <v>285</v>
      </c>
      <c r="AF215" s="334">
        <f t="shared" si="3595"/>
        <v>2</v>
      </c>
      <c r="AG215" s="335">
        <v>11501</v>
      </c>
      <c r="AH215" s="339">
        <v>194</v>
      </c>
      <c r="AI215" s="316">
        <f t="shared" ref="AI215:AJ215" si="3596">IF(ISBLANK(AK215),,AK215-AK214)</f>
        <v>268</v>
      </c>
      <c r="AJ215" s="334">
        <f t="shared" si="3596"/>
        <v>1</v>
      </c>
      <c r="AK215" s="335">
        <v>13008</v>
      </c>
      <c r="AL215" s="336">
        <v>449</v>
      </c>
      <c r="AM215" s="337">
        <f t="shared" ref="AM215:AN215" si="3597">IF(ISBLANK(AO215),,AO215-AO214)</f>
        <v>21</v>
      </c>
      <c r="AN215" s="334">
        <f t="shared" si="3597"/>
        <v>0</v>
      </c>
      <c r="AO215" s="335">
        <v>2382</v>
      </c>
      <c r="AP215" s="339">
        <v>80</v>
      </c>
      <c r="AQ215" s="316">
        <f t="shared" ref="AQ215:AR215" si="3598">IF(ISBLANK(AS215),,AS215-AS214)</f>
        <v>107</v>
      </c>
      <c r="AR215" s="338">
        <f t="shared" si="3598"/>
        <v>4</v>
      </c>
      <c r="AS215" s="335">
        <v>3993</v>
      </c>
      <c r="AT215" s="336">
        <v>134</v>
      </c>
      <c r="AU215" s="337">
        <f t="shared" ref="AU215:AV215" si="3599">IF(ISBLANK(AW215),,AW215-AW214)</f>
        <v>64</v>
      </c>
      <c r="AV215" s="334">
        <f t="shared" si="3599"/>
        <v>1</v>
      </c>
      <c r="AW215" s="335">
        <v>2118</v>
      </c>
      <c r="AX215" s="339">
        <v>47</v>
      </c>
      <c r="AY215" s="316">
        <f t="shared" ref="AY215:AZ215" si="3600">IF(ISBLANK(BA215),,BA215-BA214)</f>
        <v>180</v>
      </c>
      <c r="AZ215" s="334">
        <f t="shared" si="3600"/>
        <v>1</v>
      </c>
      <c r="BA215" s="335">
        <v>5130</v>
      </c>
      <c r="BB215" s="336">
        <v>83</v>
      </c>
      <c r="BC215" s="337">
        <f t="shared" ref="BC215:BD215" si="3601">IF(ISBLANK(BE215),,BE215-BE214)</f>
        <v>148</v>
      </c>
      <c r="BD215" s="334">
        <f t="shared" si="3601"/>
        <v>6</v>
      </c>
      <c r="BE215" s="335">
        <v>22770</v>
      </c>
      <c r="BF215" s="339">
        <v>560</v>
      </c>
      <c r="BG215" s="316">
        <f t="shared" ref="BG215:BH215" si="3602">IF(ISBLANK(BI215),,BI215-BI214)</f>
        <v>43</v>
      </c>
      <c r="BH215" s="334">
        <f t="shared" si="3602"/>
        <v>1</v>
      </c>
      <c r="BI215" s="335">
        <v>2160</v>
      </c>
      <c r="BJ215" s="336">
        <v>57</v>
      </c>
      <c r="BK215" s="337">
        <f t="shared" ref="BK215:BL215" si="3603">IF(ISBLANK(BM215),,BM215-BM214)</f>
        <v>102</v>
      </c>
      <c r="BL215" s="334">
        <f t="shared" si="3603"/>
        <v>1</v>
      </c>
      <c r="BM215" s="335">
        <v>1745</v>
      </c>
      <c r="BN215" s="339">
        <v>17</v>
      </c>
      <c r="BO215" s="316">
        <f t="shared" ref="BO215:BP215" si="3604">IF(ISBLANK(BQ215),,BQ215-BQ214)</f>
        <v>173</v>
      </c>
      <c r="BP215" s="334">
        <f t="shared" si="3604"/>
        <v>6</v>
      </c>
      <c r="BQ215" s="335">
        <v>7985</v>
      </c>
      <c r="BR215" s="336">
        <v>289</v>
      </c>
      <c r="BS215" s="316">
        <f t="shared" ref="BS215:BT215" si="3605">IF(ISBLANK(BU215),,BU215-BU214)</f>
        <v>58</v>
      </c>
      <c r="BT215" s="334">
        <f t="shared" si="3605"/>
        <v>2</v>
      </c>
      <c r="BU215" s="335">
        <v>1869</v>
      </c>
      <c r="BV215" s="336">
        <v>36</v>
      </c>
      <c r="BW215" s="233"/>
      <c r="BX215" s="233"/>
      <c r="BY215" s="233"/>
      <c r="BZ215" s="233"/>
      <c r="CA215" s="233"/>
      <c r="CB215" s="233"/>
      <c r="CC215" s="233"/>
      <c r="CD215" s="233"/>
      <c r="CE215" s="233"/>
    </row>
    <row r="216" spans="1:83" x14ac:dyDescent="0.25">
      <c r="A216" s="313">
        <v>44106</v>
      </c>
      <c r="B216" s="314">
        <f t="shared" si="1276"/>
        <v>213</v>
      </c>
      <c r="C216" s="315"/>
      <c r="D216" s="316">
        <v>2292</v>
      </c>
      <c r="E216" s="317">
        <v>27</v>
      </c>
      <c r="F216" s="318">
        <v>71353</v>
      </c>
      <c r="G216" s="319"/>
      <c r="H216" s="330">
        <f t="shared" ref="H216:I216" si="3606">IF(ISBLANK(D216),,H215+D216)</f>
        <v>95773</v>
      </c>
      <c r="I216" s="331">
        <f t="shared" si="3606"/>
        <v>2569</v>
      </c>
      <c r="J216" s="332">
        <f t="shared" si="1"/>
        <v>952</v>
      </c>
      <c r="K216" s="333">
        <f t="shared" ref="K216:L216" si="3607">IF(ISBLANK(M216),,M216-M215)</f>
        <v>101</v>
      </c>
      <c r="L216" s="334">
        <f t="shared" si="3607"/>
        <v>1</v>
      </c>
      <c r="M216" s="335">
        <v>5360</v>
      </c>
      <c r="N216" s="336">
        <v>187</v>
      </c>
      <c r="O216" s="337">
        <f t="shared" ref="O216:P216" si="3608">IF(ISBLANK(Q216),,Q216-Q215)</f>
        <v>218</v>
      </c>
      <c r="P216" s="338">
        <f t="shared" si="3608"/>
        <v>0</v>
      </c>
      <c r="Q216" s="335">
        <v>3082</v>
      </c>
      <c r="R216" s="339">
        <v>72</v>
      </c>
      <c r="S216" s="316">
        <f t="shared" ref="S216:T216" si="3609">IF(ISBLANK(U216),,U216-U215)</f>
        <v>97</v>
      </c>
      <c r="T216" s="334">
        <f t="shared" si="3609"/>
        <v>6</v>
      </c>
      <c r="U216" s="335">
        <v>2883</v>
      </c>
      <c r="V216" s="336">
        <v>47</v>
      </c>
      <c r="W216" s="337">
        <f t="shared" ref="W216:X216" si="3610">IF(ISBLANK(Y216),,Y216-Y215)</f>
        <v>26</v>
      </c>
      <c r="X216" s="334">
        <f t="shared" si="3610"/>
        <v>1</v>
      </c>
      <c r="Y216" s="335">
        <v>1072</v>
      </c>
      <c r="Z216" s="340">
        <v>20</v>
      </c>
      <c r="AA216" s="316">
        <f t="shared" ref="AA216:AB216" si="3611">IF(ISBLANK(AC216),,AC216-AC215)</f>
        <v>140</v>
      </c>
      <c r="AB216" s="334">
        <f t="shared" si="3611"/>
        <v>2</v>
      </c>
      <c r="AC216" s="335">
        <v>7005</v>
      </c>
      <c r="AD216" s="336">
        <v>280</v>
      </c>
      <c r="AE216" s="337">
        <f t="shared" ref="AE216:AF216" si="3612">IF(ISBLANK(AG216),,AG216-AG215)</f>
        <v>282</v>
      </c>
      <c r="AF216" s="334">
        <f t="shared" si="3612"/>
        <v>1</v>
      </c>
      <c r="AG216" s="335">
        <v>11783</v>
      </c>
      <c r="AH216" s="339">
        <v>195</v>
      </c>
      <c r="AI216" s="316">
        <f t="shared" ref="AI216:AJ216" si="3613">IF(ISBLANK(AK216),,AK216-AK215)</f>
        <v>246</v>
      </c>
      <c r="AJ216" s="334">
        <f t="shared" si="3613"/>
        <v>2</v>
      </c>
      <c r="AK216" s="335">
        <v>13254</v>
      </c>
      <c r="AL216" s="336">
        <v>451</v>
      </c>
      <c r="AM216" s="337">
        <f t="shared" ref="AM216:AN216" si="3614">IF(ISBLANK(AO216),,AO216-AO215)</f>
        <v>56</v>
      </c>
      <c r="AN216" s="334">
        <f t="shared" si="3614"/>
        <v>0</v>
      </c>
      <c r="AO216" s="335">
        <v>2438</v>
      </c>
      <c r="AP216" s="339">
        <v>80</v>
      </c>
      <c r="AQ216" s="316">
        <f t="shared" ref="AQ216:AR216" si="3615">IF(ISBLANK(AS216),,AS216-AS215)</f>
        <v>218</v>
      </c>
      <c r="AR216" s="338">
        <f t="shared" si="3615"/>
        <v>1</v>
      </c>
      <c r="AS216" s="335">
        <v>4211</v>
      </c>
      <c r="AT216" s="336">
        <v>135</v>
      </c>
      <c r="AU216" s="337">
        <f t="shared" ref="AU216:AV216" si="3616">IF(ISBLANK(AW216),,AW216-AW215)</f>
        <v>86</v>
      </c>
      <c r="AV216" s="334">
        <f t="shared" si="3616"/>
        <v>0</v>
      </c>
      <c r="AW216" s="335">
        <v>2204</v>
      </c>
      <c r="AX216" s="339">
        <v>47</v>
      </c>
      <c r="AY216" s="316">
        <f t="shared" ref="AY216:AZ216" si="3617">IF(ISBLANK(BA216),,BA216-BA215)</f>
        <v>228</v>
      </c>
      <c r="AZ216" s="334">
        <f t="shared" si="3617"/>
        <v>3</v>
      </c>
      <c r="BA216" s="335">
        <v>5358</v>
      </c>
      <c r="BB216" s="336">
        <v>86</v>
      </c>
      <c r="BC216" s="337">
        <f t="shared" ref="BC216:BD216" si="3618">IF(ISBLANK(BE216),,BE216-BE215)</f>
        <v>179</v>
      </c>
      <c r="BD216" s="334">
        <f t="shared" si="3618"/>
        <v>3</v>
      </c>
      <c r="BE216" s="335">
        <v>22949</v>
      </c>
      <c r="BF216" s="339">
        <v>563</v>
      </c>
      <c r="BG216" s="316">
        <f t="shared" ref="BG216:BH216" si="3619">IF(ISBLANK(BI216),,BI216-BI215)</f>
        <v>33</v>
      </c>
      <c r="BH216" s="334">
        <f t="shared" si="3619"/>
        <v>0</v>
      </c>
      <c r="BI216" s="335">
        <v>2193</v>
      </c>
      <c r="BJ216" s="336">
        <v>57</v>
      </c>
      <c r="BK216" s="337">
        <f t="shared" ref="BK216:BL216" si="3620">IF(ISBLANK(BM216),,BM216-BM215)</f>
        <v>72</v>
      </c>
      <c r="BL216" s="334">
        <f t="shared" si="3620"/>
        <v>2</v>
      </c>
      <c r="BM216" s="335">
        <v>1817</v>
      </c>
      <c r="BN216" s="339">
        <v>19</v>
      </c>
      <c r="BO216" s="316">
        <f t="shared" ref="BO216:BP216" si="3621">IF(ISBLANK(BQ216),,BQ216-BQ215)</f>
        <v>196</v>
      </c>
      <c r="BP216" s="334">
        <f t="shared" si="3621"/>
        <v>5</v>
      </c>
      <c r="BQ216" s="335">
        <v>8181</v>
      </c>
      <c r="BR216" s="336">
        <v>294</v>
      </c>
      <c r="BS216" s="316">
        <f t="shared" ref="BS216:BT216" si="3622">IF(ISBLANK(BU216),,BU216-BU215)</f>
        <v>114</v>
      </c>
      <c r="BT216" s="334">
        <f t="shared" si="3622"/>
        <v>0</v>
      </c>
      <c r="BU216" s="335">
        <v>1983</v>
      </c>
      <c r="BV216" s="336">
        <v>36</v>
      </c>
      <c r="BW216" s="233"/>
      <c r="BX216" s="233"/>
      <c r="BY216" s="233"/>
      <c r="BZ216" s="233"/>
      <c r="CA216" s="233"/>
      <c r="CB216" s="233"/>
      <c r="CC216" s="233"/>
      <c r="CD216" s="233"/>
      <c r="CE216" s="233"/>
    </row>
    <row r="217" spans="1:83" x14ac:dyDescent="0.25">
      <c r="A217" s="313">
        <v>44107</v>
      </c>
      <c r="B217" s="314">
        <f t="shared" si="1276"/>
        <v>214</v>
      </c>
      <c r="C217" s="315"/>
      <c r="D217" s="316">
        <v>2367</v>
      </c>
      <c r="E217" s="317">
        <v>34</v>
      </c>
      <c r="F217" s="318">
        <v>72209</v>
      </c>
      <c r="G217" s="319"/>
      <c r="H217" s="330">
        <f t="shared" ref="H217:I217" si="3623">IF(ISBLANK(D217),,H216+D217)</f>
        <v>98140</v>
      </c>
      <c r="I217" s="331">
        <f t="shared" si="3623"/>
        <v>2603</v>
      </c>
      <c r="J217" s="332">
        <f t="shared" si="1"/>
        <v>856</v>
      </c>
      <c r="K217" s="333">
        <f t="shared" ref="K217:L217" si="3624">IF(ISBLANK(M217),,M217-M216)</f>
        <v>63</v>
      </c>
      <c r="L217" s="334">
        <f t="shared" si="3624"/>
        <v>2</v>
      </c>
      <c r="M217" s="335">
        <v>5423</v>
      </c>
      <c r="N217" s="336">
        <v>189</v>
      </c>
      <c r="O217" s="337">
        <f t="shared" ref="O217:P217" si="3625">IF(ISBLANK(Q217),,Q217-Q216)</f>
        <v>110</v>
      </c>
      <c r="P217" s="338">
        <f t="shared" si="3625"/>
        <v>2</v>
      </c>
      <c r="Q217" s="335">
        <v>3192</v>
      </c>
      <c r="R217" s="339">
        <v>74</v>
      </c>
      <c r="S217" s="316">
        <f t="shared" ref="S217:T217" si="3626">IF(ISBLANK(U217),,U217-U216)</f>
        <v>116</v>
      </c>
      <c r="T217" s="334">
        <f t="shared" si="3626"/>
        <v>0</v>
      </c>
      <c r="U217" s="335">
        <v>2999</v>
      </c>
      <c r="V217" s="336">
        <v>47</v>
      </c>
      <c r="W217" s="337">
        <f t="shared" ref="W217:X217" si="3627">IF(ISBLANK(Y217),,Y217-Y216)</f>
        <v>56</v>
      </c>
      <c r="X217" s="334">
        <f t="shared" si="3627"/>
        <v>0</v>
      </c>
      <c r="Y217" s="335">
        <v>1128</v>
      </c>
      <c r="Z217" s="340">
        <v>20</v>
      </c>
      <c r="AA217" s="316">
        <f t="shared" ref="AA217:AB217" si="3628">IF(ISBLANK(AC217),,AC217-AC216)</f>
        <v>152</v>
      </c>
      <c r="AB217" s="334">
        <f t="shared" si="3628"/>
        <v>3</v>
      </c>
      <c r="AC217" s="335">
        <v>7157</v>
      </c>
      <c r="AD217" s="336">
        <v>283</v>
      </c>
      <c r="AE217" s="337">
        <f t="shared" ref="AE217:AF217" si="3629">IF(ISBLANK(AG217),,AG217-AG216)</f>
        <v>290</v>
      </c>
      <c r="AF217" s="334">
        <f t="shared" si="3629"/>
        <v>2</v>
      </c>
      <c r="AG217" s="335">
        <v>12073</v>
      </c>
      <c r="AH217" s="339">
        <v>197</v>
      </c>
      <c r="AI217" s="316">
        <f t="shared" ref="AI217:AJ217" si="3630">IF(ISBLANK(AK217),,AK217-AK216)</f>
        <v>277</v>
      </c>
      <c r="AJ217" s="334">
        <f t="shared" si="3630"/>
        <v>2</v>
      </c>
      <c r="AK217" s="335">
        <v>13531</v>
      </c>
      <c r="AL217" s="336">
        <v>453</v>
      </c>
      <c r="AM217" s="337">
        <f t="shared" ref="AM217:AN217" si="3631">IF(ISBLANK(AO217),,AO217-AO216)</f>
        <v>53</v>
      </c>
      <c r="AN217" s="334">
        <f t="shared" si="3631"/>
        <v>1</v>
      </c>
      <c r="AO217" s="335">
        <v>2491</v>
      </c>
      <c r="AP217" s="339">
        <v>81</v>
      </c>
      <c r="AQ217" s="316">
        <f t="shared" ref="AQ217:AR217" si="3632">IF(ISBLANK(AS217),,AS217-AS216)</f>
        <v>141</v>
      </c>
      <c r="AR217" s="338">
        <f t="shared" si="3632"/>
        <v>2</v>
      </c>
      <c r="AS217" s="335">
        <v>4352</v>
      </c>
      <c r="AT217" s="336">
        <v>137</v>
      </c>
      <c r="AU217" s="337">
        <f t="shared" ref="AU217:AV217" si="3633">IF(ISBLANK(AW217),,AW217-AW216)</f>
        <v>126</v>
      </c>
      <c r="AV217" s="334">
        <f t="shared" si="3633"/>
        <v>1</v>
      </c>
      <c r="AW217" s="335">
        <v>2330</v>
      </c>
      <c r="AX217" s="339">
        <v>48</v>
      </c>
      <c r="AY217" s="316">
        <f t="shared" ref="AY217:AZ217" si="3634">IF(ISBLANK(BA217),,BA217-BA216)</f>
        <v>244</v>
      </c>
      <c r="AZ217" s="334">
        <f t="shared" si="3634"/>
        <v>2</v>
      </c>
      <c r="BA217" s="335">
        <v>5602</v>
      </c>
      <c r="BB217" s="336">
        <v>88</v>
      </c>
      <c r="BC217" s="337">
        <f t="shared" ref="BC217:BD217" si="3635">IF(ISBLANK(BE217),,BE217-BE216)</f>
        <v>221</v>
      </c>
      <c r="BD217" s="334">
        <f t="shared" si="3635"/>
        <v>2</v>
      </c>
      <c r="BE217" s="335">
        <v>23170</v>
      </c>
      <c r="BF217" s="339">
        <v>565</v>
      </c>
      <c r="BG217" s="316">
        <f t="shared" ref="BG217:BH217" si="3636">IF(ISBLANK(BI217),,BI217-BI216)</f>
        <v>156</v>
      </c>
      <c r="BH217" s="334">
        <f t="shared" si="3636"/>
        <v>3</v>
      </c>
      <c r="BI217" s="335">
        <v>2349</v>
      </c>
      <c r="BJ217" s="336">
        <v>60</v>
      </c>
      <c r="BK217" s="337">
        <f t="shared" ref="BK217:BL217" si="3637">IF(ISBLANK(BM217),,BM217-BM216)</f>
        <v>76</v>
      </c>
      <c r="BL217" s="334">
        <f t="shared" si="3637"/>
        <v>1</v>
      </c>
      <c r="BM217" s="335">
        <v>1893</v>
      </c>
      <c r="BN217" s="339">
        <v>20</v>
      </c>
      <c r="BO217" s="316">
        <f t="shared" ref="BO217:BP217" si="3638">IF(ISBLANK(BQ217),,BQ217-BQ216)</f>
        <v>224</v>
      </c>
      <c r="BP217" s="334">
        <f t="shared" si="3638"/>
        <v>11</v>
      </c>
      <c r="BQ217" s="335">
        <v>8405</v>
      </c>
      <c r="BR217" s="336">
        <v>305</v>
      </c>
      <c r="BS217" s="316">
        <f t="shared" ref="BS217:BT217" si="3639">IF(ISBLANK(BU217),,BU217-BU216)</f>
        <v>62</v>
      </c>
      <c r="BT217" s="334">
        <f t="shared" si="3639"/>
        <v>0</v>
      </c>
      <c r="BU217" s="335">
        <v>2045</v>
      </c>
      <c r="BV217" s="336">
        <v>36</v>
      </c>
      <c r="BW217" s="233"/>
      <c r="BX217" s="233"/>
      <c r="BY217" s="233"/>
      <c r="BZ217" s="233"/>
      <c r="CA217" s="233"/>
      <c r="CB217" s="233"/>
      <c r="CC217" s="233"/>
      <c r="CD217" s="233"/>
      <c r="CE217" s="233"/>
    </row>
    <row r="218" spans="1:83" x14ac:dyDescent="0.25">
      <c r="A218" s="313">
        <v>44108</v>
      </c>
      <c r="B218" s="314">
        <f t="shared" si="1276"/>
        <v>215</v>
      </c>
      <c r="C218" s="315"/>
      <c r="D218" s="316">
        <v>1934</v>
      </c>
      <c r="E218" s="317">
        <v>26</v>
      </c>
      <c r="F218" s="318">
        <v>73003</v>
      </c>
      <c r="G218" s="319"/>
      <c r="H218" s="330">
        <f t="shared" ref="H218:I218" si="3640">IF(ISBLANK(D218),,H217+D218)</f>
        <v>100074</v>
      </c>
      <c r="I218" s="331">
        <f t="shared" si="3640"/>
        <v>2629</v>
      </c>
      <c r="J218" s="332">
        <f t="shared" si="1"/>
        <v>794</v>
      </c>
      <c r="K218" s="333">
        <f t="shared" ref="K218:L218" si="3641">IF(ISBLANK(M218),,M218-M217)</f>
        <v>62</v>
      </c>
      <c r="L218" s="334">
        <f t="shared" si="3641"/>
        <v>0</v>
      </c>
      <c r="M218" s="335">
        <v>5485</v>
      </c>
      <c r="N218" s="336">
        <v>189</v>
      </c>
      <c r="O218" s="337">
        <f t="shared" ref="O218:P218" si="3642">IF(ISBLANK(Q218),,Q218-Q217)</f>
        <v>229</v>
      </c>
      <c r="P218" s="338">
        <f t="shared" si="3642"/>
        <v>0</v>
      </c>
      <c r="Q218" s="335">
        <v>3421</v>
      </c>
      <c r="R218" s="339">
        <v>74</v>
      </c>
      <c r="S218" s="316">
        <f t="shared" ref="S218:T218" si="3643">IF(ISBLANK(U218),,U218-U217)</f>
        <v>102</v>
      </c>
      <c r="T218" s="334">
        <f t="shared" si="3643"/>
        <v>2</v>
      </c>
      <c r="U218" s="335">
        <v>3101</v>
      </c>
      <c r="V218" s="336">
        <v>49</v>
      </c>
      <c r="W218" s="337">
        <f t="shared" ref="W218:X218" si="3644">IF(ISBLANK(Y218),,Y218-Y217)</f>
        <v>96</v>
      </c>
      <c r="X218" s="334">
        <f t="shared" si="3644"/>
        <v>0</v>
      </c>
      <c r="Y218" s="335">
        <v>1224</v>
      </c>
      <c r="Z218" s="340">
        <v>20</v>
      </c>
      <c r="AA218" s="316">
        <f t="shared" ref="AA218:AB218" si="3645">IF(ISBLANK(AC218),,AC218-AC217)</f>
        <v>127</v>
      </c>
      <c r="AB218" s="334">
        <f t="shared" si="3645"/>
        <v>0</v>
      </c>
      <c r="AC218" s="335">
        <v>7284</v>
      </c>
      <c r="AD218" s="336">
        <v>283</v>
      </c>
      <c r="AE218" s="337">
        <f t="shared" ref="AE218:AF218" si="3646">IF(ISBLANK(AG218),,AG218-AG217)</f>
        <v>185</v>
      </c>
      <c r="AF218" s="334">
        <f t="shared" si="3646"/>
        <v>4</v>
      </c>
      <c r="AG218" s="335">
        <v>12258</v>
      </c>
      <c r="AH218" s="339">
        <v>201</v>
      </c>
      <c r="AI218" s="316">
        <f t="shared" ref="AI218:AJ218" si="3647">IF(ISBLANK(AK218),,AK218-AK217)</f>
        <v>164</v>
      </c>
      <c r="AJ218" s="334">
        <f t="shared" si="3647"/>
        <v>3</v>
      </c>
      <c r="AK218" s="335">
        <v>13695</v>
      </c>
      <c r="AL218" s="336">
        <v>456</v>
      </c>
      <c r="AM218" s="337">
        <f t="shared" ref="AM218:AN218" si="3648">IF(ISBLANK(AO218),,AO218-AO217)</f>
        <v>44</v>
      </c>
      <c r="AN218" s="334">
        <f t="shared" si="3648"/>
        <v>0</v>
      </c>
      <c r="AO218" s="335">
        <v>2535</v>
      </c>
      <c r="AP218" s="339">
        <v>81</v>
      </c>
      <c r="AQ218" s="316">
        <f t="shared" ref="AQ218:AR218" si="3649">IF(ISBLANK(AS218),,AS218-AS217)</f>
        <v>141</v>
      </c>
      <c r="AR218" s="338">
        <f t="shared" si="3649"/>
        <v>3</v>
      </c>
      <c r="AS218" s="335">
        <v>4493</v>
      </c>
      <c r="AT218" s="336">
        <v>140</v>
      </c>
      <c r="AU218" s="337">
        <f t="shared" ref="AU218:AV218" si="3650">IF(ISBLANK(AW218),,AW218-AW217)</f>
        <v>76</v>
      </c>
      <c r="AV218" s="334">
        <f t="shared" si="3650"/>
        <v>0</v>
      </c>
      <c r="AW218" s="335">
        <v>2406</v>
      </c>
      <c r="AX218" s="339">
        <v>48</v>
      </c>
      <c r="AY218" s="316">
        <f t="shared" ref="AY218:AZ218" si="3651">IF(ISBLANK(BA218),,BA218-BA217)</f>
        <v>223</v>
      </c>
      <c r="AZ218" s="334">
        <f t="shared" si="3651"/>
        <v>4</v>
      </c>
      <c r="BA218" s="335">
        <v>5825</v>
      </c>
      <c r="BB218" s="336">
        <v>92</v>
      </c>
      <c r="BC218" s="337">
        <f t="shared" ref="BC218:BD218" si="3652">IF(ISBLANK(BE218),,BE218-BE217)</f>
        <v>120</v>
      </c>
      <c r="BD218" s="334">
        <f t="shared" si="3652"/>
        <v>0</v>
      </c>
      <c r="BE218" s="335">
        <v>23290</v>
      </c>
      <c r="BF218" s="339">
        <v>565</v>
      </c>
      <c r="BG218" s="316">
        <f t="shared" ref="BG218:BH218" si="3653">IF(ISBLANK(BI218),,BI218-BI217)</f>
        <v>70</v>
      </c>
      <c r="BH218" s="334">
        <f t="shared" si="3653"/>
        <v>0</v>
      </c>
      <c r="BI218" s="335">
        <v>2419</v>
      </c>
      <c r="BJ218" s="336">
        <v>60</v>
      </c>
      <c r="BK218" s="337">
        <f t="shared" ref="BK218:BL218" si="3654">IF(ISBLANK(BM218),,BM218-BM217)</f>
        <v>69</v>
      </c>
      <c r="BL218" s="334">
        <f t="shared" si="3654"/>
        <v>2</v>
      </c>
      <c r="BM218" s="335">
        <v>1962</v>
      </c>
      <c r="BN218" s="339">
        <v>22</v>
      </c>
      <c r="BO218" s="316">
        <f t="shared" ref="BO218:BP218" si="3655">IF(ISBLANK(BQ218),,BQ218-BQ217)</f>
        <v>168</v>
      </c>
      <c r="BP218" s="334">
        <f t="shared" si="3655"/>
        <v>8</v>
      </c>
      <c r="BQ218" s="335">
        <v>8573</v>
      </c>
      <c r="BR218" s="336">
        <v>313</v>
      </c>
      <c r="BS218" s="316">
        <f t="shared" ref="BS218:BT218" si="3656">IF(ISBLANK(BU218),,BU218-BU217)</f>
        <v>58</v>
      </c>
      <c r="BT218" s="334">
        <f t="shared" si="3656"/>
        <v>0</v>
      </c>
      <c r="BU218" s="335">
        <v>2103</v>
      </c>
      <c r="BV218" s="336">
        <v>36</v>
      </c>
      <c r="BW218" s="233"/>
      <c r="BX218" s="233"/>
      <c r="BY218" s="233"/>
      <c r="BZ218" s="233"/>
      <c r="CA218" s="233"/>
      <c r="CB218" s="233"/>
      <c r="CC218" s="233"/>
      <c r="CD218" s="233"/>
      <c r="CE218" s="233"/>
    </row>
    <row r="219" spans="1:83" x14ac:dyDescent="0.25">
      <c r="A219" s="313">
        <v>44109</v>
      </c>
      <c r="B219" s="314">
        <f t="shared" si="1276"/>
        <v>216</v>
      </c>
      <c r="C219" s="315"/>
      <c r="D219" s="316">
        <v>2006</v>
      </c>
      <c r="E219" s="317">
        <v>29</v>
      </c>
      <c r="F219" s="318">
        <v>73552</v>
      </c>
      <c r="G219" s="319"/>
      <c r="H219" s="330">
        <f t="shared" ref="H219:I219" si="3657">IF(ISBLANK(D219),,H218+D219)</f>
        <v>102080</v>
      </c>
      <c r="I219" s="331">
        <f t="shared" si="3657"/>
        <v>2658</v>
      </c>
      <c r="J219" s="332">
        <f t="shared" si="1"/>
        <v>549</v>
      </c>
      <c r="K219" s="333">
        <f t="shared" ref="K219:L219" si="3658">IF(ISBLANK(M219),,M219-M218)</f>
        <v>87</v>
      </c>
      <c r="L219" s="334">
        <f t="shared" si="3658"/>
        <v>0</v>
      </c>
      <c r="M219" s="335">
        <v>5572</v>
      </c>
      <c r="N219" s="336">
        <v>189</v>
      </c>
      <c r="O219" s="337">
        <f t="shared" ref="O219:P219" si="3659">IF(ISBLANK(Q219),,Q219-Q218)</f>
        <v>109</v>
      </c>
      <c r="P219" s="338">
        <f t="shared" si="3659"/>
        <v>0</v>
      </c>
      <c r="Q219" s="335">
        <v>3530</v>
      </c>
      <c r="R219" s="339">
        <v>74</v>
      </c>
      <c r="S219" s="316">
        <f t="shared" ref="S219:T219" si="3660">IF(ISBLANK(U219),,U219-U218)</f>
        <v>172</v>
      </c>
      <c r="T219" s="334">
        <f t="shared" si="3660"/>
        <v>4</v>
      </c>
      <c r="U219" s="335">
        <v>3273</v>
      </c>
      <c r="V219" s="336">
        <v>53</v>
      </c>
      <c r="W219" s="337">
        <f t="shared" ref="W219:X219" si="3661">IF(ISBLANK(Y219),,Y219-Y218)</f>
        <v>54</v>
      </c>
      <c r="X219" s="334">
        <f t="shared" si="3661"/>
        <v>0</v>
      </c>
      <c r="Y219" s="335">
        <v>1278</v>
      </c>
      <c r="Z219" s="340">
        <v>20</v>
      </c>
      <c r="AA219" s="316">
        <f t="shared" ref="AA219:AB219" si="3662">IF(ISBLANK(AC219),,AC219-AC218)</f>
        <v>126</v>
      </c>
      <c r="AB219" s="334">
        <f t="shared" si="3662"/>
        <v>0</v>
      </c>
      <c r="AC219" s="335">
        <v>7410</v>
      </c>
      <c r="AD219" s="336">
        <v>283</v>
      </c>
      <c r="AE219" s="337">
        <f t="shared" ref="AE219:AF219" si="3663">IF(ISBLANK(AG219),,AG219-AG218)</f>
        <v>217</v>
      </c>
      <c r="AF219" s="334">
        <f t="shared" si="3663"/>
        <v>0</v>
      </c>
      <c r="AG219" s="335">
        <v>12475</v>
      </c>
      <c r="AH219" s="339">
        <v>201</v>
      </c>
      <c r="AI219" s="316">
        <f t="shared" ref="AI219:AJ219" si="3664">IF(ISBLANK(AK219),,AK219-AK218)</f>
        <v>336</v>
      </c>
      <c r="AJ219" s="334">
        <f t="shared" si="3664"/>
        <v>1</v>
      </c>
      <c r="AK219" s="335">
        <v>14031</v>
      </c>
      <c r="AL219" s="336">
        <v>457</v>
      </c>
      <c r="AM219" s="337">
        <f t="shared" ref="AM219:AN219" si="3665">IF(ISBLANK(AO219),,AO219-AO218)</f>
        <v>48</v>
      </c>
      <c r="AN219" s="334">
        <f t="shared" si="3665"/>
        <v>0</v>
      </c>
      <c r="AO219" s="335">
        <v>2583</v>
      </c>
      <c r="AP219" s="339">
        <v>81</v>
      </c>
      <c r="AQ219" s="316">
        <f t="shared" ref="AQ219:AR219" si="3666">IF(ISBLANK(AS219),,AS219-AS218)</f>
        <v>142</v>
      </c>
      <c r="AR219" s="338">
        <f t="shared" si="3666"/>
        <v>7</v>
      </c>
      <c r="AS219" s="335">
        <v>4635</v>
      </c>
      <c r="AT219" s="336">
        <v>147</v>
      </c>
      <c r="AU219" s="337">
        <f t="shared" ref="AU219:AV219" si="3667">IF(ISBLANK(AW219),,AW219-AW218)</f>
        <v>90</v>
      </c>
      <c r="AV219" s="334">
        <f t="shared" si="3667"/>
        <v>0</v>
      </c>
      <c r="AW219" s="335">
        <v>2496</v>
      </c>
      <c r="AX219" s="339">
        <v>48</v>
      </c>
      <c r="AY219" s="316">
        <f t="shared" ref="AY219:AZ219" si="3668">IF(ISBLANK(BA219),,BA219-BA218)</f>
        <v>202</v>
      </c>
      <c r="AZ219" s="334">
        <f t="shared" si="3668"/>
        <v>5</v>
      </c>
      <c r="BA219" s="335">
        <v>6027</v>
      </c>
      <c r="BB219" s="336">
        <v>97</v>
      </c>
      <c r="BC219" s="337">
        <f t="shared" ref="BC219:BD219" si="3669">IF(ISBLANK(BE219),,BE219-BE218)</f>
        <v>125</v>
      </c>
      <c r="BD219" s="334">
        <f t="shared" si="3669"/>
        <v>1</v>
      </c>
      <c r="BE219" s="335">
        <v>23415</v>
      </c>
      <c r="BF219" s="339">
        <v>566</v>
      </c>
      <c r="BG219" s="316">
        <f t="shared" ref="BG219:BH219" si="3670">IF(ISBLANK(BI219),,BI219-BI218)</f>
        <v>49</v>
      </c>
      <c r="BH219" s="334">
        <f t="shared" si="3670"/>
        <v>0</v>
      </c>
      <c r="BI219" s="335">
        <v>2468</v>
      </c>
      <c r="BJ219" s="336">
        <v>60</v>
      </c>
      <c r="BK219" s="337">
        <f t="shared" ref="BK219:BL219" si="3671">IF(ISBLANK(BM219),,BM219-BM218)</f>
        <v>28</v>
      </c>
      <c r="BL219" s="334">
        <f t="shared" si="3671"/>
        <v>2</v>
      </c>
      <c r="BM219" s="335">
        <v>1990</v>
      </c>
      <c r="BN219" s="339">
        <v>24</v>
      </c>
      <c r="BO219" s="316">
        <f t="shared" ref="BO219:BP219" si="3672">IF(ISBLANK(BQ219),,BQ219-BQ218)</f>
        <v>180</v>
      </c>
      <c r="BP219" s="334">
        <f t="shared" si="3672"/>
        <v>9</v>
      </c>
      <c r="BQ219" s="335">
        <v>8753</v>
      </c>
      <c r="BR219" s="336">
        <v>322</v>
      </c>
      <c r="BS219" s="316">
        <f t="shared" ref="BS219:BT219" si="3673">IF(ISBLANK(BU219),,BU219-BU218)</f>
        <v>41</v>
      </c>
      <c r="BT219" s="334">
        <f t="shared" si="3673"/>
        <v>0</v>
      </c>
      <c r="BU219" s="335">
        <v>2144</v>
      </c>
      <c r="BV219" s="336">
        <v>36</v>
      </c>
      <c r="BW219" s="233"/>
      <c r="BX219" s="233"/>
      <c r="BY219" s="233"/>
      <c r="BZ219" s="233"/>
      <c r="CA219" s="233"/>
      <c r="CB219" s="233"/>
      <c r="CC219" s="233"/>
      <c r="CD219" s="233"/>
      <c r="CE219" s="233"/>
    </row>
    <row r="220" spans="1:83" x14ac:dyDescent="0.25">
      <c r="A220" s="313">
        <v>44110</v>
      </c>
      <c r="B220" s="314">
        <f t="shared" si="1276"/>
        <v>217</v>
      </c>
      <c r="C220" s="315"/>
      <c r="D220" s="316">
        <v>2236</v>
      </c>
      <c r="E220" s="317">
        <v>58</v>
      </c>
      <c r="F220" s="318">
        <v>74158</v>
      </c>
      <c r="G220" s="319"/>
      <c r="H220" s="330">
        <f t="shared" ref="H220:I220" si="3674">IF(ISBLANK(D220),,H219+D220)</f>
        <v>104316</v>
      </c>
      <c r="I220" s="331">
        <f t="shared" si="3674"/>
        <v>2716</v>
      </c>
      <c r="J220" s="332">
        <f t="shared" si="1"/>
        <v>606</v>
      </c>
      <c r="K220" s="333">
        <f t="shared" ref="K220:L220" si="3675">IF(ISBLANK(M220),,M220-M219)</f>
        <v>140</v>
      </c>
      <c r="L220" s="334">
        <f t="shared" si="3675"/>
        <v>0</v>
      </c>
      <c r="M220" s="335">
        <v>5712</v>
      </c>
      <c r="N220" s="336">
        <v>189</v>
      </c>
      <c r="O220" s="337">
        <f t="shared" ref="O220:P220" si="3676">IF(ISBLANK(Q220),,Q220-Q219)</f>
        <v>153</v>
      </c>
      <c r="P220" s="338">
        <f t="shared" si="3676"/>
        <v>1</v>
      </c>
      <c r="Q220" s="335">
        <v>3683</v>
      </c>
      <c r="R220" s="339">
        <v>75</v>
      </c>
      <c r="S220" s="316">
        <f t="shared" ref="S220:T220" si="3677">IF(ISBLANK(U220),,U220-U219)</f>
        <v>138</v>
      </c>
      <c r="T220" s="334">
        <f t="shared" si="3677"/>
        <v>3</v>
      </c>
      <c r="U220" s="335">
        <v>3411</v>
      </c>
      <c r="V220" s="336">
        <v>56</v>
      </c>
      <c r="W220" s="337">
        <f t="shared" ref="W220:X220" si="3678">IF(ISBLANK(Y220),,Y220-Y219)</f>
        <v>9</v>
      </c>
      <c r="X220" s="334">
        <f t="shared" si="3678"/>
        <v>0</v>
      </c>
      <c r="Y220" s="335">
        <v>1287</v>
      </c>
      <c r="Z220" s="340">
        <v>20</v>
      </c>
      <c r="AA220" s="316">
        <f t="shared" ref="AA220:AB220" si="3679">IF(ISBLANK(AC220),,AC220-AC219)</f>
        <v>155</v>
      </c>
      <c r="AB220" s="334">
        <f t="shared" si="3679"/>
        <v>2</v>
      </c>
      <c r="AC220" s="335">
        <v>7565</v>
      </c>
      <c r="AD220" s="336">
        <v>285</v>
      </c>
      <c r="AE220" s="337">
        <f t="shared" ref="AE220:AF220" si="3680">IF(ISBLANK(AG220),,AG220-AG219)</f>
        <v>268</v>
      </c>
      <c r="AF220" s="334">
        <f t="shared" si="3680"/>
        <v>10</v>
      </c>
      <c r="AG220" s="335">
        <v>12743</v>
      </c>
      <c r="AH220" s="339">
        <v>211</v>
      </c>
      <c r="AI220" s="316">
        <f t="shared" ref="AI220:AJ220" si="3681">IF(ISBLANK(AK220),,AK220-AK219)</f>
        <v>318</v>
      </c>
      <c r="AJ220" s="334">
        <f t="shared" si="3681"/>
        <v>5</v>
      </c>
      <c r="AK220" s="335">
        <v>14349</v>
      </c>
      <c r="AL220" s="336">
        <v>462</v>
      </c>
      <c r="AM220" s="337">
        <f t="shared" ref="AM220:AN220" si="3682">IF(ISBLANK(AO220),,AO220-AO219)</f>
        <v>53</v>
      </c>
      <c r="AN220" s="334">
        <f t="shared" si="3682"/>
        <v>3</v>
      </c>
      <c r="AO220" s="335">
        <v>2636</v>
      </c>
      <c r="AP220" s="339">
        <v>84</v>
      </c>
      <c r="AQ220" s="316">
        <f t="shared" ref="AQ220:AR220" si="3683">IF(ISBLANK(AS220),,AS220-AS219)</f>
        <v>137</v>
      </c>
      <c r="AR220" s="338">
        <f t="shared" si="3683"/>
        <v>7</v>
      </c>
      <c r="AS220" s="335">
        <v>4772</v>
      </c>
      <c r="AT220" s="336">
        <v>154</v>
      </c>
      <c r="AU220" s="337">
        <f t="shared" ref="AU220:AV220" si="3684">IF(ISBLANK(AW220),,AW220-AW219)</f>
        <v>57</v>
      </c>
      <c r="AV220" s="334">
        <f t="shared" si="3684"/>
        <v>0</v>
      </c>
      <c r="AW220" s="335">
        <v>2553</v>
      </c>
      <c r="AX220" s="339">
        <v>48</v>
      </c>
      <c r="AY220" s="316">
        <f t="shared" ref="AY220:AZ220" si="3685">IF(ISBLANK(BA220),,BA220-BA219)</f>
        <v>199</v>
      </c>
      <c r="AZ220" s="334">
        <f t="shared" si="3685"/>
        <v>8</v>
      </c>
      <c r="BA220" s="335">
        <v>6226</v>
      </c>
      <c r="BB220" s="336">
        <v>105</v>
      </c>
      <c r="BC220" s="337">
        <f t="shared" ref="BC220:BD220" si="3686">IF(ISBLANK(BE220),,BE220-BE219)</f>
        <v>218</v>
      </c>
      <c r="BD220" s="334">
        <f t="shared" si="3686"/>
        <v>4</v>
      </c>
      <c r="BE220" s="335">
        <v>23633</v>
      </c>
      <c r="BF220" s="339">
        <v>570</v>
      </c>
      <c r="BG220" s="316">
        <f t="shared" ref="BG220:BH220" si="3687">IF(ISBLANK(BI220),,BI220-BI219)</f>
        <v>139</v>
      </c>
      <c r="BH220" s="334">
        <f t="shared" si="3687"/>
        <v>6</v>
      </c>
      <c r="BI220" s="335">
        <v>2607</v>
      </c>
      <c r="BJ220" s="336">
        <v>66</v>
      </c>
      <c r="BK220" s="337">
        <f t="shared" ref="BK220:BL220" si="3688">IF(ISBLANK(BM220),,BM220-BM219)</f>
        <v>35</v>
      </c>
      <c r="BL220" s="334">
        <f t="shared" si="3688"/>
        <v>2</v>
      </c>
      <c r="BM220" s="335">
        <v>2025</v>
      </c>
      <c r="BN220" s="339">
        <v>26</v>
      </c>
      <c r="BO220" s="316">
        <f t="shared" ref="BO220:BP220" si="3689">IF(ISBLANK(BQ220),,BQ220-BQ219)</f>
        <v>106</v>
      </c>
      <c r="BP220" s="334">
        <f t="shared" si="3689"/>
        <v>7</v>
      </c>
      <c r="BQ220" s="335">
        <v>8859</v>
      </c>
      <c r="BR220" s="336">
        <v>329</v>
      </c>
      <c r="BS220" s="316">
        <f t="shared" ref="BS220:BT220" si="3690">IF(ISBLANK(BU220),,BU220-BU219)</f>
        <v>111</v>
      </c>
      <c r="BT220" s="334">
        <f t="shared" si="3690"/>
        <v>0</v>
      </c>
      <c r="BU220" s="335">
        <v>2255</v>
      </c>
      <c r="BV220" s="336">
        <v>36</v>
      </c>
      <c r="BW220" s="233"/>
      <c r="BX220" s="233"/>
      <c r="BY220" s="233"/>
      <c r="BZ220" s="233"/>
      <c r="CA220" s="233"/>
      <c r="CB220" s="233"/>
      <c r="CC220" s="233"/>
      <c r="CD220" s="233"/>
      <c r="CE220" s="233"/>
    </row>
    <row r="221" spans="1:83" x14ac:dyDescent="0.25">
      <c r="A221" s="313">
        <v>44111</v>
      </c>
      <c r="B221" s="314">
        <f t="shared" si="1276"/>
        <v>218</v>
      </c>
      <c r="C221" s="315"/>
      <c r="D221" s="316">
        <v>3003</v>
      </c>
      <c r="E221" s="317">
        <v>75</v>
      </c>
      <c r="F221" s="318">
        <v>75346</v>
      </c>
      <c r="G221" s="319"/>
      <c r="H221" s="330">
        <f t="shared" ref="H221:I221" si="3691">IF(ISBLANK(D221),,H220+D221)</f>
        <v>107319</v>
      </c>
      <c r="I221" s="331">
        <f t="shared" si="3691"/>
        <v>2791</v>
      </c>
      <c r="J221" s="332">
        <f t="shared" si="1"/>
        <v>1188</v>
      </c>
      <c r="K221" s="333">
        <f t="shared" ref="K221:L221" si="3692">IF(ISBLANK(M221),,M221-M220)</f>
        <v>184</v>
      </c>
      <c r="L221" s="334">
        <f t="shared" si="3692"/>
        <v>1</v>
      </c>
      <c r="M221" s="335">
        <v>5896</v>
      </c>
      <c r="N221" s="336">
        <v>190</v>
      </c>
      <c r="O221" s="337">
        <f t="shared" ref="O221:P221" si="3693">IF(ISBLANK(Q221),,Q221-Q220)</f>
        <v>184</v>
      </c>
      <c r="P221" s="338">
        <f t="shared" si="3693"/>
        <v>8</v>
      </c>
      <c r="Q221" s="335">
        <v>3867</v>
      </c>
      <c r="R221" s="339">
        <v>83</v>
      </c>
      <c r="S221" s="316">
        <f t="shared" ref="S221:T221" si="3694">IF(ISBLANK(U221),,U221-U220)</f>
        <v>106</v>
      </c>
      <c r="T221" s="334">
        <f t="shared" si="3694"/>
        <v>4</v>
      </c>
      <c r="U221" s="335">
        <v>3517</v>
      </c>
      <c r="V221" s="336">
        <v>60</v>
      </c>
      <c r="W221" s="337">
        <f t="shared" ref="W221:X221" si="3695">IF(ISBLANK(Y221),,Y221-Y220)</f>
        <v>12</v>
      </c>
      <c r="X221" s="334">
        <f t="shared" si="3695"/>
        <v>0</v>
      </c>
      <c r="Y221" s="335">
        <v>1299</v>
      </c>
      <c r="Z221" s="340">
        <v>20</v>
      </c>
      <c r="AA221" s="316">
        <f t="shared" ref="AA221:AB221" si="3696">IF(ISBLANK(AC221),,AC221-AC220)</f>
        <v>223</v>
      </c>
      <c r="AB221" s="334">
        <f t="shared" si="3696"/>
        <v>9</v>
      </c>
      <c r="AC221" s="335">
        <v>7788</v>
      </c>
      <c r="AD221" s="336">
        <v>294</v>
      </c>
      <c r="AE221" s="337">
        <f t="shared" ref="AE221:AF221" si="3697">IF(ISBLANK(AG221),,AG221-AG220)</f>
        <v>357</v>
      </c>
      <c r="AF221" s="334">
        <f t="shared" si="3697"/>
        <v>4</v>
      </c>
      <c r="AG221" s="335">
        <v>13100</v>
      </c>
      <c r="AH221" s="339">
        <v>215</v>
      </c>
      <c r="AI221" s="316">
        <f t="shared" ref="AI221:AJ221" si="3698">IF(ISBLANK(AK221),,AK221-AK220)</f>
        <v>527</v>
      </c>
      <c r="AJ221" s="334">
        <f t="shared" si="3698"/>
        <v>4</v>
      </c>
      <c r="AK221" s="335">
        <v>14876</v>
      </c>
      <c r="AL221" s="336">
        <v>466</v>
      </c>
      <c r="AM221" s="337">
        <f t="shared" ref="AM221:AN221" si="3699">IF(ISBLANK(AO221),,AO221-AO220)</f>
        <v>50</v>
      </c>
      <c r="AN221" s="334">
        <f t="shared" si="3699"/>
        <v>6</v>
      </c>
      <c r="AO221" s="335">
        <v>2686</v>
      </c>
      <c r="AP221" s="339">
        <v>90</v>
      </c>
      <c r="AQ221" s="316">
        <f t="shared" ref="AQ221:AR221" si="3700">IF(ISBLANK(AS221),,AS221-AS220)</f>
        <v>141</v>
      </c>
      <c r="AR221" s="338">
        <f t="shared" si="3700"/>
        <v>7</v>
      </c>
      <c r="AS221" s="335">
        <v>4913</v>
      </c>
      <c r="AT221" s="336">
        <v>161</v>
      </c>
      <c r="AU221" s="337">
        <f t="shared" ref="AU221:AV221" si="3701">IF(ISBLANK(AW221),,AW221-AW220)</f>
        <v>84</v>
      </c>
      <c r="AV221" s="334">
        <f t="shared" si="3701"/>
        <v>3</v>
      </c>
      <c r="AW221" s="335">
        <v>2637</v>
      </c>
      <c r="AX221" s="339">
        <v>51</v>
      </c>
      <c r="AY221" s="316">
        <f t="shared" ref="AY221:AZ221" si="3702">IF(ISBLANK(BA221),,BA221-BA220)</f>
        <v>193</v>
      </c>
      <c r="AZ221" s="334">
        <f t="shared" si="3702"/>
        <v>7</v>
      </c>
      <c r="BA221" s="335">
        <v>6419</v>
      </c>
      <c r="BB221" s="336">
        <v>112</v>
      </c>
      <c r="BC221" s="337">
        <f t="shared" ref="BC221:BD221" si="3703">IF(ISBLANK(BE221),,BE221-BE220)</f>
        <v>286</v>
      </c>
      <c r="BD221" s="334">
        <f t="shared" si="3703"/>
        <v>7</v>
      </c>
      <c r="BE221" s="335">
        <v>23919</v>
      </c>
      <c r="BF221" s="339">
        <v>577</v>
      </c>
      <c r="BG221" s="316">
        <f t="shared" ref="BG221:BH221" si="3704">IF(ISBLANK(BI221),,BI221-BI220)</f>
        <v>149</v>
      </c>
      <c r="BH221" s="334">
        <f t="shared" si="3704"/>
        <v>2</v>
      </c>
      <c r="BI221" s="335">
        <v>2756</v>
      </c>
      <c r="BJ221" s="336">
        <v>68</v>
      </c>
      <c r="BK221" s="337">
        <f t="shared" ref="BK221:BL221" si="3705">IF(ISBLANK(BM221),,BM221-BM220)</f>
        <v>119</v>
      </c>
      <c r="BL221" s="334">
        <f t="shared" si="3705"/>
        <v>0</v>
      </c>
      <c r="BM221" s="335">
        <v>2144</v>
      </c>
      <c r="BN221" s="339">
        <v>26</v>
      </c>
      <c r="BO221" s="316">
        <f t="shared" ref="BO221:BP221" si="3706">IF(ISBLANK(BQ221),,BQ221-BQ220)</f>
        <v>242</v>
      </c>
      <c r="BP221" s="334">
        <f t="shared" si="3706"/>
        <v>12</v>
      </c>
      <c r="BQ221" s="335">
        <v>9101</v>
      </c>
      <c r="BR221" s="336">
        <v>341</v>
      </c>
      <c r="BS221" s="316">
        <f t="shared" ref="BS221:BT221" si="3707">IF(ISBLANK(BU221),,BU221-BU220)</f>
        <v>146</v>
      </c>
      <c r="BT221" s="334">
        <f t="shared" si="3707"/>
        <v>1</v>
      </c>
      <c r="BU221" s="335">
        <v>2401</v>
      </c>
      <c r="BV221" s="336">
        <v>37</v>
      </c>
      <c r="BW221" s="233"/>
      <c r="BX221" s="233"/>
      <c r="BY221" s="233"/>
      <c r="BZ221" s="233"/>
      <c r="CA221" s="233"/>
      <c r="CB221" s="233"/>
      <c r="CC221" s="233"/>
      <c r="CD221" s="233"/>
      <c r="CE221" s="233"/>
    </row>
    <row r="222" spans="1:83" x14ac:dyDescent="0.25">
      <c r="A222" s="313">
        <v>44112</v>
      </c>
      <c r="B222" s="314">
        <f t="shared" si="1276"/>
        <v>219</v>
      </c>
      <c r="C222" s="315"/>
      <c r="D222" s="316">
        <v>4280</v>
      </c>
      <c r="E222" s="317">
        <v>76</v>
      </c>
      <c r="F222" s="318">
        <v>76490</v>
      </c>
      <c r="G222" s="319"/>
      <c r="H222" s="330">
        <f t="shared" ref="H222:I222" si="3708">IF(ISBLANK(D222),,H221+D222)</f>
        <v>111599</v>
      </c>
      <c r="I222" s="331">
        <f t="shared" si="3708"/>
        <v>2867</v>
      </c>
      <c r="J222" s="332">
        <f t="shared" si="1"/>
        <v>1144</v>
      </c>
      <c r="K222" s="333">
        <f t="shared" ref="K222:L222" si="3709">IF(ISBLANK(M222),,M222-M221)</f>
        <v>258</v>
      </c>
      <c r="L222" s="334">
        <f t="shared" si="3709"/>
        <v>7</v>
      </c>
      <c r="M222" s="335">
        <v>6154</v>
      </c>
      <c r="N222" s="336">
        <v>197</v>
      </c>
      <c r="O222" s="337">
        <f t="shared" ref="O222:P222" si="3710">IF(ISBLANK(Q222),,Q222-Q221)</f>
        <v>311</v>
      </c>
      <c r="P222" s="338">
        <f t="shared" si="3710"/>
        <v>2</v>
      </c>
      <c r="Q222" s="335">
        <v>4178</v>
      </c>
      <c r="R222" s="339">
        <v>85</v>
      </c>
      <c r="S222" s="316">
        <f t="shared" ref="S222:T222" si="3711">IF(ISBLANK(U222),,U222-U221)</f>
        <v>204</v>
      </c>
      <c r="T222" s="334">
        <f t="shared" si="3711"/>
        <v>1</v>
      </c>
      <c r="U222" s="335">
        <v>3721</v>
      </c>
      <c r="V222" s="336">
        <v>61</v>
      </c>
      <c r="W222" s="337">
        <f t="shared" ref="W222:X222" si="3712">IF(ISBLANK(Y222),,Y222-Y221)</f>
        <v>69</v>
      </c>
      <c r="X222" s="334">
        <f t="shared" si="3712"/>
        <v>1</v>
      </c>
      <c r="Y222" s="335">
        <v>1368</v>
      </c>
      <c r="Z222" s="340">
        <v>21</v>
      </c>
      <c r="AA222" s="316">
        <f t="shared" ref="AA222:AB222" si="3713">IF(ISBLANK(AC222),,AC222-AC221)</f>
        <v>279</v>
      </c>
      <c r="AB222" s="334">
        <f t="shared" si="3713"/>
        <v>3</v>
      </c>
      <c r="AC222" s="335">
        <v>8067</v>
      </c>
      <c r="AD222" s="336">
        <v>297</v>
      </c>
      <c r="AE222" s="337">
        <f t="shared" ref="AE222:AF222" si="3714">IF(ISBLANK(AG222),,AG222-AG221)</f>
        <v>548</v>
      </c>
      <c r="AF222" s="334">
        <f t="shared" si="3714"/>
        <v>12</v>
      </c>
      <c r="AG222" s="335">
        <v>13648</v>
      </c>
      <c r="AH222" s="339">
        <v>227</v>
      </c>
      <c r="AI222" s="316">
        <f t="shared" ref="AI222:AJ222" si="3715">IF(ISBLANK(AK222),,AK222-AK221)</f>
        <v>598</v>
      </c>
      <c r="AJ222" s="334">
        <f t="shared" si="3715"/>
        <v>13</v>
      </c>
      <c r="AK222" s="335">
        <v>15474</v>
      </c>
      <c r="AL222" s="336">
        <v>479</v>
      </c>
      <c r="AM222" s="337">
        <f t="shared" ref="AM222:AN222" si="3716">IF(ISBLANK(AO222),,AO222-AO221)</f>
        <v>90</v>
      </c>
      <c r="AN222" s="334">
        <f t="shared" si="3716"/>
        <v>3</v>
      </c>
      <c r="AO222" s="335">
        <v>2776</v>
      </c>
      <c r="AP222" s="339">
        <v>93</v>
      </c>
      <c r="AQ222" s="316">
        <f t="shared" ref="AQ222:AR222" si="3717">IF(ISBLANK(AS222),,AS222-AS221)</f>
        <v>256</v>
      </c>
      <c r="AR222" s="338">
        <f t="shared" si="3717"/>
        <v>8</v>
      </c>
      <c r="AS222" s="335">
        <v>5169</v>
      </c>
      <c r="AT222" s="336">
        <v>169</v>
      </c>
      <c r="AU222" s="337">
        <f t="shared" ref="AU222:AV222" si="3718">IF(ISBLANK(AW222),,AW222-AW221)</f>
        <v>94</v>
      </c>
      <c r="AV222" s="334">
        <f t="shared" si="3718"/>
        <v>8</v>
      </c>
      <c r="AW222" s="335">
        <v>2731</v>
      </c>
      <c r="AX222" s="339">
        <v>59</v>
      </c>
      <c r="AY222" s="316">
        <f t="shared" ref="AY222:AZ222" si="3719">IF(ISBLANK(BA222),,BA222-BA221)</f>
        <v>313</v>
      </c>
      <c r="AZ222" s="334">
        <f t="shared" si="3719"/>
        <v>1</v>
      </c>
      <c r="BA222" s="335">
        <v>6732</v>
      </c>
      <c r="BB222" s="336">
        <v>113</v>
      </c>
      <c r="BC222" s="337">
        <f t="shared" ref="BC222:BD222" si="3720">IF(ISBLANK(BE222),,BE222-BE221)</f>
        <v>375</v>
      </c>
      <c r="BD222" s="334">
        <f t="shared" si="3720"/>
        <v>5</v>
      </c>
      <c r="BE222" s="335">
        <v>24294</v>
      </c>
      <c r="BF222" s="339">
        <v>582</v>
      </c>
      <c r="BG222" s="316">
        <f t="shared" ref="BG222:BH222" si="3721">IF(ISBLANK(BI222),,BI222-BI221)</f>
        <v>159</v>
      </c>
      <c r="BH222" s="334">
        <f t="shared" si="3721"/>
        <v>3</v>
      </c>
      <c r="BI222" s="335">
        <v>2915</v>
      </c>
      <c r="BJ222" s="336">
        <v>71</v>
      </c>
      <c r="BK222" s="337">
        <f t="shared" ref="BK222:BL222" si="3722">IF(ISBLANK(BM222),,BM222-BM221)</f>
        <v>105</v>
      </c>
      <c r="BL222" s="334">
        <f t="shared" si="3722"/>
        <v>3</v>
      </c>
      <c r="BM222" s="335">
        <v>2249</v>
      </c>
      <c r="BN222" s="339">
        <v>29</v>
      </c>
      <c r="BO222" s="316">
        <f t="shared" ref="BO222:BP222" si="3723">IF(ISBLANK(BQ222),,BQ222-BQ221)</f>
        <v>505</v>
      </c>
      <c r="BP222" s="334">
        <f t="shared" si="3723"/>
        <v>6</v>
      </c>
      <c r="BQ222" s="335">
        <v>9606</v>
      </c>
      <c r="BR222" s="336">
        <v>347</v>
      </c>
      <c r="BS222" s="316">
        <f t="shared" ref="BS222:BT222" si="3724">IF(ISBLANK(BU222),,BU222-BU221)</f>
        <v>116</v>
      </c>
      <c r="BT222" s="334">
        <f t="shared" si="3724"/>
        <v>0</v>
      </c>
      <c r="BU222" s="335">
        <v>2517</v>
      </c>
      <c r="BV222" s="336">
        <v>37</v>
      </c>
      <c r="BW222" s="233"/>
      <c r="BX222" s="233"/>
      <c r="BY222" s="233"/>
      <c r="BZ222" s="233"/>
      <c r="CA222" s="233"/>
      <c r="CB222" s="233"/>
      <c r="CC222" s="233"/>
      <c r="CD222" s="233"/>
      <c r="CE222" s="233"/>
    </row>
    <row r="223" spans="1:83" x14ac:dyDescent="0.25">
      <c r="A223" s="313">
        <v>44113</v>
      </c>
      <c r="B223" s="314">
        <f t="shared" si="1276"/>
        <v>220</v>
      </c>
      <c r="C223" s="315"/>
      <c r="D223" s="316">
        <v>4739</v>
      </c>
      <c r="E223" s="317">
        <v>52</v>
      </c>
      <c r="F223" s="318">
        <v>77875</v>
      </c>
      <c r="G223" s="319"/>
      <c r="H223" s="330">
        <f t="shared" ref="H223:I223" si="3725">IF(ISBLANK(D223),,H222+D223)</f>
        <v>116338</v>
      </c>
      <c r="I223" s="331">
        <f t="shared" si="3725"/>
        <v>2919</v>
      </c>
      <c r="J223" s="332">
        <f t="shared" si="1"/>
        <v>1385</v>
      </c>
      <c r="K223" s="333">
        <f t="shared" ref="K223:L223" si="3726">IF(ISBLANK(M223),,M223-M222)</f>
        <v>250</v>
      </c>
      <c r="L223" s="334">
        <f t="shared" si="3726"/>
        <v>3</v>
      </c>
      <c r="M223" s="335">
        <v>6404</v>
      </c>
      <c r="N223" s="336">
        <v>200</v>
      </c>
      <c r="O223" s="337">
        <f t="shared" ref="O223:P223" si="3727">IF(ISBLANK(Q223),,Q223-Q222)</f>
        <v>324</v>
      </c>
      <c r="P223" s="338">
        <f t="shared" si="3727"/>
        <v>6</v>
      </c>
      <c r="Q223" s="335">
        <v>4502</v>
      </c>
      <c r="R223" s="339">
        <v>91</v>
      </c>
      <c r="S223" s="316">
        <f t="shared" ref="S223:T223" si="3728">IF(ISBLANK(U223),,U223-U222)</f>
        <v>185</v>
      </c>
      <c r="T223" s="334">
        <f t="shared" si="3728"/>
        <v>5</v>
      </c>
      <c r="U223" s="335">
        <v>3906</v>
      </c>
      <c r="V223" s="336">
        <v>66</v>
      </c>
      <c r="W223" s="337">
        <f t="shared" ref="W223:X223" si="3729">IF(ISBLANK(Y223),,Y223-Y222)</f>
        <v>33</v>
      </c>
      <c r="X223" s="334">
        <f t="shared" si="3729"/>
        <v>0</v>
      </c>
      <c r="Y223" s="335">
        <v>1401</v>
      </c>
      <c r="Z223" s="340">
        <v>21</v>
      </c>
      <c r="AA223" s="316">
        <f t="shared" ref="AA223:AB223" si="3730">IF(ISBLANK(AC223),,AC223-AC222)</f>
        <v>363</v>
      </c>
      <c r="AB223" s="334">
        <f t="shared" si="3730"/>
        <v>5</v>
      </c>
      <c r="AC223" s="335">
        <v>8430</v>
      </c>
      <c r="AD223" s="336">
        <v>302</v>
      </c>
      <c r="AE223" s="337">
        <f t="shared" ref="AE223:AF223" si="3731">IF(ISBLANK(AG223),,AG223-AG222)</f>
        <v>724</v>
      </c>
      <c r="AF223" s="334">
        <f t="shared" si="3731"/>
        <v>4</v>
      </c>
      <c r="AG223" s="335">
        <v>14372</v>
      </c>
      <c r="AH223" s="339">
        <v>231</v>
      </c>
      <c r="AI223" s="316">
        <f t="shared" ref="AI223:AJ223" si="3732">IF(ISBLANK(AK223),,AK223-AK222)</f>
        <v>521</v>
      </c>
      <c r="AJ223" s="334">
        <f t="shared" si="3732"/>
        <v>3</v>
      </c>
      <c r="AK223" s="335">
        <v>15995</v>
      </c>
      <c r="AL223" s="336">
        <v>482</v>
      </c>
      <c r="AM223" s="337">
        <f t="shared" ref="AM223:AN223" si="3733">IF(ISBLANK(AO223),,AO223-AO222)</f>
        <v>116</v>
      </c>
      <c r="AN223" s="334">
        <f t="shared" si="3733"/>
        <v>1</v>
      </c>
      <c r="AO223" s="335">
        <v>2892</v>
      </c>
      <c r="AP223" s="339">
        <v>94</v>
      </c>
      <c r="AQ223" s="316">
        <f t="shared" ref="AQ223:AR223" si="3734">IF(ISBLANK(AS223),,AS223-AS222)</f>
        <v>368</v>
      </c>
      <c r="AR223" s="338">
        <f t="shared" si="3734"/>
        <v>0</v>
      </c>
      <c r="AS223" s="335">
        <v>5537</v>
      </c>
      <c r="AT223" s="336">
        <v>169</v>
      </c>
      <c r="AU223" s="337">
        <f t="shared" ref="AU223:AV223" si="3735">IF(ISBLANK(AW223),,AW223-AW222)</f>
        <v>117</v>
      </c>
      <c r="AV223" s="334">
        <f t="shared" si="3735"/>
        <v>2</v>
      </c>
      <c r="AW223" s="335">
        <v>2848</v>
      </c>
      <c r="AX223" s="339">
        <v>61</v>
      </c>
      <c r="AY223" s="316">
        <f t="shared" ref="AY223:AZ223" si="3736">IF(ISBLANK(BA223),,BA223-BA222)</f>
        <v>388</v>
      </c>
      <c r="AZ223" s="334">
        <f t="shared" si="3736"/>
        <v>5</v>
      </c>
      <c r="BA223" s="335">
        <v>7120</v>
      </c>
      <c r="BB223" s="336">
        <v>118</v>
      </c>
      <c r="BC223" s="337">
        <f t="shared" ref="BC223:BD223" si="3737">IF(ISBLANK(BE223),,BE223-BE222)</f>
        <v>490</v>
      </c>
      <c r="BD223" s="334">
        <f t="shared" si="3737"/>
        <v>8</v>
      </c>
      <c r="BE223" s="335">
        <v>24784</v>
      </c>
      <c r="BF223" s="339">
        <v>590</v>
      </c>
      <c r="BG223" s="316">
        <f t="shared" ref="BG223:BH223" si="3738">IF(ISBLANK(BI223),,BI223-BI222)</f>
        <v>192</v>
      </c>
      <c r="BH223" s="334">
        <f t="shared" si="3738"/>
        <v>2</v>
      </c>
      <c r="BI223" s="335">
        <v>3107</v>
      </c>
      <c r="BJ223" s="336">
        <v>73</v>
      </c>
      <c r="BK223" s="337">
        <f t="shared" ref="BK223:BL223" si="3739">IF(ISBLANK(BM223),,BM223-BM222)</f>
        <v>102</v>
      </c>
      <c r="BL223" s="334">
        <f t="shared" si="3739"/>
        <v>2</v>
      </c>
      <c r="BM223" s="335">
        <v>2351</v>
      </c>
      <c r="BN223" s="339">
        <v>31</v>
      </c>
      <c r="BO223" s="316">
        <f t="shared" ref="BO223:BP223" si="3740">IF(ISBLANK(BQ223),,BQ223-BQ222)</f>
        <v>436</v>
      </c>
      <c r="BP223" s="334">
        <f t="shared" si="3740"/>
        <v>5</v>
      </c>
      <c r="BQ223" s="335">
        <v>10042</v>
      </c>
      <c r="BR223" s="336">
        <v>352</v>
      </c>
      <c r="BS223" s="316">
        <f t="shared" ref="BS223:BT223" si="3741">IF(ISBLANK(BU223),,BU223-BU222)</f>
        <v>130</v>
      </c>
      <c r="BT223" s="334">
        <f t="shared" si="3741"/>
        <v>1</v>
      </c>
      <c r="BU223" s="335">
        <v>2647</v>
      </c>
      <c r="BV223" s="336">
        <v>38</v>
      </c>
      <c r="BW223" s="233"/>
      <c r="BX223" s="233"/>
      <c r="BY223" s="233"/>
      <c r="BZ223" s="233"/>
      <c r="CA223" s="233"/>
      <c r="CB223" s="233"/>
      <c r="CC223" s="233"/>
      <c r="CD223" s="233"/>
      <c r="CE223" s="233"/>
    </row>
    <row r="224" spans="1:83" x14ac:dyDescent="0.25">
      <c r="A224" s="313">
        <v>44114</v>
      </c>
      <c r="B224" s="314">
        <f t="shared" si="1276"/>
        <v>221</v>
      </c>
      <c r="C224" s="315"/>
      <c r="D224" s="316">
        <v>5300</v>
      </c>
      <c r="E224" s="317">
        <v>53</v>
      </c>
      <c r="F224" s="318">
        <v>78982</v>
      </c>
      <c r="G224" s="319"/>
      <c r="H224" s="330">
        <f t="shared" ref="H224:I224" si="3742">IF(ISBLANK(D224),,H223+D224)</f>
        <v>121638</v>
      </c>
      <c r="I224" s="331">
        <f t="shared" si="3742"/>
        <v>2972</v>
      </c>
      <c r="J224" s="332">
        <f t="shared" si="1"/>
        <v>1107</v>
      </c>
      <c r="K224" s="333">
        <f t="shared" ref="K224:L224" si="3743">IF(ISBLANK(M224),,M224-M223)</f>
        <v>242</v>
      </c>
      <c r="L224" s="334">
        <f t="shared" si="3743"/>
        <v>1</v>
      </c>
      <c r="M224" s="335">
        <v>6646</v>
      </c>
      <c r="N224" s="336">
        <v>201</v>
      </c>
      <c r="O224" s="337">
        <f t="shared" ref="O224:P224" si="3744">IF(ISBLANK(Q224),,Q224-Q223)</f>
        <v>554</v>
      </c>
      <c r="P224" s="338">
        <f t="shared" si="3744"/>
        <v>4</v>
      </c>
      <c r="Q224" s="335">
        <v>5056</v>
      </c>
      <c r="R224" s="339">
        <v>95</v>
      </c>
      <c r="S224" s="316">
        <f t="shared" ref="S224:T224" si="3745">IF(ISBLANK(U224),,U224-U223)</f>
        <v>251</v>
      </c>
      <c r="T224" s="334">
        <f t="shared" si="3745"/>
        <v>4</v>
      </c>
      <c r="U224" s="335">
        <v>4157</v>
      </c>
      <c r="V224" s="336">
        <v>70</v>
      </c>
      <c r="W224" s="337">
        <f t="shared" ref="W224:X224" si="3746">IF(ISBLANK(Y224),,Y224-Y223)</f>
        <v>121</v>
      </c>
      <c r="X224" s="334">
        <f t="shared" si="3746"/>
        <v>0</v>
      </c>
      <c r="Y224" s="335">
        <v>1522</v>
      </c>
      <c r="Z224" s="340">
        <v>21</v>
      </c>
      <c r="AA224" s="316">
        <f t="shared" ref="AA224:AB224" si="3747">IF(ISBLANK(AC224),,AC224-AC223)</f>
        <v>411</v>
      </c>
      <c r="AB224" s="334">
        <f t="shared" si="3747"/>
        <v>2</v>
      </c>
      <c r="AC224" s="335">
        <v>8841</v>
      </c>
      <c r="AD224" s="336">
        <v>304</v>
      </c>
      <c r="AE224" s="337">
        <f t="shared" ref="AE224:AF224" si="3748">IF(ISBLANK(AG224),,AG224-AG223)</f>
        <v>631</v>
      </c>
      <c r="AF224" s="334">
        <f t="shared" si="3748"/>
        <v>4</v>
      </c>
      <c r="AG224" s="335">
        <v>15003</v>
      </c>
      <c r="AH224" s="339">
        <v>235</v>
      </c>
      <c r="AI224" s="316">
        <f t="shared" ref="AI224:AJ224" si="3749">IF(ISBLANK(AK224),,AK224-AK223)</f>
        <v>816</v>
      </c>
      <c r="AJ224" s="334">
        <f t="shared" si="3749"/>
        <v>8</v>
      </c>
      <c r="AK224" s="335">
        <v>16811</v>
      </c>
      <c r="AL224" s="336">
        <v>490</v>
      </c>
      <c r="AM224" s="337">
        <f t="shared" ref="AM224:AN224" si="3750">IF(ISBLANK(AO224),,AO224-AO223)</f>
        <v>141</v>
      </c>
      <c r="AN224" s="334">
        <f t="shared" si="3750"/>
        <v>3</v>
      </c>
      <c r="AO224" s="335">
        <v>3033</v>
      </c>
      <c r="AP224" s="339">
        <v>97</v>
      </c>
      <c r="AQ224" s="316">
        <f t="shared" ref="AQ224:AR224" si="3751">IF(ISBLANK(AS224),,AS224-AS223)</f>
        <v>347</v>
      </c>
      <c r="AR224" s="338">
        <f t="shared" si="3751"/>
        <v>3</v>
      </c>
      <c r="AS224" s="335">
        <v>5884</v>
      </c>
      <c r="AT224" s="336">
        <v>172</v>
      </c>
      <c r="AU224" s="337">
        <f t="shared" ref="AU224:AV224" si="3752">IF(ISBLANK(AW224),,AW224-AW223)</f>
        <v>172</v>
      </c>
      <c r="AV224" s="334">
        <f t="shared" si="3752"/>
        <v>2</v>
      </c>
      <c r="AW224" s="335">
        <v>3020</v>
      </c>
      <c r="AX224" s="339">
        <v>63</v>
      </c>
      <c r="AY224" s="316">
        <f t="shared" ref="AY224:AZ224" si="3753">IF(ISBLANK(BA224),,BA224-BA223)</f>
        <v>362</v>
      </c>
      <c r="AZ224" s="334">
        <f t="shared" si="3753"/>
        <v>3</v>
      </c>
      <c r="BA224" s="335">
        <v>7482</v>
      </c>
      <c r="BB224" s="336">
        <v>121</v>
      </c>
      <c r="BC224" s="337">
        <f t="shared" ref="BC224:BD224" si="3754">IF(ISBLANK(BE224),,BE224-BE223)</f>
        <v>412</v>
      </c>
      <c r="BD224" s="334">
        <f t="shared" si="3754"/>
        <v>10</v>
      </c>
      <c r="BE224" s="335">
        <v>25196</v>
      </c>
      <c r="BF224" s="339">
        <v>600</v>
      </c>
      <c r="BG224" s="316">
        <f t="shared" ref="BG224:BH224" si="3755">IF(ISBLANK(BI224),,BI224-BI223)</f>
        <v>218</v>
      </c>
      <c r="BH224" s="334">
        <f t="shared" si="3755"/>
        <v>0</v>
      </c>
      <c r="BI224" s="335">
        <v>3325</v>
      </c>
      <c r="BJ224" s="336">
        <v>73</v>
      </c>
      <c r="BK224" s="337">
        <f t="shared" ref="BK224:BL224" si="3756">IF(ISBLANK(BM224),,BM224-BM223)</f>
        <v>110</v>
      </c>
      <c r="BL224" s="334">
        <f t="shared" si="3756"/>
        <v>5</v>
      </c>
      <c r="BM224" s="335">
        <v>2461</v>
      </c>
      <c r="BN224" s="339">
        <v>36</v>
      </c>
      <c r="BO224" s="316">
        <f t="shared" ref="BO224:BP224" si="3757">IF(ISBLANK(BQ224),,BQ224-BQ223)</f>
        <v>360</v>
      </c>
      <c r="BP224" s="334">
        <f t="shared" si="3757"/>
        <v>3</v>
      </c>
      <c r="BQ224" s="335">
        <v>10402</v>
      </c>
      <c r="BR224" s="336">
        <v>355</v>
      </c>
      <c r="BS224" s="316">
        <f t="shared" ref="BS224:BT224" si="3758">IF(ISBLANK(BU224),,BU224-BU223)</f>
        <v>152</v>
      </c>
      <c r="BT224" s="334">
        <f t="shared" si="3758"/>
        <v>1</v>
      </c>
      <c r="BU224" s="335">
        <v>2799</v>
      </c>
      <c r="BV224" s="336">
        <v>39</v>
      </c>
      <c r="BW224" s="233"/>
      <c r="BX224" s="233"/>
      <c r="BY224" s="233"/>
      <c r="BZ224" s="233"/>
      <c r="CA224" s="233"/>
      <c r="CB224" s="233"/>
      <c r="CC224" s="233"/>
      <c r="CD224" s="233"/>
      <c r="CE224" s="233"/>
    </row>
    <row r="225" spans="1:83" x14ac:dyDescent="0.25">
      <c r="A225" s="313">
        <v>44115</v>
      </c>
      <c r="B225" s="314">
        <f t="shared" si="1276"/>
        <v>222</v>
      </c>
      <c r="C225" s="315"/>
      <c r="D225" s="316">
        <v>4178</v>
      </c>
      <c r="E225" s="317">
        <v>31</v>
      </c>
      <c r="F225" s="318">
        <v>80302</v>
      </c>
      <c r="G225" s="319"/>
      <c r="H225" s="330">
        <f t="shared" ref="H225:I225" si="3759">IF(ISBLANK(D225),,H224+D225)</f>
        <v>125816</v>
      </c>
      <c r="I225" s="331">
        <f t="shared" si="3759"/>
        <v>3003</v>
      </c>
      <c r="J225" s="332">
        <f t="shared" si="1"/>
        <v>1320</v>
      </c>
      <c r="K225" s="333">
        <f t="shared" ref="K225:L225" si="3760">IF(ISBLANK(M225),,M225-M224)</f>
        <v>186</v>
      </c>
      <c r="L225" s="334">
        <f t="shared" si="3760"/>
        <v>0</v>
      </c>
      <c r="M225" s="335">
        <v>6832</v>
      </c>
      <c r="N225" s="336">
        <v>201</v>
      </c>
      <c r="O225" s="337">
        <f t="shared" ref="O225:P225" si="3761">IF(ISBLANK(Q225),,Q225-Q224)</f>
        <v>136</v>
      </c>
      <c r="P225" s="338">
        <f t="shared" si="3761"/>
        <v>2</v>
      </c>
      <c r="Q225" s="335">
        <v>5192</v>
      </c>
      <c r="R225" s="339">
        <v>97</v>
      </c>
      <c r="S225" s="316">
        <f t="shared" ref="S225:T225" si="3762">IF(ISBLANK(U225),,U225-U224)</f>
        <v>304</v>
      </c>
      <c r="T225" s="334">
        <f t="shared" si="3762"/>
        <v>4</v>
      </c>
      <c r="U225" s="335">
        <v>4461</v>
      </c>
      <c r="V225" s="336">
        <v>74</v>
      </c>
      <c r="W225" s="337">
        <f t="shared" ref="W225:X225" si="3763">IF(ISBLANK(Y225),,Y225-Y224)</f>
        <v>94</v>
      </c>
      <c r="X225" s="334">
        <f t="shared" si="3763"/>
        <v>0</v>
      </c>
      <c r="Y225" s="335">
        <v>1616</v>
      </c>
      <c r="Z225" s="340">
        <v>21</v>
      </c>
      <c r="AA225" s="316">
        <f t="shared" ref="AA225:AB225" si="3764">IF(ISBLANK(AC225),,AC225-AC224)</f>
        <v>314</v>
      </c>
      <c r="AB225" s="334">
        <f t="shared" si="3764"/>
        <v>0</v>
      </c>
      <c r="AC225" s="335">
        <v>9155</v>
      </c>
      <c r="AD225" s="336">
        <v>304</v>
      </c>
      <c r="AE225" s="337">
        <f t="shared" ref="AE225:AF225" si="3765">IF(ISBLANK(AG225),,AG225-AG224)</f>
        <v>685</v>
      </c>
      <c r="AF225" s="334">
        <f t="shared" si="3765"/>
        <v>2</v>
      </c>
      <c r="AG225" s="335">
        <v>15688</v>
      </c>
      <c r="AH225" s="339">
        <v>237</v>
      </c>
      <c r="AI225" s="316">
        <f t="shared" ref="AI225:AJ225" si="3766">IF(ISBLANK(AK225),,AK225-AK224)</f>
        <v>433</v>
      </c>
      <c r="AJ225" s="334">
        <f t="shared" si="3766"/>
        <v>2</v>
      </c>
      <c r="AK225" s="335">
        <v>17244</v>
      </c>
      <c r="AL225" s="336">
        <v>492</v>
      </c>
      <c r="AM225" s="337">
        <f t="shared" ref="AM225:AN225" si="3767">IF(ISBLANK(AO225),,AO225-AO224)</f>
        <v>123</v>
      </c>
      <c r="AN225" s="334">
        <f t="shared" si="3767"/>
        <v>4</v>
      </c>
      <c r="AO225" s="335">
        <v>3156</v>
      </c>
      <c r="AP225" s="339">
        <v>101</v>
      </c>
      <c r="AQ225" s="316">
        <f t="shared" ref="AQ225:AR225" si="3768">IF(ISBLANK(AS225),,AS225-AS224)</f>
        <v>315</v>
      </c>
      <c r="AR225" s="338">
        <f t="shared" si="3768"/>
        <v>4</v>
      </c>
      <c r="AS225" s="335">
        <v>6199</v>
      </c>
      <c r="AT225" s="336">
        <v>176</v>
      </c>
      <c r="AU225" s="337">
        <f t="shared" ref="AU225:AV225" si="3769">IF(ISBLANK(AW225),,AW225-AW224)</f>
        <v>110</v>
      </c>
      <c r="AV225" s="334">
        <f t="shared" si="3769"/>
        <v>0</v>
      </c>
      <c r="AW225" s="335">
        <v>3130</v>
      </c>
      <c r="AX225" s="339">
        <v>63</v>
      </c>
      <c r="AY225" s="316">
        <f t="shared" ref="AY225:AZ225" si="3770">IF(ISBLANK(BA225),,BA225-BA224)</f>
        <v>331</v>
      </c>
      <c r="AZ225" s="334">
        <f t="shared" si="3770"/>
        <v>3</v>
      </c>
      <c r="BA225" s="335">
        <v>7813</v>
      </c>
      <c r="BB225" s="336">
        <v>124</v>
      </c>
      <c r="BC225" s="337">
        <f t="shared" ref="BC225:BD225" si="3771">IF(ISBLANK(BE225),,BE225-BE224)</f>
        <v>354</v>
      </c>
      <c r="BD225" s="334">
        <f t="shared" si="3771"/>
        <v>2</v>
      </c>
      <c r="BE225" s="335">
        <v>25550</v>
      </c>
      <c r="BF225" s="339">
        <v>602</v>
      </c>
      <c r="BG225" s="316">
        <f t="shared" ref="BG225:BH225" si="3772">IF(ISBLANK(BI225),,BI225-BI224)</f>
        <v>152</v>
      </c>
      <c r="BH225" s="334">
        <f t="shared" si="3772"/>
        <v>1</v>
      </c>
      <c r="BI225" s="335">
        <v>3477</v>
      </c>
      <c r="BJ225" s="336">
        <v>74</v>
      </c>
      <c r="BK225" s="337">
        <f t="shared" ref="BK225:BL225" si="3773">IF(ISBLANK(BM225),,BM225-BM224)</f>
        <v>106</v>
      </c>
      <c r="BL225" s="334">
        <f t="shared" si="3773"/>
        <v>0</v>
      </c>
      <c r="BM225" s="335">
        <v>2567</v>
      </c>
      <c r="BN225" s="339">
        <v>36</v>
      </c>
      <c r="BO225" s="316">
        <f t="shared" ref="BO225:BP225" si="3774">IF(ISBLANK(BQ225),,BQ225-BQ224)</f>
        <v>380</v>
      </c>
      <c r="BP225" s="334">
        <f t="shared" si="3774"/>
        <v>7</v>
      </c>
      <c r="BQ225" s="335">
        <v>10782</v>
      </c>
      <c r="BR225" s="336">
        <v>362</v>
      </c>
      <c r="BS225" s="316">
        <f t="shared" ref="BS225:BT225" si="3775">IF(ISBLANK(BU225),,BU225-BU224)</f>
        <v>155</v>
      </c>
      <c r="BT225" s="334">
        <f t="shared" si="3775"/>
        <v>0</v>
      </c>
      <c r="BU225" s="335">
        <v>2954</v>
      </c>
      <c r="BV225" s="336">
        <v>39</v>
      </c>
      <c r="BW225" s="233"/>
      <c r="BX225" s="233"/>
      <c r="BY225" s="233"/>
      <c r="BZ225" s="233"/>
      <c r="CA225" s="233"/>
      <c r="CB225" s="233"/>
      <c r="CC225" s="233"/>
      <c r="CD225" s="233"/>
      <c r="CE225" s="233"/>
    </row>
    <row r="226" spans="1:83" x14ac:dyDescent="0.25">
      <c r="A226" s="313">
        <v>44116</v>
      </c>
      <c r="B226" s="314">
        <f t="shared" si="1276"/>
        <v>223</v>
      </c>
      <c r="C226" s="315"/>
      <c r="D226" s="316">
        <v>4394</v>
      </c>
      <c r="E226" s="317">
        <v>35</v>
      </c>
      <c r="F226" s="318">
        <v>81201</v>
      </c>
      <c r="G226" s="319"/>
      <c r="H226" s="330">
        <f t="shared" ref="H226:I226" si="3776">IF(ISBLANK(D226),,H225+D226)</f>
        <v>130210</v>
      </c>
      <c r="I226" s="331">
        <f t="shared" si="3776"/>
        <v>3038</v>
      </c>
      <c r="J226" s="332">
        <f t="shared" si="1"/>
        <v>899</v>
      </c>
      <c r="K226" s="333">
        <f t="shared" ref="K226:L226" si="3777">IF(ISBLANK(M226),,M226-M225)</f>
        <v>199</v>
      </c>
      <c r="L226" s="334">
        <f t="shared" si="3777"/>
        <v>0</v>
      </c>
      <c r="M226" s="335">
        <v>7031</v>
      </c>
      <c r="N226" s="336">
        <v>201</v>
      </c>
      <c r="O226" s="337">
        <f t="shared" ref="O226:P226" si="3778">IF(ISBLANK(Q226),,Q226-Q225)</f>
        <v>258</v>
      </c>
      <c r="P226" s="338">
        <f t="shared" si="3778"/>
        <v>2</v>
      </c>
      <c r="Q226" s="335">
        <v>5450</v>
      </c>
      <c r="R226" s="339">
        <v>99</v>
      </c>
      <c r="S226" s="316">
        <f t="shared" ref="S226:T226" si="3779">IF(ISBLANK(U226),,U226-U225)</f>
        <v>379</v>
      </c>
      <c r="T226" s="334">
        <f t="shared" si="3779"/>
        <v>3</v>
      </c>
      <c r="U226" s="335">
        <v>4840</v>
      </c>
      <c r="V226" s="336">
        <v>77</v>
      </c>
      <c r="W226" s="337">
        <f t="shared" ref="W226:X226" si="3780">IF(ISBLANK(Y226),,Y226-Y225)</f>
        <v>14</v>
      </c>
      <c r="X226" s="334">
        <f t="shared" si="3780"/>
        <v>0</v>
      </c>
      <c r="Y226" s="335">
        <v>1630</v>
      </c>
      <c r="Z226" s="340">
        <v>21</v>
      </c>
      <c r="AA226" s="316">
        <f t="shared" ref="AA226:AB226" si="3781">IF(ISBLANK(AC226),,AC226-AC225)</f>
        <v>344</v>
      </c>
      <c r="AB226" s="334">
        <f t="shared" si="3781"/>
        <v>2</v>
      </c>
      <c r="AC226" s="335">
        <v>9499</v>
      </c>
      <c r="AD226" s="336">
        <v>306</v>
      </c>
      <c r="AE226" s="337">
        <f t="shared" ref="AE226:AF226" si="3782">IF(ISBLANK(AG226),,AG226-AG225)</f>
        <v>690</v>
      </c>
      <c r="AF226" s="334">
        <f t="shared" si="3782"/>
        <v>1</v>
      </c>
      <c r="AG226" s="335">
        <v>16378</v>
      </c>
      <c r="AH226" s="339">
        <v>238</v>
      </c>
      <c r="AI226" s="316">
        <f t="shared" ref="AI226:AJ226" si="3783">IF(ISBLANK(AK226),,AK226-AK225)</f>
        <v>441</v>
      </c>
      <c r="AJ226" s="334">
        <f t="shared" si="3783"/>
        <v>3</v>
      </c>
      <c r="AK226" s="335">
        <v>17685</v>
      </c>
      <c r="AL226" s="336">
        <v>495</v>
      </c>
      <c r="AM226" s="337">
        <f t="shared" ref="AM226:AN226" si="3784">IF(ISBLANK(AO226),,AO226-AO225)</f>
        <v>153</v>
      </c>
      <c r="AN226" s="334">
        <f t="shared" si="3784"/>
        <v>0</v>
      </c>
      <c r="AO226" s="335">
        <v>3309</v>
      </c>
      <c r="AP226" s="339">
        <v>101</v>
      </c>
      <c r="AQ226" s="316">
        <f t="shared" ref="AQ226:AR226" si="3785">IF(ISBLANK(AS226),,AS226-AS225)</f>
        <v>334</v>
      </c>
      <c r="AR226" s="338">
        <f t="shared" si="3785"/>
        <v>8</v>
      </c>
      <c r="AS226" s="335">
        <v>6533</v>
      </c>
      <c r="AT226" s="336">
        <v>184</v>
      </c>
      <c r="AU226" s="337">
        <f t="shared" ref="AU226:AV226" si="3786">IF(ISBLANK(AW226),,AW226-AW225)</f>
        <v>130</v>
      </c>
      <c r="AV226" s="334">
        <f t="shared" si="3786"/>
        <v>2</v>
      </c>
      <c r="AW226" s="335">
        <v>3260</v>
      </c>
      <c r="AX226" s="339">
        <v>65</v>
      </c>
      <c r="AY226" s="316">
        <f t="shared" ref="AY226:AZ226" si="3787">IF(ISBLANK(BA226),,BA226-BA225)</f>
        <v>284</v>
      </c>
      <c r="AZ226" s="334">
        <f t="shared" si="3787"/>
        <v>2</v>
      </c>
      <c r="BA226" s="335">
        <v>8097</v>
      </c>
      <c r="BB226" s="336">
        <v>126</v>
      </c>
      <c r="BC226" s="337">
        <f t="shared" ref="BC226:BD226" si="3788">IF(ISBLANK(BE226),,BE226-BE225)</f>
        <v>262</v>
      </c>
      <c r="BD226" s="334">
        <f t="shared" si="3788"/>
        <v>5</v>
      </c>
      <c r="BE226" s="335">
        <v>25812</v>
      </c>
      <c r="BF226" s="339">
        <v>607</v>
      </c>
      <c r="BG226" s="316">
        <f t="shared" ref="BG226:BH226" si="3789">IF(ISBLANK(BI226),,BI226-BI225)</f>
        <v>187</v>
      </c>
      <c r="BH226" s="334">
        <f t="shared" si="3789"/>
        <v>0</v>
      </c>
      <c r="BI226" s="335">
        <v>3664</v>
      </c>
      <c r="BJ226" s="336">
        <v>74</v>
      </c>
      <c r="BK226" s="337">
        <f t="shared" ref="BK226:BL226" si="3790">IF(ISBLANK(BM226),,BM226-BM225)</f>
        <v>73</v>
      </c>
      <c r="BL226" s="334">
        <f t="shared" si="3790"/>
        <v>0</v>
      </c>
      <c r="BM226" s="335">
        <v>2640</v>
      </c>
      <c r="BN226" s="339">
        <v>36</v>
      </c>
      <c r="BO226" s="316">
        <f t="shared" ref="BO226:BP226" si="3791">IF(ISBLANK(BQ226),,BQ226-BQ225)</f>
        <v>530</v>
      </c>
      <c r="BP226" s="334">
        <f t="shared" si="3791"/>
        <v>6</v>
      </c>
      <c r="BQ226" s="335">
        <v>11312</v>
      </c>
      <c r="BR226" s="336">
        <v>368</v>
      </c>
      <c r="BS226" s="316">
        <f t="shared" ref="BS226:BT226" si="3792">IF(ISBLANK(BU226),,BU226-BU225)</f>
        <v>116</v>
      </c>
      <c r="BT226" s="334">
        <f t="shared" si="3792"/>
        <v>1</v>
      </c>
      <c r="BU226" s="335">
        <v>3070</v>
      </c>
      <c r="BV226" s="336">
        <v>40</v>
      </c>
      <c r="BW226" s="233"/>
      <c r="BX226" s="233"/>
      <c r="BY226" s="233"/>
      <c r="BZ226" s="233"/>
      <c r="CA226" s="233"/>
      <c r="CB226" s="233"/>
      <c r="CC226" s="233"/>
      <c r="CD226" s="233"/>
      <c r="CE226" s="233"/>
    </row>
    <row r="227" spans="1:83" x14ac:dyDescent="0.25">
      <c r="A227" s="313">
        <v>44117</v>
      </c>
      <c r="B227" s="314">
        <f t="shared" si="1276"/>
        <v>224</v>
      </c>
      <c r="C227" s="315"/>
      <c r="D227" s="316">
        <v>5068</v>
      </c>
      <c r="E227" s="317">
        <v>63</v>
      </c>
      <c r="F227" s="318">
        <v>82004</v>
      </c>
      <c r="G227" s="319"/>
      <c r="H227" s="330">
        <f t="shared" ref="H227:I227" si="3793">IF(ISBLANK(D227),,H226+D227)</f>
        <v>135278</v>
      </c>
      <c r="I227" s="331">
        <f t="shared" si="3793"/>
        <v>3101</v>
      </c>
      <c r="J227" s="332">
        <f t="shared" si="1"/>
        <v>803</v>
      </c>
      <c r="K227" s="333">
        <f t="shared" ref="K227:L227" si="3794">IF(ISBLANK(M227),,M227-M226)</f>
        <v>342</v>
      </c>
      <c r="L227" s="334">
        <f t="shared" si="3794"/>
        <v>3</v>
      </c>
      <c r="M227" s="335">
        <v>7373</v>
      </c>
      <c r="N227" s="336">
        <v>204</v>
      </c>
      <c r="O227" s="337">
        <f t="shared" ref="O227:P227" si="3795">IF(ISBLANK(Q227),,Q227-Q226)</f>
        <v>341</v>
      </c>
      <c r="P227" s="338">
        <f t="shared" si="3795"/>
        <v>2</v>
      </c>
      <c r="Q227" s="335">
        <v>5791</v>
      </c>
      <c r="R227" s="339">
        <v>101</v>
      </c>
      <c r="S227" s="316">
        <f t="shared" ref="S227:T227" si="3796">IF(ISBLANK(U227),,U227-U226)</f>
        <v>163</v>
      </c>
      <c r="T227" s="334">
        <f t="shared" si="3796"/>
        <v>3</v>
      </c>
      <c r="U227" s="335">
        <v>5003</v>
      </c>
      <c r="V227" s="336">
        <v>80</v>
      </c>
      <c r="W227" s="337">
        <f t="shared" ref="W227:X227" si="3797">IF(ISBLANK(Y227),,Y227-Y226)</f>
        <v>164</v>
      </c>
      <c r="X227" s="334">
        <f t="shared" si="3797"/>
        <v>1</v>
      </c>
      <c r="Y227" s="335">
        <v>1794</v>
      </c>
      <c r="Z227" s="340">
        <v>22</v>
      </c>
      <c r="AA227" s="316">
        <f t="shared" ref="AA227:AB227" si="3798">IF(ISBLANK(AC227),,AC227-AC226)</f>
        <v>349</v>
      </c>
      <c r="AB227" s="334">
        <f t="shared" si="3798"/>
        <v>0</v>
      </c>
      <c r="AC227" s="335">
        <v>9848</v>
      </c>
      <c r="AD227" s="336">
        <v>306</v>
      </c>
      <c r="AE227" s="337">
        <f t="shared" ref="AE227:AF227" si="3799">IF(ISBLANK(AG227),,AG227-AG226)</f>
        <v>898</v>
      </c>
      <c r="AF227" s="334">
        <f t="shared" si="3799"/>
        <v>10</v>
      </c>
      <c r="AG227" s="335">
        <v>17276</v>
      </c>
      <c r="AH227" s="339">
        <v>248</v>
      </c>
      <c r="AI227" s="316">
        <f t="shared" ref="AI227:AJ227" si="3800">IF(ISBLANK(AK227),,AK227-AK226)</f>
        <v>552</v>
      </c>
      <c r="AJ227" s="334">
        <f t="shared" si="3800"/>
        <v>1</v>
      </c>
      <c r="AK227" s="335">
        <v>18237</v>
      </c>
      <c r="AL227" s="336">
        <v>496</v>
      </c>
      <c r="AM227" s="337">
        <f t="shared" ref="AM227:AN227" si="3801">IF(ISBLANK(AO227),,AO227-AO226)</f>
        <v>241</v>
      </c>
      <c r="AN227" s="334">
        <f t="shared" si="3801"/>
        <v>4</v>
      </c>
      <c r="AO227" s="335">
        <v>3550</v>
      </c>
      <c r="AP227" s="339">
        <v>105</v>
      </c>
      <c r="AQ227" s="316">
        <f t="shared" ref="AQ227:AR227" si="3802">IF(ISBLANK(AS227),,AS227-AS226)</f>
        <v>391</v>
      </c>
      <c r="AR227" s="338">
        <f t="shared" si="3802"/>
        <v>7</v>
      </c>
      <c r="AS227" s="335">
        <v>6924</v>
      </c>
      <c r="AT227" s="336">
        <v>191</v>
      </c>
      <c r="AU227" s="337">
        <f t="shared" ref="AU227:AV227" si="3803">IF(ISBLANK(AW227),,AW227-AW226)</f>
        <v>183</v>
      </c>
      <c r="AV227" s="334">
        <f t="shared" si="3803"/>
        <v>0</v>
      </c>
      <c r="AW227" s="335">
        <v>3443</v>
      </c>
      <c r="AX227" s="339">
        <v>65</v>
      </c>
      <c r="AY227" s="316">
        <f t="shared" ref="AY227:AZ227" si="3804">IF(ISBLANK(BA227),,BA227-BA226)</f>
        <v>318</v>
      </c>
      <c r="AZ227" s="334">
        <f t="shared" si="3804"/>
        <v>5</v>
      </c>
      <c r="BA227" s="335">
        <v>8415</v>
      </c>
      <c r="BB227" s="336">
        <v>131</v>
      </c>
      <c r="BC227" s="337">
        <f t="shared" ref="BC227:BD227" si="3805">IF(ISBLANK(BE227),,BE227-BE226)</f>
        <v>441</v>
      </c>
      <c r="BD227" s="334">
        <f t="shared" si="3805"/>
        <v>12</v>
      </c>
      <c r="BE227" s="335">
        <v>26253</v>
      </c>
      <c r="BF227" s="339">
        <v>619</v>
      </c>
      <c r="BG227" s="316">
        <f t="shared" ref="BG227:BH227" si="3806">IF(ISBLANK(BI227),,BI227-BI226)</f>
        <v>121</v>
      </c>
      <c r="BH227" s="334">
        <f t="shared" si="3806"/>
        <v>2</v>
      </c>
      <c r="BI227" s="335">
        <v>3785</v>
      </c>
      <c r="BJ227" s="336">
        <v>76</v>
      </c>
      <c r="BK227" s="337">
        <f t="shared" ref="BK227:BL227" si="3807">IF(ISBLANK(BM227),,BM227-BM226)</f>
        <v>79</v>
      </c>
      <c r="BL227" s="334">
        <f t="shared" si="3807"/>
        <v>1</v>
      </c>
      <c r="BM227" s="335">
        <v>2719</v>
      </c>
      <c r="BN227" s="339">
        <v>37</v>
      </c>
      <c r="BO227" s="316">
        <f t="shared" ref="BO227:BP227" si="3808">IF(ISBLANK(BQ227),,BQ227-BQ226)</f>
        <v>334</v>
      </c>
      <c r="BP227" s="334">
        <f t="shared" si="3808"/>
        <v>11</v>
      </c>
      <c r="BQ227" s="335">
        <v>11646</v>
      </c>
      <c r="BR227" s="336">
        <v>379</v>
      </c>
      <c r="BS227" s="316">
        <f t="shared" ref="BS227:BT227" si="3809">IF(ISBLANK(BU227),,BU227-BU226)</f>
        <v>151</v>
      </c>
      <c r="BT227" s="334">
        <f t="shared" si="3809"/>
        <v>1</v>
      </c>
      <c r="BU227" s="335">
        <v>3221</v>
      </c>
      <c r="BV227" s="336">
        <v>41</v>
      </c>
      <c r="BW227" s="233"/>
      <c r="BX227" s="233"/>
      <c r="BY227" s="233"/>
      <c r="BZ227" s="233"/>
      <c r="CA227" s="233"/>
      <c r="CB227" s="233"/>
      <c r="CC227" s="233"/>
      <c r="CD227" s="233"/>
      <c r="CE227" s="233"/>
    </row>
    <row r="228" spans="1:83" x14ac:dyDescent="0.25">
      <c r="A228" s="313">
        <v>44118</v>
      </c>
      <c r="B228" s="314">
        <f t="shared" si="1276"/>
        <v>225</v>
      </c>
      <c r="C228" s="315"/>
      <c r="D228" s="316">
        <v>6526</v>
      </c>
      <c r="E228" s="317">
        <v>116</v>
      </c>
      <c r="F228" s="318">
        <v>83847</v>
      </c>
      <c r="G228" s="319"/>
      <c r="H228" s="330">
        <f t="shared" ref="H228:I228" si="3810">IF(ISBLANK(D228),,H227+D228)</f>
        <v>141804</v>
      </c>
      <c r="I228" s="331">
        <f t="shared" si="3810"/>
        <v>3217</v>
      </c>
      <c r="J228" s="332">
        <f t="shared" si="1"/>
        <v>1843</v>
      </c>
      <c r="K228" s="333">
        <f t="shared" ref="K228:L228" si="3811">IF(ISBLANK(M228),,M228-M227)</f>
        <v>315</v>
      </c>
      <c r="L228" s="334">
        <f t="shared" si="3811"/>
        <v>0</v>
      </c>
      <c r="M228" s="335">
        <v>7688</v>
      </c>
      <c r="N228" s="336">
        <v>204</v>
      </c>
      <c r="O228" s="337">
        <f t="shared" ref="O228:P228" si="3812">IF(ISBLANK(Q228),,Q228-Q227)</f>
        <v>356</v>
      </c>
      <c r="P228" s="338">
        <f t="shared" si="3812"/>
        <v>6</v>
      </c>
      <c r="Q228" s="335">
        <v>6147</v>
      </c>
      <c r="R228" s="339">
        <v>107</v>
      </c>
      <c r="S228" s="316">
        <f t="shared" ref="S228:T228" si="3813">IF(ISBLANK(U228),,U228-U227)</f>
        <v>256</v>
      </c>
      <c r="T228" s="334">
        <f t="shared" si="3813"/>
        <v>4</v>
      </c>
      <c r="U228" s="335">
        <v>5259</v>
      </c>
      <c r="V228" s="336">
        <v>84</v>
      </c>
      <c r="W228" s="337">
        <f t="shared" ref="W228:X228" si="3814">IF(ISBLANK(Y228),,Y228-Y227)</f>
        <v>145</v>
      </c>
      <c r="X228" s="334">
        <f t="shared" si="3814"/>
        <v>3</v>
      </c>
      <c r="Y228" s="335">
        <v>1939</v>
      </c>
      <c r="Z228" s="340">
        <v>25</v>
      </c>
      <c r="AA228" s="316">
        <f t="shared" ref="AA228:AB228" si="3815">IF(ISBLANK(AC228),,AC228-AC227)</f>
        <v>405</v>
      </c>
      <c r="AB228" s="334">
        <f t="shared" si="3815"/>
        <v>6</v>
      </c>
      <c r="AC228" s="335">
        <v>10253</v>
      </c>
      <c r="AD228" s="336">
        <v>312</v>
      </c>
      <c r="AE228" s="337">
        <f t="shared" ref="AE228:AF228" si="3816">IF(ISBLANK(AG228),,AG228-AG227)</f>
        <v>1137</v>
      </c>
      <c r="AF228" s="334">
        <f t="shared" si="3816"/>
        <v>19</v>
      </c>
      <c r="AG228" s="335">
        <v>18413</v>
      </c>
      <c r="AH228" s="339">
        <v>267</v>
      </c>
      <c r="AI228" s="316">
        <f t="shared" ref="AI228:AJ228" si="3817">IF(ISBLANK(AK228),,AK228-AK227)</f>
        <v>1188</v>
      </c>
      <c r="AJ228" s="334">
        <f t="shared" si="3817"/>
        <v>11</v>
      </c>
      <c r="AK228" s="335">
        <v>19425</v>
      </c>
      <c r="AL228" s="336">
        <v>507</v>
      </c>
      <c r="AM228" s="337">
        <f t="shared" ref="AM228:AN228" si="3818">IF(ISBLANK(AO228),,AO228-AO227)</f>
        <v>233</v>
      </c>
      <c r="AN228" s="334">
        <f t="shared" si="3818"/>
        <v>1</v>
      </c>
      <c r="AO228" s="335">
        <v>3783</v>
      </c>
      <c r="AP228" s="339">
        <v>106</v>
      </c>
      <c r="AQ228" s="316">
        <f t="shared" ref="AQ228:AR228" si="3819">IF(ISBLANK(AS228),,AS228-AS227)</f>
        <v>319</v>
      </c>
      <c r="AR228" s="338">
        <f t="shared" si="3819"/>
        <v>14</v>
      </c>
      <c r="AS228" s="335">
        <v>7243</v>
      </c>
      <c r="AT228" s="336">
        <v>205</v>
      </c>
      <c r="AU228" s="337">
        <f t="shared" ref="AU228:AV228" si="3820">IF(ISBLANK(AW228),,AW228-AW227)</f>
        <v>174</v>
      </c>
      <c r="AV228" s="334">
        <f t="shared" si="3820"/>
        <v>4</v>
      </c>
      <c r="AW228" s="335">
        <v>3617</v>
      </c>
      <c r="AX228" s="339">
        <v>69</v>
      </c>
      <c r="AY228" s="316">
        <f t="shared" ref="AY228:AZ228" si="3821">IF(ISBLANK(BA228),,BA228-BA227)</f>
        <v>344</v>
      </c>
      <c r="AZ228" s="334">
        <f t="shared" si="3821"/>
        <v>11</v>
      </c>
      <c r="BA228" s="335">
        <v>8759</v>
      </c>
      <c r="BB228" s="336">
        <v>142</v>
      </c>
      <c r="BC228" s="337">
        <f t="shared" ref="BC228:BD228" si="3822">IF(ISBLANK(BE228),,BE228-BE227)</f>
        <v>520</v>
      </c>
      <c r="BD228" s="334">
        <f t="shared" si="3822"/>
        <v>8</v>
      </c>
      <c r="BE228" s="335">
        <v>26773</v>
      </c>
      <c r="BF228" s="339">
        <v>627</v>
      </c>
      <c r="BG228" s="316">
        <f t="shared" ref="BG228:BH228" si="3823">IF(ISBLANK(BI228),,BI228-BI227)</f>
        <v>255</v>
      </c>
      <c r="BH228" s="334">
        <f t="shared" si="3823"/>
        <v>9</v>
      </c>
      <c r="BI228" s="335">
        <v>4040</v>
      </c>
      <c r="BJ228" s="336">
        <v>85</v>
      </c>
      <c r="BK228" s="337">
        <f t="shared" ref="BK228:BL228" si="3824">IF(ISBLANK(BM228),,BM228-BM227)</f>
        <v>196</v>
      </c>
      <c r="BL228" s="334">
        <f t="shared" si="3824"/>
        <v>6</v>
      </c>
      <c r="BM228" s="335">
        <v>2915</v>
      </c>
      <c r="BN228" s="339">
        <v>43</v>
      </c>
      <c r="BO228" s="316">
        <f t="shared" ref="BO228:BP228" si="3825">IF(ISBLANK(BQ228),,BQ228-BQ227)</f>
        <v>508</v>
      </c>
      <c r="BP228" s="334">
        <f t="shared" si="3825"/>
        <v>13</v>
      </c>
      <c r="BQ228" s="335">
        <v>12154</v>
      </c>
      <c r="BR228" s="336">
        <v>392</v>
      </c>
      <c r="BS228" s="316">
        <f t="shared" ref="BS228:BT228" si="3826">IF(ISBLANK(BU228),,BU228-BU227)</f>
        <v>175</v>
      </c>
      <c r="BT228" s="334">
        <f t="shared" si="3826"/>
        <v>1</v>
      </c>
      <c r="BU228" s="335">
        <v>3396</v>
      </c>
      <c r="BV228" s="336">
        <v>42</v>
      </c>
      <c r="BW228" s="233"/>
      <c r="BX228" s="233"/>
      <c r="BY228" s="233"/>
      <c r="BZ228" s="233"/>
      <c r="CA228" s="233"/>
      <c r="CB228" s="233"/>
      <c r="CC228" s="233"/>
      <c r="CD228" s="233"/>
      <c r="CE228" s="233"/>
    </row>
    <row r="229" spans="1:83" x14ac:dyDescent="0.25">
      <c r="A229" s="313">
        <v>44119</v>
      </c>
      <c r="B229" s="314">
        <f t="shared" si="1276"/>
        <v>226</v>
      </c>
      <c r="C229" s="315"/>
      <c r="D229" s="316">
        <v>8099</v>
      </c>
      <c r="E229" s="317">
        <v>91</v>
      </c>
      <c r="F229" s="318">
        <v>85588</v>
      </c>
      <c r="G229" s="319"/>
      <c r="H229" s="330">
        <f t="shared" ref="H229:I229" si="3827">IF(ISBLANK(D229),,H228+D229)</f>
        <v>149903</v>
      </c>
      <c r="I229" s="331">
        <f t="shared" si="3827"/>
        <v>3308</v>
      </c>
      <c r="J229" s="332">
        <f t="shared" si="1"/>
        <v>1741</v>
      </c>
      <c r="K229" s="333">
        <f t="shared" ref="K229:L229" si="3828">IF(ISBLANK(M229),,M229-M228)</f>
        <v>382</v>
      </c>
      <c r="L229" s="334">
        <f t="shared" si="3828"/>
        <v>4</v>
      </c>
      <c r="M229" s="335">
        <v>8070</v>
      </c>
      <c r="N229" s="336">
        <v>208</v>
      </c>
      <c r="O229" s="337">
        <f t="shared" ref="O229:P229" si="3829">IF(ISBLANK(Q229),,Q229-Q228)</f>
        <v>318</v>
      </c>
      <c r="P229" s="338">
        <f t="shared" si="3829"/>
        <v>3</v>
      </c>
      <c r="Q229" s="335">
        <v>6465</v>
      </c>
      <c r="R229" s="339">
        <v>110</v>
      </c>
      <c r="S229" s="316">
        <f t="shared" ref="S229:T229" si="3830">IF(ISBLANK(U229),,U229-U228)</f>
        <v>315</v>
      </c>
      <c r="T229" s="334">
        <f t="shared" si="3830"/>
        <v>7</v>
      </c>
      <c r="U229" s="335">
        <v>5574</v>
      </c>
      <c r="V229" s="336">
        <v>91</v>
      </c>
      <c r="W229" s="337">
        <f t="shared" ref="W229:X229" si="3831">IF(ISBLANK(Y229),,Y229-Y228)</f>
        <v>177</v>
      </c>
      <c r="X229" s="334">
        <f t="shared" si="3831"/>
        <v>0</v>
      </c>
      <c r="Y229" s="335">
        <v>2116</v>
      </c>
      <c r="Z229" s="340">
        <v>25</v>
      </c>
      <c r="AA229" s="316">
        <f t="shared" ref="AA229:AB229" si="3832">IF(ISBLANK(AC229),,AC229-AC228)</f>
        <v>691</v>
      </c>
      <c r="AB229" s="334">
        <f t="shared" si="3832"/>
        <v>6</v>
      </c>
      <c r="AC229" s="335">
        <v>10944</v>
      </c>
      <c r="AD229" s="336">
        <v>318</v>
      </c>
      <c r="AE229" s="337">
        <f t="shared" ref="AE229:AF229" si="3833">IF(ISBLANK(AG229),,AG229-AG228)</f>
        <v>1303</v>
      </c>
      <c r="AF229" s="334">
        <f t="shared" si="3833"/>
        <v>11</v>
      </c>
      <c r="AG229" s="335">
        <v>19716</v>
      </c>
      <c r="AH229" s="339">
        <v>278</v>
      </c>
      <c r="AI229" s="316">
        <f t="shared" ref="AI229:AJ229" si="3834">IF(ISBLANK(AK229),,AK229-AK228)</f>
        <v>1306</v>
      </c>
      <c r="AJ229" s="334">
        <f t="shared" si="3834"/>
        <v>13</v>
      </c>
      <c r="AK229" s="335">
        <v>20731</v>
      </c>
      <c r="AL229" s="336">
        <v>520</v>
      </c>
      <c r="AM229" s="337">
        <f t="shared" ref="AM229:AN229" si="3835">IF(ISBLANK(AO229),,AO229-AO228)</f>
        <v>282</v>
      </c>
      <c r="AN229" s="334">
        <f t="shared" si="3835"/>
        <v>5</v>
      </c>
      <c r="AO229" s="335">
        <v>4065</v>
      </c>
      <c r="AP229" s="339">
        <v>111</v>
      </c>
      <c r="AQ229" s="316">
        <f t="shared" ref="AQ229:AR229" si="3836">IF(ISBLANK(AS229),,AS229-AS228)</f>
        <v>420</v>
      </c>
      <c r="AR229" s="338">
        <f t="shared" si="3836"/>
        <v>8</v>
      </c>
      <c r="AS229" s="335">
        <v>7663</v>
      </c>
      <c r="AT229" s="336">
        <v>213</v>
      </c>
      <c r="AU229" s="337">
        <f t="shared" ref="AU229:AV229" si="3837">IF(ISBLANK(AW229),,AW229-AW228)</f>
        <v>139</v>
      </c>
      <c r="AV229" s="334">
        <f t="shared" si="3837"/>
        <v>2</v>
      </c>
      <c r="AW229" s="335">
        <v>3756</v>
      </c>
      <c r="AX229" s="339">
        <v>71</v>
      </c>
      <c r="AY229" s="316">
        <f t="shared" ref="AY229:AZ229" si="3838">IF(ISBLANK(BA229),,BA229-BA228)</f>
        <v>458</v>
      </c>
      <c r="AZ229" s="334">
        <f t="shared" si="3838"/>
        <v>11</v>
      </c>
      <c r="BA229" s="335">
        <v>9217</v>
      </c>
      <c r="BB229" s="336">
        <v>153</v>
      </c>
      <c r="BC229" s="337">
        <f t="shared" ref="BC229:BD229" si="3839">IF(ISBLANK(BE229),,BE229-BE228)</f>
        <v>822</v>
      </c>
      <c r="BD229" s="334">
        <f t="shared" si="3839"/>
        <v>7</v>
      </c>
      <c r="BE229" s="335">
        <v>27595</v>
      </c>
      <c r="BF229" s="339">
        <v>634</v>
      </c>
      <c r="BG229" s="316">
        <f t="shared" ref="BG229:BH229" si="3840">IF(ISBLANK(BI229),,BI229-BI228)</f>
        <v>283</v>
      </c>
      <c r="BH229" s="334">
        <f t="shared" si="3840"/>
        <v>6</v>
      </c>
      <c r="BI229" s="335">
        <v>4323</v>
      </c>
      <c r="BJ229" s="336">
        <v>91</v>
      </c>
      <c r="BK229" s="337">
        <f t="shared" ref="BK229:BL229" si="3841">IF(ISBLANK(BM229),,BM229-BM228)</f>
        <v>191</v>
      </c>
      <c r="BL229" s="334">
        <f t="shared" si="3841"/>
        <v>3</v>
      </c>
      <c r="BM229" s="335">
        <v>3106</v>
      </c>
      <c r="BN229" s="339">
        <v>46</v>
      </c>
      <c r="BO229" s="316">
        <f t="shared" ref="BO229:BP229" si="3842">IF(ISBLANK(BQ229),,BQ229-BQ228)</f>
        <v>835</v>
      </c>
      <c r="BP229" s="334">
        <f t="shared" si="3842"/>
        <v>5</v>
      </c>
      <c r="BQ229" s="335">
        <v>12989</v>
      </c>
      <c r="BR229" s="336">
        <v>397</v>
      </c>
      <c r="BS229" s="316">
        <f t="shared" ref="BS229:BT229" si="3843">IF(ISBLANK(BU229),,BU229-BU228)</f>
        <v>177</v>
      </c>
      <c r="BT229" s="334">
        <f t="shared" si="3843"/>
        <v>0</v>
      </c>
      <c r="BU229" s="335">
        <v>3573</v>
      </c>
      <c r="BV229" s="336">
        <v>42</v>
      </c>
      <c r="BW229" s="233"/>
      <c r="BX229" s="233"/>
      <c r="BY229" s="233"/>
      <c r="BZ229" s="233"/>
      <c r="CA229" s="233"/>
      <c r="CB229" s="233"/>
      <c r="CC229" s="233"/>
      <c r="CD229" s="233"/>
      <c r="CE229" s="233"/>
    </row>
    <row r="230" spans="1:83" x14ac:dyDescent="0.25">
      <c r="A230" s="313">
        <v>44120</v>
      </c>
      <c r="B230" s="314">
        <f t="shared" si="1276"/>
        <v>227</v>
      </c>
      <c r="C230" s="315"/>
      <c r="D230" s="316">
        <v>7705</v>
      </c>
      <c r="E230" s="317">
        <v>132</v>
      </c>
      <c r="F230" s="318">
        <v>87773</v>
      </c>
      <c r="G230" s="319"/>
      <c r="H230" s="330">
        <f t="shared" ref="H230:I230" si="3844">IF(ISBLANK(D230),,H229+D230)</f>
        <v>157608</v>
      </c>
      <c r="I230" s="331">
        <f t="shared" si="3844"/>
        <v>3440</v>
      </c>
      <c r="J230" s="332">
        <f t="shared" si="1"/>
        <v>2185</v>
      </c>
      <c r="K230" s="333">
        <f t="shared" ref="K230:L230" si="3845">IF(ISBLANK(M230),,M230-M229)</f>
        <v>441</v>
      </c>
      <c r="L230" s="334">
        <f t="shared" si="3845"/>
        <v>12</v>
      </c>
      <c r="M230" s="335">
        <v>8511</v>
      </c>
      <c r="N230" s="336">
        <v>220</v>
      </c>
      <c r="O230" s="337">
        <f t="shared" ref="O230:P230" si="3846">IF(ISBLANK(Q230),,Q230-Q229)</f>
        <v>470</v>
      </c>
      <c r="P230" s="338">
        <f t="shared" si="3846"/>
        <v>3</v>
      </c>
      <c r="Q230" s="335">
        <v>6935</v>
      </c>
      <c r="R230" s="339">
        <v>113</v>
      </c>
      <c r="S230" s="316">
        <f t="shared" ref="S230:T230" si="3847">IF(ISBLANK(U230),,U230-U229)</f>
        <v>284</v>
      </c>
      <c r="T230" s="334">
        <f t="shared" si="3847"/>
        <v>11</v>
      </c>
      <c r="U230" s="335">
        <v>5858</v>
      </c>
      <c r="V230" s="336">
        <v>102</v>
      </c>
      <c r="W230" s="337">
        <f t="shared" ref="W230:X230" si="3848">IF(ISBLANK(Y230),,Y230-Y229)</f>
        <v>147</v>
      </c>
      <c r="X230" s="334">
        <f t="shared" si="3848"/>
        <v>3</v>
      </c>
      <c r="Y230" s="335">
        <v>2263</v>
      </c>
      <c r="Z230" s="340">
        <v>28</v>
      </c>
      <c r="AA230" s="316">
        <f t="shared" ref="AA230:AB230" si="3849">IF(ISBLANK(AC230),,AC230-AC229)</f>
        <v>648</v>
      </c>
      <c r="AB230" s="334">
        <f t="shared" si="3849"/>
        <v>3</v>
      </c>
      <c r="AC230" s="335">
        <v>11592</v>
      </c>
      <c r="AD230" s="336">
        <v>321</v>
      </c>
      <c r="AE230" s="337">
        <f t="shared" ref="AE230:AF230" si="3850">IF(ISBLANK(AG230),,AG230-AG229)</f>
        <v>1105</v>
      </c>
      <c r="AF230" s="334">
        <f t="shared" si="3850"/>
        <v>24</v>
      </c>
      <c r="AG230" s="335">
        <v>20821</v>
      </c>
      <c r="AH230" s="339">
        <v>302</v>
      </c>
      <c r="AI230" s="316">
        <f t="shared" ref="AI230:AJ230" si="3851">IF(ISBLANK(AK230),,AK230-AK229)</f>
        <v>911</v>
      </c>
      <c r="AJ230" s="334">
        <f t="shared" si="3851"/>
        <v>10</v>
      </c>
      <c r="AK230" s="335">
        <v>21642</v>
      </c>
      <c r="AL230" s="336">
        <v>530</v>
      </c>
      <c r="AM230" s="337">
        <f t="shared" ref="AM230:AN230" si="3852">IF(ISBLANK(AO230),,AO230-AO229)</f>
        <v>221</v>
      </c>
      <c r="AN230" s="334">
        <f t="shared" si="3852"/>
        <v>2</v>
      </c>
      <c r="AO230" s="335">
        <v>4286</v>
      </c>
      <c r="AP230" s="339">
        <v>113</v>
      </c>
      <c r="AQ230" s="316">
        <f t="shared" ref="AQ230:AR230" si="3853">IF(ISBLANK(AS230),,AS230-AS229)</f>
        <v>563</v>
      </c>
      <c r="AR230" s="338">
        <f t="shared" si="3853"/>
        <v>17</v>
      </c>
      <c r="AS230" s="335">
        <v>8226</v>
      </c>
      <c r="AT230" s="336">
        <v>230</v>
      </c>
      <c r="AU230" s="337">
        <f t="shared" ref="AU230:AV230" si="3854">IF(ISBLANK(AW230),,AW230-AW229)</f>
        <v>201</v>
      </c>
      <c r="AV230" s="334">
        <f t="shared" si="3854"/>
        <v>7</v>
      </c>
      <c r="AW230" s="335">
        <v>3957</v>
      </c>
      <c r="AX230" s="339">
        <v>78</v>
      </c>
      <c r="AY230" s="316">
        <f t="shared" ref="AY230:AZ230" si="3855">IF(ISBLANK(BA230),,BA230-BA229)</f>
        <v>547</v>
      </c>
      <c r="AZ230" s="334">
        <f t="shared" si="3855"/>
        <v>9</v>
      </c>
      <c r="BA230" s="335">
        <v>9764</v>
      </c>
      <c r="BB230" s="336">
        <v>162</v>
      </c>
      <c r="BC230" s="337">
        <f t="shared" ref="BC230:BD230" si="3856">IF(ISBLANK(BE230),,BE230-BE229)</f>
        <v>769</v>
      </c>
      <c r="BD230" s="334">
        <f t="shared" si="3856"/>
        <v>17</v>
      </c>
      <c r="BE230" s="335">
        <v>28364</v>
      </c>
      <c r="BF230" s="339">
        <v>651</v>
      </c>
      <c r="BG230" s="316">
        <f t="shared" ref="BG230:BH230" si="3857">IF(ISBLANK(BI230),,BI230-BI229)</f>
        <v>314</v>
      </c>
      <c r="BH230" s="334">
        <f t="shared" si="3857"/>
        <v>5</v>
      </c>
      <c r="BI230" s="335">
        <v>4637</v>
      </c>
      <c r="BJ230" s="336">
        <v>96</v>
      </c>
      <c r="BK230" s="337">
        <f t="shared" ref="BK230:BL230" si="3858">IF(ISBLANK(BM230),,BM230-BM229)</f>
        <v>181</v>
      </c>
      <c r="BL230" s="334">
        <f t="shared" si="3858"/>
        <v>1</v>
      </c>
      <c r="BM230" s="335">
        <v>3287</v>
      </c>
      <c r="BN230" s="339">
        <v>47</v>
      </c>
      <c r="BO230" s="316">
        <f t="shared" ref="BO230:BP230" si="3859">IF(ISBLANK(BQ230),,BQ230-BQ229)</f>
        <v>592</v>
      </c>
      <c r="BP230" s="334">
        <f t="shared" si="3859"/>
        <v>5</v>
      </c>
      <c r="BQ230" s="335">
        <v>13581</v>
      </c>
      <c r="BR230" s="336">
        <v>402</v>
      </c>
      <c r="BS230" s="316">
        <f t="shared" ref="BS230:BT230" si="3860">IF(ISBLANK(BU230),,BU230-BU229)</f>
        <v>311</v>
      </c>
      <c r="BT230" s="334">
        <f t="shared" si="3860"/>
        <v>3</v>
      </c>
      <c r="BU230" s="335">
        <v>3884</v>
      </c>
      <c r="BV230" s="336">
        <v>45</v>
      </c>
      <c r="BW230" s="233"/>
      <c r="BX230" s="233"/>
      <c r="BY230" s="233"/>
      <c r="BZ230" s="233"/>
      <c r="CA230" s="233"/>
      <c r="CB230" s="233"/>
      <c r="CC230" s="233"/>
      <c r="CD230" s="233"/>
      <c r="CE230" s="233"/>
    </row>
    <row r="231" spans="1:83" x14ac:dyDescent="0.25">
      <c r="A231" s="313">
        <v>44121</v>
      </c>
      <c r="B231" s="314">
        <f t="shared" si="1276"/>
        <v>228</v>
      </c>
      <c r="C231" s="315"/>
      <c r="D231" s="316">
        <v>9622</v>
      </c>
      <c r="E231" s="317">
        <v>84</v>
      </c>
      <c r="F231" s="318">
        <v>90162</v>
      </c>
      <c r="G231" s="319"/>
      <c r="H231" s="330">
        <f t="shared" ref="H231:I231" si="3861">IF(ISBLANK(D231),,H230+D231)</f>
        <v>167230</v>
      </c>
      <c r="I231" s="331">
        <f t="shared" si="3861"/>
        <v>3524</v>
      </c>
      <c r="J231" s="332">
        <f t="shared" si="1"/>
        <v>2389</v>
      </c>
      <c r="K231" s="333">
        <f t="shared" ref="K231:L231" si="3862">IF(ISBLANK(M231),,M231-M230)</f>
        <v>524</v>
      </c>
      <c r="L231" s="334">
        <f t="shared" si="3862"/>
        <v>2</v>
      </c>
      <c r="M231" s="335">
        <v>9035</v>
      </c>
      <c r="N231" s="336">
        <v>222</v>
      </c>
      <c r="O231" s="337">
        <f t="shared" ref="O231:P231" si="3863">IF(ISBLANK(Q231),,Q231-Q230)</f>
        <v>470</v>
      </c>
      <c r="P231" s="338">
        <f t="shared" si="3863"/>
        <v>1</v>
      </c>
      <c r="Q231" s="335">
        <v>7405</v>
      </c>
      <c r="R231" s="339">
        <v>114</v>
      </c>
      <c r="S231" s="316">
        <f t="shared" ref="S231:T231" si="3864">IF(ISBLANK(U231),,U231-U230)</f>
        <v>429</v>
      </c>
      <c r="T231" s="334">
        <f t="shared" si="3864"/>
        <v>9</v>
      </c>
      <c r="U231" s="335">
        <v>6287</v>
      </c>
      <c r="V231" s="336">
        <v>111</v>
      </c>
      <c r="W231" s="337">
        <f t="shared" ref="W231:X231" si="3865">IF(ISBLANK(Y231),,Y231-Y230)</f>
        <v>157</v>
      </c>
      <c r="X231" s="334">
        <f t="shared" si="3865"/>
        <v>3</v>
      </c>
      <c r="Y231" s="335">
        <v>2420</v>
      </c>
      <c r="Z231" s="340">
        <v>31</v>
      </c>
      <c r="AA231" s="316">
        <f t="shared" ref="AA231:AB231" si="3866">IF(ISBLANK(AC231),,AC231-AC230)</f>
        <v>821</v>
      </c>
      <c r="AB231" s="334">
        <f t="shared" si="3866"/>
        <v>2</v>
      </c>
      <c r="AC231" s="335">
        <v>12413</v>
      </c>
      <c r="AD231" s="336">
        <v>323</v>
      </c>
      <c r="AE231" s="337">
        <f t="shared" ref="AE231:AF231" si="3867">IF(ISBLANK(AG231),,AG231-AG230)</f>
        <v>1254</v>
      </c>
      <c r="AF231" s="334">
        <f t="shared" si="3867"/>
        <v>16</v>
      </c>
      <c r="AG231" s="335">
        <v>22075</v>
      </c>
      <c r="AH231" s="339">
        <v>318</v>
      </c>
      <c r="AI231" s="316">
        <f t="shared" ref="AI231:AJ231" si="3868">IF(ISBLANK(AK231),,AK231-AK230)</f>
        <v>1485</v>
      </c>
      <c r="AJ231" s="334">
        <f t="shared" si="3868"/>
        <v>5</v>
      </c>
      <c r="AK231" s="335">
        <v>23127</v>
      </c>
      <c r="AL231" s="336">
        <v>535</v>
      </c>
      <c r="AM231" s="337">
        <f t="shared" ref="AM231:AN231" si="3869">IF(ISBLANK(AO231),,AO231-AO230)</f>
        <v>283</v>
      </c>
      <c r="AN231" s="334">
        <f t="shared" si="3869"/>
        <v>2</v>
      </c>
      <c r="AO231" s="335">
        <v>4569</v>
      </c>
      <c r="AP231" s="339">
        <v>115</v>
      </c>
      <c r="AQ231" s="316">
        <f t="shared" ref="AQ231:AR231" si="3870">IF(ISBLANK(AS231),,AS231-AS230)</f>
        <v>704</v>
      </c>
      <c r="AR231" s="338">
        <f t="shared" si="3870"/>
        <v>3</v>
      </c>
      <c r="AS231" s="335">
        <v>8930</v>
      </c>
      <c r="AT231" s="336">
        <v>233</v>
      </c>
      <c r="AU231" s="337">
        <f t="shared" ref="AU231:AV231" si="3871">IF(ISBLANK(AW231),,AW231-AW230)</f>
        <v>149</v>
      </c>
      <c r="AV231" s="334">
        <f t="shared" si="3871"/>
        <v>4</v>
      </c>
      <c r="AW231" s="335">
        <v>4106</v>
      </c>
      <c r="AX231" s="339">
        <v>82</v>
      </c>
      <c r="AY231" s="316">
        <f t="shared" ref="AY231:AZ231" si="3872">IF(ISBLANK(BA231),,BA231-BA230)</f>
        <v>563</v>
      </c>
      <c r="AZ231" s="334">
        <f t="shared" si="3872"/>
        <v>6</v>
      </c>
      <c r="BA231" s="335">
        <v>10327</v>
      </c>
      <c r="BB231" s="336">
        <v>168</v>
      </c>
      <c r="BC231" s="337">
        <f t="shared" ref="BC231:BD231" si="3873">IF(ISBLANK(BE231),,BE231-BE230)</f>
        <v>765</v>
      </c>
      <c r="BD231" s="334">
        <f t="shared" si="3873"/>
        <v>8</v>
      </c>
      <c r="BE231" s="335">
        <v>29129</v>
      </c>
      <c r="BF231" s="339">
        <v>659</v>
      </c>
      <c r="BG231" s="316">
        <f t="shared" ref="BG231:BH231" si="3874">IF(ISBLANK(BI231),,BI231-BI230)</f>
        <v>396</v>
      </c>
      <c r="BH231" s="334">
        <f t="shared" si="3874"/>
        <v>6</v>
      </c>
      <c r="BI231" s="335">
        <v>5033</v>
      </c>
      <c r="BJ231" s="336">
        <v>102</v>
      </c>
      <c r="BK231" s="337">
        <f t="shared" ref="BK231:BL231" si="3875">IF(ISBLANK(BM231),,BM231-BM230)</f>
        <v>224</v>
      </c>
      <c r="BL231" s="334">
        <f t="shared" si="3875"/>
        <v>2</v>
      </c>
      <c r="BM231" s="335">
        <v>3511</v>
      </c>
      <c r="BN231" s="339">
        <v>49</v>
      </c>
      <c r="BO231" s="316">
        <f t="shared" ref="BO231:BP231" si="3876">IF(ISBLANK(BQ231),,BQ231-BQ230)</f>
        <v>1058</v>
      </c>
      <c r="BP231" s="334">
        <f t="shared" si="3876"/>
        <v>13</v>
      </c>
      <c r="BQ231" s="335">
        <v>14639</v>
      </c>
      <c r="BR231" s="336">
        <v>415</v>
      </c>
      <c r="BS231" s="316">
        <f t="shared" ref="BS231:BT231" si="3877">IF(ISBLANK(BU231),,BU231-BU230)</f>
        <v>340</v>
      </c>
      <c r="BT231" s="334">
        <f t="shared" si="3877"/>
        <v>2</v>
      </c>
      <c r="BU231" s="335">
        <v>4224</v>
      </c>
      <c r="BV231" s="336">
        <v>47</v>
      </c>
      <c r="BW231" s="233"/>
      <c r="BX231" s="233"/>
      <c r="BY231" s="233"/>
      <c r="BZ231" s="233"/>
      <c r="CA231" s="233"/>
      <c r="CB231" s="233"/>
      <c r="CC231" s="233"/>
      <c r="CD231" s="233"/>
      <c r="CE231" s="233"/>
    </row>
    <row r="232" spans="1:83" x14ac:dyDescent="0.25">
      <c r="A232" s="313">
        <v>44122</v>
      </c>
      <c r="B232" s="314">
        <f t="shared" si="1276"/>
        <v>229</v>
      </c>
      <c r="C232" s="315"/>
      <c r="D232" s="316">
        <v>8536</v>
      </c>
      <c r="E232" s="317">
        <v>49</v>
      </c>
      <c r="F232" s="318">
        <v>92651</v>
      </c>
      <c r="G232" s="319"/>
      <c r="H232" s="330">
        <f t="shared" ref="H232:I232" si="3878">IF(ISBLANK(D232),,H231+D232)</f>
        <v>175766</v>
      </c>
      <c r="I232" s="331">
        <f t="shared" si="3878"/>
        <v>3573</v>
      </c>
      <c r="J232" s="332">
        <f t="shared" si="1"/>
        <v>2489</v>
      </c>
      <c r="K232" s="333">
        <f t="shared" ref="K232:L232" si="3879">IF(ISBLANK(M232),,M232-M231)</f>
        <v>369</v>
      </c>
      <c r="L232" s="334">
        <f t="shared" si="3879"/>
        <v>2</v>
      </c>
      <c r="M232" s="335">
        <v>9404</v>
      </c>
      <c r="N232" s="336">
        <v>224</v>
      </c>
      <c r="O232" s="337">
        <f t="shared" ref="O232:P232" si="3880">IF(ISBLANK(Q232),,Q232-Q231)</f>
        <v>523</v>
      </c>
      <c r="P232" s="338">
        <f t="shared" si="3880"/>
        <v>2</v>
      </c>
      <c r="Q232" s="335">
        <v>7928</v>
      </c>
      <c r="R232" s="339">
        <v>116</v>
      </c>
      <c r="S232" s="316">
        <f t="shared" ref="S232:T232" si="3881">IF(ISBLANK(U232),,U232-U231)</f>
        <v>580</v>
      </c>
      <c r="T232" s="334">
        <f t="shared" si="3881"/>
        <v>7</v>
      </c>
      <c r="U232" s="335">
        <v>6867</v>
      </c>
      <c r="V232" s="336">
        <v>118</v>
      </c>
      <c r="W232" s="337">
        <f t="shared" ref="W232:X232" si="3882">IF(ISBLANK(Y232),,Y232-Y231)</f>
        <v>169</v>
      </c>
      <c r="X232" s="334">
        <f t="shared" si="3882"/>
        <v>0</v>
      </c>
      <c r="Y232" s="335">
        <v>2589</v>
      </c>
      <c r="Z232" s="340">
        <v>31</v>
      </c>
      <c r="AA232" s="316">
        <f t="shared" ref="AA232:AB232" si="3883">IF(ISBLANK(AC232),,AC232-AC231)</f>
        <v>584</v>
      </c>
      <c r="AB232" s="334">
        <f t="shared" si="3883"/>
        <v>1</v>
      </c>
      <c r="AC232" s="335">
        <v>12997</v>
      </c>
      <c r="AD232" s="336">
        <v>324</v>
      </c>
      <c r="AE232" s="337">
        <f t="shared" ref="AE232:AF232" si="3884">IF(ISBLANK(AG232),,AG232-AG231)</f>
        <v>934</v>
      </c>
      <c r="AF232" s="334">
        <f t="shared" si="3884"/>
        <v>4</v>
      </c>
      <c r="AG232" s="335">
        <v>23009</v>
      </c>
      <c r="AH232" s="339">
        <v>322</v>
      </c>
      <c r="AI232" s="316">
        <f t="shared" ref="AI232:AJ232" si="3885">IF(ISBLANK(AK232),,AK232-AK231)</f>
        <v>1342</v>
      </c>
      <c r="AJ232" s="334">
        <f t="shared" si="3885"/>
        <v>8</v>
      </c>
      <c r="AK232" s="335">
        <v>24469</v>
      </c>
      <c r="AL232" s="336">
        <v>543</v>
      </c>
      <c r="AM232" s="337">
        <f t="shared" ref="AM232:AN232" si="3886">IF(ISBLANK(AO232),,AO232-AO231)</f>
        <v>312</v>
      </c>
      <c r="AN232" s="334">
        <f t="shared" si="3886"/>
        <v>0</v>
      </c>
      <c r="AO232" s="335">
        <v>4881</v>
      </c>
      <c r="AP232" s="339">
        <v>115</v>
      </c>
      <c r="AQ232" s="316">
        <f t="shared" ref="AQ232:AR232" si="3887">IF(ISBLANK(AS232),,AS232-AS231)</f>
        <v>721</v>
      </c>
      <c r="AR232" s="338">
        <f t="shared" si="3887"/>
        <v>8</v>
      </c>
      <c r="AS232" s="335">
        <v>9651</v>
      </c>
      <c r="AT232" s="336">
        <v>241</v>
      </c>
      <c r="AU232" s="337">
        <f t="shared" ref="AU232:AV232" si="3888">IF(ISBLANK(AW232),,AW232-AW231)</f>
        <v>139</v>
      </c>
      <c r="AV232" s="334">
        <f t="shared" si="3888"/>
        <v>0</v>
      </c>
      <c r="AW232" s="335">
        <v>4245</v>
      </c>
      <c r="AX232" s="339">
        <v>82</v>
      </c>
      <c r="AY232" s="316">
        <f t="shared" ref="AY232:AZ232" si="3889">IF(ISBLANK(BA232),,BA232-BA231)</f>
        <v>427</v>
      </c>
      <c r="AZ232" s="334">
        <f t="shared" si="3889"/>
        <v>5</v>
      </c>
      <c r="BA232" s="335">
        <v>10754</v>
      </c>
      <c r="BB232" s="336">
        <v>173</v>
      </c>
      <c r="BC232" s="337">
        <f t="shared" ref="BC232:BD232" si="3890">IF(ISBLANK(BE232),,BE232-BE231)</f>
        <v>974</v>
      </c>
      <c r="BD232" s="334">
        <f t="shared" si="3890"/>
        <v>6</v>
      </c>
      <c r="BE232" s="335">
        <v>30103</v>
      </c>
      <c r="BF232" s="339">
        <v>665</v>
      </c>
      <c r="BG232" s="316">
        <f t="shared" ref="BG232:BH232" si="3891">IF(ISBLANK(BI232),,BI232-BI231)</f>
        <v>211</v>
      </c>
      <c r="BH232" s="334">
        <f t="shared" si="3891"/>
        <v>1</v>
      </c>
      <c r="BI232" s="335">
        <v>5244</v>
      </c>
      <c r="BJ232" s="336">
        <v>103</v>
      </c>
      <c r="BK232" s="337">
        <f t="shared" ref="BK232:BL232" si="3892">IF(ISBLANK(BM232),,BM232-BM231)</f>
        <v>210</v>
      </c>
      <c r="BL232" s="334">
        <f t="shared" si="3892"/>
        <v>1</v>
      </c>
      <c r="BM232" s="335">
        <v>3721</v>
      </c>
      <c r="BN232" s="339">
        <v>50</v>
      </c>
      <c r="BO232" s="316">
        <f t="shared" ref="BO232:BP232" si="3893">IF(ISBLANK(BQ232),,BQ232-BQ231)</f>
        <v>724</v>
      </c>
      <c r="BP232" s="334">
        <f t="shared" si="3893"/>
        <v>4</v>
      </c>
      <c r="BQ232" s="335">
        <v>15363</v>
      </c>
      <c r="BR232" s="336">
        <v>419</v>
      </c>
      <c r="BS232" s="316">
        <f t="shared" ref="BS232:BT232" si="3894">IF(ISBLANK(BU232),,BU232-BU231)</f>
        <v>317</v>
      </c>
      <c r="BT232" s="334">
        <f t="shared" si="3894"/>
        <v>0</v>
      </c>
      <c r="BU232" s="335">
        <v>4541</v>
      </c>
      <c r="BV232" s="336">
        <v>47</v>
      </c>
      <c r="BW232" s="233"/>
      <c r="BX232" s="233"/>
      <c r="BY232" s="233"/>
      <c r="BZ232" s="233"/>
      <c r="CA232" s="233"/>
      <c r="CB232" s="233"/>
      <c r="CC232" s="233"/>
      <c r="CD232" s="233"/>
      <c r="CE232" s="233"/>
    </row>
    <row r="233" spans="1:83" x14ac:dyDescent="0.25">
      <c r="A233" s="313">
        <v>44123</v>
      </c>
      <c r="B233" s="314">
        <f t="shared" si="1276"/>
        <v>230</v>
      </c>
      <c r="C233" s="315"/>
      <c r="D233" s="316">
        <v>7482</v>
      </c>
      <c r="E233" s="317">
        <v>41</v>
      </c>
      <c r="F233" s="318">
        <v>94014</v>
      </c>
      <c r="G233" s="319"/>
      <c r="H233" s="330">
        <f t="shared" ref="H233:I233" si="3895">IF(ISBLANK(D233),,H232+D233)</f>
        <v>183248</v>
      </c>
      <c r="I233" s="331">
        <f t="shared" si="3895"/>
        <v>3614</v>
      </c>
      <c r="J233" s="332">
        <f t="shared" si="1"/>
        <v>1363</v>
      </c>
      <c r="K233" s="333">
        <f t="shared" ref="K233:L233" si="3896">IF(ISBLANK(M233),,M233-M232)</f>
        <v>406</v>
      </c>
      <c r="L233" s="334">
        <f t="shared" si="3896"/>
        <v>1</v>
      </c>
      <c r="M233" s="335">
        <v>9810</v>
      </c>
      <c r="N233" s="336">
        <v>225</v>
      </c>
      <c r="O233" s="337">
        <f t="shared" ref="O233:P233" si="3897">IF(ISBLANK(Q233),,Q233-Q232)</f>
        <v>473</v>
      </c>
      <c r="P233" s="338">
        <f t="shared" si="3897"/>
        <v>0</v>
      </c>
      <c r="Q233" s="335">
        <v>8401</v>
      </c>
      <c r="R233" s="339">
        <v>116</v>
      </c>
      <c r="S233" s="316">
        <f t="shared" ref="S233:T233" si="3898">IF(ISBLANK(U233),,U233-U232)</f>
        <v>526</v>
      </c>
      <c r="T233" s="334">
        <f t="shared" si="3898"/>
        <v>7</v>
      </c>
      <c r="U233" s="335">
        <v>7393</v>
      </c>
      <c r="V233" s="336">
        <v>125</v>
      </c>
      <c r="W233" s="337">
        <f t="shared" ref="W233:X233" si="3899">IF(ISBLANK(Y233),,Y233-Y232)</f>
        <v>93</v>
      </c>
      <c r="X233" s="334">
        <f t="shared" si="3899"/>
        <v>1</v>
      </c>
      <c r="Y233" s="335">
        <v>2682</v>
      </c>
      <c r="Z233" s="340">
        <v>32</v>
      </c>
      <c r="AA233" s="316">
        <f t="shared" ref="AA233:AB233" si="3900">IF(ISBLANK(AC233),,AC233-AC232)</f>
        <v>679</v>
      </c>
      <c r="AB233" s="334">
        <f t="shared" si="3900"/>
        <v>0</v>
      </c>
      <c r="AC233" s="335">
        <v>13676</v>
      </c>
      <c r="AD233" s="336">
        <v>324</v>
      </c>
      <c r="AE233" s="337">
        <f t="shared" ref="AE233:AF233" si="3901">IF(ISBLANK(AG233),,AG233-AG232)</f>
        <v>1201</v>
      </c>
      <c r="AF233" s="334">
        <f t="shared" si="3901"/>
        <v>8</v>
      </c>
      <c r="AG233" s="335">
        <v>24210</v>
      </c>
      <c r="AH233" s="339">
        <v>330</v>
      </c>
      <c r="AI233" s="316">
        <f t="shared" ref="AI233:AJ233" si="3902">IF(ISBLANK(AK233),,AK233-AK232)</f>
        <v>849</v>
      </c>
      <c r="AJ233" s="334">
        <f t="shared" si="3902"/>
        <v>0</v>
      </c>
      <c r="AK233" s="335">
        <v>25318</v>
      </c>
      <c r="AL233" s="336">
        <v>543</v>
      </c>
      <c r="AM233" s="337">
        <f t="shared" ref="AM233:AN233" si="3903">IF(ISBLANK(AO233),,AO233-AO232)</f>
        <v>348</v>
      </c>
      <c r="AN233" s="334">
        <f t="shared" si="3903"/>
        <v>1</v>
      </c>
      <c r="AO233" s="335">
        <v>5229</v>
      </c>
      <c r="AP233" s="339">
        <v>116</v>
      </c>
      <c r="AQ233" s="316">
        <f t="shared" ref="AQ233:AR233" si="3904">IF(ISBLANK(AS233),,AS233-AS232)</f>
        <v>458</v>
      </c>
      <c r="AR233" s="338">
        <f t="shared" si="3904"/>
        <v>4</v>
      </c>
      <c r="AS233" s="335">
        <v>10109</v>
      </c>
      <c r="AT233" s="336">
        <v>245</v>
      </c>
      <c r="AU233" s="337">
        <f t="shared" ref="AU233:AV233" si="3905">IF(ISBLANK(AW233),,AW233-AW232)</f>
        <v>283</v>
      </c>
      <c r="AV233" s="334">
        <f t="shared" si="3905"/>
        <v>0</v>
      </c>
      <c r="AW233" s="335">
        <v>4528</v>
      </c>
      <c r="AX233" s="339">
        <v>82</v>
      </c>
      <c r="AY233" s="316">
        <f t="shared" ref="AY233:AZ233" si="3906">IF(ISBLANK(BA233),,BA233-BA232)</f>
        <v>481</v>
      </c>
      <c r="AZ233" s="334">
        <f t="shared" si="3906"/>
        <v>4</v>
      </c>
      <c r="BA233" s="335">
        <v>11235</v>
      </c>
      <c r="BB233" s="336">
        <v>177</v>
      </c>
      <c r="BC233" s="337">
        <f t="shared" ref="BC233:BD233" si="3907">IF(ISBLANK(BE233),,BE233-BE232)</f>
        <v>685</v>
      </c>
      <c r="BD233" s="334">
        <f t="shared" si="3907"/>
        <v>4</v>
      </c>
      <c r="BE233" s="335">
        <v>30788</v>
      </c>
      <c r="BF233" s="339">
        <v>669</v>
      </c>
      <c r="BG233" s="316">
        <f t="shared" ref="BG233:BH233" si="3908">IF(ISBLANK(BI233),,BI233-BI232)</f>
        <v>170</v>
      </c>
      <c r="BH233" s="334">
        <f t="shared" si="3908"/>
        <v>0</v>
      </c>
      <c r="BI233" s="335">
        <v>5414</v>
      </c>
      <c r="BJ233" s="336">
        <v>103</v>
      </c>
      <c r="BK233" s="337">
        <f t="shared" ref="BK233:BL233" si="3909">IF(ISBLANK(BM233),,BM233-BM232)</f>
        <v>190</v>
      </c>
      <c r="BL233" s="334">
        <f t="shared" si="3909"/>
        <v>4</v>
      </c>
      <c r="BM233" s="335">
        <v>3911</v>
      </c>
      <c r="BN233" s="339">
        <v>54</v>
      </c>
      <c r="BO233" s="316">
        <f t="shared" ref="BO233:BP233" si="3910">IF(ISBLANK(BQ233),,BQ233-BQ232)</f>
        <v>423</v>
      </c>
      <c r="BP233" s="334">
        <f t="shared" si="3910"/>
        <v>7</v>
      </c>
      <c r="BQ233" s="335">
        <v>15786</v>
      </c>
      <c r="BR233" s="336">
        <v>426</v>
      </c>
      <c r="BS233" s="316">
        <f t="shared" ref="BS233:BT233" si="3911">IF(ISBLANK(BU233),,BU233-BU232)</f>
        <v>217</v>
      </c>
      <c r="BT233" s="334">
        <f t="shared" si="3911"/>
        <v>0</v>
      </c>
      <c r="BU233" s="335">
        <v>4758</v>
      </c>
      <c r="BV233" s="336">
        <v>47</v>
      </c>
      <c r="BW233" s="233"/>
      <c r="BX233" s="233"/>
      <c r="BY233" s="233"/>
      <c r="BZ233" s="233"/>
      <c r="CA233" s="233"/>
      <c r="CB233" s="233"/>
      <c r="CC233" s="233"/>
      <c r="CD233" s="233"/>
      <c r="CE233" s="233"/>
    </row>
    <row r="234" spans="1:83" x14ac:dyDescent="0.25">
      <c r="A234" s="313">
        <v>44124</v>
      </c>
      <c r="B234" s="314">
        <f t="shared" si="1276"/>
        <v>231</v>
      </c>
      <c r="C234" s="315"/>
      <c r="D234" s="316">
        <v>9291</v>
      </c>
      <c r="E234" s="317">
        <v>107</v>
      </c>
      <c r="F234" s="318">
        <v>95956</v>
      </c>
      <c r="G234" s="319"/>
      <c r="H234" s="330">
        <f t="shared" ref="H234:I234" si="3912">IF(ISBLANK(D234),,H233+D234)</f>
        <v>192539</v>
      </c>
      <c r="I234" s="331">
        <f t="shared" si="3912"/>
        <v>3721</v>
      </c>
      <c r="J234" s="332">
        <f t="shared" si="1"/>
        <v>1942</v>
      </c>
      <c r="K234" s="333">
        <f t="shared" ref="K234:L234" si="3913">IF(ISBLANK(M234),,M234-M233)</f>
        <v>567</v>
      </c>
      <c r="L234" s="334">
        <f t="shared" si="3913"/>
        <v>12</v>
      </c>
      <c r="M234" s="335">
        <v>10377</v>
      </c>
      <c r="N234" s="336">
        <v>237</v>
      </c>
      <c r="O234" s="337">
        <f t="shared" ref="O234:P234" si="3914">IF(ISBLANK(Q234),,Q234-Q233)</f>
        <v>446</v>
      </c>
      <c r="P234" s="338">
        <f t="shared" si="3914"/>
        <v>0</v>
      </c>
      <c r="Q234" s="335">
        <v>8847</v>
      </c>
      <c r="R234" s="339">
        <v>116</v>
      </c>
      <c r="S234" s="316">
        <f t="shared" ref="S234:T234" si="3915">IF(ISBLANK(U234),,U234-U233)</f>
        <v>219</v>
      </c>
      <c r="T234" s="334">
        <f t="shared" si="3915"/>
        <v>5</v>
      </c>
      <c r="U234" s="335">
        <v>7612</v>
      </c>
      <c r="V234" s="336">
        <v>130</v>
      </c>
      <c r="W234" s="337">
        <f t="shared" ref="W234:X234" si="3916">IF(ISBLANK(Y234),,Y234-Y233)</f>
        <v>228</v>
      </c>
      <c r="X234" s="334">
        <f t="shared" si="3916"/>
        <v>2</v>
      </c>
      <c r="Y234" s="335">
        <v>2910</v>
      </c>
      <c r="Z234" s="340">
        <v>34</v>
      </c>
      <c r="AA234" s="316">
        <f t="shared" ref="AA234:AB234" si="3917">IF(ISBLANK(AC234),,AC234-AC233)</f>
        <v>625</v>
      </c>
      <c r="AB234" s="334">
        <f t="shared" si="3917"/>
        <v>5</v>
      </c>
      <c r="AC234" s="335">
        <v>14301</v>
      </c>
      <c r="AD234" s="336">
        <v>329</v>
      </c>
      <c r="AE234" s="337">
        <f t="shared" ref="AE234:AF234" si="3918">IF(ISBLANK(AG234),,AG234-AG233)</f>
        <v>1486</v>
      </c>
      <c r="AF234" s="334">
        <f t="shared" si="3918"/>
        <v>25</v>
      </c>
      <c r="AG234" s="335">
        <v>25696</v>
      </c>
      <c r="AH234" s="339">
        <v>355</v>
      </c>
      <c r="AI234" s="316">
        <f t="shared" ref="AI234:AJ234" si="3919">IF(ISBLANK(AK234),,AK234-AK233)</f>
        <v>1282</v>
      </c>
      <c r="AJ234" s="334">
        <f t="shared" si="3919"/>
        <v>4</v>
      </c>
      <c r="AK234" s="335">
        <v>26600</v>
      </c>
      <c r="AL234" s="336">
        <v>547</v>
      </c>
      <c r="AM234" s="337">
        <f t="shared" ref="AM234:AN234" si="3920">IF(ISBLANK(AO234),,AO234-AO233)</f>
        <v>307</v>
      </c>
      <c r="AN234" s="334">
        <f t="shared" si="3920"/>
        <v>8</v>
      </c>
      <c r="AO234" s="335">
        <v>5536</v>
      </c>
      <c r="AP234" s="339">
        <v>124</v>
      </c>
      <c r="AQ234" s="316">
        <f t="shared" ref="AQ234:AR234" si="3921">IF(ISBLANK(AS234),,AS234-AS233)</f>
        <v>667</v>
      </c>
      <c r="AR234" s="338">
        <f t="shared" si="3921"/>
        <v>14</v>
      </c>
      <c r="AS234" s="335">
        <v>10776</v>
      </c>
      <c r="AT234" s="336">
        <v>259</v>
      </c>
      <c r="AU234" s="337">
        <f t="shared" ref="AU234:AV234" si="3922">IF(ISBLANK(AW234),,AW234-AW233)</f>
        <v>209</v>
      </c>
      <c r="AV234" s="334">
        <f t="shared" si="3922"/>
        <v>0</v>
      </c>
      <c r="AW234" s="335">
        <v>4737</v>
      </c>
      <c r="AX234" s="339">
        <v>82</v>
      </c>
      <c r="AY234" s="316">
        <f t="shared" ref="AY234:AZ234" si="3923">IF(ISBLANK(BA234),,BA234-BA233)</f>
        <v>484</v>
      </c>
      <c r="AZ234" s="334">
        <f t="shared" si="3923"/>
        <v>7</v>
      </c>
      <c r="BA234" s="335">
        <v>11719</v>
      </c>
      <c r="BB234" s="336">
        <v>184</v>
      </c>
      <c r="BC234" s="337">
        <f t="shared" ref="BC234:BD234" si="3924">IF(ISBLANK(BE234),,BE234-BE233)</f>
        <v>895</v>
      </c>
      <c r="BD234" s="334">
        <f t="shared" si="3924"/>
        <v>15</v>
      </c>
      <c r="BE234" s="335">
        <v>31683</v>
      </c>
      <c r="BF234" s="339">
        <v>684</v>
      </c>
      <c r="BG234" s="316">
        <f t="shared" ref="BG234:BH234" si="3925">IF(ISBLANK(BI234),,BI234-BI233)</f>
        <v>312</v>
      </c>
      <c r="BH234" s="334">
        <f t="shared" si="3925"/>
        <v>0</v>
      </c>
      <c r="BI234" s="335">
        <v>5726</v>
      </c>
      <c r="BJ234" s="336">
        <v>103</v>
      </c>
      <c r="BK234" s="337">
        <f t="shared" ref="BK234:BL234" si="3926">IF(ISBLANK(BM234),,BM234-BM233)</f>
        <v>165</v>
      </c>
      <c r="BL234" s="334">
        <f t="shared" si="3926"/>
        <v>5</v>
      </c>
      <c r="BM234" s="335">
        <v>4076</v>
      </c>
      <c r="BN234" s="339">
        <v>59</v>
      </c>
      <c r="BO234" s="316">
        <f t="shared" ref="BO234:BP234" si="3927">IF(ISBLANK(BQ234),,BQ234-BQ233)</f>
        <v>1186</v>
      </c>
      <c r="BP234" s="334">
        <f t="shared" si="3927"/>
        <v>5</v>
      </c>
      <c r="BQ234" s="335">
        <v>16972</v>
      </c>
      <c r="BR234" s="336">
        <v>431</v>
      </c>
      <c r="BS234" s="316">
        <f t="shared" ref="BS234:BT234" si="3928">IF(ISBLANK(BU234),,BU234-BU233)</f>
        <v>213</v>
      </c>
      <c r="BT234" s="334">
        <f t="shared" si="3928"/>
        <v>0</v>
      </c>
      <c r="BU234" s="335">
        <v>4971</v>
      </c>
      <c r="BV234" s="336">
        <v>47</v>
      </c>
      <c r="BW234" s="233"/>
      <c r="BX234" s="233"/>
      <c r="BY234" s="233"/>
      <c r="BZ234" s="233"/>
      <c r="CA234" s="233"/>
      <c r="CB234" s="233"/>
      <c r="CC234" s="233"/>
      <c r="CD234" s="233"/>
      <c r="CE234" s="233"/>
    </row>
    <row r="235" spans="1:83" x14ac:dyDescent="0.25">
      <c r="A235" s="313">
        <v>44125</v>
      </c>
      <c r="B235" s="314">
        <f t="shared" si="1276"/>
        <v>232</v>
      </c>
      <c r="C235" s="315"/>
      <c r="D235" s="316">
        <v>10040</v>
      </c>
      <c r="E235" s="317">
        <v>130</v>
      </c>
      <c r="F235" s="318">
        <v>98884</v>
      </c>
      <c r="G235" s="319"/>
      <c r="H235" s="330">
        <f t="shared" ref="H235:I235" si="3929">IF(ISBLANK(D235),,H234+D235)</f>
        <v>202579</v>
      </c>
      <c r="I235" s="331">
        <f t="shared" si="3929"/>
        <v>3851</v>
      </c>
      <c r="J235" s="332">
        <f t="shared" si="1"/>
        <v>2928</v>
      </c>
      <c r="K235" s="333">
        <f t="shared" ref="K235:L235" si="3930">IF(ISBLANK(M235),,M235-M234)</f>
        <v>462</v>
      </c>
      <c r="L235" s="334">
        <f t="shared" si="3930"/>
        <v>7</v>
      </c>
      <c r="M235" s="335">
        <v>10839</v>
      </c>
      <c r="N235" s="336">
        <v>244</v>
      </c>
      <c r="O235" s="337">
        <f t="shared" ref="O235:P235" si="3931">IF(ISBLANK(Q235),,Q235-Q234)</f>
        <v>771</v>
      </c>
      <c r="P235" s="338">
        <f t="shared" si="3931"/>
        <v>7</v>
      </c>
      <c r="Q235" s="335">
        <v>9618</v>
      </c>
      <c r="R235" s="339">
        <v>123</v>
      </c>
      <c r="S235" s="316">
        <f t="shared" ref="S235:T235" si="3932">IF(ISBLANK(U235),,U235-U234)</f>
        <v>658</v>
      </c>
      <c r="T235" s="334">
        <f t="shared" si="3932"/>
        <v>9</v>
      </c>
      <c r="U235" s="335">
        <v>8270</v>
      </c>
      <c r="V235" s="336">
        <v>139</v>
      </c>
      <c r="W235" s="337">
        <f t="shared" ref="W235:X235" si="3933">IF(ISBLANK(Y235),,Y235-Y234)</f>
        <v>283</v>
      </c>
      <c r="X235" s="334">
        <f t="shared" si="3933"/>
        <v>1</v>
      </c>
      <c r="Y235" s="335">
        <v>3193</v>
      </c>
      <c r="Z235" s="340">
        <v>35</v>
      </c>
      <c r="AA235" s="316">
        <f t="shared" ref="AA235:AB235" si="3934">IF(ISBLANK(AC235),,AC235-AC234)</f>
        <v>675</v>
      </c>
      <c r="AB235" s="334">
        <f t="shared" si="3934"/>
        <v>4</v>
      </c>
      <c r="AC235" s="335">
        <v>14976</v>
      </c>
      <c r="AD235" s="336">
        <v>333</v>
      </c>
      <c r="AE235" s="337">
        <f t="shared" ref="AE235:AF235" si="3935">IF(ISBLANK(AG235),,AG235-AG234)</f>
        <v>1315</v>
      </c>
      <c r="AF235" s="334">
        <f t="shared" si="3935"/>
        <v>14</v>
      </c>
      <c r="AG235" s="335">
        <v>27011</v>
      </c>
      <c r="AH235" s="339">
        <v>369</v>
      </c>
      <c r="AI235" s="316">
        <f t="shared" ref="AI235:AJ235" si="3936">IF(ISBLANK(AK235),,AK235-AK234)</f>
        <v>1162</v>
      </c>
      <c r="AJ235" s="334">
        <f t="shared" si="3936"/>
        <v>9</v>
      </c>
      <c r="AK235" s="335">
        <v>27762</v>
      </c>
      <c r="AL235" s="336">
        <v>556</v>
      </c>
      <c r="AM235" s="337">
        <f t="shared" ref="AM235:AN235" si="3937">IF(ISBLANK(AO235),,AO235-AO234)</f>
        <v>362</v>
      </c>
      <c r="AN235" s="334">
        <f t="shared" si="3937"/>
        <v>7</v>
      </c>
      <c r="AO235" s="335">
        <v>5898</v>
      </c>
      <c r="AP235" s="339">
        <v>131</v>
      </c>
      <c r="AQ235" s="316">
        <f t="shared" ref="AQ235:AR235" si="3938">IF(ISBLANK(AS235),,AS235-AS234)</f>
        <v>881</v>
      </c>
      <c r="AR235" s="338">
        <f t="shared" si="3938"/>
        <v>15</v>
      </c>
      <c r="AS235" s="335">
        <v>11657</v>
      </c>
      <c r="AT235" s="336">
        <v>274</v>
      </c>
      <c r="AU235" s="337">
        <f t="shared" ref="AU235:AV235" si="3939">IF(ISBLANK(AW235),,AW235-AW234)</f>
        <v>268</v>
      </c>
      <c r="AV235" s="334">
        <f t="shared" si="3939"/>
        <v>5</v>
      </c>
      <c r="AW235" s="335">
        <v>5005</v>
      </c>
      <c r="AX235" s="339">
        <v>87</v>
      </c>
      <c r="AY235" s="316">
        <f t="shared" ref="AY235:AZ235" si="3940">IF(ISBLANK(BA235),,BA235-BA234)</f>
        <v>548</v>
      </c>
      <c r="AZ235" s="334">
        <f t="shared" si="3940"/>
        <v>7</v>
      </c>
      <c r="BA235" s="335">
        <v>12267</v>
      </c>
      <c r="BB235" s="336">
        <v>191</v>
      </c>
      <c r="BC235" s="337">
        <f t="shared" ref="BC235:BD235" si="3941">IF(ISBLANK(BE235),,BE235-BE234)</f>
        <v>1008</v>
      </c>
      <c r="BD235" s="334">
        <f t="shared" si="3941"/>
        <v>14</v>
      </c>
      <c r="BE235" s="335">
        <v>32691</v>
      </c>
      <c r="BF235" s="339">
        <v>698</v>
      </c>
      <c r="BG235" s="316">
        <f t="shared" ref="BG235:BH235" si="3942">IF(ISBLANK(BI235),,BI235-BI234)</f>
        <v>259</v>
      </c>
      <c r="BH235" s="334">
        <f t="shared" si="3942"/>
        <v>2</v>
      </c>
      <c r="BI235" s="335">
        <v>5985</v>
      </c>
      <c r="BJ235" s="336">
        <v>105</v>
      </c>
      <c r="BK235" s="337">
        <f t="shared" ref="BK235:BL235" si="3943">IF(ISBLANK(BM235),,BM235-BM234)</f>
        <v>348</v>
      </c>
      <c r="BL235" s="334">
        <f t="shared" si="3943"/>
        <v>4</v>
      </c>
      <c r="BM235" s="335">
        <v>4424</v>
      </c>
      <c r="BN235" s="339">
        <v>63</v>
      </c>
      <c r="BO235" s="316">
        <f t="shared" ref="BO235:BP235" si="3944">IF(ISBLANK(BQ235),,BQ235-BQ234)</f>
        <v>755</v>
      </c>
      <c r="BP235" s="334">
        <f t="shared" si="3944"/>
        <v>21</v>
      </c>
      <c r="BQ235" s="335">
        <v>17727</v>
      </c>
      <c r="BR235" s="336">
        <v>452</v>
      </c>
      <c r="BS235" s="316">
        <f t="shared" ref="BS235:BT235" si="3945">IF(ISBLANK(BU235),,BU235-BU234)</f>
        <v>285</v>
      </c>
      <c r="BT235" s="334">
        <f t="shared" si="3945"/>
        <v>4</v>
      </c>
      <c r="BU235" s="335">
        <v>5256</v>
      </c>
      <c r="BV235" s="336">
        <v>51</v>
      </c>
      <c r="BW235" s="233"/>
      <c r="BX235" s="233"/>
      <c r="BY235" s="233"/>
      <c r="BZ235" s="233"/>
      <c r="CA235" s="233"/>
      <c r="CB235" s="233"/>
      <c r="CC235" s="233"/>
      <c r="CD235" s="233"/>
      <c r="CE235" s="233"/>
    </row>
    <row r="236" spans="1:83" x14ac:dyDescent="0.25">
      <c r="A236" s="313">
        <v>44126</v>
      </c>
      <c r="B236" s="314">
        <f t="shared" si="1276"/>
        <v>233</v>
      </c>
      <c r="C236" s="315"/>
      <c r="D236" s="316">
        <v>12107</v>
      </c>
      <c r="E236" s="317">
        <v>168</v>
      </c>
      <c r="F236" s="318">
        <v>102204</v>
      </c>
      <c r="G236" s="319"/>
      <c r="H236" s="330">
        <f t="shared" ref="H236:I236" si="3946">IF(ISBLANK(D236),,H235+D236)</f>
        <v>214686</v>
      </c>
      <c r="I236" s="331">
        <f t="shared" si="3946"/>
        <v>4019</v>
      </c>
      <c r="J236" s="332">
        <f t="shared" si="1"/>
        <v>3320</v>
      </c>
      <c r="K236" s="333">
        <f t="shared" ref="K236:L236" si="3947">IF(ISBLANK(M236),,M236-M235)</f>
        <v>610</v>
      </c>
      <c r="L236" s="334">
        <f t="shared" si="3947"/>
        <v>11</v>
      </c>
      <c r="M236" s="335">
        <v>11449</v>
      </c>
      <c r="N236" s="336">
        <v>255</v>
      </c>
      <c r="O236" s="337">
        <f t="shared" ref="O236:P236" si="3948">IF(ISBLANK(Q236),,Q236-Q235)</f>
        <v>905</v>
      </c>
      <c r="P236" s="338">
        <f t="shared" si="3948"/>
        <v>2</v>
      </c>
      <c r="Q236" s="335">
        <v>10523</v>
      </c>
      <c r="R236" s="339">
        <v>125</v>
      </c>
      <c r="S236" s="316">
        <f t="shared" ref="S236:T236" si="3949">IF(ISBLANK(U236),,U236-U235)</f>
        <v>411</v>
      </c>
      <c r="T236" s="334">
        <f t="shared" si="3949"/>
        <v>7</v>
      </c>
      <c r="U236" s="335">
        <v>8681</v>
      </c>
      <c r="V236" s="336">
        <v>146</v>
      </c>
      <c r="W236" s="337">
        <f t="shared" ref="W236:X236" si="3950">IF(ISBLANK(Y236),,Y236-Y235)</f>
        <v>297</v>
      </c>
      <c r="X236" s="334">
        <f t="shared" si="3950"/>
        <v>1</v>
      </c>
      <c r="Y236" s="335">
        <v>3490</v>
      </c>
      <c r="Z236" s="340">
        <v>36</v>
      </c>
      <c r="AA236" s="316">
        <f t="shared" ref="AA236:AB236" si="3951">IF(ISBLANK(AC236),,AC236-AC235)</f>
        <v>863</v>
      </c>
      <c r="AB236" s="334">
        <f t="shared" si="3951"/>
        <v>10</v>
      </c>
      <c r="AC236" s="335">
        <v>15839</v>
      </c>
      <c r="AD236" s="336">
        <v>343</v>
      </c>
      <c r="AE236" s="337">
        <f t="shared" ref="AE236:AF236" si="3952">IF(ISBLANK(AG236),,AG236-AG235)</f>
        <v>1331</v>
      </c>
      <c r="AF236" s="334">
        <f t="shared" si="3952"/>
        <v>33</v>
      </c>
      <c r="AG236" s="335">
        <v>28342</v>
      </c>
      <c r="AH236" s="339">
        <v>402</v>
      </c>
      <c r="AI236" s="316">
        <f t="shared" ref="AI236:AJ236" si="3953">IF(ISBLANK(AK236),,AK236-AK235)</f>
        <v>1579</v>
      </c>
      <c r="AJ236" s="334">
        <f t="shared" si="3953"/>
        <v>15</v>
      </c>
      <c r="AK236" s="335">
        <v>29341</v>
      </c>
      <c r="AL236" s="336">
        <v>571</v>
      </c>
      <c r="AM236" s="337">
        <f t="shared" ref="AM236:AN236" si="3954">IF(ISBLANK(AO236),,AO236-AO235)</f>
        <v>404</v>
      </c>
      <c r="AN236" s="334">
        <f t="shared" si="3954"/>
        <v>9</v>
      </c>
      <c r="AO236" s="335">
        <v>6302</v>
      </c>
      <c r="AP236" s="339">
        <v>140</v>
      </c>
      <c r="AQ236" s="316">
        <f t="shared" ref="AQ236:AR236" si="3955">IF(ISBLANK(AS236),,AS236-AS235)</f>
        <v>777</v>
      </c>
      <c r="AR236" s="338">
        <f t="shared" si="3955"/>
        <v>10</v>
      </c>
      <c r="AS236" s="335">
        <v>12434</v>
      </c>
      <c r="AT236" s="336">
        <v>284</v>
      </c>
      <c r="AU236" s="337">
        <f t="shared" ref="AU236:AV236" si="3956">IF(ISBLANK(AW236),,AW236-AW235)</f>
        <v>224</v>
      </c>
      <c r="AV236" s="334">
        <f t="shared" si="3956"/>
        <v>3</v>
      </c>
      <c r="AW236" s="335">
        <v>5229</v>
      </c>
      <c r="AX236" s="339">
        <v>90</v>
      </c>
      <c r="AY236" s="316">
        <f t="shared" ref="AY236:AZ236" si="3957">IF(ISBLANK(BA236),,BA236-BA235)</f>
        <v>710</v>
      </c>
      <c r="AZ236" s="334">
        <f t="shared" si="3957"/>
        <v>7</v>
      </c>
      <c r="BA236" s="335">
        <v>12977</v>
      </c>
      <c r="BB236" s="336">
        <v>198</v>
      </c>
      <c r="BC236" s="337">
        <f t="shared" ref="BC236:BD236" si="3958">IF(ISBLANK(BE236),,BE236-BE235)</f>
        <v>1168</v>
      </c>
      <c r="BD236" s="334">
        <f t="shared" si="3958"/>
        <v>18</v>
      </c>
      <c r="BE236" s="335">
        <v>33859</v>
      </c>
      <c r="BF236" s="339">
        <v>716</v>
      </c>
      <c r="BG236" s="316">
        <f t="shared" ref="BG236:BH236" si="3959">IF(ISBLANK(BI236),,BI236-BI235)</f>
        <v>486</v>
      </c>
      <c r="BH236" s="334">
        <f t="shared" si="3959"/>
        <v>16</v>
      </c>
      <c r="BI236" s="335">
        <v>6471</v>
      </c>
      <c r="BJ236" s="336">
        <v>121</v>
      </c>
      <c r="BK236" s="337">
        <f t="shared" ref="BK236:BL236" si="3960">IF(ISBLANK(BM236),,BM236-BM235)</f>
        <v>311</v>
      </c>
      <c r="BL236" s="334">
        <f t="shared" si="3960"/>
        <v>4</v>
      </c>
      <c r="BM236" s="335">
        <v>4735</v>
      </c>
      <c r="BN236" s="339">
        <v>67</v>
      </c>
      <c r="BO236" s="316">
        <f t="shared" ref="BO236:BP236" si="3961">IF(ISBLANK(BQ236),,BQ236-BQ235)</f>
        <v>1516</v>
      </c>
      <c r="BP236" s="334">
        <f t="shared" si="3961"/>
        <v>14</v>
      </c>
      <c r="BQ236" s="335">
        <v>19243</v>
      </c>
      <c r="BR236" s="336">
        <v>466</v>
      </c>
      <c r="BS236" s="316">
        <f t="shared" ref="BS236:BT236" si="3962">IF(ISBLANK(BU236),,BU236-BU235)</f>
        <v>515</v>
      </c>
      <c r="BT236" s="334">
        <f t="shared" si="3962"/>
        <v>8</v>
      </c>
      <c r="BU236" s="335">
        <v>5771</v>
      </c>
      <c r="BV236" s="336">
        <v>59</v>
      </c>
      <c r="BW236" s="233"/>
      <c r="BX236" s="233"/>
      <c r="BY236" s="233"/>
      <c r="BZ236" s="233"/>
      <c r="CA236" s="233"/>
      <c r="CB236" s="233"/>
      <c r="CC236" s="233"/>
      <c r="CD236" s="233"/>
      <c r="CE236" s="233"/>
    </row>
    <row r="237" spans="1:83" x14ac:dyDescent="0.25">
      <c r="A237" s="313">
        <v>44127</v>
      </c>
      <c r="B237" s="314">
        <f t="shared" si="1276"/>
        <v>234</v>
      </c>
      <c r="C237" s="315"/>
      <c r="D237" s="316">
        <v>13632</v>
      </c>
      <c r="E237" s="317">
        <v>153</v>
      </c>
      <c r="F237" s="318">
        <v>105092</v>
      </c>
      <c r="G237" s="319"/>
      <c r="H237" s="330">
        <f t="shared" ref="H237:I237" si="3963">IF(ISBLANK(D237),,H236+D237)</f>
        <v>228318</v>
      </c>
      <c r="I237" s="331">
        <f t="shared" si="3963"/>
        <v>4172</v>
      </c>
      <c r="J237" s="332">
        <f t="shared" si="1"/>
        <v>2888</v>
      </c>
      <c r="K237" s="333">
        <f t="shared" ref="K237:L237" si="3964">IF(ISBLANK(M237),,M237-M236)</f>
        <v>667</v>
      </c>
      <c r="L237" s="334">
        <f t="shared" si="3964"/>
        <v>6</v>
      </c>
      <c r="M237" s="335">
        <v>12116</v>
      </c>
      <c r="N237" s="336">
        <v>261</v>
      </c>
      <c r="O237" s="337">
        <f t="shared" ref="O237:P237" si="3965">IF(ISBLANK(Q237),,Q237-Q236)</f>
        <v>1207</v>
      </c>
      <c r="P237" s="338">
        <f t="shared" si="3965"/>
        <v>21</v>
      </c>
      <c r="Q237" s="335">
        <v>11730</v>
      </c>
      <c r="R237" s="339">
        <v>146</v>
      </c>
      <c r="S237" s="316">
        <f t="shared" ref="S237:T237" si="3966">IF(ISBLANK(U237),,U237-U236)</f>
        <v>743</v>
      </c>
      <c r="T237" s="334">
        <f t="shared" si="3966"/>
        <v>9</v>
      </c>
      <c r="U237" s="335">
        <v>9424</v>
      </c>
      <c r="V237" s="336">
        <v>155</v>
      </c>
      <c r="W237" s="337">
        <f t="shared" ref="W237:X237" si="3967">IF(ISBLANK(Y237),,Y237-Y236)</f>
        <v>449</v>
      </c>
      <c r="X237" s="334">
        <f t="shared" si="3967"/>
        <v>2</v>
      </c>
      <c r="Y237" s="335">
        <v>3939</v>
      </c>
      <c r="Z237" s="340">
        <v>38</v>
      </c>
      <c r="AA237" s="316">
        <f t="shared" ref="AA237:AB237" si="3968">IF(ISBLANK(AC237),,AC237-AC236)</f>
        <v>800</v>
      </c>
      <c r="AB237" s="334">
        <f t="shared" si="3968"/>
        <v>12</v>
      </c>
      <c r="AC237" s="335">
        <v>16639</v>
      </c>
      <c r="AD237" s="336">
        <v>355</v>
      </c>
      <c r="AE237" s="337">
        <f t="shared" ref="AE237:AF237" si="3969">IF(ISBLANK(AG237),,AG237-AG236)</f>
        <v>1554</v>
      </c>
      <c r="AF237" s="334">
        <f t="shared" si="3969"/>
        <v>18</v>
      </c>
      <c r="AG237" s="335">
        <v>29896</v>
      </c>
      <c r="AH237" s="339">
        <v>420</v>
      </c>
      <c r="AI237" s="316">
        <f t="shared" ref="AI237:AJ237" si="3970">IF(ISBLANK(AK237),,AK237-AK236)</f>
        <v>2075</v>
      </c>
      <c r="AJ237" s="334">
        <f t="shared" si="3970"/>
        <v>16</v>
      </c>
      <c r="AK237" s="335">
        <v>31416</v>
      </c>
      <c r="AL237" s="336">
        <v>587</v>
      </c>
      <c r="AM237" s="337">
        <f t="shared" ref="AM237:AN237" si="3971">IF(ISBLANK(AO237),,AO237-AO236)</f>
        <v>401</v>
      </c>
      <c r="AN237" s="334">
        <f t="shared" si="3971"/>
        <v>1</v>
      </c>
      <c r="AO237" s="335">
        <v>6703</v>
      </c>
      <c r="AP237" s="339">
        <v>141</v>
      </c>
      <c r="AQ237" s="316">
        <f t="shared" ref="AQ237:AR237" si="3972">IF(ISBLANK(AS237),,AS237-AS236)</f>
        <v>852</v>
      </c>
      <c r="AR237" s="338">
        <f t="shared" si="3972"/>
        <v>14</v>
      </c>
      <c r="AS237" s="335">
        <v>13286</v>
      </c>
      <c r="AT237" s="336">
        <v>298</v>
      </c>
      <c r="AU237" s="337">
        <f t="shared" ref="AU237:AV237" si="3973">IF(ISBLANK(AW237),,AW237-AW236)</f>
        <v>226</v>
      </c>
      <c r="AV237" s="334">
        <f t="shared" si="3973"/>
        <v>4</v>
      </c>
      <c r="AW237" s="335">
        <v>5455</v>
      </c>
      <c r="AX237" s="339">
        <v>94</v>
      </c>
      <c r="AY237" s="316">
        <f t="shared" ref="AY237:AZ237" si="3974">IF(ISBLANK(BA237),,BA237-BA236)</f>
        <v>741</v>
      </c>
      <c r="AZ237" s="334">
        <f t="shared" si="3974"/>
        <v>7</v>
      </c>
      <c r="BA237" s="335">
        <v>13718</v>
      </c>
      <c r="BB237" s="336">
        <v>205</v>
      </c>
      <c r="BC237" s="337">
        <f t="shared" ref="BC237:BD237" si="3975">IF(ISBLANK(BE237),,BE237-BE236)</f>
        <v>1305</v>
      </c>
      <c r="BD237" s="334">
        <f t="shared" si="3975"/>
        <v>20</v>
      </c>
      <c r="BE237" s="335">
        <v>35164</v>
      </c>
      <c r="BF237" s="339">
        <v>736</v>
      </c>
      <c r="BG237" s="316">
        <f t="shared" ref="BG237:BH237" si="3976">IF(ISBLANK(BI237),,BI237-BI236)</f>
        <v>639</v>
      </c>
      <c r="BH237" s="334">
        <f t="shared" si="3976"/>
        <v>4</v>
      </c>
      <c r="BI237" s="335">
        <v>7110</v>
      </c>
      <c r="BJ237" s="336">
        <v>125</v>
      </c>
      <c r="BK237" s="337">
        <f t="shared" ref="BK237:BL237" si="3977">IF(ISBLANK(BM237),,BM237-BM236)</f>
        <v>365</v>
      </c>
      <c r="BL237" s="334">
        <f t="shared" si="3977"/>
        <v>5</v>
      </c>
      <c r="BM237" s="335">
        <v>5100</v>
      </c>
      <c r="BN237" s="339">
        <v>72</v>
      </c>
      <c r="BO237" s="316">
        <f t="shared" ref="BO237:BP237" si="3978">IF(ISBLANK(BQ237),,BQ237-BQ236)</f>
        <v>1050</v>
      </c>
      <c r="BP237" s="334">
        <f t="shared" si="3978"/>
        <v>9</v>
      </c>
      <c r="BQ237" s="335">
        <v>20293</v>
      </c>
      <c r="BR237" s="336">
        <v>475</v>
      </c>
      <c r="BS237" s="316">
        <f t="shared" ref="BS237:BT237" si="3979">IF(ISBLANK(BU237),,BU237-BU236)</f>
        <v>558</v>
      </c>
      <c r="BT237" s="334">
        <f t="shared" si="3979"/>
        <v>5</v>
      </c>
      <c r="BU237" s="335">
        <v>6329</v>
      </c>
      <c r="BV237" s="336">
        <v>64</v>
      </c>
      <c r="BW237" s="233"/>
      <c r="BX237" s="233"/>
      <c r="BY237" s="233"/>
      <c r="BZ237" s="233"/>
      <c r="CA237" s="233"/>
      <c r="CB237" s="233"/>
      <c r="CC237" s="233"/>
      <c r="CD237" s="233"/>
      <c r="CE237" s="233"/>
    </row>
    <row r="238" spans="1:83" x14ac:dyDescent="0.25">
      <c r="A238" s="313">
        <v>44128</v>
      </c>
      <c r="B238" s="314">
        <f t="shared" si="1276"/>
        <v>235</v>
      </c>
      <c r="C238" s="315"/>
      <c r="D238" s="316">
        <v>13628</v>
      </c>
      <c r="E238" s="317">
        <v>178</v>
      </c>
      <c r="F238" s="318">
        <v>109344</v>
      </c>
      <c r="G238" s="319"/>
      <c r="H238" s="330">
        <f t="shared" ref="H238:I238" si="3980">IF(ISBLANK(D238),,H237+D238)</f>
        <v>241946</v>
      </c>
      <c r="I238" s="331">
        <f t="shared" si="3980"/>
        <v>4350</v>
      </c>
      <c r="J238" s="332">
        <f t="shared" si="1"/>
        <v>4252</v>
      </c>
      <c r="K238" s="333">
        <f t="shared" ref="K238:L238" si="3981">IF(ISBLANK(M238),,M238-M237)</f>
        <v>645</v>
      </c>
      <c r="L238" s="334">
        <f t="shared" si="3981"/>
        <v>14</v>
      </c>
      <c r="M238" s="335">
        <v>12761</v>
      </c>
      <c r="N238" s="336">
        <v>275</v>
      </c>
      <c r="O238" s="337">
        <f t="shared" ref="O238:P238" si="3982">IF(ISBLANK(Q238),,Q238-Q237)</f>
        <v>777</v>
      </c>
      <c r="P238" s="338">
        <f t="shared" si="3982"/>
        <v>4</v>
      </c>
      <c r="Q238" s="335">
        <v>12507</v>
      </c>
      <c r="R238" s="339">
        <v>150</v>
      </c>
      <c r="S238" s="316">
        <f t="shared" ref="S238:T238" si="3983">IF(ISBLANK(U238),,U238-U237)</f>
        <v>715</v>
      </c>
      <c r="T238" s="334">
        <f t="shared" si="3983"/>
        <v>7</v>
      </c>
      <c r="U238" s="335">
        <v>10139</v>
      </c>
      <c r="V238" s="336">
        <v>162</v>
      </c>
      <c r="W238" s="337">
        <f t="shared" ref="W238:X238" si="3984">IF(ISBLANK(Y238),,Y238-Y237)</f>
        <v>379</v>
      </c>
      <c r="X238" s="334">
        <f t="shared" si="3984"/>
        <v>5</v>
      </c>
      <c r="Y238" s="335">
        <v>4318</v>
      </c>
      <c r="Z238" s="340">
        <v>43</v>
      </c>
      <c r="AA238" s="316">
        <f t="shared" ref="AA238:AB238" si="3985">IF(ISBLANK(AC238),,AC238-AC237)</f>
        <v>1001</v>
      </c>
      <c r="AB238" s="334">
        <f t="shared" si="3985"/>
        <v>11</v>
      </c>
      <c r="AC238" s="335">
        <v>17640</v>
      </c>
      <c r="AD238" s="336">
        <v>366</v>
      </c>
      <c r="AE238" s="337">
        <f t="shared" ref="AE238:AF238" si="3986">IF(ISBLANK(AG238),,AG238-AG237)</f>
        <v>1482</v>
      </c>
      <c r="AF238" s="334">
        <f t="shared" si="3986"/>
        <v>21</v>
      </c>
      <c r="AG238" s="335">
        <v>31378</v>
      </c>
      <c r="AH238" s="339">
        <v>441</v>
      </c>
      <c r="AI238" s="316">
        <f t="shared" ref="AI238:AJ238" si="3987">IF(ISBLANK(AK238),,AK238-AK237)</f>
        <v>2026</v>
      </c>
      <c r="AJ238" s="334">
        <f t="shared" si="3987"/>
        <v>20</v>
      </c>
      <c r="AK238" s="335">
        <v>33442</v>
      </c>
      <c r="AL238" s="336">
        <v>607</v>
      </c>
      <c r="AM238" s="337">
        <f t="shared" ref="AM238:AN238" si="3988">IF(ISBLANK(AO238),,AO238-AO237)</f>
        <v>558</v>
      </c>
      <c r="AN238" s="334">
        <f t="shared" si="3988"/>
        <v>11</v>
      </c>
      <c r="AO238" s="335">
        <v>7261</v>
      </c>
      <c r="AP238" s="339">
        <v>152</v>
      </c>
      <c r="AQ238" s="316">
        <f t="shared" ref="AQ238:AR238" si="3989">IF(ISBLANK(AS238),,AS238-AS237)</f>
        <v>891</v>
      </c>
      <c r="AR238" s="338">
        <f t="shared" si="3989"/>
        <v>13</v>
      </c>
      <c r="AS238" s="335">
        <v>14177</v>
      </c>
      <c r="AT238" s="336">
        <v>311</v>
      </c>
      <c r="AU238" s="337">
        <f t="shared" ref="AU238:AV238" si="3990">IF(ISBLANK(AW238),,AW238-AW237)</f>
        <v>308</v>
      </c>
      <c r="AV238" s="334">
        <f t="shared" si="3990"/>
        <v>6</v>
      </c>
      <c r="AW238" s="335">
        <v>5763</v>
      </c>
      <c r="AX238" s="339">
        <v>100</v>
      </c>
      <c r="AY238" s="316">
        <f t="shared" ref="AY238:AZ238" si="3991">IF(ISBLANK(BA238),,BA238-BA237)</f>
        <v>776</v>
      </c>
      <c r="AZ238" s="334">
        <f t="shared" si="3991"/>
        <v>11</v>
      </c>
      <c r="BA238" s="335">
        <v>14494</v>
      </c>
      <c r="BB238" s="336">
        <v>216</v>
      </c>
      <c r="BC238" s="337">
        <f t="shared" ref="BC238:BD238" si="3992">IF(ISBLANK(BE238),,BE238-BE237)</f>
        <v>1262</v>
      </c>
      <c r="BD238" s="334">
        <f t="shared" si="3992"/>
        <v>28</v>
      </c>
      <c r="BE238" s="335">
        <v>36426</v>
      </c>
      <c r="BF238" s="339">
        <v>764</v>
      </c>
      <c r="BG238" s="316">
        <f t="shared" ref="BG238:BH238" si="3993">IF(ISBLANK(BI238),,BI238-BI237)</f>
        <v>412</v>
      </c>
      <c r="BH238" s="334">
        <f t="shared" si="3993"/>
        <v>10</v>
      </c>
      <c r="BI238" s="335">
        <v>7522</v>
      </c>
      <c r="BJ238" s="336">
        <v>135</v>
      </c>
      <c r="BK238" s="337">
        <f t="shared" ref="BK238:BL238" si="3994">IF(ISBLANK(BM238),,BM238-BM237)</f>
        <v>344</v>
      </c>
      <c r="BL238" s="334">
        <f t="shared" si="3994"/>
        <v>1</v>
      </c>
      <c r="BM238" s="335">
        <v>5444</v>
      </c>
      <c r="BN238" s="339">
        <v>73</v>
      </c>
      <c r="BO238" s="316">
        <f t="shared" ref="BO238:BP238" si="3995">IF(ISBLANK(BQ238),,BQ238-BQ237)</f>
        <v>1472</v>
      </c>
      <c r="BP238" s="334">
        <f t="shared" si="3995"/>
        <v>14</v>
      </c>
      <c r="BQ238" s="335">
        <v>21765</v>
      </c>
      <c r="BR238" s="336">
        <v>489</v>
      </c>
      <c r="BS238" s="316">
        <f t="shared" ref="BS238:BT238" si="3996">IF(ISBLANK(BU238),,BU238-BU237)</f>
        <v>580</v>
      </c>
      <c r="BT238" s="334">
        <f t="shared" si="3996"/>
        <v>2</v>
      </c>
      <c r="BU238" s="335">
        <v>6909</v>
      </c>
      <c r="BV238" s="336">
        <v>66</v>
      </c>
      <c r="BW238" s="233"/>
      <c r="BX238" s="233"/>
      <c r="BY238" s="233"/>
      <c r="BZ238" s="233"/>
      <c r="CA238" s="233"/>
      <c r="CB238" s="233"/>
      <c r="CC238" s="233"/>
      <c r="CD238" s="233"/>
      <c r="CE238" s="233"/>
    </row>
    <row r="239" spans="1:83" x14ac:dyDescent="0.25">
      <c r="A239" s="313">
        <v>44129</v>
      </c>
      <c r="B239" s="314">
        <f t="shared" si="1276"/>
        <v>236</v>
      </c>
      <c r="C239" s="315"/>
      <c r="D239" s="316">
        <v>11742</v>
      </c>
      <c r="E239" s="317">
        <v>87</v>
      </c>
      <c r="F239" s="318">
        <v>112619</v>
      </c>
      <c r="G239" s="319"/>
      <c r="H239" s="330">
        <f t="shared" ref="H239:I239" si="3997">IF(ISBLANK(D239),,H238+D239)</f>
        <v>253688</v>
      </c>
      <c r="I239" s="331">
        <f t="shared" si="3997"/>
        <v>4437</v>
      </c>
      <c r="J239" s="332">
        <f t="shared" si="1"/>
        <v>3275</v>
      </c>
      <c r="K239" s="333">
        <f t="shared" ref="K239:L239" si="3998">IF(ISBLANK(M239),,M239-M238)</f>
        <v>585</v>
      </c>
      <c r="L239" s="334">
        <f t="shared" si="3998"/>
        <v>1</v>
      </c>
      <c r="M239" s="335">
        <v>13346</v>
      </c>
      <c r="N239" s="336">
        <v>276</v>
      </c>
      <c r="O239" s="337">
        <f t="shared" ref="O239:P239" si="3999">IF(ISBLANK(Q239),,Q239-Q238)</f>
        <v>1150</v>
      </c>
      <c r="P239" s="338">
        <f t="shared" si="3999"/>
        <v>1</v>
      </c>
      <c r="Q239" s="335">
        <v>13657</v>
      </c>
      <c r="R239" s="339">
        <v>151</v>
      </c>
      <c r="S239" s="316">
        <f t="shared" ref="S239:T239" si="4000">IF(ISBLANK(U239),,U239-U238)</f>
        <v>700</v>
      </c>
      <c r="T239" s="334">
        <f t="shared" si="4000"/>
        <v>10</v>
      </c>
      <c r="U239" s="335">
        <v>10839</v>
      </c>
      <c r="V239" s="336">
        <v>172</v>
      </c>
      <c r="W239" s="337">
        <f t="shared" ref="W239:X239" si="4001">IF(ISBLANK(Y239),,Y239-Y238)</f>
        <v>312</v>
      </c>
      <c r="X239" s="334">
        <f t="shared" si="4001"/>
        <v>1</v>
      </c>
      <c r="Y239" s="335">
        <v>4630</v>
      </c>
      <c r="Z239" s="340">
        <v>44</v>
      </c>
      <c r="AA239" s="316">
        <f t="shared" ref="AA239:AB239" si="4002">IF(ISBLANK(AC239),,AC239-AC238)</f>
        <v>818</v>
      </c>
      <c r="AB239" s="334">
        <f t="shared" si="4002"/>
        <v>3</v>
      </c>
      <c r="AC239" s="335">
        <v>18458</v>
      </c>
      <c r="AD239" s="336">
        <v>369</v>
      </c>
      <c r="AE239" s="337">
        <f t="shared" ref="AE239:AF239" si="4003">IF(ISBLANK(AG239),,AG239-AG238)</f>
        <v>1119</v>
      </c>
      <c r="AF239" s="334">
        <f t="shared" si="4003"/>
        <v>1</v>
      </c>
      <c r="AG239" s="335">
        <v>32497</v>
      </c>
      <c r="AH239" s="339">
        <v>442</v>
      </c>
      <c r="AI239" s="316">
        <f t="shared" ref="AI239:AJ239" si="4004">IF(ISBLANK(AK239),,AK239-AK238)</f>
        <v>1850</v>
      </c>
      <c r="AJ239" s="334">
        <f t="shared" si="4004"/>
        <v>6</v>
      </c>
      <c r="AK239" s="335">
        <v>35292</v>
      </c>
      <c r="AL239" s="336">
        <v>613</v>
      </c>
      <c r="AM239" s="337">
        <f t="shared" ref="AM239:AN239" si="4005">IF(ISBLANK(AO239),,AO239-AO238)</f>
        <v>381</v>
      </c>
      <c r="AN239" s="334">
        <f t="shared" si="4005"/>
        <v>10</v>
      </c>
      <c r="AO239" s="335">
        <v>7642</v>
      </c>
      <c r="AP239" s="339">
        <v>162</v>
      </c>
      <c r="AQ239" s="316">
        <f t="shared" ref="AQ239:AR239" si="4006">IF(ISBLANK(AS239),,AS239-AS238)</f>
        <v>912</v>
      </c>
      <c r="AR239" s="338">
        <f t="shared" si="4006"/>
        <v>14</v>
      </c>
      <c r="AS239" s="335">
        <v>15089</v>
      </c>
      <c r="AT239" s="336">
        <v>325</v>
      </c>
      <c r="AU239" s="337">
        <f t="shared" ref="AU239:AV239" si="4007">IF(ISBLANK(AW239),,AW239-AW238)</f>
        <v>212</v>
      </c>
      <c r="AV239" s="334">
        <f t="shared" si="4007"/>
        <v>0</v>
      </c>
      <c r="AW239" s="335">
        <v>5975</v>
      </c>
      <c r="AX239" s="339">
        <v>100</v>
      </c>
      <c r="AY239" s="316">
        <f t="shared" ref="AY239:AZ239" si="4008">IF(ISBLANK(BA239),,BA239-BA238)</f>
        <v>499</v>
      </c>
      <c r="AZ239" s="334">
        <f t="shared" si="4008"/>
        <v>5</v>
      </c>
      <c r="BA239" s="335">
        <v>14993</v>
      </c>
      <c r="BB239" s="336">
        <v>221</v>
      </c>
      <c r="BC239" s="337">
        <f t="shared" ref="BC239:BD239" si="4009">IF(ISBLANK(BE239),,BE239-BE238)</f>
        <v>1134</v>
      </c>
      <c r="BD239" s="334">
        <f t="shared" si="4009"/>
        <v>12</v>
      </c>
      <c r="BE239" s="335">
        <v>37560</v>
      </c>
      <c r="BF239" s="339">
        <v>776</v>
      </c>
      <c r="BG239" s="316">
        <f t="shared" ref="BG239:BH239" si="4010">IF(ISBLANK(BI239),,BI239-BI238)</f>
        <v>405</v>
      </c>
      <c r="BH239" s="334">
        <f t="shared" si="4010"/>
        <v>4</v>
      </c>
      <c r="BI239" s="335">
        <v>7927</v>
      </c>
      <c r="BJ239" s="336">
        <v>139</v>
      </c>
      <c r="BK239" s="337">
        <f t="shared" ref="BK239:BL239" si="4011">IF(ISBLANK(BM239),,BM239-BM238)</f>
        <v>340</v>
      </c>
      <c r="BL239" s="334">
        <f t="shared" si="4011"/>
        <v>3</v>
      </c>
      <c r="BM239" s="335">
        <v>5784</v>
      </c>
      <c r="BN239" s="339">
        <v>76</v>
      </c>
      <c r="BO239" s="316">
        <f t="shared" ref="BO239:BP239" si="4012">IF(ISBLANK(BQ239),,BQ239-BQ238)</f>
        <v>851</v>
      </c>
      <c r="BP239" s="334">
        <f t="shared" si="4012"/>
        <v>16</v>
      </c>
      <c r="BQ239" s="335">
        <v>22616</v>
      </c>
      <c r="BR239" s="336">
        <v>505</v>
      </c>
      <c r="BS239" s="316">
        <f t="shared" ref="BS239:BT239" si="4013">IF(ISBLANK(BU239),,BU239-BU238)</f>
        <v>474</v>
      </c>
      <c r="BT239" s="334">
        <f t="shared" si="4013"/>
        <v>0</v>
      </c>
      <c r="BU239" s="335">
        <v>7383</v>
      </c>
      <c r="BV239" s="336">
        <v>66</v>
      </c>
      <c r="BW239" s="233"/>
      <c r="BX239" s="233"/>
      <c r="BY239" s="233"/>
      <c r="BZ239" s="233"/>
      <c r="CA239" s="233"/>
      <c r="CB239" s="233"/>
      <c r="CC239" s="233"/>
      <c r="CD239" s="233"/>
      <c r="CE239" s="233"/>
    </row>
    <row r="240" spans="1:83" x14ac:dyDescent="0.25">
      <c r="A240" s="313">
        <v>44130</v>
      </c>
      <c r="B240" s="314">
        <f t="shared" si="1276"/>
        <v>237</v>
      </c>
      <c r="C240" s="315"/>
      <c r="D240" s="316">
        <v>10241</v>
      </c>
      <c r="E240" s="317">
        <v>45</v>
      </c>
      <c r="F240" s="318">
        <v>115302</v>
      </c>
      <c r="G240" s="319"/>
      <c r="H240" s="330">
        <f t="shared" ref="H240:I240" si="4014">IF(ISBLANK(D240),,H239+D240)</f>
        <v>263929</v>
      </c>
      <c r="I240" s="331">
        <f t="shared" si="4014"/>
        <v>4482</v>
      </c>
      <c r="J240" s="332">
        <f t="shared" si="1"/>
        <v>2683</v>
      </c>
      <c r="K240" s="333">
        <f t="shared" ref="K240:L240" si="4015">IF(ISBLANK(M240),,M240-M239)</f>
        <v>462</v>
      </c>
      <c r="L240" s="334">
        <f t="shared" si="4015"/>
        <v>1</v>
      </c>
      <c r="M240" s="335">
        <v>13808</v>
      </c>
      <c r="N240" s="336">
        <v>277</v>
      </c>
      <c r="O240" s="337">
        <f t="shared" ref="O240:P240" si="4016">IF(ISBLANK(Q240),,Q240-Q239)</f>
        <v>525</v>
      </c>
      <c r="P240" s="338">
        <f t="shared" si="4016"/>
        <v>3</v>
      </c>
      <c r="Q240" s="335">
        <v>14182</v>
      </c>
      <c r="R240" s="339">
        <v>154</v>
      </c>
      <c r="S240" s="316">
        <f t="shared" ref="S240:T240" si="4017">IF(ISBLANK(U240),,U240-U239)</f>
        <v>750</v>
      </c>
      <c r="T240" s="334">
        <f t="shared" si="4017"/>
        <v>3</v>
      </c>
      <c r="U240" s="335">
        <v>11589</v>
      </c>
      <c r="V240" s="336">
        <v>175</v>
      </c>
      <c r="W240" s="337">
        <f t="shared" ref="W240:X240" si="4018">IF(ISBLANK(Y240),,Y240-Y239)</f>
        <v>363</v>
      </c>
      <c r="X240" s="334">
        <f t="shared" si="4018"/>
        <v>1</v>
      </c>
      <c r="Y240" s="335">
        <v>4993</v>
      </c>
      <c r="Z240" s="340">
        <v>45</v>
      </c>
      <c r="AA240" s="316">
        <f t="shared" ref="AA240:AB240" si="4019">IF(ISBLANK(AC240),,AC240-AC239)</f>
        <v>695</v>
      </c>
      <c r="AB240" s="334">
        <f t="shared" si="4019"/>
        <v>0</v>
      </c>
      <c r="AC240" s="335">
        <v>19153</v>
      </c>
      <c r="AD240" s="336">
        <v>369</v>
      </c>
      <c r="AE240" s="337">
        <f t="shared" ref="AE240:AF240" si="4020">IF(ISBLANK(AG240),,AG240-AG239)</f>
        <v>1144</v>
      </c>
      <c r="AF240" s="334">
        <f t="shared" si="4020"/>
        <v>4</v>
      </c>
      <c r="AG240" s="335">
        <v>33641</v>
      </c>
      <c r="AH240" s="339">
        <v>446</v>
      </c>
      <c r="AI240" s="316">
        <f t="shared" ref="AI240:AJ240" si="4021">IF(ISBLANK(AK240),,AK240-AK239)</f>
        <v>1654</v>
      </c>
      <c r="AJ240" s="334">
        <f t="shared" si="4021"/>
        <v>1</v>
      </c>
      <c r="AK240" s="335">
        <v>36946</v>
      </c>
      <c r="AL240" s="336">
        <v>614</v>
      </c>
      <c r="AM240" s="337">
        <f t="shared" ref="AM240:AN240" si="4022">IF(ISBLANK(AO240),,AO240-AO239)</f>
        <v>335</v>
      </c>
      <c r="AN240" s="334">
        <f t="shared" si="4022"/>
        <v>0</v>
      </c>
      <c r="AO240" s="335">
        <v>7977</v>
      </c>
      <c r="AP240" s="339">
        <v>162</v>
      </c>
      <c r="AQ240" s="316">
        <f t="shared" ref="AQ240:AR240" si="4023">IF(ISBLANK(AS240),,AS240-AS239)</f>
        <v>729</v>
      </c>
      <c r="AR240" s="338">
        <f t="shared" si="4023"/>
        <v>7</v>
      </c>
      <c r="AS240" s="335">
        <v>15818</v>
      </c>
      <c r="AT240" s="336">
        <v>332</v>
      </c>
      <c r="AU240" s="337">
        <f t="shared" ref="AU240:AV240" si="4024">IF(ISBLANK(AW240),,AW240-AW239)</f>
        <v>206</v>
      </c>
      <c r="AV240" s="334">
        <f t="shared" si="4024"/>
        <v>0</v>
      </c>
      <c r="AW240" s="335">
        <v>6181</v>
      </c>
      <c r="AX240" s="339">
        <v>100</v>
      </c>
      <c r="AY240" s="316">
        <f t="shared" ref="AY240:AZ240" si="4025">IF(ISBLANK(BA240),,BA240-BA239)</f>
        <v>672</v>
      </c>
      <c r="AZ240" s="334">
        <f t="shared" si="4025"/>
        <v>4</v>
      </c>
      <c r="BA240" s="335">
        <v>15665</v>
      </c>
      <c r="BB240" s="336">
        <v>225</v>
      </c>
      <c r="BC240" s="337">
        <f t="shared" ref="BC240:BD240" si="4026">IF(ISBLANK(BE240),,BE240-BE239)</f>
        <v>1002</v>
      </c>
      <c r="BD240" s="334">
        <f t="shared" si="4026"/>
        <v>7</v>
      </c>
      <c r="BE240" s="335">
        <v>38562</v>
      </c>
      <c r="BF240" s="339">
        <v>783</v>
      </c>
      <c r="BG240" s="316">
        <f t="shared" ref="BG240:BH240" si="4027">IF(ISBLANK(BI240),,BI240-BI239)</f>
        <v>316</v>
      </c>
      <c r="BH240" s="334">
        <f t="shared" si="4027"/>
        <v>0</v>
      </c>
      <c r="BI240" s="335">
        <v>8243</v>
      </c>
      <c r="BJ240" s="336">
        <v>139</v>
      </c>
      <c r="BK240" s="337">
        <f t="shared" ref="BK240:BL240" si="4028">IF(ISBLANK(BM240),,BM240-BM239)</f>
        <v>370</v>
      </c>
      <c r="BL240" s="334">
        <f t="shared" si="4028"/>
        <v>2</v>
      </c>
      <c r="BM240" s="335">
        <v>6154</v>
      </c>
      <c r="BN240" s="339">
        <v>78</v>
      </c>
      <c r="BO240" s="316">
        <f t="shared" ref="BO240:BP240" si="4029">IF(ISBLANK(BQ240),,BQ240-BQ239)</f>
        <v>458</v>
      </c>
      <c r="BP240" s="334">
        <f t="shared" si="4029"/>
        <v>12</v>
      </c>
      <c r="BQ240" s="335">
        <v>23074</v>
      </c>
      <c r="BR240" s="336">
        <v>517</v>
      </c>
      <c r="BS240" s="316">
        <f t="shared" ref="BS240:BT240" si="4030">IF(ISBLANK(BU240),,BU240-BU239)</f>
        <v>560</v>
      </c>
      <c r="BT240" s="334">
        <f t="shared" si="4030"/>
        <v>0</v>
      </c>
      <c r="BU240" s="335">
        <v>7943</v>
      </c>
      <c r="BV240" s="336">
        <v>66</v>
      </c>
      <c r="BW240" s="233"/>
      <c r="BX240" s="233"/>
      <c r="BY240" s="233"/>
      <c r="BZ240" s="233"/>
      <c r="CA240" s="233"/>
      <c r="CB240" s="233"/>
      <c r="CC240" s="233"/>
      <c r="CD240" s="233"/>
      <c r="CE240" s="233"/>
    </row>
    <row r="241" spans="1:83" x14ac:dyDescent="0.25">
      <c r="A241" s="313">
        <v>44131</v>
      </c>
      <c r="B241" s="314">
        <f t="shared" si="1276"/>
        <v>238</v>
      </c>
      <c r="C241" s="315"/>
      <c r="D241" s="316">
        <v>16300</v>
      </c>
      <c r="E241" s="317">
        <v>132</v>
      </c>
      <c r="F241" s="318">
        <v>119237</v>
      </c>
      <c r="G241" s="319"/>
      <c r="H241" s="330">
        <f t="shared" ref="H241:I241" si="4031">IF(ISBLANK(D241),,H240+D241)</f>
        <v>280229</v>
      </c>
      <c r="I241" s="331">
        <f t="shared" si="4031"/>
        <v>4614</v>
      </c>
      <c r="J241" s="332">
        <f t="shared" si="1"/>
        <v>3935</v>
      </c>
      <c r="K241" s="333">
        <f t="shared" ref="K241:L241" si="4032">IF(ISBLANK(M241),,M241-M240)</f>
        <v>917</v>
      </c>
      <c r="L241" s="334">
        <f t="shared" si="4032"/>
        <v>10</v>
      </c>
      <c r="M241" s="335">
        <v>14725</v>
      </c>
      <c r="N241" s="336">
        <v>287</v>
      </c>
      <c r="O241" s="337">
        <f t="shared" ref="O241:P241" si="4033">IF(ISBLANK(Q241),,Q241-Q240)</f>
        <v>1499</v>
      </c>
      <c r="P241" s="338">
        <f t="shared" si="4033"/>
        <v>0</v>
      </c>
      <c r="Q241" s="335">
        <v>15681</v>
      </c>
      <c r="R241" s="339">
        <v>154</v>
      </c>
      <c r="S241" s="316">
        <f t="shared" ref="S241:T241" si="4034">IF(ISBLANK(U241),,U241-U240)</f>
        <v>400</v>
      </c>
      <c r="T241" s="334">
        <f t="shared" si="4034"/>
        <v>1</v>
      </c>
      <c r="U241" s="335">
        <v>11989</v>
      </c>
      <c r="V241" s="336">
        <v>176</v>
      </c>
      <c r="W241" s="337">
        <f t="shared" ref="W241:X241" si="4035">IF(ISBLANK(Y241),,Y241-Y240)</f>
        <v>323</v>
      </c>
      <c r="X241" s="334">
        <f t="shared" si="4035"/>
        <v>3</v>
      </c>
      <c r="Y241" s="335">
        <v>5316</v>
      </c>
      <c r="Z241" s="340">
        <v>48</v>
      </c>
      <c r="AA241" s="316">
        <f t="shared" ref="AA241:AB241" si="4036">IF(ISBLANK(AC241),,AC241-AC240)</f>
        <v>1421</v>
      </c>
      <c r="AB241" s="334">
        <f t="shared" si="4036"/>
        <v>10</v>
      </c>
      <c r="AC241" s="335">
        <v>20574</v>
      </c>
      <c r="AD241" s="336">
        <v>379</v>
      </c>
      <c r="AE241" s="337">
        <f t="shared" ref="AE241:AF241" si="4037">IF(ISBLANK(AG241),,AG241-AG240)</f>
        <v>1884</v>
      </c>
      <c r="AF241" s="334">
        <f t="shared" si="4037"/>
        <v>21</v>
      </c>
      <c r="AG241" s="335">
        <v>35525</v>
      </c>
      <c r="AH241" s="339">
        <v>467</v>
      </c>
      <c r="AI241" s="316">
        <f t="shared" ref="AI241:AJ241" si="4038">IF(ISBLANK(AK241),,AK241-AK240)</f>
        <v>3529</v>
      </c>
      <c r="AJ241" s="334">
        <f t="shared" si="4038"/>
        <v>13</v>
      </c>
      <c r="AK241" s="335">
        <v>40475</v>
      </c>
      <c r="AL241" s="336">
        <v>627</v>
      </c>
      <c r="AM241" s="337">
        <f t="shared" ref="AM241:AN241" si="4039">IF(ISBLANK(AO241),,AO241-AO240)</f>
        <v>385</v>
      </c>
      <c r="AN241" s="334">
        <f t="shared" si="4039"/>
        <v>10</v>
      </c>
      <c r="AO241" s="335">
        <v>8362</v>
      </c>
      <c r="AP241" s="339">
        <v>172</v>
      </c>
      <c r="AQ241" s="316">
        <f t="shared" ref="AQ241:AR241" si="4040">IF(ISBLANK(AS241),,AS241-AS240)</f>
        <v>742</v>
      </c>
      <c r="AR241" s="338">
        <f t="shared" si="4040"/>
        <v>5</v>
      </c>
      <c r="AS241" s="335">
        <v>16560</v>
      </c>
      <c r="AT241" s="336">
        <v>337</v>
      </c>
      <c r="AU241" s="337">
        <f t="shared" ref="AU241:AV241" si="4041">IF(ISBLANK(AW241),,AW241-AW240)</f>
        <v>426</v>
      </c>
      <c r="AV241" s="334">
        <f t="shared" si="4041"/>
        <v>1</v>
      </c>
      <c r="AW241" s="335">
        <v>6607</v>
      </c>
      <c r="AX241" s="339">
        <v>101</v>
      </c>
      <c r="AY241" s="316">
        <f t="shared" ref="AY241:AZ241" si="4042">IF(ISBLANK(BA241),,BA241-BA240)</f>
        <v>643</v>
      </c>
      <c r="AZ241" s="334">
        <f t="shared" si="4042"/>
        <v>9</v>
      </c>
      <c r="BA241" s="335">
        <v>16308</v>
      </c>
      <c r="BB241" s="336">
        <v>234</v>
      </c>
      <c r="BC241" s="337">
        <f t="shared" ref="BC241:BD241" si="4043">IF(ISBLANK(BE241),,BE241-BE240)</f>
        <v>1298</v>
      </c>
      <c r="BD241" s="334">
        <f t="shared" si="4043"/>
        <v>18</v>
      </c>
      <c r="BE241" s="335">
        <v>39860</v>
      </c>
      <c r="BF241" s="339">
        <v>801</v>
      </c>
      <c r="BG241" s="316">
        <f t="shared" ref="BG241:BH241" si="4044">IF(ISBLANK(BI241),,BI241-BI240)</f>
        <v>434</v>
      </c>
      <c r="BH241" s="334">
        <f t="shared" si="4044"/>
        <v>6</v>
      </c>
      <c r="BI241" s="335">
        <v>8677</v>
      </c>
      <c r="BJ241" s="336">
        <v>145</v>
      </c>
      <c r="BK241" s="337">
        <f t="shared" ref="BK241:BL241" si="4045">IF(ISBLANK(BM241),,BM241-BM240)</f>
        <v>301</v>
      </c>
      <c r="BL241" s="334">
        <f t="shared" si="4045"/>
        <v>6</v>
      </c>
      <c r="BM241" s="335">
        <v>6455</v>
      </c>
      <c r="BN241" s="339">
        <v>84</v>
      </c>
      <c r="BO241" s="316">
        <f t="shared" ref="BO241:BP241" si="4046">IF(ISBLANK(BQ241),,BQ241-BQ240)</f>
        <v>1577</v>
      </c>
      <c r="BP241" s="334">
        <f t="shared" si="4046"/>
        <v>16</v>
      </c>
      <c r="BQ241" s="335">
        <v>24651</v>
      </c>
      <c r="BR241" s="336">
        <v>533</v>
      </c>
      <c r="BS241" s="316">
        <f t="shared" ref="BS241:BT241" si="4047">IF(ISBLANK(BU241),,BU241-BU240)</f>
        <v>521</v>
      </c>
      <c r="BT241" s="334">
        <f t="shared" si="4047"/>
        <v>3</v>
      </c>
      <c r="BU241" s="335">
        <v>8464</v>
      </c>
      <c r="BV241" s="336">
        <v>69</v>
      </c>
      <c r="BW241" s="233"/>
      <c r="BX241" s="233"/>
      <c r="BY241" s="233"/>
      <c r="BZ241" s="233"/>
      <c r="CA241" s="233"/>
      <c r="CB241" s="233"/>
      <c r="CC241" s="233"/>
      <c r="CD241" s="233"/>
      <c r="CE241" s="233"/>
    </row>
    <row r="242" spans="1:83" x14ac:dyDescent="0.25">
      <c r="A242" s="313">
        <v>44132</v>
      </c>
      <c r="B242" s="314">
        <f t="shared" si="1276"/>
        <v>239</v>
      </c>
      <c r="C242" s="315"/>
      <c r="D242" s="316">
        <v>18820</v>
      </c>
      <c r="E242" s="317">
        <v>234</v>
      </c>
      <c r="F242" s="318">
        <v>123504</v>
      </c>
      <c r="G242" s="319"/>
      <c r="H242" s="330">
        <f t="shared" ref="H242:I242" si="4048">IF(ISBLANK(D242),,H241+D242)</f>
        <v>299049</v>
      </c>
      <c r="I242" s="331">
        <f t="shared" si="4048"/>
        <v>4848</v>
      </c>
      <c r="J242" s="332">
        <f t="shared" si="1"/>
        <v>4267</v>
      </c>
      <c r="K242" s="333">
        <f t="shared" ref="K242:L242" si="4049">IF(ISBLANK(M242),,M242-M241)</f>
        <v>1140</v>
      </c>
      <c r="L242" s="334">
        <f t="shared" si="4049"/>
        <v>11</v>
      </c>
      <c r="M242" s="335">
        <v>15865</v>
      </c>
      <c r="N242" s="336">
        <v>298</v>
      </c>
      <c r="O242" s="337">
        <f t="shared" ref="O242:P242" si="4050">IF(ISBLANK(Q242),,Q242-Q241)</f>
        <v>1215</v>
      </c>
      <c r="P242" s="338">
        <f t="shared" si="4050"/>
        <v>9</v>
      </c>
      <c r="Q242" s="335">
        <v>16896</v>
      </c>
      <c r="R242" s="339">
        <v>163</v>
      </c>
      <c r="S242" s="316">
        <f t="shared" ref="S242:T242" si="4051">IF(ISBLANK(U242),,U242-U241)</f>
        <v>700</v>
      </c>
      <c r="T242" s="334">
        <f t="shared" si="4051"/>
        <v>22</v>
      </c>
      <c r="U242" s="335">
        <v>12689</v>
      </c>
      <c r="V242" s="336">
        <v>198</v>
      </c>
      <c r="W242" s="337">
        <f t="shared" ref="W242:X242" si="4052">IF(ISBLANK(Y242),,Y242-Y241)</f>
        <v>380</v>
      </c>
      <c r="X242" s="334">
        <f t="shared" si="4052"/>
        <v>2</v>
      </c>
      <c r="Y242" s="335">
        <v>5696</v>
      </c>
      <c r="Z242" s="340">
        <v>50</v>
      </c>
      <c r="AA242" s="316">
        <f t="shared" ref="AA242:AB242" si="4053">IF(ISBLANK(AC242),,AC242-AC241)</f>
        <v>1860</v>
      </c>
      <c r="AB242" s="334">
        <f t="shared" si="4053"/>
        <v>13</v>
      </c>
      <c r="AC242" s="335">
        <v>22434</v>
      </c>
      <c r="AD242" s="336">
        <v>392</v>
      </c>
      <c r="AE242" s="337">
        <f t="shared" ref="AE242:AF242" si="4054">IF(ISBLANK(AG242),,AG242-AG241)</f>
        <v>2165</v>
      </c>
      <c r="AF242" s="334">
        <f t="shared" si="4054"/>
        <v>41</v>
      </c>
      <c r="AG242" s="335">
        <v>37690</v>
      </c>
      <c r="AH242" s="339">
        <v>508</v>
      </c>
      <c r="AI242" s="316">
        <f t="shared" ref="AI242:AJ242" si="4055">IF(ISBLANK(AK242),,AK242-AK241)</f>
        <v>2644</v>
      </c>
      <c r="AJ242" s="334">
        <f t="shared" si="4055"/>
        <v>22</v>
      </c>
      <c r="AK242" s="335">
        <v>43119</v>
      </c>
      <c r="AL242" s="336">
        <v>649</v>
      </c>
      <c r="AM242" s="337">
        <f t="shared" ref="AM242:AN242" si="4056">IF(ISBLANK(AO242),,AO242-AO241)</f>
        <v>395</v>
      </c>
      <c r="AN242" s="334">
        <f t="shared" si="4056"/>
        <v>7</v>
      </c>
      <c r="AO242" s="335">
        <v>8757</v>
      </c>
      <c r="AP242" s="339">
        <v>179</v>
      </c>
      <c r="AQ242" s="316">
        <f t="shared" ref="AQ242:AR242" si="4057">IF(ISBLANK(AS242),,AS242-AS241)</f>
        <v>1039</v>
      </c>
      <c r="AR242" s="338">
        <f t="shared" si="4057"/>
        <v>22</v>
      </c>
      <c r="AS242" s="335">
        <v>17599</v>
      </c>
      <c r="AT242" s="336">
        <v>359</v>
      </c>
      <c r="AU242" s="337">
        <f t="shared" ref="AU242:AV242" si="4058">IF(ISBLANK(AW242),,AW242-AW241)</f>
        <v>290</v>
      </c>
      <c r="AV242" s="334">
        <f t="shared" si="4058"/>
        <v>2</v>
      </c>
      <c r="AW242" s="335">
        <v>6897</v>
      </c>
      <c r="AX242" s="339">
        <v>103</v>
      </c>
      <c r="AY242" s="316">
        <f t="shared" ref="AY242:AZ242" si="4059">IF(ISBLANK(BA242),,BA242-BA241)</f>
        <v>901</v>
      </c>
      <c r="AZ242" s="334">
        <f t="shared" si="4059"/>
        <v>14</v>
      </c>
      <c r="BA242" s="335">
        <v>17209</v>
      </c>
      <c r="BB242" s="336">
        <v>248</v>
      </c>
      <c r="BC242" s="337">
        <f t="shared" ref="BC242:BD242" si="4060">IF(ISBLANK(BE242),,BE242-BE241)</f>
        <v>1868</v>
      </c>
      <c r="BD242" s="334">
        <f t="shared" si="4060"/>
        <v>38</v>
      </c>
      <c r="BE242" s="335">
        <v>41728</v>
      </c>
      <c r="BF242" s="339">
        <v>839</v>
      </c>
      <c r="BG242" s="316">
        <f t="shared" ref="BG242:BH242" si="4061">IF(ISBLANK(BI242),,BI242-BI241)</f>
        <v>536</v>
      </c>
      <c r="BH242" s="334">
        <f t="shared" si="4061"/>
        <v>13</v>
      </c>
      <c r="BI242" s="335">
        <v>9213</v>
      </c>
      <c r="BJ242" s="336">
        <v>158</v>
      </c>
      <c r="BK242" s="337">
        <f t="shared" ref="BK242:BL242" si="4062">IF(ISBLANK(BM242),,BM242-BM241)</f>
        <v>442</v>
      </c>
      <c r="BL242" s="334">
        <f t="shared" si="4062"/>
        <v>3</v>
      </c>
      <c r="BM242" s="335">
        <v>6897</v>
      </c>
      <c r="BN242" s="339">
        <v>87</v>
      </c>
      <c r="BO242" s="316">
        <f t="shared" ref="BO242:BP242" si="4063">IF(ISBLANK(BQ242),,BQ242-BQ241)</f>
        <v>2885</v>
      </c>
      <c r="BP242" s="334">
        <f t="shared" si="4063"/>
        <v>11</v>
      </c>
      <c r="BQ242" s="335">
        <v>27536</v>
      </c>
      <c r="BR242" s="336">
        <v>544</v>
      </c>
      <c r="BS242" s="316">
        <f t="shared" ref="BS242:BT242" si="4064">IF(ISBLANK(BU242),,BU242-BU241)</f>
        <v>360</v>
      </c>
      <c r="BT242" s="334">
        <f t="shared" si="4064"/>
        <v>4</v>
      </c>
      <c r="BU242" s="335">
        <v>8824</v>
      </c>
      <c r="BV242" s="336">
        <v>73</v>
      </c>
      <c r="BW242" s="233"/>
      <c r="BX242" s="233"/>
      <c r="BY242" s="233"/>
      <c r="BZ242" s="233"/>
      <c r="CA242" s="233"/>
      <c r="CB242" s="233"/>
      <c r="CC242" s="233"/>
      <c r="CD242" s="233"/>
      <c r="CE242" s="233"/>
    </row>
    <row r="243" spans="1:83" x14ac:dyDescent="0.25">
      <c r="A243" s="313">
        <v>44133</v>
      </c>
      <c r="B243" s="314">
        <f t="shared" si="1276"/>
        <v>240</v>
      </c>
      <c r="C243" s="315"/>
      <c r="D243" s="316">
        <v>20156</v>
      </c>
      <c r="E243" s="317">
        <v>301</v>
      </c>
      <c r="F243" s="318">
        <v>129267</v>
      </c>
      <c r="G243" s="319"/>
      <c r="H243" s="330">
        <f t="shared" ref="H243:I243" si="4065">IF(ISBLANK(D243),,H242+D243)</f>
        <v>319205</v>
      </c>
      <c r="I243" s="331">
        <f t="shared" si="4065"/>
        <v>5149</v>
      </c>
      <c r="J243" s="332">
        <f t="shared" si="1"/>
        <v>5763</v>
      </c>
      <c r="K243" s="333">
        <f t="shared" ref="K243:L243" si="4066">IF(ISBLANK(M243),,M243-M242)</f>
        <v>857</v>
      </c>
      <c r="L243" s="334">
        <f t="shared" si="4066"/>
        <v>26</v>
      </c>
      <c r="M243" s="335">
        <v>16722</v>
      </c>
      <c r="N243" s="336">
        <v>324</v>
      </c>
      <c r="O243" s="337">
        <f t="shared" ref="O243:P243" si="4067">IF(ISBLANK(Q243),,Q243-Q242)</f>
        <v>1403</v>
      </c>
      <c r="P243" s="338">
        <f t="shared" si="4067"/>
        <v>6</v>
      </c>
      <c r="Q243" s="335">
        <v>18299</v>
      </c>
      <c r="R243" s="339">
        <v>169</v>
      </c>
      <c r="S243" s="316">
        <f t="shared" ref="S243:T243" si="4068">IF(ISBLANK(U243),,U243-U242)</f>
        <v>1700</v>
      </c>
      <c r="T243" s="334">
        <f t="shared" si="4068"/>
        <v>19</v>
      </c>
      <c r="U243" s="335">
        <v>14389</v>
      </c>
      <c r="V243" s="336">
        <v>217</v>
      </c>
      <c r="W243" s="337">
        <f t="shared" ref="W243:X243" si="4069">IF(ISBLANK(Y243),,Y243-Y242)</f>
        <v>321</v>
      </c>
      <c r="X243" s="334">
        <f t="shared" si="4069"/>
        <v>12</v>
      </c>
      <c r="Y243" s="335">
        <v>6017</v>
      </c>
      <c r="Z243" s="340">
        <v>62</v>
      </c>
      <c r="AA243" s="316">
        <f t="shared" ref="AA243:AB243" si="4070">IF(ISBLANK(AC243),,AC243-AC242)</f>
        <v>1794</v>
      </c>
      <c r="AB243" s="334">
        <f t="shared" si="4070"/>
        <v>13</v>
      </c>
      <c r="AC243" s="335">
        <v>24228</v>
      </c>
      <c r="AD243" s="336">
        <v>405</v>
      </c>
      <c r="AE243" s="337">
        <f t="shared" ref="AE243:AF243" si="4071">IF(ISBLANK(AG243),,AG243-AG242)</f>
        <v>1927</v>
      </c>
      <c r="AF243" s="334">
        <f t="shared" si="4071"/>
        <v>37</v>
      </c>
      <c r="AG243" s="335">
        <v>39617</v>
      </c>
      <c r="AH243" s="339">
        <v>545</v>
      </c>
      <c r="AI243" s="316">
        <f t="shared" ref="AI243:AJ243" si="4072">IF(ISBLANK(AK243),,AK243-AK242)</f>
        <v>2255</v>
      </c>
      <c r="AJ243" s="334">
        <f t="shared" si="4072"/>
        <v>35</v>
      </c>
      <c r="AK243" s="335">
        <v>45374</v>
      </c>
      <c r="AL243" s="336">
        <v>684</v>
      </c>
      <c r="AM243" s="337">
        <f t="shared" ref="AM243:AN243" si="4073">IF(ISBLANK(AO243),,AO243-AO242)</f>
        <v>482</v>
      </c>
      <c r="AN243" s="334">
        <f t="shared" si="4073"/>
        <v>13</v>
      </c>
      <c r="AO243" s="335">
        <v>9239</v>
      </c>
      <c r="AP243" s="339">
        <v>192</v>
      </c>
      <c r="AQ243" s="316">
        <f t="shared" ref="AQ243:AR243" si="4074">IF(ISBLANK(AS243),,AS243-AS242)</f>
        <v>1306</v>
      </c>
      <c r="AR243" s="338">
        <f t="shared" si="4074"/>
        <v>26</v>
      </c>
      <c r="AS243" s="335">
        <v>18905</v>
      </c>
      <c r="AT243" s="336">
        <v>385</v>
      </c>
      <c r="AU243" s="337">
        <f t="shared" ref="AU243:AV243" si="4075">IF(ISBLANK(AW243),,AW243-AW242)</f>
        <v>858</v>
      </c>
      <c r="AV243" s="334">
        <f t="shared" si="4075"/>
        <v>11</v>
      </c>
      <c r="AW243" s="335">
        <v>7755</v>
      </c>
      <c r="AX243" s="339">
        <v>114</v>
      </c>
      <c r="AY243" s="316">
        <f t="shared" ref="AY243:AZ243" si="4076">IF(ISBLANK(BA243),,BA243-BA242)</f>
        <v>953</v>
      </c>
      <c r="AZ243" s="334">
        <f t="shared" si="4076"/>
        <v>16</v>
      </c>
      <c r="BA243" s="335">
        <v>18162</v>
      </c>
      <c r="BB243" s="336">
        <v>264</v>
      </c>
      <c r="BC243" s="337">
        <f t="shared" ref="BC243:BD243" si="4077">IF(ISBLANK(BE243),,BE243-BE242)</f>
        <v>1994</v>
      </c>
      <c r="BD243" s="334">
        <f t="shared" si="4077"/>
        <v>25</v>
      </c>
      <c r="BE243" s="335">
        <v>43722</v>
      </c>
      <c r="BF243" s="339">
        <v>864</v>
      </c>
      <c r="BG243" s="316">
        <f t="shared" ref="BG243:BH243" si="4078">IF(ISBLANK(BI243),,BI243-BI242)</f>
        <v>599</v>
      </c>
      <c r="BH243" s="334">
        <f t="shared" si="4078"/>
        <v>21</v>
      </c>
      <c r="BI243" s="335">
        <v>9812</v>
      </c>
      <c r="BJ243" s="336">
        <v>179</v>
      </c>
      <c r="BK243" s="337">
        <f t="shared" ref="BK243:BL243" si="4079">IF(ISBLANK(BM243),,BM243-BM242)</f>
        <v>525</v>
      </c>
      <c r="BL243" s="334">
        <f t="shared" si="4079"/>
        <v>5</v>
      </c>
      <c r="BM243" s="335">
        <v>7422</v>
      </c>
      <c r="BN243" s="339">
        <v>92</v>
      </c>
      <c r="BO243" s="316">
        <f t="shared" ref="BO243:BP243" si="4080">IF(ISBLANK(BQ243),,BQ243-BQ242)</f>
        <v>2633</v>
      </c>
      <c r="BP243" s="334">
        <f t="shared" si="4080"/>
        <v>25</v>
      </c>
      <c r="BQ243" s="335">
        <v>30169</v>
      </c>
      <c r="BR243" s="336">
        <v>569</v>
      </c>
      <c r="BS243" s="316">
        <f t="shared" ref="BS243:BT243" si="4081">IF(ISBLANK(BU243),,BU243-BU242)</f>
        <v>549</v>
      </c>
      <c r="BT243" s="334">
        <f t="shared" si="4081"/>
        <v>11</v>
      </c>
      <c r="BU243" s="335">
        <v>9373</v>
      </c>
      <c r="BV243" s="336">
        <v>84</v>
      </c>
      <c r="BW243" s="233"/>
      <c r="BX243" s="233"/>
      <c r="BY243" s="233"/>
      <c r="BZ243" s="233"/>
      <c r="CA243" s="233"/>
      <c r="CB243" s="233"/>
      <c r="CC243" s="233"/>
      <c r="CD243" s="233"/>
      <c r="CE243" s="233"/>
    </row>
    <row r="244" spans="1:83" x14ac:dyDescent="0.25">
      <c r="A244" s="313">
        <v>44134</v>
      </c>
      <c r="B244" s="314">
        <f t="shared" si="1276"/>
        <v>241</v>
      </c>
      <c r="C244" s="315"/>
      <c r="D244" s="316">
        <v>21629</v>
      </c>
      <c r="E244" s="317">
        <v>202</v>
      </c>
      <c r="F244" s="318">
        <v>134724</v>
      </c>
      <c r="G244" s="319"/>
      <c r="H244" s="330">
        <f t="shared" ref="H244:I244" si="4082">IF(ISBLANK(D244),,H243+D244)</f>
        <v>340834</v>
      </c>
      <c r="I244" s="331">
        <f t="shared" si="4082"/>
        <v>5351</v>
      </c>
      <c r="J244" s="332">
        <f t="shared" si="1"/>
        <v>5457</v>
      </c>
      <c r="K244" s="333">
        <f t="shared" ref="K244:L244" si="4083">IF(ISBLANK(M244),,M244-M243)</f>
        <v>999</v>
      </c>
      <c r="L244" s="334">
        <f t="shared" si="4083"/>
        <v>12</v>
      </c>
      <c r="M244" s="335">
        <v>17721</v>
      </c>
      <c r="N244" s="336">
        <v>336</v>
      </c>
      <c r="O244" s="337">
        <f t="shared" ref="O244:P244" si="4084">IF(ISBLANK(Q244),,Q244-Q243)</f>
        <v>1954</v>
      </c>
      <c r="P244" s="338">
        <f t="shared" si="4084"/>
        <v>4</v>
      </c>
      <c r="Q244" s="335">
        <v>20253</v>
      </c>
      <c r="R244" s="339">
        <v>173</v>
      </c>
      <c r="S244" s="316">
        <f t="shared" ref="S244:T244" si="4085">IF(ISBLANK(U244),,U244-U243)</f>
        <v>1455</v>
      </c>
      <c r="T244" s="334">
        <f t="shared" si="4085"/>
        <v>7</v>
      </c>
      <c r="U244" s="335">
        <v>15844</v>
      </c>
      <c r="V244" s="336">
        <v>224</v>
      </c>
      <c r="W244" s="337">
        <f t="shared" ref="W244:X244" si="4086">IF(ISBLANK(Y244),,Y244-Y243)</f>
        <v>394</v>
      </c>
      <c r="X244" s="334">
        <f t="shared" si="4086"/>
        <v>3</v>
      </c>
      <c r="Y244" s="335">
        <v>6411</v>
      </c>
      <c r="Z244" s="340">
        <v>65</v>
      </c>
      <c r="AA244" s="316">
        <f t="shared" ref="AA244:AB244" si="4087">IF(ISBLANK(AC244),,AC244-AC243)</f>
        <v>1554</v>
      </c>
      <c r="AB244" s="334">
        <f t="shared" si="4087"/>
        <v>4</v>
      </c>
      <c r="AC244" s="335">
        <v>25782</v>
      </c>
      <c r="AD244" s="336">
        <v>409</v>
      </c>
      <c r="AE244" s="337">
        <f t="shared" ref="AE244:AF244" si="4088">IF(ISBLANK(AG244),,AG244-AG243)</f>
        <v>1914</v>
      </c>
      <c r="AF244" s="334">
        <f t="shared" si="4088"/>
        <v>48</v>
      </c>
      <c r="AG244" s="335">
        <v>41531</v>
      </c>
      <c r="AH244" s="339">
        <v>593</v>
      </c>
      <c r="AI244" s="316">
        <f t="shared" ref="AI244:AJ244" si="4089">IF(ISBLANK(AK244),,AK244-AK243)</f>
        <v>3416</v>
      </c>
      <c r="AJ244" s="334">
        <f t="shared" si="4089"/>
        <v>23</v>
      </c>
      <c r="AK244" s="335">
        <v>48790</v>
      </c>
      <c r="AL244" s="336">
        <v>707</v>
      </c>
      <c r="AM244" s="337">
        <f t="shared" ref="AM244:AN244" si="4090">IF(ISBLANK(AO244),,AO244-AO243)</f>
        <v>550</v>
      </c>
      <c r="AN244" s="334">
        <f t="shared" si="4090"/>
        <v>11</v>
      </c>
      <c r="AO244" s="335">
        <v>9789</v>
      </c>
      <c r="AP244" s="339">
        <v>203</v>
      </c>
      <c r="AQ244" s="316">
        <f t="shared" ref="AQ244:AR244" si="4091">IF(ISBLANK(AS244),,AS244-AS243)</f>
        <v>1274</v>
      </c>
      <c r="AR244" s="338">
        <f t="shared" si="4091"/>
        <v>14</v>
      </c>
      <c r="AS244" s="335">
        <v>20179</v>
      </c>
      <c r="AT244" s="336">
        <v>399</v>
      </c>
      <c r="AU244" s="337">
        <f t="shared" ref="AU244:AV244" si="4092">IF(ISBLANK(AW244),,AW244-AW243)</f>
        <v>358</v>
      </c>
      <c r="AV244" s="334">
        <f t="shared" si="4092"/>
        <v>5</v>
      </c>
      <c r="AW244" s="335">
        <v>8113</v>
      </c>
      <c r="AX244" s="339">
        <v>119</v>
      </c>
      <c r="AY244" s="316">
        <f t="shared" ref="AY244:AZ244" si="4093">IF(ISBLANK(BA244),,BA244-BA243)</f>
        <v>1049</v>
      </c>
      <c r="AZ244" s="334">
        <f t="shared" si="4093"/>
        <v>13</v>
      </c>
      <c r="BA244" s="335">
        <v>19211</v>
      </c>
      <c r="BB244" s="336">
        <v>277</v>
      </c>
      <c r="BC244" s="337">
        <f t="shared" ref="BC244:BD244" si="4094">IF(ISBLANK(BE244),,BE244-BE243)</f>
        <v>1761</v>
      </c>
      <c r="BD244" s="334">
        <f t="shared" si="4094"/>
        <v>28</v>
      </c>
      <c r="BE244" s="335">
        <v>45483</v>
      </c>
      <c r="BF244" s="339">
        <v>892</v>
      </c>
      <c r="BG244" s="316">
        <f t="shared" ref="BG244:BH244" si="4095">IF(ISBLANK(BI244),,BI244-BI243)</f>
        <v>607</v>
      </c>
      <c r="BH244" s="334">
        <f t="shared" si="4095"/>
        <v>9</v>
      </c>
      <c r="BI244" s="335">
        <v>10419</v>
      </c>
      <c r="BJ244" s="336">
        <v>188</v>
      </c>
      <c r="BK244" s="337">
        <f t="shared" ref="BK244:BL244" si="4096">IF(ISBLANK(BM244),,BM244-BM243)</f>
        <v>594</v>
      </c>
      <c r="BL244" s="334">
        <f t="shared" si="4096"/>
        <v>3</v>
      </c>
      <c r="BM244" s="335">
        <v>8016</v>
      </c>
      <c r="BN244" s="339">
        <v>95</v>
      </c>
      <c r="BO244" s="316">
        <f t="shared" ref="BO244:BP244" si="4097">IF(ISBLANK(BQ244),,BQ244-BQ243)</f>
        <v>3082</v>
      </c>
      <c r="BP244" s="334">
        <f t="shared" si="4097"/>
        <v>13</v>
      </c>
      <c r="BQ244" s="335">
        <v>33251</v>
      </c>
      <c r="BR244" s="336">
        <v>582</v>
      </c>
      <c r="BS244" s="316">
        <f t="shared" ref="BS244:BT244" si="4098">IF(ISBLANK(BU244),,BU244-BU243)</f>
        <v>668</v>
      </c>
      <c r="BT244" s="334">
        <f t="shared" si="4098"/>
        <v>5</v>
      </c>
      <c r="BU244" s="335">
        <v>10041</v>
      </c>
      <c r="BV244" s="336">
        <v>89</v>
      </c>
      <c r="BW244" s="233"/>
      <c r="BX244" s="233"/>
      <c r="BY244" s="233"/>
      <c r="BZ244" s="233"/>
      <c r="CA244" s="233"/>
      <c r="CB244" s="233"/>
      <c r="CC244" s="233"/>
      <c r="CD244" s="233"/>
      <c r="CE244" s="233"/>
    </row>
    <row r="245" spans="1:83" x14ac:dyDescent="0.25">
      <c r="A245" s="313">
        <v>44135</v>
      </c>
      <c r="B245" s="314">
        <f t="shared" si="1276"/>
        <v>242</v>
      </c>
      <c r="C245" s="315"/>
      <c r="D245" s="316">
        <v>21897</v>
      </c>
      <c r="E245" s="317">
        <v>280</v>
      </c>
      <c r="F245" s="318">
        <v>140280</v>
      </c>
      <c r="G245" s="319"/>
      <c r="H245" s="330">
        <f t="shared" ref="H245:I245" si="4099">IF(ISBLANK(D245),,H244+D245)</f>
        <v>362731</v>
      </c>
      <c r="I245" s="331">
        <f t="shared" si="4099"/>
        <v>5631</v>
      </c>
      <c r="J245" s="332">
        <f t="shared" si="1"/>
        <v>5556</v>
      </c>
      <c r="K245" s="333">
        <f t="shared" ref="K245:L245" si="4100">IF(ISBLANK(M245),,M245-M244)</f>
        <v>1229</v>
      </c>
      <c r="L245" s="334">
        <f t="shared" si="4100"/>
        <v>14</v>
      </c>
      <c r="M245" s="335">
        <v>18950</v>
      </c>
      <c r="N245" s="336">
        <v>350</v>
      </c>
      <c r="O245" s="337">
        <f t="shared" ref="O245:P245" si="4101">IF(ISBLANK(Q245),,Q245-Q244)</f>
        <v>1461</v>
      </c>
      <c r="P245" s="338">
        <f t="shared" si="4101"/>
        <v>9</v>
      </c>
      <c r="Q245" s="335">
        <v>21714</v>
      </c>
      <c r="R245" s="339">
        <v>182</v>
      </c>
      <c r="S245" s="316">
        <f t="shared" ref="S245:T245" si="4102">IF(ISBLANK(U245),,U245-U244)</f>
        <v>1559</v>
      </c>
      <c r="T245" s="334">
        <f t="shared" si="4102"/>
        <v>28</v>
      </c>
      <c r="U245" s="335">
        <v>17403</v>
      </c>
      <c r="V245" s="336">
        <v>252</v>
      </c>
      <c r="W245" s="337">
        <f t="shared" ref="W245:X245" si="4103">IF(ISBLANK(Y245),,Y245-Y244)</f>
        <v>498</v>
      </c>
      <c r="X245" s="334">
        <f t="shared" si="4103"/>
        <v>5</v>
      </c>
      <c r="Y245" s="335">
        <v>6909</v>
      </c>
      <c r="Z245" s="340">
        <v>70</v>
      </c>
      <c r="AA245" s="316">
        <f t="shared" ref="AA245:AB245" si="4104">IF(ISBLANK(AC245),,AC245-AC244)</f>
        <v>1700</v>
      </c>
      <c r="AB245" s="334">
        <f t="shared" si="4104"/>
        <v>13</v>
      </c>
      <c r="AC245" s="335">
        <v>27482</v>
      </c>
      <c r="AD245" s="336">
        <v>422</v>
      </c>
      <c r="AE245" s="337">
        <f t="shared" ref="AE245:AF245" si="4105">IF(ISBLANK(AG245),,AG245-AG244)</f>
        <v>1707</v>
      </c>
      <c r="AF245" s="334">
        <f t="shared" si="4105"/>
        <v>36</v>
      </c>
      <c r="AG245" s="335">
        <v>43238</v>
      </c>
      <c r="AH245" s="339">
        <v>629</v>
      </c>
      <c r="AI245" s="316">
        <f t="shared" ref="AI245:AJ245" si="4106">IF(ISBLANK(AK245),,AK245-AK244)</f>
        <v>3138</v>
      </c>
      <c r="AJ245" s="334">
        <f t="shared" si="4106"/>
        <v>31</v>
      </c>
      <c r="AK245" s="335">
        <v>51928</v>
      </c>
      <c r="AL245" s="336">
        <v>738</v>
      </c>
      <c r="AM245" s="337">
        <f t="shared" ref="AM245:AN245" si="4107">IF(ISBLANK(AO245),,AO245-AO244)</f>
        <v>471</v>
      </c>
      <c r="AN245" s="334">
        <f t="shared" si="4107"/>
        <v>6</v>
      </c>
      <c r="AO245" s="335">
        <v>10260</v>
      </c>
      <c r="AP245" s="339">
        <v>209</v>
      </c>
      <c r="AQ245" s="316">
        <f t="shared" ref="AQ245:AR245" si="4108">IF(ISBLANK(AS245),,AS245-AS244)</f>
        <v>1404</v>
      </c>
      <c r="AR245" s="338">
        <f t="shared" si="4108"/>
        <v>26</v>
      </c>
      <c r="AS245" s="335">
        <v>21583</v>
      </c>
      <c r="AT245" s="336">
        <v>425</v>
      </c>
      <c r="AU245" s="337">
        <f t="shared" ref="AU245:AV245" si="4109">IF(ISBLANK(AW245),,AW245-AW244)</f>
        <v>612</v>
      </c>
      <c r="AV245" s="334">
        <f t="shared" si="4109"/>
        <v>12</v>
      </c>
      <c r="AW245" s="335">
        <v>8725</v>
      </c>
      <c r="AX245" s="339">
        <v>131</v>
      </c>
      <c r="AY245" s="316">
        <f t="shared" ref="AY245:AZ245" si="4110">IF(ISBLANK(BA245),,BA245-BA244)</f>
        <v>1212</v>
      </c>
      <c r="AZ245" s="334">
        <f t="shared" si="4110"/>
        <v>16</v>
      </c>
      <c r="BA245" s="335">
        <v>20423</v>
      </c>
      <c r="BB245" s="336">
        <v>293</v>
      </c>
      <c r="BC245" s="337">
        <f t="shared" ref="BC245:BD245" si="4111">IF(ISBLANK(BE245),,BE245-BE244)</f>
        <v>2274</v>
      </c>
      <c r="BD245" s="334">
        <f t="shared" si="4111"/>
        <v>34</v>
      </c>
      <c r="BE245" s="335">
        <v>47757</v>
      </c>
      <c r="BF245" s="339">
        <v>926</v>
      </c>
      <c r="BG245" s="316">
        <f t="shared" ref="BG245:BH245" si="4112">IF(ISBLANK(BI245),,BI245-BI244)</f>
        <v>831</v>
      </c>
      <c r="BH245" s="334">
        <f t="shared" si="4112"/>
        <v>10</v>
      </c>
      <c r="BI245" s="335">
        <v>11250</v>
      </c>
      <c r="BJ245" s="336">
        <v>198</v>
      </c>
      <c r="BK245" s="337">
        <f t="shared" ref="BK245:BL245" si="4113">IF(ISBLANK(BM245),,BM245-BM244)</f>
        <v>737</v>
      </c>
      <c r="BL245" s="334">
        <f t="shared" si="4113"/>
        <v>4</v>
      </c>
      <c r="BM245" s="335">
        <v>8753</v>
      </c>
      <c r="BN245" s="339">
        <v>99</v>
      </c>
      <c r="BO245" s="316">
        <f t="shared" ref="BO245:BP245" si="4114">IF(ISBLANK(BQ245),,BQ245-BQ244)</f>
        <v>2329</v>
      </c>
      <c r="BP245" s="334">
        <f t="shared" si="4114"/>
        <v>30</v>
      </c>
      <c r="BQ245" s="335">
        <v>35580</v>
      </c>
      <c r="BR245" s="336">
        <v>612</v>
      </c>
      <c r="BS245" s="316">
        <f t="shared" ref="BS245:BT245" si="4115">IF(ISBLANK(BU245),,BU245-BU244)</f>
        <v>735</v>
      </c>
      <c r="BT245" s="334">
        <f t="shared" si="4115"/>
        <v>6</v>
      </c>
      <c r="BU245" s="335">
        <v>10776</v>
      </c>
      <c r="BV245" s="336">
        <v>95</v>
      </c>
      <c r="BW245" s="233"/>
      <c r="BX245" s="233"/>
      <c r="BY245" s="233"/>
      <c r="BZ245" s="233"/>
      <c r="CA245" s="233"/>
      <c r="CB245" s="233"/>
      <c r="CC245" s="233"/>
      <c r="CD245" s="233"/>
      <c r="CE245" s="233"/>
    </row>
    <row r="246" spans="1:83" x14ac:dyDescent="0.25">
      <c r="A246" s="313">
        <v>44136</v>
      </c>
      <c r="B246" s="314">
        <f t="shared" si="1276"/>
        <v>243</v>
      </c>
      <c r="C246" s="315"/>
      <c r="D246" s="316">
        <v>17171</v>
      </c>
      <c r="E246" s="317">
        <v>152</v>
      </c>
      <c r="F246" s="318">
        <v>146595</v>
      </c>
      <c r="G246" s="319"/>
      <c r="H246" s="330">
        <f t="shared" ref="H246:I246" si="4116">IF(ISBLANK(D246),,H245+D246)</f>
        <v>379902</v>
      </c>
      <c r="I246" s="331">
        <f t="shared" si="4116"/>
        <v>5783</v>
      </c>
      <c r="J246" s="332">
        <f t="shared" si="1"/>
        <v>6315</v>
      </c>
      <c r="K246" s="333">
        <f t="shared" ref="K246:L246" si="4117">IF(ISBLANK(M246),,M246-M245)</f>
        <v>524</v>
      </c>
      <c r="L246" s="334">
        <f t="shared" si="4117"/>
        <v>9</v>
      </c>
      <c r="M246" s="335">
        <v>19474</v>
      </c>
      <c r="N246" s="336">
        <v>359</v>
      </c>
      <c r="O246" s="337">
        <f t="shared" ref="O246:P246" si="4118">IF(ISBLANK(Q246),,Q246-Q245)</f>
        <v>1734</v>
      </c>
      <c r="P246" s="338">
        <f t="shared" si="4118"/>
        <v>2</v>
      </c>
      <c r="Q246" s="335">
        <v>23448</v>
      </c>
      <c r="R246" s="339">
        <v>184</v>
      </c>
      <c r="S246" s="316">
        <f t="shared" ref="S246:T246" si="4119">IF(ISBLANK(U246),,U246-U245)</f>
        <v>1768</v>
      </c>
      <c r="T246" s="334">
        <f t="shared" si="4119"/>
        <v>8</v>
      </c>
      <c r="U246" s="335">
        <v>19171</v>
      </c>
      <c r="V246" s="336">
        <v>260</v>
      </c>
      <c r="W246" s="337">
        <f t="shared" ref="W246:X246" si="4120">IF(ISBLANK(Y246),,Y246-Y245)</f>
        <v>401</v>
      </c>
      <c r="X246" s="334">
        <f t="shared" si="4120"/>
        <v>2</v>
      </c>
      <c r="Y246" s="335">
        <v>7310</v>
      </c>
      <c r="Z246" s="340">
        <v>72</v>
      </c>
      <c r="AA246" s="316">
        <f t="shared" ref="AA246:AB246" si="4121">IF(ISBLANK(AC246),,AC246-AC245)</f>
        <v>1670</v>
      </c>
      <c r="AB246" s="334">
        <f t="shared" si="4121"/>
        <v>5</v>
      </c>
      <c r="AC246" s="335">
        <v>29152</v>
      </c>
      <c r="AD246" s="336">
        <v>427</v>
      </c>
      <c r="AE246" s="337">
        <f t="shared" ref="AE246:AF246" si="4122">IF(ISBLANK(AG246),,AG246-AG245)</f>
        <v>1480</v>
      </c>
      <c r="AF246" s="334">
        <f t="shared" si="4122"/>
        <v>17</v>
      </c>
      <c r="AG246" s="335">
        <v>44718</v>
      </c>
      <c r="AH246" s="339">
        <v>646</v>
      </c>
      <c r="AI246" s="316">
        <f t="shared" ref="AI246:AJ246" si="4123">IF(ISBLANK(AK246),,AK246-AK245)</f>
        <v>2380</v>
      </c>
      <c r="AJ246" s="334">
        <f t="shared" si="4123"/>
        <v>26</v>
      </c>
      <c r="AK246" s="335">
        <v>54308</v>
      </c>
      <c r="AL246" s="336">
        <v>764</v>
      </c>
      <c r="AM246" s="337">
        <f t="shared" ref="AM246:AN246" si="4124">IF(ISBLANK(AO246),,AO246-AO245)</f>
        <v>461</v>
      </c>
      <c r="AN246" s="334">
        <f t="shared" si="4124"/>
        <v>4</v>
      </c>
      <c r="AO246" s="335">
        <v>10721</v>
      </c>
      <c r="AP246" s="339">
        <v>213</v>
      </c>
      <c r="AQ246" s="316">
        <f t="shared" ref="AQ246:AR246" si="4125">IF(ISBLANK(AS246),,AS246-AS245)</f>
        <v>1241</v>
      </c>
      <c r="AR246" s="338">
        <f t="shared" si="4125"/>
        <v>22</v>
      </c>
      <c r="AS246" s="335">
        <v>22824</v>
      </c>
      <c r="AT246" s="336">
        <v>447</v>
      </c>
      <c r="AU246" s="337">
        <f t="shared" ref="AU246:AV246" si="4126">IF(ISBLANK(AW246),,AW246-AW245)</f>
        <v>644</v>
      </c>
      <c r="AV246" s="334">
        <f t="shared" si="4126"/>
        <v>0</v>
      </c>
      <c r="AW246" s="335">
        <v>9369</v>
      </c>
      <c r="AX246" s="339">
        <v>131</v>
      </c>
      <c r="AY246" s="316">
        <f t="shared" ref="AY246:AZ246" si="4127">IF(ISBLANK(BA246),,BA246-BA245)</f>
        <v>1020</v>
      </c>
      <c r="AZ246" s="334">
        <f t="shared" si="4127"/>
        <v>7</v>
      </c>
      <c r="BA246" s="335">
        <v>21443</v>
      </c>
      <c r="BB246" s="336">
        <v>300</v>
      </c>
      <c r="BC246" s="337">
        <f t="shared" ref="BC246:BD246" si="4128">IF(ISBLANK(BE246),,BE246-BE245)</f>
        <v>1493</v>
      </c>
      <c r="BD246" s="334">
        <f t="shared" si="4128"/>
        <v>13</v>
      </c>
      <c r="BE246" s="335">
        <v>49250</v>
      </c>
      <c r="BF246" s="339">
        <v>939</v>
      </c>
      <c r="BG246" s="316">
        <f t="shared" ref="BG246:BH246" si="4129">IF(ISBLANK(BI246),,BI246-BI245)</f>
        <v>262</v>
      </c>
      <c r="BH246" s="334">
        <f t="shared" si="4129"/>
        <v>11</v>
      </c>
      <c r="BI246" s="335">
        <v>11512</v>
      </c>
      <c r="BJ246" s="336">
        <v>209</v>
      </c>
      <c r="BK246" s="337">
        <f t="shared" ref="BK246:BL246" si="4130">IF(ISBLANK(BM246),,BM246-BM245)</f>
        <v>539</v>
      </c>
      <c r="BL246" s="334">
        <f t="shared" si="4130"/>
        <v>7</v>
      </c>
      <c r="BM246" s="335">
        <v>9292</v>
      </c>
      <c r="BN246" s="339">
        <v>106</v>
      </c>
      <c r="BO246" s="316">
        <f t="shared" ref="BO246:BP246" si="4131">IF(ISBLANK(BQ246),,BQ246-BQ245)</f>
        <v>843</v>
      </c>
      <c r="BP246" s="334">
        <f t="shared" si="4131"/>
        <v>16</v>
      </c>
      <c r="BQ246" s="335">
        <v>36423</v>
      </c>
      <c r="BR246" s="336">
        <v>628</v>
      </c>
      <c r="BS246" s="316">
        <f t="shared" ref="BS246:BT246" si="4132">IF(ISBLANK(BU246),,BU246-BU245)</f>
        <v>711</v>
      </c>
      <c r="BT246" s="334">
        <f t="shared" si="4132"/>
        <v>3</v>
      </c>
      <c r="BU246" s="335">
        <v>11487</v>
      </c>
      <c r="BV246" s="336">
        <v>98</v>
      </c>
      <c r="BW246" s="233"/>
      <c r="BX246" s="233"/>
      <c r="BY246" s="233"/>
      <c r="BZ246" s="233"/>
      <c r="CA246" s="233"/>
      <c r="CB246" s="233"/>
      <c r="CC246" s="233"/>
      <c r="CD246" s="233"/>
      <c r="CE246" s="233"/>
    </row>
    <row r="247" spans="1:83" x14ac:dyDescent="0.25">
      <c r="A247" s="313">
        <v>44137</v>
      </c>
      <c r="B247" s="314">
        <f t="shared" si="1276"/>
        <v>244</v>
      </c>
      <c r="C247" s="315"/>
      <c r="D247" s="316">
        <v>15578</v>
      </c>
      <c r="E247" s="317">
        <v>92</v>
      </c>
      <c r="F247" s="318">
        <v>154413</v>
      </c>
      <c r="G247" s="319"/>
      <c r="H247" s="330">
        <f t="shared" ref="H247:I247" si="4133">IF(ISBLANK(D247),,H246+D247)</f>
        <v>395480</v>
      </c>
      <c r="I247" s="331">
        <f t="shared" si="4133"/>
        <v>5875</v>
      </c>
      <c r="J247" s="332">
        <f t="shared" si="1"/>
        <v>7818</v>
      </c>
      <c r="K247" s="333">
        <f t="shared" ref="K247:L247" si="4134">IF(ISBLANK(M247),,M247-M246)</f>
        <v>737</v>
      </c>
      <c r="L247" s="334">
        <f t="shared" si="4134"/>
        <v>1</v>
      </c>
      <c r="M247" s="335">
        <v>20211</v>
      </c>
      <c r="N247" s="336">
        <v>360</v>
      </c>
      <c r="O247" s="337">
        <f t="shared" ref="O247:P247" si="4135">IF(ISBLANK(Q247),,Q247-Q246)</f>
        <v>1379</v>
      </c>
      <c r="P247" s="338">
        <f t="shared" si="4135"/>
        <v>0</v>
      </c>
      <c r="Q247" s="335">
        <v>24827</v>
      </c>
      <c r="R247" s="339">
        <v>184</v>
      </c>
      <c r="S247" s="316">
        <f t="shared" ref="S247:T247" si="4136">IF(ISBLANK(U247),,U247-U246)</f>
        <v>1043</v>
      </c>
      <c r="T247" s="334">
        <f t="shared" si="4136"/>
        <v>6</v>
      </c>
      <c r="U247" s="335">
        <v>20214</v>
      </c>
      <c r="V247" s="336">
        <v>266</v>
      </c>
      <c r="W247" s="337">
        <f t="shared" ref="W247:X247" si="4137">IF(ISBLANK(Y247),,Y247-Y246)</f>
        <v>295</v>
      </c>
      <c r="X247" s="334">
        <f t="shared" si="4137"/>
        <v>1</v>
      </c>
      <c r="Y247" s="335">
        <v>7605</v>
      </c>
      <c r="Z247" s="340">
        <v>73</v>
      </c>
      <c r="AA247" s="316">
        <f t="shared" ref="AA247:AB247" si="4138">IF(ISBLANK(AC247),,AC247-AC246)</f>
        <v>1180</v>
      </c>
      <c r="AB247" s="334">
        <f t="shared" si="4138"/>
        <v>2</v>
      </c>
      <c r="AC247" s="335">
        <v>30332</v>
      </c>
      <c r="AD247" s="336">
        <v>429</v>
      </c>
      <c r="AE247" s="337">
        <f t="shared" ref="AE247:AF247" si="4139">IF(ISBLANK(AG247),,AG247-AG246)</f>
        <v>1746</v>
      </c>
      <c r="AF247" s="334">
        <f t="shared" si="4139"/>
        <v>7</v>
      </c>
      <c r="AG247" s="335">
        <v>46464</v>
      </c>
      <c r="AH247" s="339">
        <v>653</v>
      </c>
      <c r="AI247" s="316">
        <f t="shared" ref="AI247:AJ247" si="4140">IF(ISBLANK(AK247),,AK247-AK246)</f>
        <v>2218</v>
      </c>
      <c r="AJ247" s="334">
        <f t="shared" si="4140"/>
        <v>18</v>
      </c>
      <c r="AK247" s="335">
        <v>56526</v>
      </c>
      <c r="AL247" s="336">
        <v>782</v>
      </c>
      <c r="AM247" s="337">
        <f t="shared" ref="AM247:AN247" si="4141">IF(ISBLANK(AO247),,AO247-AO246)</f>
        <v>355</v>
      </c>
      <c r="AN247" s="334">
        <f t="shared" si="4141"/>
        <v>0</v>
      </c>
      <c r="AO247" s="335">
        <v>11076</v>
      </c>
      <c r="AP247" s="339">
        <v>213</v>
      </c>
      <c r="AQ247" s="316">
        <f t="shared" ref="AQ247:AR247" si="4142">IF(ISBLANK(AS247),,AS247-AS246)</f>
        <v>1049</v>
      </c>
      <c r="AR247" s="338">
        <f t="shared" si="4142"/>
        <v>13</v>
      </c>
      <c r="AS247" s="335">
        <v>23873</v>
      </c>
      <c r="AT247" s="336">
        <v>460</v>
      </c>
      <c r="AU247" s="337">
        <f t="shared" ref="AU247:AV247" si="4143">IF(ISBLANK(AW247),,AW247-AW246)</f>
        <v>543</v>
      </c>
      <c r="AV247" s="334">
        <f t="shared" si="4143"/>
        <v>10</v>
      </c>
      <c r="AW247" s="335">
        <v>9912</v>
      </c>
      <c r="AX247" s="339">
        <v>141</v>
      </c>
      <c r="AY247" s="316">
        <f t="shared" ref="AY247:AZ247" si="4144">IF(ISBLANK(BA247),,BA247-BA246)</f>
        <v>967</v>
      </c>
      <c r="AZ247" s="334">
        <f t="shared" si="4144"/>
        <v>9</v>
      </c>
      <c r="BA247" s="335">
        <v>22410</v>
      </c>
      <c r="BB247" s="336">
        <v>309</v>
      </c>
      <c r="BC247" s="337">
        <f t="shared" ref="BC247:BD247" si="4145">IF(ISBLANK(BE247),,BE247-BE246)</f>
        <v>1362</v>
      </c>
      <c r="BD247" s="334">
        <f t="shared" si="4145"/>
        <v>4</v>
      </c>
      <c r="BE247" s="335">
        <v>50612</v>
      </c>
      <c r="BF247" s="339">
        <v>943</v>
      </c>
      <c r="BG247" s="316">
        <f t="shared" ref="BG247:BH247" si="4146">IF(ISBLANK(BI247),,BI247-BI246)</f>
        <v>294</v>
      </c>
      <c r="BH247" s="334">
        <f t="shared" si="4146"/>
        <v>1</v>
      </c>
      <c r="BI247" s="335">
        <v>11806</v>
      </c>
      <c r="BJ247" s="336">
        <v>210</v>
      </c>
      <c r="BK247" s="337">
        <f t="shared" ref="BK247:BL247" si="4147">IF(ISBLANK(BM247),,BM247-BM246)</f>
        <v>582</v>
      </c>
      <c r="BL247" s="334">
        <f t="shared" si="4147"/>
        <v>6</v>
      </c>
      <c r="BM247" s="335">
        <v>9874</v>
      </c>
      <c r="BN247" s="339">
        <v>112</v>
      </c>
      <c r="BO247" s="316">
        <f t="shared" ref="BO247:BP247" si="4148">IF(ISBLANK(BQ247),,BQ247-BQ246)</f>
        <v>1256</v>
      </c>
      <c r="BP247" s="334">
        <f t="shared" si="4148"/>
        <v>12</v>
      </c>
      <c r="BQ247" s="335">
        <v>37679</v>
      </c>
      <c r="BR247" s="336">
        <v>640</v>
      </c>
      <c r="BS247" s="316">
        <f t="shared" ref="BS247:BT247" si="4149">IF(ISBLANK(BU247),,BU247-BU246)</f>
        <v>572</v>
      </c>
      <c r="BT247" s="334">
        <f t="shared" si="4149"/>
        <v>2</v>
      </c>
      <c r="BU247" s="335">
        <v>12059</v>
      </c>
      <c r="BV247" s="336">
        <v>100</v>
      </c>
      <c r="BW247" s="233"/>
      <c r="BX247" s="233"/>
      <c r="BY247" s="233"/>
      <c r="BZ247" s="233"/>
      <c r="CA247" s="233"/>
      <c r="CB247" s="233"/>
      <c r="CC247" s="233"/>
      <c r="CD247" s="233"/>
      <c r="CE247" s="233"/>
    </row>
    <row r="248" spans="1:83" x14ac:dyDescent="0.25">
      <c r="A248" s="313">
        <v>44138</v>
      </c>
      <c r="B248" s="314">
        <f t="shared" si="1276"/>
        <v>245</v>
      </c>
      <c r="C248" s="315"/>
      <c r="D248" s="316">
        <v>19364</v>
      </c>
      <c r="E248" s="317">
        <v>227</v>
      </c>
      <c r="F248" s="318">
        <v>159986</v>
      </c>
      <c r="G248" s="319"/>
      <c r="H248" s="330">
        <f t="shared" ref="H248:I248" si="4150">IF(ISBLANK(D248),,H247+D248)</f>
        <v>414844</v>
      </c>
      <c r="I248" s="331">
        <f t="shared" si="4150"/>
        <v>6102</v>
      </c>
      <c r="J248" s="332">
        <f t="shared" si="1"/>
        <v>5573</v>
      </c>
      <c r="K248" s="333">
        <f t="shared" ref="K248:L248" si="4151">IF(ISBLANK(M248),,M248-M247)</f>
        <v>1964</v>
      </c>
      <c r="L248" s="334">
        <f t="shared" si="4151"/>
        <v>26</v>
      </c>
      <c r="M248" s="335">
        <v>22175</v>
      </c>
      <c r="N248" s="336">
        <v>386</v>
      </c>
      <c r="O248" s="337">
        <f t="shared" ref="O248:P248" si="4152">IF(ISBLANK(Q248),,Q248-Q247)</f>
        <v>551</v>
      </c>
      <c r="P248" s="338">
        <f t="shared" si="4152"/>
        <v>4</v>
      </c>
      <c r="Q248" s="335">
        <v>25378</v>
      </c>
      <c r="R248" s="339">
        <v>188</v>
      </c>
      <c r="S248" s="316">
        <f t="shared" ref="S248:T248" si="4153">IF(ISBLANK(U248),,U248-U247)</f>
        <v>1290</v>
      </c>
      <c r="T248" s="334">
        <f t="shared" si="4153"/>
        <v>11</v>
      </c>
      <c r="U248" s="335">
        <v>21504</v>
      </c>
      <c r="V248" s="336">
        <v>277</v>
      </c>
      <c r="W248" s="337">
        <f t="shared" ref="W248:X248" si="4154">IF(ISBLANK(Y248),,Y248-Y247)</f>
        <v>286</v>
      </c>
      <c r="X248" s="334">
        <f t="shared" si="4154"/>
        <v>0</v>
      </c>
      <c r="Y248" s="335">
        <v>7891</v>
      </c>
      <c r="Z248" s="340">
        <v>73</v>
      </c>
      <c r="AA248" s="316">
        <f t="shared" ref="AA248:AB248" si="4155">IF(ISBLANK(AC248),,AC248-AC247)</f>
        <v>1110</v>
      </c>
      <c r="AB248" s="334">
        <f t="shared" si="4155"/>
        <v>8</v>
      </c>
      <c r="AC248" s="335">
        <v>31442</v>
      </c>
      <c r="AD248" s="336">
        <v>437</v>
      </c>
      <c r="AE248" s="337">
        <f t="shared" ref="AE248:AF248" si="4156">IF(ISBLANK(AG248),,AG248-AG247)</f>
        <v>2106</v>
      </c>
      <c r="AF248" s="334">
        <f t="shared" si="4156"/>
        <v>32</v>
      </c>
      <c r="AG248" s="335">
        <v>48570</v>
      </c>
      <c r="AH248" s="339">
        <v>685</v>
      </c>
      <c r="AI248" s="316">
        <f t="shared" ref="AI248:AJ248" si="4157">IF(ISBLANK(AK248),,AK248-AK247)</f>
        <v>2959</v>
      </c>
      <c r="AJ248" s="334">
        <f t="shared" si="4157"/>
        <v>21</v>
      </c>
      <c r="AK248" s="335">
        <v>59485</v>
      </c>
      <c r="AL248" s="336">
        <v>803</v>
      </c>
      <c r="AM248" s="337">
        <f t="shared" ref="AM248:AN248" si="4158">IF(ISBLANK(AO248),,AO248-AO247)</f>
        <v>445</v>
      </c>
      <c r="AN248" s="334">
        <f t="shared" si="4158"/>
        <v>14</v>
      </c>
      <c r="AO248" s="335">
        <v>11521</v>
      </c>
      <c r="AP248" s="339">
        <v>227</v>
      </c>
      <c r="AQ248" s="316">
        <f t="shared" ref="AQ248:AR248" si="4159">IF(ISBLANK(AS248),,AS248-AS247)</f>
        <v>929</v>
      </c>
      <c r="AR248" s="338">
        <f t="shared" si="4159"/>
        <v>12</v>
      </c>
      <c r="AS248" s="335">
        <v>24802</v>
      </c>
      <c r="AT248" s="336">
        <v>472</v>
      </c>
      <c r="AU248" s="337">
        <f t="shared" ref="AU248:AV248" si="4160">IF(ISBLANK(AW248),,AW248-AW247)</f>
        <v>316</v>
      </c>
      <c r="AV248" s="334">
        <f t="shared" si="4160"/>
        <v>2</v>
      </c>
      <c r="AW248" s="335">
        <v>10228</v>
      </c>
      <c r="AX248" s="339">
        <v>143</v>
      </c>
      <c r="AY248" s="316">
        <f t="shared" ref="AY248:AZ248" si="4161">IF(ISBLANK(BA248),,BA248-BA247)</f>
        <v>1317</v>
      </c>
      <c r="AZ248" s="334">
        <f t="shared" si="4161"/>
        <v>22</v>
      </c>
      <c r="BA248" s="335">
        <v>23727</v>
      </c>
      <c r="BB248" s="336">
        <v>331</v>
      </c>
      <c r="BC248" s="337">
        <f t="shared" ref="BC248:BD248" si="4162">IF(ISBLANK(BE248),,BE248-BE247)</f>
        <v>2407</v>
      </c>
      <c r="BD248" s="334">
        <f t="shared" si="4162"/>
        <v>31</v>
      </c>
      <c r="BE248" s="335">
        <v>53019</v>
      </c>
      <c r="BF248" s="339">
        <v>974</v>
      </c>
      <c r="BG248" s="316">
        <f t="shared" ref="BG248:BH248" si="4163">IF(ISBLANK(BI248),,BI248-BI247)</f>
        <v>551</v>
      </c>
      <c r="BH248" s="334">
        <f t="shared" si="4163"/>
        <v>17</v>
      </c>
      <c r="BI248" s="335">
        <v>12357</v>
      </c>
      <c r="BJ248" s="336">
        <v>227</v>
      </c>
      <c r="BK248" s="337">
        <f t="shared" ref="BK248:BL248" si="4164">IF(ISBLANK(BM248),,BM248-BM247)</f>
        <v>565</v>
      </c>
      <c r="BL248" s="334">
        <f t="shared" si="4164"/>
        <v>9</v>
      </c>
      <c r="BM248" s="335">
        <v>10439</v>
      </c>
      <c r="BN248" s="339">
        <v>121</v>
      </c>
      <c r="BO248" s="316">
        <f t="shared" ref="BO248:BP248" si="4165">IF(ISBLANK(BQ248),,BQ248-BQ247)</f>
        <v>2114</v>
      </c>
      <c r="BP248" s="334">
        <f t="shared" si="4165"/>
        <v>13</v>
      </c>
      <c r="BQ248" s="335">
        <v>39793</v>
      </c>
      <c r="BR248" s="336">
        <v>653</v>
      </c>
      <c r="BS248" s="316">
        <f t="shared" ref="BS248:BT248" si="4166">IF(ISBLANK(BU248),,BU248-BU247)</f>
        <v>454</v>
      </c>
      <c r="BT248" s="334">
        <f t="shared" si="4166"/>
        <v>5</v>
      </c>
      <c r="BU248" s="335">
        <v>12513</v>
      </c>
      <c r="BV248" s="336">
        <v>105</v>
      </c>
      <c r="BW248" s="233"/>
      <c r="BX248" s="233"/>
      <c r="BY248" s="233"/>
      <c r="BZ248" s="233"/>
      <c r="CA248" s="233"/>
      <c r="CB248" s="233"/>
      <c r="CC248" s="233"/>
      <c r="CD248" s="233"/>
      <c r="CE248" s="233"/>
    </row>
    <row r="249" spans="1:83" x14ac:dyDescent="0.25">
      <c r="A249" s="313">
        <v>44139</v>
      </c>
      <c r="B249" s="314">
        <f t="shared" si="1276"/>
        <v>246</v>
      </c>
      <c r="C249" s="315"/>
      <c r="D249" s="316">
        <v>24692</v>
      </c>
      <c r="E249" s="317">
        <v>372</v>
      </c>
      <c r="F249" s="318">
        <v>168960</v>
      </c>
      <c r="G249" s="319"/>
      <c r="H249" s="330">
        <f t="shared" ref="H249:I249" si="4167">IF(ISBLANK(D249),,H248+D249)</f>
        <v>439536</v>
      </c>
      <c r="I249" s="331">
        <f t="shared" si="4167"/>
        <v>6474</v>
      </c>
      <c r="J249" s="332">
        <f t="shared" si="1"/>
        <v>8974</v>
      </c>
      <c r="K249" s="333">
        <f t="shared" ref="K249:L249" si="4168">IF(ISBLANK(M249),,M249-M248)</f>
        <v>2324</v>
      </c>
      <c r="L249" s="334">
        <f t="shared" si="4168"/>
        <v>29</v>
      </c>
      <c r="M249" s="335">
        <v>24499</v>
      </c>
      <c r="N249" s="336">
        <v>415</v>
      </c>
      <c r="O249" s="337">
        <f t="shared" ref="O249:P249" si="4169">IF(ISBLANK(Q249),,Q249-Q248)</f>
        <v>1429</v>
      </c>
      <c r="P249" s="338">
        <f t="shared" si="4169"/>
        <v>11</v>
      </c>
      <c r="Q249" s="335">
        <v>26807</v>
      </c>
      <c r="R249" s="339">
        <v>199</v>
      </c>
      <c r="S249" s="316">
        <f t="shared" ref="S249:T249" si="4170">IF(ISBLANK(U249),,U249-U248)</f>
        <v>1543</v>
      </c>
      <c r="T249" s="334">
        <f t="shared" si="4170"/>
        <v>32</v>
      </c>
      <c r="U249" s="335">
        <v>23047</v>
      </c>
      <c r="V249" s="336">
        <v>309</v>
      </c>
      <c r="W249" s="337">
        <f t="shared" ref="W249:X249" si="4171">IF(ISBLANK(Y249),,Y249-Y248)</f>
        <v>434</v>
      </c>
      <c r="X249" s="334">
        <f t="shared" si="4171"/>
        <v>22</v>
      </c>
      <c r="Y249" s="335">
        <v>8325</v>
      </c>
      <c r="Z249" s="340">
        <v>95</v>
      </c>
      <c r="AA249" s="316">
        <f t="shared" ref="AA249:AB249" si="4172">IF(ISBLANK(AC249),,AC249-AC248)</f>
        <v>1766</v>
      </c>
      <c r="AB249" s="334">
        <f t="shared" si="4172"/>
        <v>11</v>
      </c>
      <c r="AC249" s="335">
        <v>33208</v>
      </c>
      <c r="AD249" s="336">
        <v>448</v>
      </c>
      <c r="AE249" s="337">
        <f t="shared" ref="AE249:AF249" si="4173">IF(ISBLANK(AG249),,AG249-AG248)</f>
        <v>2245</v>
      </c>
      <c r="AF249" s="334">
        <f t="shared" si="4173"/>
        <v>61</v>
      </c>
      <c r="AG249" s="335">
        <v>50815</v>
      </c>
      <c r="AH249" s="339">
        <v>746</v>
      </c>
      <c r="AI249" s="316">
        <f t="shared" ref="AI249:AJ249" si="4174">IF(ISBLANK(AK249),,AK249-AK248)</f>
        <v>2797</v>
      </c>
      <c r="AJ249" s="334">
        <f t="shared" si="4174"/>
        <v>38</v>
      </c>
      <c r="AK249" s="335">
        <v>62282</v>
      </c>
      <c r="AL249" s="336">
        <v>841</v>
      </c>
      <c r="AM249" s="337">
        <f t="shared" ref="AM249:AN249" si="4175">IF(ISBLANK(AO249),,AO249-AO248)</f>
        <v>644</v>
      </c>
      <c r="AN249" s="334">
        <f t="shared" si="4175"/>
        <v>10</v>
      </c>
      <c r="AO249" s="335">
        <v>12165</v>
      </c>
      <c r="AP249" s="339">
        <v>237</v>
      </c>
      <c r="AQ249" s="316">
        <f t="shared" ref="AQ249:AR249" si="4176">IF(ISBLANK(AS249),,AS249-AS248)</f>
        <v>1280</v>
      </c>
      <c r="AR249" s="338">
        <f t="shared" si="4176"/>
        <v>24</v>
      </c>
      <c r="AS249" s="335">
        <v>26082</v>
      </c>
      <c r="AT249" s="336">
        <v>496</v>
      </c>
      <c r="AU249" s="337">
        <f t="shared" ref="AU249:AV249" si="4177">IF(ISBLANK(AW249),,AW249-AW248)</f>
        <v>625</v>
      </c>
      <c r="AV249" s="334">
        <f t="shared" si="4177"/>
        <v>16</v>
      </c>
      <c r="AW249" s="335">
        <v>10853</v>
      </c>
      <c r="AX249" s="339">
        <v>159</v>
      </c>
      <c r="AY249" s="316">
        <f t="shared" ref="AY249:AZ249" si="4178">IF(ISBLANK(BA249),,BA249-BA248)</f>
        <v>1352</v>
      </c>
      <c r="AZ249" s="334">
        <f t="shared" si="4178"/>
        <v>12</v>
      </c>
      <c r="BA249" s="335">
        <v>25079</v>
      </c>
      <c r="BB249" s="336">
        <v>343</v>
      </c>
      <c r="BC249" s="337">
        <f t="shared" ref="BC249:BD249" si="4179">IF(ISBLANK(BE249),,BE249-BE248)</f>
        <v>2165</v>
      </c>
      <c r="BD249" s="334">
        <f t="shared" si="4179"/>
        <v>47</v>
      </c>
      <c r="BE249" s="335">
        <v>55184</v>
      </c>
      <c r="BF249" s="339">
        <v>1021</v>
      </c>
      <c r="BG249" s="316">
        <f t="shared" ref="BG249:BH249" si="4180">IF(ISBLANK(BI249),,BI249-BI248)</f>
        <v>767</v>
      </c>
      <c r="BH249" s="334">
        <f t="shared" si="4180"/>
        <v>26</v>
      </c>
      <c r="BI249" s="335">
        <v>13124</v>
      </c>
      <c r="BJ249" s="336">
        <v>253</v>
      </c>
      <c r="BK249" s="337">
        <f t="shared" ref="BK249:BL249" si="4181">IF(ISBLANK(BM249),,BM249-BM248)</f>
        <v>622</v>
      </c>
      <c r="BL249" s="334">
        <f t="shared" si="4181"/>
        <v>9</v>
      </c>
      <c r="BM249" s="335">
        <v>11061</v>
      </c>
      <c r="BN249" s="339">
        <v>130</v>
      </c>
      <c r="BO249" s="316">
        <f t="shared" ref="BO249:BP249" si="4182">IF(ISBLANK(BQ249),,BQ249-BQ248)</f>
        <v>3952</v>
      </c>
      <c r="BP249" s="334">
        <f t="shared" si="4182"/>
        <v>14</v>
      </c>
      <c r="BQ249" s="335">
        <v>43745</v>
      </c>
      <c r="BR249" s="336">
        <v>667</v>
      </c>
      <c r="BS249" s="316">
        <f t="shared" ref="BS249:BT249" si="4183">IF(ISBLANK(BU249),,BU249-BU248)</f>
        <v>747</v>
      </c>
      <c r="BT249" s="334">
        <f t="shared" si="4183"/>
        <v>10</v>
      </c>
      <c r="BU249" s="335">
        <v>13260</v>
      </c>
      <c r="BV249" s="336">
        <v>115</v>
      </c>
      <c r="BW249" s="233"/>
      <c r="BX249" s="233"/>
      <c r="BY249" s="233"/>
      <c r="BZ249" s="233"/>
      <c r="CA249" s="233"/>
      <c r="CB249" s="233"/>
      <c r="CC249" s="233"/>
      <c r="CD249" s="233"/>
      <c r="CE249" s="233"/>
    </row>
    <row r="250" spans="1:83" x14ac:dyDescent="0.25">
      <c r="A250" s="313">
        <v>44140</v>
      </c>
      <c r="B250" s="314">
        <f t="shared" si="1276"/>
        <v>247</v>
      </c>
      <c r="C250" s="315"/>
      <c r="D250" s="316">
        <v>27143</v>
      </c>
      <c r="E250" s="317">
        <v>367</v>
      </c>
      <c r="F250" s="318">
        <v>177681</v>
      </c>
      <c r="G250" s="319"/>
      <c r="H250" s="330">
        <f t="shared" ref="H250:I250" si="4184">IF(ISBLANK(D250),,H249+D250)</f>
        <v>466679</v>
      </c>
      <c r="I250" s="331">
        <f t="shared" si="4184"/>
        <v>6841</v>
      </c>
      <c r="J250" s="332">
        <f t="shared" si="1"/>
        <v>8721</v>
      </c>
      <c r="K250" s="333">
        <f t="shared" ref="K250:L250" si="4185">IF(ISBLANK(M250),,M250-M249)</f>
        <v>2451</v>
      </c>
      <c r="L250" s="334">
        <f t="shared" si="4185"/>
        <v>42</v>
      </c>
      <c r="M250" s="335">
        <v>26950</v>
      </c>
      <c r="N250" s="336">
        <v>457</v>
      </c>
      <c r="O250" s="337">
        <f t="shared" ref="O250:P250" si="4186">IF(ISBLANK(Q250),,Q250-Q249)</f>
        <v>1663</v>
      </c>
      <c r="P250" s="338">
        <f t="shared" si="4186"/>
        <v>9</v>
      </c>
      <c r="Q250" s="335">
        <v>28470</v>
      </c>
      <c r="R250" s="339">
        <v>208</v>
      </c>
      <c r="S250" s="316">
        <f t="shared" ref="S250:T250" si="4187">IF(ISBLANK(U250),,U250-U249)</f>
        <v>805</v>
      </c>
      <c r="T250" s="334">
        <f t="shared" si="4187"/>
        <v>24</v>
      </c>
      <c r="U250" s="335">
        <v>23852</v>
      </c>
      <c r="V250" s="336">
        <v>333</v>
      </c>
      <c r="W250" s="337">
        <f t="shared" ref="W250:X250" si="4188">IF(ISBLANK(Y250),,Y250-Y249)</f>
        <v>578</v>
      </c>
      <c r="X250" s="334">
        <f t="shared" si="4188"/>
        <v>9</v>
      </c>
      <c r="Y250" s="335">
        <v>8903</v>
      </c>
      <c r="Z250" s="340">
        <v>104</v>
      </c>
      <c r="AA250" s="316">
        <f t="shared" ref="AA250:AB250" si="4189">IF(ISBLANK(AC250),,AC250-AC249)</f>
        <v>1713</v>
      </c>
      <c r="AB250" s="334">
        <f t="shared" si="4189"/>
        <v>29</v>
      </c>
      <c r="AC250" s="335">
        <v>34921</v>
      </c>
      <c r="AD250" s="336">
        <v>477</v>
      </c>
      <c r="AE250" s="337">
        <f t="shared" ref="AE250:AF250" si="4190">IF(ISBLANK(AG250),,AG250-AG249)</f>
        <v>2342</v>
      </c>
      <c r="AF250" s="334">
        <f t="shared" si="4190"/>
        <v>36</v>
      </c>
      <c r="AG250" s="335">
        <v>53157</v>
      </c>
      <c r="AH250" s="339">
        <v>782</v>
      </c>
      <c r="AI250" s="316">
        <f t="shared" ref="AI250:AJ250" si="4191">IF(ISBLANK(AK250),,AK250-AK249)</f>
        <v>2932</v>
      </c>
      <c r="AJ250" s="334">
        <f t="shared" si="4191"/>
        <v>38</v>
      </c>
      <c r="AK250" s="335">
        <v>65214</v>
      </c>
      <c r="AL250" s="336">
        <v>879</v>
      </c>
      <c r="AM250" s="337">
        <f t="shared" ref="AM250:AN250" si="4192">IF(ISBLANK(AO250),,AO250-AO249)</f>
        <v>714</v>
      </c>
      <c r="AN250" s="334">
        <f t="shared" si="4192"/>
        <v>19</v>
      </c>
      <c r="AO250" s="335">
        <v>12879</v>
      </c>
      <c r="AP250" s="339">
        <v>256</v>
      </c>
      <c r="AQ250" s="316">
        <f t="shared" ref="AQ250:AR250" si="4193">IF(ISBLANK(AS250),,AS250-AS249)</f>
        <v>1553</v>
      </c>
      <c r="AR250" s="338">
        <f t="shared" si="4193"/>
        <v>27</v>
      </c>
      <c r="AS250" s="335">
        <v>27635</v>
      </c>
      <c r="AT250" s="336">
        <v>523</v>
      </c>
      <c r="AU250" s="337">
        <f t="shared" ref="AU250:AV250" si="4194">IF(ISBLANK(AW250),,AW250-AW249)</f>
        <v>902</v>
      </c>
      <c r="AV250" s="334">
        <f t="shared" si="4194"/>
        <v>5</v>
      </c>
      <c r="AW250" s="335">
        <v>11755</v>
      </c>
      <c r="AX250" s="339">
        <v>164</v>
      </c>
      <c r="AY250" s="316">
        <f t="shared" ref="AY250:AZ250" si="4195">IF(ISBLANK(BA250),,BA250-BA249)</f>
        <v>1141</v>
      </c>
      <c r="AZ250" s="334">
        <f t="shared" si="4195"/>
        <v>20</v>
      </c>
      <c r="BA250" s="335">
        <v>26220</v>
      </c>
      <c r="BB250" s="336">
        <v>363</v>
      </c>
      <c r="BC250" s="337">
        <f t="shared" ref="BC250:BD250" si="4196">IF(ISBLANK(BE250),,BE250-BE249)</f>
        <v>3850</v>
      </c>
      <c r="BD250" s="334">
        <f t="shared" si="4196"/>
        <v>48</v>
      </c>
      <c r="BE250" s="335">
        <v>59034</v>
      </c>
      <c r="BF250" s="339">
        <v>1069</v>
      </c>
      <c r="BG250" s="316">
        <f t="shared" ref="BG250:BH250" si="4197">IF(ISBLANK(BI250),,BI250-BI249)</f>
        <v>950</v>
      </c>
      <c r="BH250" s="334">
        <f t="shared" si="4197"/>
        <v>17</v>
      </c>
      <c r="BI250" s="335">
        <v>14074</v>
      </c>
      <c r="BJ250" s="336">
        <v>270</v>
      </c>
      <c r="BK250" s="337">
        <f t="shared" ref="BK250:BL250" si="4198">IF(ISBLANK(BM250),,BM250-BM249)</f>
        <v>795</v>
      </c>
      <c r="BL250" s="334">
        <f t="shared" si="4198"/>
        <v>8</v>
      </c>
      <c r="BM250" s="335">
        <v>11856</v>
      </c>
      <c r="BN250" s="339">
        <v>138</v>
      </c>
      <c r="BO250" s="316">
        <f t="shared" ref="BO250:BP250" si="4199">IF(ISBLANK(BQ250),,BQ250-BQ249)</f>
        <v>3888</v>
      </c>
      <c r="BP250" s="334">
        <f t="shared" si="4199"/>
        <v>25</v>
      </c>
      <c r="BQ250" s="335">
        <v>47633</v>
      </c>
      <c r="BR250" s="336">
        <v>692</v>
      </c>
      <c r="BS250" s="316">
        <f t="shared" ref="BS250:BT250" si="4200">IF(ISBLANK(BU250),,BU250-BU249)</f>
        <v>866</v>
      </c>
      <c r="BT250" s="334">
        <f t="shared" si="4200"/>
        <v>11</v>
      </c>
      <c r="BU250" s="335">
        <v>14126</v>
      </c>
      <c r="BV250" s="336">
        <v>126</v>
      </c>
      <c r="BW250" s="233"/>
      <c r="BX250" s="233"/>
      <c r="BY250" s="233"/>
      <c r="BZ250" s="233"/>
      <c r="CA250" s="233"/>
      <c r="CB250" s="233"/>
      <c r="CC250" s="233"/>
      <c r="CD250" s="233"/>
      <c r="CE250" s="233"/>
    </row>
    <row r="251" spans="1:83" x14ac:dyDescent="0.25">
      <c r="A251" s="313">
        <v>44141</v>
      </c>
      <c r="B251" s="314">
        <f t="shared" si="1276"/>
        <v>248</v>
      </c>
      <c r="C251" s="315"/>
      <c r="D251" s="316">
        <v>27086</v>
      </c>
      <c r="E251" s="317">
        <v>445</v>
      </c>
      <c r="F251" s="318">
        <v>188675</v>
      </c>
      <c r="G251" s="319"/>
      <c r="H251" s="330">
        <f t="shared" ref="H251:I251" si="4201">IF(ISBLANK(D251),,H250+D251)</f>
        <v>493765</v>
      </c>
      <c r="I251" s="331">
        <f t="shared" si="4201"/>
        <v>7286</v>
      </c>
      <c r="J251" s="332">
        <f t="shared" si="1"/>
        <v>10994</v>
      </c>
      <c r="K251" s="333">
        <f t="shared" ref="K251:L251" si="4202">IF(ISBLANK(M251),,M251-M250)</f>
        <v>2512</v>
      </c>
      <c r="L251" s="334">
        <f t="shared" si="4202"/>
        <v>39</v>
      </c>
      <c r="M251" s="335">
        <v>29462</v>
      </c>
      <c r="N251" s="336">
        <v>496</v>
      </c>
      <c r="O251" s="337">
        <f t="shared" ref="O251:P251" si="4203">IF(ISBLANK(Q251),,Q251-Q250)</f>
        <v>1952</v>
      </c>
      <c r="P251" s="338">
        <f t="shared" si="4203"/>
        <v>4</v>
      </c>
      <c r="Q251" s="335">
        <v>30422</v>
      </c>
      <c r="R251" s="339">
        <v>212</v>
      </c>
      <c r="S251" s="316">
        <f t="shared" ref="S251:T251" si="4204">IF(ISBLANK(U251),,U251-U250)</f>
        <v>1542</v>
      </c>
      <c r="T251" s="334">
        <f t="shared" si="4204"/>
        <v>39</v>
      </c>
      <c r="U251" s="335">
        <v>25394</v>
      </c>
      <c r="V251" s="336">
        <v>372</v>
      </c>
      <c r="W251" s="337">
        <f t="shared" ref="W251:X251" si="4205">IF(ISBLANK(Y251),,Y251-Y250)</f>
        <v>497</v>
      </c>
      <c r="X251" s="334">
        <f t="shared" si="4205"/>
        <v>19</v>
      </c>
      <c r="Y251" s="335">
        <v>9400</v>
      </c>
      <c r="Z251" s="340">
        <v>123</v>
      </c>
      <c r="AA251" s="316">
        <f t="shared" ref="AA251:AB251" si="4206">IF(ISBLANK(AC251),,AC251-AC250)</f>
        <v>1593</v>
      </c>
      <c r="AB251" s="334">
        <f t="shared" si="4206"/>
        <v>10</v>
      </c>
      <c r="AC251" s="335">
        <v>36514</v>
      </c>
      <c r="AD251" s="336">
        <v>487</v>
      </c>
      <c r="AE251" s="337">
        <f t="shared" ref="AE251:AF251" si="4207">IF(ISBLANK(AG251),,AG251-AG250)</f>
        <v>2815</v>
      </c>
      <c r="AF251" s="334">
        <f t="shared" si="4207"/>
        <v>77</v>
      </c>
      <c r="AG251" s="335">
        <v>55972</v>
      </c>
      <c r="AH251" s="339">
        <v>859</v>
      </c>
      <c r="AI251" s="316">
        <f t="shared" ref="AI251:AJ251" si="4208">IF(ISBLANK(AK251),,AK251-AK250)</f>
        <v>2951</v>
      </c>
      <c r="AJ251" s="334">
        <f t="shared" si="4208"/>
        <v>43</v>
      </c>
      <c r="AK251" s="335">
        <v>68165</v>
      </c>
      <c r="AL251" s="336">
        <v>922</v>
      </c>
      <c r="AM251" s="337">
        <f t="shared" ref="AM251:AN251" si="4209">IF(ISBLANK(AO251),,AO251-AO250)</f>
        <v>739</v>
      </c>
      <c r="AN251" s="334">
        <f t="shared" si="4209"/>
        <v>19</v>
      </c>
      <c r="AO251" s="335">
        <v>13618</v>
      </c>
      <c r="AP251" s="339">
        <v>275</v>
      </c>
      <c r="AQ251" s="316">
        <f t="shared" ref="AQ251:AR251" si="4210">IF(ISBLANK(AS251),,AS251-AS250)</f>
        <v>1707</v>
      </c>
      <c r="AR251" s="338">
        <f t="shared" si="4210"/>
        <v>27</v>
      </c>
      <c r="AS251" s="335">
        <v>29342</v>
      </c>
      <c r="AT251" s="336">
        <v>550</v>
      </c>
      <c r="AU251" s="337">
        <f t="shared" ref="AU251:AV251" si="4211">IF(ISBLANK(AW251),,AW251-AW250)</f>
        <v>580</v>
      </c>
      <c r="AV251" s="334">
        <f t="shared" si="4211"/>
        <v>15</v>
      </c>
      <c r="AW251" s="335">
        <v>12335</v>
      </c>
      <c r="AX251" s="339">
        <v>179</v>
      </c>
      <c r="AY251" s="316">
        <f t="shared" ref="AY251:AZ251" si="4212">IF(ISBLANK(BA251),,BA251-BA250)</f>
        <v>1451</v>
      </c>
      <c r="AZ251" s="334">
        <f t="shared" si="4212"/>
        <v>13</v>
      </c>
      <c r="BA251" s="335">
        <v>27671</v>
      </c>
      <c r="BB251" s="336">
        <v>376</v>
      </c>
      <c r="BC251" s="337">
        <f t="shared" ref="BC251:BD251" si="4213">IF(ISBLANK(BE251),,BE251-BE250)</f>
        <v>3942</v>
      </c>
      <c r="BD251" s="334">
        <f t="shared" si="4213"/>
        <v>59</v>
      </c>
      <c r="BE251" s="335">
        <v>62976</v>
      </c>
      <c r="BF251" s="339">
        <v>1128</v>
      </c>
      <c r="BG251" s="316">
        <f t="shared" ref="BG251:BH251" si="4214">IF(ISBLANK(BI251),,BI251-BI250)</f>
        <v>1013</v>
      </c>
      <c r="BH251" s="334">
        <f t="shared" si="4214"/>
        <v>16</v>
      </c>
      <c r="BI251" s="335">
        <v>15087</v>
      </c>
      <c r="BJ251" s="336">
        <v>286</v>
      </c>
      <c r="BK251" s="337">
        <f t="shared" ref="BK251:BL251" si="4215">IF(ISBLANK(BM251),,BM251-BM250)</f>
        <v>826</v>
      </c>
      <c r="BL251" s="334">
        <f t="shared" si="4215"/>
        <v>23</v>
      </c>
      <c r="BM251" s="335">
        <v>12682</v>
      </c>
      <c r="BN251" s="339">
        <v>161</v>
      </c>
      <c r="BO251" s="316">
        <f t="shared" ref="BO251:BP251" si="4216">IF(ISBLANK(BQ251),,BQ251-BQ250)</f>
        <v>2063</v>
      </c>
      <c r="BP251" s="334">
        <f t="shared" si="4216"/>
        <v>26</v>
      </c>
      <c r="BQ251" s="335">
        <v>49696</v>
      </c>
      <c r="BR251" s="336">
        <v>718</v>
      </c>
      <c r="BS251" s="316">
        <f t="shared" ref="BS251:BT251" si="4217">IF(ISBLANK(BU251),,BU251-BU250)</f>
        <v>903</v>
      </c>
      <c r="BT251" s="334">
        <f t="shared" si="4217"/>
        <v>16</v>
      </c>
      <c r="BU251" s="335">
        <v>15029</v>
      </c>
      <c r="BV251" s="336">
        <v>142</v>
      </c>
      <c r="BW251" s="233"/>
      <c r="BX251" s="233"/>
      <c r="BY251" s="233"/>
      <c r="BZ251" s="233"/>
      <c r="CA251" s="233"/>
      <c r="CB251" s="233"/>
      <c r="CC251" s="233"/>
      <c r="CD251" s="233"/>
      <c r="CE251" s="233"/>
    </row>
    <row r="252" spans="1:83" x14ac:dyDescent="0.25">
      <c r="A252" s="313">
        <v>44142</v>
      </c>
      <c r="B252" s="314">
        <f t="shared" si="1276"/>
        <v>249</v>
      </c>
      <c r="C252" s="315"/>
      <c r="D252" s="316">
        <v>27875</v>
      </c>
      <c r="E252" s="317">
        <v>349</v>
      </c>
      <c r="F252" s="318">
        <v>200510</v>
      </c>
      <c r="G252" s="319"/>
      <c r="H252" s="330">
        <f t="shared" ref="H252:I252" si="4218">IF(ISBLANK(D252),,H251+D252)</f>
        <v>521640</v>
      </c>
      <c r="I252" s="331">
        <f t="shared" si="4218"/>
        <v>7635</v>
      </c>
      <c r="J252" s="332">
        <f t="shared" si="1"/>
        <v>11835</v>
      </c>
      <c r="K252" s="333">
        <f t="shared" ref="K252:L252" si="4219">IF(ISBLANK(M252),,M252-M251)</f>
        <v>2045</v>
      </c>
      <c r="L252" s="334">
        <f t="shared" si="4219"/>
        <v>16</v>
      </c>
      <c r="M252" s="335">
        <v>31507</v>
      </c>
      <c r="N252" s="336">
        <v>512</v>
      </c>
      <c r="O252" s="337">
        <f t="shared" ref="O252:P252" si="4220">IF(ISBLANK(Q252),,Q252-Q251)</f>
        <v>1809</v>
      </c>
      <c r="P252" s="338">
        <f t="shared" si="4220"/>
        <v>6</v>
      </c>
      <c r="Q252" s="335">
        <v>32231</v>
      </c>
      <c r="R252" s="339">
        <v>218</v>
      </c>
      <c r="S252" s="316">
        <f t="shared" ref="S252:T252" si="4221">IF(ISBLANK(U252),,U252-U251)</f>
        <v>1794</v>
      </c>
      <c r="T252" s="334">
        <f t="shared" si="4221"/>
        <v>33</v>
      </c>
      <c r="U252" s="335">
        <v>27188</v>
      </c>
      <c r="V252" s="336">
        <v>405</v>
      </c>
      <c r="W252" s="337">
        <f t="shared" ref="W252:X252" si="4222">IF(ISBLANK(Y252),,Y252-Y251)</f>
        <v>510</v>
      </c>
      <c r="X252" s="334">
        <f t="shared" si="4222"/>
        <v>20</v>
      </c>
      <c r="Y252" s="335">
        <v>9910</v>
      </c>
      <c r="Z252" s="340">
        <v>143</v>
      </c>
      <c r="AA252" s="316">
        <f t="shared" ref="AA252:AB252" si="4223">IF(ISBLANK(AC252),,AC252-AC251)</f>
        <v>1549</v>
      </c>
      <c r="AB252" s="334">
        <f t="shared" si="4223"/>
        <v>20</v>
      </c>
      <c r="AC252" s="335">
        <v>38063</v>
      </c>
      <c r="AD252" s="336">
        <v>507</v>
      </c>
      <c r="AE252" s="337">
        <f t="shared" ref="AE252:AF252" si="4224">IF(ISBLANK(AG252),,AG252-AG251)</f>
        <v>2450</v>
      </c>
      <c r="AF252" s="334">
        <f t="shared" si="4224"/>
        <v>27</v>
      </c>
      <c r="AG252" s="335">
        <v>58422</v>
      </c>
      <c r="AH252" s="339">
        <v>886</v>
      </c>
      <c r="AI252" s="316">
        <f t="shared" ref="AI252:AJ252" si="4225">IF(ISBLANK(AK252),,AK252-AK251)</f>
        <v>2998</v>
      </c>
      <c r="AJ252" s="334">
        <f t="shared" si="4225"/>
        <v>56</v>
      </c>
      <c r="AK252" s="335">
        <v>71163</v>
      </c>
      <c r="AL252" s="336">
        <v>978</v>
      </c>
      <c r="AM252" s="337">
        <f t="shared" ref="AM252:AN252" si="4226">IF(ISBLANK(AO252),,AO252-AO251)</f>
        <v>765</v>
      </c>
      <c r="AN252" s="334">
        <f t="shared" si="4226"/>
        <v>14</v>
      </c>
      <c r="AO252" s="335">
        <v>14383</v>
      </c>
      <c r="AP252" s="339">
        <v>289</v>
      </c>
      <c r="AQ252" s="316">
        <f t="shared" ref="AQ252:AR252" si="4227">IF(ISBLANK(AS252),,AS252-AS251)</f>
        <v>1946</v>
      </c>
      <c r="AR252" s="338">
        <f t="shared" si="4227"/>
        <v>27</v>
      </c>
      <c r="AS252" s="335">
        <v>31288</v>
      </c>
      <c r="AT252" s="336">
        <v>577</v>
      </c>
      <c r="AU252" s="337">
        <f t="shared" ref="AU252:AV252" si="4228">IF(ISBLANK(AW252),,AW252-AW251)</f>
        <v>615</v>
      </c>
      <c r="AV252" s="334">
        <f t="shared" si="4228"/>
        <v>10</v>
      </c>
      <c r="AW252" s="335">
        <v>12950</v>
      </c>
      <c r="AX252" s="339">
        <v>189</v>
      </c>
      <c r="AY252" s="316">
        <f t="shared" ref="AY252:AZ252" si="4229">IF(ISBLANK(BA252),,BA252-BA251)</f>
        <v>1671</v>
      </c>
      <c r="AZ252" s="334">
        <f t="shared" si="4229"/>
        <v>15</v>
      </c>
      <c r="BA252" s="335">
        <v>29342</v>
      </c>
      <c r="BB252" s="336">
        <v>391</v>
      </c>
      <c r="BC252" s="337">
        <f t="shared" ref="BC252:BD252" si="4230">IF(ISBLANK(BE252),,BE252-BE251)</f>
        <v>4290</v>
      </c>
      <c r="BD252" s="334">
        <f t="shared" si="4230"/>
        <v>26</v>
      </c>
      <c r="BE252" s="335">
        <v>67266</v>
      </c>
      <c r="BF252" s="339">
        <v>1154</v>
      </c>
      <c r="BG252" s="316">
        <f t="shared" ref="BG252:BH252" si="4231">IF(ISBLANK(BI252),,BI252-BI251)</f>
        <v>1231</v>
      </c>
      <c r="BH252" s="334">
        <f t="shared" si="4231"/>
        <v>13</v>
      </c>
      <c r="BI252" s="335">
        <v>16318</v>
      </c>
      <c r="BJ252" s="336">
        <v>299</v>
      </c>
      <c r="BK252" s="337">
        <f t="shared" ref="BK252:BL252" si="4232">IF(ISBLANK(BM252),,BM252-BM251)</f>
        <v>679</v>
      </c>
      <c r="BL252" s="334">
        <f t="shared" si="4232"/>
        <v>8</v>
      </c>
      <c r="BM252" s="335">
        <v>13361</v>
      </c>
      <c r="BN252" s="339">
        <v>169</v>
      </c>
      <c r="BO252" s="316">
        <f t="shared" ref="BO252:BP252" si="4233">IF(ISBLANK(BQ252),,BQ252-BQ251)</f>
        <v>2451</v>
      </c>
      <c r="BP252" s="334">
        <f t="shared" si="4233"/>
        <v>30</v>
      </c>
      <c r="BQ252" s="335">
        <v>52147</v>
      </c>
      <c r="BR252" s="336">
        <v>748</v>
      </c>
      <c r="BS252" s="316">
        <f t="shared" ref="BS252:BT252" si="4234">IF(ISBLANK(BU252),,BU252-BU251)</f>
        <v>1072</v>
      </c>
      <c r="BT252" s="334">
        <f t="shared" si="4234"/>
        <v>28</v>
      </c>
      <c r="BU252" s="335">
        <v>16101</v>
      </c>
      <c r="BV252" s="336">
        <v>170</v>
      </c>
      <c r="BW252" s="233"/>
      <c r="BX252" s="233"/>
      <c r="BY252" s="233"/>
      <c r="BZ252" s="233"/>
      <c r="CA252" s="233"/>
      <c r="CB252" s="233"/>
      <c r="CC252" s="233"/>
      <c r="CD252" s="233"/>
      <c r="CE252" s="233"/>
    </row>
    <row r="253" spans="1:83" x14ac:dyDescent="0.25">
      <c r="A253" s="313">
        <v>44143</v>
      </c>
      <c r="B253" s="314">
        <f t="shared" si="1276"/>
        <v>250</v>
      </c>
      <c r="C253" s="315"/>
      <c r="D253" s="316">
        <v>24785</v>
      </c>
      <c r="E253" s="317">
        <v>236</v>
      </c>
      <c r="F253" s="318">
        <v>209363</v>
      </c>
      <c r="G253" s="319"/>
      <c r="H253" s="330">
        <f t="shared" ref="H253:I253" si="4235">IF(ISBLANK(D253),,H252+D253)</f>
        <v>546425</v>
      </c>
      <c r="I253" s="331">
        <f t="shared" si="4235"/>
        <v>7871</v>
      </c>
      <c r="J253" s="332">
        <f t="shared" si="1"/>
        <v>8853</v>
      </c>
      <c r="K253" s="333">
        <f t="shared" ref="K253:L253" si="4236">IF(ISBLANK(M253),,M253-M252)</f>
        <v>1799</v>
      </c>
      <c r="L253" s="334">
        <f t="shared" si="4236"/>
        <v>6</v>
      </c>
      <c r="M253" s="335">
        <v>33306</v>
      </c>
      <c r="N253" s="336">
        <v>518</v>
      </c>
      <c r="O253" s="337">
        <f t="shared" ref="O253:P253" si="4237">IF(ISBLANK(Q253),,Q253-Q252)</f>
        <v>1439</v>
      </c>
      <c r="P253" s="338">
        <f t="shared" si="4237"/>
        <v>6</v>
      </c>
      <c r="Q253" s="335">
        <v>33670</v>
      </c>
      <c r="R253" s="339">
        <v>224</v>
      </c>
      <c r="S253" s="316">
        <f t="shared" ref="S253:T253" si="4238">IF(ISBLANK(U253),,U253-U252)</f>
        <v>1728</v>
      </c>
      <c r="T253" s="334">
        <f t="shared" si="4238"/>
        <v>19</v>
      </c>
      <c r="U253" s="335">
        <v>28916</v>
      </c>
      <c r="V253" s="336">
        <v>424</v>
      </c>
      <c r="W253" s="337">
        <f t="shared" ref="W253:X253" si="4239">IF(ISBLANK(Y253),,Y253-Y252)</f>
        <v>470</v>
      </c>
      <c r="X253" s="334">
        <f t="shared" si="4239"/>
        <v>7</v>
      </c>
      <c r="Y253" s="335">
        <v>10380</v>
      </c>
      <c r="Z253" s="340">
        <v>150</v>
      </c>
      <c r="AA253" s="316">
        <f t="shared" ref="AA253:AB253" si="4240">IF(ISBLANK(AC253),,AC253-AC252)</f>
        <v>1576</v>
      </c>
      <c r="AB253" s="334">
        <f t="shared" si="4240"/>
        <v>8</v>
      </c>
      <c r="AC253" s="335">
        <v>39639</v>
      </c>
      <c r="AD253" s="336">
        <v>515</v>
      </c>
      <c r="AE253" s="337">
        <f t="shared" ref="AE253:AF253" si="4241">IF(ISBLANK(AG253),,AG253-AG252)</f>
        <v>2806</v>
      </c>
      <c r="AF253" s="334">
        <f t="shared" si="4241"/>
        <v>35</v>
      </c>
      <c r="AG253" s="335">
        <v>61228</v>
      </c>
      <c r="AH253" s="339">
        <v>921</v>
      </c>
      <c r="AI253" s="316">
        <f t="shared" ref="AI253:AJ253" si="4242">IF(ISBLANK(AK253),,AK253-AK252)</f>
        <v>2099</v>
      </c>
      <c r="AJ253" s="334">
        <f t="shared" si="4242"/>
        <v>52</v>
      </c>
      <c r="AK253" s="335">
        <v>73262</v>
      </c>
      <c r="AL253" s="336">
        <v>1030</v>
      </c>
      <c r="AM253" s="337">
        <f t="shared" ref="AM253:AN253" si="4243">IF(ISBLANK(AO253),,AO253-AO252)</f>
        <v>858</v>
      </c>
      <c r="AN253" s="334">
        <f t="shared" si="4243"/>
        <v>1</v>
      </c>
      <c r="AO253" s="335">
        <v>15241</v>
      </c>
      <c r="AP253" s="339">
        <v>290</v>
      </c>
      <c r="AQ253" s="316">
        <f t="shared" ref="AQ253:AR253" si="4244">IF(ISBLANK(AS253),,AS253-AS252)</f>
        <v>1822</v>
      </c>
      <c r="AR253" s="338">
        <f t="shared" si="4244"/>
        <v>19</v>
      </c>
      <c r="AS253" s="335">
        <v>33110</v>
      </c>
      <c r="AT253" s="336">
        <v>596</v>
      </c>
      <c r="AU253" s="337">
        <f t="shared" ref="AU253:AV253" si="4245">IF(ISBLANK(AW253),,AW253-AW252)</f>
        <v>1053</v>
      </c>
      <c r="AV253" s="334">
        <f t="shared" si="4245"/>
        <v>0</v>
      </c>
      <c r="AW253" s="335">
        <v>14003</v>
      </c>
      <c r="AX253" s="339">
        <v>189</v>
      </c>
      <c r="AY253" s="316">
        <f t="shared" ref="AY253:AZ253" si="4246">IF(ISBLANK(BA253),,BA253-BA252)</f>
        <v>1335</v>
      </c>
      <c r="AZ253" s="334">
        <f t="shared" si="4246"/>
        <v>12</v>
      </c>
      <c r="BA253" s="335">
        <v>30677</v>
      </c>
      <c r="BB253" s="336">
        <v>403</v>
      </c>
      <c r="BC253" s="337">
        <f t="shared" ref="BC253:BD253" si="4247">IF(ISBLANK(BE253),,BE253-BE252)</f>
        <v>4245</v>
      </c>
      <c r="BD253" s="334">
        <f t="shared" si="4247"/>
        <v>15</v>
      </c>
      <c r="BE253" s="335">
        <v>71511</v>
      </c>
      <c r="BF253" s="339">
        <v>1169</v>
      </c>
      <c r="BG253" s="316">
        <f t="shared" ref="BG253:BH253" si="4248">IF(ISBLANK(BI253),,BI253-BI252)</f>
        <v>429</v>
      </c>
      <c r="BH253" s="334">
        <f t="shared" si="4248"/>
        <v>11</v>
      </c>
      <c r="BI253" s="335">
        <v>16747</v>
      </c>
      <c r="BJ253" s="336">
        <v>310</v>
      </c>
      <c r="BK253" s="337">
        <f t="shared" ref="BK253:BL253" si="4249">IF(ISBLANK(BM253),,BM253-BM252)</f>
        <v>558</v>
      </c>
      <c r="BL253" s="334">
        <f t="shared" si="4249"/>
        <v>9</v>
      </c>
      <c r="BM253" s="335">
        <v>13919</v>
      </c>
      <c r="BN253" s="339">
        <v>178</v>
      </c>
      <c r="BO253" s="316">
        <f t="shared" ref="BO253:BP253" si="4250">IF(ISBLANK(BQ253),,BQ253-BQ252)</f>
        <v>1845</v>
      </c>
      <c r="BP253" s="334">
        <f t="shared" si="4250"/>
        <v>28</v>
      </c>
      <c r="BQ253" s="335">
        <v>53992</v>
      </c>
      <c r="BR253" s="336">
        <v>776</v>
      </c>
      <c r="BS253" s="316">
        <f t="shared" ref="BS253:BT253" si="4251">IF(ISBLANK(BU253),,BU253-BU252)</f>
        <v>723</v>
      </c>
      <c r="BT253" s="334">
        <f t="shared" si="4251"/>
        <v>8</v>
      </c>
      <c r="BU253" s="335">
        <v>16824</v>
      </c>
      <c r="BV253" s="336">
        <v>178</v>
      </c>
      <c r="BW253" s="233"/>
      <c r="BX253" s="233"/>
      <c r="BY253" s="233"/>
      <c r="BZ253" s="233"/>
      <c r="CA253" s="233"/>
      <c r="CB253" s="233"/>
      <c r="CC253" s="233"/>
      <c r="CD253" s="233"/>
      <c r="CE253" s="233"/>
    </row>
    <row r="254" spans="1:83" x14ac:dyDescent="0.25">
      <c r="A254" s="313">
        <v>44144</v>
      </c>
      <c r="B254" s="314">
        <f t="shared" si="1276"/>
        <v>251</v>
      </c>
      <c r="C254" s="315"/>
      <c r="D254" s="316">
        <v>21713</v>
      </c>
      <c r="E254" s="317">
        <v>173</v>
      </c>
      <c r="F254" s="318">
        <v>219371</v>
      </c>
      <c r="G254" s="319"/>
      <c r="H254" s="330">
        <f t="shared" ref="H254:I254" si="4252">IF(ISBLANK(D254),,H253+D254)</f>
        <v>568138</v>
      </c>
      <c r="I254" s="331">
        <f t="shared" si="4252"/>
        <v>8044</v>
      </c>
      <c r="J254" s="332">
        <f t="shared" si="1"/>
        <v>10008</v>
      </c>
      <c r="K254" s="333">
        <f t="shared" ref="K254:L254" si="4253">IF(ISBLANK(M254),,M254-M253)</f>
        <v>1719</v>
      </c>
      <c r="L254" s="334">
        <f t="shared" si="4253"/>
        <v>11</v>
      </c>
      <c r="M254" s="335">
        <v>35025</v>
      </c>
      <c r="N254" s="336">
        <v>529</v>
      </c>
      <c r="O254" s="337">
        <f t="shared" ref="O254:P254" si="4254">IF(ISBLANK(Q254),,Q254-Q253)</f>
        <v>1018</v>
      </c>
      <c r="P254" s="338">
        <f t="shared" si="4254"/>
        <v>26</v>
      </c>
      <c r="Q254" s="335">
        <v>34688</v>
      </c>
      <c r="R254" s="339">
        <v>250</v>
      </c>
      <c r="S254" s="316">
        <f t="shared" ref="S254:T254" si="4255">IF(ISBLANK(U254),,U254-U253)</f>
        <v>1201</v>
      </c>
      <c r="T254" s="334">
        <f t="shared" si="4255"/>
        <v>15</v>
      </c>
      <c r="U254" s="335">
        <v>30117</v>
      </c>
      <c r="V254" s="336">
        <v>439</v>
      </c>
      <c r="W254" s="337">
        <f t="shared" ref="W254:X254" si="4256">IF(ISBLANK(Y254),,Y254-Y253)</f>
        <v>543</v>
      </c>
      <c r="X254" s="334">
        <f t="shared" si="4256"/>
        <v>4</v>
      </c>
      <c r="Y254" s="335">
        <v>10923</v>
      </c>
      <c r="Z254" s="340">
        <v>154</v>
      </c>
      <c r="AA254" s="316">
        <f t="shared" ref="AA254:AB254" si="4257">IF(ISBLANK(AC254),,AC254-AC253)</f>
        <v>1269</v>
      </c>
      <c r="AB254" s="334">
        <f t="shared" si="4257"/>
        <v>8</v>
      </c>
      <c r="AC254" s="335">
        <v>40908</v>
      </c>
      <c r="AD254" s="336">
        <v>523</v>
      </c>
      <c r="AE254" s="337">
        <f t="shared" ref="AE254:AF254" si="4258">IF(ISBLANK(AG254),,AG254-AG253)</f>
        <v>2650</v>
      </c>
      <c r="AF254" s="334">
        <f t="shared" si="4258"/>
        <v>9</v>
      </c>
      <c r="AG254" s="335">
        <v>63878</v>
      </c>
      <c r="AH254" s="339">
        <v>930</v>
      </c>
      <c r="AI254" s="316">
        <f t="shared" ref="AI254:AJ254" si="4259">IF(ISBLANK(AK254),,AK254-AK253)</f>
        <v>1630</v>
      </c>
      <c r="AJ254" s="334">
        <f t="shared" si="4259"/>
        <v>37</v>
      </c>
      <c r="AK254" s="335">
        <v>74892</v>
      </c>
      <c r="AL254" s="336">
        <v>1067</v>
      </c>
      <c r="AM254" s="337">
        <f t="shared" ref="AM254:AN254" si="4260">IF(ISBLANK(AO254),,AO254-AO253)</f>
        <v>591</v>
      </c>
      <c r="AN254" s="334">
        <f t="shared" si="4260"/>
        <v>1</v>
      </c>
      <c r="AO254" s="335">
        <v>15832</v>
      </c>
      <c r="AP254" s="339">
        <v>291</v>
      </c>
      <c r="AQ254" s="316">
        <f t="shared" ref="AQ254:AR254" si="4261">IF(ISBLANK(AS254),,AS254-AS253)</f>
        <v>1260</v>
      </c>
      <c r="AR254" s="338">
        <f t="shared" si="4261"/>
        <v>11</v>
      </c>
      <c r="AS254" s="335">
        <v>34370</v>
      </c>
      <c r="AT254" s="336">
        <v>607</v>
      </c>
      <c r="AU254" s="337">
        <f t="shared" ref="AU254:AV254" si="4262">IF(ISBLANK(AW254),,AW254-AW253)</f>
        <v>497</v>
      </c>
      <c r="AV254" s="334">
        <f t="shared" si="4262"/>
        <v>16</v>
      </c>
      <c r="AW254" s="335">
        <v>14500</v>
      </c>
      <c r="AX254" s="339">
        <v>205</v>
      </c>
      <c r="AY254" s="316">
        <f t="shared" ref="AY254:AZ254" si="4263">IF(ISBLANK(BA254),,BA254-BA253)</f>
        <v>1122</v>
      </c>
      <c r="AZ254" s="334">
        <f t="shared" si="4263"/>
        <v>4</v>
      </c>
      <c r="BA254" s="335">
        <v>31799</v>
      </c>
      <c r="BB254" s="336">
        <v>407</v>
      </c>
      <c r="BC254" s="337">
        <f t="shared" ref="BC254:BD254" si="4264">IF(ISBLANK(BE254),,BE254-BE253)</f>
        <v>4373</v>
      </c>
      <c r="BD254" s="334">
        <f t="shared" si="4264"/>
        <v>12</v>
      </c>
      <c r="BE254" s="335">
        <v>75884</v>
      </c>
      <c r="BF254" s="339">
        <v>1181</v>
      </c>
      <c r="BG254" s="316">
        <f t="shared" ref="BG254:BH254" si="4265">IF(ISBLANK(BI254),,BI254-BI253)</f>
        <v>344</v>
      </c>
      <c r="BH254" s="334">
        <f t="shared" si="4265"/>
        <v>2</v>
      </c>
      <c r="BI254" s="335">
        <v>17091</v>
      </c>
      <c r="BJ254" s="336">
        <v>312</v>
      </c>
      <c r="BK254" s="337">
        <f t="shared" ref="BK254:BL254" si="4266">IF(ISBLANK(BM254),,BM254-BM253)</f>
        <v>694</v>
      </c>
      <c r="BL254" s="334">
        <f t="shared" si="4266"/>
        <v>3</v>
      </c>
      <c r="BM254" s="335">
        <v>14613</v>
      </c>
      <c r="BN254" s="339">
        <v>181</v>
      </c>
      <c r="BO254" s="316">
        <f t="shared" ref="BO254:BP254" si="4267">IF(ISBLANK(BQ254),,BQ254-BQ253)</f>
        <v>1983</v>
      </c>
      <c r="BP254" s="334">
        <f t="shared" si="4267"/>
        <v>14</v>
      </c>
      <c r="BQ254" s="335">
        <v>55975</v>
      </c>
      <c r="BR254" s="336">
        <v>790</v>
      </c>
      <c r="BS254" s="316">
        <f t="shared" ref="BS254:BT254" si="4268">IF(ISBLANK(BU254),,BU254-BU253)</f>
        <v>819</v>
      </c>
      <c r="BT254" s="334">
        <f t="shared" si="4268"/>
        <v>0</v>
      </c>
      <c r="BU254" s="335">
        <v>17643</v>
      </c>
      <c r="BV254" s="336">
        <v>178</v>
      </c>
      <c r="BW254" s="233"/>
      <c r="BX254" s="233"/>
      <c r="BY254" s="233"/>
      <c r="BZ254" s="233"/>
      <c r="CA254" s="233"/>
      <c r="CB254" s="233"/>
      <c r="CC254" s="233"/>
      <c r="CD254" s="233"/>
      <c r="CE254" s="233"/>
    </row>
    <row r="255" spans="1:83" x14ac:dyDescent="0.25">
      <c r="A255" s="313">
        <v>44145</v>
      </c>
      <c r="B255" s="314">
        <f t="shared" si="1276"/>
        <v>252</v>
      </c>
      <c r="C255" s="315"/>
      <c r="D255" s="316">
        <v>25454</v>
      </c>
      <c r="E255" s="317">
        <v>330</v>
      </c>
      <c r="F255" s="318">
        <v>230661</v>
      </c>
      <c r="G255" s="319"/>
      <c r="H255" s="330">
        <f t="shared" ref="H255:I255" si="4269">IF(ISBLANK(D255),,H254+D255)</f>
        <v>593592</v>
      </c>
      <c r="I255" s="331">
        <f t="shared" si="4269"/>
        <v>8374</v>
      </c>
      <c r="J255" s="332">
        <f t="shared" si="1"/>
        <v>11290</v>
      </c>
      <c r="K255" s="333">
        <f t="shared" ref="K255:L255" si="4270">IF(ISBLANK(M255),,M255-M254)</f>
        <v>2541</v>
      </c>
      <c r="L255" s="334">
        <f t="shared" si="4270"/>
        <v>27</v>
      </c>
      <c r="M255" s="335">
        <v>37566</v>
      </c>
      <c r="N255" s="336">
        <v>556</v>
      </c>
      <c r="O255" s="337">
        <f t="shared" ref="O255:P255" si="4271">IF(ISBLANK(Q255),,Q255-Q254)</f>
        <v>1108</v>
      </c>
      <c r="P255" s="338">
        <f t="shared" si="4271"/>
        <v>16</v>
      </c>
      <c r="Q255" s="335">
        <v>35796</v>
      </c>
      <c r="R255" s="339">
        <v>266</v>
      </c>
      <c r="S255" s="316">
        <f t="shared" ref="S255:T255" si="4272">IF(ISBLANK(U255),,U255-U254)</f>
        <v>985</v>
      </c>
      <c r="T255" s="334">
        <f t="shared" si="4272"/>
        <v>15</v>
      </c>
      <c r="U255" s="335">
        <v>31102</v>
      </c>
      <c r="V255" s="336">
        <v>454</v>
      </c>
      <c r="W255" s="337">
        <f t="shared" ref="W255:X255" si="4273">IF(ISBLANK(Y255),,Y255-Y254)</f>
        <v>650</v>
      </c>
      <c r="X255" s="334">
        <f t="shared" si="4273"/>
        <v>3</v>
      </c>
      <c r="Y255" s="335">
        <v>11573</v>
      </c>
      <c r="Z255" s="340">
        <v>157</v>
      </c>
      <c r="AA255" s="316">
        <f t="shared" ref="AA255:AB255" si="4274">IF(ISBLANK(AC255),,AC255-AC254)</f>
        <v>1401</v>
      </c>
      <c r="AB255" s="334">
        <f t="shared" si="4274"/>
        <v>2</v>
      </c>
      <c r="AC255" s="335">
        <v>42309</v>
      </c>
      <c r="AD255" s="336">
        <v>525</v>
      </c>
      <c r="AE255" s="337">
        <f t="shared" ref="AE255:AF255" si="4275">IF(ISBLANK(AG255),,AG255-AG254)</f>
        <v>2697</v>
      </c>
      <c r="AF255" s="334">
        <f t="shared" si="4275"/>
        <v>36</v>
      </c>
      <c r="AG255" s="335">
        <v>66575</v>
      </c>
      <c r="AH255" s="339">
        <v>966</v>
      </c>
      <c r="AI255" s="316">
        <f t="shared" ref="AI255:AJ255" si="4276">IF(ISBLANK(AK255),,AK255-AK254)</f>
        <v>1982</v>
      </c>
      <c r="AJ255" s="334">
        <f t="shared" si="4276"/>
        <v>31</v>
      </c>
      <c r="AK255" s="335">
        <v>76874</v>
      </c>
      <c r="AL255" s="336">
        <v>1098</v>
      </c>
      <c r="AM255" s="337">
        <f t="shared" ref="AM255:AN255" si="4277">IF(ISBLANK(AO255),,AO255-AO254)</f>
        <v>762</v>
      </c>
      <c r="AN255" s="334">
        <f t="shared" si="4277"/>
        <v>26</v>
      </c>
      <c r="AO255" s="335">
        <v>16594</v>
      </c>
      <c r="AP255" s="339">
        <v>317</v>
      </c>
      <c r="AQ255" s="316">
        <f t="shared" ref="AQ255:AR255" si="4278">IF(ISBLANK(AS255),,AS255-AS254)</f>
        <v>1236</v>
      </c>
      <c r="AR255" s="338">
        <f t="shared" si="4278"/>
        <v>18</v>
      </c>
      <c r="AS255" s="335">
        <v>35606</v>
      </c>
      <c r="AT255" s="336">
        <v>625</v>
      </c>
      <c r="AU255" s="337">
        <f t="shared" ref="AU255:AV255" si="4279">IF(ISBLANK(AW255),,AW255-AW254)</f>
        <v>714</v>
      </c>
      <c r="AV255" s="334">
        <f t="shared" si="4279"/>
        <v>15</v>
      </c>
      <c r="AW255" s="335">
        <v>15214</v>
      </c>
      <c r="AX255" s="339">
        <v>220</v>
      </c>
      <c r="AY255" s="316">
        <f t="shared" ref="AY255:AZ255" si="4280">IF(ISBLANK(BA255),,BA255-BA254)</f>
        <v>1116</v>
      </c>
      <c r="AZ255" s="334">
        <f t="shared" si="4280"/>
        <v>33</v>
      </c>
      <c r="BA255" s="335">
        <v>32915</v>
      </c>
      <c r="BB255" s="336">
        <v>440</v>
      </c>
      <c r="BC255" s="337">
        <f t="shared" ref="BC255:BD255" si="4281">IF(ISBLANK(BE255),,BE255-BE254)</f>
        <v>4276</v>
      </c>
      <c r="BD255" s="334">
        <f t="shared" si="4281"/>
        <v>47</v>
      </c>
      <c r="BE255" s="335">
        <v>80160</v>
      </c>
      <c r="BF255" s="339">
        <v>1228</v>
      </c>
      <c r="BG255" s="316">
        <f t="shared" ref="BG255:BH255" si="4282">IF(ISBLANK(BI255),,BI255-BI254)</f>
        <v>753</v>
      </c>
      <c r="BH255" s="334">
        <f t="shared" si="4282"/>
        <v>12</v>
      </c>
      <c r="BI255" s="335">
        <v>17844</v>
      </c>
      <c r="BJ255" s="336">
        <v>324</v>
      </c>
      <c r="BK255" s="337">
        <f t="shared" ref="BK255:BL255" si="4283">IF(ISBLANK(BM255),,BM255-BM254)</f>
        <v>649</v>
      </c>
      <c r="BL255" s="334">
        <f t="shared" si="4283"/>
        <v>9</v>
      </c>
      <c r="BM255" s="335">
        <v>15262</v>
      </c>
      <c r="BN255" s="339">
        <v>190</v>
      </c>
      <c r="BO255" s="316">
        <f t="shared" ref="BO255:BP255" si="4284">IF(ISBLANK(BQ255),,BQ255-BQ254)</f>
        <v>3846</v>
      </c>
      <c r="BP255" s="334">
        <f t="shared" si="4284"/>
        <v>32</v>
      </c>
      <c r="BQ255" s="335">
        <v>59821</v>
      </c>
      <c r="BR255" s="336">
        <v>822</v>
      </c>
      <c r="BS255" s="316">
        <f t="shared" ref="BS255:BT255" si="4285">IF(ISBLANK(BU255),,BU255-BU254)</f>
        <v>738</v>
      </c>
      <c r="BT255" s="334">
        <f t="shared" si="4285"/>
        <v>8</v>
      </c>
      <c r="BU255" s="335">
        <v>18381</v>
      </c>
      <c r="BV255" s="336">
        <v>186</v>
      </c>
      <c r="BW255" s="233"/>
      <c r="BX255" s="233"/>
      <c r="BY255" s="233"/>
      <c r="BZ255" s="233"/>
      <c r="CA255" s="233"/>
      <c r="CB255" s="233"/>
      <c r="CC255" s="233"/>
      <c r="CD255" s="233"/>
      <c r="CE255" s="233"/>
    </row>
    <row r="256" spans="1:83" x14ac:dyDescent="0.25">
      <c r="A256" s="313">
        <v>44146</v>
      </c>
      <c r="B256" s="314">
        <f t="shared" si="1276"/>
        <v>253</v>
      </c>
      <c r="C256" s="315"/>
      <c r="D256" s="316">
        <v>25221</v>
      </c>
      <c r="E256" s="317">
        <v>429</v>
      </c>
      <c r="F256" s="318">
        <v>242875</v>
      </c>
      <c r="G256" s="319"/>
      <c r="H256" s="330">
        <f t="shared" ref="H256:I256" si="4286">IF(ISBLANK(D256),,H255+D256)</f>
        <v>618813</v>
      </c>
      <c r="I256" s="331">
        <f t="shared" si="4286"/>
        <v>8803</v>
      </c>
      <c r="J256" s="332">
        <f t="shared" si="1"/>
        <v>12214</v>
      </c>
      <c r="K256" s="333">
        <f t="shared" ref="K256:L256" si="4287">IF(ISBLANK(M256),,M256-M255)</f>
        <v>2661</v>
      </c>
      <c r="L256" s="334">
        <f t="shared" si="4287"/>
        <v>54</v>
      </c>
      <c r="M256" s="335">
        <v>40227</v>
      </c>
      <c r="N256" s="336">
        <v>610</v>
      </c>
      <c r="O256" s="337">
        <f t="shared" ref="O256:P256" si="4288">IF(ISBLANK(Q256),,Q256-Q255)</f>
        <v>792</v>
      </c>
      <c r="P256" s="338">
        <f t="shared" si="4288"/>
        <v>20</v>
      </c>
      <c r="Q256" s="335">
        <v>36588</v>
      </c>
      <c r="R256" s="339">
        <v>286</v>
      </c>
      <c r="S256" s="316">
        <f t="shared" ref="S256:T256" si="4289">IF(ISBLANK(U256),,U256-U255)</f>
        <v>1449</v>
      </c>
      <c r="T256" s="334">
        <f t="shared" si="4289"/>
        <v>27</v>
      </c>
      <c r="U256" s="335">
        <v>32551</v>
      </c>
      <c r="V256" s="336">
        <v>481</v>
      </c>
      <c r="W256" s="337">
        <f t="shared" ref="W256:X256" si="4290">IF(ISBLANK(Y256),,Y256-Y255)</f>
        <v>791</v>
      </c>
      <c r="X256" s="334">
        <f t="shared" si="4290"/>
        <v>10</v>
      </c>
      <c r="Y256" s="335">
        <v>12364</v>
      </c>
      <c r="Z256" s="340">
        <v>167</v>
      </c>
      <c r="AA256" s="316">
        <f t="shared" ref="AA256:AB256" si="4291">IF(ISBLANK(AC256),,AC256-AC255)</f>
        <v>1443</v>
      </c>
      <c r="AB256" s="334">
        <f t="shared" si="4291"/>
        <v>11</v>
      </c>
      <c r="AC256" s="335">
        <v>43752</v>
      </c>
      <c r="AD256" s="336">
        <v>536</v>
      </c>
      <c r="AE256" s="337">
        <f t="shared" ref="AE256:AF256" si="4292">IF(ISBLANK(AG256),,AG256-AG255)</f>
        <v>2947</v>
      </c>
      <c r="AF256" s="334">
        <f t="shared" si="4292"/>
        <v>50</v>
      </c>
      <c r="AG256" s="335">
        <v>69522</v>
      </c>
      <c r="AH256" s="339">
        <v>1016</v>
      </c>
      <c r="AI256" s="316">
        <f t="shared" ref="AI256:AJ256" si="4293">IF(ISBLANK(AK256),,AK256-AK255)</f>
        <v>1976</v>
      </c>
      <c r="AJ256" s="334">
        <f t="shared" si="4293"/>
        <v>41</v>
      </c>
      <c r="AK256" s="335">
        <v>78850</v>
      </c>
      <c r="AL256" s="336">
        <v>1139</v>
      </c>
      <c r="AM256" s="337">
        <f t="shared" ref="AM256:AN256" si="4294">IF(ISBLANK(AO256),,AO256-AO255)</f>
        <v>910</v>
      </c>
      <c r="AN256" s="334">
        <f t="shared" si="4294"/>
        <v>33</v>
      </c>
      <c r="AO256" s="335">
        <v>17504</v>
      </c>
      <c r="AP256" s="339">
        <v>350</v>
      </c>
      <c r="AQ256" s="316">
        <f t="shared" ref="AQ256:AR256" si="4295">IF(ISBLANK(AS256),,AS256-AS255)</f>
        <v>1152</v>
      </c>
      <c r="AR256" s="338">
        <f t="shared" si="4295"/>
        <v>15</v>
      </c>
      <c r="AS256" s="335">
        <v>36758</v>
      </c>
      <c r="AT256" s="336">
        <v>640</v>
      </c>
      <c r="AU256" s="337">
        <f t="shared" ref="AU256:AV256" si="4296">IF(ISBLANK(AW256),,AW256-AW255)</f>
        <v>662</v>
      </c>
      <c r="AV256" s="334">
        <f t="shared" si="4296"/>
        <v>18</v>
      </c>
      <c r="AW256" s="335">
        <v>15876</v>
      </c>
      <c r="AX256" s="339">
        <v>238</v>
      </c>
      <c r="AY256" s="316">
        <f t="shared" ref="AY256:AZ256" si="4297">IF(ISBLANK(BA256),,BA256-BA255)</f>
        <v>1321</v>
      </c>
      <c r="AZ256" s="334">
        <f t="shared" si="4297"/>
        <v>16</v>
      </c>
      <c r="BA256" s="335">
        <v>34236</v>
      </c>
      <c r="BB256" s="336">
        <v>456</v>
      </c>
      <c r="BC256" s="337">
        <f t="shared" ref="BC256:BD256" si="4298">IF(ISBLANK(BE256),,BE256-BE255)</f>
        <v>4066</v>
      </c>
      <c r="BD256" s="334">
        <f t="shared" si="4298"/>
        <v>61</v>
      </c>
      <c r="BE256" s="335">
        <v>84226</v>
      </c>
      <c r="BF256" s="339">
        <v>1289</v>
      </c>
      <c r="BG256" s="316">
        <f t="shared" ref="BG256:BH256" si="4299">IF(ISBLANK(BI256),,BI256-BI255)</f>
        <v>500</v>
      </c>
      <c r="BH256" s="334">
        <f t="shared" si="4299"/>
        <v>20</v>
      </c>
      <c r="BI256" s="335">
        <v>18344</v>
      </c>
      <c r="BJ256" s="336">
        <v>344</v>
      </c>
      <c r="BK256" s="337">
        <f t="shared" ref="BK256:BL256" si="4300">IF(ISBLANK(BM256),,BM256-BM255)</f>
        <v>618</v>
      </c>
      <c r="BL256" s="334">
        <f t="shared" si="4300"/>
        <v>15</v>
      </c>
      <c r="BM256" s="335">
        <v>15880</v>
      </c>
      <c r="BN256" s="339">
        <v>205</v>
      </c>
      <c r="BO256" s="316">
        <f t="shared" ref="BO256:BP256" si="4301">IF(ISBLANK(BQ256),,BQ256-BQ255)</f>
        <v>3081</v>
      </c>
      <c r="BP256" s="334">
        <f t="shared" si="4301"/>
        <v>34</v>
      </c>
      <c r="BQ256" s="335">
        <v>62902</v>
      </c>
      <c r="BR256" s="336">
        <v>856</v>
      </c>
      <c r="BS256" s="316">
        <f t="shared" ref="BS256:BT256" si="4302">IF(ISBLANK(BU256),,BU256-BU255)</f>
        <v>852</v>
      </c>
      <c r="BT256" s="334">
        <f t="shared" si="4302"/>
        <v>4</v>
      </c>
      <c r="BU256" s="335">
        <v>19233</v>
      </c>
      <c r="BV256" s="336">
        <v>190</v>
      </c>
      <c r="BW256" s="233"/>
      <c r="BX256" s="233"/>
      <c r="BY256" s="233"/>
      <c r="BZ256" s="233"/>
      <c r="CA256" s="233"/>
      <c r="CB256" s="233"/>
      <c r="CC256" s="233"/>
      <c r="CD256" s="233"/>
      <c r="CE256" s="233"/>
    </row>
    <row r="257" spans="1:83" x14ac:dyDescent="0.25">
      <c r="A257" s="313">
        <v>44147</v>
      </c>
      <c r="B257" s="314">
        <f t="shared" si="1276"/>
        <v>254</v>
      </c>
      <c r="C257" s="315"/>
      <c r="D257" s="316">
        <v>22683</v>
      </c>
      <c r="E257" s="317">
        <v>275</v>
      </c>
      <c r="F257" s="318">
        <v>254349</v>
      </c>
      <c r="G257" s="319"/>
      <c r="H257" s="330">
        <f t="shared" ref="H257:I257" si="4303">IF(ISBLANK(D257),,H256+D257)</f>
        <v>641496</v>
      </c>
      <c r="I257" s="331">
        <f t="shared" si="4303"/>
        <v>9078</v>
      </c>
      <c r="J257" s="332">
        <f t="shared" si="1"/>
        <v>11474</v>
      </c>
      <c r="K257" s="333">
        <f t="shared" ref="K257:L257" si="4304">IF(ISBLANK(M257),,M257-M256)</f>
        <v>1847</v>
      </c>
      <c r="L257" s="334">
        <f t="shared" si="4304"/>
        <v>14</v>
      </c>
      <c r="M257" s="335">
        <v>42074</v>
      </c>
      <c r="N257" s="336">
        <v>624</v>
      </c>
      <c r="O257" s="337">
        <f t="shared" ref="O257:P257" si="4305">IF(ISBLANK(Q257),,Q257-Q256)</f>
        <v>1083</v>
      </c>
      <c r="P257" s="338">
        <f t="shared" si="4305"/>
        <v>10</v>
      </c>
      <c r="Q257" s="335">
        <v>37671</v>
      </c>
      <c r="R257" s="339">
        <v>296</v>
      </c>
      <c r="S257" s="316">
        <f t="shared" ref="S257:T257" si="4306">IF(ISBLANK(U257),,U257-U256)</f>
        <v>831</v>
      </c>
      <c r="T257" s="334">
        <f t="shared" si="4306"/>
        <v>31</v>
      </c>
      <c r="U257" s="335">
        <v>33382</v>
      </c>
      <c r="V257" s="336">
        <v>512</v>
      </c>
      <c r="W257" s="337">
        <f t="shared" ref="W257:X257" si="4307">IF(ISBLANK(Y257),,Y257-Y256)</f>
        <v>688</v>
      </c>
      <c r="X257" s="334">
        <f t="shared" si="4307"/>
        <v>14</v>
      </c>
      <c r="Y257" s="335">
        <v>13052</v>
      </c>
      <c r="Z257" s="340">
        <v>181</v>
      </c>
      <c r="AA257" s="316">
        <f t="shared" ref="AA257:AB257" si="4308">IF(ISBLANK(AC257),,AC257-AC256)</f>
        <v>1528</v>
      </c>
      <c r="AB257" s="334">
        <f t="shared" si="4308"/>
        <v>19</v>
      </c>
      <c r="AC257" s="335">
        <v>45280</v>
      </c>
      <c r="AD257" s="336">
        <v>555</v>
      </c>
      <c r="AE257" s="337">
        <f t="shared" ref="AE257:AF257" si="4309">IF(ISBLANK(AG257),,AG257-AG256)</f>
        <v>2132</v>
      </c>
      <c r="AF257" s="334">
        <f t="shared" si="4309"/>
        <v>28</v>
      </c>
      <c r="AG257" s="335">
        <v>71654</v>
      </c>
      <c r="AH257" s="339">
        <v>1044</v>
      </c>
      <c r="AI257" s="316">
        <f t="shared" ref="AI257:AJ257" si="4310">IF(ISBLANK(AK257),,AK257-AK256)</f>
        <v>1746</v>
      </c>
      <c r="AJ257" s="334">
        <f t="shared" si="4310"/>
        <v>50</v>
      </c>
      <c r="AK257" s="335">
        <v>80596</v>
      </c>
      <c r="AL257" s="336">
        <v>1189</v>
      </c>
      <c r="AM257" s="337">
        <f t="shared" ref="AM257:AN257" si="4311">IF(ISBLANK(AO257),,AO257-AO256)</f>
        <v>844</v>
      </c>
      <c r="AN257" s="334">
        <f t="shared" si="4311"/>
        <v>10</v>
      </c>
      <c r="AO257" s="335">
        <v>18348</v>
      </c>
      <c r="AP257" s="339">
        <v>360</v>
      </c>
      <c r="AQ257" s="316">
        <f t="shared" ref="AQ257:AR257" si="4312">IF(ISBLANK(AS257),,AS257-AS256)</f>
        <v>1276</v>
      </c>
      <c r="AR257" s="338">
        <f t="shared" si="4312"/>
        <v>25</v>
      </c>
      <c r="AS257" s="335">
        <v>38034</v>
      </c>
      <c r="AT257" s="336">
        <v>665</v>
      </c>
      <c r="AU257" s="337">
        <f t="shared" ref="AU257:AV257" si="4313">IF(ISBLANK(AW257),,AW257-AW256)</f>
        <v>943</v>
      </c>
      <c r="AV257" s="334">
        <f t="shared" si="4313"/>
        <v>12</v>
      </c>
      <c r="AW257" s="335">
        <v>16819</v>
      </c>
      <c r="AX257" s="339">
        <v>250</v>
      </c>
      <c r="AY257" s="316">
        <f t="shared" ref="AY257:AZ257" si="4314">IF(ISBLANK(BA257),,BA257-BA256)</f>
        <v>1114</v>
      </c>
      <c r="AZ257" s="334">
        <f t="shared" si="4314"/>
        <v>7</v>
      </c>
      <c r="BA257" s="335">
        <v>35350</v>
      </c>
      <c r="BB257" s="336">
        <v>463</v>
      </c>
      <c r="BC257" s="337">
        <f t="shared" ref="BC257:BD257" si="4315">IF(ISBLANK(BE257),,BE257-BE256)</f>
        <v>3911</v>
      </c>
      <c r="BD257" s="334">
        <f t="shared" si="4315"/>
        <v>15</v>
      </c>
      <c r="BE257" s="335">
        <v>88137</v>
      </c>
      <c r="BF257" s="339">
        <v>1304</v>
      </c>
      <c r="BG257" s="316">
        <f t="shared" ref="BG257:BH257" si="4316">IF(ISBLANK(BI257),,BI257-BI256)</f>
        <v>825</v>
      </c>
      <c r="BH257" s="334">
        <f t="shared" si="4316"/>
        <v>10</v>
      </c>
      <c r="BI257" s="335">
        <v>19169</v>
      </c>
      <c r="BJ257" s="336">
        <v>354</v>
      </c>
      <c r="BK257" s="337">
        <f t="shared" ref="BK257:BL257" si="4317">IF(ISBLANK(BM257),,BM257-BM256)</f>
        <v>915</v>
      </c>
      <c r="BL257" s="334">
        <f t="shared" si="4317"/>
        <v>5</v>
      </c>
      <c r="BM257" s="335">
        <v>16795</v>
      </c>
      <c r="BN257" s="339">
        <v>210</v>
      </c>
      <c r="BO257" s="316">
        <f t="shared" ref="BO257:BP257" si="4318">IF(ISBLANK(BQ257),,BQ257-BQ256)</f>
        <v>2232</v>
      </c>
      <c r="BP257" s="334">
        <f t="shared" si="4318"/>
        <v>25</v>
      </c>
      <c r="BQ257" s="335">
        <v>65134</v>
      </c>
      <c r="BR257" s="336">
        <v>881</v>
      </c>
      <c r="BS257" s="316">
        <f t="shared" ref="BS257:BT257" si="4319">IF(ISBLANK(BU257),,BU257-BU256)</f>
        <v>768</v>
      </c>
      <c r="BT257" s="334">
        <f t="shared" si="4319"/>
        <v>0</v>
      </c>
      <c r="BU257" s="335">
        <v>20001</v>
      </c>
      <c r="BV257" s="336">
        <v>190</v>
      </c>
      <c r="BW257" s="233"/>
      <c r="BX257" s="233"/>
      <c r="BY257" s="233"/>
      <c r="BZ257" s="233"/>
      <c r="CA257" s="233"/>
      <c r="CB257" s="233"/>
      <c r="CC257" s="233"/>
      <c r="CD257" s="233"/>
      <c r="CE257" s="233"/>
    </row>
    <row r="258" spans="1:83" x14ac:dyDescent="0.25">
      <c r="A258" s="313">
        <v>44148</v>
      </c>
      <c r="B258" s="314">
        <f t="shared" si="1276"/>
        <v>255</v>
      </c>
      <c r="C258" s="315"/>
      <c r="D258" s="316">
        <v>24051</v>
      </c>
      <c r="E258" s="317">
        <v>419</v>
      </c>
      <c r="F258" s="318">
        <v>267580</v>
      </c>
      <c r="G258" s="319"/>
      <c r="H258" s="330">
        <f t="shared" ref="H258:I258" si="4320">IF(ISBLANK(D258),,H257+D258)</f>
        <v>665547</v>
      </c>
      <c r="I258" s="331">
        <f t="shared" si="4320"/>
        <v>9497</v>
      </c>
      <c r="J258" s="332">
        <f t="shared" si="1"/>
        <v>13231</v>
      </c>
      <c r="K258" s="333">
        <f t="shared" ref="K258:L258" si="4321">IF(ISBLANK(M258),,M258-M257)</f>
        <v>2823</v>
      </c>
      <c r="L258" s="334">
        <f t="shared" si="4321"/>
        <v>29</v>
      </c>
      <c r="M258" s="335">
        <v>44897</v>
      </c>
      <c r="N258" s="336">
        <v>653</v>
      </c>
      <c r="O258" s="337">
        <f t="shared" ref="O258:P258" si="4322">IF(ISBLANK(Q258),,Q258-Q257)</f>
        <v>1279</v>
      </c>
      <c r="P258" s="338">
        <f t="shared" si="4322"/>
        <v>45</v>
      </c>
      <c r="Q258" s="335">
        <v>38950</v>
      </c>
      <c r="R258" s="339">
        <v>341</v>
      </c>
      <c r="S258" s="316">
        <f t="shared" ref="S258:T258" si="4323">IF(ISBLANK(U258),,U258-U257)</f>
        <v>526</v>
      </c>
      <c r="T258" s="334">
        <f t="shared" si="4323"/>
        <v>8</v>
      </c>
      <c r="U258" s="335">
        <v>33908</v>
      </c>
      <c r="V258" s="336">
        <v>520</v>
      </c>
      <c r="W258" s="337">
        <f t="shared" ref="W258:X258" si="4324">IF(ISBLANK(Y258),,Y258-Y257)</f>
        <v>592</v>
      </c>
      <c r="X258" s="334">
        <f t="shared" si="4324"/>
        <v>6</v>
      </c>
      <c r="Y258" s="335">
        <v>13644</v>
      </c>
      <c r="Z258" s="340">
        <v>187</v>
      </c>
      <c r="AA258" s="316">
        <f t="shared" ref="AA258:AB258" si="4325">IF(ISBLANK(AC258),,AC258-AC257)</f>
        <v>1557</v>
      </c>
      <c r="AB258" s="334">
        <f t="shared" si="4325"/>
        <v>13</v>
      </c>
      <c r="AC258" s="335">
        <v>46837</v>
      </c>
      <c r="AD258" s="336">
        <v>568</v>
      </c>
      <c r="AE258" s="337">
        <f t="shared" ref="AE258:AF258" si="4326">IF(ISBLANK(AG258),,AG258-AG257)</f>
        <v>2271</v>
      </c>
      <c r="AF258" s="334">
        <f t="shared" si="4326"/>
        <v>65</v>
      </c>
      <c r="AG258" s="335">
        <v>73925</v>
      </c>
      <c r="AH258" s="339">
        <v>1109</v>
      </c>
      <c r="AI258" s="316">
        <f t="shared" ref="AI258:AJ258" si="4327">IF(ISBLANK(AK258),,AK258-AK257)</f>
        <v>1410</v>
      </c>
      <c r="AJ258" s="334">
        <f t="shared" si="4327"/>
        <v>40</v>
      </c>
      <c r="AK258" s="335">
        <v>82006</v>
      </c>
      <c r="AL258" s="336">
        <v>1229</v>
      </c>
      <c r="AM258" s="337">
        <f t="shared" ref="AM258:AN258" si="4328">IF(ISBLANK(AO258),,AO258-AO257)</f>
        <v>802</v>
      </c>
      <c r="AN258" s="334">
        <f t="shared" si="4328"/>
        <v>21</v>
      </c>
      <c r="AO258" s="335">
        <v>19150</v>
      </c>
      <c r="AP258" s="339">
        <v>381</v>
      </c>
      <c r="AQ258" s="316">
        <f t="shared" ref="AQ258:AR258" si="4329">IF(ISBLANK(AS258),,AS258-AS257)</f>
        <v>1264</v>
      </c>
      <c r="AR258" s="338">
        <f t="shared" si="4329"/>
        <v>26</v>
      </c>
      <c r="AS258" s="335">
        <v>39298</v>
      </c>
      <c r="AT258" s="336">
        <v>691</v>
      </c>
      <c r="AU258" s="337">
        <f t="shared" ref="AU258:AV258" si="4330">IF(ISBLANK(AW258),,AW258-AW257)</f>
        <v>402</v>
      </c>
      <c r="AV258" s="334">
        <f t="shared" si="4330"/>
        <v>9</v>
      </c>
      <c r="AW258" s="335">
        <v>17221</v>
      </c>
      <c r="AX258" s="339">
        <v>259</v>
      </c>
      <c r="AY258" s="316">
        <f t="shared" ref="AY258:AZ258" si="4331">IF(ISBLANK(BA258),,BA258-BA257)</f>
        <v>1421</v>
      </c>
      <c r="AZ258" s="334">
        <f t="shared" si="4331"/>
        <v>28</v>
      </c>
      <c r="BA258" s="335">
        <v>36771</v>
      </c>
      <c r="BB258" s="336">
        <v>491</v>
      </c>
      <c r="BC258" s="337">
        <f t="shared" ref="BC258:BD258" si="4332">IF(ISBLANK(BE258),,BE258-BE257)</f>
        <v>3841</v>
      </c>
      <c r="BD258" s="334">
        <f t="shared" si="4332"/>
        <v>60</v>
      </c>
      <c r="BE258" s="335">
        <v>91978</v>
      </c>
      <c r="BF258" s="339">
        <v>1364</v>
      </c>
      <c r="BG258" s="316">
        <f t="shared" ref="BG258:BH258" si="4333">IF(ISBLANK(BI258),,BI258-BI257)</f>
        <v>920</v>
      </c>
      <c r="BH258" s="334">
        <f t="shared" si="4333"/>
        <v>15</v>
      </c>
      <c r="BI258" s="335">
        <v>20089</v>
      </c>
      <c r="BJ258" s="336">
        <v>369</v>
      </c>
      <c r="BK258" s="337">
        <f t="shared" ref="BK258:BL258" si="4334">IF(ISBLANK(BM258),,BM258-BM257)</f>
        <v>746</v>
      </c>
      <c r="BL258" s="334">
        <f t="shared" si="4334"/>
        <v>7</v>
      </c>
      <c r="BM258" s="335">
        <v>17541</v>
      </c>
      <c r="BN258" s="339">
        <v>217</v>
      </c>
      <c r="BO258" s="316">
        <f t="shared" ref="BO258:BP258" si="4335">IF(ISBLANK(BQ258),,BQ258-BQ257)</f>
        <v>2866</v>
      </c>
      <c r="BP258" s="334">
        <f t="shared" si="4335"/>
        <v>38</v>
      </c>
      <c r="BQ258" s="335">
        <v>68000</v>
      </c>
      <c r="BR258" s="336">
        <v>919</v>
      </c>
      <c r="BS258" s="316">
        <f t="shared" ref="BS258:BT258" si="4336">IF(ISBLANK(BU258),,BU258-BU257)</f>
        <v>1331</v>
      </c>
      <c r="BT258" s="334">
        <f t="shared" si="4336"/>
        <v>9</v>
      </c>
      <c r="BU258" s="335">
        <v>21332</v>
      </c>
      <c r="BV258" s="336">
        <v>199</v>
      </c>
      <c r="BW258" s="233"/>
      <c r="BX258" s="233"/>
      <c r="BY258" s="233"/>
      <c r="BZ258" s="233"/>
      <c r="CA258" s="233"/>
      <c r="CB258" s="233"/>
      <c r="CC258" s="233"/>
      <c r="CD258" s="233"/>
      <c r="CE258" s="233"/>
    </row>
    <row r="259" spans="1:83" x14ac:dyDescent="0.25">
      <c r="A259" s="313">
        <v>44149</v>
      </c>
      <c r="B259" s="314">
        <f t="shared" si="1276"/>
        <v>256</v>
      </c>
      <c r="C259" s="315"/>
      <c r="D259" s="316">
        <v>25571</v>
      </c>
      <c r="E259" s="317">
        <v>548</v>
      </c>
      <c r="F259" s="318">
        <v>282215</v>
      </c>
      <c r="G259" s="319"/>
      <c r="H259" s="330">
        <f t="shared" ref="H259:I259" si="4337">IF(ISBLANK(D259),,H258+D259)</f>
        <v>691118</v>
      </c>
      <c r="I259" s="331">
        <f t="shared" si="4337"/>
        <v>10045</v>
      </c>
      <c r="J259" s="332">
        <f t="shared" si="1"/>
        <v>14635</v>
      </c>
      <c r="K259" s="333">
        <f t="shared" ref="K259:L259" si="4338">IF(ISBLANK(M259),,M259-M258)</f>
        <v>2794</v>
      </c>
      <c r="L259" s="334">
        <f t="shared" si="4338"/>
        <v>48</v>
      </c>
      <c r="M259" s="335">
        <v>47691</v>
      </c>
      <c r="N259" s="336">
        <v>701</v>
      </c>
      <c r="O259" s="337">
        <f t="shared" ref="O259:P259" si="4339">IF(ISBLANK(Q259),,Q259-Q258)</f>
        <v>955</v>
      </c>
      <c r="P259" s="338">
        <f t="shared" si="4339"/>
        <v>32</v>
      </c>
      <c r="Q259" s="335">
        <v>39905</v>
      </c>
      <c r="R259" s="339">
        <v>373</v>
      </c>
      <c r="S259" s="316">
        <f t="shared" ref="S259:T259" si="4340">IF(ISBLANK(U259),,U259-U258)</f>
        <v>1563</v>
      </c>
      <c r="T259" s="334">
        <f t="shared" si="4340"/>
        <v>32</v>
      </c>
      <c r="U259" s="335">
        <v>35471</v>
      </c>
      <c r="V259" s="336">
        <v>552</v>
      </c>
      <c r="W259" s="337">
        <f t="shared" ref="W259:X259" si="4341">IF(ISBLANK(Y259),,Y259-Y258)</f>
        <v>760</v>
      </c>
      <c r="X259" s="334">
        <f t="shared" si="4341"/>
        <v>4</v>
      </c>
      <c r="Y259" s="335">
        <v>14404</v>
      </c>
      <c r="Z259" s="340">
        <v>191</v>
      </c>
      <c r="AA259" s="316">
        <f t="shared" ref="AA259:AB259" si="4342">IF(ISBLANK(AC259),,AC259-AC258)</f>
        <v>1487</v>
      </c>
      <c r="AB259" s="334">
        <f t="shared" si="4342"/>
        <v>26</v>
      </c>
      <c r="AC259" s="335">
        <v>48324</v>
      </c>
      <c r="AD259" s="336">
        <v>594</v>
      </c>
      <c r="AE259" s="337">
        <f t="shared" ref="AE259:AF259" si="4343">IF(ISBLANK(AG259),,AG259-AG258)</f>
        <v>2202</v>
      </c>
      <c r="AF259" s="334">
        <f t="shared" si="4343"/>
        <v>83</v>
      </c>
      <c r="AG259" s="335">
        <v>76127</v>
      </c>
      <c r="AH259" s="339">
        <v>1192</v>
      </c>
      <c r="AI259" s="316">
        <f t="shared" ref="AI259:AJ259" si="4344">IF(ISBLANK(AK259),,AK259-AK258)</f>
        <v>2419</v>
      </c>
      <c r="AJ259" s="334">
        <f t="shared" si="4344"/>
        <v>70</v>
      </c>
      <c r="AK259" s="335">
        <v>84425</v>
      </c>
      <c r="AL259" s="336">
        <v>1299</v>
      </c>
      <c r="AM259" s="337">
        <f t="shared" ref="AM259:AN259" si="4345">IF(ISBLANK(AO259),,AO259-AO258)</f>
        <v>799</v>
      </c>
      <c r="AN259" s="334">
        <f t="shared" si="4345"/>
        <v>27</v>
      </c>
      <c r="AO259" s="335">
        <v>19949</v>
      </c>
      <c r="AP259" s="339">
        <v>408</v>
      </c>
      <c r="AQ259" s="316">
        <f t="shared" ref="AQ259:AR259" si="4346">IF(ISBLANK(AS259),,AS259-AS258)</f>
        <v>1162</v>
      </c>
      <c r="AR259" s="338">
        <f t="shared" si="4346"/>
        <v>40</v>
      </c>
      <c r="AS259" s="335">
        <v>40460</v>
      </c>
      <c r="AT259" s="336">
        <v>731</v>
      </c>
      <c r="AU259" s="337">
        <f t="shared" ref="AU259:AV259" si="4347">IF(ISBLANK(AW259),,AW259-AW258)</f>
        <v>695</v>
      </c>
      <c r="AV259" s="334">
        <f t="shared" si="4347"/>
        <v>16</v>
      </c>
      <c r="AW259" s="335">
        <v>17916</v>
      </c>
      <c r="AX259" s="339">
        <v>275</v>
      </c>
      <c r="AY259" s="316">
        <f t="shared" ref="AY259:AZ259" si="4348">IF(ISBLANK(BA259),,BA259-BA258)</f>
        <v>1328</v>
      </c>
      <c r="AZ259" s="334">
        <f t="shared" si="4348"/>
        <v>17</v>
      </c>
      <c r="BA259" s="335">
        <v>38099</v>
      </c>
      <c r="BB259" s="336">
        <v>508</v>
      </c>
      <c r="BC259" s="337">
        <f t="shared" ref="BC259:BD259" si="4349">IF(ISBLANK(BE259),,BE259-BE258)</f>
        <v>3453</v>
      </c>
      <c r="BD259" s="334">
        <f t="shared" si="4349"/>
        <v>84</v>
      </c>
      <c r="BE259" s="335">
        <v>95431</v>
      </c>
      <c r="BF259" s="339">
        <v>1448</v>
      </c>
      <c r="BG259" s="316">
        <f t="shared" ref="BG259:BH259" si="4350">IF(ISBLANK(BI259),,BI259-BI258)</f>
        <v>1177</v>
      </c>
      <c r="BH259" s="334">
        <f t="shared" si="4350"/>
        <v>10</v>
      </c>
      <c r="BI259" s="335">
        <v>21266</v>
      </c>
      <c r="BJ259" s="336">
        <v>379</v>
      </c>
      <c r="BK259" s="337">
        <f t="shared" ref="BK259:BL259" si="4351">IF(ISBLANK(BM259),,BM259-BM258)</f>
        <v>990</v>
      </c>
      <c r="BL259" s="334">
        <f t="shared" si="4351"/>
        <v>4</v>
      </c>
      <c r="BM259" s="335">
        <v>18531</v>
      </c>
      <c r="BN259" s="339">
        <v>221</v>
      </c>
      <c r="BO259" s="316">
        <f t="shared" ref="BO259:BP259" si="4352">IF(ISBLANK(BQ259),,BQ259-BQ258)</f>
        <v>2742</v>
      </c>
      <c r="BP259" s="334">
        <f t="shared" si="4352"/>
        <v>37</v>
      </c>
      <c r="BQ259" s="335">
        <v>70742</v>
      </c>
      <c r="BR259" s="336">
        <v>956</v>
      </c>
      <c r="BS259" s="316">
        <f t="shared" ref="BS259:BT259" si="4353">IF(ISBLANK(BU259),,BU259-BU258)</f>
        <v>1045</v>
      </c>
      <c r="BT259" s="334">
        <f t="shared" si="4353"/>
        <v>18</v>
      </c>
      <c r="BU259" s="335">
        <v>22377</v>
      </c>
      <c r="BV259" s="336">
        <v>217</v>
      </c>
      <c r="BW259" s="233"/>
      <c r="BX259" s="233"/>
      <c r="BY259" s="233"/>
      <c r="BZ259" s="233"/>
      <c r="CA259" s="233"/>
      <c r="CB259" s="233"/>
      <c r="CC259" s="233"/>
      <c r="CD259" s="233"/>
      <c r="CE259" s="233"/>
    </row>
    <row r="260" spans="1:83" x14ac:dyDescent="0.25">
      <c r="A260" s="313">
        <v>44150</v>
      </c>
      <c r="B260" s="314">
        <f t="shared" si="1276"/>
        <v>257</v>
      </c>
      <c r="C260" s="315"/>
      <c r="D260" s="316">
        <v>21854</v>
      </c>
      <c r="E260" s="317">
        <v>303</v>
      </c>
      <c r="F260" s="318">
        <v>294783</v>
      </c>
      <c r="G260" s="319"/>
      <c r="H260" s="330">
        <f t="shared" ref="H260:I260" si="4354">IF(ISBLANK(D260),,H259+D260)</f>
        <v>712972</v>
      </c>
      <c r="I260" s="331">
        <f t="shared" si="4354"/>
        <v>10348</v>
      </c>
      <c r="J260" s="332">
        <f t="shared" si="1"/>
        <v>12568</v>
      </c>
      <c r="K260" s="333">
        <f t="shared" ref="K260:L260" si="4355">IF(ISBLANK(M260),,M260-M259)</f>
        <v>2016</v>
      </c>
      <c r="L260" s="334">
        <f t="shared" si="4355"/>
        <v>11</v>
      </c>
      <c r="M260" s="335">
        <v>49707</v>
      </c>
      <c r="N260" s="336">
        <v>712</v>
      </c>
      <c r="O260" s="337">
        <f t="shared" ref="O260:P260" si="4356">IF(ISBLANK(Q260),,Q260-Q259)</f>
        <v>1723</v>
      </c>
      <c r="P260" s="338">
        <f t="shared" si="4356"/>
        <v>9</v>
      </c>
      <c r="Q260" s="335">
        <v>41628</v>
      </c>
      <c r="R260" s="339">
        <v>382</v>
      </c>
      <c r="S260" s="316">
        <f t="shared" ref="S260:T260" si="4357">IF(ISBLANK(U260),,U260-U259)</f>
        <v>1248</v>
      </c>
      <c r="T260" s="334">
        <f t="shared" si="4357"/>
        <v>43</v>
      </c>
      <c r="U260" s="335">
        <v>36719</v>
      </c>
      <c r="V260" s="336">
        <v>595</v>
      </c>
      <c r="W260" s="337">
        <f t="shared" ref="W260:X260" si="4358">IF(ISBLANK(Y260),,Y260-Y259)</f>
        <v>419</v>
      </c>
      <c r="X260" s="334">
        <f t="shared" si="4358"/>
        <v>4</v>
      </c>
      <c r="Y260" s="335">
        <v>14823</v>
      </c>
      <c r="Z260" s="340">
        <v>195</v>
      </c>
      <c r="AA260" s="316">
        <f t="shared" ref="AA260:AB260" si="4359">IF(ISBLANK(AC260),,AC260-AC259)</f>
        <v>1389</v>
      </c>
      <c r="AB260" s="334">
        <f t="shared" si="4359"/>
        <v>3</v>
      </c>
      <c r="AC260" s="335">
        <v>49713</v>
      </c>
      <c r="AD260" s="336">
        <v>597</v>
      </c>
      <c r="AE260" s="337">
        <f t="shared" ref="AE260:AF260" si="4360">IF(ISBLANK(AG260),,AG260-AG259)</f>
        <v>1859</v>
      </c>
      <c r="AF260" s="334">
        <f t="shared" si="4360"/>
        <v>32</v>
      </c>
      <c r="AG260" s="335">
        <v>77986</v>
      </c>
      <c r="AH260" s="339">
        <v>1224</v>
      </c>
      <c r="AI260" s="316">
        <f t="shared" ref="AI260:AJ260" si="4361">IF(ISBLANK(AK260),,AK260-AK259)</f>
        <v>1642</v>
      </c>
      <c r="AJ260" s="334">
        <f t="shared" si="4361"/>
        <v>58</v>
      </c>
      <c r="AK260" s="335">
        <v>86067</v>
      </c>
      <c r="AL260" s="336">
        <v>1357</v>
      </c>
      <c r="AM260" s="337">
        <f t="shared" ref="AM260:AN260" si="4362">IF(ISBLANK(AO260),,AO260-AO259)</f>
        <v>604</v>
      </c>
      <c r="AN260" s="334">
        <f t="shared" si="4362"/>
        <v>8</v>
      </c>
      <c r="AO260" s="335">
        <v>20553</v>
      </c>
      <c r="AP260" s="339">
        <v>416</v>
      </c>
      <c r="AQ260" s="316">
        <f t="shared" ref="AQ260:AR260" si="4363">IF(ISBLANK(AS260),,AS260-AS259)</f>
        <v>926</v>
      </c>
      <c r="AR260" s="338">
        <f t="shared" si="4363"/>
        <v>19</v>
      </c>
      <c r="AS260" s="335">
        <v>41386</v>
      </c>
      <c r="AT260" s="336">
        <v>750</v>
      </c>
      <c r="AU260" s="337">
        <f t="shared" ref="AU260:AV260" si="4364">IF(ISBLANK(AW260),,AW260-AW259)</f>
        <v>725</v>
      </c>
      <c r="AV260" s="334">
        <f t="shared" si="4364"/>
        <v>5</v>
      </c>
      <c r="AW260" s="335">
        <v>18641</v>
      </c>
      <c r="AX260" s="339">
        <v>280</v>
      </c>
      <c r="AY260" s="316">
        <f t="shared" ref="AY260:AZ260" si="4365">IF(ISBLANK(BA260),,BA260-BA259)</f>
        <v>1046</v>
      </c>
      <c r="AZ260" s="334">
        <f t="shared" si="4365"/>
        <v>15</v>
      </c>
      <c r="BA260" s="335">
        <v>39145</v>
      </c>
      <c r="BB260" s="336">
        <v>523</v>
      </c>
      <c r="BC260" s="337">
        <f t="shared" ref="BC260:BD260" si="4366">IF(ISBLANK(BE260),,BE260-BE259)</f>
        <v>3576</v>
      </c>
      <c r="BD260" s="334">
        <f t="shared" si="4366"/>
        <v>33</v>
      </c>
      <c r="BE260" s="335">
        <v>99007</v>
      </c>
      <c r="BF260" s="339">
        <v>1481</v>
      </c>
      <c r="BG260" s="316">
        <f t="shared" ref="BG260:BH260" si="4367">IF(ISBLANK(BI260),,BI260-BI259)</f>
        <v>685</v>
      </c>
      <c r="BH260" s="334">
        <f t="shared" si="4367"/>
        <v>5</v>
      </c>
      <c r="BI260" s="335">
        <v>21951</v>
      </c>
      <c r="BJ260" s="336">
        <v>384</v>
      </c>
      <c r="BK260" s="337">
        <f t="shared" ref="BK260:BL260" si="4368">IF(ISBLANK(BM260),,BM260-BM259)</f>
        <v>820</v>
      </c>
      <c r="BL260" s="334">
        <f t="shared" si="4368"/>
        <v>14</v>
      </c>
      <c r="BM260" s="335">
        <v>19351</v>
      </c>
      <c r="BN260" s="339">
        <v>235</v>
      </c>
      <c r="BO260" s="316">
        <f t="shared" ref="BO260:BP260" si="4369">IF(ISBLANK(BQ260),,BQ260-BQ259)</f>
        <v>2143</v>
      </c>
      <c r="BP260" s="334">
        <f t="shared" si="4369"/>
        <v>43</v>
      </c>
      <c r="BQ260" s="335">
        <v>72885</v>
      </c>
      <c r="BR260" s="336">
        <v>999</v>
      </c>
      <c r="BS260" s="316">
        <f t="shared" ref="BS260:BT260" si="4370">IF(ISBLANK(BU260),,BU260-BU259)</f>
        <v>1033</v>
      </c>
      <c r="BT260" s="334">
        <f t="shared" si="4370"/>
        <v>1</v>
      </c>
      <c r="BU260" s="335">
        <v>23410</v>
      </c>
      <c r="BV260" s="336">
        <v>218</v>
      </c>
      <c r="BW260" s="233"/>
      <c r="BX260" s="233"/>
      <c r="BY260" s="233"/>
      <c r="BZ260" s="233"/>
      <c r="CA260" s="233"/>
      <c r="CB260" s="233"/>
      <c r="CC260" s="233"/>
      <c r="CD260" s="233"/>
      <c r="CE260" s="233"/>
    </row>
    <row r="261" spans="1:83" x14ac:dyDescent="0.25">
      <c r="A261" s="313">
        <v>44151</v>
      </c>
      <c r="B261" s="314">
        <f t="shared" si="1276"/>
        <v>258</v>
      </c>
      <c r="C261" s="315"/>
      <c r="D261" s="316">
        <v>20816</v>
      </c>
      <c r="E261" s="317">
        <v>143</v>
      </c>
      <c r="F261" s="318">
        <v>306022</v>
      </c>
      <c r="G261" s="319"/>
      <c r="H261" s="330">
        <f t="shared" ref="H261:I261" si="4371">IF(ISBLANK(D261),,H260+D261)</f>
        <v>733788</v>
      </c>
      <c r="I261" s="331">
        <f t="shared" si="4371"/>
        <v>10491</v>
      </c>
      <c r="J261" s="332">
        <f t="shared" si="1"/>
        <v>11239</v>
      </c>
      <c r="K261" s="333">
        <f t="shared" ref="K261:L261" si="4372">IF(ISBLANK(M261),,M261-M260)</f>
        <v>1784</v>
      </c>
      <c r="L261" s="334">
        <f t="shared" si="4372"/>
        <v>8</v>
      </c>
      <c r="M261" s="335">
        <v>51491</v>
      </c>
      <c r="N261" s="336">
        <v>720</v>
      </c>
      <c r="O261" s="337">
        <f t="shared" ref="O261:P261" si="4373">IF(ISBLANK(Q261),,Q261-Q260)</f>
        <v>896</v>
      </c>
      <c r="P261" s="338">
        <f t="shared" si="4373"/>
        <v>3</v>
      </c>
      <c r="Q261" s="335">
        <v>42524</v>
      </c>
      <c r="R261" s="339">
        <v>385</v>
      </c>
      <c r="S261" s="316">
        <f t="shared" ref="S261:T261" si="4374">IF(ISBLANK(U261),,U261-U260)</f>
        <v>1163</v>
      </c>
      <c r="T261" s="334">
        <f t="shared" si="4374"/>
        <v>19</v>
      </c>
      <c r="U261" s="335">
        <v>37882</v>
      </c>
      <c r="V261" s="336">
        <v>614</v>
      </c>
      <c r="W261" s="337">
        <f t="shared" ref="W261:X261" si="4375">IF(ISBLANK(Y261),,Y261-Y260)</f>
        <v>577</v>
      </c>
      <c r="X261" s="334">
        <f t="shared" si="4375"/>
        <v>1</v>
      </c>
      <c r="Y261" s="335">
        <v>15400</v>
      </c>
      <c r="Z261" s="340">
        <v>196</v>
      </c>
      <c r="AA261" s="316">
        <f t="shared" ref="AA261:AB261" si="4376">IF(ISBLANK(AC261),,AC261-AC260)</f>
        <v>1083</v>
      </c>
      <c r="AB261" s="334">
        <f t="shared" si="4376"/>
        <v>8</v>
      </c>
      <c r="AC261" s="335">
        <v>50796</v>
      </c>
      <c r="AD261" s="336">
        <v>605</v>
      </c>
      <c r="AE261" s="337">
        <f t="shared" ref="AE261:AF261" si="4377">IF(ISBLANK(AG261),,AG261-AG260)</f>
        <v>1295</v>
      </c>
      <c r="AF261" s="334">
        <f t="shared" si="4377"/>
        <v>5</v>
      </c>
      <c r="AG261" s="335">
        <v>79281</v>
      </c>
      <c r="AH261" s="339">
        <v>1229</v>
      </c>
      <c r="AI261" s="316">
        <f t="shared" ref="AI261:AJ261" si="4378">IF(ISBLANK(AK261),,AK261-AK260)</f>
        <v>2436</v>
      </c>
      <c r="AJ261" s="334">
        <f t="shared" si="4378"/>
        <v>19</v>
      </c>
      <c r="AK261" s="335">
        <v>88503</v>
      </c>
      <c r="AL261" s="336">
        <v>1376</v>
      </c>
      <c r="AM261" s="337">
        <f t="shared" ref="AM261:AN261" si="4379">IF(ISBLANK(AO261),,AO261-AO260)</f>
        <v>557</v>
      </c>
      <c r="AN261" s="334">
        <f t="shared" si="4379"/>
        <v>4</v>
      </c>
      <c r="AO261" s="335">
        <v>21110</v>
      </c>
      <c r="AP261" s="339">
        <v>420</v>
      </c>
      <c r="AQ261" s="316">
        <f t="shared" ref="AQ261:AR261" si="4380">IF(ISBLANK(AS261),,AS261-AS260)</f>
        <v>842</v>
      </c>
      <c r="AR261" s="338">
        <f t="shared" si="4380"/>
        <v>12</v>
      </c>
      <c r="AS261" s="335">
        <v>42228</v>
      </c>
      <c r="AT261" s="336">
        <v>762</v>
      </c>
      <c r="AU261" s="337">
        <f t="shared" ref="AU261:AV261" si="4381">IF(ISBLANK(AW261),,AW261-AW260)</f>
        <v>487</v>
      </c>
      <c r="AV261" s="334">
        <f t="shared" si="4381"/>
        <v>5</v>
      </c>
      <c r="AW261" s="335">
        <v>19128</v>
      </c>
      <c r="AX261" s="339">
        <v>285</v>
      </c>
      <c r="AY261" s="316">
        <f t="shared" ref="AY261:AZ261" si="4382">IF(ISBLANK(BA261),,BA261-BA260)</f>
        <v>1037</v>
      </c>
      <c r="AZ261" s="334">
        <f t="shared" si="4382"/>
        <v>2</v>
      </c>
      <c r="BA261" s="335">
        <v>40182</v>
      </c>
      <c r="BB261" s="336">
        <v>525</v>
      </c>
      <c r="BC261" s="337">
        <f t="shared" ref="BC261:BD261" si="4383">IF(ISBLANK(BE261),,BE261-BE260)</f>
        <v>3322</v>
      </c>
      <c r="BD261" s="334">
        <f t="shared" si="4383"/>
        <v>21</v>
      </c>
      <c r="BE261" s="335">
        <v>102329</v>
      </c>
      <c r="BF261" s="339">
        <v>1502</v>
      </c>
      <c r="BG261" s="316">
        <f t="shared" ref="BG261:BH261" si="4384">IF(ISBLANK(BI261),,BI261-BI260)</f>
        <v>787</v>
      </c>
      <c r="BH261" s="334">
        <f t="shared" si="4384"/>
        <v>4</v>
      </c>
      <c r="BI261" s="335">
        <v>22738</v>
      </c>
      <c r="BJ261" s="336">
        <v>388</v>
      </c>
      <c r="BK261" s="337">
        <f t="shared" ref="BK261:BL261" si="4385">IF(ISBLANK(BM261),,BM261-BM260)</f>
        <v>1040</v>
      </c>
      <c r="BL261" s="334">
        <f t="shared" si="4385"/>
        <v>3</v>
      </c>
      <c r="BM261" s="335">
        <v>20391</v>
      </c>
      <c r="BN261" s="339">
        <v>238</v>
      </c>
      <c r="BO261" s="316">
        <f t="shared" ref="BO261:BP261" si="4386">IF(ISBLANK(BQ261),,BQ261-BQ260)</f>
        <v>2400</v>
      </c>
      <c r="BP261" s="334">
        <f t="shared" si="4386"/>
        <v>15</v>
      </c>
      <c r="BQ261" s="335">
        <v>75285</v>
      </c>
      <c r="BR261" s="336">
        <v>1014</v>
      </c>
      <c r="BS261" s="316">
        <f t="shared" ref="BS261:BT261" si="4387">IF(ISBLANK(BU261),,BU261-BU260)</f>
        <v>1110</v>
      </c>
      <c r="BT261" s="334">
        <f t="shared" si="4387"/>
        <v>14</v>
      </c>
      <c r="BU261" s="335">
        <v>24520</v>
      </c>
      <c r="BV261" s="336">
        <v>232</v>
      </c>
      <c r="BW261" s="233"/>
      <c r="BX261" s="233"/>
      <c r="BY261" s="233"/>
      <c r="BZ261" s="233"/>
      <c r="CA261" s="233"/>
      <c r="CB261" s="233"/>
      <c r="CC261" s="233"/>
      <c r="CD261" s="233"/>
      <c r="CE261" s="233"/>
    </row>
    <row r="262" spans="1:83" x14ac:dyDescent="0.25">
      <c r="A262" s="313">
        <v>44152</v>
      </c>
      <c r="B262" s="314">
        <f t="shared" si="1276"/>
        <v>259</v>
      </c>
      <c r="C262" s="315"/>
      <c r="D262" s="316">
        <v>19152</v>
      </c>
      <c r="E262" s="317">
        <v>357</v>
      </c>
      <c r="F262" s="318">
        <v>324282</v>
      </c>
      <c r="G262" s="319"/>
      <c r="H262" s="330">
        <f t="shared" ref="H262:I262" si="4388">IF(ISBLANK(D262),,H261+D262)</f>
        <v>752940</v>
      </c>
      <c r="I262" s="331">
        <f t="shared" si="4388"/>
        <v>10848</v>
      </c>
      <c r="J262" s="332">
        <f t="shared" si="1"/>
        <v>18260</v>
      </c>
      <c r="K262" s="333">
        <f t="shared" ref="K262:L262" si="4389">IF(ISBLANK(M262),,M262-M261)</f>
        <v>2418</v>
      </c>
      <c r="L262" s="334">
        <f t="shared" si="4389"/>
        <v>33</v>
      </c>
      <c r="M262" s="335">
        <v>53909</v>
      </c>
      <c r="N262" s="336">
        <v>753</v>
      </c>
      <c r="O262" s="337">
        <f t="shared" ref="O262:P262" si="4390">IF(ISBLANK(Q262),,Q262-Q261)</f>
        <v>738</v>
      </c>
      <c r="P262" s="338">
        <f t="shared" si="4390"/>
        <v>18</v>
      </c>
      <c r="Q262" s="335">
        <v>43262</v>
      </c>
      <c r="R262" s="339">
        <v>403</v>
      </c>
      <c r="S262" s="316">
        <f t="shared" ref="S262:T262" si="4391">IF(ISBLANK(U262),,U262-U261)</f>
        <v>1294</v>
      </c>
      <c r="T262" s="334">
        <f t="shared" si="4391"/>
        <v>22</v>
      </c>
      <c r="U262" s="335">
        <v>39176</v>
      </c>
      <c r="V262" s="336">
        <v>636</v>
      </c>
      <c r="W262" s="337">
        <f t="shared" ref="W262:X262" si="4392">IF(ISBLANK(Y262),,Y262-Y261)</f>
        <v>295</v>
      </c>
      <c r="X262" s="334">
        <f t="shared" si="4392"/>
        <v>0</v>
      </c>
      <c r="Y262" s="335">
        <v>15695</v>
      </c>
      <c r="Z262" s="340">
        <v>196</v>
      </c>
      <c r="AA262" s="316">
        <f t="shared" ref="AA262:AB262" si="4393">IF(ISBLANK(AC262),,AC262-AC261)</f>
        <v>1096</v>
      </c>
      <c r="AB262" s="334">
        <f t="shared" si="4393"/>
        <v>11</v>
      </c>
      <c r="AC262" s="335">
        <v>51892</v>
      </c>
      <c r="AD262" s="336">
        <v>616</v>
      </c>
      <c r="AE262" s="337">
        <f t="shared" ref="AE262:AF262" si="4394">IF(ISBLANK(AG262),,AG262-AG261)</f>
        <v>1724</v>
      </c>
      <c r="AF262" s="334">
        <f t="shared" si="4394"/>
        <v>39</v>
      </c>
      <c r="AG262" s="335">
        <v>81005</v>
      </c>
      <c r="AH262" s="339">
        <v>1268</v>
      </c>
      <c r="AI262" s="316">
        <f t="shared" ref="AI262:AJ262" si="4395">IF(ISBLANK(AK262),,AK262-AK261)</f>
        <v>2272</v>
      </c>
      <c r="AJ262" s="334">
        <f t="shared" si="4395"/>
        <v>30</v>
      </c>
      <c r="AK262" s="335">
        <v>90775</v>
      </c>
      <c r="AL262" s="336">
        <v>1406</v>
      </c>
      <c r="AM262" s="337">
        <f t="shared" ref="AM262:AN262" si="4396">IF(ISBLANK(AO262),,AO262-AO261)</f>
        <v>732</v>
      </c>
      <c r="AN262" s="334">
        <f t="shared" si="4396"/>
        <v>24</v>
      </c>
      <c r="AO262" s="335">
        <v>21842</v>
      </c>
      <c r="AP262" s="339">
        <v>444</v>
      </c>
      <c r="AQ262" s="316">
        <f t="shared" ref="AQ262:AR262" si="4397">IF(ISBLANK(AS262),,AS262-AS261)</f>
        <v>551</v>
      </c>
      <c r="AR262" s="338">
        <f t="shared" si="4397"/>
        <v>23</v>
      </c>
      <c r="AS262" s="335">
        <v>42779</v>
      </c>
      <c r="AT262" s="336">
        <v>785</v>
      </c>
      <c r="AU262" s="337">
        <f t="shared" ref="AU262:AV262" si="4398">IF(ISBLANK(AW262),,AW262-AW261)</f>
        <v>512</v>
      </c>
      <c r="AV262" s="334">
        <f t="shared" si="4398"/>
        <v>6</v>
      </c>
      <c r="AW262" s="335">
        <v>19640</v>
      </c>
      <c r="AX262" s="339">
        <v>291</v>
      </c>
      <c r="AY262" s="316">
        <f t="shared" ref="AY262:AZ262" si="4399">IF(ISBLANK(BA262),,BA262-BA261)</f>
        <v>1325</v>
      </c>
      <c r="AZ262" s="334">
        <f t="shared" si="4399"/>
        <v>29</v>
      </c>
      <c r="BA262" s="335">
        <v>41507</v>
      </c>
      <c r="BB262" s="336">
        <v>554</v>
      </c>
      <c r="BC262" s="337">
        <f t="shared" ref="BC262:BD262" si="4400">IF(ISBLANK(BE262),,BE262-BE261)</f>
        <v>2442</v>
      </c>
      <c r="BD262" s="334">
        <f t="shared" si="4400"/>
        <v>50</v>
      </c>
      <c r="BE262" s="335">
        <v>104771</v>
      </c>
      <c r="BF262" s="339">
        <v>1552</v>
      </c>
      <c r="BG262" s="316">
        <f t="shared" ref="BG262:BH262" si="4401">IF(ISBLANK(BI262),,BI262-BI261)</f>
        <v>624</v>
      </c>
      <c r="BH262" s="334">
        <f t="shared" si="4401"/>
        <v>6</v>
      </c>
      <c r="BI262" s="335">
        <v>23362</v>
      </c>
      <c r="BJ262" s="336">
        <v>394</v>
      </c>
      <c r="BK262" s="337">
        <f t="shared" ref="BK262:BL262" si="4402">IF(ISBLANK(BM262),,BM262-BM261)</f>
        <v>463</v>
      </c>
      <c r="BL262" s="334">
        <f t="shared" si="4402"/>
        <v>21</v>
      </c>
      <c r="BM262" s="335">
        <v>20854</v>
      </c>
      <c r="BN262" s="339">
        <v>259</v>
      </c>
      <c r="BO262" s="316">
        <f t="shared" ref="BO262:BP262" si="4403">IF(ISBLANK(BQ262),,BQ262-BQ261)</f>
        <v>1475</v>
      </c>
      <c r="BP262" s="334">
        <f t="shared" si="4403"/>
        <v>32</v>
      </c>
      <c r="BQ262" s="335">
        <v>76760</v>
      </c>
      <c r="BR262" s="336">
        <v>1046</v>
      </c>
      <c r="BS262" s="316">
        <f t="shared" ref="BS262:BT262" si="4404">IF(ISBLANK(BU262),,BU262-BU261)</f>
        <v>1191</v>
      </c>
      <c r="BT262" s="334">
        <f t="shared" si="4404"/>
        <v>13</v>
      </c>
      <c r="BU262" s="335">
        <v>25711</v>
      </c>
      <c r="BV262" s="336">
        <v>245</v>
      </c>
      <c r="BW262" s="233"/>
      <c r="BX262" s="233"/>
      <c r="BY262" s="233"/>
      <c r="BZ262" s="233"/>
      <c r="CA262" s="233"/>
      <c r="CB262" s="233"/>
      <c r="CC262" s="233"/>
      <c r="CD262" s="233"/>
      <c r="CE262" s="233"/>
    </row>
    <row r="263" spans="1:83" x14ac:dyDescent="0.25">
      <c r="A263" s="313">
        <v>44153</v>
      </c>
      <c r="B263" s="314">
        <f t="shared" si="1276"/>
        <v>260</v>
      </c>
      <c r="C263" s="315"/>
      <c r="D263" s="316">
        <v>19883</v>
      </c>
      <c r="E263" s="317">
        <v>603</v>
      </c>
      <c r="F263" s="318">
        <v>342783</v>
      </c>
      <c r="G263" s="319"/>
      <c r="H263" s="330">
        <f t="shared" ref="H263:I263" si="4405">IF(ISBLANK(D263),,H262+D263)</f>
        <v>772823</v>
      </c>
      <c r="I263" s="331">
        <f t="shared" si="4405"/>
        <v>11451</v>
      </c>
      <c r="J263" s="332">
        <f t="shared" si="1"/>
        <v>18501</v>
      </c>
      <c r="K263" s="333">
        <f t="shared" ref="K263:L263" si="4406">IF(ISBLANK(M263),,M263-M262)</f>
        <v>2091</v>
      </c>
      <c r="L263" s="334">
        <f t="shared" si="4406"/>
        <v>39</v>
      </c>
      <c r="M263" s="335">
        <v>56000</v>
      </c>
      <c r="N263" s="336">
        <v>792</v>
      </c>
      <c r="O263" s="337">
        <f t="shared" ref="O263:P263" si="4407">IF(ISBLANK(Q263),,Q263-Q262)</f>
        <v>854</v>
      </c>
      <c r="P263" s="338">
        <f t="shared" si="4407"/>
        <v>19</v>
      </c>
      <c r="Q263" s="335">
        <v>44116</v>
      </c>
      <c r="R263" s="339">
        <v>422</v>
      </c>
      <c r="S263" s="316">
        <f t="shared" ref="S263:T263" si="4408">IF(ISBLANK(U263),,U263-U262)</f>
        <v>627</v>
      </c>
      <c r="T263" s="334">
        <f t="shared" si="4408"/>
        <v>37</v>
      </c>
      <c r="U263" s="335">
        <v>39803</v>
      </c>
      <c r="V263" s="336">
        <v>673</v>
      </c>
      <c r="W263" s="337">
        <f t="shared" ref="W263:X263" si="4409">IF(ISBLANK(Y263),,Y263-Y262)</f>
        <v>586</v>
      </c>
      <c r="X263" s="334">
        <f t="shared" si="4409"/>
        <v>16</v>
      </c>
      <c r="Y263" s="335">
        <v>16281</v>
      </c>
      <c r="Z263" s="340">
        <v>212</v>
      </c>
      <c r="AA263" s="316">
        <f t="shared" ref="AA263:AB263" si="4410">IF(ISBLANK(AC263),,AC263-AC262)</f>
        <v>1154</v>
      </c>
      <c r="AB263" s="334">
        <f t="shared" si="4410"/>
        <v>18</v>
      </c>
      <c r="AC263" s="335">
        <v>53046</v>
      </c>
      <c r="AD263" s="336">
        <v>634</v>
      </c>
      <c r="AE263" s="337">
        <f t="shared" ref="AE263:AF263" si="4411">IF(ISBLANK(AG263),,AG263-AG262)</f>
        <v>1608</v>
      </c>
      <c r="AF263" s="334">
        <f t="shared" si="4411"/>
        <v>73</v>
      </c>
      <c r="AG263" s="335">
        <v>82613</v>
      </c>
      <c r="AH263" s="339">
        <v>1341</v>
      </c>
      <c r="AI263" s="316">
        <f t="shared" ref="AI263:AJ263" si="4412">IF(ISBLANK(AK263),,AK263-AK262)</f>
        <v>3340</v>
      </c>
      <c r="AJ263" s="334">
        <f t="shared" si="4412"/>
        <v>69</v>
      </c>
      <c r="AK263" s="335">
        <v>94115</v>
      </c>
      <c r="AL263" s="336">
        <v>1475</v>
      </c>
      <c r="AM263" s="337">
        <f t="shared" ref="AM263:AN263" si="4413">IF(ISBLANK(AO263),,AO263-AO262)</f>
        <v>861</v>
      </c>
      <c r="AN263" s="334">
        <f t="shared" si="4413"/>
        <v>18</v>
      </c>
      <c r="AO263" s="335">
        <v>22703</v>
      </c>
      <c r="AP263" s="339">
        <v>462</v>
      </c>
      <c r="AQ263" s="316">
        <f t="shared" ref="AQ263:AR263" si="4414">IF(ISBLANK(AS263),,AS263-AS262)</f>
        <v>777</v>
      </c>
      <c r="AR263" s="338">
        <f t="shared" si="4414"/>
        <v>59</v>
      </c>
      <c r="AS263" s="335">
        <v>43556</v>
      </c>
      <c r="AT263" s="336">
        <v>844</v>
      </c>
      <c r="AU263" s="337">
        <f t="shared" ref="AU263:AV263" si="4415">IF(ISBLANK(AW263),,AW263-AW262)</f>
        <v>480</v>
      </c>
      <c r="AV263" s="334">
        <f t="shared" si="4415"/>
        <v>23</v>
      </c>
      <c r="AW263" s="335">
        <v>20120</v>
      </c>
      <c r="AX263" s="339">
        <v>314</v>
      </c>
      <c r="AY263" s="316">
        <f t="shared" ref="AY263:AZ263" si="4416">IF(ISBLANK(BA263),,BA263-BA262)</f>
        <v>1313</v>
      </c>
      <c r="AZ263" s="334">
        <f t="shared" si="4416"/>
        <v>29</v>
      </c>
      <c r="BA263" s="335">
        <v>42820</v>
      </c>
      <c r="BB263" s="336">
        <v>583</v>
      </c>
      <c r="BC263" s="337">
        <f t="shared" ref="BC263:BD263" si="4417">IF(ISBLANK(BE263),,BE263-BE262)</f>
        <v>2214</v>
      </c>
      <c r="BD263" s="334">
        <f t="shared" si="4417"/>
        <v>71</v>
      </c>
      <c r="BE263" s="335">
        <v>106985</v>
      </c>
      <c r="BF263" s="339">
        <v>1623</v>
      </c>
      <c r="BG263" s="316">
        <f t="shared" ref="BG263:BH263" si="4418">IF(ISBLANK(BI263),,BI263-BI262)</f>
        <v>870</v>
      </c>
      <c r="BH263" s="334">
        <f t="shared" si="4418"/>
        <v>37</v>
      </c>
      <c r="BI263" s="335">
        <v>24232</v>
      </c>
      <c r="BJ263" s="336">
        <v>431</v>
      </c>
      <c r="BK263" s="337">
        <f t="shared" ref="BK263:BL263" si="4419">IF(ISBLANK(BM263),,BM263-BM262)</f>
        <v>788</v>
      </c>
      <c r="BL263" s="334">
        <f t="shared" si="4419"/>
        <v>23</v>
      </c>
      <c r="BM263" s="335">
        <v>21642</v>
      </c>
      <c r="BN263" s="339">
        <v>282</v>
      </c>
      <c r="BO263" s="316">
        <f t="shared" ref="BO263:BP263" si="4420">IF(ISBLANK(BQ263),,BQ263-BQ262)</f>
        <v>1174</v>
      </c>
      <c r="BP263" s="334">
        <f t="shared" si="4420"/>
        <v>55</v>
      </c>
      <c r="BQ263" s="335">
        <v>77934</v>
      </c>
      <c r="BR263" s="336">
        <v>1101</v>
      </c>
      <c r="BS263" s="316">
        <f t="shared" ref="BS263:BT263" si="4421">IF(ISBLANK(BU263),,BU263-BU262)</f>
        <v>1146</v>
      </c>
      <c r="BT263" s="334">
        <f t="shared" si="4421"/>
        <v>17</v>
      </c>
      <c r="BU263" s="335">
        <v>26857</v>
      </c>
      <c r="BV263" s="336">
        <v>262</v>
      </c>
      <c r="BW263" s="233"/>
      <c r="BX263" s="233"/>
      <c r="BY263" s="233"/>
      <c r="BZ263" s="233"/>
      <c r="CA263" s="233"/>
      <c r="CB263" s="233"/>
      <c r="CC263" s="233"/>
      <c r="CD263" s="233"/>
      <c r="CE263" s="233"/>
    </row>
    <row r="264" spans="1:83" x14ac:dyDescent="0.25">
      <c r="A264" s="313">
        <v>44154</v>
      </c>
      <c r="B264" s="314">
        <f t="shared" si="1276"/>
        <v>261</v>
      </c>
      <c r="C264" s="315"/>
      <c r="D264" s="316">
        <v>23975</v>
      </c>
      <c r="E264" s="317">
        <v>637</v>
      </c>
      <c r="F264" s="318">
        <v>361886</v>
      </c>
      <c r="G264" s="319"/>
      <c r="H264" s="330">
        <f t="shared" ref="H264:I264" si="4422">IF(ISBLANK(D264),,H263+D264)</f>
        <v>796798</v>
      </c>
      <c r="I264" s="331">
        <f t="shared" si="4422"/>
        <v>12088</v>
      </c>
      <c r="J264" s="332">
        <f t="shared" si="1"/>
        <v>19103</v>
      </c>
      <c r="K264" s="333">
        <f t="shared" ref="K264:L264" si="4423">IF(ISBLANK(M264),,M264-M263)</f>
        <v>1808</v>
      </c>
      <c r="L264" s="334">
        <f t="shared" si="4423"/>
        <v>40</v>
      </c>
      <c r="M264" s="335">
        <v>57808</v>
      </c>
      <c r="N264" s="336">
        <v>832</v>
      </c>
      <c r="O264" s="337">
        <f t="shared" ref="O264:P264" si="4424">IF(ISBLANK(Q264),,Q264-Q263)</f>
        <v>940</v>
      </c>
      <c r="P264" s="338">
        <f t="shared" si="4424"/>
        <v>35</v>
      </c>
      <c r="Q264" s="335">
        <v>45056</v>
      </c>
      <c r="R264" s="339">
        <v>457</v>
      </c>
      <c r="S264" s="316">
        <f t="shared" ref="S264:T264" si="4425">IF(ISBLANK(U264),,U264-U263)</f>
        <v>1108</v>
      </c>
      <c r="T264" s="334">
        <f t="shared" si="4425"/>
        <v>32</v>
      </c>
      <c r="U264" s="335">
        <v>40911</v>
      </c>
      <c r="V264" s="336">
        <v>705</v>
      </c>
      <c r="W264" s="337">
        <f t="shared" ref="W264:X264" si="4426">IF(ISBLANK(Y264),,Y264-Y263)</f>
        <v>641</v>
      </c>
      <c r="X264" s="334">
        <f t="shared" si="4426"/>
        <v>32</v>
      </c>
      <c r="Y264" s="335">
        <v>16922</v>
      </c>
      <c r="Z264" s="340">
        <v>244</v>
      </c>
      <c r="AA264" s="316">
        <f t="shared" ref="AA264:AB264" si="4427">IF(ISBLANK(AC264),,AC264-AC263)</f>
        <v>1288</v>
      </c>
      <c r="AB264" s="334">
        <f t="shared" si="4427"/>
        <v>32</v>
      </c>
      <c r="AC264" s="335">
        <v>54334</v>
      </c>
      <c r="AD264" s="336">
        <v>666</v>
      </c>
      <c r="AE264" s="337">
        <f t="shared" ref="AE264:AF264" si="4428">IF(ISBLANK(AG264),,AG264-AG263)</f>
        <v>1670</v>
      </c>
      <c r="AF264" s="334">
        <f t="shared" si="4428"/>
        <v>79</v>
      </c>
      <c r="AG264" s="335">
        <v>84283</v>
      </c>
      <c r="AH264" s="339">
        <v>1420</v>
      </c>
      <c r="AI264" s="316">
        <f t="shared" ref="AI264:AJ264" si="4429">IF(ISBLANK(AK264),,AK264-AK263)</f>
        <v>3041</v>
      </c>
      <c r="AJ264" s="334">
        <f t="shared" si="4429"/>
        <v>76</v>
      </c>
      <c r="AK264" s="335">
        <v>97156</v>
      </c>
      <c r="AL264" s="336">
        <v>1551</v>
      </c>
      <c r="AM264" s="337">
        <f t="shared" ref="AM264:AN264" si="4430">IF(ISBLANK(AO264),,AO264-AO263)</f>
        <v>682</v>
      </c>
      <c r="AN264" s="334">
        <f t="shared" si="4430"/>
        <v>19</v>
      </c>
      <c r="AO264" s="335">
        <v>23385</v>
      </c>
      <c r="AP264" s="339">
        <v>481</v>
      </c>
      <c r="AQ264" s="316">
        <f t="shared" ref="AQ264:AR264" si="4431">IF(ISBLANK(AS264),,AS264-AS263)</f>
        <v>1096</v>
      </c>
      <c r="AR264" s="338">
        <f t="shared" si="4431"/>
        <v>51</v>
      </c>
      <c r="AS264" s="335">
        <v>44652</v>
      </c>
      <c r="AT264" s="336">
        <v>895</v>
      </c>
      <c r="AU264" s="337">
        <f t="shared" ref="AU264:AV264" si="4432">IF(ISBLANK(AW264),,AW264-AW263)</f>
        <v>517</v>
      </c>
      <c r="AV264" s="334">
        <f t="shared" si="4432"/>
        <v>22</v>
      </c>
      <c r="AW264" s="335">
        <v>20637</v>
      </c>
      <c r="AX264" s="339">
        <v>336</v>
      </c>
      <c r="AY264" s="316">
        <f t="shared" ref="AY264:AZ264" si="4433">IF(ISBLANK(BA264),,BA264-BA263)</f>
        <v>1499</v>
      </c>
      <c r="AZ264" s="334">
        <f t="shared" si="4433"/>
        <v>37</v>
      </c>
      <c r="BA264" s="335">
        <v>44319</v>
      </c>
      <c r="BB264" s="336">
        <v>620</v>
      </c>
      <c r="BC264" s="337">
        <f t="shared" ref="BC264:BD264" si="4434">IF(ISBLANK(BE264),,BE264-BE263)</f>
        <v>4377</v>
      </c>
      <c r="BD264" s="334">
        <f t="shared" si="4434"/>
        <v>86</v>
      </c>
      <c r="BE264" s="335">
        <v>111362</v>
      </c>
      <c r="BF264" s="339">
        <v>1709</v>
      </c>
      <c r="BG264" s="316">
        <f t="shared" ref="BG264:BH264" si="4435">IF(ISBLANK(BI264),,BI264-BI263)</f>
        <v>945</v>
      </c>
      <c r="BH264" s="334">
        <f t="shared" si="4435"/>
        <v>11</v>
      </c>
      <c r="BI264" s="335">
        <v>25177</v>
      </c>
      <c r="BJ264" s="336">
        <v>442</v>
      </c>
      <c r="BK264" s="337">
        <f t="shared" ref="BK264:BL264" si="4436">IF(ISBLANK(BM264),,BM264-BM263)</f>
        <v>1025</v>
      </c>
      <c r="BL264" s="334">
        <f t="shared" si="4436"/>
        <v>23</v>
      </c>
      <c r="BM264" s="335">
        <v>22667</v>
      </c>
      <c r="BN264" s="339">
        <v>305</v>
      </c>
      <c r="BO264" s="316">
        <f t="shared" ref="BO264:BP264" si="4437">IF(ISBLANK(BQ264),,BQ264-BQ263)</f>
        <v>2153</v>
      </c>
      <c r="BP264" s="334">
        <f t="shared" si="4437"/>
        <v>54</v>
      </c>
      <c r="BQ264" s="335">
        <v>80087</v>
      </c>
      <c r="BR264" s="336">
        <v>1155</v>
      </c>
      <c r="BS264" s="316">
        <f t="shared" ref="BS264:BT264" si="4438">IF(ISBLANK(BU264),,BU264-BU263)</f>
        <v>1185</v>
      </c>
      <c r="BT264" s="334">
        <f t="shared" si="4438"/>
        <v>8</v>
      </c>
      <c r="BU264" s="335">
        <v>28042</v>
      </c>
      <c r="BV264" s="336">
        <v>270</v>
      </c>
      <c r="BW264" s="233"/>
      <c r="BX264" s="233"/>
      <c r="BY264" s="233"/>
      <c r="BZ264" s="233"/>
      <c r="CA264" s="233"/>
      <c r="CB264" s="233"/>
      <c r="CC264" s="233"/>
      <c r="CD264" s="233"/>
      <c r="CE264" s="233"/>
    </row>
    <row r="265" spans="1:83" x14ac:dyDescent="0.25">
      <c r="A265" s="313">
        <v>44155</v>
      </c>
      <c r="B265" s="314">
        <f t="shared" si="1276"/>
        <v>262</v>
      </c>
      <c r="C265" s="315"/>
      <c r="D265" s="316">
        <v>22464</v>
      </c>
      <c r="E265" s="317">
        <v>626</v>
      </c>
      <c r="F265" s="318">
        <v>381800</v>
      </c>
      <c r="G265" s="319"/>
      <c r="H265" s="330">
        <f t="shared" ref="H265:I265" si="4439">IF(ISBLANK(D265),,H264+D265)</f>
        <v>819262</v>
      </c>
      <c r="I265" s="331">
        <f t="shared" si="4439"/>
        <v>12714</v>
      </c>
      <c r="J265" s="332">
        <f t="shared" si="1"/>
        <v>19914</v>
      </c>
      <c r="K265" s="333">
        <f t="shared" ref="K265:L265" si="4440">IF(ISBLANK(M265),,M265-M264)</f>
        <v>1626</v>
      </c>
      <c r="L265" s="334">
        <f t="shared" si="4440"/>
        <v>44</v>
      </c>
      <c r="M265" s="335">
        <v>59434</v>
      </c>
      <c r="N265" s="336">
        <v>876</v>
      </c>
      <c r="O265" s="337">
        <f t="shared" ref="O265:P265" si="4441">IF(ISBLANK(Q265),,Q265-Q264)</f>
        <v>1431</v>
      </c>
      <c r="P265" s="338">
        <f t="shared" si="4441"/>
        <v>13</v>
      </c>
      <c r="Q265" s="335">
        <v>46487</v>
      </c>
      <c r="R265" s="339">
        <v>470</v>
      </c>
      <c r="S265" s="316">
        <f t="shared" ref="S265:T265" si="4442">IF(ISBLANK(U265),,U265-U264)</f>
        <v>675</v>
      </c>
      <c r="T265" s="334">
        <f t="shared" si="4442"/>
        <v>45</v>
      </c>
      <c r="U265" s="335">
        <v>41586</v>
      </c>
      <c r="V265" s="336">
        <v>750</v>
      </c>
      <c r="W265" s="337">
        <f t="shared" ref="W265:X265" si="4443">IF(ISBLANK(Y265),,Y265-Y264)</f>
        <v>562</v>
      </c>
      <c r="X265" s="334">
        <f t="shared" si="4443"/>
        <v>14</v>
      </c>
      <c r="Y265" s="335">
        <v>17484</v>
      </c>
      <c r="Z265" s="340">
        <v>258</v>
      </c>
      <c r="AA265" s="316">
        <f t="shared" ref="AA265:AB265" si="4444">IF(ISBLANK(AC265),,AC265-AC264)</f>
        <v>1472</v>
      </c>
      <c r="AB265" s="334">
        <f t="shared" si="4444"/>
        <v>41</v>
      </c>
      <c r="AC265" s="335">
        <v>55806</v>
      </c>
      <c r="AD265" s="336">
        <v>707</v>
      </c>
      <c r="AE265" s="337">
        <f t="shared" ref="AE265:AF265" si="4445">IF(ISBLANK(AG265),,AG265-AG264)</f>
        <v>1999</v>
      </c>
      <c r="AF265" s="334">
        <f t="shared" si="4445"/>
        <v>77</v>
      </c>
      <c r="AG265" s="335">
        <v>86282</v>
      </c>
      <c r="AH265" s="339">
        <v>1497</v>
      </c>
      <c r="AI265" s="316">
        <f t="shared" ref="AI265:AJ265" si="4446">IF(ISBLANK(AK265),,AK265-AK264)</f>
        <v>2679</v>
      </c>
      <c r="AJ265" s="334">
        <f t="shared" si="4446"/>
        <v>60</v>
      </c>
      <c r="AK265" s="335">
        <v>99835</v>
      </c>
      <c r="AL265" s="336">
        <v>1611</v>
      </c>
      <c r="AM265" s="337">
        <f t="shared" ref="AM265:AN265" si="4447">IF(ISBLANK(AO265),,AO265-AO264)</f>
        <v>792</v>
      </c>
      <c r="AN265" s="334">
        <f t="shared" si="4447"/>
        <v>15</v>
      </c>
      <c r="AO265" s="335">
        <v>24177</v>
      </c>
      <c r="AP265" s="339">
        <v>496</v>
      </c>
      <c r="AQ265" s="316">
        <f t="shared" ref="AQ265:AR265" si="4448">IF(ISBLANK(AS265),,AS265-AS264)</f>
        <v>840</v>
      </c>
      <c r="AR265" s="338">
        <f t="shared" si="4448"/>
        <v>53</v>
      </c>
      <c r="AS265" s="335">
        <v>45492</v>
      </c>
      <c r="AT265" s="336">
        <v>948</v>
      </c>
      <c r="AU265" s="337">
        <f t="shared" ref="AU265:AV265" si="4449">IF(ISBLANK(AW265),,AW265-AW264)</f>
        <v>722</v>
      </c>
      <c r="AV265" s="334">
        <f t="shared" si="4449"/>
        <v>22</v>
      </c>
      <c r="AW265" s="335">
        <v>21359</v>
      </c>
      <c r="AX265" s="339">
        <v>358</v>
      </c>
      <c r="AY265" s="316">
        <f t="shared" ref="AY265:AZ265" si="4450">IF(ISBLANK(BA265),,BA265-BA264)</f>
        <v>1551</v>
      </c>
      <c r="AZ265" s="334">
        <f t="shared" si="4450"/>
        <v>25</v>
      </c>
      <c r="BA265" s="335">
        <v>45870</v>
      </c>
      <c r="BB265" s="336">
        <v>645</v>
      </c>
      <c r="BC265" s="337">
        <f t="shared" ref="BC265:BD265" si="4451">IF(ISBLANK(BE265),,BE265-BE264)</f>
        <v>2666</v>
      </c>
      <c r="BD265" s="334">
        <f t="shared" si="4451"/>
        <v>78</v>
      </c>
      <c r="BE265" s="335">
        <v>114028</v>
      </c>
      <c r="BF265" s="339">
        <v>1787</v>
      </c>
      <c r="BG265" s="316">
        <f t="shared" ref="BG265:BH265" si="4452">IF(ISBLANK(BI265),,BI265-BI264)</f>
        <v>860</v>
      </c>
      <c r="BH265" s="334">
        <f t="shared" si="4452"/>
        <v>28</v>
      </c>
      <c r="BI265" s="335">
        <v>26037</v>
      </c>
      <c r="BJ265" s="336">
        <v>470</v>
      </c>
      <c r="BK265" s="337">
        <f t="shared" ref="BK265:BL265" si="4453">IF(ISBLANK(BM265),,BM265-BM264)</f>
        <v>1055</v>
      </c>
      <c r="BL265" s="334">
        <f t="shared" si="4453"/>
        <v>15</v>
      </c>
      <c r="BM265" s="335">
        <v>23722</v>
      </c>
      <c r="BN265" s="339">
        <v>320</v>
      </c>
      <c r="BO265" s="316">
        <f t="shared" ref="BO265:BP265" si="4454">IF(ISBLANK(BQ265),,BQ265-BQ264)</f>
        <v>2258</v>
      </c>
      <c r="BP265" s="334">
        <f t="shared" si="4454"/>
        <v>72</v>
      </c>
      <c r="BQ265" s="335">
        <v>82345</v>
      </c>
      <c r="BR265" s="336">
        <v>1227</v>
      </c>
      <c r="BS265" s="316">
        <f t="shared" ref="BS265:BT265" si="4455">IF(ISBLANK(BU265),,BU265-BU264)</f>
        <v>1276</v>
      </c>
      <c r="BT265" s="334">
        <f t="shared" si="4455"/>
        <v>24</v>
      </c>
      <c r="BU265" s="335">
        <v>29318</v>
      </c>
      <c r="BV265" s="336">
        <v>294</v>
      </c>
      <c r="BW265" s="233"/>
      <c r="BX265" s="233"/>
      <c r="BY265" s="233"/>
      <c r="BZ265" s="233"/>
      <c r="CA265" s="233"/>
      <c r="CB265" s="233"/>
      <c r="CC265" s="233"/>
      <c r="CD265" s="233"/>
      <c r="CE265" s="233"/>
    </row>
    <row r="266" spans="1:83" x14ac:dyDescent="0.25">
      <c r="A266" s="313">
        <v>44156</v>
      </c>
      <c r="B266" s="314">
        <f t="shared" si="1276"/>
        <v>263</v>
      </c>
      <c r="C266" s="315"/>
      <c r="D266" s="316">
        <v>24213</v>
      </c>
      <c r="E266" s="317">
        <v>574</v>
      </c>
      <c r="F266" s="318">
        <v>407075</v>
      </c>
      <c r="G266" s="319"/>
      <c r="H266" s="330">
        <f t="shared" ref="H266:I266" si="4456">IF(ISBLANK(D266),,H265+D266)</f>
        <v>843475</v>
      </c>
      <c r="I266" s="331">
        <f t="shared" si="4456"/>
        <v>13288</v>
      </c>
      <c r="J266" s="332">
        <f t="shared" si="1"/>
        <v>25275</v>
      </c>
      <c r="K266" s="333">
        <f t="shared" ref="K266:L266" si="4457">IF(ISBLANK(M266),,M266-M265)</f>
        <v>1792</v>
      </c>
      <c r="L266" s="334">
        <f t="shared" si="4457"/>
        <v>47</v>
      </c>
      <c r="M266" s="335">
        <v>61226</v>
      </c>
      <c r="N266" s="336">
        <v>923</v>
      </c>
      <c r="O266" s="337">
        <f t="shared" ref="O266:P266" si="4458">IF(ISBLANK(Q266),,Q266-Q265)</f>
        <v>1257</v>
      </c>
      <c r="P266" s="338">
        <f t="shared" si="4458"/>
        <v>33</v>
      </c>
      <c r="Q266" s="335">
        <v>47744</v>
      </c>
      <c r="R266" s="339">
        <v>503</v>
      </c>
      <c r="S266" s="316">
        <f t="shared" ref="S266:T266" si="4459">IF(ISBLANK(U266),,U266-U265)</f>
        <v>1600</v>
      </c>
      <c r="T266" s="334">
        <f t="shared" si="4459"/>
        <v>43</v>
      </c>
      <c r="U266" s="335">
        <v>43186</v>
      </c>
      <c r="V266" s="336">
        <v>793</v>
      </c>
      <c r="W266" s="337">
        <f t="shared" ref="W266:X266" si="4460">IF(ISBLANK(Y266),,Y266-Y265)</f>
        <v>645</v>
      </c>
      <c r="X266" s="334">
        <f t="shared" si="4460"/>
        <v>16</v>
      </c>
      <c r="Y266" s="335">
        <v>18129</v>
      </c>
      <c r="Z266" s="340">
        <v>274</v>
      </c>
      <c r="AA266" s="316">
        <f t="shared" ref="AA266:AB266" si="4461">IF(ISBLANK(AC266),,AC266-AC265)</f>
        <v>1563</v>
      </c>
      <c r="AB266" s="334">
        <f t="shared" si="4461"/>
        <v>14</v>
      </c>
      <c r="AC266" s="335">
        <v>57369</v>
      </c>
      <c r="AD266" s="336">
        <v>721</v>
      </c>
      <c r="AE266" s="337">
        <f t="shared" ref="AE266:AF266" si="4462">IF(ISBLANK(AG266),,AG266-AG265)</f>
        <v>2213</v>
      </c>
      <c r="AF266" s="334">
        <f t="shared" si="4462"/>
        <v>90</v>
      </c>
      <c r="AG266" s="335">
        <v>88495</v>
      </c>
      <c r="AH266" s="339">
        <v>1587</v>
      </c>
      <c r="AI266" s="316">
        <f t="shared" ref="AI266:AJ266" si="4463">IF(ISBLANK(AK266),,AK266-AK265)</f>
        <v>3086</v>
      </c>
      <c r="AJ266" s="334">
        <f t="shared" si="4463"/>
        <v>53</v>
      </c>
      <c r="AK266" s="335">
        <v>102921</v>
      </c>
      <c r="AL266" s="336">
        <v>1664</v>
      </c>
      <c r="AM266" s="337">
        <f t="shared" ref="AM266:AN266" si="4464">IF(ISBLANK(AO266),,AO266-AO265)</f>
        <v>703</v>
      </c>
      <c r="AN266" s="334">
        <f t="shared" si="4464"/>
        <v>14</v>
      </c>
      <c r="AO266" s="335">
        <v>24880</v>
      </c>
      <c r="AP266" s="339">
        <v>510</v>
      </c>
      <c r="AQ266" s="316">
        <f t="shared" ref="AQ266:AR266" si="4465">IF(ISBLANK(AS266),,AS266-AS265)</f>
        <v>872</v>
      </c>
      <c r="AR266" s="338">
        <f t="shared" si="4465"/>
        <v>46</v>
      </c>
      <c r="AS266" s="335">
        <v>46364</v>
      </c>
      <c r="AT266" s="336">
        <v>994</v>
      </c>
      <c r="AU266" s="337">
        <f t="shared" ref="AU266:AV266" si="4466">IF(ISBLANK(AW266),,AW266-AW265)</f>
        <v>927</v>
      </c>
      <c r="AV266" s="334">
        <f t="shared" si="4466"/>
        <v>12</v>
      </c>
      <c r="AW266" s="335">
        <v>22286</v>
      </c>
      <c r="AX266" s="339">
        <v>370</v>
      </c>
      <c r="AY266" s="316">
        <f t="shared" ref="AY266:AZ266" si="4467">IF(ISBLANK(BA266),,BA266-BA265)</f>
        <v>1715</v>
      </c>
      <c r="AZ266" s="334">
        <f t="shared" si="4467"/>
        <v>25</v>
      </c>
      <c r="BA266" s="335">
        <v>47585</v>
      </c>
      <c r="BB266" s="336">
        <v>670</v>
      </c>
      <c r="BC266" s="337">
        <f t="shared" ref="BC266:BD266" si="4468">IF(ISBLANK(BE266),,BE266-BE265)</f>
        <v>2263</v>
      </c>
      <c r="BD266" s="334">
        <f t="shared" si="4468"/>
        <v>62</v>
      </c>
      <c r="BE266" s="335">
        <v>116291</v>
      </c>
      <c r="BF266" s="339">
        <v>1849</v>
      </c>
      <c r="BG266" s="316">
        <f t="shared" ref="BG266:BH266" si="4469">IF(ISBLANK(BI266),,BI266-BI265)</f>
        <v>760</v>
      </c>
      <c r="BH266" s="334">
        <f t="shared" si="4469"/>
        <v>11</v>
      </c>
      <c r="BI266" s="335">
        <v>26797</v>
      </c>
      <c r="BJ266" s="336">
        <v>481</v>
      </c>
      <c r="BK266" s="337">
        <f t="shared" ref="BK266:BL266" si="4470">IF(ISBLANK(BM266),,BM266-BM265)</f>
        <v>1191</v>
      </c>
      <c r="BL266" s="334">
        <f t="shared" si="4470"/>
        <v>24</v>
      </c>
      <c r="BM266" s="335">
        <v>24913</v>
      </c>
      <c r="BN266" s="339">
        <v>344</v>
      </c>
      <c r="BO266" s="316">
        <f t="shared" ref="BO266:BP266" si="4471">IF(ISBLANK(BQ266),,BQ266-BQ265)</f>
        <v>2525</v>
      </c>
      <c r="BP266" s="334">
        <f t="shared" si="4471"/>
        <v>50</v>
      </c>
      <c r="BQ266" s="335">
        <v>84870</v>
      </c>
      <c r="BR266" s="336">
        <v>1277</v>
      </c>
      <c r="BS266" s="316">
        <f t="shared" ref="BS266:BT266" si="4472">IF(ISBLANK(BU266),,BU266-BU265)</f>
        <v>1101</v>
      </c>
      <c r="BT266" s="334">
        <f t="shared" si="4472"/>
        <v>34</v>
      </c>
      <c r="BU266" s="335">
        <v>30419</v>
      </c>
      <c r="BV266" s="336">
        <v>328</v>
      </c>
      <c r="BW266" s="233"/>
      <c r="BX266" s="233"/>
      <c r="BY266" s="233"/>
      <c r="BZ266" s="233"/>
      <c r="CA266" s="233"/>
      <c r="CB266" s="233"/>
      <c r="CC266" s="233"/>
      <c r="CD266" s="233"/>
      <c r="CE266" s="233"/>
    </row>
    <row r="267" spans="1:83" x14ac:dyDescent="0.25">
      <c r="A267" s="313">
        <v>44157</v>
      </c>
      <c r="B267" s="314">
        <f t="shared" si="1276"/>
        <v>264</v>
      </c>
      <c r="C267" s="315"/>
      <c r="D267" s="316">
        <v>17856</v>
      </c>
      <c r="E267" s="317">
        <v>330</v>
      </c>
      <c r="F267" s="318">
        <v>423971</v>
      </c>
      <c r="G267" s="319">
        <v>861331</v>
      </c>
      <c r="H267" s="330">
        <f t="shared" ref="H267:I267" si="4473">IF(ISBLANK(D267),,H266+D267)</f>
        <v>861331</v>
      </c>
      <c r="I267" s="331">
        <f t="shared" si="4473"/>
        <v>13618</v>
      </c>
      <c r="J267" s="332">
        <f t="shared" si="1"/>
        <v>16896</v>
      </c>
      <c r="K267" s="333">
        <f t="shared" ref="K267:L267" si="4474">IF(ISBLANK(M267),,M267-M266)</f>
        <v>1005</v>
      </c>
      <c r="L267" s="334">
        <f t="shared" si="4474"/>
        <v>13</v>
      </c>
      <c r="M267" s="335">
        <v>62231</v>
      </c>
      <c r="N267" s="336">
        <v>936</v>
      </c>
      <c r="O267" s="337">
        <f t="shared" ref="O267:P267" si="4475">IF(ISBLANK(Q267),,Q267-Q266)</f>
        <v>1000</v>
      </c>
      <c r="P267" s="338">
        <f t="shared" si="4475"/>
        <v>7</v>
      </c>
      <c r="Q267" s="335">
        <v>48744</v>
      </c>
      <c r="R267" s="339">
        <v>510</v>
      </c>
      <c r="S267" s="316">
        <f t="shared" ref="S267:T267" si="4476">IF(ISBLANK(U267),,U267-U266)</f>
        <v>900</v>
      </c>
      <c r="T267" s="334">
        <f t="shared" si="4476"/>
        <v>27</v>
      </c>
      <c r="U267" s="335">
        <v>44086</v>
      </c>
      <c r="V267" s="336">
        <v>820</v>
      </c>
      <c r="W267" s="337">
        <f t="shared" ref="W267:X267" si="4477">IF(ISBLANK(Y267),,Y267-Y266)</f>
        <v>572</v>
      </c>
      <c r="X267" s="334">
        <f t="shared" si="4477"/>
        <v>6</v>
      </c>
      <c r="Y267" s="335">
        <v>18701</v>
      </c>
      <c r="Z267" s="340">
        <v>280</v>
      </c>
      <c r="AA267" s="316">
        <f t="shared" ref="AA267:AB267" si="4478">IF(ISBLANK(AC267),,AC267-AC266)</f>
        <v>1136</v>
      </c>
      <c r="AB267" s="334">
        <f t="shared" si="4478"/>
        <v>17</v>
      </c>
      <c r="AC267" s="335">
        <v>58505</v>
      </c>
      <c r="AD267" s="336">
        <v>738</v>
      </c>
      <c r="AE267" s="337">
        <f t="shared" ref="AE267:AF267" si="4479">IF(ISBLANK(AG267),,AG267-AG266)</f>
        <v>1444</v>
      </c>
      <c r="AF267" s="334">
        <f t="shared" si="4479"/>
        <v>38</v>
      </c>
      <c r="AG267" s="335">
        <v>89939</v>
      </c>
      <c r="AH267" s="339">
        <v>1625</v>
      </c>
      <c r="AI267" s="316">
        <f t="shared" ref="AI267:AJ267" si="4480">IF(ISBLANK(AK267),,AK267-AK266)</f>
        <v>2607</v>
      </c>
      <c r="AJ267" s="334">
        <f t="shared" si="4480"/>
        <v>51</v>
      </c>
      <c r="AK267" s="335">
        <v>105528</v>
      </c>
      <c r="AL267" s="336">
        <v>1715</v>
      </c>
      <c r="AM267" s="337">
        <f t="shared" ref="AM267:AN267" si="4481">IF(ISBLANK(AO267),,AO267-AO266)</f>
        <v>563</v>
      </c>
      <c r="AN267" s="334">
        <f t="shared" si="4481"/>
        <v>11</v>
      </c>
      <c r="AO267" s="335">
        <v>25443</v>
      </c>
      <c r="AP267" s="339">
        <v>521</v>
      </c>
      <c r="AQ267" s="316">
        <f t="shared" ref="AQ267:AR267" si="4482">IF(ISBLANK(AS267),,AS267-AS266)</f>
        <v>703</v>
      </c>
      <c r="AR267" s="338">
        <f t="shared" si="4482"/>
        <v>33</v>
      </c>
      <c r="AS267" s="335">
        <v>47067</v>
      </c>
      <c r="AT267" s="336">
        <v>1027</v>
      </c>
      <c r="AU267" s="337">
        <f t="shared" ref="AU267:AV267" si="4483">IF(ISBLANK(AW267),,AW267-AW266)</f>
        <v>865</v>
      </c>
      <c r="AV267" s="334">
        <f t="shared" si="4483"/>
        <v>17</v>
      </c>
      <c r="AW267" s="335">
        <v>23151</v>
      </c>
      <c r="AX267" s="339">
        <v>387</v>
      </c>
      <c r="AY267" s="316">
        <f t="shared" ref="AY267:AZ267" si="4484">IF(ISBLANK(BA267),,BA267-BA266)</f>
        <v>1139</v>
      </c>
      <c r="AZ267" s="334">
        <f t="shared" si="4484"/>
        <v>13</v>
      </c>
      <c r="BA267" s="335">
        <v>48724</v>
      </c>
      <c r="BB267" s="336">
        <v>683</v>
      </c>
      <c r="BC267" s="337">
        <f t="shared" ref="BC267:BD267" si="4485">IF(ISBLANK(BE267),,BE267-BE266)</f>
        <v>1611</v>
      </c>
      <c r="BD267" s="334">
        <f t="shared" si="4485"/>
        <v>29</v>
      </c>
      <c r="BE267" s="335">
        <v>117902</v>
      </c>
      <c r="BF267" s="339">
        <v>1878</v>
      </c>
      <c r="BG267" s="316">
        <f t="shared" ref="BG267:BH267" si="4486">IF(ISBLANK(BI267),,BI267-BI266)</f>
        <v>391</v>
      </c>
      <c r="BH267" s="334">
        <f t="shared" si="4486"/>
        <v>12</v>
      </c>
      <c r="BI267" s="335">
        <v>27188</v>
      </c>
      <c r="BJ267" s="336">
        <v>493</v>
      </c>
      <c r="BK267" s="337">
        <f t="shared" ref="BK267:BL267" si="4487">IF(ISBLANK(BM267),,BM267-BM266)</f>
        <v>890</v>
      </c>
      <c r="BL267" s="334">
        <f t="shared" si="4487"/>
        <v>3</v>
      </c>
      <c r="BM267" s="335">
        <v>25803</v>
      </c>
      <c r="BN267" s="339">
        <v>347</v>
      </c>
      <c r="BO267" s="316">
        <f t="shared" ref="BO267:BP267" si="4488">IF(ISBLANK(BQ267),,BQ267-BQ266)</f>
        <v>2070</v>
      </c>
      <c r="BP267" s="334">
        <f t="shared" si="4488"/>
        <v>23</v>
      </c>
      <c r="BQ267" s="335">
        <v>86940</v>
      </c>
      <c r="BR267" s="336">
        <v>1300</v>
      </c>
      <c r="BS267" s="316">
        <f t="shared" ref="BS267:BT267" si="4489">IF(ISBLANK(BU267),,BU267-BU266)</f>
        <v>960</v>
      </c>
      <c r="BT267" s="334">
        <f t="shared" si="4489"/>
        <v>30</v>
      </c>
      <c r="BU267" s="335">
        <v>31379</v>
      </c>
      <c r="BV267" s="336">
        <v>358</v>
      </c>
      <c r="BW267" s="233"/>
      <c r="BX267" s="233"/>
      <c r="BY267" s="233"/>
      <c r="BZ267" s="233"/>
      <c r="CA267" s="233"/>
      <c r="CB267" s="233"/>
      <c r="CC267" s="233"/>
      <c r="CD267" s="233"/>
      <c r="CE267" s="233"/>
    </row>
    <row r="268" spans="1:83" x14ac:dyDescent="0.25">
      <c r="A268" s="313">
        <v>44158</v>
      </c>
      <c r="B268" s="314">
        <f t="shared" si="1276"/>
        <v>265</v>
      </c>
      <c r="C268" s="315"/>
      <c r="D268" s="316">
        <v>15002</v>
      </c>
      <c r="E268" s="317">
        <v>156</v>
      </c>
      <c r="F268" s="318">
        <v>438868</v>
      </c>
      <c r="G268" s="319">
        <v>898927</v>
      </c>
      <c r="H268" s="330">
        <f t="shared" ref="H268:I268" si="4490">IF(ISBLANK(D268),,H267+D268)</f>
        <v>876333</v>
      </c>
      <c r="I268" s="331">
        <f t="shared" si="4490"/>
        <v>13774</v>
      </c>
      <c r="J268" s="332">
        <f t="shared" si="1"/>
        <v>14897</v>
      </c>
      <c r="K268" s="333">
        <f t="shared" ref="K268:L268" si="4491">IF(ISBLANK(M268),,M268-M267)</f>
        <v>1035</v>
      </c>
      <c r="L268" s="334">
        <f t="shared" si="4491"/>
        <v>5</v>
      </c>
      <c r="M268" s="335">
        <v>63266</v>
      </c>
      <c r="N268" s="336">
        <v>941</v>
      </c>
      <c r="O268" s="337">
        <f t="shared" ref="O268:P268" si="4492">IF(ISBLANK(Q268),,Q268-Q267)</f>
        <v>931</v>
      </c>
      <c r="P268" s="338">
        <f t="shared" si="4492"/>
        <v>1</v>
      </c>
      <c r="Q268" s="335">
        <v>49675</v>
      </c>
      <c r="R268" s="339">
        <v>511</v>
      </c>
      <c r="S268" s="316">
        <f t="shared" ref="S268:T268" si="4493">IF(ISBLANK(U268),,U268-U267)</f>
        <v>795</v>
      </c>
      <c r="T268" s="334">
        <f t="shared" si="4493"/>
        <v>16</v>
      </c>
      <c r="U268" s="335">
        <v>44881</v>
      </c>
      <c r="V268" s="336">
        <v>836</v>
      </c>
      <c r="W268" s="337">
        <f t="shared" ref="W268:X268" si="4494">IF(ISBLANK(Y268),,Y268-Y267)</f>
        <v>406</v>
      </c>
      <c r="X268" s="334">
        <f t="shared" si="4494"/>
        <v>6</v>
      </c>
      <c r="Y268" s="335">
        <v>19107</v>
      </c>
      <c r="Z268" s="340">
        <v>286</v>
      </c>
      <c r="AA268" s="316">
        <f t="shared" ref="AA268:AB268" si="4495">IF(ISBLANK(AC268),,AC268-AC267)</f>
        <v>906</v>
      </c>
      <c r="AB268" s="334">
        <f t="shared" si="4495"/>
        <v>26</v>
      </c>
      <c r="AC268" s="335">
        <v>59411</v>
      </c>
      <c r="AD268" s="336">
        <v>764</v>
      </c>
      <c r="AE268" s="337">
        <f t="shared" ref="AE268:AF268" si="4496">IF(ISBLANK(AG268),,AG268-AG267)</f>
        <v>1401</v>
      </c>
      <c r="AF268" s="334">
        <f t="shared" si="4496"/>
        <v>33</v>
      </c>
      <c r="AG268" s="335">
        <v>91340</v>
      </c>
      <c r="AH268" s="339">
        <v>1658</v>
      </c>
      <c r="AI268" s="316">
        <f t="shared" ref="AI268:AJ268" si="4497">IF(ISBLANK(AK268),,AK268-AK267)</f>
        <v>2295</v>
      </c>
      <c r="AJ268" s="334">
        <f t="shared" si="4497"/>
        <v>7</v>
      </c>
      <c r="AK268" s="335">
        <v>107823</v>
      </c>
      <c r="AL268" s="336">
        <v>1722</v>
      </c>
      <c r="AM268" s="337">
        <f t="shared" ref="AM268:AN268" si="4498">IF(ISBLANK(AO268),,AO268-AO267)</f>
        <v>493</v>
      </c>
      <c r="AN268" s="334">
        <f t="shared" si="4498"/>
        <v>2</v>
      </c>
      <c r="AO268" s="335">
        <v>25936</v>
      </c>
      <c r="AP268" s="339">
        <v>523</v>
      </c>
      <c r="AQ268" s="316">
        <f t="shared" ref="AQ268:AR268" si="4499">IF(ISBLANK(AS268),,AS268-AS267)</f>
        <v>540</v>
      </c>
      <c r="AR268" s="338">
        <f t="shared" si="4499"/>
        <v>13</v>
      </c>
      <c r="AS268" s="335">
        <v>47607</v>
      </c>
      <c r="AT268" s="336">
        <v>1040</v>
      </c>
      <c r="AU268" s="337">
        <f t="shared" ref="AU268:AV268" si="4500">IF(ISBLANK(AW268),,AW268-AW267)</f>
        <v>455</v>
      </c>
      <c r="AV268" s="334">
        <f t="shared" si="4500"/>
        <v>3</v>
      </c>
      <c r="AW268" s="335">
        <v>23606</v>
      </c>
      <c r="AX268" s="339">
        <v>390</v>
      </c>
      <c r="AY268" s="316">
        <f t="shared" ref="AY268:AZ268" si="4501">IF(ISBLANK(BA268),,BA268-BA267)</f>
        <v>959</v>
      </c>
      <c r="AZ268" s="334">
        <f t="shared" si="4501"/>
        <v>9</v>
      </c>
      <c r="BA268" s="335">
        <v>49683</v>
      </c>
      <c r="BB268" s="336">
        <v>692</v>
      </c>
      <c r="BC268" s="337">
        <f t="shared" ref="BC268:BD268" si="4502">IF(ISBLANK(BE268),,BE268-BE267)</f>
        <v>694</v>
      </c>
      <c r="BD268" s="334">
        <f t="shared" si="4502"/>
        <v>11</v>
      </c>
      <c r="BE268" s="335">
        <v>118596</v>
      </c>
      <c r="BF268" s="339">
        <v>1889</v>
      </c>
      <c r="BG268" s="316">
        <f t="shared" ref="BG268:BH268" si="4503">IF(ISBLANK(BI268),,BI268-BI267)</f>
        <v>364</v>
      </c>
      <c r="BH268" s="334">
        <f t="shared" si="4503"/>
        <v>3</v>
      </c>
      <c r="BI268" s="335">
        <v>27552</v>
      </c>
      <c r="BJ268" s="336">
        <v>496</v>
      </c>
      <c r="BK268" s="337">
        <f t="shared" ref="BK268:BL268" si="4504">IF(ISBLANK(BM268),,BM268-BM267)</f>
        <v>864</v>
      </c>
      <c r="BL268" s="334">
        <f t="shared" si="4504"/>
        <v>2</v>
      </c>
      <c r="BM268" s="335">
        <v>26667</v>
      </c>
      <c r="BN268" s="339">
        <v>349</v>
      </c>
      <c r="BO268" s="316">
        <f t="shared" ref="BO268:BP268" si="4505">IF(ISBLANK(BQ268),,BQ268-BQ267)</f>
        <v>1899</v>
      </c>
      <c r="BP268" s="334">
        <f t="shared" si="4505"/>
        <v>12</v>
      </c>
      <c r="BQ268" s="335">
        <v>88839</v>
      </c>
      <c r="BR268" s="336">
        <v>1312</v>
      </c>
      <c r="BS268" s="316">
        <f t="shared" ref="BS268:BT268" si="4506">IF(ISBLANK(BU268),,BU268-BU267)</f>
        <v>965</v>
      </c>
      <c r="BT268" s="334">
        <f t="shared" si="4506"/>
        <v>7</v>
      </c>
      <c r="BU268" s="335">
        <v>32344</v>
      </c>
      <c r="BV268" s="336">
        <v>365</v>
      </c>
      <c r="BW268" s="233"/>
      <c r="BX268" s="233"/>
      <c r="BY268" s="233"/>
      <c r="BZ268" s="233"/>
      <c r="CA268" s="233"/>
      <c r="CB268" s="233"/>
      <c r="CC268" s="233"/>
      <c r="CD268" s="233"/>
      <c r="CE268" s="233"/>
    </row>
    <row r="269" spans="1:83" x14ac:dyDescent="0.25">
      <c r="A269" s="313">
        <v>44159</v>
      </c>
      <c r="B269" s="314">
        <f t="shared" si="1276"/>
        <v>266</v>
      </c>
      <c r="C269" s="315"/>
      <c r="D269" s="316">
        <v>32733</v>
      </c>
      <c r="E269" s="317">
        <v>540</v>
      </c>
      <c r="F269" s="318">
        <v>454717</v>
      </c>
      <c r="G269" s="319">
        <v>909060</v>
      </c>
      <c r="H269" s="330">
        <f t="shared" ref="H269:I269" si="4507">IF(ISBLANK(D269),,H268+D269)</f>
        <v>909066</v>
      </c>
      <c r="I269" s="331">
        <f t="shared" si="4507"/>
        <v>14314</v>
      </c>
      <c r="J269" s="332">
        <f t="shared" si="1"/>
        <v>15849</v>
      </c>
      <c r="K269" s="333">
        <f t="shared" ref="K269:L269" si="4508">IF(ISBLANK(M269),,M269-M268)</f>
        <v>1035</v>
      </c>
      <c r="L269" s="334">
        <f t="shared" si="4508"/>
        <v>51</v>
      </c>
      <c r="M269" s="335">
        <v>64301</v>
      </c>
      <c r="N269" s="336">
        <v>992</v>
      </c>
      <c r="O269" s="337">
        <f t="shared" ref="O269:P269" si="4509">IF(ISBLANK(Q269),,Q269-Q268)</f>
        <v>521</v>
      </c>
      <c r="P269" s="338">
        <f t="shared" si="4509"/>
        <v>17</v>
      </c>
      <c r="Q269" s="335">
        <v>50196</v>
      </c>
      <c r="R269" s="339">
        <v>528</v>
      </c>
      <c r="S269" s="316">
        <f t="shared" ref="S269:T269" si="4510">IF(ISBLANK(U269),,U269-U268)</f>
        <v>670</v>
      </c>
      <c r="T269" s="334">
        <f t="shared" si="4510"/>
        <v>8</v>
      </c>
      <c r="U269" s="335">
        <v>45551</v>
      </c>
      <c r="V269" s="336">
        <v>844</v>
      </c>
      <c r="W269" s="337">
        <f t="shared" ref="W269:X269" si="4511">IF(ISBLANK(Y269),,Y269-Y268)</f>
        <v>267</v>
      </c>
      <c r="X269" s="334">
        <f t="shared" si="4511"/>
        <v>14</v>
      </c>
      <c r="Y269" s="335">
        <v>19374</v>
      </c>
      <c r="Z269" s="340">
        <v>300</v>
      </c>
      <c r="AA269" s="316">
        <f t="shared" ref="AA269:AB269" si="4512">IF(ISBLANK(AC269),,AC269-AC268)</f>
        <v>563</v>
      </c>
      <c r="AB269" s="334">
        <f t="shared" si="4512"/>
        <v>39</v>
      </c>
      <c r="AC269" s="335">
        <v>59974</v>
      </c>
      <c r="AD269" s="336">
        <v>803</v>
      </c>
      <c r="AE269" s="337">
        <f t="shared" ref="AE269:AF269" si="4513">IF(ISBLANK(AG269),,AG269-AG268)</f>
        <v>486</v>
      </c>
      <c r="AF269" s="334">
        <f t="shared" si="4513"/>
        <v>64</v>
      </c>
      <c r="AG269" s="335">
        <v>91826</v>
      </c>
      <c r="AH269" s="339">
        <v>1722</v>
      </c>
      <c r="AI269" s="316">
        <f t="shared" ref="AI269:AJ269" si="4514">IF(ISBLANK(AK269),,AK269-AK268)</f>
        <v>1166</v>
      </c>
      <c r="AJ269" s="334">
        <f t="shared" si="4514"/>
        <v>51</v>
      </c>
      <c r="AK269" s="335">
        <v>108989</v>
      </c>
      <c r="AL269" s="336">
        <v>1773</v>
      </c>
      <c r="AM269" s="337">
        <f t="shared" ref="AM269:AN269" si="4515">IF(ISBLANK(AO269),,AO269-AO268)</f>
        <v>512</v>
      </c>
      <c r="AN269" s="334">
        <f t="shared" si="4515"/>
        <v>24</v>
      </c>
      <c r="AO269" s="335">
        <v>26448</v>
      </c>
      <c r="AP269" s="339">
        <v>547</v>
      </c>
      <c r="AQ269" s="316">
        <f t="shared" ref="AQ269:AR269" si="4516">IF(ISBLANK(AS269),,AS269-AS268)</f>
        <v>540</v>
      </c>
      <c r="AR269" s="338">
        <f t="shared" si="4516"/>
        <v>13</v>
      </c>
      <c r="AS269" s="335">
        <v>48147</v>
      </c>
      <c r="AT269" s="336">
        <v>1053</v>
      </c>
      <c r="AU269" s="337">
        <f t="shared" ref="AU269:AV269" si="4517">IF(ISBLANK(AW269),,AW269-AW268)</f>
        <v>309</v>
      </c>
      <c r="AV269" s="334">
        <f t="shared" si="4517"/>
        <v>19</v>
      </c>
      <c r="AW269" s="335">
        <v>23915</v>
      </c>
      <c r="AX269" s="339">
        <v>409</v>
      </c>
      <c r="AY269" s="316">
        <f t="shared" ref="AY269:AZ269" si="4518">IF(ISBLANK(BA269),,BA269-BA268)</f>
        <v>979</v>
      </c>
      <c r="AZ269" s="334">
        <f t="shared" si="4518"/>
        <v>35</v>
      </c>
      <c r="BA269" s="335">
        <v>50662</v>
      </c>
      <c r="BB269" s="336">
        <v>727</v>
      </c>
      <c r="BC269" s="337">
        <f t="shared" ref="BC269:BD269" si="4519">IF(ISBLANK(BE269),,BE269-BE268)</f>
        <v>945</v>
      </c>
      <c r="BD269" s="334">
        <f t="shared" si="4519"/>
        <v>77</v>
      </c>
      <c r="BE269" s="335">
        <v>119541</v>
      </c>
      <c r="BF269" s="339">
        <v>1966</v>
      </c>
      <c r="BG269" s="316">
        <f t="shared" ref="BG269:BH269" si="4520">IF(ISBLANK(BI269),,BI269-BI268)</f>
        <v>359</v>
      </c>
      <c r="BH269" s="334">
        <f t="shared" si="4520"/>
        <v>17</v>
      </c>
      <c r="BI269" s="335">
        <v>27911</v>
      </c>
      <c r="BJ269" s="336">
        <v>513</v>
      </c>
      <c r="BK269" s="337">
        <f t="shared" ref="BK269:BL269" si="4521">IF(ISBLANK(BM269),,BM269-BM268)</f>
        <v>473</v>
      </c>
      <c r="BL269" s="334">
        <f t="shared" si="4521"/>
        <v>31</v>
      </c>
      <c r="BM269" s="335">
        <v>27140</v>
      </c>
      <c r="BN269" s="339">
        <v>380</v>
      </c>
      <c r="BO269" s="316">
        <f t="shared" ref="BO269:BP269" si="4522">IF(ISBLANK(BQ269),,BQ269-BQ268)</f>
        <v>630</v>
      </c>
      <c r="BP269" s="334">
        <f t="shared" si="4522"/>
        <v>41</v>
      </c>
      <c r="BQ269" s="335">
        <v>89469</v>
      </c>
      <c r="BR269" s="336">
        <v>1353</v>
      </c>
      <c r="BS269" s="316">
        <f t="shared" ref="BS269:BT269" si="4523">IF(ISBLANK(BU269),,BU269-BU268)</f>
        <v>457</v>
      </c>
      <c r="BT269" s="334">
        <f t="shared" si="4523"/>
        <v>39</v>
      </c>
      <c r="BU269" s="335">
        <v>32801</v>
      </c>
      <c r="BV269" s="336">
        <v>404</v>
      </c>
      <c r="BW269" s="233"/>
      <c r="BX269" s="233"/>
      <c r="BY269" s="233"/>
      <c r="BZ269" s="233"/>
      <c r="CA269" s="233"/>
      <c r="CB269" s="233"/>
      <c r="CC269" s="233"/>
      <c r="CD269" s="233"/>
      <c r="CE269" s="233"/>
    </row>
    <row r="270" spans="1:83" x14ac:dyDescent="0.25">
      <c r="A270" s="313">
        <v>44160</v>
      </c>
      <c r="B270" s="314">
        <f t="shared" si="1276"/>
        <v>267</v>
      </c>
      <c r="C270" s="315"/>
      <c r="D270" s="316">
        <v>15362</v>
      </c>
      <c r="E270" s="317">
        <v>674</v>
      </c>
      <c r="F270" s="318">
        <v>469527</v>
      </c>
      <c r="G270" s="319">
        <v>924425</v>
      </c>
      <c r="H270" s="330">
        <f t="shared" ref="H270:I270" si="4524">IF(ISBLANK(D270),,H269+D270)</f>
        <v>924428</v>
      </c>
      <c r="I270" s="331">
        <f t="shared" si="4524"/>
        <v>14988</v>
      </c>
      <c r="J270" s="332">
        <f t="shared" si="1"/>
        <v>14810</v>
      </c>
      <c r="K270" s="333">
        <f t="shared" ref="K270:L270" si="4525">IF(ISBLANK(M270),,M270-M269)</f>
        <v>825</v>
      </c>
      <c r="L270" s="334">
        <f t="shared" si="4525"/>
        <v>37</v>
      </c>
      <c r="M270" s="335">
        <v>65126</v>
      </c>
      <c r="N270" s="336">
        <v>1029</v>
      </c>
      <c r="O270" s="337">
        <f t="shared" ref="O270:P270" si="4526">IF(ISBLANK(Q270),,Q270-Q269)</f>
        <v>1321</v>
      </c>
      <c r="P270" s="338">
        <f t="shared" si="4526"/>
        <v>35</v>
      </c>
      <c r="Q270" s="335">
        <v>51517</v>
      </c>
      <c r="R270" s="339">
        <v>563</v>
      </c>
      <c r="S270" s="316">
        <f t="shared" ref="S270:T270" si="4527">IF(ISBLANK(U270),,U270-U269)</f>
        <v>932</v>
      </c>
      <c r="T270" s="334">
        <f t="shared" si="4527"/>
        <v>52</v>
      </c>
      <c r="U270" s="335">
        <v>46483</v>
      </c>
      <c r="V270" s="336">
        <v>896</v>
      </c>
      <c r="W270" s="337">
        <f t="shared" ref="W270:X270" si="4528">IF(ISBLANK(Y270),,Y270-Y269)</f>
        <v>504</v>
      </c>
      <c r="X270" s="334">
        <f t="shared" si="4528"/>
        <v>8</v>
      </c>
      <c r="Y270" s="335">
        <v>19878</v>
      </c>
      <c r="Z270" s="340">
        <v>308</v>
      </c>
      <c r="AA270" s="316">
        <f t="shared" ref="AA270:AB270" si="4529">IF(ISBLANK(AC270),,AC270-AC269)</f>
        <v>1010</v>
      </c>
      <c r="AB270" s="334">
        <f t="shared" si="4529"/>
        <v>60</v>
      </c>
      <c r="AC270" s="335">
        <v>60984</v>
      </c>
      <c r="AD270" s="336">
        <v>863</v>
      </c>
      <c r="AE270" s="337">
        <f t="shared" ref="AE270:AF270" si="4530">IF(ISBLANK(AG270),,AG270-AG269)</f>
        <v>933</v>
      </c>
      <c r="AF270" s="334">
        <f t="shared" si="4530"/>
        <v>86</v>
      </c>
      <c r="AG270" s="335">
        <v>92759</v>
      </c>
      <c r="AH270" s="339">
        <v>1808</v>
      </c>
      <c r="AI270" s="316">
        <f t="shared" ref="AI270:AJ270" si="4531">IF(ISBLANK(AK270),,AK270-AK269)</f>
        <v>1577</v>
      </c>
      <c r="AJ270" s="334">
        <f t="shared" si="4531"/>
        <v>94</v>
      </c>
      <c r="AK270" s="335">
        <v>110566</v>
      </c>
      <c r="AL270" s="336">
        <v>1867</v>
      </c>
      <c r="AM270" s="337">
        <f t="shared" ref="AM270:AN270" si="4532">IF(ISBLANK(AO270),,AO270-AO269)</f>
        <v>459</v>
      </c>
      <c r="AN270" s="334">
        <f t="shared" si="4532"/>
        <v>39</v>
      </c>
      <c r="AO270" s="335">
        <v>26907</v>
      </c>
      <c r="AP270" s="339">
        <v>586</v>
      </c>
      <c r="AQ270" s="316">
        <f t="shared" ref="AQ270:AR270" si="4533">IF(ISBLANK(AS270),,AS270-AS269)</f>
        <v>590</v>
      </c>
      <c r="AR270" s="338">
        <f t="shared" si="4533"/>
        <v>36</v>
      </c>
      <c r="AS270" s="335">
        <v>48737</v>
      </c>
      <c r="AT270" s="336">
        <v>1089</v>
      </c>
      <c r="AU270" s="337">
        <f t="shared" ref="AU270:AV270" si="4534">IF(ISBLANK(AW270),,AW270-AW269)</f>
        <v>449</v>
      </c>
      <c r="AV270" s="334">
        <f t="shared" si="4534"/>
        <v>13</v>
      </c>
      <c r="AW270" s="335">
        <v>24364</v>
      </c>
      <c r="AX270" s="339">
        <v>422</v>
      </c>
      <c r="AY270" s="316">
        <f t="shared" ref="AY270:AZ270" si="4535">IF(ISBLANK(BA270),,BA270-BA269)</f>
        <v>1126</v>
      </c>
      <c r="AZ270" s="334">
        <f t="shared" si="4535"/>
        <v>25</v>
      </c>
      <c r="BA270" s="335">
        <v>51788</v>
      </c>
      <c r="BB270" s="336">
        <v>752</v>
      </c>
      <c r="BC270" s="337">
        <f t="shared" ref="BC270:BD270" si="4536">IF(ISBLANK(BE270),,BE270-BE269)</f>
        <v>1941</v>
      </c>
      <c r="BD270" s="334">
        <f t="shared" si="4536"/>
        <v>53</v>
      </c>
      <c r="BE270" s="335">
        <v>121482</v>
      </c>
      <c r="BF270" s="339">
        <v>2019</v>
      </c>
      <c r="BG270" s="316">
        <f t="shared" ref="BG270:BH270" si="4537">IF(ISBLANK(BI270),,BI270-BI269)</f>
        <v>303</v>
      </c>
      <c r="BH270" s="334">
        <f t="shared" si="4537"/>
        <v>19</v>
      </c>
      <c r="BI270" s="335">
        <v>28214</v>
      </c>
      <c r="BJ270" s="336">
        <v>532</v>
      </c>
      <c r="BK270" s="337">
        <f t="shared" ref="BK270:BL270" si="4538">IF(ISBLANK(BM270),,BM270-BM269)</f>
        <v>858</v>
      </c>
      <c r="BL270" s="334">
        <f t="shared" si="4538"/>
        <v>34</v>
      </c>
      <c r="BM270" s="335">
        <v>27998</v>
      </c>
      <c r="BN270" s="339">
        <v>414</v>
      </c>
      <c r="BO270" s="316">
        <f t="shared" ref="BO270:BP270" si="4539">IF(ISBLANK(BQ270),,BQ270-BQ269)</f>
        <v>1420</v>
      </c>
      <c r="BP270" s="334">
        <f t="shared" si="4539"/>
        <v>66</v>
      </c>
      <c r="BQ270" s="335">
        <v>90889</v>
      </c>
      <c r="BR270" s="336">
        <v>1419</v>
      </c>
      <c r="BS270" s="316">
        <f t="shared" ref="BS270:BT270" si="4540">IF(ISBLANK(BU270),,BU270-BU269)</f>
        <v>1011</v>
      </c>
      <c r="BT270" s="334">
        <f t="shared" si="4540"/>
        <v>17</v>
      </c>
      <c r="BU270" s="335">
        <v>33812</v>
      </c>
      <c r="BV270" s="336">
        <v>421</v>
      </c>
      <c r="BW270" s="233"/>
      <c r="BX270" s="233"/>
      <c r="BY270" s="233"/>
      <c r="BZ270" s="233"/>
      <c r="CA270" s="233"/>
      <c r="CB270" s="233"/>
      <c r="CC270" s="233"/>
      <c r="CD270" s="233"/>
      <c r="CE270" s="233"/>
    </row>
    <row r="271" spans="1:83" x14ac:dyDescent="0.25">
      <c r="A271" s="313">
        <v>44161</v>
      </c>
      <c r="B271" s="314">
        <f t="shared" si="1276"/>
        <v>268</v>
      </c>
      <c r="C271" s="315"/>
      <c r="D271" s="316">
        <v>16687</v>
      </c>
      <c r="E271" s="317">
        <v>580</v>
      </c>
      <c r="F271" s="318">
        <v>494869</v>
      </c>
      <c r="G271" s="319">
        <v>941356</v>
      </c>
      <c r="H271" s="330">
        <f t="shared" ref="H271:I271" si="4541">IF(ISBLANK(D271),,H270+D271)</f>
        <v>941115</v>
      </c>
      <c r="I271" s="331">
        <f t="shared" si="4541"/>
        <v>15568</v>
      </c>
      <c r="J271" s="332">
        <f t="shared" si="1"/>
        <v>25342</v>
      </c>
      <c r="K271" s="333">
        <f t="shared" ref="K271:L271" si="4542">IF(ISBLANK(M271),,M271-M270)</f>
        <v>1112</v>
      </c>
      <c r="L271" s="334">
        <f t="shared" si="4542"/>
        <v>51</v>
      </c>
      <c r="M271" s="335">
        <v>66238</v>
      </c>
      <c r="N271" s="336">
        <v>1080</v>
      </c>
      <c r="O271" s="337">
        <f t="shared" ref="O271:P271" si="4543">IF(ISBLANK(Q271),,Q271-Q270)</f>
        <v>1207</v>
      </c>
      <c r="P271" s="338">
        <f t="shared" si="4543"/>
        <v>24</v>
      </c>
      <c r="Q271" s="335">
        <v>52724</v>
      </c>
      <c r="R271" s="339">
        <v>587</v>
      </c>
      <c r="S271" s="316">
        <f t="shared" ref="S271:T271" si="4544">IF(ISBLANK(U271),,U271-U270)</f>
        <v>1027</v>
      </c>
      <c r="T271" s="334">
        <f t="shared" si="4544"/>
        <v>30</v>
      </c>
      <c r="U271" s="335">
        <v>47510</v>
      </c>
      <c r="V271" s="336">
        <v>926</v>
      </c>
      <c r="W271" s="337">
        <f t="shared" ref="W271:X271" si="4545">IF(ISBLANK(Y271),,Y271-Y270)</f>
        <v>508</v>
      </c>
      <c r="X271" s="334">
        <f t="shared" si="4545"/>
        <v>7</v>
      </c>
      <c r="Y271" s="335">
        <v>20386</v>
      </c>
      <c r="Z271" s="340">
        <v>315</v>
      </c>
      <c r="AA271" s="316">
        <f t="shared" ref="AA271:AB271" si="4546">IF(ISBLANK(AC271),,AC271-AC270)</f>
        <v>1099</v>
      </c>
      <c r="AB271" s="334">
        <f t="shared" si="4546"/>
        <v>37</v>
      </c>
      <c r="AC271" s="335">
        <v>62083</v>
      </c>
      <c r="AD271" s="336">
        <v>900</v>
      </c>
      <c r="AE271" s="337">
        <f t="shared" ref="AE271:AF271" si="4547">IF(ISBLANK(AG271),,AG271-AG270)</f>
        <v>914</v>
      </c>
      <c r="AF271" s="334">
        <f t="shared" si="4547"/>
        <v>40</v>
      </c>
      <c r="AG271" s="335">
        <v>93673</v>
      </c>
      <c r="AH271" s="339">
        <v>1848</v>
      </c>
      <c r="AI271" s="316">
        <f t="shared" ref="AI271:AJ271" si="4548">IF(ISBLANK(AK271),,AK271-AK270)</f>
        <v>1785</v>
      </c>
      <c r="AJ271" s="334">
        <f t="shared" si="4548"/>
        <v>74</v>
      </c>
      <c r="AK271" s="335">
        <v>112351</v>
      </c>
      <c r="AL271" s="336">
        <v>1941</v>
      </c>
      <c r="AM271" s="337">
        <f t="shared" ref="AM271:AN271" si="4549">IF(ISBLANK(AO271),,AO271-AO270)</f>
        <v>587</v>
      </c>
      <c r="AN271" s="334">
        <f t="shared" si="4549"/>
        <v>23</v>
      </c>
      <c r="AO271" s="335">
        <v>27494</v>
      </c>
      <c r="AP271" s="339">
        <v>609</v>
      </c>
      <c r="AQ271" s="316">
        <f t="shared" ref="AQ271:AR271" si="4550">IF(ISBLANK(AS271),,AS271-AS270)</f>
        <v>649</v>
      </c>
      <c r="AR271" s="338">
        <f t="shared" si="4550"/>
        <v>69</v>
      </c>
      <c r="AS271" s="335">
        <v>49386</v>
      </c>
      <c r="AT271" s="336">
        <v>1158</v>
      </c>
      <c r="AU271" s="337">
        <f t="shared" ref="AU271:AV271" si="4551">IF(ISBLANK(AW271),,AW271-AW270)</f>
        <v>464</v>
      </c>
      <c r="AV271" s="334">
        <f t="shared" si="4551"/>
        <v>24</v>
      </c>
      <c r="AW271" s="335">
        <v>24828</v>
      </c>
      <c r="AX271" s="339">
        <v>446</v>
      </c>
      <c r="AY271" s="316">
        <f t="shared" ref="AY271:AZ271" si="4552">IF(ISBLANK(BA271),,BA271-BA270)</f>
        <v>1105</v>
      </c>
      <c r="AZ271" s="334">
        <f t="shared" si="4552"/>
        <v>32</v>
      </c>
      <c r="BA271" s="335">
        <v>52893</v>
      </c>
      <c r="BB271" s="336">
        <v>784</v>
      </c>
      <c r="BC271" s="337">
        <f t="shared" ref="BC271:BD271" si="4553">IF(ISBLANK(BE271),,BE271-BE270)</f>
        <v>1824</v>
      </c>
      <c r="BD271" s="334">
        <f t="shared" si="4553"/>
        <v>69</v>
      </c>
      <c r="BE271" s="335">
        <v>123306</v>
      </c>
      <c r="BF271" s="339">
        <v>2088</v>
      </c>
      <c r="BG271" s="316">
        <f t="shared" ref="BG271:BH271" si="4554">IF(ISBLANK(BI271),,BI271-BI270)</f>
        <v>473</v>
      </c>
      <c r="BH271" s="334">
        <f t="shared" si="4554"/>
        <v>10</v>
      </c>
      <c r="BI271" s="335">
        <v>28687</v>
      </c>
      <c r="BJ271" s="336">
        <v>542</v>
      </c>
      <c r="BK271" s="337">
        <f t="shared" ref="BK271:BL271" si="4555">IF(ISBLANK(BM271),,BM271-BM270)</f>
        <v>1210</v>
      </c>
      <c r="BL271" s="334">
        <f t="shared" si="4555"/>
        <v>22</v>
      </c>
      <c r="BM271" s="335">
        <v>29208</v>
      </c>
      <c r="BN271" s="339">
        <v>436</v>
      </c>
      <c r="BO271" s="316">
        <f t="shared" ref="BO271:BP271" si="4556">IF(ISBLANK(BQ271),,BQ271-BQ270)</f>
        <v>1668</v>
      </c>
      <c r="BP271" s="334">
        <f t="shared" si="4556"/>
        <v>45</v>
      </c>
      <c r="BQ271" s="335">
        <v>92557</v>
      </c>
      <c r="BR271" s="336">
        <v>1464</v>
      </c>
      <c r="BS271" s="316">
        <f t="shared" ref="BS271:BT271" si="4557">IF(ISBLANK(BU271),,BU271-BU270)</f>
        <v>991</v>
      </c>
      <c r="BT271" s="334">
        <f t="shared" si="4557"/>
        <v>23</v>
      </c>
      <c r="BU271" s="335">
        <v>34803</v>
      </c>
      <c r="BV271" s="336">
        <v>444</v>
      </c>
      <c r="BW271" s="233"/>
      <c r="BX271" s="233"/>
      <c r="BY271" s="233"/>
      <c r="BZ271" s="233"/>
      <c r="CA271" s="233"/>
      <c r="CB271" s="233"/>
      <c r="CC271" s="233"/>
      <c r="CD271" s="233"/>
      <c r="CE271" s="233"/>
    </row>
    <row r="272" spans="1:83" x14ac:dyDescent="0.25">
      <c r="A272" s="313">
        <v>44162</v>
      </c>
      <c r="B272" s="314">
        <f t="shared" si="1276"/>
        <v>269</v>
      </c>
      <c r="C272" s="315"/>
      <c r="D272" s="316">
        <v>17060</v>
      </c>
      <c r="E272" s="317">
        <v>579</v>
      </c>
      <c r="F272" s="318">
        <v>516636</v>
      </c>
      <c r="G272" s="319">
        <v>958415</v>
      </c>
      <c r="H272" s="330">
        <f t="shared" ref="H272:I272" si="4558">IF(ISBLANK(D272),,H271+D272)</f>
        <v>958175</v>
      </c>
      <c r="I272" s="331">
        <f t="shared" si="4558"/>
        <v>16147</v>
      </c>
      <c r="J272" s="332">
        <f t="shared" si="1"/>
        <v>21767</v>
      </c>
      <c r="K272" s="333">
        <f t="shared" ref="K272:L272" si="4559">IF(ISBLANK(M272),,M272-M271)</f>
        <v>1318</v>
      </c>
      <c r="L272" s="334">
        <f t="shared" si="4559"/>
        <v>65</v>
      </c>
      <c r="M272" s="335">
        <v>67556</v>
      </c>
      <c r="N272" s="336">
        <v>1145</v>
      </c>
      <c r="O272" s="337">
        <f t="shared" ref="O272:P272" si="4560">IF(ISBLANK(Q272),,Q272-Q271)</f>
        <v>1368</v>
      </c>
      <c r="P272" s="338">
        <f t="shared" si="4560"/>
        <v>30</v>
      </c>
      <c r="Q272" s="335">
        <v>54092</v>
      </c>
      <c r="R272" s="339">
        <v>617</v>
      </c>
      <c r="S272" s="316">
        <f t="shared" ref="S272:T272" si="4561">IF(ISBLANK(U272),,U272-U271)</f>
        <v>802</v>
      </c>
      <c r="T272" s="334">
        <f t="shared" si="4561"/>
        <v>37</v>
      </c>
      <c r="U272" s="335">
        <v>48312</v>
      </c>
      <c r="V272" s="336">
        <v>963</v>
      </c>
      <c r="W272" s="337">
        <f t="shared" ref="W272:X272" si="4562">IF(ISBLANK(Y272),,Y272-Y271)</f>
        <v>494</v>
      </c>
      <c r="X272" s="334">
        <f t="shared" si="4562"/>
        <v>27</v>
      </c>
      <c r="Y272" s="335">
        <v>20880</v>
      </c>
      <c r="Z272" s="340">
        <v>342</v>
      </c>
      <c r="AA272" s="316">
        <f t="shared" ref="AA272:AB272" si="4563">IF(ISBLANK(AC272),,AC272-AC271)</f>
        <v>1001</v>
      </c>
      <c r="AB272" s="334">
        <f t="shared" si="4563"/>
        <v>43</v>
      </c>
      <c r="AC272" s="335">
        <v>63084</v>
      </c>
      <c r="AD272" s="336">
        <v>943</v>
      </c>
      <c r="AE272" s="337">
        <f t="shared" ref="AE272:AF272" si="4564">IF(ISBLANK(AG272),,AG272-AG271)</f>
        <v>868</v>
      </c>
      <c r="AF272" s="334">
        <f t="shared" si="4564"/>
        <v>43</v>
      </c>
      <c r="AG272" s="335">
        <v>94541</v>
      </c>
      <c r="AH272" s="339">
        <v>1891</v>
      </c>
      <c r="AI272" s="316">
        <f t="shared" ref="AI272:AJ272" si="4565">IF(ISBLANK(AK272),,AK272-AK271)</f>
        <v>2057</v>
      </c>
      <c r="AJ272" s="334">
        <f t="shared" si="4565"/>
        <v>81</v>
      </c>
      <c r="AK272" s="335">
        <v>114408</v>
      </c>
      <c r="AL272" s="336">
        <v>2022</v>
      </c>
      <c r="AM272" s="337">
        <f t="shared" ref="AM272:AN272" si="4566">IF(ISBLANK(AO272),,AO272-AO271)</f>
        <v>536</v>
      </c>
      <c r="AN272" s="334">
        <f t="shared" si="4566"/>
        <v>19</v>
      </c>
      <c r="AO272" s="335">
        <v>28030</v>
      </c>
      <c r="AP272" s="339">
        <v>628</v>
      </c>
      <c r="AQ272" s="316">
        <f t="shared" ref="AQ272:AR272" si="4567">IF(ISBLANK(AS272),,AS272-AS271)</f>
        <v>790</v>
      </c>
      <c r="AR272" s="338">
        <f t="shared" si="4567"/>
        <v>33</v>
      </c>
      <c r="AS272" s="335">
        <v>50176</v>
      </c>
      <c r="AT272" s="336">
        <v>1191</v>
      </c>
      <c r="AU272" s="337">
        <f t="shared" ref="AU272:AV272" si="4568">IF(ISBLANK(AW272),,AW272-AW271)</f>
        <v>491</v>
      </c>
      <c r="AV272" s="334">
        <f t="shared" si="4568"/>
        <v>25</v>
      </c>
      <c r="AW272" s="335">
        <v>25319</v>
      </c>
      <c r="AX272" s="339">
        <v>471</v>
      </c>
      <c r="AY272" s="316">
        <f t="shared" ref="AY272:AZ272" si="4569">IF(ISBLANK(BA272),,BA272-BA271)</f>
        <v>1258</v>
      </c>
      <c r="AZ272" s="334">
        <f t="shared" si="4569"/>
        <v>30</v>
      </c>
      <c r="BA272" s="335">
        <v>54151</v>
      </c>
      <c r="BB272" s="336">
        <v>814</v>
      </c>
      <c r="BC272" s="337">
        <f t="shared" ref="BC272:BD272" si="4570">IF(ISBLANK(BE272),,BE272-BE271)</f>
        <v>1560</v>
      </c>
      <c r="BD272" s="334">
        <f t="shared" si="4570"/>
        <v>50</v>
      </c>
      <c r="BE272" s="335">
        <v>124866</v>
      </c>
      <c r="BF272" s="339">
        <v>2138</v>
      </c>
      <c r="BG272" s="316">
        <f t="shared" ref="BG272:BH272" si="4571">IF(ISBLANK(BI272),,BI272-BI271)</f>
        <v>406</v>
      </c>
      <c r="BH272" s="334">
        <f t="shared" si="4571"/>
        <v>19</v>
      </c>
      <c r="BI272" s="335">
        <v>29093</v>
      </c>
      <c r="BJ272" s="336">
        <v>561</v>
      </c>
      <c r="BK272" s="337">
        <f t="shared" ref="BK272:BL272" si="4572">IF(ISBLANK(BM272),,BM272-BM271)</f>
        <v>1065</v>
      </c>
      <c r="BL272" s="334">
        <f t="shared" si="4572"/>
        <v>30</v>
      </c>
      <c r="BM272" s="335">
        <v>30273</v>
      </c>
      <c r="BN272" s="339">
        <v>466</v>
      </c>
      <c r="BO272" s="316">
        <f t="shared" ref="BO272:BP272" si="4573">IF(ISBLANK(BQ272),,BQ272-BQ271)</f>
        <v>2072</v>
      </c>
      <c r="BP272" s="334">
        <f t="shared" si="4573"/>
        <v>25</v>
      </c>
      <c r="BQ272" s="335">
        <v>94629</v>
      </c>
      <c r="BR272" s="336">
        <v>1489</v>
      </c>
      <c r="BS272" s="316">
        <f t="shared" ref="BS272:BT272" si="4574">IF(ISBLANK(BU272),,BU272-BU271)</f>
        <v>915</v>
      </c>
      <c r="BT272" s="334">
        <f t="shared" si="4574"/>
        <v>22</v>
      </c>
      <c r="BU272" s="335">
        <v>35718</v>
      </c>
      <c r="BV272" s="336">
        <v>466</v>
      </c>
      <c r="BW272" s="233"/>
      <c r="BX272" s="233"/>
      <c r="BY272" s="233"/>
      <c r="BZ272" s="233"/>
      <c r="CA272" s="233"/>
      <c r="CB272" s="233"/>
      <c r="CC272" s="233"/>
      <c r="CD272" s="233"/>
      <c r="CE272" s="233"/>
    </row>
    <row r="273" spans="1:83" x14ac:dyDescent="0.25">
      <c r="A273" s="313">
        <v>44163</v>
      </c>
      <c r="B273" s="314">
        <f t="shared" si="1276"/>
        <v>270</v>
      </c>
      <c r="C273" s="315"/>
      <c r="D273" s="316">
        <v>15178</v>
      </c>
      <c r="E273" s="317">
        <v>599</v>
      </c>
      <c r="F273" s="318">
        <v>538273</v>
      </c>
      <c r="G273" s="319">
        <v>973592</v>
      </c>
      <c r="H273" s="330">
        <f t="shared" ref="H273:I273" si="4575">IF(ISBLANK(D273),,H272+D273)</f>
        <v>973353</v>
      </c>
      <c r="I273" s="331">
        <f t="shared" si="4575"/>
        <v>16746</v>
      </c>
      <c r="J273" s="332">
        <f t="shared" si="1"/>
        <v>21637</v>
      </c>
      <c r="K273" s="333">
        <f t="shared" ref="K273:L273" si="4576">IF(ISBLANK(M273),,M273-M272)</f>
        <v>1481</v>
      </c>
      <c r="L273" s="334">
        <f t="shared" si="4576"/>
        <v>30</v>
      </c>
      <c r="M273" s="335">
        <v>69037</v>
      </c>
      <c r="N273" s="336">
        <v>1175</v>
      </c>
      <c r="O273" s="337">
        <f t="shared" ref="O273:P273" si="4577">IF(ISBLANK(Q273),,Q273-Q272)</f>
        <v>1004</v>
      </c>
      <c r="P273" s="338">
        <f t="shared" si="4577"/>
        <v>29</v>
      </c>
      <c r="Q273" s="335">
        <v>55096</v>
      </c>
      <c r="R273" s="339">
        <v>646</v>
      </c>
      <c r="S273" s="316">
        <f t="shared" ref="S273:T273" si="4578">IF(ISBLANK(U273),,U273-U272)</f>
        <v>937</v>
      </c>
      <c r="T273" s="334">
        <f t="shared" si="4578"/>
        <v>37</v>
      </c>
      <c r="U273" s="335">
        <v>49249</v>
      </c>
      <c r="V273" s="336">
        <v>1000</v>
      </c>
      <c r="W273" s="337">
        <f t="shared" ref="W273:X273" si="4579">IF(ISBLANK(Y273),,Y273-Y272)</f>
        <v>398</v>
      </c>
      <c r="X273" s="334">
        <f t="shared" si="4579"/>
        <v>20</v>
      </c>
      <c r="Y273" s="335">
        <v>21278</v>
      </c>
      <c r="Z273" s="340">
        <v>362</v>
      </c>
      <c r="AA273" s="316">
        <f t="shared" ref="AA273:AB273" si="4580">IF(ISBLANK(AC273),,AC273-AC272)</f>
        <v>658</v>
      </c>
      <c r="AB273" s="334">
        <f t="shared" si="4580"/>
        <v>60</v>
      </c>
      <c r="AC273" s="335">
        <v>63742</v>
      </c>
      <c r="AD273" s="336">
        <v>1003</v>
      </c>
      <c r="AE273" s="337">
        <f t="shared" ref="AE273:AF273" si="4581">IF(ISBLANK(AG273),,AG273-AG272)</f>
        <v>661</v>
      </c>
      <c r="AF273" s="334">
        <f t="shared" si="4581"/>
        <v>42</v>
      </c>
      <c r="AG273" s="335">
        <v>95202</v>
      </c>
      <c r="AH273" s="339">
        <v>1933</v>
      </c>
      <c r="AI273" s="316">
        <f t="shared" ref="AI273:AJ273" si="4582">IF(ISBLANK(AK273),,AK273-AK272)</f>
        <v>1986</v>
      </c>
      <c r="AJ273" s="334">
        <f t="shared" si="4582"/>
        <v>60</v>
      </c>
      <c r="AK273" s="335">
        <v>116394</v>
      </c>
      <c r="AL273" s="336">
        <v>2082</v>
      </c>
      <c r="AM273" s="337">
        <f t="shared" ref="AM273:AN273" si="4583">IF(ISBLANK(AO273),,AO273-AO272)</f>
        <v>429</v>
      </c>
      <c r="AN273" s="334">
        <f t="shared" si="4583"/>
        <v>18</v>
      </c>
      <c r="AO273" s="335">
        <v>28459</v>
      </c>
      <c r="AP273" s="339">
        <v>646</v>
      </c>
      <c r="AQ273" s="316">
        <f t="shared" ref="AQ273:AR273" si="4584">IF(ISBLANK(AS273),,AS273-AS272)</f>
        <v>713</v>
      </c>
      <c r="AR273" s="338">
        <f t="shared" si="4584"/>
        <v>51</v>
      </c>
      <c r="AS273" s="335">
        <v>50889</v>
      </c>
      <c r="AT273" s="336">
        <v>1242</v>
      </c>
      <c r="AU273" s="337">
        <f t="shared" ref="AU273:AV273" si="4585">IF(ISBLANK(AW273),,AW273-AW272)</f>
        <v>481</v>
      </c>
      <c r="AV273" s="334">
        <f t="shared" si="4585"/>
        <v>15</v>
      </c>
      <c r="AW273" s="335">
        <v>25800</v>
      </c>
      <c r="AX273" s="339">
        <v>486</v>
      </c>
      <c r="AY273" s="316">
        <f t="shared" ref="AY273:AZ273" si="4586">IF(ISBLANK(BA273),,BA273-BA272)</f>
        <v>1026</v>
      </c>
      <c r="AZ273" s="334">
        <f t="shared" si="4586"/>
        <v>44</v>
      </c>
      <c r="BA273" s="335">
        <v>55177</v>
      </c>
      <c r="BB273" s="336">
        <v>858</v>
      </c>
      <c r="BC273" s="337">
        <f t="shared" ref="BC273:BD273" si="4587">IF(ISBLANK(BE273),,BE273-BE272)</f>
        <v>1402</v>
      </c>
      <c r="BD273" s="334">
        <f t="shared" si="4587"/>
        <v>54</v>
      </c>
      <c r="BE273" s="335">
        <v>126268</v>
      </c>
      <c r="BF273" s="339">
        <v>2192</v>
      </c>
      <c r="BG273" s="316">
        <f t="shared" ref="BG273:BH273" si="4588">IF(ISBLANK(BI273),,BI273-BI272)</f>
        <v>310</v>
      </c>
      <c r="BH273" s="334">
        <f t="shared" si="4588"/>
        <v>16</v>
      </c>
      <c r="BI273" s="335">
        <v>29403</v>
      </c>
      <c r="BJ273" s="336">
        <v>577</v>
      </c>
      <c r="BK273" s="337">
        <f t="shared" ref="BK273:BL273" si="4589">IF(ISBLANK(BM273),,BM273-BM272)</f>
        <v>950</v>
      </c>
      <c r="BL273" s="334">
        <f t="shared" si="4589"/>
        <v>47</v>
      </c>
      <c r="BM273" s="335">
        <v>31223</v>
      </c>
      <c r="BN273" s="339">
        <v>513</v>
      </c>
      <c r="BO273" s="316">
        <f t="shared" ref="BO273:BP273" si="4590">IF(ISBLANK(BQ273),,BQ273-BQ272)</f>
        <v>1748</v>
      </c>
      <c r="BP273" s="334">
        <f t="shared" si="4590"/>
        <v>60</v>
      </c>
      <c r="BQ273" s="335">
        <v>96377</v>
      </c>
      <c r="BR273" s="336">
        <v>1549</v>
      </c>
      <c r="BS273" s="316">
        <f t="shared" ref="BS273:BT273" si="4591">IF(ISBLANK(BU273),,BU273-BU272)</f>
        <v>902</v>
      </c>
      <c r="BT273" s="334">
        <f t="shared" si="4591"/>
        <v>16</v>
      </c>
      <c r="BU273" s="335">
        <v>36620</v>
      </c>
      <c r="BV273" s="336">
        <v>482</v>
      </c>
      <c r="BW273" s="233"/>
      <c r="BX273" s="233"/>
      <c r="BY273" s="233"/>
      <c r="BZ273" s="233"/>
      <c r="CA273" s="233"/>
      <c r="CB273" s="233"/>
      <c r="CC273" s="233"/>
      <c r="CD273" s="233"/>
      <c r="CE273" s="233"/>
    </row>
    <row r="274" spans="1:83" x14ac:dyDescent="0.25">
      <c r="A274" s="313">
        <v>44164</v>
      </c>
      <c r="B274" s="314">
        <f t="shared" si="1276"/>
        <v>271</v>
      </c>
      <c r="C274" s="315"/>
      <c r="D274" s="316">
        <v>11483</v>
      </c>
      <c r="E274" s="317">
        <v>283</v>
      </c>
      <c r="F274" s="318">
        <v>559429</v>
      </c>
      <c r="G274" s="319">
        <v>985075</v>
      </c>
      <c r="H274" s="330">
        <f t="shared" ref="H274:I274" si="4592">IF(ISBLANK(D274),,H273+D274)</f>
        <v>984836</v>
      </c>
      <c r="I274" s="331">
        <f t="shared" si="4592"/>
        <v>17029</v>
      </c>
      <c r="J274" s="332">
        <f t="shared" si="1"/>
        <v>21156</v>
      </c>
      <c r="K274" s="333">
        <f t="shared" ref="K274:L274" si="4593">IF(ISBLANK(M274),,M274-M273)</f>
        <v>781</v>
      </c>
      <c r="L274" s="334">
        <f t="shared" si="4593"/>
        <v>11</v>
      </c>
      <c r="M274" s="335">
        <v>69818</v>
      </c>
      <c r="N274" s="336">
        <v>1186</v>
      </c>
      <c r="O274" s="337">
        <f t="shared" ref="O274:P274" si="4594">IF(ISBLANK(Q274),,Q274-Q273)</f>
        <v>623</v>
      </c>
      <c r="P274" s="338">
        <f t="shared" si="4594"/>
        <v>14</v>
      </c>
      <c r="Q274" s="335">
        <v>55719</v>
      </c>
      <c r="R274" s="339">
        <v>660</v>
      </c>
      <c r="S274" s="316">
        <f t="shared" ref="S274:T274" si="4595">IF(ISBLANK(U274),,U274-U273)</f>
        <v>616</v>
      </c>
      <c r="T274" s="334">
        <f t="shared" si="4595"/>
        <v>25</v>
      </c>
      <c r="U274" s="335">
        <v>49865</v>
      </c>
      <c r="V274" s="336">
        <v>1025</v>
      </c>
      <c r="W274" s="337">
        <f t="shared" ref="W274:X274" si="4596">IF(ISBLANK(Y274),,Y274-Y273)</f>
        <v>373</v>
      </c>
      <c r="X274" s="334">
        <f t="shared" si="4596"/>
        <v>6</v>
      </c>
      <c r="Y274" s="335">
        <v>21651</v>
      </c>
      <c r="Z274" s="340">
        <v>368</v>
      </c>
      <c r="AA274" s="316">
        <f t="shared" ref="AA274:AB274" si="4597">IF(ISBLANK(AC274),,AC274-AC273)</f>
        <v>838</v>
      </c>
      <c r="AB274" s="334">
        <f t="shared" si="4597"/>
        <v>37</v>
      </c>
      <c r="AC274" s="335">
        <v>64580</v>
      </c>
      <c r="AD274" s="336">
        <v>1040</v>
      </c>
      <c r="AE274" s="337">
        <f t="shared" ref="AE274:AF274" si="4598">IF(ISBLANK(AG274),,AG274-AG273)</f>
        <v>440</v>
      </c>
      <c r="AF274" s="334">
        <f t="shared" si="4598"/>
        <v>9</v>
      </c>
      <c r="AG274" s="335">
        <v>95642</v>
      </c>
      <c r="AH274" s="339">
        <v>1942</v>
      </c>
      <c r="AI274" s="316">
        <f t="shared" ref="AI274:AJ274" si="4599">IF(ISBLANK(AK274),,AK274-AK273)</f>
        <v>1413</v>
      </c>
      <c r="AJ274" s="334">
        <f t="shared" si="4599"/>
        <v>57</v>
      </c>
      <c r="AK274" s="335">
        <v>117807</v>
      </c>
      <c r="AL274" s="336">
        <v>2139</v>
      </c>
      <c r="AM274" s="337">
        <f t="shared" ref="AM274:AN274" si="4600">IF(ISBLANK(AO274),,AO274-AO273)</f>
        <v>432</v>
      </c>
      <c r="AN274" s="334">
        <f t="shared" si="4600"/>
        <v>3</v>
      </c>
      <c r="AO274" s="335">
        <v>28891</v>
      </c>
      <c r="AP274" s="339">
        <v>649</v>
      </c>
      <c r="AQ274" s="316">
        <f t="shared" ref="AQ274:AR274" si="4601">IF(ISBLANK(AS274),,AS274-AS273)</f>
        <v>339</v>
      </c>
      <c r="AR274" s="338">
        <f t="shared" si="4601"/>
        <v>28</v>
      </c>
      <c r="AS274" s="335">
        <v>51228</v>
      </c>
      <c r="AT274" s="336">
        <v>1270</v>
      </c>
      <c r="AU274" s="337">
        <f t="shared" ref="AU274:AV274" si="4602">IF(ISBLANK(AW274),,AW274-AW273)</f>
        <v>307</v>
      </c>
      <c r="AV274" s="334">
        <f t="shared" si="4602"/>
        <v>11</v>
      </c>
      <c r="AW274" s="335">
        <v>26107</v>
      </c>
      <c r="AX274" s="339">
        <v>497</v>
      </c>
      <c r="AY274" s="316">
        <f t="shared" ref="AY274:AZ274" si="4603">IF(ISBLANK(BA274),,BA274-BA273)</f>
        <v>978</v>
      </c>
      <c r="AZ274" s="334">
        <f t="shared" si="4603"/>
        <v>19</v>
      </c>
      <c r="BA274" s="335">
        <v>56155</v>
      </c>
      <c r="BB274" s="336">
        <v>877</v>
      </c>
      <c r="BC274" s="337">
        <f t="shared" ref="BC274:BD274" si="4604">IF(ISBLANK(BE274),,BE274-BE273)</f>
        <v>977</v>
      </c>
      <c r="BD274" s="334">
        <f t="shared" si="4604"/>
        <v>19</v>
      </c>
      <c r="BE274" s="335">
        <v>127245</v>
      </c>
      <c r="BF274" s="339">
        <v>2211</v>
      </c>
      <c r="BG274" s="316">
        <f t="shared" ref="BG274:BH274" si="4605">IF(ISBLANK(BI274),,BI274-BI273)</f>
        <v>270</v>
      </c>
      <c r="BH274" s="334">
        <f t="shared" si="4605"/>
        <v>10</v>
      </c>
      <c r="BI274" s="335">
        <v>29673</v>
      </c>
      <c r="BJ274" s="336">
        <v>587</v>
      </c>
      <c r="BK274" s="337">
        <f t="shared" ref="BK274:BL274" si="4606">IF(ISBLANK(BM274),,BM274-BM273)</f>
        <v>618</v>
      </c>
      <c r="BL274" s="334">
        <f t="shared" si="4606"/>
        <v>7</v>
      </c>
      <c r="BM274" s="335">
        <v>31841</v>
      </c>
      <c r="BN274" s="339">
        <v>520</v>
      </c>
      <c r="BO274" s="316">
        <f t="shared" ref="BO274:BP274" si="4607">IF(ISBLANK(BQ274),,BQ274-BQ273)</f>
        <v>1574</v>
      </c>
      <c r="BP274" s="334">
        <f t="shared" si="4607"/>
        <v>21</v>
      </c>
      <c r="BQ274" s="335">
        <v>97951</v>
      </c>
      <c r="BR274" s="336">
        <v>1570</v>
      </c>
      <c r="BS274" s="316">
        <f t="shared" ref="BS274:BT274" si="4608">IF(ISBLANK(BU274),,BU274-BU273)</f>
        <v>780</v>
      </c>
      <c r="BT274" s="334">
        <f t="shared" si="4608"/>
        <v>6</v>
      </c>
      <c r="BU274" s="335">
        <v>37400</v>
      </c>
      <c r="BV274" s="336">
        <v>488</v>
      </c>
      <c r="BW274" s="233"/>
      <c r="BX274" s="233"/>
      <c r="BY274" s="233"/>
      <c r="BZ274" s="233"/>
      <c r="CA274" s="233"/>
      <c r="CB274" s="233"/>
      <c r="CC274" s="233"/>
      <c r="CD274" s="233"/>
      <c r="CE274" s="233"/>
    </row>
    <row r="275" spans="1:83" x14ac:dyDescent="0.25">
      <c r="A275" s="313">
        <v>44165</v>
      </c>
      <c r="B275" s="314">
        <f t="shared" si="1276"/>
        <v>272</v>
      </c>
      <c r="C275" s="315"/>
      <c r="D275" s="316">
        <v>5733</v>
      </c>
      <c r="E275" s="317">
        <v>121</v>
      </c>
      <c r="F275" s="318">
        <v>577514</v>
      </c>
      <c r="G275" s="319">
        <v>990811</v>
      </c>
      <c r="H275" s="330">
        <f t="shared" ref="H275:I275" si="4609">IF(ISBLANK(D275),,H274+D275)</f>
        <v>990569</v>
      </c>
      <c r="I275" s="331">
        <f t="shared" si="4609"/>
        <v>17150</v>
      </c>
      <c r="J275" s="332">
        <f t="shared" si="1"/>
        <v>18085</v>
      </c>
      <c r="K275" s="333">
        <f t="shared" ref="K275:L275" si="4610">IF(ISBLANK(M275),,M275-M274)</f>
        <v>445</v>
      </c>
      <c r="L275" s="334">
        <f t="shared" si="4610"/>
        <v>5</v>
      </c>
      <c r="M275" s="335">
        <v>70263</v>
      </c>
      <c r="N275" s="336">
        <v>1191</v>
      </c>
      <c r="O275" s="337">
        <f t="shared" ref="O275:P275" si="4611">IF(ISBLANK(Q275),,Q275-Q274)</f>
        <v>297</v>
      </c>
      <c r="P275" s="338">
        <f t="shared" si="4611"/>
        <v>4</v>
      </c>
      <c r="Q275" s="335">
        <v>56016</v>
      </c>
      <c r="R275" s="339">
        <v>664</v>
      </c>
      <c r="S275" s="316">
        <f t="shared" ref="S275:T275" si="4612">IF(ISBLANK(U275),,U275-U274)</f>
        <v>285</v>
      </c>
      <c r="T275" s="334">
        <f t="shared" si="4612"/>
        <v>13</v>
      </c>
      <c r="U275" s="335">
        <v>50150</v>
      </c>
      <c r="V275" s="336">
        <v>1038</v>
      </c>
      <c r="W275" s="337">
        <f t="shared" ref="W275:X275" si="4613">IF(ISBLANK(Y275),,Y275-Y274)</f>
        <v>259</v>
      </c>
      <c r="X275" s="334">
        <f t="shared" si="4613"/>
        <v>0</v>
      </c>
      <c r="Y275" s="335">
        <v>21910</v>
      </c>
      <c r="Z275" s="340">
        <v>368</v>
      </c>
      <c r="AA275" s="316">
        <f t="shared" ref="AA275:AB275" si="4614">IF(ISBLANK(AC275),,AC275-AC274)</f>
        <v>375</v>
      </c>
      <c r="AB275" s="334">
        <f t="shared" si="4614"/>
        <v>10</v>
      </c>
      <c r="AC275" s="335">
        <v>64955</v>
      </c>
      <c r="AD275" s="336">
        <v>1050</v>
      </c>
      <c r="AE275" s="337">
        <f t="shared" ref="AE275:AF275" si="4615">IF(ISBLANK(AG275),,AG275-AG274)</f>
        <v>280</v>
      </c>
      <c r="AF275" s="334">
        <f t="shared" si="4615"/>
        <v>2</v>
      </c>
      <c r="AG275" s="335">
        <v>95922</v>
      </c>
      <c r="AH275" s="339">
        <v>1944</v>
      </c>
      <c r="AI275" s="316">
        <f t="shared" ref="AI275:AJ275" si="4616">IF(ISBLANK(AK275),,AK275-AK274)</f>
        <v>659</v>
      </c>
      <c r="AJ275" s="334">
        <f t="shared" si="4616"/>
        <v>15</v>
      </c>
      <c r="AK275" s="335">
        <v>118466</v>
      </c>
      <c r="AL275" s="336">
        <v>2154</v>
      </c>
      <c r="AM275" s="337">
        <f t="shared" ref="AM275:AN275" si="4617">IF(ISBLANK(AO275),,AO275-AO274)</f>
        <v>198</v>
      </c>
      <c r="AN275" s="334">
        <f t="shared" si="4617"/>
        <v>0</v>
      </c>
      <c r="AO275" s="335">
        <v>29089</v>
      </c>
      <c r="AP275" s="339">
        <v>649</v>
      </c>
      <c r="AQ275" s="316">
        <f t="shared" ref="AQ275:AR275" si="4618">IF(ISBLANK(AS275),,AS275-AS274)</f>
        <v>201</v>
      </c>
      <c r="AR275" s="338">
        <f t="shared" si="4618"/>
        <v>7</v>
      </c>
      <c r="AS275" s="335">
        <v>51429</v>
      </c>
      <c r="AT275" s="336">
        <v>1277</v>
      </c>
      <c r="AU275" s="337">
        <f t="shared" ref="AU275:AV275" si="4619">IF(ISBLANK(AW275),,AW275-AW274)</f>
        <v>118</v>
      </c>
      <c r="AV275" s="334">
        <f t="shared" si="4619"/>
        <v>2</v>
      </c>
      <c r="AW275" s="335">
        <v>26225</v>
      </c>
      <c r="AX275" s="339">
        <v>499</v>
      </c>
      <c r="AY275" s="316">
        <f t="shared" ref="AY275:AZ275" si="4620">IF(ISBLANK(BA275),,BA275-BA274)</f>
        <v>441</v>
      </c>
      <c r="AZ275" s="334">
        <f t="shared" si="4620"/>
        <v>3</v>
      </c>
      <c r="BA275" s="335">
        <v>56596</v>
      </c>
      <c r="BB275" s="336">
        <v>880</v>
      </c>
      <c r="BC275" s="337">
        <f t="shared" ref="BC275:BD275" si="4621">IF(ISBLANK(BE275),,BE275-BE274)</f>
        <v>421</v>
      </c>
      <c r="BD275" s="334">
        <f t="shared" si="4621"/>
        <v>18</v>
      </c>
      <c r="BE275" s="335">
        <v>127666</v>
      </c>
      <c r="BF275" s="339">
        <v>2229</v>
      </c>
      <c r="BG275" s="316">
        <f t="shared" ref="BG275:BH275" si="4622">IF(ISBLANK(BI275),,BI275-BI274)</f>
        <v>192</v>
      </c>
      <c r="BH275" s="334">
        <f t="shared" si="4622"/>
        <v>2</v>
      </c>
      <c r="BI275" s="335">
        <v>29865</v>
      </c>
      <c r="BJ275" s="336">
        <v>589</v>
      </c>
      <c r="BK275" s="337">
        <f t="shared" ref="BK275:BL275" si="4623">IF(ISBLANK(BM275),,BM275-BM274)</f>
        <v>327</v>
      </c>
      <c r="BL275" s="334">
        <f t="shared" si="4623"/>
        <v>9</v>
      </c>
      <c r="BM275" s="335">
        <v>32168</v>
      </c>
      <c r="BN275" s="339">
        <v>529</v>
      </c>
      <c r="BO275" s="316">
        <f t="shared" ref="BO275:BP275" si="4624">IF(ISBLANK(BQ275),,BQ275-BQ274)</f>
        <v>532</v>
      </c>
      <c r="BP275" s="334">
        <f t="shared" si="4624"/>
        <v>30</v>
      </c>
      <c r="BQ275" s="335">
        <v>98483</v>
      </c>
      <c r="BR275" s="336">
        <v>1600</v>
      </c>
      <c r="BS275" s="316">
        <f t="shared" ref="BS275:BT275" si="4625">IF(ISBLANK(BU275),,BU275-BU274)</f>
        <v>599</v>
      </c>
      <c r="BT275" s="334">
        <f t="shared" si="4625"/>
        <v>1</v>
      </c>
      <c r="BU275" s="335">
        <v>37999</v>
      </c>
      <c r="BV275" s="336">
        <v>489</v>
      </c>
      <c r="BW275" s="233"/>
      <c r="BX275" s="233"/>
      <c r="BY275" s="233"/>
      <c r="BZ275" s="233"/>
      <c r="CA275" s="233"/>
      <c r="CB275" s="233"/>
      <c r="CC275" s="233"/>
      <c r="CD275" s="233"/>
      <c r="CE275" s="233"/>
    </row>
    <row r="276" spans="1:83" x14ac:dyDescent="0.25">
      <c r="A276" s="313">
        <v>44166</v>
      </c>
      <c r="B276" s="314">
        <f t="shared" si="1276"/>
        <v>273</v>
      </c>
      <c r="C276" s="315"/>
      <c r="D276" s="316">
        <v>9105</v>
      </c>
      <c r="E276" s="317">
        <v>449</v>
      </c>
      <c r="F276" s="318">
        <v>597589</v>
      </c>
      <c r="G276" s="319">
        <v>999924</v>
      </c>
      <c r="H276" s="330">
        <f t="shared" ref="H276:I276" si="4626">IF(ISBLANK(D276),,H275+D276)</f>
        <v>999674</v>
      </c>
      <c r="I276" s="331">
        <f t="shared" si="4626"/>
        <v>17599</v>
      </c>
      <c r="J276" s="332">
        <f t="shared" si="1"/>
        <v>20075</v>
      </c>
      <c r="K276" s="333">
        <f t="shared" ref="K276:L276" si="4627">IF(ISBLANK(M276),,M276-M275)</f>
        <v>717</v>
      </c>
      <c r="L276" s="334">
        <f t="shared" si="4627"/>
        <v>57</v>
      </c>
      <c r="M276" s="335">
        <v>70980</v>
      </c>
      <c r="N276" s="336">
        <v>1248</v>
      </c>
      <c r="O276" s="337">
        <f t="shared" ref="O276:P276" si="4628">IF(ISBLANK(Q276),,Q276-Q275)</f>
        <v>1214</v>
      </c>
      <c r="P276" s="338">
        <f t="shared" si="4628"/>
        <v>40</v>
      </c>
      <c r="Q276" s="335">
        <v>57230</v>
      </c>
      <c r="R276" s="339">
        <v>704</v>
      </c>
      <c r="S276" s="316">
        <f t="shared" ref="S276:T276" si="4629">IF(ISBLANK(U276),,U276-U275)</f>
        <v>547</v>
      </c>
      <c r="T276" s="334">
        <f t="shared" si="4629"/>
        <v>36</v>
      </c>
      <c r="U276" s="335">
        <v>50697</v>
      </c>
      <c r="V276" s="336">
        <v>1074</v>
      </c>
      <c r="W276" s="337">
        <f t="shared" ref="W276:X276" si="4630">IF(ISBLANK(Y276),,Y276-Y275)</f>
        <v>187</v>
      </c>
      <c r="X276" s="334">
        <f t="shared" si="4630"/>
        <v>4</v>
      </c>
      <c r="Y276" s="335">
        <v>22097</v>
      </c>
      <c r="Z276" s="340">
        <v>372</v>
      </c>
      <c r="AA276" s="316">
        <f t="shared" ref="AA276:AB276" si="4631">IF(ISBLANK(AC276),,AC276-AC275)</f>
        <v>615</v>
      </c>
      <c r="AB276" s="334">
        <f t="shared" si="4631"/>
        <v>21</v>
      </c>
      <c r="AC276" s="335">
        <v>65570</v>
      </c>
      <c r="AD276" s="336">
        <v>1071</v>
      </c>
      <c r="AE276" s="337">
        <f t="shared" ref="AE276:AF276" si="4632">IF(ISBLANK(AG276),,AG276-AG275)</f>
        <v>486</v>
      </c>
      <c r="AF276" s="334">
        <f t="shared" si="4632"/>
        <v>67</v>
      </c>
      <c r="AG276" s="335">
        <v>96408</v>
      </c>
      <c r="AH276" s="339">
        <v>2011</v>
      </c>
      <c r="AI276" s="316">
        <f t="shared" ref="AI276:AJ276" si="4633">IF(ISBLANK(AK276),,AK276-AK275)</f>
        <v>765</v>
      </c>
      <c r="AJ276" s="334">
        <f t="shared" si="4633"/>
        <v>16</v>
      </c>
      <c r="AK276" s="335">
        <v>119231</v>
      </c>
      <c r="AL276" s="336">
        <v>2170</v>
      </c>
      <c r="AM276" s="337">
        <f t="shared" ref="AM276:AN276" si="4634">IF(ISBLANK(AO276),,AO276-AO275)</f>
        <v>361</v>
      </c>
      <c r="AN276" s="334">
        <f t="shared" si="4634"/>
        <v>20</v>
      </c>
      <c r="AO276" s="335">
        <v>29450</v>
      </c>
      <c r="AP276" s="339">
        <v>669</v>
      </c>
      <c r="AQ276" s="316">
        <f t="shared" ref="AQ276:AR276" si="4635">IF(ISBLANK(AS276),,AS276-AS275)</f>
        <v>346</v>
      </c>
      <c r="AR276" s="338">
        <f t="shared" si="4635"/>
        <v>20</v>
      </c>
      <c r="AS276" s="335">
        <v>51775</v>
      </c>
      <c r="AT276" s="336">
        <v>1297</v>
      </c>
      <c r="AU276" s="337">
        <f t="shared" ref="AU276:AV276" si="4636">IF(ISBLANK(AW276),,AW276-AW275)</f>
        <v>216</v>
      </c>
      <c r="AV276" s="334">
        <f t="shared" si="4636"/>
        <v>5</v>
      </c>
      <c r="AW276" s="335">
        <v>26441</v>
      </c>
      <c r="AX276" s="339">
        <v>504</v>
      </c>
      <c r="AY276" s="316">
        <f t="shared" ref="AY276:AZ276" si="4637">IF(ISBLANK(BA276),,BA276-BA275)</f>
        <v>443</v>
      </c>
      <c r="AZ276" s="334">
        <f t="shared" si="4637"/>
        <v>57</v>
      </c>
      <c r="BA276" s="335">
        <v>57039</v>
      </c>
      <c r="BB276" s="336">
        <v>937</v>
      </c>
      <c r="BC276" s="337">
        <f t="shared" ref="BC276:BD276" si="4638">IF(ISBLANK(BE276),,BE276-BE275)</f>
        <v>1084</v>
      </c>
      <c r="BD276" s="334">
        <f t="shared" si="4638"/>
        <v>39</v>
      </c>
      <c r="BE276" s="335">
        <v>128750</v>
      </c>
      <c r="BF276" s="339">
        <v>2268</v>
      </c>
      <c r="BG276" s="316">
        <f t="shared" ref="BG276:BH276" si="4639">IF(ISBLANK(BI276),,BI276-BI275)</f>
        <v>264</v>
      </c>
      <c r="BH276" s="334">
        <f t="shared" si="4639"/>
        <v>6</v>
      </c>
      <c r="BI276" s="335">
        <v>30129</v>
      </c>
      <c r="BJ276" s="336">
        <v>595</v>
      </c>
      <c r="BK276" s="337">
        <f t="shared" ref="BK276:BL276" si="4640">IF(ISBLANK(BM276),,BM276-BM275)</f>
        <v>534</v>
      </c>
      <c r="BL276" s="334">
        <f t="shared" si="4640"/>
        <v>36</v>
      </c>
      <c r="BM276" s="335">
        <v>32702</v>
      </c>
      <c r="BN276" s="339">
        <v>565</v>
      </c>
      <c r="BO276" s="316">
        <f t="shared" ref="BO276:BP276" si="4641">IF(ISBLANK(BQ276),,BQ276-BQ275)</f>
        <v>796</v>
      </c>
      <c r="BP276" s="334">
        <f t="shared" si="4641"/>
        <v>17</v>
      </c>
      <c r="BQ276" s="335">
        <v>99279</v>
      </c>
      <c r="BR276" s="336">
        <v>1617</v>
      </c>
      <c r="BS276" s="316">
        <f t="shared" ref="BS276:BT276" si="4642">IF(ISBLANK(BU276),,BU276-BU275)</f>
        <v>461</v>
      </c>
      <c r="BT276" s="334">
        <f t="shared" si="4642"/>
        <v>8</v>
      </c>
      <c r="BU276" s="335">
        <v>38460</v>
      </c>
      <c r="BV276" s="336">
        <v>497</v>
      </c>
      <c r="BW276" s="233"/>
      <c r="BX276" s="233"/>
      <c r="BY276" s="233"/>
      <c r="BZ276" s="233"/>
      <c r="CA276" s="233"/>
      <c r="CB276" s="233"/>
      <c r="CC276" s="233"/>
      <c r="CD276" s="233"/>
      <c r="CE276" s="233"/>
    </row>
    <row r="277" spans="1:83" x14ac:dyDescent="0.25">
      <c r="A277" s="313">
        <v>44167</v>
      </c>
      <c r="B277" s="314">
        <f t="shared" si="1276"/>
        <v>274</v>
      </c>
      <c r="C277" s="315"/>
      <c r="D277" s="316">
        <v>13855</v>
      </c>
      <c r="E277" s="317">
        <v>609</v>
      </c>
      <c r="F277" s="318">
        <v>622980</v>
      </c>
      <c r="G277" s="319">
        <v>1013747</v>
      </c>
      <c r="H277" s="330">
        <f t="shared" ref="H277:I277" si="4643">IF(ISBLANK(D277),,H276+D277)</f>
        <v>1013529</v>
      </c>
      <c r="I277" s="331">
        <f t="shared" si="4643"/>
        <v>18208</v>
      </c>
      <c r="J277" s="332">
        <f t="shared" si="1"/>
        <v>25391</v>
      </c>
      <c r="K277" s="333">
        <f t="shared" ref="K277:L277" si="4644">IF(ISBLANK(M277),,M277-M276)</f>
        <v>844</v>
      </c>
      <c r="L277" s="334">
        <f t="shared" si="4644"/>
        <v>54</v>
      </c>
      <c r="M277" s="335">
        <v>71824</v>
      </c>
      <c r="N277" s="336">
        <v>1302</v>
      </c>
      <c r="O277" s="337">
        <f t="shared" ref="O277:P277" si="4645">IF(ISBLANK(Q277),,Q277-Q276)</f>
        <v>1240</v>
      </c>
      <c r="P277" s="338">
        <f t="shared" si="4645"/>
        <v>32</v>
      </c>
      <c r="Q277" s="335">
        <v>58470</v>
      </c>
      <c r="R277" s="339">
        <v>736</v>
      </c>
      <c r="S277" s="316">
        <f t="shared" ref="S277:T277" si="4646">IF(ISBLANK(U277),,U277-U276)</f>
        <v>759</v>
      </c>
      <c r="T277" s="334">
        <f t="shared" si="4646"/>
        <v>49</v>
      </c>
      <c r="U277" s="335">
        <v>51456</v>
      </c>
      <c r="V277" s="336">
        <v>1123</v>
      </c>
      <c r="W277" s="337">
        <f t="shared" ref="W277:X277" si="4647">IF(ISBLANK(Y277),,Y277-Y276)</f>
        <v>387</v>
      </c>
      <c r="X277" s="334">
        <f t="shared" si="4647"/>
        <v>8</v>
      </c>
      <c r="Y277" s="335">
        <v>22484</v>
      </c>
      <c r="Z277" s="340">
        <v>380</v>
      </c>
      <c r="AA277" s="316">
        <f t="shared" ref="AA277:AB277" si="4648">IF(ISBLANK(AC277),,AC277-AC276)</f>
        <v>1013</v>
      </c>
      <c r="AB277" s="334">
        <f t="shared" si="4648"/>
        <v>31</v>
      </c>
      <c r="AC277" s="335">
        <v>66583</v>
      </c>
      <c r="AD277" s="336">
        <v>1102</v>
      </c>
      <c r="AE277" s="337">
        <f t="shared" ref="AE277:AF277" si="4649">IF(ISBLANK(AG277),,AG277-AG276)</f>
        <v>823</v>
      </c>
      <c r="AF277" s="334">
        <f t="shared" si="4649"/>
        <v>42</v>
      </c>
      <c r="AG277" s="335">
        <v>97231</v>
      </c>
      <c r="AH277" s="339">
        <v>2053</v>
      </c>
      <c r="AI277" s="316">
        <f t="shared" ref="AI277:AJ277" si="4650">IF(ISBLANK(AK277),,AK277-AK276)</f>
        <v>1626</v>
      </c>
      <c r="AJ277" s="334">
        <f t="shared" si="4650"/>
        <v>71</v>
      </c>
      <c r="AK277" s="335">
        <v>120857</v>
      </c>
      <c r="AL277" s="336">
        <v>2241</v>
      </c>
      <c r="AM277" s="337">
        <f t="shared" ref="AM277:AN277" si="4651">IF(ISBLANK(AO277),,AO277-AO276)</f>
        <v>257</v>
      </c>
      <c r="AN277" s="334">
        <f t="shared" si="4651"/>
        <v>39</v>
      </c>
      <c r="AO277" s="335">
        <v>29707</v>
      </c>
      <c r="AP277" s="339">
        <v>708</v>
      </c>
      <c r="AQ277" s="316">
        <f t="shared" ref="AQ277:AR277" si="4652">IF(ISBLANK(AS277),,AS277-AS276)</f>
        <v>518</v>
      </c>
      <c r="AR277" s="338">
        <f t="shared" si="4652"/>
        <v>31</v>
      </c>
      <c r="AS277" s="335">
        <v>52293</v>
      </c>
      <c r="AT277" s="336">
        <v>1328</v>
      </c>
      <c r="AU277" s="337">
        <f t="shared" ref="AU277:AV277" si="4653">IF(ISBLANK(AW277),,AW277-AW276)</f>
        <v>393</v>
      </c>
      <c r="AV277" s="334">
        <f t="shared" si="4653"/>
        <v>5</v>
      </c>
      <c r="AW277" s="335">
        <v>26834</v>
      </c>
      <c r="AX277" s="339">
        <v>509</v>
      </c>
      <c r="AY277" s="316">
        <f t="shared" ref="AY277:AZ277" si="4654">IF(ISBLANK(BA277),,BA277-BA276)</f>
        <v>1060</v>
      </c>
      <c r="AZ277" s="334">
        <f t="shared" si="4654"/>
        <v>46</v>
      </c>
      <c r="BA277" s="335">
        <v>58099</v>
      </c>
      <c r="BB277" s="336">
        <v>983</v>
      </c>
      <c r="BC277" s="337">
        <f t="shared" ref="BC277:BD277" si="4655">IF(ISBLANK(BE277),,BE277-BE276)</f>
        <v>1494</v>
      </c>
      <c r="BD277" s="334">
        <f t="shared" si="4655"/>
        <v>65</v>
      </c>
      <c r="BE277" s="335">
        <v>130244</v>
      </c>
      <c r="BF277" s="339">
        <v>2333</v>
      </c>
      <c r="BG277" s="316">
        <f t="shared" ref="BG277:BH277" si="4656">IF(ISBLANK(BI277),,BI277-BI276)</f>
        <v>276</v>
      </c>
      <c r="BH277" s="334">
        <f t="shared" si="4656"/>
        <v>25</v>
      </c>
      <c r="BI277" s="335">
        <v>30405</v>
      </c>
      <c r="BJ277" s="336">
        <v>620</v>
      </c>
      <c r="BK277" s="337">
        <f t="shared" ref="BK277:BL277" si="4657">IF(ISBLANK(BM277),,BM277-BM276)</f>
        <v>785</v>
      </c>
      <c r="BL277" s="334">
        <f t="shared" si="4657"/>
        <v>31</v>
      </c>
      <c r="BM277" s="335">
        <v>33487</v>
      </c>
      <c r="BN277" s="339">
        <v>596</v>
      </c>
      <c r="BO277" s="316">
        <f t="shared" ref="BO277:BP277" si="4658">IF(ISBLANK(BQ277),,BQ277-BQ276)</f>
        <v>1577</v>
      </c>
      <c r="BP277" s="334">
        <f t="shared" si="4658"/>
        <v>56</v>
      </c>
      <c r="BQ277" s="335">
        <v>100856</v>
      </c>
      <c r="BR277" s="336">
        <v>1673</v>
      </c>
      <c r="BS277" s="316">
        <f t="shared" ref="BS277:BT277" si="4659">IF(ISBLANK(BU277),,BU277-BU276)</f>
        <v>751</v>
      </c>
      <c r="BT277" s="334">
        <f t="shared" si="4659"/>
        <v>24</v>
      </c>
      <c r="BU277" s="335">
        <v>39211</v>
      </c>
      <c r="BV277" s="336">
        <v>521</v>
      </c>
      <c r="BW277" s="233"/>
      <c r="BX277" s="233"/>
      <c r="BY277" s="233"/>
      <c r="BZ277" s="233"/>
      <c r="CA277" s="233"/>
      <c r="CB277" s="233"/>
      <c r="CC277" s="233"/>
      <c r="CD277" s="233"/>
      <c r="CE277" s="233"/>
    </row>
    <row r="278" spans="1:83" x14ac:dyDescent="0.25">
      <c r="A278" s="313">
        <v>44168</v>
      </c>
      <c r="B278" s="314">
        <f t="shared" si="1276"/>
        <v>275</v>
      </c>
      <c r="C278" s="315"/>
      <c r="D278" s="316">
        <v>14838</v>
      </c>
      <c r="E278" s="317">
        <v>620</v>
      </c>
      <c r="F278" s="318">
        <v>646560</v>
      </c>
      <c r="G278" s="319">
        <v>1028610</v>
      </c>
      <c r="H278" s="330">
        <f t="shared" ref="H278:I278" si="4660">IF(ISBLANK(D278),,H277+D278)</f>
        <v>1028367</v>
      </c>
      <c r="I278" s="331">
        <f t="shared" si="4660"/>
        <v>18828</v>
      </c>
      <c r="J278" s="332">
        <f t="shared" si="1"/>
        <v>23580</v>
      </c>
      <c r="K278" s="333">
        <f t="shared" ref="K278:L278" si="4661">IF(ISBLANK(M278),,M278-M277)</f>
        <v>844</v>
      </c>
      <c r="L278" s="334">
        <f t="shared" si="4661"/>
        <v>41</v>
      </c>
      <c r="M278" s="335">
        <v>72668</v>
      </c>
      <c r="N278" s="336">
        <v>1343</v>
      </c>
      <c r="O278" s="337">
        <f t="shared" ref="O278:P278" si="4662">IF(ISBLANK(Q278),,Q278-Q277)</f>
        <v>1354</v>
      </c>
      <c r="P278" s="338">
        <f t="shared" si="4662"/>
        <v>27</v>
      </c>
      <c r="Q278" s="335">
        <v>59824</v>
      </c>
      <c r="R278" s="339">
        <v>763</v>
      </c>
      <c r="S278" s="316">
        <f t="shared" ref="S278:T278" si="4663">IF(ISBLANK(U278),,U278-U277)</f>
        <v>793</v>
      </c>
      <c r="T278" s="334">
        <f t="shared" si="4663"/>
        <v>44</v>
      </c>
      <c r="U278" s="335">
        <v>52249</v>
      </c>
      <c r="V278" s="336">
        <v>1167</v>
      </c>
      <c r="W278" s="337">
        <f t="shared" ref="W278:X278" si="4664">IF(ISBLANK(Y278),,Y278-Y277)</f>
        <v>358</v>
      </c>
      <c r="X278" s="334">
        <f t="shared" si="4664"/>
        <v>12</v>
      </c>
      <c r="Y278" s="335">
        <v>22842</v>
      </c>
      <c r="Z278" s="340">
        <v>392</v>
      </c>
      <c r="AA278" s="316">
        <f t="shared" ref="AA278:AB278" si="4665">IF(ISBLANK(AC278),,AC278-AC277)</f>
        <v>889</v>
      </c>
      <c r="AB278" s="334">
        <f t="shared" si="4665"/>
        <v>41</v>
      </c>
      <c r="AC278" s="335">
        <v>67472</v>
      </c>
      <c r="AD278" s="336">
        <v>1143</v>
      </c>
      <c r="AE278" s="337">
        <f t="shared" ref="AE278:AF278" si="4666">IF(ISBLANK(AG278),,AG278-AG277)</f>
        <v>646</v>
      </c>
      <c r="AF278" s="334">
        <f t="shared" si="4666"/>
        <v>50</v>
      </c>
      <c r="AG278" s="335">
        <v>97877</v>
      </c>
      <c r="AH278" s="339">
        <v>2103</v>
      </c>
      <c r="AI278" s="316">
        <f t="shared" ref="AI278:AJ278" si="4667">IF(ISBLANK(AK278),,AK278-AK277)</f>
        <v>1780</v>
      </c>
      <c r="AJ278" s="334">
        <f t="shared" si="4667"/>
        <v>75</v>
      </c>
      <c r="AK278" s="335">
        <v>122637</v>
      </c>
      <c r="AL278" s="336">
        <v>2316</v>
      </c>
      <c r="AM278" s="337">
        <f t="shared" ref="AM278:AN278" si="4668">IF(ISBLANK(AO278),,AO278-AO277)</f>
        <v>469</v>
      </c>
      <c r="AN278" s="334">
        <f t="shared" si="4668"/>
        <v>27</v>
      </c>
      <c r="AO278" s="335">
        <v>30176</v>
      </c>
      <c r="AP278" s="339">
        <v>735</v>
      </c>
      <c r="AQ278" s="316">
        <f t="shared" ref="AQ278:AR278" si="4669">IF(ISBLANK(AS278),,AS278-AS277)</f>
        <v>413</v>
      </c>
      <c r="AR278" s="338">
        <f t="shared" si="4669"/>
        <v>29</v>
      </c>
      <c r="AS278" s="335">
        <v>52706</v>
      </c>
      <c r="AT278" s="336">
        <v>1357</v>
      </c>
      <c r="AU278" s="337">
        <f t="shared" ref="AU278:AV278" si="4670">IF(ISBLANK(AW278),,AW278-AW277)</f>
        <v>356</v>
      </c>
      <c r="AV278" s="334">
        <f t="shared" si="4670"/>
        <v>26</v>
      </c>
      <c r="AW278" s="335">
        <v>27190</v>
      </c>
      <c r="AX278" s="339">
        <v>535</v>
      </c>
      <c r="AY278" s="316">
        <f t="shared" ref="AY278:AZ278" si="4671">IF(ISBLANK(BA278),,BA278-BA277)</f>
        <v>1226</v>
      </c>
      <c r="AZ278" s="334">
        <f t="shared" si="4671"/>
        <v>25</v>
      </c>
      <c r="BA278" s="335">
        <v>59325</v>
      </c>
      <c r="BB278" s="336">
        <v>1008</v>
      </c>
      <c r="BC278" s="337">
        <f t="shared" ref="BC278:BD278" si="4672">IF(ISBLANK(BE278),,BE278-BE277)</f>
        <v>1531</v>
      </c>
      <c r="BD278" s="334">
        <f t="shared" si="4672"/>
        <v>71</v>
      </c>
      <c r="BE278" s="335">
        <v>131775</v>
      </c>
      <c r="BF278" s="339">
        <v>2404</v>
      </c>
      <c r="BG278" s="316">
        <f t="shared" ref="BG278:BH278" si="4673">IF(ISBLANK(BI278),,BI278-BI277)</f>
        <v>353</v>
      </c>
      <c r="BH278" s="334">
        <f t="shared" si="4673"/>
        <v>16</v>
      </c>
      <c r="BI278" s="335">
        <v>30758</v>
      </c>
      <c r="BJ278" s="336">
        <v>636</v>
      </c>
      <c r="BK278" s="337">
        <f t="shared" ref="BK278:BL278" si="4674">IF(ISBLANK(BM278),,BM278-BM277)</f>
        <v>1058</v>
      </c>
      <c r="BL278" s="334">
        <f t="shared" si="4674"/>
        <v>49</v>
      </c>
      <c r="BM278" s="335">
        <v>34545</v>
      </c>
      <c r="BN278" s="339">
        <v>645</v>
      </c>
      <c r="BO278" s="316">
        <f t="shared" ref="BO278:BP278" si="4675">IF(ISBLANK(BQ278),,BQ278-BQ277)</f>
        <v>1755</v>
      </c>
      <c r="BP278" s="334">
        <f t="shared" si="4675"/>
        <v>61</v>
      </c>
      <c r="BQ278" s="335">
        <v>102611</v>
      </c>
      <c r="BR278" s="336">
        <v>1734</v>
      </c>
      <c r="BS278" s="316">
        <f t="shared" ref="BS278:BT278" si="4676">IF(ISBLANK(BU278),,BU278-BU277)</f>
        <v>939</v>
      </c>
      <c r="BT278" s="334">
        <f t="shared" si="4676"/>
        <v>26</v>
      </c>
      <c r="BU278" s="335">
        <v>40150</v>
      </c>
      <c r="BV278" s="336">
        <v>547</v>
      </c>
      <c r="BW278" s="233"/>
      <c r="BX278" s="233"/>
      <c r="BY278" s="233"/>
      <c r="BZ278" s="233"/>
      <c r="CA278" s="233"/>
      <c r="CB278" s="233"/>
      <c r="CC278" s="233"/>
      <c r="CD278" s="233"/>
      <c r="CE278" s="233"/>
    </row>
    <row r="279" spans="1:83" x14ac:dyDescent="0.25">
      <c r="A279" s="313">
        <v>44169</v>
      </c>
      <c r="B279" s="314">
        <f t="shared" si="1276"/>
        <v>276</v>
      </c>
      <c r="C279" s="315"/>
      <c r="D279" s="316">
        <v>13239</v>
      </c>
      <c r="E279" s="317">
        <v>531</v>
      </c>
      <c r="F279" s="318">
        <v>666413</v>
      </c>
      <c r="G279" s="319">
        <v>1041846</v>
      </c>
      <c r="H279" s="330">
        <f t="shared" ref="H279:I279" si="4677">IF(ISBLANK(D279),,H278+D279)</f>
        <v>1041606</v>
      </c>
      <c r="I279" s="331">
        <f t="shared" si="4677"/>
        <v>19359</v>
      </c>
      <c r="J279" s="332">
        <f t="shared" si="1"/>
        <v>19853</v>
      </c>
      <c r="K279" s="333">
        <f t="shared" ref="K279:L279" si="4678">IF(ISBLANK(M279),,M279-M278)</f>
        <v>828</v>
      </c>
      <c r="L279" s="334">
        <f t="shared" si="4678"/>
        <v>42</v>
      </c>
      <c r="M279" s="335">
        <v>73496</v>
      </c>
      <c r="N279" s="336">
        <v>1385</v>
      </c>
      <c r="O279" s="337">
        <f t="shared" ref="O279:P279" si="4679">IF(ISBLANK(Q279),,Q279-Q278)</f>
        <v>1081</v>
      </c>
      <c r="P279" s="338">
        <f t="shared" si="4679"/>
        <v>12</v>
      </c>
      <c r="Q279" s="335">
        <v>60905</v>
      </c>
      <c r="R279" s="339">
        <v>775</v>
      </c>
      <c r="S279" s="316">
        <f t="shared" ref="S279:T279" si="4680">IF(ISBLANK(U279),,U279-U278)</f>
        <v>713</v>
      </c>
      <c r="T279" s="334">
        <f t="shared" si="4680"/>
        <v>34</v>
      </c>
      <c r="U279" s="335">
        <v>52962</v>
      </c>
      <c r="V279" s="336">
        <v>1201</v>
      </c>
      <c r="W279" s="337">
        <f t="shared" ref="W279:X279" si="4681">IF(ISBLANK(Y279),,Y279-Y278)</f>
        <v>482</v>
      </c>
      <c r="X279" s="334">
        <f t="shared" si="4681"/>
        <v>15</v>
      </c>
      <c r="Y279" s="335">
        <v>23324</v>
      </c>
      <c r="Z279" s="340">
        <v>407</v>
      </c>
      <c r="AA279" s="316">
        <f t="shared" ref="AA279:AB279" si="4682">IF(ISBLANK(AC279),,AC279-AC278)</f>
        <v>915</v>
      </c>
      <c r="AB279" s="334">
        <f t="shared" si="4682"/>
        <v>48</v>
      </c>
      <c r="AC279" s="335">
        <v>68387</v>
      </c>
      <c r="AD279" s="336">
        <v>1191</v>
      </c>
      <c r="AE279" s="337">
        <f t="shared" ref="AE279:AF279" si="4683">IF(ISBLANK(AG279),,AG279-AG278)</f>
        <v>599</v>
      </c>
      <c r="AF279" s="334">
        <f t="shared" si="4683"/>
        <v>41</v>
      </c>
      <c r="AG279" s="335">
        <v>98476</v>
      </c>
      <c r="AH279" s="339">
        <v>2144</v>
      </c>
      <c r="AI279" s="316">
        <f t="shared" ref="AI279:AJ279" si="4684">IF(ISBLANK(AK279),,AK279-AK278)</f>
        <v>1643</v>
      </c>
      <c r="AJ279" s="334">
        <f t="shared" si="4684"/>
        <v>85</v>
      </c>
      <c r="AK279" s="335">
        <v>124280</v>
      </c>
      <c r="AL279" s="336">
        <v>2401</v>
      </c>
      <c r="AM279" s="337">
        <f t="shared" ref="AM279:AN279" si="4685">IF(ISBLANK(AO279),,AO279-AO278)</f>
        <v>449</v>
      </c>
      <c r="AN279" s="334">
        <f t="shared" si="4685"/>
        <v>14</v>
      </c>
      <c r="AO279" s="335">
        <v>30625</v>
      </c>
      <c r="AP279" s="339">
        <v>749</v>
      </c>
      <c r="AQ279" s="316">
        <f t="shared" ref="AQ279:AR279" si="4686">IF(ISBLANK(AS279),,AS279-AS278)</f>
        <v>324</v>
      </c>
      <c r="AR279" s="338">
        <f t="shared" si="4686"/>
        <v>29</v>
      </c>
      <c r="AS279" s="335">
        <v>53030</v>
      </c>
      <c r="AT279" s="336">
        <v>1386</v>
      </c>
      <c r="AU279" s="337">
        <f t="shared" ref="AU279:AV279" si="4687">IF(ISBLANK(AW279),,AW279-AW278)</f>
        <v>373</v>
      </c>
      <c r="AV279" s="334">
        <f t="shared" si="4687"/>
        <v>11</v>
      </c>
      <c r="AW279" s="335">
        <v>27563</v>
      </c>
      <c r="AX279" s="339">
        <v>546</v>
      </c>
      <c r="AY279" s="316">
        <f t="shared" ref="AY279:AZ279" si="4688">IF(ISBLANK(BA279),,BA279-BA278)</f>
        <v>813</v>
      </c>
      <c r="AZ279" s="334">
        <f t="shared" si="4688"/>
        <v>20</v>
      </c>
      <c r="BA279" s="335">
        <v>60138</v>
      </c>
      <c r="BB279" s="336">
        <v>1028</v>
      </c>
      <c r="BC279" s="337">
        <f t="shared" ref="BC279:BD279" si="4689">IF(ISBLANK(BE279),,BE279-BE278)</f>
        <v>1355</v>
      </c>
      <c r="BD279" s="334">
        <f t="shared" si="4689"/>
        <v>66</v>
      </c>
      <c r="BE279" s="335">
        <v>133130</v>
      </c>
      <c r="BF279" s="339">
        <v>2470</v>
      </c>
      <c r="BG279" s="316">
        <f t="shared" ref="BG279:BH279" si="4690">IF(ISBLANK(BI279),,BI279-BI278)</f>
        <v>252</v>
      </c>
      <c r="BH279" s="334">
        <f t="shared" si="4690"/>
        <v>19</v>
      </c>
      <c r="BI279" s="335">
        <v>31010</v>
      </c>
      <c r="BJ279" s="336">
        <v>655</v>
      </c>
      <c r="BK279" s="337">
        <f t="shared" ref="BK279:BL279" si="4691">IF(ISBLANK(BM279),,BM279-BM278)</f>
        <v>964</v>
      </c>
      <c r="BL279" s="334">
        <f t="shared" si="4691"/>
        <v>27</v>
      </c>
      <c r="BM279" s="335">
        <v>35509</v>
      </c>
      <c r="BN279" s="339">
        <v>672</v>
      </c>
      <c r="BO279" s="316">
        <f t="shared" ref="BO279:BP279" si="4692">IF(ISBLANK(BQ279),,BQ279-BQ278)</f>
        <v>1380</v>
      </c>
      <c r="BP279" s="334">
        <f t="shared" si="4692"/>
        <v>40</v>
      </c>
      <c r="BQ279" s="335">
        <v>103991</v>
      </c>
      <c r="BR279" s="336">
        <v>1774</v>
      </c>
      <c r="BS279" s="316">
        <f t="shared" ref="BS279:BT279" si="4693">IF(ISBLANK(BU279),,BU279-BU278)</f>
        <v>999</v>
      </c>
      <c r="BT279" s="334">
        <f t="shared" si="4693"/>
        <v>28</v>
      </c>
      <c r="BU279" s="335">
        <v>41149</v>
      </c>
      <c r="BV279" s="336">
        <v>575</v>
      </c>
      <c r="BW279" s="233"/>
      <c r="BX279" s="233"/>
      <c r="BY279" s="233"/>
      <c r="BZ279" s="233"/>
      <c r="CA279" s="233"/>
      <c r="CB279" s="233"/>
      <c r="CC279" s="233"/>
      <c r="CD279" s="233"/>
      <c r="CE279" s="233"/>
    </row>
    <row r="280" spans="1:83" x14ac:dyDescent="0.25">
      <c r="A280" s="313">
        <v>44170</v>
      </c>
      <c r="B280" s="314">
        <f t="shared" si="1276"/>
        <v>277</v>
      </c>
      <c r="C280" s="315"/>
      <c r="D280" s="316">
        <v>12430</v>
      </c>
      <c r="E280" s="317">
        <v>502</v>
      </c>
      <c r="F280" s="318">
        <v>687910</v>
      </c>
      <c r="G280" s="319">
        <v>1054273</v>
      </c>
      <c r="H280" s="330">
        <f t="shared" ref="H280:I280" si="4694">IF(ISBLANK(D280),,H279+D280)</f>
        <v>1054036</v>
      </c>
      <c r="I280" s="331">
        <f t="shared" si="4694"/>
        <v>19861</v>
      </c>
      <c r="J280" s="332">
        <f t="shared" si="1"/>
        <v>21497</v>
      </c>
      <c r="K280" s="333">
        <f t="shared" ref="K280:L280" si="4695">IF(ISBLANK(M280),,M280-M279)</f>
        <v>920</v>
      </c>
      <c r="L280" s="334">
        <f t="shared" si="4695"/>
        <v>22</v>
      </c>
      <c r="M280" s="335">
        <v>74416</v>
      </c>
      <c r="N280" s="336">
        <v>1407</v>
      </c>
      <c r="O280" s="337">
        <f t="shared" ref="O280:P280" si="4696">IF(ISBLANK(Q280),,Q280-Q279)</f>
        <v>1091</v>
      </c>
      <c r="P280" s="338">
        <f t="shared" si="4696"/>
        <v>14</v>
      </c>
      <c r="Q280" s="335">
        <v>61996</v>
      </c>
      <c r="R280" s="339">
        <v>789</v>
      </c>
      <c r="S280" s="316">
        <f t="shared" ref="S280:T280" si="4697">IF(ISBLANK(U280),,U280-U279)</f>
        <v>728</v>
      </c>
      <c r="T280" s="334">
        <f t="shared" si="4697"/>
        <v>48</v>
      </c>
      <c r="U280" s="335">
        <v>53690</v>
      </c>
      <c r="V280" s="336">
        <v>1249</v>
      </c>
      <c r="W280" s="337">
        <f t="shared" ref="W280:X280" si="4698">IF(ISBLANK(Y280),,Y280-Y279)</f>
        <v>339</v>
      </c>
      <c r="X280" s="334">
        <f t="shared" si="4698"/>
        <v>16</v>
      </c>
      <c r="Y280" s="335">
        <v>23663</v>
      </c>
      <c r="Z280" s="340">
        <v>423</v>
      </c>
      <c r="AA280" s="316">
        <f t="shared" ref="AA280:AB280" si="4699">IF(ISBLANK(AC280),,AC280-AC279)</f>
        <v>897</v>
      </c>
      <c r="AB280" s="334">
        <f t="shared" si="4699"/>
        <v>44</v>
      </c>
      <c r="AC280" s="335">
        <v>69284</v>
      </c>
      <c r="AD280" s="336">
        <v>1235</v>
      </c>
      <c r="AE280" s="337">
        <f t="shared" ref="AE280:AF280" si="4700">IF(ISBLANK(AG280),,AG280-AG279)</f>
        <v>548</v>
      </c>
      <c r="AF280" s="334">
        <f t="shared" si="4700"/>
        <v>35</v>
      </c>
      <c r="AG280" s="335">
        <v>99024</v>
      </c>
      <c r="AH280" s="339">
        <v>2179</v>
      </c>
      <c r="AI280" s="316">
        <f t="shared" ref="AI280:AJ280" si="4701">IF(ISBLANK(AK280),,AK280-AK279)</f>
        <v>1574</v>
      </c>
      <c r="AJ280" s="334">
        <f t="shared" si="4701"/>
        <v>45</v>
      </c>
      <c r="AK280" s="335">
        <v>125854</v>
      </c>
      <c r="AL280" s="336">
        <v>2446</v>
      </c>
      <c r="AM280" s="337">
        <f t="shared" ref="AM280:AN280" si="4702">IF(ISBLANK(AO280),,AO280-AO279)</f>
        <v>359</v>
      </c>
      <c r="AN280" s="334">
        <f t="shared" si="4702"/>
        <v>23</v>
      </c>
      <c r="AO280" s="335">
        <v>30984</v>
      </c>
      <c r="AP280" s="339">
        <v>772</v>
      </c>
      <c r="AQ280" s="316">
        <f t="shared" ref="AQ280:AR280" si="4703">IF(ISBLANK(AS280),,AS280-AS279)</f>
        <v>255</v>
      </c>
      <c r="AR280" s="338">
        <f t="shared" si="4703"/>
        <v>31</v>
      </c>
      <c r="AS280" s="335">
        <v>53285</v>
      </c>
      <c r="AT280" s="336">
        <v>1417</v>
      </c>
      <c r="AU280" s="337">
        <f t="shared" ref="AU280:AV280" si="4704">IF(ISBLANK(AW280),,AW280-AW279)</f>
        <v>287</v>
      </c>
      <c r="AV280" s="334">
        <f t="shared" si="4704"/>
        <v>24</v>
      </c>
      <c r="AW280" s="335">
        <v>27850</v>
      </c>
      <c r="AX280" s="339">
        <v>570</v>
      </c>
      <c r="AY280" s="316">
        <f t="shared" ref="AY280:AZ280" si="4705">IF(ISBLANK(BA280),,BA280-BA279)</f>
        <v>969</v>
      </c>
      <c r="AZ280" s="334">
        <f t="shared" si="4705"/>
        <v>45</v>
      </c>
      <c r="BA280" s="335">
        <v>61107</v>
      </c>
      <c r="BB280" s="336">
        <v>1073</v>
      </c>
      <c r="BC280" s="337">
        <f t="shared" ref="BC280:BD280" si="4706">IF(ISBLANK(BE280),,BE280-BE279)</f>
        <v>1283</v>
      </c>
      <c r="BD280" s="334">
        <f t="shared" si="4706"/>
        <v>51</v>
      </c>
      <c r="BE280" s="335">
        <v>134413</v>
      </c>
      <c r="BF280" s="339">
        <v>2521</v>
      </c>
      <c r="BG280" s="316">
        <f t="shared" ref="BG280:BH280" si="4707">IF(ISBLANK(BI280),,BI280-BI279)</f>
        <v>209</v>
      </c>
      <c r="BH280" s="334">
        <f t="shared" si="4707"/>
        <v>22</v>
      </c>
      <c r="BI280" s="335">
        <v>31219</v>
      </c>
      <c r="BJ280" s="336">
        <v>677</v>
      </c>
      <c r="BK280" s="337">
        <f t="shared" ref="BK280:BL280" si="4708">IF(ISBLANK(BM280),,BM280-BM279)</f>
        <v>762</v>
      </c>
      <c r="BL280" s="334">
        <f t="shared" si="4708"/>
        <v>18</v>
      </c>
      <c r="BM280" s="335">
        <v>36271</v>
      </c>
      <c r="BN280" s="339">
        <v>690</v>
      </c>
      <c r="BO280" s="316">
        <f t="shared" ref="BO280:BP280" si="4709">IF(ISBLANK(BQ280),,BQ280-BQ279)</f>
        <v>1195</v>
      </c>
      <c r="BP280" s="334">
        <f t="shared" si="4709"/>
        <v>44</v>
      </c>
      <c r="BQ280" s="335">
        <v>105186</v>
      </c>
      <c r="BR280" s="336">
        <v>1818</v>
      </c>
      <c r="BS280" s="316">
        <f t="shared" ref="BS280:BT280" si="4710">IF(ISBLANK(BU280),,BU280-BU279)</f>
        <v>974</v>
      </c>
      <c r="BT280" s="334">
        <f t="shared" si="4710"/>
        <v>20</v>
      </c>
      <c r="BU280" s="335">
        <v>42123</v>
      </c>
      <c r="BV280" s="336">
        <v>595</v>
      </c>
      <c r="BW280" s="233"/>
      <c r="BX280" s="233"/>
      <c r="BY280" s="233"/>
      <c r="BZ280" s="233"/>
      <c r="CA280" s="233"/>
      <c r="CB280" s="233"/>
      <c r="CC280" s="233"/>
      <c r="CD280" s="233"/>
      <c r="CE280" s="233"/>
    </row>
    <row r="281" spans="1:83" x14ac:dyDescent="0.25">
      <c r="A281" s="313">
        <v>44171</v>
      </c>
      <c r="B281" s="314">
        <f t="shared" si="1276"/>
        <v>278</v>
      </c>
      <c r="C281" s="315"/>
      <c r="D281" s="316">
        <v>9176</v>
      </c>
      <c r="E281" s="317">
        <v>228</v>
      </c>
      <c r="F281" s="318">
        <v>706720</v>
      </c>
      <c r="G281" s="319">
        <v>1063449</v>
      </c>
      <c r="H281" s="330">
        <f t="shared" ref="H281:I281" si="4711">IF(ISBLANK(D281),,H280+D281)</f>
        <v>1063212</v>
      </c>
      <c r="I281" s="331">
        <f t="shared" si="4711"/>
        <v>20089</v>
      </c>
      <c r="J281" s="332">
        <f t="shared" si="1"/>
        <v>18810</v>
      </c>
      <c r="K281" s="333">
        <f t="shared" ref="K281:L281" si="4712">IF(ISBLANK(M281),,M281-M280)</f>
        <v>476</v>
      </c>
      <c r="L281" s="334">
        <f t="shared" si="4712"/>
        <v>8</v>
      </c>
      <c r="M281" s="335">
        <v>74892</v>
      </c>
      <c r="N281" s="336">
        <v>1415</v>
      </c>
      <c r="O281" s="337">
        <f t="shared" ref="O281:P281" si="4713">IF(ISBLANK(Q281),,Q281-Q280)</f>
        <v>718</v>
      </c>
      <c r="P281" s="338">
        <f t="shared" si="4713"/>
        <v>11</v>
      </c>
      <c r="Q281" s="335">
        <v>62714</v>
      </c>
      <c r="R281" s="339">
        <v>800</v>
      </c>
      <c r="S281" s="316">
        <f t="shared" ref="S281:T281" si="4714">IF(ISBLANK(U281),,U281-U280)</f>
        <v>353</v>
      </c>
      <c r="T281" s="334">
        <f t="shared" si="4714"/>
        <v>15</v>
      </c>
      <c r="U281" s="335">
        <v>54043</v>
      </c>
      <c r="V281" s="336">
        <v>1264</v>
      </c>
      <c r="W281" s="337">
        <f t="shared" ref="W281:X281" si="4715">IF(ISBLANK(Y281),,Y281-Y280)</f>
        <v>325</v>
      </c>
      <c r="X281" s="334">
        <f t="shared" si="4715"/>
        <v>0</v>
      </c>
      <c r="Y281" s="335">
        <v>23988</v>
      </c>
      <c r="Z281" s="340">
        <v>423</v>
      </c>
      <c r="AA281" s="316">
        <f t="shared" ref="AA281:AB281" si="4716">IF(ISBLANK(AC281),,AC281-AC280)</f>
        <v>561</v>
      </c>
      <c r="AB281" s="334">
        <f t="shared" si="4716"/>
        <v>7</v>
      </c>
      <c r="AC281" s="335">
        <v>69845</v>
      </c>
      <c r="AD281" s="336">
        <v>1242</v>
      </c>
      <c r="AE281" s="337">
        <f t="shared" ref="AE281:AF281" si="4717">IF(ISBLANK(AG281),,AG281-AG280)</f>
        <v>380</v>
      </c>
      <c r="AF281" s="334">
        <f t="shared" si="4717"/>
        <v>12</v>
      </c>
      <c r="AG281" s="335">
        <v>99404</v>
      </c>
      <c r="AH281" s="339">
        <v>2191</v>
      </c>
      <c r="AI281" s="316">
        <f t="shared" ref="AI281:AJ281" si="4718">IF(ISBLANK(AK281),,AK281-AK280)</f>
        <v>1170</v>
      </c>
      <c r="AJ281" s="334">
        <f t="shared" si="4718"/>
        <v>23</v>
      </c>
      <c r="AK281" s="335">
        <v>127024</v>
      </c>
      <c r="AL281" s="336">
        <v>2469</v>
      </c>
      <c r="AM281" s="337">
        <f t="shared" ref="AM281:AN281" si="4719">IF(ISBLANK(AO281),,AO281-AO280)</f>
        <v>307</v>
      </c>
      <c r="AN281" s="334">
        <f t="shared" si="4719"/>
        <v>8</v>
      </c>
      <c r="AO281" s="335">
        <v>31291</v>
      </c>
      <c r="AP281" s="339">
        <v>780</v>
      </c>
      <c r="AQ281" s="316">
        <f t="shared" ref="AQ281:AR281" si="4720">IF(ISBLANK(AS281),,AS281-AS280)</f>
        <v>184</v>
      </c>
      <c r="AR281" s="338">
        <f t="shared" si="4720"/>
        <v>14</v>
      </c>
      <c r="AS281" s="335">
        <v>53469</v>
      </c>
      <c r="AT281" s="336">
        <v>1431</v>
      </c>
      <c r="AU281" s="337">
        <f t="shared" ref="AU281:AV281" si="4721">IF(ISBLANK(AW281),,AW281-AW280)</f>
        <v>223</v>
      </c>
      <c r="AV281" s="334">
        <f t="shared" si="4721"/>
        <v>24</v>
      </c>
      <c r="AW281" s="335">
        <v>28073</v>
      </c>
      <c r="AX281" s="339">
        <v>594</v>
      </c>
      <c r="AY281" s="316">
        <f t="shared" ref="AY281:AZ281" si="4722">IF(ISBLANK(BA281),,BA281-BA280)</f>
        <v>874</v>
      </c>
      <c r="AZ281" s="334">
        <f t="shared" si="4722"/>
        <v>19</v>
      </c>
      <c r="BA281" s="335">
        <v>61981</v>
      </c>
      <c r="BB281" s="336">
        <v>1092</v>
      </c>
      <c r="BC281" s="337">
        <f t="shared" ref="BC281:BD281" si="4723">IF(ISBLANK(BE281),,BE281-BE280)</f>
        <v>908</v>
      </c>
      <c r="BD281" s="334">
        <f t="shared" si="4723"/>
        <v>23</v>
      </c>
      <c r="BE281" s="335">
        <v>135321</v>
      </c>
      <c r="BF281" s="339">
        <v>2544</v>
      </c>
      <c r="BG281" s="316">
        <f t="shared" ref="BG281:BH281" si="4724">IF(ISBLANK(BI281),,BI281-BI280)</f>
        <v>187</v>
      </c>
      <c r="BH281" s="334">
        <f t="shared" si="4724"/>
        <v>11</v>
      </c>
      <c r="BI281" s="335">
        <v>31406</v>
      </c>
      <c r="BJ281" s="336">
        <v>688</v>
      </c>
      <c r="BK281" s="337">
        <f t="shared" ref="BK281:BL281" si="4725">IF(ISBLANK(BM281),,BM281-BM280)</f>
        <v>692</v>
      </c>
      <c r="BL281" s="334">
        <f t="shared" si="4725"/>
        <v>11</v>
      </c>
      <c r="BM281" s="335">
        <v>36963</v>
      </c>
      <c r="BN281" s="339">
        <v>701</v>
      </c>
      <c r="BO281" s="316">
        <f t="shared" ref="BO281:BP281" si="4726">IF(ISBLANK(BQ281),,BQ281-BQ280)</f>
        <v>1096</v>
      </c>
      <c r="BP281" s="334">
        <f t="shared" si="4726"/>
        <v>26</v>
      </c>
      <c r="BQ281" s="335">
        <v>106282</v>
      </c>
      <c r="BR281" s="336">
        <v>1844</v>
      </c>
      <c r="BS281" s="316">
        <f t="shared" ref="BS281:BT281" si="4727">IF(ISBLANK(BU281),,BU281-BU280)</f>
        <v>674</v>
      </c>
      <c r="BT281" s="334">
        <f t="shared" si="4727"/>
        <v>16</v>
      </c>
      <c r="BU281" s="335">
        <v>42797</v>
      </c>
      <c r="BV281" s="336">
        <v>611</v>
      </c>
      <c r="BW281" s="233"/>
      <c r="BX281" s="233"/>
      <c r="BY281" s="233"/>
      <c r="BZ281" s="233"/>
      <c r="CA281" s="233"/>
      <c r="CB281" s="233"/>
      <c r="CC281" s="233"/>
      <c r="CD281" s="233"/>
      <c r="CE281" s="233"/>
    </row>
    <row r="282" spans="1:83" x14ac:dyDescent="0.25">
      <c r="A282" s="313">
        <v>44172</v>
      </c>
      <c r="B282" s="314">
        <f t="shared" si="1276"/>
        <v>279</v>
      </c>
      <c r="C282" s="315"/>
      <c r="D282" s="316">
        <v>4423</v>
      </c>
      <c r="E282" s="317">
        <v>92</v>
      </c>
      <c r="F282" s="318">
        <v>722446</v>
      </c>
      <c r="G282" s="319">
        <v>1067870</v>
      </c>
      <c r="H282" s="330">
        <f t="shared" ref="H282:I282" si="4728">IF(ISBLANK(D282),,H281+D282)</f>
        <v>1067635</v>
      </c>
      <c r="I282" s="331">
        <f t="shared" si="4728"/>
        <v>20181</v>
      </c>
      <c r="J282" s="332">
        <f t="shared" si="1"/>
        <v>15726</v>
      </c>
      <c r="K282" s="333">
        <f t="shared" ref="K282:L282" si="4729">IF(ISBLANK(M282),,M282-M281)</f>
        <v>287</v>
      </c>
      <c r="L282" s="334">
        <f t="shared" si="4729"/>
        <v>2</v>
      </c>
      <c r="M282" s="335">
        <v>75179</v>
      </c>
      <c r="N282" s="336">
        <v>1417</v>
      </c>
      <c r="O282" s="337">
        <f t="shared" ref="O282:P282" si="4730">IF(ISBLANK(Q282),,Q282-Q281)</f>
        <v>351</v>
      </c>
      <c r="P282" s="338">
        <f t="shared" si="4730"/>
        <v>6</v>
      </c>
      <c r="Q282" s="335">
        <v>63065</v>
      </c>
      <c r="R282" s="339">
        <v>806</v>
      </c>
      <c r="S282" s="316">
        <f t="shared" ref="S282:T282" si="4731">IF(ISBLANK(U282),,U282-U281)</f>
        <v>177</v>
      </c>
      <c r="T282" s="334">
        <f t="shared" si="4731"/>
        <v>7</v>
      </c>
      <c r="U282" s="335">
        <v>54220</v>
      </c>
      <c r="V282" s="336">
        <v>1271</v>
      </c>
      <c r="W282" s="337">
        <f t="shared" ref="W282:X282" si="4732">IF(ISBLANK(Y282),,Y282-Y281)</f>
        <v>163</v>
      </c>
      <c r="X282" s="334">
        <f t="shared" si="4732"/>
        <v>0</v>
      </c>
      <c r="Y282" s="335">
        <v>24151</v>
      </c>
      <c r="Z282" s="340">
        <v>423</v>
      </c>
      <c r="AA282" s="316">
        <f t="shared" ref="AA282:AB282" si="4733">IF(ISBLANK(AC282),,AC282-AC281)</f>
        <v>238</v>
      </c>
      <c r="AB282" s="334">
        <f t="shared" si="4733"/>
        <v>8</v>
      </c>
      <c r="AC282" s="335">
        <v>70083</v>
      </c>
      <c r="AD282" s="336">
        <v>1250</v>
      </c>
      <c r="AE282" s="337">
        <f t="shared" ref="AE282:AF282" si="4734">IF(ISBLANK(AG282),,AG282-AG281)</f>
        <v>214</v>
      </c>
      <c r="AF282" s="334">
        <f t="shared" si="4734"/>
        <v>0</v>
      </c>
      <c r="AG282" s="335">
        <v>99618</v>
      </c>
      <c r="AH282" s="339">
        <v>2191</v>
      </c>
      <c r="AI282" s="316">
        <f t="shared" ref="AI282:AJ282" si="4735">IF(ISBLANK(AK282),,AK282-AK281)</f>
        <v>609</v>
      </c>
      <c r="AJ282" s="334">
        <f t="shared" si="4735"/>
        <v>18</v>
      </c>
      <c r="AK282" s="335">
        <v>127633</v>
      </c>
      <c r="AL282" s="336">
        <v>2487</v>
      </c>
      <c r="AM282" s="337">
        <f t="shared" ref="AM282:AN282" si="4736">IF(ISBLANK(AO282),,AO282-AO281)</f>
        <v>195</v>
      </c>
      <c r="AN282" s="334">
        <f t="shared" si="4736"/>
        <v>1</v>
      </c>
      <c r="AO282" s="335">
        <v>31486</v>
      </c>
      <c r="AP282" s="339">
        <v>781</v>
      </c>
      <c r="AQ282" s="316">
        <f t="shared" ref="AQ282:AR282" si="4737">IF(ISBLANK(AS282),,AS282-AS281)</f>
        <v>155</v>
      </c>
      <c r="AR282" s="338">
        <f t="shared" si="4737"/>
        <v>3</v>
      </c>
      <c r="AS282" s="335">
        <v>53624</v>
      </c>
      <c r="AT282" s="336">
        <v>1434</v>
      </c>
      <c r="AU282" s="337">
        <f t="shared" ref="AU282:AV282" si="4738">IF(ISBLANK(AW282),,AW282-AW281)</f>
        <v>155</v>
      </c>
      <c r="AV282" s="334">
        <f t="shared" si="4738"/>
        <v>5</v>
      </c>
      <c r="AW282" s="335">
        <v>28228</v>
      </c>
      <c r="AX282" s="339">
        <v>599</v>
      </c>
      <c r="AY282" s="316">
        <f t="shared" ref="AY282:AZ282" si="4739">IF(ISBLANK(BA282),,BA282-BA281)</f>
        <v>335</v>
      </c>
      <c r="AZ282" s="334">
        <f t="shared" si="4739"/>
        <v>7</v>
      </c>
      <c r="BA282" s="335">
        <v>62316</v>
      </c>
      <c r="BB282" s="336">
        <v>1099</v>
      </c>
      <c r="BC282" s="337">
        <f t="shared" ref="BC282:BD282" si="4740">IF(ISBLANK(BE282),,BE282-BE281)</f>
        <v>265</v>
      </c>
      <c r="BD282" s="334">
        <f t="shared" si="4740"/>
        <v>10</v>
      </c>
      <c r="BE282" s="335">
        <v>135586</v>
      </c>
      <c r="BF282" s="339">
        <v>2554</v>
      </c>
      <c r="BG282" s="316">
        <f t="shared" ref="BG282:BH282" si="4741">IF(ISBLANK(BI282),,BI282-BI281)</f>
        <v>69</v>
      </c>
      <c r="BH282" s="334">
        <f t="shared" si="4741"/>
        <v>7</v>
      </c>
      <c r="BI282" s="335">
        <v>31475</v>
      </c>
      <c r="BJ282" s="336">
        <v>695</v>
      </c>
      <c r="BK282" s="337">
        <f t="shared" ref="BK282:BL282" si="4742">IF(ISBLANK(BM282),,BM282-BM281)</f>
        <v>217</v>
      </c>
      <c r="BL282" s="334">
        <f t="shared" si="4742"/>
        <v>4</v>
      </c>
      <c r="BM282" s="335">
        <v>37180</v>
      </c>
      <c r="BN282" s="339">
        <v>705</v>
      </c>
      <c r="BO282" s="316">
        <f t="shared" ref="BO282:BP282" si="4743">IF(ISBLANK(BQ282),,BQ282-BQ281)</f>
        <v>424</v>
      </c>
      <c r="BP282" s="334">
        <f t="shared" si="4743"/>
        <v>13</v>
      </c>
      <c r="BQ282" s="335">
        <v>106706</v>
      </c>
      <c r="BR282" s="336">
        <v>1857</v>
      </c>
      <c r="BS282" s="316">
        <f t="shared" ref="BS282:BT282" si="4744">IF(ISBLANK(BU282),,BU282-BU281)</f>
        <v>529</v>
      </c>
      <c r="BT282" s="334">
        <f t="shared" si="4744"/>
        <v>1</v>
      </c>
      <c r="BU282" s="335">
        <v>43326</v>
      </c>
      <c r="BV282" s="336">
        <v>612</v>
      </c>
      <c r="BW282" s="233"/>
      <c r="BX282" s="233"/>
      <c r="BY282" s="233"/>
      <c r="BZ282" s="233"/>
      <c r="CA282" s="233"/>
      <c r="CB282" s="233"/>
      <c r="CC282" s="233"/>
      <c r="CD282" s="233"/>
      <c r="CE282" s="233"/>
    </row>
    <row r="283" spans="1:83" x14ac:dyDescent="0.25">
      <c r="A283" s="313">
        <v>44173</v>
      </c>
      <c r="B283" s="314">
        <f t="shared" si="1276"/>
        <v>280</v>
      </c>
      <c r="C283" s="315"/>
      <c r="D283" s="316">
        <v>8312</v>
      </c>
      <c r="E283" s="317">
        <v>411</v>
      </c>
      <c r="F283" s="318">
        <v>738845</v>
      </c>
      <c r="G283" s="319">
        <v>1076180</v>
      </c>
      <c r="H283" s="330">
        <f t="shared" ref="H283:I283" si="4745">IF(ISBLANK(D283),,H282+D283)</f>
        <v>1075947</v>
      </c>
      <c r="I283" s="331">
        <f t="shared" si="4745"/>
        <v>20592</v>
      </c>
      <c r="J283" s="332">
        <f t="shared" si="1"/>
        <v>16399</v>
      </c>
      <c r="K283" s="333">
        <f t="shared" ref="K283:L283" si="4746">IF(ISBLANK(M283),,M283-M282)</f>
        <v>566</v>
      </c>
      <c r="L283" s="334">
        <f t="shared" si="4746"/>
        <v>37</v>
      </c>
      <c r="M283" s="335">
        <v>75745</v>
      </c>
      <c r="N283" s="336">
        <v>1454</v>
      </c>
      <c r="O283" s="337">
        <f t="shared" ref="O283:P283" si="4747">IF(ISBLANK(Q283),,Q283-Q282)</f>
        <v>690</v>
      </c>
      <c r="P283" s="338">
        <f t="shared" si="4747"/>
        <v>19</v>
      </c>
      <c r="Q283" s="335">
        <v>63755</v>
      </c>
      <c r="R283" s="339">
        <v>825</v>
      </c>
      <c r="S283" s="316">
        <f t="shared" ref="S283:T283" si="4748">IF(ISBLANK(U283),,U283-U282)</f>
        <v>416</v>
      </c>
      <c r="T283" s="334">
        <f t="shared" si="4748"/>
        <v>17</v>
      </c>
      <c r="U283" s="335">
        <v>54636</v>
      </c>
      <c r="V283" s="336">
        <v>1288</v>
      </c>
      <c r="W283" s="337">
        <f t="shared" ref="W283:X283" si="4749">IF(ISBLANK(Y283),,Y283-Y282)</f>
        <v>174</v>
      </c>
      <c r="X283" s="334">
        <f t="shared" si="4749"/>
        <v>15</v>
      </c>
      <c r="Y283" s="335">
        <v>24325</v>
      </c>
      <c r="Z283" s="340">
        <v>438</v>
      </c>
      <c r="AA283" s="316">
        <f t="shared" ref="AA283:AB283" si="4750">IF(ISBLANK(AC283),,AC283-AC282)</f>
        <v>563</v>
      </c>
      <c r="AB283" s="334">
        <f t="shared" si="4750"/>
        <v>35</v>
      </c>
      <c r="AC283" s="335">
        <v>70646</v>
      </c>
      <c r="AD283" s="336">
        <v>1285</v>
      </c>
      <c r="AE283" s="337">
        <f t="shared" ref="AE283:AF283" si="4751">IF(ISBLANK(AG283),,AG283-AG282)</f>
        <v>1072</v>
      </c>
      <c r="AF283" s="334">
        <f t="shared" si="4751"/>
        <v>50</v>
      </c>
      <c r="AG283" s="335">
        <v>100690</v>
      </c>
      <c r="AH283" s="339">
        <v>2241</v>
      </c>
      <c r="AI283" s="316">
        <f t="shared" ref="AI283:AJ283" si="4752">IF(ISBLANK(AK283),,AK283-AK282)</f>
        <v>960</v>
      </c>
      <c r="AJ283" s="334">
        <f t="shared" si="4752"/>
        <v>38</v>
      </c>
      <c r="AK283" s="335">
        <v>128593</v>
      </c>
      <c r="AL283" s="336">
        <v>2525</v>
      </c>
      <c r="AM283" s="337">
        <f t="shared" ref="AM283:AN283" si="4753">IF(ISBLANK(AO283),,AO283-AO282)</f>
        <v>140</v>
      </c>
      <c r="AN283" s="334">
        <f t="shared" si="4753"/>
        <v>18</v>
      </c>
      <c r="AO283" s="335">
        <v>31626</v>
      </c>
      <c r="AP283" s="339">
        <v>799</v>
      </c>
      <c r="AQ283" s="316">
        <f t="shared" ref="AQ283:AR283" si="4754">IF(ISBLANK(AS283),,AS283-AS282)</f>
        <v>204</v>
      </c>
      <c r="AR283" s="338">
        <f t="shared" si="4754"/>
        <v>21</v>
      </c>
      <c r="AS283" s="335">
        <v>53828</v>
      </c>
      <c r="AT283" s="336">
        <v>1455</v>
      </c>
      <c r="AU283" s="337">
        <f t="shared" ref="AU283:AV283" si="4755">IF(ISBLANK(AW283),,AW283-AW282)</f>
        <v>193</v>
      </c>
      <c r="AV283" s="334">
        <f t="shared" si="4755"/>
        <v>2</v>
      </c>
      <c r="AW283" s="335">
        <v>28421</v>
      </c>
      <c r="AX283" s="339">
        <v>601</v>
      </c>
      <c r="AY283" s="316">
        <f t="shared" ref="AY283:AZ283" si="4756">IF(ISBLANK(BA283),,BA283-BA282)</f>
        <v>515</v>
      </c>
      <c r="AZ283" s="334">
        <f t="shared" si="4756"/>
        <v>23</v>
      </c>
      <c r="BA283" s="335">
        <v>62831</v>
      </c>
      <c r="BB283" s="336">
        <v>1122</v>
      </c>
      <c r="BC283" s="337">
        <f t="shared" ref="BC283:BD283" si="4757">IF(ISBLANK(BE283),,BE283-BE282)</f>
        <v>852</v>
      </c>
      <c r="BD283" s="334">
        <f t="shared" si="4757"/>
        <v>64</v>
      </c>
      <c r="BE283" s="335">
        <v>136438</v>
      </c>
      <c r="BF283" s="339">
        <v>2618</v>
      </c>
      <c r="BG283" s="316">
        <f t="shared" ref="BG283:BH283" si="4758">IF(ISBLANK(BI283),,BI283-BI282)</f>
        <v>182</v>
      </c>
      <c r="BH283" s="334">
        <f t="shared" si="4758"/>
        <v>8</v>
      </c>
      <c r="BI283" s="335">
        <v>31657</v>
      </c>
      <c r="BJ283" s="336">
        <v>703</v>
      </c>
      <c r="BK283" s="337">
        <f t="shared" ref="BK283:BL283" si="4759">IF(ISBLANK(BM283),,BM283-BM282)</f>
        <v>528</v>
      </c>
      <c r="BL283" s="334">
        <f t="shared" si="4759"/>
        <v>27</v>
      </c>
      <c r="BM283" s="335">
        <v>37708</v>
      </c>
      <c r="BN283" s="339">
        <v>732</v>
      </c>
      <c r="BO283" s="316">
        <f t="shared" ref="BO283:BP283" si="4760">IF(ISBLANK(BQ283),,BQ283-BQ282)</f>
        <v>580</v>
      </c>
      <c r="BP283" s="334">
        <f t="shared" si="4760"/>
        <v>21</v>
      </c>
      <c r="BQ283" s="335">
        <v>107286</v>
      </c>
      <c r="BR283" s="336">
        <v>1878</v>
      </c>
      <c r="BS283" s="316">
        <f t="shared" ref="BS283:BT283" si="4761">IF(ISBLANK(BU283),,BU283-BU282)</f>
        <v>486</v>
      </c>
      <c r="BT283" s="334">
        <f t="shared" si="4761"/>
        <v>16</v>
      </c>
      <c r="BU283" s="335">
        <v>43812</v>
      </c>
      <c r="BV283" s="336">
        <v>628</v>
      </c>
      <c r="BW283" s="233"/>
      <c r="BX283" s="233"/>
      <c r="BY283" s="233"/>
      <c r="BZ283" s="233"/>
      <c r="CA283" s="233"/>
      <c r="CB283" s="233"/>
      <c r="CC283" s="233"/>
      <c r="CD283" s="233"/>
      <c r="CE283" s="233"/>
    </row>
    <row r="284" spans="1:83" x14ac:dyDescent="0.25">
      <c r="A284" s="313">
        <v>44174</v>
      </c>
      <c r="B284" s="314">
        <f t="shared" si="1276"/>
        <v>281</v>
      </c>
      <c r="C284" s="315"/>
      <c r="D284" s="316">
        <v>12168</v>
      </c>
      <c r="E284" s="317">
        <v>568</v>
      </c>
      <c r="F284" s="318">
        <v>768241</v>
      </c>
      <c r="G284" s="319">
        <v>1088346</v>
      </c>
      <c r="H284" s="330">
        <f t="shared" ref="H284:I284" si="4762">IF(ISBLANK(D284),,H283+D284)</f>
        <v>1088115</v>
      </c>
      <c r="I284" s="331">
        <f t="shared" si="4762"/>
        <v>21160</v>
      </c>
      <c r="J284" s="332">
        <f t="shared" si="1"/>
        <v>29396</v>
      </c>
      <c r="K284" s="333">
        <f t="shared" ref="K284:L284" si="4763">IF(ISBLANK(M284),,M284-M283)</f>
        <v>813</v>
      </c>
      <c r="L284" s="334">
        <f t="shared" si="4763"/>
        <v>50</v>
      </c>
      <c r="M284" s="335">
        <v>76558</v>
      </c>
      <c r="N284" s="336">
        <v>1504</v>
      </c>
      <c r="O284" s="337">
        <f t="shared" ref="O284:P284" si="4764">IF(ISBLANK(Q284),,Q284-Q283)</f>
        <v>1101</v>
      </c>
      <c r="P284" s="338">
        <f t="shared" si="4764"/>
        <v>28</v>
      </c>
      <c r="Q284" s="335">
        <v>64856</v>
      </c>
      <c r="R284" s="339">
        <v>853</v>
      </c>
      <c r="S284" s="316">
        <f t="shared" ref="S284:T284" si="4765">IF(ISBLANK(U284),,U284-U283)</f>
        <v>728</v>
      </c>
      <c r="T284" s="334">
        <f t="shared" si="4765"/>
        <v>37</v>
      </c>
      <c r="U284" s="335">
        <v>55364</v>
      </c>
      <c r="V284" s="336">
        <v>1325</v>
      </c>
      <c r="W284" s="337">
        <f t="shared" ref="W284:X284" si="4766">IF(ISBLANK(Y284),,Y284-Y283)</f>
        <v>349</v>
      </c>
      <c r="X284" s="334">
        <f t="shared" si="4766"/>
        <v>16</v>
      </c>
      <c r="Y284" s="335">
        <v>24674</v>
      </c>
      <c r="Z284" s="340">
        <v>454</v>
      </c>
      <c r="AA284" s="316">
        <f t="shared" ref="AA284:AB284" si="4767">IF(ISBLANK(AC284),,AC284-AC283)</f>
        <v>821</v>
      </c>
      <c r="AB284" s="334">
        <f t="shared" si="4767"/>
        <v>64</v>
      </c>
      <c r="AC284" s="335">
        <v>71467</v>
      </c>
      <c r="AD284" s="336">
        <v>1349</v>
      </c>
      <c r="AE284" s="337">
        <f t="shared" ref="AE284:AF284" si="4768">IF(ISBLANK(AG284),,AG284-AG283)</f>
        <v>564</v>
      </c>
      <c r="AF284" s="334">
        <f t="shared" si="4768"/>
        <v>40</v>
      </c>
      <c r="AG284" s="335">
        <v>101254</v>
      </c>
      <c r="AH284" s="339">
        <v>2281</v>
      </c>
      <c r="AI284" s="316">
        <f t="shared" ref="AI284:AJ284" si="4769">IF(ISBLANK(AK284),,AK284-AK283)</f>
        <v>1496</v>
      </c>
      <c r="AJ284" s="334">
        <f t="shared" si="4769"/>
        <v>41</v>
      </c>
      <c r="AK284" s="335">
        <v>130089</v>
      </c>
      <c r="AL284" s="336">
        <v>2566</v>
      </c>
      <c r="AM284" s="337">
        <f t="shared" ref="AM284:AN284" si="4770">IF(ISBLANK(AO284),,AO284-AO283)</f>
        <v>224</v>
      </c>
      <c r="AN284" s="334">
        <f t="shared" si="4770"/>
        <v>19</v>
      </c>
      <c r="AO284" s="335">
        <v>31850</v>
      </c>
      <c r="AP284" s="339">
        <v>818</v>
      </c>
      <c r="AQ284" s="316">
        <f t="shared" ref="AQ284:AR284" si="4771">IF(ISBLANK(AS284),,AS284-AS283)</f>
        <v>253</v>
      </c>
      <c r="AR284" s="338">
        <f t="shared" si="4771"/>
        <v>33</v>
      </c>
      <c r="AS284" s="335">
        <v>54081</v>
      </c>
      <c r="AT284" s="336">
        <v>1488</v>
      </c>
      <c r="AU284" s="337">
        <f t="shared" ref="AU284:AV284" si="4772">IF(ISBLANK(AW284),,AW284-AW283)</f>
        <v>360</v>
      </c>
      <c r="AV284" s="334">
        <f t="shared" si="4772"/>
        <v>12</v>
      </c>
      <c r="AW284" s="335">
        <v>28781</v>
      </c>
      <c r="AX284" s="339">
        <v>613</v>
      </c>
      <c r="AY284" s="316">
        <f t="shared" ref="AY284:AZ284" si="4773">IF(ISBLANK(BA284),,BA284-BA283)</f>
        <v>933</v>
      </c>
      <c r="AZ284" s="334">
        <f t="shared" si="4773"/>
        <v>33</v>
      </c>
      <c r="BA284" s="335">
        <v>63764</v>
      </c>
      <c r="BB284" s="336">
        <v>1155</v>
      </c>
      <c r="BC284" s="337">
        <f t="shared" ref="BC284:BD284" si="4774">IF(ISBLANK(BE284),,BE284-BE283)</f>
        <v>1465</v>
      </c>
      <c r="BD284" s="334">
        <f t="shared" si="4774"/>
        <v>64</v>
      </c>
      <c r="BE284" s="335">
        <v>137903</v>
      </c>
      <c r="BF284" s="339">
        <v>2682</v>
      </c>
      <c r="BG284" s="316">
        <f t="shared" ref="BG284:BH284" si="4775">IF(ISBLANK(BI284),,BI284-BI283)</f>
        <v>178</v>
      </c>
      <c r="BH284" s="334">
        <f t="shared" si="4775"/>
        <v>18</v>
      </c>
      <c r="BI284" s="335">
        <v>31835</v>
      </c>
      <c r="BJ284" s="336">
        <v>721</v>
      </c>
      <c r="BK284" s="337">
        <f t="shared" ref="BK284:BL284" si="4776">IF(ISBLANK(BM284),,BM284-BM283)</f>
        <v>651</v>
      </c>
      <c r="BL284" s="334">
        <f t="shared" si="4776"/>
        <v>21</v>
      </c>
      <c r="BM284" s="335">
        <v>38359</v>
      </c>
      <c r="BN284" s="339">
        <v>753</v>
      </c>
      <c r="BO284" s="316">
        <f t="shared" ref="BO284:BP284" si="4777">IF(ISBLANK(BQ284),,BQ284-BQ283)</f>
        <v>1213</v>
      </c>
      <c r="BP284" s="334">
        <f t="shared" si="4777"/>
        <v>57</v>
      </c>
      <c r="BQ284" s="335">
        <v>108499</v>
      </c>
      <c r="BR284" s="336">
        <v>1935</v>
      </c>
      <c r="BS284" s="316">
        <f t="shared" ref="BS284:BT284" si="4778">IF(ISBLANK(BU284),,BU284-BU283)</f>
        <v>932</v>
      </c>
      <c r="BT284" s="334">
        <f t="shared" si="4778"/>
        <v>35</v>
      </c>
      <c r="BU284" s="335">
        <v>44744</v>
      </c>
      <c r="BV284" s="336">
        <v>663</v>
      </c>
      <c r="BW284" s="233"/>
      <c r="BX284" s="233"/>
      <c r="BY284" s="233"/>
      <c r="BZ284" s="233"/>
      <c r="CA284" s="233"/>
      <c r="CB284" s="233"/>
      <c r="CC284" s="233"/>
      <c r="CD284" s="233"/>
      <c r="CE284" s="233"/>
    </row>
    <row r="285" spans="1:83" x14ac:dyDescent="0.25">
      <c r="A285" s="341">
        <v>44175</v>
      </c>
      <c r="B285" s="314">
        <f t="shared" si="1276"/>
        <v>282</v>
      </c>
      <c r="C285" s="315"/>
      <c r="D285" s="316">
        <v>13749</v>
      </c>
      <c r="E285" s="317">
        <v>470</v>
      </c>
      <c r="F285" s="342">
        <v>792119</v>
      </c>
      <c r="G285" s="319">
        <v>1102096</v>
      </c>
      <c r="H285" s="330">
        <f t="shared" ref="H285:I285" si="4779">IF(ISBLANK(D285),,H284+D285)</f>
        <v>1101864</v>
      </c>
      <c r="I285" s="331">
        <f t="shared" si="4779"/>
        <v>21630</v>
      </c>
      <c r="J285" s="332">
        <f t="shared" si="1"/>
        <v>23878</v>
      </c>
      <c r="K285" s="333">
        <f t="shared" ref="K285:L285" si="4780">IF(ISBLANK(M285),,M285-M284)</f>
        <v>985</v>
      </c>
      <c r="L285" s="334">
        <f t="shared" si="4780"/>
        <v>24</v>
      </c>
      <c r="M285" s="335">
        <v>77543</v>
      </c>
      <c r="N285" s="336">
        <v>1528</v>
      </c>
      <c r="O285" s="337">
        <f t="shared" ref="O285:P285" si="4781">IF(ISBLANK(Q285),,Q285-Q284)</f>
        <v>1404</v>
      </c>
      <c r="P285" s="338">
        <f t="shared" si="4781"/>
        <v>35</v>
      </c>
      <c r="Q285" s="335">
        <v>66260</v>
      </c>
      <c r="R285" s="339">
        <v>888</v>
      </c>
      <c r="S285" s="316">
        <f t="shared" ref="S285:T285" si="4782">IF(ISBLANK(U285),,U285-U284)</f>
        <v>618</v>
      </c>
      <c r="T285" s="334">
        <f t="shared" si="4782"/>
        <v>33</v>
      </c>
      <c r="U285" s="335">
        <v>55982</v>
      </c>
      <c r="V285" s="336">
        <v>1358</v>
      </c>
      <c r="W285" s="337">
        <f t="shared" ref="W285:X285" si="4783">IF(ISBLANK(Y285),,Y285-Y284)</f>
        <v>467</v>
      </c>
      <c r="X285" s="334">
        <f t="shared" si="4783"/>
        <v>17</v>
      </c>
      <c r="Y285" s="335">
        <v>25141</v>
      </c>
      <c r="Z285" s="340">
        <v>471</v>
      </c>
      <c r="AA285" s="316">
        <f t="shared" ref="AA285:AB285" si="4784">IF(ISBLANK(AC285),,AC285-AC284)</f>
        <v>863</v>
      </c>
      <c r="AB285" s="334">
        <f t="shared" si="4784"/>
        <v>67</v>
      </c>
      <c r="AC285" s="335">
        <v>72330</v>
      </c>
      <c r="AD285" s="336">
        <v>1416</v>
      </c>
      <c r="AE285" s="337">
        <f t="shared" ref="AE285:AF285" si="4785">IF(ISBLANK(AG285),,AG285-AG284)</f>
        <v>488</v>
      </c>
      <c r="AF285" s="334">
        <f t="shared" si="4785"/>
        <v>27</v>
      </c>
      <c r="AG285" s="335">
        <v>101742</v>
      </c>
      <c r="AH285" s="339">
        <v>2308</v>
      </c>
      <c r="AI285" s="316">
        <f t="shared" ref="AI285:AJ285" si="4786">IF(ISBLANK(AK285),,AK285-AK284)</f>
        <v>1701</v>
      </c>
      <c r="AJ285" s="334">
        <f t="shared" si="4786"/>
        <v>48</v>
      </c>
      <c r="AK285" s="335">
        <v>131790</v>
      </c>
      <c r="AL285" s="336">
        <v>2614</v>
      </c>
      <c r="AM285" s="337">
        <f t="shared" ref="AM285:AN285" si="4787">IF(ISBLANK(AO285),,AO285-AO284)</f>
        <v>493</v>
      </c>
      <c r="AN285" s="334">
        <f t="shared" si="4787"/>
        <v>14</v>
      </c>
      <c r="AO285" s="335">
        <v>32343</v>
      </c>
      <c r="AP285" s="339">
        <v>832</v>
      </c>
      <c r="AQ285" s="316">
        <f t="shared" ref="AQ285:AR285" si="4788">IF(ISBLANK(AS285),,AS285-AS284)</f>
        <v>406</v>
      </c>
      <c r="AR285" s="338">
        <f t="shared" si="4788"/>
        <v>33</v>
      </c>
      <c r="AS285" s="335">
        <v>54487</v>
      </c>
      <c r="AT285" s="336">
        <v>1521</v>
      </c>
      <c r="AU285" s="337">
        <f t="shared" ref="AU285:AV285" si="4789">IF(ISBLANK(AW285),,AW285-AW284)</f>
        <v>364</v>
      </c>
      <c r="AV285" s="334">
        <f t="shared" si="4789"/>
        <v>5</v>
      </c>
      <c r="AW285" s="335">
        <v>29145</v>
      </c>
      <c r="AX285" s="339">
        <v>618</v>
      </c>
      <c r="AY285" s="316">
        <f t="shared" ref="AY285:AZ285" si="4790">IF(ISBLANK(BA285),,BA285-BA284)</f>
        <v>887</v>
      </c>
      <c r="AZ285" s="334">
        <f t="shared" si="4790"/>
        <v>19</v>
      </c>
      <c r="BA285" s="335">
        <v>64651</v>
      </c>
      <c r="BB285" s="336">
        <v>1174</v>
      </c>
      <c r="BC285" s="337">
        <f t="shared" ref="BC285:BD285" si="4791">IF(ISBLANK(BE285),,BE285-BE284)</f>
        <v>1251</v>
      </c>
      <c r="BD285" s="334">
        <f t="shared" si="4791"/>
        <v>47</v>
      </c>
      <c r="BE285" s="335">
        <v>139154</v>
      </c>
      <c r="BF285" s="339">
        <v>2729</v>
      </c>
      <c r="BG285" s="316">
        <f t="shared" ref="BG285:BH285" si="4792">IF(ISBLANK(BI285),,BI285-BI284)</f>
        <v>215</v>
      </c>
      <c r="BH285" s="334">
        <f t="shared" si="4792"/>
        <v>14</v>
      </c>
      <c r="BI285" s="335">
        <v>32050</v>
      </c>
      <c r="BJ285" s="336">
        <v>735</v>
      </c>
      <c r="BK285" s="337">
        <f t="shared" ref="BK285:BL285" si="4793">IF(ISBLANK(BM285),,BM285-BM284)</f>
        <v>897</v>
      </c>
      <c r="BL285" s="334">
        <f t="shared" si="4793"/>
        <v>30</v>
      </c>
      <c r="BM285" s="335">
        <v>39256</v>
      </c>
      <c r="BN285" s="339">
        <v>783</v>
      </c>
      <c r="BO285" s="316">
        <f t="shared" ref="BO285:BP285" si="4794">IF(ISBLANK(BQ285),,BQ285-BQ284)</f>
        <v>1672</v>
      </c>
      <c r="BP285" s="334">
        <f t="shared" si="4794"/>
        <v>49</v>
      </c>
      <c r="BQ285" s="335">
        <v>110171</v>
      </c>
      <c r="BR285" s="336">
        <v>1984</v>
      </c>
      <c r="BS285" s="316">
        <f t="shared" ref="BS285:BT285" si="4795">IF(ISBLANK(BU285),,BU285-BU284)</f>
        <v>956</v>
      </c>
      <c r="BT285" s="334">
        <f t="shared" si="4795"/>
        <v>8</v>
      </c>
      <c r="BU285" s="335">
        <v>45700</v>
      </c>
      <c r="BV285" s="336">
        <v>671</v>
      </c>
      <c r="BW285" s="233"/>
      <c r="BX285" s="233"/>
      <c r="BY285" s="233"/>
      <c r="BZ285" s="233"/>
      <c r="CA285" s="233"/>
      <c r="CB285" s="233"/>
      <c r="CC285" s="233"/>
      <c r="CD285" s="233"/>
      <c r="CE285" s="233"/>
    </row>
    <row r="286" spans="1:83" x14ac:dyDescent="0.25">
      <c r="A286" s="341">
        <v>44176</v>
      </c>
      <c r="B286" s="314">
        <f t="shared" si="1276"/>
        <v>283</v>
      </c>
      <c r="C286" s="315"/>
      <c r="D286" s="316">
        <v>13110</v>
      </c>
      <c r="E286" s="317">
        <v>544</v>
      </c>
      <c r="F286" s="342">
        <v>815356</v>
      </c>
      <c r="G286" s="319">
        <v>1115201</v>
      </c>
      <c r="H286" s="330">
        <f t="shared" ref="H286:I286" si="4796">IF(ISBLANK(D286),,H285+D286)</f>
        <v>1114974</v>
      </c>
      <c r="I286" s="331">
        <f t="shared" si="4796"/>
        <v>22174</v>
      </c>
      <c r="J286" s="332">
        <f t="shared" si="1"/>
        <v>23237</v>
      </c>
      <c r="K286" s="333">
        <f t="shared" ref="K286:L286" si="4797">IF(ISBLANK(M286),,M286-M285)</f>
        <v>797</v>
      </c>
      <c r="L286" s="334">
        <f t="shared" si="4797"/>
        <v>49</v>
      </c>
      <c r="M286" s="335">
        <v>78340</v>
      </c>
      <c r="N286" s="336">
        <v>1577</v>
      </c>
      <c r="O286" s="337">
        <f t="shared" ref="O286:P286" si="4798">IF(ISBLANK(Q286),,Q286-Q285)</f>
        <v>1002</v>
      </c>
      <c r="P286" s="338">
        <f t="shared" si="4798"/>
        <v>52</v>
      </c>
      <c r="Q286" s="335">
        <v>67262</v>
      </c>
      <c r="R286" s="339">
        <v>940</v>
      </c>
      <c r="S286" s="316">
        <f t="shared" ref="S286:T286" si="4799">IF(ISBLANK(U286),,U286-U285)</f>
        <v>639</v>
      </c>
      <c r="T286" s="334">
        <f t="shared" si="4799"/>
        <v>15</v>
      </c>
      <c r="U286" s="335">
        <v>56621</v>
      </c>
      <c r="V286" s="336">
        <v>1373</v>
      </c>
      <c r="W286" s="337">
        <f t="shared" ref="W286:X286" si="4800">IF(ISBLANK(Y286),,Y286-Y285)</f>
        <v>447</v>
      </c>
      <c r="X286" s="334">
        <f t="shared" si="4800"/>
        <v>18</v>
      </c>
      <c r="Y286" s="335">
        <v>25588</v>
      </c>
      <c r="Z286" s="340">
        <v>489</v>
      </c>
      <c r="AA286" s="316">
        <f t="shared" ref="AA286:AB286" si="4801">IF(ISBLANK(AC286),,AC286-AC285)</f>
        <v>838</v>
      </c>
      <c r="AB286" s="334">
        <f t="shared" si="4801"/>
        <v>41</v>
      </c>
      <c r="AC286" s="335">
        <v>73168</v>
      </c>
      <c r="AD286" s="336">
        <v>1457</v>
      </c>
      <c r="AE286" s="337">
        <f t="shared" ref="AE286:AF286" si="4802">IF(ISBLANK(AG286),,AG286-AG285)</f>
        <v>472</v>
      </c>
      <c r="AF286" s="334">
        <f t="shared" si="4802"/>
        <v>27</v>
      </c>
      <c r="AG286" s="335">
        <v>102214</v>
      </c>
      <c r="AH286" s="339">
        <v>2335</v>
      </c>
      <c r="AI286" s="316">
        <f t="shared" ref="AI286:AJ286" si="4803">IF(ISBLANK(AK286),,AK286-AK285)</f>
        <v>1722</v>
      </c>
      <c r="AJ286" s="334">
        <f t="shared" si="4803"/>
        <v>58</v>
      </c>
      <c r="AK286" s="335">
        <v>133512</v>
      </c>
      <c r="AL286" s="336">
        <v>2672</v>
      </c>
      <c r="AM286" s="337">
        <f t="shared" ref="AM286:AN286" si="4804">IF(ISBLANK(AO286),,AO286-AO285)</f>
        <v>337</v>
      </c>
      <c r="AN286" s="334">
        <f t="shared" si="4804"/>
        <v>13</v>
      </c>
      <c r="AO286" s="335">
        <v>32680</v>
      </c>
      <c r="AP286" s="339">
        <v>845</v>
      </c>
      <c r="AQ286" s="316">
        <f t="shared" ref="AQ286:AR286" si="4805">IF(ISBLANK(AS286),,AS286-AS285)</f>
        <v>260</v>
      </c>
      <c r="AR286" s="338">
        <f t="shared" si="4805"/>
        <v>36</v>
      </c>
      <c r="AS286" s="335">
        <v>54747</v>
      </c>
      <c r="AT286" s="336">
        <v>1557</v>
      </c>
      <c r="AU286" s="337">
        <f t="shared" ref="AU286:AV286" si="4806">IF(ISBLANK(AW286),,AW286-AW285)</f>
        <v>308</v>
      </c>
      <c r="AV286" s="334">
        <f t="shared" si="4806"/>
        <v>40</v>
      </c>
      <c r="AW286" s="335">
        <v>29453</v>
      </c>
      <c r="AX286" s="339">
        <v>658</v>
      </c>
      <c r="AY286" s="316">
        <f t="shared" ref="AY286:AZ286" si="4807">IF(ISBLANK(BA286),,BA286-BA285)</f>
        <v>1147</v>
      </c>
      <c r="AZ286" s="334">
        <f t="shared" si="4807"/>
        <v>22</v>
      </c>
      <c r="BA286" s="335">
        <v>65798</v>
      </c>
      <c r="BB286" s="336">
        <v>1196</v>
      </c>
      <c r="BC286" s="337">
        <f t="shared" ref="BC286:BD286" si="4808">IF(ISBLANK(BE286),,BE286-BE285)</f>
        <v>1080</v>
      </c>
      <c r="BD286" s="334">
        <f t="shared" si="4808"/>
        <v>68</v>
      </c>
      <c r="BE286" s="335">
        <v>140234</v>
      </c>
      <c r="BF286" s="339">
        <v>2797</v>
      </c>
      <c r="BG286" s="316">
        <f t="shared" ref="BG286:BH286" si="4809">IF(ISBLANK(BI286),,BI286-BI285)</f>
        <v>218</v>
      </c>
      <c r="BH286" s="334">
        <f t="shared" si="4809"/>
        <v>9</v>
      </c>
      <c r="BI286" s="335">
        <v>32268</v>
      </c>
      <c r="BJ286" s="336">
        <v>744</v>
      </c>
      <c r="BK286" s="337">
        <f t="shared" ref="BK286:BL286" si="4810">IF(ISBLANK(BM286),,BM286-BM285)</f>
        <v>1198</v>
      </c>
      <c r="BL286" s="334">
        <f t="shared" si="4810"/>
        <v>17</v>
      </c>
      <c r="BM286" s="335">
        <v>40454</v>
      </c>
      <c r="BN286" s="339">
        <v>800</v>
      </c>
      <c r="BO286" s="316">
        <f t="shared" ref="BO286:BP286" si="4811">IF(ISBLANK(BQ286),,BQ286-BQ285)</f>
        <v>1411</v>
      </c>
      <c r="BP286" s="334">
        <f t="shared" si="4811"/>
        <v>49</v>
      </c>
      <c r="BQ286" s="335">
        <v>111582</v>
      </c>
      <c r="BR286" s="336">
        <v>2033</v>
      </c>
      <c r="BS286" s="316">
        <f t="shared" ref="BS286:BT286" si="4812">IF(ISBLANK(BU286),,BU286-BU285)</f>
        <v>1110</v>
      </c>
      <c r="BT286" s="334">
        <f t="shared" si="4812"/>
        <v>30</v>
      </c>
      <c r="BU286" s="335">
        <v>46810</v>
      </c>
      <c r="BV286" s="336">
        <v>701</v>
      </c>
      <c r="BW286" s="233"/>
      <c r="BX286" s="233"/>
      <c r="BY286" s="233"/>
      <c r="BZ286" s="233"/>
      <c r="CA286" s="233"/>
      <c r="CB286" s="233"/>
      <c r="CC286" s="233"/>
      <c r="CD286" s="233"/>
      <c r="CE286" s="233"/>
    </row>
    <row r="287" spans="1:83" x14ac:dyDescent="0.25">
      <c r="A287" s="343">
        <v>44177</v>
      </c>
      <c r="B287" s="314">
        <f t="shared" si="1276"/>
        <v>284</v>
      </c>
      <c r="C287" s="315"/>
      <c r="D287" s="329">
        <v>11497</v>
      </c>
      <c r="E287" s="317">
        <v>502</v>
      </c>
      <c r="F287" s="318">
        <v>840541</v>
      </c>
      <c r="G287" s="319">
        <v>1126700</v>
      </c>
      <c r="H287" s="330">
        <f t="shared" ref="H287:I287" si="4813">IF(ISBLANK(D287),,H286+D287)</f>
        <v>1126471</v>
      </c>
      <c r="I287" s="331">
        <f t="shared" si="4813"/>
        <v>22676</v>
      </c>
      <c r="J287" s="332">
        <f t="shared" si="1"/>
        <v>25185</v>
      </c>
      <c r="K287" s="333">
        <f t="shared" ref="K287:L287" si="4814">IF(ISBLANK(M287),,M287-M286)</f>
        <v>698</v>
      </c>
      <c r="L287" s="334">
        <f t="shared" si="4814"/>
        <v>34</v>
      </c>
      <c r="M287" s="335">
        <v>79038</v>
      </c>
      <c r="N287" s="336">
        <v>1611</v>
      </c>
      <c r="O287" s="337">
        <f t="shared" ref="O287:P287" si="4815">IF(ISBLANK(Q287),,Q287-Q286)</f>
        <v>1083</v>
      </c>
      <c r="P287" s="338">
        <f t="shared" si="4815"/>
        <v>47</v>
      </c>
      <c r="Q287" s="335">
        <v>68345</v>
      </c>
      <c r="R287" s="339">
        <v>987</v>
      </c>
      <c r="S287" s="316">
        <f t="shared" ref="S287:T287" si="4816">IF(ISBLANK(U287),,U287-U286)</f>
        <v>745</v>
      </c>
      <c r="T287" s="334">
        <f t="shared" si="4816"/>
        <v>23</v>
      </c>
      <c r="U287" s="335">
        <v>57366</v>
      </c>
      <c r="V287" s="336">
        <v>1396</v>
      </c>
      <c r="W287" s="337">
        <f t="shared" ref="W287:X287" si="4817">IF(ISBLANK(Y287),,Y287-Y286)</f>
        <v>373</v>
      </c>
      <c r="X287" s="334">
        <f t="shared" si="4817"/>
        <v>12</v>
      </c>
      <c r="Y287" s="335">
        <v>25961</v>
      </c>
      <c r="Z287" s="340">
        <v>501</v>
      </c>
      <c r="AA287" s="316">
        <f t="shared" ref="AA287:AB287" si="4818">IF(ISBLANK(AC287),,AC287-AC286)</f>
        <v>695</v>
      </c>
      <c r="AB287" s="334">
        <f t="shared" si="4818"/>
        <v>35</v>
      </c>
      <c r="AC287" s="335">
        <v>73863</v>
      </c>
      <c r="AD287" s="336">
        <v>1492</v>
      </c>
      <c r="AE287" s="337">
        <f t="shared" ref="AE287:AF287" si="4819">IF(ISBLANK(AG287),,AG287-AG286)</f>
        <v>404</v>
      </c>
      <c r="AF287" s="334">
        <f t="shared" si="4819"/>
        <v>22</v>
      </c>
      <c r="AG287" s="335">
        <v>102618</v>
      </c>
      <c r="AH287" s="339">
        <v>2357</v>
      </c>
      <c r="AI287" s="316">
        <f t="shared" ref="AI287:AJ287" si="4820">IF(ISBLANK(AK287),,AK287-AK286)</f>
        <v>1522</v>
      </c>
      <c r="AJ287" s="334">
        <f t="shared" si="4820"/>
        <v>75</v>
      </c>
      <c r="AK287" s="335">
        <v>135034</v>
      </c>
      <c r="AL287" s="336">
        <v>2747</v>
      </c>
      <c r="AM287" s="337">
        <f t="shared" ref="AM287:AN287" si="4821">IF(ISBLANK(AO287),,AO287-AO286)</f>
        <v>315</v>
      </c>
      <c r="AN287" s="334">
        <f t="shared" si="4821"/>
        <v>8</v>
      </c>
      <c r="AO287" s="335">
        <v>32995</v>
      </c>
      <c r="AP287" s="339">
        <v>853</v>
      </c>
      <c r="AQ287" s="316">
        <f t="shared" ref="AQ287:AR287" si="4822">IF(ISBLANK(AS287),,AS287-AS286)</f>
        <v>525</v>
      </c>
      <c r="AR287" s="338">
        <f t="shared" si="4822"/>
        <v>23</v>
      </c>
      <c r="AS287" s="335">
        <v>55272</v>
      </c>
      <c r="AT287" s="336">
        <v>1580</v>
      </c>
      <c r="AU287" s="337">
        <f t="shared" ref="AU287:AV287" si="4823">IF(ISBLANK(AW287),,AW287-AW286)</f>
        <v>356</v>
      </c>
      <c r="AV287" s="334">
        <f t="shared" si="4823"/>
        <v>13</v>
      </c>
      <c r="AW287" s="335">
        <v>29809</v>
      </c>
      <c r="AX287" s="339">
        <v>671</v>
      </c>
      <c r="AY287" s="316">
        <f t="shared" ref="AY287:AZ287" si="4824">IF(ISBLANK(BA287),,BA287-BA286)</f>
        <v>752</v>
      </c>
      <c r="AZ287" s="334">
        <f t="shared" si="4824"/>
        <v>32</v>
      </c>
      <c r="BA287" s="335">
        <v>66550</v>
      </c>
      <c r="BB287" s="336">
        <v>1228</v>
      </c>
      <c r="BC287" s="337">
        <f t="shared" ref="BC287:BD287" si="4825">IF(ISBLANK(BE287),,BE287-BE286)</f>
        <v>993</v>
      </c>
      <c r="BD287" s="334">
        <f t="shared" si="4825"/>
        <v>62</v>
      </c>
      <c r="BE287" s="335">
        <v>141227</v>
      </c>
      <c r="BF287" s="339">
        <v>2859</v>
      </c>
      <c r="BG287" s="316">
        <f t="shared" ref="BG287:BH287" si="4826">IF(ISBLANK(BI287),,BI287-BI286)</f>
        <v>183</v>
      </c>
      <c r="BH287" s="334">
        <f t="shared" si="4826"/>
        <v>15</v>
      </c>
      <c r="BI287" s="335">
        <v>32451</v>
      </c>
      <c r="BJ287" s="336">
        <v>759</v>
      </c>
      <c r="BK287" s="337">
        <f t="shared" ref="BK287:BL287" si="4827">IF(ISBLANK(BM287),,BM287-BM286)</f>
        <v>736</v>
      </c>
      <c r="BL287" s="334">
        <f t="shared" si="4827"/>
        <v>26</v>
      </c>
      <c r="BM287" s="335">
        <v>41190</v>
      </c>
      <c r="BN287" s="339">
        <v>826</v>
      </c>
      <c r="BO287" s="316">
        <f t="shared" ref="BO287:BP287" si="4828">IF(ISBLANK(BQ287),,BQ287-BQ286)</f>
        <v>1032</v>
      </c>
      <c r="BP287" s="334">
        <f t="shared" si="4828"/>
        <v>58</v>
      </c>
      <c r="BQ287" s="335">
        <v>112614</v>
      </c>
      <c r="BR287" s="336">
        <v>2091</v>
      </c>
      <c r="BS287" s="316">
        <f t="shared" ref="BS287:BT287" si="4829">IF(ISBLANK(BU287),,BU287-BU286)</f>
        <v>973</v>
      </c>
      <c r="BT287" s="334">
        <f t="shared" si="4829"/>
        <v>17</v>
      </c>
      <c r="BU287" s="335">
        <v>47783</v>
      </c>
      <c r="BV287" s="336">
        <v>718</v>
      </c>
      <c r="BW287" s="233"/>
      <c r="BX287" s="233"/>
      <c r="BY287" s="233"/>
      <c r="BZ287" s="233"/>
      <c r="CA287" s="233"/>
      <c r="CB287" s="233"/>
      <c r="CC287" s="233"/>
      <c r="CD287" s="233"/>
      <c r="CE287" s="233"/>
    </row>
    <row r="288" spans="1:83" x14ac:dyDescent="0.25">
      <c r="A288" s="343">
        <v>44178</v>
      </c>
      <c r="B288" s="314">
        <f t="shared" si="1276"/>
        <v>285</v>
      </c>
      <c r="C288" s="315"/>
      <c r="D288" s="329">
        <v>8977</v>
      </c>
      <c r="E288" s="317">
        <v>188</v>
      </c>
      <c r="F288" s="318">
        <v>858895</v>
      </c>
      <c r="G288" s="319">
        <v>1135676</v>
      </c>
      <c r="H288" s="330">
        <f t="shared" ref="H288:I288" si="4830">IF(ISBLANK(D288),,H287+D288)</f>
        <v>1135448</v>
      </c>
      <c r="I288" s="331">
        <f t="shared" si="4830"/>
        <v>22864</v>
      </c>
      <c r="J288" s="332">
        <f t="shared" si="1"/>
        <v>18354</v>
      </c>
      <c r="K288" s="333">
        <f t="shared" ref="K288:L288" si="4831">IF(ISBLANK(M288),,M288-M287)</f>
        <v>498</v>
      </c>
      <c r="L288" s="334">
        <f t="shared" si="4831"/>
        <v>1</v>
      </c>
      <c r="M288" s="335">
        <v>79536</v>
      </c>
      <c r="N288" s="336">
        <v>1612</v>
      </c>
      <c r="O288" s="337">
        <f t="shared" ref="O288:P288" si="4832">IF(ISBLANK(Q288),,Q288-Q287)</f>
        <v>756</v>
      </c>
      <c r="P288" s="338">
        <f t="shared" si="4832"/>
        <v>18</v>
      </c>
      <c r="Q288" s="335">
        <v>69101</v>
      </c>
      <c r="R288" s="339">
        <v>1005</v>
      </c>
      <c r="S288" s="316">
        <f t="shared" ref="S288:T288" si="4833">IF(ISBLANK(U288),,U288-U287)</f>
        <v>378</v>
      </c>
      <c r="T288" s="334">
        <f t="shared" si="4833"/>
        <v>14</v>
      </c>
      <c r="U288" s="335">
        <v>57744</v>
      </c>
      <c r="V288" s="336">
        <v>1410</v>
      </c>
      <c r="W288" s="337">
        <f t="shared" ref="W288:X288" si="4834">IF(ISBLANK(Y288),,Y288-Y287)</f>
        <v>300</v>
      </c>
      <c r="X288" s="334">
        <f t="shared" si="4834"/>
        <v>0</v>
      </c>
      <c r="Y288" s="335">
        <v>26261</v>
      </c>
      <c r="Z288" s="340">
        <v>501</v>
      </c>
      <c r="AA288" s="316">
        <f t="shared" ref="AA288:AB288" si="4835">IF(ISBLANK(AC288),,AC288-AC287)</f>
        <v>572</v>
      </c>
      <c r="AB288" s="334">
        <f t="shared" si="4835"/>
        <v>1</v>
      </c>
      <c r="AC288" s="335">
        <v>74435</v>
      </c>
      <c r="AD288" s="336">
        <v>1493</v>
      </c>
      <c r="AE288" s="337">
        <f t="shared" ref="AE288:AF288" si="4836">IF(ISBLANK(AG288),,AG288-AG287)</f>
        <v>310</v>
      </c>
      <c r="AF288" s="334">
        <f t="shared" si="4836"/>
        <v>19</v>
      </c>
      <c r="AG288" s="335">
        <v>102928</v>
      </c>
      <c r="AH288" s="339">
        <v>2376</v>
      </c>
      <c r="AI288" s="316">
        <f t="shared" ref="AI288:AJ288" si="4837">IF(ISBLANK(AK288),,AK288-AK287)</f>
        <v>1280</v>
      </c>
      <c r="AJ288" s="334">
        <f t="shared" si="4837"/>
        <v>24</v>
      </c>
      <c r="AK288" s="335">
        <v>136314</v>
      </c>
      <c r="AL288" s="336">
        <v>2771</v>
      </c>
      <c r="AM288" s="337">
        <f t="shared" ref="AM288:AN288" si="4838">IF(ISBLANK(AO288),,AO288-AO287)</f>
        <v>133</v>
      </c>
      <c r="AN288" s="334">
        <f t="shared" si="4838"/>
        <v>0</v>
      </c>
      <c r="AO288" s="335">
        <v>33128</v>
      </c>
      <c r="AP288" s="339">
        <v>853</v>
      </c>
      <c r="AQ288" s="316">
        <f t="shared" ref="AQ288:AR288" si="4839">IF(ISBLANK(AS288),,AS288-AS287)</f>
        <v>204</v>
      </c>
      <c r="AR288" s="338">
        <f t="shared" si="4839"/>
        <v>5</v>
      </c>
      <c r="AS288" s="335">
        <v>55476</v>
      </c>
      <c r="AT288" s="336">
        <v>1585</v>
      </c>
      <c r="AU288" s="337">
        <f t="shared" ref="AU288:AV288" si="4840">IF(ISBLANK(AW288),,AW288-AW287)</f>
        <v>231</v>
      </c>
      <c r="AV288" s="334">
        <f t="shared" si="4840"/>
        <v>8</v>
      </c>
      <c r="AW288" s="335">
        <v>30040</v>
      </c>
      <c r="AX288" s="339">
        <v>679</v>
      </c>
      <c r="AY288" s="316">
        <f t="shared" ref="AY288:AZ288" si="4841">IF(ISBLANK(BA288),,BA288-BA287)</f>
        <v>1003</v>
      </c>
      <c r="AZ288" s="334">
        <f t="shared" si="4841"/>
        <v>3</v>
      </c>
      <c r="BA288" s="335">
        <v>67553</v>
      </c>
      <c r="BB288" s="336">
        <v>1231</v>
      </c>
      <c r="BC288" s="337">
        <f t="shared" ref="BC288:BD288" si="4842">IF(ISBLANK(BE288),,BE288-BE287)</f>
        <v>668</v>
      </c>
      <c r="BD288" s="334">
        <f t="shared" si="4842"/>
        <v>17</v>
      </c>
      <c r="BE288" s="335">
        <v>141895</v>
      </c>
      <c r="BF288" s="339">
        <v>2876</v>
      </c>
      <c r="BG288" s="316">
        <f t="shared" ref="BG288:BH288" si="4843">IF(ISBLANK(BI288),,BI288-BI287)</f>
        <v>132</v>
      </c>
      <c r="BH288" s="334">
        <f t="shared" si="4843"/>
        <v>1</v>
      </c>
      <c r="BI288" s="335">
        <v>32583</v>
      </c>
      <c r="BJ288" s="336">
        <v>760</v>
      </c>
      <c r="BK288" s="337">
        <f t="shared" ref="BK288:BL288" si="4844">IF(ISBLANK(BM288),,BM288-BM287)</f>
        <v>646</v>
      </c>
      <c r="BL288" s="334">
        <f t="shared" si="4844"/>
        <v>30</v>
      </c>
      <c r="BM288" s="335">
        <v>41836</v>
      </c>
      <c r="BN288" s="339">
        <v>856</v>
      </c>
      <c r="BO288" s="316">
        <f t="shared" ref="BO288:BP288" si="4845">IF(ISBLANK(BQ288),,BQ288-BQ287)</f>
        <v>1132</v>
      </c>
      <c r="BP288" s="334">
        <f t="shared" si="4845"/>
        <v>31</v>
      </c>
      <c r="BQ288" s="335">
        <v>113746</v>
      </c>
      <c r="BR288" s="336">
        <v>2122</v>
      </c>
      <c r="BS288" s="316">
        <f t="shared" ref="BS288:BT288" si="4846">IF(ISBLANK(BU288),,BU288-BU287)</f>
        <v>593</v>
      </c>
      <c r="BT288" s="334">
        <f t="shared" si="4846"/>
        <v>16</v>
      </c>
      <c r="BU288" s="335">
        <v>48376</v>
      </c>
      <c r="BV288" s="336">
        <v>734</v>
      </c>
      <c r="BW288" s="233"/>
      <c r="BX288" s="233"/>
      <c r="BY288" s="233"/>
      <c r="BZ288" s="233"/>
      <c r="CA288" s="233"/>
      <c r="CB288" s="233"/>
      <c r="CC288" s="233"/>
      <c r="CD288" s="233"/>
      <c r="CE288" s="233"/>
    </row>
    <row r="289" spans="1:83" x14ac:dyDescent="0.25">
      <c r="A289" s="341">
        <v>44179</v>
      </c>
      <c r="B289" s="314">
        <f t="shared" si="1276"/>
        <v>286</v>
      </c>
      <c r="C289" s="315"/>
      <c r="D289" s="329">
        <v>4896</v>
      </c>
      <c r="E289" s="317">
        <v>96</v>
      </c>
      <c r="F289" s="318">
        <v>869155</v>
      </c>
      <c r="G289" s="319">
        <v>1140572</v>
      </c>
      <c r="H289" s="330">
        <f t="shared" ref="H289:I289" si="4847">IF(ISBLANK(D289),,H288+D289)</f>
        <v>1140344</v>
      </c>
      <c r="I289" s="331">
        <f t="shared" si="4847"/>
        <v>22960</v>
      </c>
      <c r="J289" s="332">
        <f t="shared" si="1"/>
        <v>10260</v>
      </c>
      <c r="K289" s="333">
        <f t="shared" ref="K289:L289" ca="1" si="4848">IF(ISBLANK(M289),,M289-M288)</f>
        <v>258</v>
      </c>
      <c r="L289" s="334">
        <f t="shared" ca="1" si="4848"/>
        <v>0</v>
      </c>
      <c r="M289" s="335">
        <f ca="1">IFERROR(__xludf.DUMMYFUNCTION("INDEX(IMPORTRANGE(""https://docs.google.com/spreadsheets/d/1ierEhD6gcq51HAm433knjnVwey4ZE5DCnu1bW7PRG3E/edit"",""Wzrost w województwach!B32:ZZ47""),1,ROW()-3)"),79794)</f>
        <v>79794</v>
      </c>
      <c r="N289" s="336">
        <f ca="1">IFERROR(__xludf.DUMMYFUNCTION("INDEX(IMPORTRANGE(""https://docs.google.com/spreadsheets/d/1ierEhD6gcq51HAm433knjnVwey4ZE5DCnu1bW7PRG3E/edit"",""Wzrost w województwach!B72:ZZ87""),1,ROW()-3)"),1612)</f>
        <v>1612</v>
      </c>
      <c r="O289" s="337">
        <f t="shared" ref="O289:P289" ca="1" si="4849">IF(ISBLANK(Q289),,Q289-Q288)</f>
        <v>531</v>
      </c>
      <c r="P289" s="338">
        <f t="shared" ca="1" si="4849"/>
        <v>9</v>
      </c>
      <c r="Q289" s="335">
        <f ca="1">IFERROR(__xludf.DUMMYFUNCTION("INDEX(IMPORTRANGE(""https://docs.google.com/spreadsheets/d/1ierEhD6gcq51HAm433knjnVwey4ZE5DCnu1bW7PRG3E/edit"",""Wzrost w województwach!B32:ZZ47""),2,ROW()-3)"),69632)</f>
        <v>69632</v>
      </c>
      <c r="R289" s="339">
        <f ca="1">IFERROR(__xludf.DUMMYFUNCTION("INDEX(IMPORTRANGE(""https://docs.google.com/spreadsheets/d/1ierEhD6gcq51HAm433knjnVwey4ZE5DCnu1bW7PRG3E/edit"",""Wzrost w województwach!B72:ZZ87""),2,ROW()-3)"),1014)</f>
        <v>1014</v>
      </c>
      <c r="S289" s="316">
        <f t="shared" ref="S289:T289" ca="1" si="4850">IF(ISBLANK(U289),,U289-U288)</f>
        <v>179</v>
      </c>
      <c r="T289" s="334">
        <f t="shared" ca="1" si="4850"/>
        <v>11</v>
      </c>
      <c r="U289" s="335">
        <f ca="1">IFERROR(__xludf.DUMMYFUNCTION("INDEX(IMPORTRANGE(""https://docs.google.com/spreadsheets/d/1ierEhD6gcq51HAm433knjnVwey4ZE5DCnu1bW7PRG3E/edit"",""Wzrost w województwach!B32:ZZ47""),3,ROW()-3)"),57923)</f>
        <v>57923</v>
      </c>
      <c r="V289" s="336">
        <f ca="1">IFERROR(__xludf.DUMMYFUNCTION("INDEX(IMPORTRANGE(""https://docs.google.com/spreadsheets/d/1ierEhD6gcq51HAm433knjnVwey4ZE5DCnu1bW7PRG3E/edit"",""Wzrost w województwach!B72:ZZ87""),3,ROW()-3)"),1421)</f>
        <v>1421</v>
      </c>
      <c r="W289" s="337">
        <f t="shared" ref="W289:X289" ca="1" si="4851">IF(ISBLANK(Y289),,Y289-Y288)</f>
        <v>207</v>
      </c>
      <c r="X289" s="334">
        <f t="shared" ca="1" si="4851"/>
        <v>7</v>
      </c>
      <c r="Y289" s="335">
        <f ca="1">IFERROR(__xludf.DUMMYFUNCTION("INDEX(IMPORTRANGE(""https://docs.google.com/spreadsheets/d/1ierEhD6gcq51HAm433knjnVwey4ZE5DCnu1bW7PRG3E/edit"",""Wzrost w województwach!B32:ZZ47""),4,ROW()-3)"),26468)</f>
        <v>26468</v>
      </c>
      <c r="Z289" s="340">
        <f ca="1">IFERROR(__xludf.DUMMYFUNCTION("INDEX(IMPORTRANGE(""https://docs.google.com/spreadsheets/d/1ierEhD6gcq51HAm433knjnVwey4ZE5DCnu1bW7PRG3E/edit"",""Wzrost w województwach!B72:ZZ87""),4,ROW()-3)"),508)</f>
        <v>508</v>
      </c>
      <c r="AA289" s="316">
        <f t="shared" ref="AA289:AB289" ca="1" si="4852">IF(ISBLANK(AC289),,AC289-AC288)</f>
        <v>190</v>
      </c>
      <c r="AB289" s="334">
        <f t="shared" ca="1" si="4852"/>
        <v>0</v>
      </c>
      <c r="AC289" s="335">
        <f ca="1">IFERROR(__xludf.DUMMYFUNCTION("INDEX(IMPORTRANGE(""https://docs.google.com/spreadsheets/d/1ierEhD6gcq51HAm433knjnVwey4ZE5DCnu1bW7PRG3E/edit"",""Wzrost w województwach!B32:ZZ47""),5,ROW()-3)"),74625)</f>
        <v>74625</v>
      </c>
      <c r="AD289" s="336">
        <f ca="1">IFERROR(__xludf.DUMMYFUNCTION("INDEX(IMPORTRANGE(""https://docs.google.com/spreadsheets/d/1ierEhD6gcq51HAm433knjnVwey4ZE5DCnu1bW7PRG3E/edit"",""Wzrost w województwach!B72:ZZ87""),5,ROW()-3)"),1493)</f>
        <v>1493</v>
      </c>
      <c r="AE289" s="337">
        <f t="shared" ref="AE289:AF289" ca="1" si="4853">IF(ISBLANK(AG289),,AG289-AG288)</f>
        <v>143</v>
      </c>
      <c r="AF289" s="334">
        <f t="shared" ca="1" si="4853"/>
        <v>0</v>
      </c>
      <c r="AG289" s="335">
        <f ca="1">IFERROR(__xludf.DUMMYFUNCTION("INDEX(IMPORTRANGE(""https://docs.google.com/spreadsheets/d/1ierEhD6gcq51HAm433knjnVwey4ZE5DCnu1bW7PRG3E/edit"",""Wzrost w województwach!B32:ZZ47""),6,ROW()-3)"),103071)</f>
        <v>103071</v>
      </c>
      <c r="AH289" s="339">
        <f ca="1">IFERROR(__xludf.DUMMYFUNCTION("INDEX(IMPORTRANGE(""https://docs.google.com/spreadsheets/d/1ierEhD6gcq51HAm433knjnVwey4ZE5DCnu1bW7PRG3E/edit"",""Wzrost w województwach!B72:ZZ87""),6,ROW()-3)"),2376)</f>
        <v>2376</v>
      </c>
      <c r="AI289" s="316">
        <f t="shared" ref="AI289:AJ289" ca="1" si="4854">IF(ISBLANK(AK289),,AK289-AK288)</f>
        <v>715</v>
      </c>
      <c r="AJ289" s="334">
        <f t="shared" ca="1" si="4854"/>
        <v>12</v>
      </c>
      <c r="AK289" s="335">
        <f ca="1">IFERROR(__xludf.DUMMYFUNCTION("INDEX(IMPORTRANGE(""https://docs.google.com/spreadsheets/d/1ierEhD6gcq51HAm433knjnVwey4ZE5DCnu1bW7PRG3E/edit"",""Wzrost w województwach!B32:ZZ47""),7,ROW()-3)"),137029)</f>
        <v>137029</v>
      </c>
      <c r="AL289" s="336">
        <f ca="1">IFERROR(__xludf.DUMMYFUNCTION("INDEX(IMPORTRANGE(""https://docs.google.com/spreadsheets/d/1ierEhD6gcq51HAm433knjnVwey4ZE5DCnu1bW7PRG3E/edit"",""Wzrost w województwach!B72:ZZ87""),7,ROW()-3)"),2783)</f>
        <v>2783</v>
      </c>
      <c r="AM289" s="337">
        <f t="shared" ref="AM289:AN289" ca="1" si="4855">IF(ISBLANK(AO289),,AO289-AO288)</f>
        <v>176</v>
      </c>
      <c r="AN289" s="334">
        <f t="shared" ca="1" si="4855"/>
        <v>1</v>
      </c>
      <c r="AO289" s="335">
        <f ca="1">IFERROR(__xludf.DUMMYFUNCTION("INDEX(IMPORTRANGE(""https://docs.google.com/spreadsheets/d/1ierEhD6gcq51HAm433knjnVwey4ZE5DCnu1bW7PRG3E/edit"",""Wzrost w województwach!B32:ZZ47""),8,ROW()-3)"),33304)</f>
        <v>33304</v>
      </c>
      <c r="AP289" s="339">
        <f ca="1">IFERROR(__xludf.DUMMYFUNCTION("INDEX(IMPORTRANGE(""https://docs.google.com/spreadsheets/d/1ierEhD6gcq51HAm433knjnVwey4ZE5DCnu1bW7PRG3E/edit"",""Wzrost w województwach!B72:ZZ87""),8,ROW()-3)"),854)</f>
        <v>854</v>
      </c>
      <c r="AQ289" s="316">
        <f t="shared" ref="AQ289:AR289" ca="1" si="4856">IF(ISBLANK(AS289),,AS289-AS288)</f>
        <v>180</v>
      </c>
      <c r="AR289" s="338">
        <f t="shared" ca="1" si="4856"/>
        <v>3</v>
      </c>
      <c r="AS289" s="335">
        <f ca="1">IFERROR(__xludf.DUMMYFUNCTION("INDEX(IMPORTRANGE(""https://docs.google.com/spreadsheets/d/1ierEhD6gcq51HAm433knjnVwey4ZE5DCnu1bW7PRG3E/edit"",""Wzrost w województwach!B32:ZZ47""),9,ROW()-3)"),55656)</f>
        <v>55656</v>
      </c>
      <c r="AT289" s="336">
        <f ca="1">IFERROR(__xludf.DUMMYFUNCTION("INDEX(IMPORTRANGE(""https://docs.google.com/spreadsheets/d/1ierEhD6gcq51HAm433knjnVwey4ZE5DCnu1bW7PRG3E/edit"",""Wzrost w województwach!B72:ZZ87""),9,ROW()-3)"),1588)</f>
        <v>1588</v>
      </c>
      <c r="AU289" s="337">
        <f t="shared" ref="AU289:AV289" ca="1" si="4857">IF(ISBLANK(AW289),,AW289-AW288)</f>
        <v>78</v>
      </c>
      <c r="AV289" s="334">
        <f t="shared" ca="1" si="4857"/>
        <v>0</v>
      </c>
      <c r="AW289" s="335">
        <f ca="1">IFERROR(__xludf.DUMMYFUNCTION("INDEX(IMPORTRANGE(""https://docs.google.com/spreadsheets/d/1ierEhD6gcq51HAm433knjnVwey4ZE5DCnu1bW7PRG3E/edit"",""Wzrost w województwach!B32:ZZ47""),10,ROW()-3)"),30118)</f>
        <v>30118</v>
      </c>
      <c r="AX289" s="339">
        <f ca="1">IFERROR(__xludf.DUMMYFUNCTION("INDEX(IMPORTRANGE(""https://docs.google.com/spreadsheets/d/1ierEhD6gcq51HAm433knjnVwey4ZE5DCnu1bW7PRG3E/edit"",""Wzrost w województwach!B72:ZZ87""),10,ROW()-3)"),679)</f>
        <v>679</v>
      </c>
      <c r="AY289" s="316">
        <f t="shared" ref="AY289:AZ289" ca="1" si="4858">IF(ISBLANK(BA289),,BA289-BA288)</f>
        <v>460</v>
      </c>
      <c r="AZ289" s="334">
        <f t="shared" ca="1" si="4858"/>
        <v>4</v>
      </c>
      <c r="BA289" s="335">
        <f ca="1">IFERROR(__xludf.DUMMYFUNCTION("INDEX(IMPORTRANGE(""https://docs.google.com/spreadsheets/d/1ierEhD6gcq51HAm433knjnVwey4ZE5DCnu1bW7PRG3E/edit"",""Wzrost w województwach!B32:ZZ47""),11,ROW()-3)"),68013)</f>
        <v>68013</v>
      </c>
      <c r="BB289" s="336">
        <f ca="1">IFERROR(__xludf.DUMMYFUNCTION("INDEX(IMPORTRANGE(""https://docs.google.com/spreadsheets/d/1ierEhD6gcq51HAm433knjnVwey4ZE5DCnu1bW7PRG3E/edit"",""Wzrost w województwach!B72:ZZ87""),11,ROW()-3)"),1235)</f>
        <v>1235</v>
      </c>
      <c r="BC289" s="337">
        <f t="shared" ref="BC289:BD289" ca="1" si="4859">IF(ISBLANK(BE289),,BE289-BE288)</f>
        <v>272</v>
      </c>
      <c r="BD289" s="334">
        <f t="shared" ca="1" si="4859"/>
        <v>3</v>
      </c>
      <c r="BE289" s="335">
        <f ca="1">IFERROR(__xludf.DUMMYFUNCTION("INDEX(IMPORTRANGE(""https://docs.google.com/spreadsheets/d/1ierEhD6gcq51HAm433knjnVwey4ZE5DCnu1bW7PRG3E/edit"",""Wzrost w województwach!B32:ZZ47""),12,ROW()-3)"),142167)</f>
        <v>142167</v>
      </c>
      <c r="BF289" s="339">
        <f ca="1">IFERROR(__xludf.DUMMYFUNCTION("INDEX(IMPORTRANGE(""https://docs.google.com/spreadsheets/d/1ierEhD6gcq51HAm433knjnVwey4ZE5DCnu1bW7PRG3E/edit"",""Wzrost w województwach!B72:ZZ87""),12,ROW()-3)"),2879)</f>
        <v>2879</v>
      </c>
      <c r="BG289" s="316">
        <f t="shared" ref="BG289:BH289" ca="1" si="4860">IF(ISBLANK(BI289),,BI289-BI288)</f>
        <v>108</v>
      </c>
      <c r="BH289" s="334">
        <f t="shared" ca="1" si="4860"/>
        <v>0</v>
      </c>
      <c r="BI289" s="335">
        <f ca="1">IFERROR(__xludf.DUMMYFUNCTION("INDEX(IMPORTRANGE(""https://docs.google.com/spreadsheets/d/1ierEhD6gcq51HAm433knjnVwey4ZE5DCnu1bW7PRG3E/edit"",""Wzrost w województwach!B32:ZZ47""),13,ROW()-3)"),32691)</f>
        <v>32691</v>
      </c>
      <c r="BJ289" s="336">
        <f ca="1">IFERROR(__xludf.DUMMYFUNCTION("INDEX(IMPORTRANGE(""https://docs.google.com/spreadsheets/d/1ierEhD6gcq51HAm433knjnVwey4ZE5DCnu1bW7PRG3E/edit"",""Wzrost w województwach!B72:ZZ87""),13,ROW()-3)"),760)</f>
        <v>760</v>
      </c>
      <c r="BK289" s="337">
        <f t="shared" ref="BK289:BL289" ca="1" si="4861">IF(ISBLANK(BM289),,BM289-BM288)</f>
        <v>275</v>
      </c>
      <c r="BL289" s="334">
        <f t="shared" ca="1" si="4861"/>
        <v>1</v>
      </c>
      <c r="BM289" s="335">
        <f ca="1">IFERROR(__xludf.DUMMYFUNCTION("INDEX(IMPORTRANGE(""https://docs.google.com/spreadsheets/d/1ierEhD6gcq51HAm433knjnVwey4ZE5DCnu1bW7PRG3E/edit"",""Wzrost w województwach!B32:ZZ47""),14,ROW()-3)"),42111)</f>
        <v>42111</v>
      </c>
      <c r="BN289" s="339">
        <f ca="1">IFERROR(__xludf.DUMMYFUNCTION("INDEX(IMPORTRANGE(""https://docs.google.com/spreadsheets/d/1ierEhD6gcq51HAm433knjnVwey4ZE5DCnu1bW7PRG3E/edit"",""Wzrost w województwach!B72:ZZ87""),14,ROW()-3)"),857)</f>
        <v>857</v>
      </c>
      <c r="BO289" s="316">
        <f t="shared" ref="BO289:BP289" ca="1" si="4862">IF(ISBLANK(BQ289),,BQ289-BQ288)</f>
        <v>392</v>
      </c>
      <c r="BP289" s="334">
        <f t="shared" ca="1" si="4862"/>
        <v>43</v>
      </c>
      <c r="BQ289" s="335">
        <f ca="1">IFERROR(__xludf.DUMMYFUNCTION("INDEX(IMPORTRANGE(""https://docs.google.com/spreadsheets/d/1ierEhD6gcq51HAm433knjnVwey4ZE5DCnu1bW7PRG3E/edit"",""Wzrost w województwach!B32:ZZ47""),15,ROW()-3)"),114138)</f>
        <v>114138</v>
      </c>
      <c r="BR289" s="336">
        <f ca="1">IFERROR(__xludf.DUMMYFUNCTION("INDEX(IMPORTRANGE(""https://docs.google.com/spreadsheets/d/1ierEhD6gcq51HAm433knjnVwey4ZE5DCnu1bW7PRG3E/edit"",""Wzrost w województwach!B72:ZZ87""),15,ROW()-3)"),2165)</f>
        <v>2165</v>
      </c>
      <c r="BS289" s="316">
        <f t="shared" ref="BS289:BT289" ca="1" si="4863">IF(ISBLANK(BU289),,BU289-BU288)</f>
        <v>561</v>
      </c>
      <c r="BT289" s="334">
        <f t="shared" ca="1" si="4863"/>
        <v>2</v>
      </c>
      <c r="BU289" s="335">
        <f ca="1">IFERROR(__xludf.DUMMYFUNCTION("INDEX(IMPORTRANGE(""https://docs.google.com/spreadsheets/d/1ierEhD6gcq51HAm433knjnVwey4ZE5DCnu1bW7PRG3E/edit"",""Wzrost w województwach!B32:ZZ47""),16,ROW()-3)"),48937)</f>
        <v>48937</v>
      </c>
      <c r="BV289" s="336">
        <f ca="1">IFERROR(__xludf.DUMMYFUNCTION("INDEX(IMPORTRANGE(""https://docs.google.com/spreadsheets/d/1ierEhD6gcq51HAm433knjnVwey4ZE5DCnu1bW7PRG3E/edit"",""Wzrost w województwach!B72:ZZ87""),16,ROW()-3)"),736)</f>
        <v>736</v>
      </c>
      <c r="BW289" s="233"/>
      <c r="BX289" s="233"/>
      <c r="BY289" s="233"/>
      <c r="BZ289" s="233"/>
      <c r="CA289" s="233"/>
      <c r="CB289" s="233"/>
      <c r="CC289" s="233"/>
      <c r="CD289" s="233"/>
      <c r="CE289" s="233"/>
    </row>
    <row r="290" spans="1:83" x14ac:dyDescent="0.25">
      <c r="A290" s="341">
        <v>44180</v>
      </c>
      <c r="B290" s="314">
        <f t="shared" si="1276"/>
        <v>287</v>
      </c>
      <c r="C290" s="315"/>
      <c r="D290" s="329">
        <v>6907</v>
      </c>
      <c r="E290" s="317">
        <v>349</v>
      </c>
      <c r="F290" s="318">
        <v>879748</v>
      </c>
      <c r="G290" s="319">
        <v>1147446</v>
      </c>
      <c r="H290" s="330">
        <f t="shared" ref="H290:I290" si="4864">IF(ISBLANK(D290),,H289+D290)</f>
        <v>1147251</v>
      </c>
      <c r="I290" s="331">
        <f t="shared" si="4864"/>
        <v>23309</v>
      </c>
      <c r="J290" s="332">
        <f t="shared" si="1"/>
        <v>10593</v>
      </c>
      <c r="K290" s="333">
        <f t="shared" ref="K290:L290" ca="1" si="4865">IF(ISBLANK(M290),,M290-M289)</f>
        <v>519</v>
      </c>
      <c r="L290" s="334">
        <f t="shared" ca="1" si="4865"/>
        <v>30</v>
      </c>
      <c r="M290" s="335">
        <f ca="1">IFERROR(__xludf.DUMMYFUNCTION("INDEX(IMPORTRANGE(""https://docs.google.com/spreadsheets/d/1ierEhD6gcq51HAm433knjnVwey4ZE5DCnu1bW7PRG3E/edit"",""Wzrost w województwach!B32:ZZ47""),1,ROW()-3)"),80313)</f>
        <v>80313</v>
      </c>
      <c r="N290" s="336">
        <f ca="1">IFERROR(__xludf.DUMMYFUNCTION("INDEX(IMPORTRANGE(""https://docs.google.com/spreadsheets/d/1ierEhD6gcq51HAm433knjnVwey4ZE5DCnu1bW7PRG3E/edit"",""Wzrost w województwach!B72:ZZ87""),1,ROW()-3)"),1642)</f>
        <v>1642</v>
      </c>
      <c r="O290" s="337">
        <f t="shared" ref="O290:P290" ca="1" si="4866">IF(ISBLANK(Q290),,Q290-Q289)</f>
        <v>750</v>
      </c>
      <c r="P290" s="338">
        <f t="shared" ca="1" si="4866"/>
        <v>28</v>
      </c>
      <c r="Q290" s="335">
        <f ca="1">IFERROR(__xludf.DUMMYFUNCTION("INDEX(IMPORTRANGE(""https://docs.google.com/spreadsheets/d/1ierEhD6gcq51HAm433knjnVwey4ZE5DCnu1bW7PRG3E/edit"",""Wzrost w województwach!B32:ZZ47""),2,ROW()-3)"),70382)</f>
        <v>70382</v>
      </c>
      <c r="R290" s="339">
        <f ca="1">IFERROR(__xludf.DUMMYFUNCTION("INDEX(IMPORTRANGE(""https://docs.google.com/spreadsheets/d/1ierEhD6gcq51HAm433knjnVwey4ZE5DCnu1bW7PRG3E/edit"",""Wzrost w województwach!B72:ZZ87""),2,ROW()-3)"),1042)</f>
        <v>1042</v>
      </c>
      <c r="S290" s="316">
        <f t="shared" ref="S290:T290" ca="1" si="4867">IF(ISBLANK(U290),,U290-U289)</f>
        <v>437</v>
      </c>
      <c r="T290" s="334">
        <f t="shared" ca="1" si="4867"/>
        <v>14</v>
      </c>
      <c r="U290" s="335">
        <f ca="1">IFERROR(__xludf.DUMMYFUNCTION("INDEX(IMPORTRANGE(""https://docs.google.com/spreadsheets/d/1ierEhD6gcq51HAm433knjnVwey4ZE5DCnu1bW7PRG3E/edit"",""Wzrost w województwach!B32:ZZ47""),3,ROW()-3)"),58360)</f>
        <v>58360</v>
      </c>
      <c r="V290" s="336">
        <f ca="1">IFERROR(__xludf.DUMMYFUNCTION("INDEX(IMPORTRANGE(""https://docs.google.com/spreadsheets/d/1ierEhD6gcq51HAm433knjnVwey4ZE5DCnu1bW7PRG3E/edit"",""Wzrost w województwach!B72:ZZ87""),3,ROW()-3)"),1435)</f>
        <v>1435</v>
      </c>
      <c r="W290" s="337">
        <f t="shared" ref="W290:X290" ca="1" si="4868">IF(ISBLANK(Y290),,Y290-Y289)</f>
        <v>150</v>
      </c>
      <c r="X290" s="334">
        <f t="shared" ca="1" si="4868"/>
        <v>17</v>
      </c>
      <c r="Y290" s="335">
        <f ca="1">IFERROR(__xludf.DUMMYFUNCTION("INDEX(IMPORTRANGE(""https://docs.google.com/spreadsheets/d/1ierEhD6gcq51HAm433knjnVwey4ZE5DCnu1bW7PRG3E/edit"",""Wzrost w województwach!B32:ZZ47""),4,ROW()-3)"),26618)</f>
        <v>26618</v>
      </c>
      <c r="Z290" s="340">
        <f ca="1">IFERROR(__xludf.DUMMYFUNCTION("INDEX(IMPORTRANGE(""https://docs.google.com/spreadsheets/d/1ierEhD6gcq51HAm433knjnVwey4ZE5DCnu1bW7PRG3E/edit"",""Wzrost w województwach!B72:ZZ87""),4,ROW()-3)"),525)</f>
        <v>525</v>
      </c>
      <c r="AA290" s="316">
        <f t="shared" ref="AA290:AB290" ca="1" si="4869">IF(ISBLANK(AC290),,AC290-AC289)</f>
        <v>446</v>
      </c>
      <c r="AB290" s="334">
        <f t="shared" ca="1" si="4869"/>
        <v>26</v>
      </c>
      <c r="AC290" s="335">
        <f ca="1">IFERROR(__xludf.DUMMYFUNCTION("INDEX(IMPORTRANGE(""https://docs.google.com/spreadsheets/d/1ierEhD6gcq51HAm433knjnVwey4ZE5DCnu1bW7PRG3E/edit"",""Wzrost w województwach!B32:ZZ47""),5,ROW()-3)"),75071)</f>
        <v>75071</v>
      </c>
      <c r="AD290" s="336">
        <f ca="1">IFERROR(__xludf.DUMMYFUNCTION("INDEX(IMPORTRANGE(""https://docs.google.com/spreadsheets/d/1ierEhD6gcq51HAm433knjnVwey4ZE5DCnu1bW7PRG3E/edit"",""Wzrost w województwach!B72:ZZ87""),5,ROW()-3)"),1519)</f>
        <v>1519</v>
      </c>
      <c r="AE290" s="337">
        <f t="shared" ref="AE290:AF290" ca="1" si="4870">IF(ISBLANK(AG290),,AG290-AG289)</f>
        <v>232</v>
      </c>
      <c r="AF290" s="334">
        <f t="shared" ca="1" si="4870"/>
        <v>27</v>
      </c>
      <c r="AG290" s="335">
        <f ca="1">IFERROR(__xludf.DUMMYFUNCTION("INDEX(IMPORTRANGE(""https://docs.google.com/spreadsheets/d/1ierEhD6gcq51HAm433knjnVwey4ZE5DCnu1bW7PRG3E/edit"",""Wzrost w województwach!B32:ZZ47""),6,ROW()-3)"),103303)</f>
        <v>103303</v>
      </c>
      <c r="AH290" s="339">
        <f ca="1">IFERROR(__xludf.DUMMYFUNCTION("INDEX(IMPORTRANGE(""https://docs.google.com/spreadsheets/d/1ierEhD6gcq51HAm433knjnVwey4ZE5DCnu1bW7PRG3E/edit"",""Wzrost w województwach!B72:ZZ87""),6,ROW()-3)"),2403)</f>
        <v>2403</v>
      </c>
      <c r="AI290" s="316">
        <f t="shared" ref="AI290:AJ290" ca="1" si="4871">IF(ISBLANK(AK290),,AK290-AK289)</f>
        <v>768</v>
      </c>
      <c r="AJ290" s="334">
        <f t="shared" ca="1" si="4871"/>
        <v>23</v>
      </c>
      <c r="AK290" s="335">
        <f ca="1">IFERROR(__xludf.DUMMYFUNCTION("INDEX(IMPORTRANGE(""https://docs.google.com/spreadsheets/d/1ierEhD6gcq51HAm433knjnVwey4ZE5DCnu1bW7PRG3E/edit"",""Wzrost w województwach!B32:ZZ47""),7,ROW()-3)"),137797)</f>
        <v>137797</v>
      </c>
      <c r="AL290" s="336">
        <f ca="1">IFERROR(__xludf.DUMMYFUNCTION("INDEX(IMPORTRANGE(""https://docs.google.com/spreadsheets/d/1ierEhD6gcq51HAm433knjnVwey4ZE5DCnu1bW7PRG3E/edit"",""Wzrost w województwach!B72:ZZ87""),7,ROW()-3)"),2806)</f>
        <v>2806</v>
      </c>
      <c r="AM290" s="337">
        <f t="shared" ref="AM290:AN290" ca="1" si="4872">IF(ISBLANK(AO290),,AO290-AO289)</f>
        <v>129</v>
      </c>
      <c r="AN290" s="334">
        <f t="shared" ca="1" si="4872"/>
        <v>17</v>
      </c>
      <c r="AO290" s="335">
        <f ca="1">IFERROR(__xludf.DUMMYFUNCTION("INDEX(IMPORTRANGE(""https://docs.google.com/spreadsheets/d/1ierEhD6gcq51HAm433knjnVwey4ZE5DCnu1bW7PRG3E/edit"",""Wzrost w województwach!B32:ZZ47""),8,ROW()-3)"),33433)</f>
        <v>33433</v>
      </c>
      <c r="AP290" s="339">
        <f ca="1">IFERROR(__xludf.DUMMYFUNCTION("INDEX(IMPORTRANGE(""https://docs.google.com/spreadsheets/d/1ierEhD6gcq51HAm433knjnVwey4ZE5DCnu1bW7PRG3E/edit"",""Wzrost w województwach!B72:ZZ87""),8,ROW()-3)"),871)</f>
        <v>871</v>
      </c>
      <c r="AQ290" s="316">
        <f t="shared" ref="AQ290:AR290" ca="1" si="4873">IF(ISBLANK(AS290),,AS290-AS289)</f>
        <v>306</v>
      </c>
      <c r="AR290" s="338">
        <f t="shared" ca="1" si="4873"/>
        <v>7</v>
      </c>
      <c r="AS290" s="335">
        <f ca="1">IFERROR(__xludf.DUMMYFUNCTION("INDEX(IMPORTRANGE(""https://docs.google.com/spreadsheets/d/1ierEhD6gcq51HAm433knjnVwey4ZE5DCnu1bW7PRG3E/edit"",""Wzrost w województwach!B32:ZZ47""),9,ROW()-3)"),55962)</f>
        <v>55962</v>
      </c>
      <c r="AT290" s="336">
        <f ca="1">IFERROR(__xludf.DUMMYFUNCTION("INDEX(IMPORTRANGE(""https://docs.google.com/spreadsheets/d/1ierEhD6gcq51HAm433knjnVwey4ZE5DCnu1bW7PRG3E/edit"",""Wzrost w województwach!B72:ZZ87""),9,ROW()-3)"),1595)</f>
        <v>1595</v>
      </c>
      <c r="AU290" s="337">
        <f t="shared" ref="AU290:AV290" ca="1" si="4874">IF(ISBLANK(AW290),,AW290-AW289)</f>
        <v>169</v>
      </c>
      <c r="AV290" s="334">
        <f t="shared" ca="1" si="4874"/>
        <v>5</v>
      </c>
      <c r="AW290" s="335">
        <f ca="1">IFERROR(__xludf.DUMMYFUNCTION("INDEX(IMPORTRANGE(""https://docs.google.com/spreadsheets/d/1ierEhD6gcq51HAm433knjnVwey4ZE5DCnu1bW7PRG3E/edit"",""Wzrost w województwach!B32:ZZ47""),10,ROW()-3)"),30287)</f>
        <v>30287</v>
      </c>
      <c r="AX290" s="339">
        <f ca="1">IFERROR(__xludf.DUMMYFUNCTION("INDEX(IMPORTRANGE(""https://docs.google.com/spreadsheets/d/1ierEhD6gcq51HAm433knjnVwey4ZE5DCnu1bW7PRG3E/edit"",""Wzrost w województwach!B72:ZZ87""),10,ROW()-3)"),684)</f>
        <v>684</v>
      </c>
      <c r="AY290" s="316">
        <f t="shared" ref="AY290:AZ290" ca="1" si="4875">IF(ISBLANK(BA290),,BA290-BA289)</f>
        <v>495</v>
      </c>
      <c r="AZ290" s="334">
        <f t="shared" ca="1" si="4875"/>
        <v>29</v>
      </c>
      <c r="BA290" s="335">
        <f ca="1">IFERROR(__xludf.DUMMYFUNCTION("INDEX(IMPORTRANGE(""https://docs.google.com/spreadsheets/d/1ierEhD6gcq51HAm433knjnVwey4ZE5DCnu1bW7PRG3E/edit"",""Wzrost w województwach!B32:ZZ47""),11,ROW()-3)"),68508)</f>
        <v>68508</v>
      </c>
      <c r="BB290" s="336">
        <f ca="1">IFERROR(__xludf.DUMMYFUNCTION("INDEX(IMPORTRANGE(""https://docs.google.com/spreadsheets/d/1ierEhD6gcq51HAm433knjnVwey4ZE5DCnu1bW7PRG3E/edit"",""Wzrost w województwach!B72:ZZ87""),11,ROW()-3)"),1264)</f>
        <v>1264</v>
      </c>
      <c r="BC290" s="337">
        <f t="shared" ref="BC290:BD290" ca="1" si="4876">IF(ISBLANK(BE290),,BE290-BE289)</f>
        <v>608</v>
      </c>
      <c r="BD290" s="334">
        <f t="shared" ca="1" si="4876"/>
        <v>45</v>
      </c>
      <c r="BE290" s="335">
        <f ca="1">IFERROR(__xludf.DUMMYFUNCTION("INDEX(IMPORTRANGE(""https://docs.google.com/spreadsheets/d/1ierEhD6gcq51HAm433knjnVwey4ZE5DCnu1bW7PRG3E/edit"",""Wzrost w województwach!B32:ZZ47""),12,ROW()-3)"),142775)</f>
        <v>142775</v>
      </c>
      <c r="BF290" s="339">
        <f ca="1">IFERROR(__xludf.DUMMYFUNCTION("INDEX(IMPORTRANGE(""https://docs.google.com/spreadsheets/d/1ierEhD6gcq51HAm433knjnVwey4ZE5DCnu1bW7PRG3E/edit"",""Wzrost w województwach!B72:ZZ87""),12,ROW()-3)"),2924)</f>
        <v>2924</v>
      </c>
      <c r="BG290" s="316">
        <f t="shared" ref="BG290:BH290" ca="1" si="4877">IF(ISBLANK(BI290),,BI290-BI289)</f>
        <v>174</v>
      </c>
      <c r="BH290" s="334">
        <f t="shared" ca="1" si="4877"/>
        <v>8</v>
      </c>
      <c r="BI290" s="335">
        <f ca="1">IFERROR(__xludf.DUMMYFUNCTION("INDEX(IMPORTRANGE(""https://docs.google.com/spreadsheets/d/1ierEhD6gcq51HAm433knjnVwey4ZE5DCnu1bW7PRG3E/edit"",""Wzrost w województwach!B32:ZZ47""),13,ROW()-3)"),32865)</f>
        <v>32865</v>
      </c>
      <c r="BJ290" s="336">
        <f ca="1">IFERROR(__xludf.DUMMYFUNCTION("INDEX(IMPORTRANGE(""https://docs.google.com/spreadsheets/d/1ierEhD6gcq51HAm433knjnVwey4ZE5DCnu1bW7PRG3E/edit"",""Wzrost w województwach!B72:ZZ87""),13,ROW()-3)"),768)</f>
        <v>768</v>
      </c>
      <c r="BK290" s="337">
        <f t="shared" ref="BK290:BL290" ca="1" si="4878">IF(ISBLANK(BM290),,BM290-BM289)</f>
        <v>572</v>
      </c>
      <c r="BL290" s="334">
        <f t="shared" ca="1" si="4878"/>
        <v>23</v>
      </c>
      <c r="BM290" s="335">
        <f ca="1">IFERROR(__xludf.DUMMYFUNCTION("INDEX(IMPORTRANGE(""https://docs.google.com/spreadsheets/d/1ierEhD6gcq51HAm433knjnVwey4ZE5DCnu1bW7PRG3E/edit"",""Wzrost w województwach!B32:ZZ47""),14,ROW()-3)"),42683)</f>
        <v>42683</v>
      </c>
      <c r="BN290" s="339">
        <f ca="1">IFERROR(__xludf.DUMMYFUNCTION("INDEX(IMPORTRANGE(""https://docs.google.com/spreadsheets/d/1ierEhD6gcq51HAm433knjnVwey4ZE5DCnu1bW7PRG3E/edit"",""Wzrost w województwach!B72:ZZ87""),14,ROW()-3)"),880)</f>
        <v>880</v>
      </c>
      <c r="BO290" s="316">
        <f t="shared" ref="BO290:BP290" ca="1" si="4879">IF(ISBLANK(BQ290),,BQ290-BQ289)</f>
        <v>639</v>
      </c>
      <c r="BP290" s="334">
        <f t="shared" ca="1" si="4879"/>
        <v>46</v>
      </c>
      <c r="BQ290" s="335">
        <f ca="1">IFERROR(__xludf.DUMMYFUNCTION("INDEX(IMPORTRANGE(""https://docs.google.com/spreadsheets/d/1ierEhD6gcq51HAm433knjnVwey4ZE5DCnu1bW7PRG3E/edit"",""Wzrost w województwach!B32:ZZ47""),15,ROW()-3)"),114777)</f>
        <v>114777</v>
      </c>
      <c r="BR290" s="336">
        <f ca="1">IFERROR(__xludf.DUMMYFUNCTION("INDEX(IMPORTRANGE(""https://docs.google.com/spreadsheets/d/1ierEhD6gcq51HAm433knjnVwey4ZE5DCnu1bW7PRG3E/edit"",""Wzrost w województwach!B72:ZZ87""),15,ROW()-3)"),2211)</f>
        <v>2211</v>
      </c>
      <c r="BS290" s="316">
        <f t="shared" ref="BS290:BT290" ca="1" si="4880">IF(ISBLANK(BU290),,BU290-BU289)</f>
        <v>328</v>
      </c>
      <c r="BT290" s="334">
        <f t="shared" ca="1" si="4880"/>
        <v>4</v>
      </c>
      <c r="BU290" s="335">
        <f ca="1">IFERROR(__xludf.DUMMYFUNCTION("INDEX(IMPORTRANGE(""https://docs.google.com/spreadsheets/d/1ierEhD6gcq51HAm433knjnVwey4ZE5DCnu1bW7PRG3E/edit"",""Wzrost w województwach!B32:ZZ47""),16,ROW()-3)"),49265)</f>
        <v>49265</v>
      </c>
      <c r="BV290" s="336">
        <f ca="1">IFERROR(__xludf.DUMMYFUNCTION("INDEX(IMPORTRANGE(""https://docs.google.com/spreadsheets/d/1ierEhD6gcq51HAm433knjnVwey4ZE5DCnu1bW7PRG3E/edit"",""Wzrost w województwach!B72:ZZ87""),16,ROW()-3)"),740)</f>
        <v>740</v>
      </c>
      <c r="BW290" s="233"/>
      <c r="BX290" s="233"/>
      <c r="BY290" s="233"/>
      <c r="BZ290" s="233"/>
      <c r="CA290" s="233"/>
      <c r="CB290" s="233"/>
      <c r="CC290" s="233"/>
      <c r="CD290" s="233"/>
      <c r="CE290" s="233"/>
    </row>
    <row r="291" spans="1:83" x14ac:dyDescent="0.25">
      <c r="A291" s="341">
        <v>44181</v>
      </c>
      <c r="B291" s="314">
        <f t="shared" si="1276"/>
        <v>288</v>
      </c>
      <c r="C291" s="315"/>
      <c r="D291" s="329">
        <v>12454</v>
      </c>
      <c r="E291" s="317">
        <v>605</v>
      </c>
      <c r="F291" s="318">
        <v>892650</v>
      </c>
      <c r="G291" s="319">
        <v>1159901</v>
      </c>
      <c r="H291" s="330">
        <f t="shared" ref="H291:I291" si="4881">IF(ISBLANK(D291),,H290+D291)</f>
        <v>1159705</v>
      </c>
      <c r="I291" s="331">
        <f t="shared" si="4881"/>
        <v>23914</v>
      </c>
      <c r="J291" s="332">
        <f t="shared" si="1"/>
        <v>12902</v>
      </c>
      <c r="K291" s="333">
        <f t="shared" ref="K291:L291" ca="1" si="4882">IF(ISBLANK(M291),,M291-M290)</f>
        <v>629</v>
      </c>
      <c r="L291" s="334">
        <f t="shared" ca="1" si="4882"/>
        <v>40</v>
      </c>
      <c r="M291" s="335">
        <f ca="1">IFERROR(__xludf.DUMMYFUNCTION("INDEX(IMPORTRANGE(""https://docs.google.com/spreadsheets/d/1ierEhD6gcq51HAm433knjnVwey4ZE5DCnu1bW7PRG3E/edit"",""Wzrost w województwach!B32:ZZ47""),1,ROW()-3)"),80942)</f>
        <v>80942</v>
      </c>
      <c r="N291" s="336">
        <f ca="1">IFERROR(__xludf.DUMMYFUNCTION("INDEX(IMPORTRANGE(""https://docs.google.com/spreadsheets/d/1ierEhD6gcq51HAm433knjnVwey4ZE5DCnu1bW7PRG3E/edit"",""Wzrost w województwach!B72:ZZ87""),1,ROW()-3)"),1682)</f>
        <v>1682</v>
      </c>
      <c r="O291" s="337">
        <f t="shared" ref="O291:P291" ca="1" si="4883">IF(ISBLANK(Q291),,Q291-Q290)</f>
        <v>1181</v>
      </c>
      <c r="P291" s="338">
        <f t="shared" ca="1" si="4883"/>
        <v>45</v>
      </c>
      <c r="Q291" s="335">
        <f ca="1">IFERROR(__xludf.DUMMYFUNCTION("INDEX(IMPORTRANGE(""https://docs.google.com/spreadsheets/d/1ierEhD6gcq51HAm433knjnVwey4ZE5DCnu1bW7PRG3E/edit"",""Wzrost w województwach!B32:ZZ47""),2,ROW()-3)"),71563)</f>
        <v>71563</v>
      </c>
      <c r="R291" s="339">
        <f ca="1">IFERROR(__xludf.DUMMYFUNCTION("INDEX(IMPORTRANGE(""https://docs.google.com/spreadsheets/d/1ierEhD6gcq51HAm433knjnVwey4ZE5DCnu1bW7PRG3E/edit"",""Wzrost w województwach!B72:ZZ87""),2,ROW()-3)"),1087)</f>
        <v>1087</v>
      </c>
      <c r="S291" s="316">
        <f t="shared" ref="S291:T291" ca="1" si="4884">IF(ISBLANK(U291),,U291-U290)</f>
        <v>641</v>
      </c>
      <c r="T291" s="334">
        <f t="shared" ca="1" si="4884"/>
        <v>37</v>
      </c>
      <c r="U291" s="335">
        <f ca="1">IFERROR(__xludf.DUMMYFUNCTION("INDEX(IMPORTRANGE(""https://docs.google.com/spreadsheets/d/1ierEhD6gcq51HAm433knjnVwey4ZE5DCnu1bW7PRG3E/edit"",""Wzrost w województwach!B32:ZZ47""),3,ROW()-3)"),59001)</f>
        <v>59001</v>
      </c>
      <c r="V291" s="336">
        <f ca="1">IFERROR(__xludf.DUMMYFUNCTION("INDEX(IMPORTRANGE(""https://docs.google.com/spreadsheets/d/1ierEhD6gcq51HAm433knjnVwey4ZE5DCnu1bW7PRG3E/edit"",""Wzrost w województwach!B72:ZZ87""),3,ROW()-3)"),1472)</f>
        <v>1472</v>
      </c>
      <c r="W291" s="337">
        <f t="shared" ref="W291:X291" ca="1" si="4885">IF(ISBLANK(Y291),,Y291-Y290)</f>
        <v>323</v>
      </c>
      <c r="X291" s="334">
        <f t="shared" ca="1" si="4885"/>
        <v>29</v>
      </c>
      <c r="Y291" s="335">
        <f ca="1">IFERROR(__xludf.DUMMYFUNCTION("INDEX(IMPORTRANGE(""https://docs.google.com/spreadsheets/d/1ierEhD6gcq51HAm433knjnVwey4ZE5DCnu1bW7PRG3E/edit"",""Wzrost w województwach!B32:ZZ47""),4,ROW()-3)"),26941)</f>
        <v>26941</v>
      </c>
      <c r="Z291" s="340">
        <f ca="1">IFERROR(__xludf.DUMMYFUNCTION("INDEX(IMPORTRANGE(""https://docs.google.com/spreadsheets/d/1ierEhD6gcq51HAm433knjnVwey4ZE5DCnu1bW7PRG3E/edit"",""Wzrost w województwach!B72:ZZ87""),4,ROW()-3)"),554)</f>
        <v>554</v>
      </c>
      <c r="AA291" s="316">
        <f t="shared" ref="AA291:AB291" ca="1" si="4886">IF(ISBLANK(AC291),,AC291-AC290)</f>
        <v>943</v>
      </c>
      <c r="AB291" s="334">
        <f t="shared" ca="1" si="4886"/>
        <v>68</v>
      </c>
      <c r="AC291" s="335">
        <f ca="1">IFERROR(__xludf.DUMMYFUNCTION("INDEX(IMPORTRANGE(""https://docs.google.com/spreadsheets/d/1ierEhD6gcq51HAm433knjnVwey4ZE5DCnu1bW7PRG3E/edit"",""Wzrost w województwach!B32:ZZ47""),5,ROW()-3)"),76014)</f>
        <v>76014</v>
      </c>
      <c r="AD291" s="336">
        <f ca="1">IFERROR(__xludf.DUMMYFUNCTION("INDEX(IMPORTRANGE(""https://docs.google.com/spreadsheets/d/1ierEhD6gcq51HAm433knjnVwey4ZE5DCnu1bW7PRG3E/edit"",""Wzrost w województwach!B72:ZZ87""),5,ROW()-3)"),1587)</f>
        <v>1587</v>
      </c>
      <c r="AE291" s="337">
        <f t="shared" ref="AE291:AF291" ca="1" si="4887">IF(ISBLANK(AG291),,AG291-AG290)</f>
        <v>538</v>
      </c>
      <c r="AF291" s="334">
        <f t="shared" ca="1" si="4887"/>
        <v>25</v>
      </c>
      <c r="AG291" s="335">
        <f ca="1">IFERROR(__xludf.DUMMYFUNCTION("INDEX(IMPORTRANGE(""https://docs.google.com/spreadsheets/d/1ierEhD6gcq51HAm433knjnVwey4ZE5DCnu1bW7PRG3E/edit"",""Wzrost w województwach!B32:ZZ47""),6,ROW()-3)"),103841)</f>
        <v>103841</v>
      </c>
      <c r="AH291" s="339">
        <f ca="1">IFERROR(__xludf.DUMMYFUNCTION("INDEX(IMPORTRANGE(""https://docs.google.com/spreadsheets/d/1ierEhD6gcq51HAm433knjnVwey4ZE5DCnu1bW7PRG3E/edit"",""Wzrost w województwach!B72:ZZ87""),6,ROW()-3)"),2428)</f>
        <v>2428</v>
      </c>
      <c r="AI291" s="316">
        <f t="shared" ref="AI291:AJ291" ca="1" si="4888">IF(ISBLANK(AK291),,AK291-AK290)</f>
        <v>1461</v>
      </c>
      <c r="AJ291" s="334">
        <f t="shared" ca="1" si="4888"/>
        <v>66</v>
      </c>
      <c r="AK291" s="335">
        <f ca="1">IFERROR(__xludf.DUMMYFUNCTION("INDEX(IMPORTRANGE(""https://docs.google.com/spreadsheets/d/1ierEhD6gcq51HAm433knjnVwey4ZE5DCnu1bW7PRG3E/edit"",""Wzrost w województwach!B32:ZZ47""),7,ROW()-3)"),139258)</f>
        <v>139258</v>
      </c>
      <c r="AL291" s="336">
        <f ca="1">IFERROR(__xludf.DUMMYFUNCTION("INDEX(IMPORTRANGE(""https://docs.google.com/spreadsheets/d/1ierEhD6gcq51HAm433knjnVwey4ZE5DCnu1bW7PRG3E/edit"",""Wzrost w województwach!B72:ZZ87""),7,ROW()-3)"),2872)</f>
        <v>2872</v>
      </c>
      <c r="AM291" s="337">
        <f t="shared" ref="AM291:AN291" ca="1" si="4889">IF(ISBLANK(AO291),,AO291-AO290)</f>
        <v>247</v>
      </c>
      <c r="AN291" s="334">
        <f t="shared" ca="1" si="4889"/>
        <v>20</v>
      </c>
      <c r="AO291" s="335">
        <f ca="1">IFERROR(__xludf.DUMMYFUNCTION("INDEX(IMPORTRANGE(""https://docs.google.com/spreadsheets/d/1ierEhD6gcq51HAm433knjnVwey4ZE5DCnu1bW7PRG3E/edit"",""Wzrost w województwach!B32:ZZ47""),8,ROW()-3)"),33680)</f>
        <v>33680</v>
      </c>
      <c r="AP291" s="339">
        <f ca="1">IFERROR(__xludf.DUMMYFUNCTION("INDEX(IMPORTRANGE(""https://docs.google.com/spreadsheets/d/1ierEhD6gcq51HAm433knjnVwey4ZE5DCnu1bW7PRG3E/edit"",""Wzrost w województwach!B72:ZZ87""),8,ROW()-3)"),891)</f>
        <v>891</v>
      </c>
      <c r="AQ291" s="316">
        <f t="shared" ref="AQ291:AR291" ca="1" si="4890">IF(ISBLANK(AS291),,AS291-AS290)</f>
        <v>322</v>
      </c>
      <c r="AR291" s="338">
        <f t="shared" ca="1" si="4890"/>
        <v>31</v>
      </c>
      <c r="AS291" s="335">
        <f ca="1">IFERROR(__xludf.DUMMYFUNCTION("INDEX(IMPORTRANGE(""https://docs.google.com/spreadsheets/d/1ierEhD6gcq51HAm433knjnVwey4ZE5DCnu1bW7PRG3E/edit"",""Wzrost w województwach!B32:ZZ47""),9,ROW()-3)"),56284)</f>
        <v>56284</v>
      </c>
      <c r="AT291" s="336">
        <f ca="1">IFERROR(__xludf.DUMMYFUNCTION("INDEX(IMPORTRANGE(""https://docs.google.com/spreadsheets/d/1ierEhD6gcq51HAm433knjnVwey4ZE5DCnu1bW7PRG3E/edit"",""Wzrost w województwach!B72:ZZ87""),9,ROW()-3)"),1626)</f>
        <v>1626</v>
      </c>
      <c r="AU291" s="337">
        <f t="shared" ref="AU291:AV291" ca="1" si="4891">IF(ISBLANK(AW291),,AW291-AW290)</f>
        <v>370</v>
      </c>
      <c r="AV291" s="334">
        <f t="shared" ca="1" si="4891"/>
        <v>29</v>
      </c>
      <c r="AW291" s="335">
        <f ca="1">IFERROR(__xludf.DUMMYFUNCTION("INDEX(IMPORTRANGE(""https://docs.google.com/spreadsheets/d/1ierEhD6gcq51HAm433knjnVwey4ZE5DCnu1bW7PRG3E/edit"",""Wzrost w województwach!B32:ZZ47""),10,ROW()-3)"),30657)</f>
        <v>30657</v>
      </c>
      <c r="AX291" s="339">
        <f ca="1">IFERROR(__xludf.DUMMYFUNCTION("INDEX(IMPORTRANGE(""https://docs.google.com/spreadsheets/d/1ierEhD6gcq51HAm433knjnVwey4ZE5DCnu1bW7PRG3E/edit"",""Wzrost w województwach!B72:ZZ87""),10,ROW()-3)"),713)</f>
        <v>713</v>
      </c>
      <c r="AY291" s="316">
        <f t="shared" ref="AY291:AZ291" ca="1" si="4892">IF(ISBLANK(BA291),,BA291-BA290)</f>
        <v>868</v>
      </c>
      <c r="AZ291" s="334">
        <f t="shared" ca="1" si="4892"/>
        <v>28</v>
      </c>
      <c r="BA291" s="335">
        <f ca="1">IFERROR(__xludf.DUMMYFUNCTION("INDEX(IMPORTRANGE(""https://docs.google.com/spreadsheets/d/1ierEhD6gcq51HAm433knjnVwey4ZE5DCnu1bW7PRG3E/edit"",""Wzrost w województwach!B32:ZZ47""),11,ROW()-3)"),69376)</f>
        <v>69376</v>
      </c>
      <c r="BB291" s="336">
        <f ca="1">IFERROR(__xludf.DUMMYFUNCTION("INDEX(IMPORTRANGE(""https://docs.google.com/spreadsheets/d/1ierEhD6gcq51HAm433knjnVwey4ZE5DCnu1bW7PRG3E/edit"",""Wzrost w województwach!B72:ZZ87""),11,ROW()-3)"),1292)</f>
        <v>1292</v>
      </c>
      <c r="BC291" s="337">
        <f t="shared" ref="BC291:BD291" ca="1" si="4893">IF(ISBLANK(BE291),,BE291-BE290)</f>
        <v>1340</v>
      </c>
      <c r="BD291" s="334">
        <f t="shared" ca="1" si="4893"/>
        <v>48</v>
      </c>
      <c r="BE291" s="335">
        <f ca="1">IFERROR(__xludf.DUMMYFUNCTION("INDEX(IMPORTRANGE(""https://docs.google.com/spreadsheets/d/1ierEhD6gcq51HAm433knjnVwey4ZE5DCnu1bW7PRG3E/edit"",""Wzrost w województwach!B32:ZZ47""),12,ROW()-3)"),144115)</f>
        <v>144115</v>
      </c>
      <c r="BF291" s="339">
        <f ca="1">IFERROR(__xludf.DUMMYFUNCTION("INDEX(IMPORTRANGE(""https://docs.google.com/spreadsheets/d/1ierEhD6gcq51HAm433knjnVwey4ZE5DCnu1bW7PRG3E/edit"",""Wzrost w województwach!B72:ZZ87""),12,ROW()-3)"),2972)</f>
        <v>2972</v>
      </c>
      <c r="BG291" s="316">
        <f t="shared" ref="BG291:BH291" ca="1" si="4894">IF(ISBLANK(BI291),,BI291-BI290)</f>
        <v>181</v>
      </c>
      <c r="BH291" s="334">
        <f t="shared" ca="1" si="4894"/>
        <v>11</v>
      </c>
      <c r="BI291" s="335">
        <f ca="1">IFERROR(__xludf.DUMMYFUNCTION("INDEX(IMPORTRANGE(""https://docs.google.com/spreadsheets/d/1ierEhD6gcq51HAm433knjnVwey4ZE5DCnu1bW7PRG3E/edit"",""Wzrost w województwach!B32:ZZ47""),13,ROW()-3)"),33046)</f>
        <v>33046</v>
      </c>
      <c r="BJ291" s="336">
        <f ca="1">IFERROR(__xludf.DUMMYFUNCTION("INDEX(IMPORTRANGE(""https://docs.google.com/spreadsheets/d/1ierEhD6gcq51HAm433knjnVwey4ZE5DCnu1bW7PRG3E/edit"",""Wzrost w województwach!B72:ZZ87""),13,ROW()-3)"),779)</f>
        <v>779</v>
      </c>
      <c r="BK291" s="337">
        <f t="shared" ref="BK291:BL291" ca="1" si="4895">IF(ISBLANK(BM291),,BM291-BM290)</f>
        <v>815</v>
      </c>
      <c r="BL291" s="334">
        <f t="shared" ca="1" si="4895"/>
        <v>31</v>
      </c>
      <c r="BM291" s="335">
        <f ca="1">IFERROR(__xludf.DUMMYFUNCTION("INDEX(IMPORTRANGE(""https://docs.google.com/spreadsheets/d/1ierEhD6gcq51HAm433knjnVwey4ZE5DCnu1bW7PRG3E/edit"",""Wzrost w województwach!B32:ZZ47""),14,ROW()-3)"),43498)</f>
        <v>43498</v>
      </c>
      <c r="BN291" s="339">
        <f ca="1">IFERROR(__xludf.DUMMYFUNCTION("INDEX(IMPORTRANGE(""https://docs.google.com/spreadsheets/d/1ierEhD6gcq51HAm433knjnVwey4ZE5DCnu1bW7PRG3E/edit"",""Wzrost w województwach!B72:ZZ87""),14,ROW()-3)"),911)</f>
        <v>911</v>
      </c>
      <c r="BO291" s="316">
        <f t="shared" ref="BO291:BP291" ca="1" si="4896">IF(ISBLANK(BQ291),,BQ291-BQ290)</f>
        <v>1373</v>
      </c>
      <c r="BP291" s="334">
        <f t="shared" ca="1" si="4896"/>
        <v>73</v>
      </c>
      <c r="BQ291" s="335">
        <f ca="1">IFERROR(__xludf.DUMMYFUNCTION("INDEX(IMPORTRANGE(""https://docs.google.com/spreadsheets/d/1ierEhD6gcq51HAm433knjnVwey4ZE5DCnu1bW7PRG3E/edit"",""Wzrost w województwach!B32:ZZ47""),15,ROW()-3)"),116150)</f>
        <v>116150</v>
      </c>
      <c r="BR291" s="336">
        <f ca="1">IFERROR(__xludf.DUMMYFUNCTION("INDEX(IMPORTRANGE(""https://docs.google.com/spreadsheets/d/1ierEhD6gcq51HAm433knjnVwey4ZE5DCnu1bW7PRG3E/edit"",""Wzrost w województwach!B72:ZZ87""),15,ROW()-3)"),2284)</f>
        <v>2284</v>
      </c>
      <c r="BS291" s="316">
        <f t="shared" ref="BS291:BT291" ca="1" si="4897">IF(ISBLANK(BU291),,BU291-BU290)</f>
        <v>1064</v>
      </c>
      <c r="BT291" s="334">
        <f t="shared" ca="1" si="4897"/>
        <v>24</v>
      </c>
      <c r="BU291" s="335">
        <f ca="1">IFERROR(__xludf.DUMMYFUNCTION("INDEX(IMPORTRANGE(""https://docs.google.com/spreadsheets/d/1ierEhD6gcq51HAm433knjnVwey4ZE5DCnu1bW7PRG3E/edit"",""Wzrost w województwach!B32:ZZ47""),16,ROW()-3)"),50329)</f>
        <v>50329</v>
      </c>
      <c r="BV291" s="336">
        <f ca="1">IFERROR(__xludf.DUMMYFUNCTION("INDEX(IMPORTRANGE(""https://docs.google.com/spreadsheets/d/1ierEhD6gcq51HAm433knjnVwey4ZE5DCnu1bW7PRG3E/edit"",""Wzrost w województwach!B72:ZZ87""),16,ROW()-3)"),764)</f>
        <v>764</v>
      </c>
      <c r="BW291" s="233"/>
      <c r="BX291" s="233"/>
      <c r="BY291" s="233"/>
      <c r="BZ291" s="233"/>
      <c r="CA291" s="233"/>
      <c r="CB291" s="233"/>
      <c r="CC291" s="233"/>
      <c r="CD291" s="233"/>
      <c r="CE291" s="233"/>
    </row>
    <row r="292" spans="1:83" x14ac:dyDescent="0.25">
      <c r="A292" s="341">
        <v>44182</v>
      </c>
      <c r="B292" s="314">
        <f t="shared" si="1276"/>
        <v>289</v>
      </c>
      <c r="C292" s="315"/>
      <c r="D292" s="329">
        <v>11953</v>
      </c>
      <c r="E292" s="317">
        <v>431</v>
      </c>
      <c r="F292" s="318">
        <v>903349</v>
      </c>
      <c r="G292" s="319">
        <v>1171854</v>
      </c>
      <c r="H292" s="330">
        <f t="shared" ref="H292:I292" si="4898">IF(ISBLANK(D292),,H291+D292)</f>
        <v>1171658</v>
      </c>
      <c r="I292" s="331">
        <f t="shared" si="4898"/>
        <v>24345</v>
      </c>
      <c r="J292" s="332">
        <f t="shared" si="1"/>
        <v>10699</v>
      </c>
      <c r="K292" s="333">
        <f t="shared" ref="K292:L292" ca="1" si="4899">IF(ISBLANK(M292),,M292-M291)</f>
        <v>681</v>
      </c>
      <c r="L292" s="334">
        <f t="shared" ca="1" si="4899"/>
        <v>27</v>
      </c>
      <c r="M292" s="335">
        <f ca="1">IFERROR(__xludf.DUMMYFUNCTION("INDEX(IMPORTRANGE(""https://docs.google.com/spreadsheets/d/1ierEhD6gcq51HAm433knjnVwey4ZE5DCnu1bW7PRG3E/edit"",""Wzrost w województwach!B32:ZZ47""),1,ROW()-3)"),81623)</f>
        <v>81623</v>
      </c>
      <c r="N292" s="336">
        <f ca="1">IFERROR(__xludf.DUMMYFUNCTION("INDEX(IMPORTRANGE(""https://docs.google.com/spreadsheets/d/1ierEhD6gcq51HAm433knjnVwey4ZE5DCnu1bW7PRG3E/edit"",""Wzrost w województwach!B72:ZZ87""),1,ROW()-3)"),1709)</f>
        <v>1709</v>
      </c>
      <c r="O292" s="337">
        <f t="shared" ref="O292:P292" ca="1" si="4900">IF(ISBLANK(Q292),,Q292-Q291)</f>
        <v>1138</v>
      </c>
      <c r="P292" s="338">
        <f t="shared" ca="1" si="4900"/>
        <v>45</v>
      </c>
      <c r="Q292" s="335">
        <f ca="1">IFERROR(__xludf.DUMMYFUNCTION("INDEX(IMPORTRANGE(""https://docs.google.com/spreadsheets/d/1ierEhD6gcq51HAm433knjnVwey4ZE5DCnu1bW7PRG3E/edit"",""Wzrost w województwach!B32:ZZ47""),2,ROW()-3)"),72701)</f>
        <v>72701</v>
      </c>
      <c r="R292" s="339">
        <f ca="1">IFERROR(__xludf.DUMMYFUNCTION("INDEX(IMPORTRANGE(""https://docs.google.com/spreadsheets/d/1ierEhD6gcq51HAm433knjnVwey4ZE5DCnu1bW7PRG3E/edit"",""Wzrost w województwach!B72:ZZ87""),2,ROW()-3)"),1132)</f>
        <v>1132</v>
      </c>
      <c r="S292" s="316">
        <f t="shared" ref="S292:T292" ca="1" si="4901">IF(ISBLANK(U292),,U292-U291)</f>
        <v>699</v>
      </c>
      <c r="T292" s="334">
        <f t="shared" ca="1" si="4901"/>
        <v>22</v>
      </c>
      <c r="U292" s="335">
        <f ca="1">IFERROR(__xludf.DUMMYFUNCTION("INDEX(IMPORTRANGE(""https://docs.google.com/spreadsheets/d/1ierEhD6gcq51HAm433knjnVwey4ZE5DCnu1bW7PRG3E/edit"",""Wzrost w województwach!B32:ZZ47""),3,ROW()-3)"),59700)</f>
        <v>59700</v>
      </c>
      <c r="V292" s="336">
        <f ca="1">IFERROR(__xludf.DUMMYFUNCTION("INDEX(IMPORTRANGE(""https://docs.google.com/spreadsheets/d/1ierEhD6gcq51HAm433knjnVwey4ZE5DCnu1bW7PRG3E/edit"",""Wzrost w województwach!B72:ZZ87""),3,ROW()-3)"),1494)</f>
        <v>1494</v>
      </c>
      <c r="W292" s="337">
        <f t="shared" ref="W292:X292" ca="1" si="4902">IF(ISBLANK(Y292),,Y292-Y291)</f>
        <v>320</v>
      </c>
      <c r="X292" s="334">
        <f t="shared" ca="1" si="4902"/>
        <v>21</v>
      </c>
      <c r="Y292" s="335">
        <f ca="1">IFERROR(__xludf.DUMMYFUNCTION("INDEX(IMPORTRANGE(""https://docs.google.com/spreadsheets/d/1ierEhD6gcq51HAm433knjnVwey4ZE5DCnu1bW7PRG3E/edit"",""Wzrost w województwach!B32:ZZ47""),4,ROW()-3)"),27261)</f>
        <v>27261</v>
      </c>
      <c r="Z292" s="340">
        <f ca="1">IFERROR(__xludf.DUMMYFUNCTION("INDEX(IMPORTRANGE(""https://docs.google.com/spreadsheets/d/1ierEhD6gcq51HAm433knjnVwey4ZE5DCnu1bW7PRG3E/edit"",""Wzrost w województwach!B72:ZZ87""),4,ROW()-3)"),575)</f>
        <v>575</v>
      </c>
      <c r="AA292" s="316">
        <f t="shared" ref="AA292:AB292" ca="1" si="4903">IF(ISBLANK(AC292),,AC292-AC291)</f>
        <v>767</v>
      </c>
      <c r="AB292" s="334">
        <f t="shared" ca="1" si="4903"/>
        <v>27</v>
      </c>
      <c r="AC292" s="335">
        <f ca="1">IFERROR(__xludf.DUMMYFUNCTION("INDEX(IMPORTRANGE(""https://docs.google.com/spreadsheets/d/1ierEhD6gcq51HAm433knjnVwey4ZE5DCnu1bW7PRG3E/edit"",""Wzrost w województwach!B32:ZZ47""),5,ROW()-3)"),76781)</f>
        <v>76781</v>
      </c>
      <c r="AD292" s="336">
        <f ca="1">IFERROR(__xludf.DUMMYFUNCTION("INDEX(IMPORTRANGE(""https://docs.google.com/spreadsheets/d/1ierEhD6gcq51HAm433knjnVwey4ZE5DCnu1bW7PRG3E/edit"",""Wzrost w województwach!B72:ZZ87""),5,ROW()-3)"),1614)</f>
        <v>1614</v>
      </c>
      <c r="AE292" s="337">
        <f t="shared" ref="AE292:AF292" ca="1" si="4904">IF(ISBLANK(AG292),,AG292-AG291)</f>
        <v>351</v>
      </c>
      <c r="AF292" s="334">
        <f t="shared" ca="1" si="4904"/>
        <v>32</v>
      </c>
      <c r="AG292" s="335">
        <f ca="1">IFERROR(__xludf.DUMMYFUNCTION("INDEX(IMPORTRANGE(""https://docs.google.com/spreadsheets/d/1ierEhD6gcq51HAm433knjnVwey4ZE5DCnu1bW7PRG3E/edit"",""Wzrost w województwach!B32:ZZ47""),6,ROW()-3)"),104192)</f>
        <v>104192</v>
      </c>
      <c r="AH292" s="339">
        <f ca="1">IFERROR(__xludf.DUMMYFUNCTION("INDEX(IMPORTRANGE(""https://docs.google.com/spreadsheets/d/1ierEhD6gcq51HAm433knjnVwey4ZE5DCnu1bW7PRG3E/edit"",""Wzrost w województwach!B72:ZZ87""),6,ROW()-3)"),2460)</f>
        <v>2460</v>
      </c>
      <c r="AI292" s="316">
        <f t="shared" ref="AI292:AJ292" ca="1" si="4905">IF(ISBLANK(AK292),,AK292-AK291)</f>
        <v>1318</v>
      </c>
      <c r="AJ292" s="334">
        <f t="shared" ca="1" si="4905"/>
        <v>61</v>
      </c>
      <c r="AK292" s="335">
        <f ca="1">IFERROR(__xludf.DUMMYFUNCTION("INDEX(IMPORTRANGE(""https://docs.google.com/spreadsheets/d/1ierEhD6gcq51HAm433knjnVwey4ZE5DCnu1bW7PRG3E/edit"",""Wzrost w województwach!B32:ZZ47""),7,ROW()-3)"),140576)</f>
        <v>140576</v>
      </c>
      <c r="AL292" s="336">
        <f ca="1">IFERROR(__xludf.DUMMYFUNCTION("INDEX(IMPORTRANGE(""https://docs.google.com/spreadsheets/d/1ierEhD6gcq51HAm433knjnVwey4ZE5DCnu1bW7PRG3E/edit"",""Wzrost w województwach!B72:ZZ87""),7,ROW()-3)"),2933)</f>
        <v>2933</v>
      </c>
      <c r="AM292" s="337">
        <f t="shared" ref="AM292:AN292" ca="1" si="4906">IF(ISBLANK(AO292),,AO292-AO291)</f>
        <v>251</v>
      </c>
      <c r="AN292" s="334">
        <f t="shared" ca="1" si="4906"/>
        <v>15</v>
      </c>
      <c r="AO292" s="335">
        <f ca="1">IFERROR(__xludf.DUMMYFUNCTION("INDEX(IMPORTRANGE(""https://docs.google.com/spreadsheets/d/1ierEhD6gcq51HAm433knjnVwey4ZE5DCnu1bW7PRG3E/edit"",""Wzrost w województwach!B32:ZZ47""),8,ROW()-3)"),33931)</f>
        <v>33931</v>
      </c>
      <c r="AP292" s="339">
        <f ca="1">IFERROR(__xludf.DUMMYFUNCTION("INDEX(IMPORTRANGE(""https://docs.google.com/spreadsheets/d/1ierEhD6gcq51HAm433knjnVwey4ZE5DCnu1bW7PRG3E/edit"",""Wzrost w województwach!B72:ZZ87""),8,ROW()-3)"),906)</f>
        <v>906</v>
      </c>
      <c r="AQ292" s="316">
        <f t="shared" ref="AQ292:AR292" ca="1" si="4907">IF(ISBLANK(AS292),,AS292-AS291)</f>
        <v>288</v>
      </c>
      <c r="AR292" s="338">
        <f t="shared" ca="1" si="4907"/>
        <v>16</v>
      </c>
      <c r="AS292" s="335">
        <f ca="1">IFERROR(__xludf.DUMMYFUNCTION("INDEX(IMPORTRANGE(""https://docs.google.com/spreadsheets/d/1ierEhD6gcq51HAm433knjnVwey4ZE5DCnu1bW7PRG3E/edit"",""Wzrost w województwach!B32:ZZ47""),9,ROW()-3)"),56572)</f>
        <v>56572</v>
      </c>
      <c r="AT292" s="336">
        <f ca="1">IFERROR(__xludf.DUMMYFUNCTION("INDEX(IMPORTRANGE(""https://docs.google.com/spreadsheets/d/1ierEhD6gcq51HAm433knjnVwey4ZE5DCnu1bW7PRG3E/edit"",""Wzrost w województwach!B72:ZZ87""),9,ROW()-3)"),1642)</f>
        <v>1642</v>
      </c>
      <c r="AU292" s="337">
        <f t="shared" ref="AU292:AV292" ca="1" si="4908">IF(ISBLANK(AW292),,AW292-AW291)</f>
        <v>230</v>
      </c>
      <c r="AV292" s="334">
        <f t="shared" ca="1" si="4908"/>
        <v>10</v>
      </c>
      <c r="AW292" s="335">
        <f ca="1">IFERROR(__xludf.DUMMYFUNCTION("INDEX(IMPORTRANGE(""https://docs.google.com/spreadsheets/d/1ierEhD6gcq51HAm433knjnVwey4ZE5DCnu1bW7PRG3E/edit"",""Wzrost w województwach!B32:ZZ47""),10,ROW()-3)"),30887)</f>
        <v>30887</v>
      </c>
      <c r="AX292" s="339">
        <f ca="1">IFERROR(__xludf.DUMMYFUNCTION("INDEX(IMPORTRANGE(""https://docs.google.com/spreadsheets/d/1ierEhD6gcq51HAm433knjnVwey4ZE5DCnu1bW7PRG3E/edit"",""Wzrost w województwach!B72:ZZ87""),10,ROW()-3)"),723)</f>
        <v>723</v>
      </c>
      <c r="AY292" s="316">
        <f t="shared" ref="AY292:AZ292" ca="1" si="4909">IF(ISBLANK(BA292),,BA292-BA291)</f>
        <v>951</v>
      </c>
      <c r="AZ292" s="334">
        <f t="shared" ca="1" si="4909"/>
        <v>22</v>
      </c>
      <c r="BA292" s="335">
        <f ca="1">IFERROR(__xludf.DUMMYFUNCTION("INDEX(IMPORTRANGE(""https://docs.google.com/spreadsheets/d/1ierEhD6gcq51HAm433knjnVwey4ZE5DCnu1bW7PRG3E/edit"",""Wzrost w województwach!B32:ZZ47""),11,ROW()-3)"),70327)</f>
        <v>70327</v>
      </c>
      <c r="BB292" s="336">
        <f ca="1">IFERROR(__xludf.DUMMYFUNCTION("INDEX(IMPORTRANGE(""https://docs.google.com/spreadsheets/d/1ierEhD6gcq51HAm433knjnVwey4ZE5DCnu1bW7PRG3E/edit"",""Wzrost w województwach!B72:ZZ87""),11,ROW()-3)"),1314)</f>
        <v>1314</v>
      </c>
      <c r="BC292" s="337">
        <f t="shared" ref="BC292:BD292" ca="1" si="4910">IF(ISBLANK(BE292),,BE292-BE291)</f>
        <v>964</v>
      </c>
      <c r="BD292" s="334">
        <f t="shared" ca="1" si="4910"/>
        <v>27</v>
      </c>
      <c r="BE292" s="335">
        <f ca="1">IFERROR(__xludf.DUMMYFUNCTION("INDEX(IMPORTRANGE(""https://docs.google.com/spreadsheets/d/1ierEhD6gcq51HAm433knjnVwey4ZE5DCnu1bW7PRG3E/edit"",""Wzrost w województwach!B32:ZZ47""),12,ROW()-3)"),145079)</f>
        <v>145079</v>
      </c>
      <c r="BF292" s="339">
        <f ca="1">IFERROR(__xludf.DUMMYFUNCTION("INDEX(IMPORTRANGE(""https://docs.google.com/spreadsheets/d/1ierEhD6gcq51HAm433knjnVwey4ZE5DCnu1bW7PRG3E/edit"",""Wzrost w województwach!B72:ZZ87""),12,ROW()-3)"),2999)</f>
        <v>2999</v>
      </c>
      <c r="BG292" s="316">
        <f t="shared" ref="BG292:BH292" ca="1" si="4911">IF(ISBLANK(BI292),,BI292-BI291)</f>
        <v>231</v>
      </c>
      <c r="BH292" s="334">
        <f t="shared" ca="1" si="4911"/>
        <v>11</v>
      </c>
      <c r="BI292" s="335">
        <f ca="1">IFERROR(__xludf.DUMMYFUNCTION("INDEX(IMPORTRANGE(""https://docs.google.com/spreadsheets/d/1ierEhD6gcq51HAm433knjnVwey4ZE5DCnu1bW7PRG3E/edit"",""Wzrost w województwach!B32:ZZ47""),13,ROW()-3)"),33277)</f>
        <v>33277</v>
      </c>
      <c r="BJ292" s="336">
        <f ca="1">IFERROR(__xludf.DUMMYFUNCTION("INDEX(IMPORTRANGE(""https://docs.google.com/spreadsheets/d/1ierEhD6gcq51HAm433knjnVwey4ZE5DCnu1bW7PRG3E/edit"",""Wzrost w województwach!B72:ZZ87""),13,ROW()-3)"),790)</f>
        <v>790</v>
      </c>
      <c r="BK292" s="337">
        <f t="shared" ref="BK292:BL292" ca="1" si="4912">IF(ISBLANK(BM292),,BM292-BM291)</f>
        <v>935</v>
      </c>
      <c r="BL292" s="334">
        <f t="shared" ca="1" si="4912"/>
        <v>27</v>
      </c>
      <c r="BM292" s="335">
        <f ca="1">IFERROR(__xludf.DUMMYFUNCTION("INDEX(IMPORTRANGE(""https://docs.google.com/spreadsheets/d/1ierEhD6gcq51HAm433knjnVwey4ZE5DCnu1bW7PRG3E/edit"",""Wzrost w województwach!B32:ZZ47""),14,ROW()-3)"),44433)</f>
        <v>44433</v>
      </c>
      <c r="BN292" s="339">
        <f ca="1">IFERROR(__xludf.DUMMYFUNCTION("INDEX(IMPORTRANGE(""https://docs.google.com/spreadsheets/d/1ierEhD6gcq51HAm433knjnVwey4ZE5DCnu1bW7PRG3E/edit"",""Wzrost w województwach!B72:ZZ87""),14,ROW()-3)"),938)</f>
        <v>938</v>
      </c>
      <c r="BO292" s="316">
        <f t="shared" ref="BO292:BP292" ca="1" si="4913">IF(ISBLANK(BQ292),,BQ292-BQ291)</f>
        <v>1555</v>
      </c>
      <c r="BP292" s="334">
        <f t="shared" ca="1" si="4913"/>
        <v>51</v>
      </c>
      <c r="BQ292" s="335">
        <f ca="1">IFERROR(__xludf.DUMMYFUNCTION("INDEX(IMPORTRANGE(""https://docs.google.com/spreadsheets/d/1ierEhD6gcq51HAm433knjnVwey4ZE5DCnu1bW7PRG3E/edit"",""Wzrost w województwach!B32:ZZ47""),15,ROW()-3)"),117705)</f>
        <v>117705</v>
      </c>
      <c r="BR292" s="336">
        <f ca="1">IFERROR(__xludf.DUMMYFUNCTION("INDEX(IMPORTRANGE(""https://docs.google.com/spreadsheets/d/1ierEhD6gcq51HAm433knjnVwey4ZE5DCnu1bW7PRG3E/edit"",""Wzrost w województwach!B72:ZZ87""),15,ROW()-3)"),2335)</f>
        <v>2335</v>
      </c>
      <c r="BS292" s="316">
        <f t="shared" ref="BS292:BT292" ca="1" si="4914">IF(ISBLANK(BU292),,BU292-BU291)</f>
        <v>1124</v>
      </c>
      <c r="BT292" s="334">
        <f t="shared" ca="1" si="4914"/>
        <v>17</v>
      </c>
      <c r="BU292" s="335">
        <f ca="1">IFERROR(__xludf.DUMMYFUNCTION("INDEX(IMPORTRANGE(""https://docs.google.com/spreadsheets/d/1ierEhD6gcq51HAm433knjnVwey4ZE5DCnu1bW7PRG3E/edit"",""Wzrost w województwach!B32:ZZ47""),16,ROW()-3)"),51453)</f>
        <v>51453</v>
      </c>
      <c r="BV292" s="336">
        <f ca="1">IFERROR(__xludf.DUMMYFUNCTION("INDEX(IMPORTRANGE(""https://docs.google.com/spreadsheets/d/1ierEhD6gcq51HAm433knjnVwey4ZE5DCnu1bW7PRG3E/edit"",""Wzrost w województwach!B72:ZZ87""),16,ROW()-3)"),781)</f>
        <v>781</v>
      </c>
      <c r="BW292" s="233"/>
      <c r="BX292" s="233"/>
      <c r="BY292" s="233"/>
      <c r="BZ292" s="233"/>
      <c r="CA292" s="233"/>
      <c r="CB292" s="233"/>
      <c r="CC292" s="233"/>
      <c r="CD292" s="233"/>
      <c r="CE292" s="233"/>
    </row>
    <row r="293" spans="1:83" x14ac:dyDescent="0.25">
      <c r="A293" s="341">
        <v>44183</v>
      </c>
      <c r="B293" s="314">
        <f t="shared" si="1276"/>
        <v>290</v>
      </c>
      <c r="C293" s="315"/>
      <c r="D293" s="329">
        <v>11013</v>
      </c>
      <c r="E293" s="317">
        <v>426</v>
      </c>
      <c r="F293" s="318">
        <v>915576</v>
      </c>
      <c r="G293" s="319">
        <v>1182864</v>
      </c>
      <c r="H293" s="330">
        <f t="shared" ref="H293:I293" si="4915">IF(ISBLANK(D293),,H292+D293)</f>
        <v>1182671</v>
      </c>
      <c r="I293" s="331">
        <f t="shared" si="4915"/>
        <v>24771</v>
      </c>
      <c r="J293" s="332">
        <f t="shared" si="1"/>
        <v>12227</v>
      </c>
      <c r="K293" s="333">
        <f t="shared" ref="K293:L293" ca="1" si="4916">IF(ISBLANK(M293),,M293-M292)</f>
        <v>691</v>
      </c>
      <c r="L293" s="334">
        <f t="shared" ca="1" si="4916"/>
        <v>32</v>
      </c>
      <c r="M293" s="335">
        <f ca="1">IFERROR(__xludf.DUMMYFUNCTION("INDEX(IMPORTRANGE(""https://docs.google.com/spreadsheets/d/1ierEhD6gcq51HAm433knjnVwey4ZE5DCnu1bW7PRG3E/edit"",""Wzrost w województwach!B32:ZZ47""),1,ROW()-3)"),82314)</f>
        <v>82314</v>
      </c>
      <c r="N293" s="336">
        <f ca="1">IFERROR(__xludf.DUMMYFUNCTION("INDEX(IMPORTRANGE(""https://docs.google.com/spreadsheets/d/1ierEhD6gcq51HAm433knjnVwey4ZE5DCnu1bW7PRG3E/edit"",""Wzrost w województwach!B72:ZZ87""),1,ROW()-3)"),1741)</f>
        <v>1741</v>
      </c>
      <c r="O293" s="337">
        <f t="shared" ref="O293:P293" ca="1" si="4917">IF(ISBLANK(Q293),,Q293-Q292)</f>
        <v>1050</v>
      </c>
      <c r="P293" s="338">
        <f t="shared" ca="1" si="4917"/>
        <v>27</v>
      </c>
      <c r="Q293" s="335">
        <f ca="1">IFERROR(__xludf.DUMMYFUNCTION("INDEX(IMPORTRANGE(""https://docs.google.com/spreadsheets/d/1ierEhD6gcq51HAm433knjnVwey4ZE5DCnu1bW7PRG3E/edit"",""Wzrost w województwach!B32:ZZ47""),2,ROW()-3)"),73751)</f>
        <v>73751</v>
      </c>
      <c r="R293" s="339">
        <f ca="1">IFERROR(__xludf.DUMMYFUNCTION("INDEX(IMPORTRANGE(""https://docs.google.com/spreadsheets/d/1ierEhD6gcq51HAm433knjnVwey4ZE5DCnu1bW7PRG3E/edit"",""Wzrost w województwach!B72:ZZ87""),2,ROW()-3)"),1159)</f>
        <v>1159</v>
      </c>
      <c r="S293" s="316">
        <f t="shared" ref="S293:T293" ca="1" si="4918">IF(ISBLANK(U293),,U293-U292)</f>
        <v>534</v>
      </c>
      <c r="T293" s="334">
        <f t="shared" ca="1" si="4918"/>
        <v>21</v>
      </c>
      <c r="U293" s="335">
        <f ca="1">IFERROR(__xludf.DUMMYFUNCTION("INDEX(IMPORTRANGE(""https://docs.google.com/spreadsheets/d/1ierEhD6gcq51HAm433knjnVwey4ZE5DCnu1bW7PRG3E/edit"",""Wzrost w województwach!B32:ZZ47""),3,ROW()-3)"),60234)</f>
        <v>60234</v>
      </c>
      <c r="V293" s="336">
        <f ca="1">IFERROR(__xludf.DUMMYFUNCTION("INDEX(IMPORTRANGE(""https://docs.google.com/spreadsheets/d/1ierEhD6gcq51HAm433knjnVwey4ZE5DCnu1bW7PRG3E/edit"",""Wzrost w województwach!B72:ZZ87""),3,ROW()-3)"),1515)</f>
        <v>1515</v>
      </c>
      <c r="W293" s="337">
        <f t="shared" ref="W293:X293" ca="1" si="4919">IF(ISBLANK(Y293),,Y293-Y292)</f>
        <v>427</v>
      </c>
      <c r="X293" s="334">
        <f t="shared" ca="1" si="4919"/>
        <v>27</v>
      </c>
      <c r="Y293" s="335">
        <f ca="1">IFERROR(__xludf.DUMMYFUNCTION("INDEX(IMPORTRANGE(""https://docs.google.com/spreadsheets/d/1ierEhD6gcq51HAm433knjnVwey4ZE5DCnu1bW7PRG3E/edit"",""Wzrost w województwach!B32:ZZ47""),4,ROW()-3)"),27688)</f>
        <v>27688</v>
      </c>
      <c r="Z293" s="340">
        <f ca="1">IFERROR(__xludf.DUMMYFUNCTION("INDEX(IMPORTRANGE(""https://docs.google.com/spreadsheets/d/1ierEhD6gcq51HAm433knjnVwey4ZE5DCnu1bW7PRG3E/edit"",""Wzrost w województwach!B72:ZZ87""),4,ROW()-3)"),602)</f>
        <v>602</v>
      </c>
      <c r="AA293" s="316">
        <f t="shared" ref="AA293:AB293" ca="1" si="4920">IF(ISBLANK(AC293),,AC293-AC292)</f>
        <v>656</v>
      </c>
      <c r="AB293" s="334">
        <f t="shared" ca="1" si="4920"/>
        <v>34</v>
      </c>
      <c r="AC293" s="335">
        <f ca="1">IFERROR(__xludf.DUMMYFUNCTION("INDEX(IMPORTRANGE(""https://docs.google.com/spreadsheets/d/1ierEhD6gcq51HAm433knjnVwey4ZE5DCnu1bW7PRG3E/edit"",""Wzrost w województwach!B32:ZZ47""),5,ROW()-3)"),77437)</f>
        <v>77437</v>
      </c>
      <c r="AD293" s="336">
        <f ca="1">IFERROR(__xludf.DUMMYFUNCTION("INDEX(IMPORTRANGE(""https://docs.google.com/spreadsheets/d/1ierEhD6gcq51HAm433knjnVwey4ZE5DCnu1bW7PRG3E/edit"",""Wzrost w województwach!B72:ZZ87""),5,ROW()-3)"),1648)</f>
        <v>1648</v>
      </c>
      <c r="AE293" s="337">
        <f t="shared" ref="AE293:AF293" ca="1" si="4921">IF(ISBLANK(AG293),,AG293-AG292)</f>
        <v>399</v>
      </c>
      <c r="AF293" s="334">
        <f t="shared" ca="1" si="4921"/>
        <v>21</v>
      </c>
      <c r="AG293" s="335">
        <f ca="1">IFERROR(__xludf.DUMMYFUNCTION("INDEX(IMPORTRANGE(""https://docs.google.com/spreadsheets/d/1ierEhD6gcq51HAm433knjnVwey4ZE5DCnu1bW7PRG3E/edit"",""Wzrost w województwach!B32:ZZ47""),6,ROW()-3)"),104591)</f>
        <v>104591</v>
      </c>
      <c r="AH293" s="339">
        <f ca="1">IFERROR(__xludf.DUMMYFUNCTION("INDEX(IMPORTRANGE(""https://docs.google.com/spreadsheets/d/1ierEhD6gcq51HAm433knjnVwey4ZE5DCnu1bW7PRG3E/edit"",""Wzrost w województwach!B72:ZZ87""),6,ROW()-3)"),2481)</f>
        <v>2481</v>
      </c>
      <c r="AI293" s="316">
        <f t="shared" ref="AI293:AJ293" ca="1" si="4922">IF(ISBLANK(AK293),,AK293-AK292)</f>
        <v>1422</v>
      </c>
      <c r="AJ293" s="334">
        <f t="shared" ca="1" si="4922"/>
        <v>46</v>
      </c>
      <c r="AK293" s="335">
        <f ca="1">IFERROR(__xludf.DUMMYFUNCTION("INDEX(IMPORTRANGE(""https://docs.google.com/spreadsheets/d/1ierEhD6gcq51HAm433knjnVwey4ZE5DCnu1bW7PRG3E/edit"",""Wzrost w województwach!B32:ZZ47""),7,ROW()-3)"),141998)</f>
        <v>141998</v>
      </c>
      <c r="AL293" s="336">
        <f ca="1">IFERROR(__xludf.DUMMYFUNCTION("INDEX(IMPORTRANGE(""https://docs.google.com/spreadsheets/d/1ierEhD6gcq51HAm433knjnVwey4ZE5DCnu1bW7PRG3E/edit"",""Wzrost w województwach!B72:ZZ87""),7,ROW()-3)"),2979)</f>
        <v>2979</v>
      </c>
      <c r="AM293" s="337">
        <f t="shared" ref="AM293:AN293" ca="1" si="4923">IF(ISBLANK(AO293),,AO293-AO292)</f>
        <v>250</v>
      </c>
      <c r="AN293" s="334">
        <f t="shared" ca="1" si="4923"/>
        <v>13</v>
      </c>
      <c r="AO293" s="335">
        <f ca="1">IFERROR(__xludf.DUMMYFUNCTION("INDEX(IMPORTRANGE(""https://docs.google.com/spreadsheets/d/1ierEhD6gcq51HAm433knjnVwey4ZE5DCnu1bW7PRG3E/edit"",""Wzrost w województwach!B32:ZZ47""),8,ROW()-3)"),34181)</f>
        <v>34181</v>
      </c>
      <c r="AP293" s="339">
        <f ca="1">IFERROR(__xludf.DUMMYFUNCTION("INDEX(IMPORTRANGE(""https://docs.google.com/spreadsheets/d/1ierEhD6gcq51HAm433knjnVwey4ZE5DCnu1bW7PRG3E/edit"",""Wzrost w województwach!B72:ZZ87""),8,ROW()-3)"),919)</f>
        <v>919</v>
      </c>
      <c r="AQ293" s="316">
        <f t="shared" ref="AQ293:AR293" ca="1" si="4924">IF(ISBLANK(AS293),,AS293-AS292)</f>
        <v>168</v>
      </c>
      <c r="AR293" s="338">
        <f t="shared" ca="1" si="4924"/>
        <v>29</v>
      </c>
      <c r="AS293" s="335">
        <f ca="1">IFERROR(__xludf.DUMMYFUNCTION("INDEX(IMPORTRANGE(""https://docs.google.com/spreadsheets/d/1ierEhD6gcq51HAm433knjnVwey4ZE5DCnu1bW7PRG3E/edit"",""Wzrost w województwach!B32:ZZ47""),9,ROW()-3)"),56740)</f>
        <v>56740</v>
      </c>
      <c r="AT293" s="336">
        <f ca="1">IFERROR(__xludf.DUMMYFUNCTION("INDEX(IMPORTRANGE(""https://docs.google.com/spreadsheets/d/1ierEhD6gcq51HAm433knjnVwey4ZE5DCnu1bW7PRG3E/edit"",""Wzrost w województwach!B72:ZZ87""),9,ROW()-3)"),1671)</f>
        <v>1671</v>
      </c>
      <c r="AU293" s="337">
        <f t="shared" ref="AU293:AV293" ca="1" si="4925">IF(ISBLANK(AW293),,AW293-AW292)</f>
        <v>266</v>
      </c>
      <c r="AV293" s="334">
        <f t="shared" ca="1" si="4925"/>
        <v>12</v>
      </c>
      <c r="AW293" s="335">
        <f ca="1">IFERROR(__xludf.DUMMYFUNCTION("INDEX(IMPORTRANGE(""https://docs.google.com/spreadsheets/d/1ierEhD6gcq51HAm433knjnVwey4ZE5DCnu1bW7PRG3E/edit"",""Wzrost w województwach!B32:ZZ47""),10,ROW()-3)"),31153)</f>
        <v>31153</v>
      </c>
      <c r="AX293" s="339">
        <f ca="1">IFERROR(__xludf.DUMMYFUNCTION("INDEX(IMPORTRANGE(""https://docs.google.com/spreadsheets/d/1ierEhD6gcq51HAm433knjnVwey4ZE5DCnu1bW7PRG3E/edit"",""Wzrost w województwach!B72:ZZ87""),10,ROW()-3)"),735)</f>
        <v>735</v>
      </c>
      <c r="AY293" s="316">
        <f t="shared" ref="AY293:AZ293" ca="1" si="4926">IF(ISBLANK(BA293),,BA293-BA292)</f>
        <v>951</v>
      </c>
      <c r="AZ293" s="334">
        <f t="shared" ca="1" si="4926"/>
        <v>23</v>
      </c>
      <c r="BA293" s="335">
        <f ca="1">IFERROR(__xludf.DUMMYFUNCTION("INDEX(IMPORTRANGE(""https://docs.google.com/spreadsheets/d/1ierEhD6gcq51HAm433knjnVwey4ZE5DCnu1bW7PRG3E/edit"",""Wzrost w województwach!B32:ZZ47""),11,ROW()-3)"),71278)</f>
        <v>71278</v>
      </c>
      <c r="BB293" s="336">
        <f ca="1">IFERROR(__xludf.DUMMYFUNCTION("INDEX(IMPORTRANGE(""https://docs.google.com/spreadsheets/d/1ierEhD6gcq51HAm433knjnVwey4ZE5DCnu1bW7PRG3E/edit"",""Wzrost w województwach!B72:ZZ87""),11,ROW()-3)"),1337)</f>
        <v>1337</v>
      </c>
      <c r="BC293" s="337">
        <f t="shared" ref="BC293:BD293" ca="1" si="4927">IF(ISBLANK(BE293),,BE293-BE292)</f>
        <v>918</v>
      </c>
      <c r="BD293" s="334">
        <f t="shared" ca="1" si="4927"/>
        <v>46</v>
      </c>
      <c r="BE293" s="335">
        <f ca="1">IFERROR(__xludf.DUMMYFUNCTION("INDEX(IMPORTRANGE(""https://docs.google.com/spreadsheets/d/1ierEhD6gcq51HAm433knjnVwey4ZE5DCnu1bW7PRG3E/edit"",""Wzrost w województwach!B32:ZZ47""),12,ROW()-3)"),145997)</f>
        <v>145997</v>
      </c>
      <c r="BF293" s="339">
        <f ca="1">IFERROR(__xludf.DUMMYFUNCTION("INDEX(IMPORTRANGE(""https://docs.google.com/spreadsheets/d/1ierEhD6gcq51HAm433knjnVwey4ZE5DCnu1bW7PRG3E/edit"",""Wzrost w województwach!B72:ZZ87""),12,ROW()-3)"),3045)</f>
        <v>3045</v>
      </c>
      <c r="BG293" s="316">
        <f t="shared" ref="BG293:BH293" ca="1" si="4928">IF(ISBLANK(BI293),,BI293-BI292)</f>
        <v>180</v>
      </c>
      <c r="BH293" s="334">
        <f t="shared" ca="1" si="4928"/>
        <v>14</v>
      </c>
      <c r="BI293" s="335">
        <f ca="1">IFERROR(__xludf.DUMMYFUNCTION("INDEX(IMPORTRANGE(""https://docs.google.com/spreadsheets/d/1ierEhD6gcq51HAm433knjnVwey4ZE5DCnu1bW7PRG3E/edit"",""Wzrost w województwach!B32:ZZ47""),13,ROW()-3)"),33457)</f>
        <v>33457</v>
      </c>
      <c r="BJ293" s="336">
        <f ca="1">IFERROR(__xludf.DUMMYFUNCTION("INDEX(IMPORTRANGE(""https://docs.google.com/spreadsheets/d/1ierEhD6gcq51HAm433knjnVwey4ZE5DCnu1bW7PRG3E/edit"",""Wzrost w województwach!B72:ZZ87""),13,ROW()-3)"),804)</f>
        <v>804</v>
      </c>
      <c r="BK293" s="337">
        <f t="shared" ref="BK293:BL293" ca="1" si="4929">IF(ISBLANK(BM293),,BM293-BM292)</f>
        <v>827</v>
      </c>
      <c r="BL293" s="334">
        <f t="shared" ca="1" si="4929"/>
        <v>19</v>
      </c>
      <c r="BM293" s="335">
        <f ca="1">IFERROR(__xludf.DUMMYFUNCTION("INDEX(IMPORTRANGE(""https://docs.google.com/spreadsheets/d/1ierEhD6gcq51HAm433knjnVwey4ZE5DCnu1bW7PRG3E/edit"",""Wzrost w województwach!B32:ZZ47""),14,ROW()-3)"),45260)</f>
        <v>45260</v>
      </c>
      <c r="BN293" s="339">
        <f ca="1">IFERROR(__xludf.DUMMYFUNCTION("INDEX(IMPORTRANGE(""https://docs.google.com/spreadsheets/d/1ierEhD6gcq51HAm433knjnVwey4ZE5DCnu1bW7PRG3E/edit"",""Wzrost w województwach!B72:ZZ87""),14,ROW()-3)"),957)</f>
        <v>957</v>
      </c>
      <c r="BO293" s="316">
        <f t="shared" ref="BO293:BP293" ca="1" si="4930">IF(ISBLANK(BQ293),,BQ293-BQ292)</f>
        <v>1148</v>
      </c>
      <c r="BP293" s="334">
        <f t="shared" ca="1" si="4930"/>
        <v>33</v>
      </c>
      <c r="BQ293" s="335">
        <f ca="1">IFERROR(__xludf.DUMMYFUNCTION("INDEX(IMPORTRANGE(""https://docs.google.com/spreadsheets/d/1ierEhD6gcq51HAm433knjnVwey4ZE5DCnu1bW7PRG3E/edit"",""Wzrost w województwach!B32:ZZ47""),15,ROW()-3)"),118853)</f>
        <v>118853</v>
      </c>
      <c r="BR293" s="336">
        <f ca="1">IFERROR(__xludf.DUMMYFUNCTION("INDEX(IMPORTRANGE(""https://docs.google.com/spreadsheets/d/1ierEhD6gcq51HAm433knjnVwey4ZE5DCnu1bW7PRG3E/edit"",""Wzrost w województwach!B72:ZZ87""),15,ROW()-3)"),2368)</f>
        <v>2368</v>
      </c>
      <c r="BS293" s="316">
        <f t="shared" ref="BS293:BT293" ca="1" si="4931">IF(ISBLANK(BU293),,BU293-BU292)</f>
        <v>956</v>
      </c>
      <c r="BT293" s="334">
        <f t="shared" ca="1" si="4931"/>
        <v>29</v>
      </c>
      <c r="BU293" s="335">
        <f ca="1">IFERROR(__xludf.DUMMYFUNCTION("INDEX(IMPORTRANGE(""https://docs.google.com/spreadsheets/d/1ierEhD6gcq51HAm433knjnVwey4ZE5DCnu1bW7PRG3E/edit"",""Wzrost w województwach!B32:ZZ47""),16,ROW()-3)"),52409)</f>
        <v>52409</v>
      </c>
      <c r="BV293" s="336">
        <f ca="1">IFERROR(__xludf.DUMMYFUNCTION("INDEX(IMPORTRANGE(""https://docs.google.com/spreadsheets/d/1ierEhD6gcq51HAm433knjnVwey4ZE5DCnu1bW7PRG3E/edit"",""Wzrost w województwach!B72:ZZ87""),16,ROW()-3)"),810)</f>
        <v>810</v>
      </c>
    </row>
    <row r="294" spans="1:83" x14ac:dyDescent="0.25">
      <c r="A294" s="341">
        <v>44184</v>
      </c>
      <c r="B294" s="314">
        <f t="shared" si="1276"/>
        <v>291</v>
      </c>
      <c r="C294" s="315"/>
      <c r="D294" s="329">
        <v>11267</v>
      </c>
      <c r="E294" s="317">
        <v>483</v>
      </c>
      <c r="F294" s="318">
        <v>927723</v>
      </c>
      <c r="G294" s="319">
        <v>1194110</v>
      </c>
      <c r="H294" s="330">
        <f t="shared" ref="H294:I294" si="4932">IF(ISBLANK(D294),,H293+D294)</f>
        <v>1193938</v>
      </c>
      <c r="I294" s="331">
        <f t="shared" si="4932"/>
        <v>25254</v>
      </c>
      <c r="J294" s="332">
        <f t="shared" si="1"/>
        <v>12147</v>
      </c>
      <c r="K294" s="333">
        <f t="shared" ref="K294:L294" ca="1" si="4933">IF(ISBLANK(M294),,M294-M293)</f>
        <v>593</v>
      </c>
      <c r="L294" s="334">
        <f t="shared" ca="1" si="4933"/>
        <v>24</v>
      </c>
      <c r="M294" s="335">
        <f ca="1">IFERROR(__xludf.DUMMYFUNCTION("INDEX(IMPORTRANGE(""https://docs.google.com/spreadsheets/d/1ierEhD6gcq51HAm433knjnVwey4ZE5DCnu1bW7PRG3E/edit"",""Wzrost w województwach!B32:ZZ47""),1,ROW()-3)"),82907)</f>
        <v>82907</v>
      </c>
      <c r="N294" s="336">
        <f ca="1">IFERROR(__xludf.DUMMYFUNCTION("INDEX(IMPORTRANGE(""https://docs.google.com/spreadsheets/d/1ierEhD6gcq51HAm433knjnVwey4ZE5DCnu1bW7PRG3E/edit"",""Wzrost w województwach!B72:ZZ87""),1,ROW()-3)"),1765)</f>
        <v>1765</v>
      </c>
      <c r="O294" s="337">
        <f t="shared" ref="O294:P294" ca="1" si="4934">IF(ISBLANK(Q294),,Q294-Q293)</f>
        <v>1114</v>
      </c>
      <c r="P294" s="338">
        <f t="shared" ca="1" si="4934"/>
        <v>32</v>
      </c>
      <c r="Q294" s="335">
        <f ca="1">IFERROR(__xludf.DUMMYFUNCTION("INDEX(IMPORTRANGE(""https://docs.google.com/spreadsheets/d/1ierEhD6gcq51HAm433knjnVwey4ZE5DCnu1bW7PRG3E/edit"",""Wzrost w województwach!B32:ZZ47""),2,ROW()-3)"),74865)</f>
        <v>74865</v>
      </c>
      <c r="R294" s="339">
        <f ca="1">IFERROR(__xludf.DUMMYFUNCTION("INDEX(IMPORTRANGE(""https://docs.google.com/spreadsheets/d/1ierEhD6gcq51HAm433knjnVwey4ZE5DCnu1bW7PRG3E/edit"",""Wzrost w województwach!B72:ZZ87""),2,ROW()-3)"),1191)</f>
        <v>1191</v>
      </c>
      <c r="S294" s="316">
        <f t="shared" ref="S294:T294" ca="1" si="4935">IF(ISBLANK(U294),,U294-U293)</f>
        <v>650</v>
      </c>
      <c r="T294" s="334">
        <f t="shared" ca="1" si="4935"/>
        <v>29</v>
      </c>
      <c r="U294" s="335">
        <f ca="1">IFERROR(__xludf.DUMMYFUNCTION("INDEX(IMPORTRANGE(""https://docs.google.com/spreadsheets/d/1ierEhD6gcq51HAm433knjnVwey4ZE5DCnu1bW7PRG3E/edit"",""Wzrost w województwach!B32:ZZ47""),3,ROW()-3)"),60884)</f>
        <v>60884</v>
      </c>
      <c r="V294" s="336">
        <f ca="1">IFERROR(__xludf.DUMMYFUNCTION("INDEX(IMPORTRANGE(""https://docs.google.com/spreadsheets/d/1ierEhD6gcq51HAm433knjnVwey4ZE5DCnu1bW7PRG3E/edit"",""Wzrost w województwach!B72:ZZ87""),3,ROW()-3)"),1544)</f>
        <v>1544</v>
      </c>
      <c r="W294" s="337">
        <f t="shared" ref="W294:X294" ca="1" si="4936">IF(ISBLANK(Y294),,Y294-Y293)</f>
        <v>407</v>
      </c>
      <c r="X294" s="334">
        <f t="shared" ca="1" si="4936"/>
        <v>19</v>
      </c>
      <c r="Y294" s="335">
        <f ca="1">IFERROR(__xludf.DUMMYFUNCTION("INDEX(IMPORTRANGE(""https://docs.google.com/spreadsheets/d/1ierEhD6gcq51HAm433knjnVwey4ZE5DCnu1bW7PRG3E/edit"",""Wzrost w województwach!B32:ZZ47""),4,ROW()-3)"),28095)</f>
        <v>28095</v>
      </c>
      <c r="Z294" s="340">
        <f ca="1">IFERROR(__xludf.DUMMYFUNCTION("INDEX(IMPORTRANGE(""https://docs.google.com/spreadsheets/d/1ierEhD6gcq51HAm433knjnVwey4ZE5DCnu1bW7PRG3E/edit"",""Wzrost w województwach!B72:ZZ87""),4,ROW()-3)"),621)</f>
        <v>621</v>
      </c>
      <c r="AA294" s="316">
        <f t="shared" ref="AA294:AB294" ca="1" si="4937">IF(ISBLANK(AC294),,AC294-AC293)</f>
        <v>762</v>
      </c>
      <c r="AB294" s="334">
        <f t="shared" ca="1" si="4937"/>
        <v>32</v>
      </c>
      <c r="AC294" s="335">
        <f ca="1">IFERROR(__xludf.DUMMYFUNCTION("INDEX(IMPORTRANGE(""https://docs.google.com/spreadsheets/d/1ierEhD6gcq51HAm433knjnVwey4ZE5DCnu1bW7PRG3E/edit"",""Wzrost w województwach!B32:ZZ47""),5,ROW()-3)"),78199)</f>
        <v>78199</v>
      </c>
      <c r="AD294" s="336">
        <f ca="1">IFERROR(__xludf.DUMMYFUNCTION("INDEX(IMPORTRANGE(""https://docs.google.com/spreadsheets/d/1ierEhD6gcq51HAm433knjnVwey4ZE5DCnu1bW7PRG3E/edit"",""Wzrost w województwach!B72:ZZ87""),5,ROW()-3)"),1680)</f>
        <v>1680</v>
      </c>
      <c r="AE294" s="337">
        <f t="shared" ref="AE294:AF294" ca="1" si="4938">IF(ISBLANK(AG294),,AG294-AG293)</f>
        <v>391</v>
      </c>
      <c r="AF294" s="334">
        <f t="shared" ca="1" si="4938"/>
        <v>22</v>
      </c>
      <c r="AG294" s="335">
        <f ca="1">IFERROR(__xludf.DUMMYFUNCTION("INDEX(IMPORTRANGE(""https://docs.google.com/spreadsheets/d/1ierEhD6gcq51HAm433knjnVwey4ZE5DCnu1bW7PRG3E/edit"",""Wzrost w województwach!B32:ZZ47""),6,ROW()-3)"),104982)</f>
        <v>104982</v>
      </c>
      <c r="AH294" s="339">
        <f ca="1">IFERROR(__xludf.DUMMYFUNCTION("INDEX(IMPORTRANGE(""https://docs.google.com/spreadsheets/d/1ierEhD6gcq51HAm433knjnVwey4ZE5DCnu1bW7PRG3E/edit"",""Wzrost w województwach!B72:ZZ87""),6,ROW()-3)"),2503)</f>
        <v>2503</v>
      </c>
      <c r="AI294" s="316">
        <f t="shared" ref="AI294:AJ294" ca="1" si="4939">IF(ISBLANK(AK294),,AK294-AK293)</f>
        <v>1383</v>
      </c>
      <c r="AJ294" s="334">
        <f t="shared" ca="1" si="4939"/>
        <v>47</v>
      </c>
      <c r="AK294" s="335">
        <f ca="1">IFERROR(__xludf.DUMMYFUNCTION("INDEX(IMPORTRANGE(""https://docs.google.com/spreadsheets/d/1ierEhD6gcq51HAm433knjnVwey4ZE5DCnu1bW7PRG3E/edit"",""Wzrost w województwach!B32:ZZ47""),7,ROW()-3)"),143381)</f>
        <v>143381</v>
      </c>
      <c r="AL294" s="336">
        <f ca="1">IFERROR(__xludf.DUMMYFUNCTION("INDEX(IMPORTRANGE(""https://docs.google.com/spreadsheets/d/1ierEhD6gcq51HAm433knjnVwey4ZE5DCnu1bW7PRG3E/edit"",""Wzrost w województwach!B72:ZZ87""),7,ROW()-3)"),3026)</f>
        <v>3026</v>
      </c>
      <c r="AM294" s="337">
        <f t="shared" ref="AM294:AN294" ca="1" si="4940">IF(ISBLANK(AO294),,AO294-AO293)</f>
        <v>222</v>
      </c>
      <c r="AN294" s="334">
        <f t="shared" ca="1" si="4940"/>
        <v>14</v>
      </c>
      <c r="AO294" s="335">
        <f ca="1">IFERROR(__xludf.DUMMYFUNCTION("INDEX(IMPORTRANGE(""https://docs.google.com/spreadsheets/d/1ierEhD6gcq51HAm433knjnVwey4ZE5DCnu1bW7PRG3E/edit"",""Wzrost w województwach!B32:ZZ47""),8,ROW()-3)"),34403)</f>
        <v>34403</v>
      </c>
      <c r="AP294" s="339">
        <f ca="1">IFERROR(__xludf.DUMMYFUNCTION("INDEX(IMPORTRANGE(""https://docs.google.com/spreadsheets/d/1ierEhD6gcq51HAm433knjnVwey4ZE5DCnu1bW7PRG3E/edit"",""Wzrost w województwach!B72:ZZ87""),8,ROW()-3)"),933)</f>
        <v>933</v>
      </c>
      <c r="AQ294" s="316">
        <f t="shared" ref="AQ294:AR294" ca="1" si="4941">IF(ISBLANK(AS294),,AS294-AS293)</f>
        <v>366</v>
      </c>
      <c r="AR294" s="338">
        <f t="shared" ca="1" si="4941"/>
        <v>13</v>
      </c>
      <c r="AS294" s="335">
        <f ca="1">IFERROR(__xludf.DUMMYFUNCTION("INDEX(IMPORTRANGE(""https://docs.google.com/spreadsheets/d/1ierEhD6gcq51HAm433knjnVwey4ZE5DCnu1bW7PRG3E/edit"",""Wzrost w województwach!B32:ZZ47""),9,ROW()-3)"),57106)</f>
        <v>57106</v>
      </c>
      <c r="AT294" s="336">
        <f ca="1">IFERROR(__xludf.DUMMYFUNCTION("INDEX(IMPORTRANGE(""https://docs.google.com/spreadsheets/d/1ierEhD6gcq51HAm433knjnVwey4ZE5DCnu1bW7PRG3E/edit"",""Wzrost w województwach!B72:ZZ87""),9,ROW()-3)"),1684)</f>
        <v>1684</v>
      </c>
      <c r="AU294" s="337">
        <f t="shared" ref="AU294:AV294" ca="1" si="4942">IF(ISBLANK(AW294),,AW294-AW293)</f>
        <v>341</v>
      </c>
      <c r="AV294" s="334">
        <f t="shared" ca="1" si="4942"/>
        <v>9</v>
      </c>
      <c r="AW294" s="335">
        <f ca="1">IFERROR(__xludf.DUMMYFUNCTION("INDEX(IMPORTRANGE(""https://docs.google.com/spreadsheets/d/1ierEhD6gcq51HAm433knjnVwey4ZE5DCnu1bW7PRG3E/edit"",""Wzrost w województwach!B32:ZZ47""),10,ROW()-3)"),31494)</f>
        <v>31494</v>
      </c>
      <c r="AX294" s="339">
        <f ca="1">IFERROR(__xludf.DUMMYFUNCTION("INDEX(IMPORTRANGE(""https://docs.google.com/spreadsheets/d/1ierEhD6gcq51HAm433knjnVwey4ZE5DCnu1bW7PRG3E/edit"",""Wzrost w województwach!B72:ZZ87""),10,ROW()-3)"),744)</f>
        <v>744</v>
      </c>
      <c r="AY294" s="316">
        <f t="shared" ref="AY294:AZ294" ca="1" si="4943">IF(ISBLANK(BA294),,BA294-BA293)</f>
        <v>1040</v>
      </c>
      <c r="AZ294" s="334">
        <f t="shared" ca="1" si="4943"/>
        <v>30</v>
      </c>
      <c r="BA294" s="335">
        <f ca="1">IFERROR(__xludf.DUMMYFUNCTION("INDEX(IMPORTRANGE(""https://docs.google.com/spreadsheets/d/1ierEhD6gcq51HAm433knjnVwey4ZE5DCnu1bW7PRG3E/edit"",""Wzrost w województwach!B32:ZZ47""),11,ROW()-3)"),72318)</f>
        <v>72318</v>
      </c>
      <c r="BB294" s="336">
        <f ca="1">IFERROR(__xludf.DUMMYFUNCTION("INDEX(IMPORTRANGE(""https://docs.google.com/spreadsheets/d/1ierEhD6gcq51HAm433knjnVwey4ZE5DCnu1bW7PRG3E/edit"",""Wzrost w województwach!B72:ZZ87""),11,ROW()-3)"),1367)</f>
        <v>1367</v>
      </c>
      <c r="BC294" s="337">
        <f t="shared" ref="BC294:BD294" ca="1" si="4944">IF(ISBLANK(BE294),,BE294-BE293)</f>
        <v>803</v>
      </c>
      <c r="BD294" s="334">
        <f t="shared" ca="1" si="4944"/>
        <v>55</v>
      </c>
      <c r="BE294" s="335">
        <f ca="1">IFERROR(__xludf.DUMMYFUNCTION("INDEX(IMPORTRANGE(""https://docs.google.com/spreadsheets/d/1ierEhD6gcq51HAm433knjnVwey4ZE5DCnu1bW7PRG3E/edit"",""Wzrost w województwach!B32:ZZ47""),12,ROW()-3)"),146800)</f>
        <v>146800</v>
      </c>
      <c r="BF294" s="339">
        <f ca="1">IFERROR(__xludf.DUMMYFUNCTION("INDEX(IMPORTRANGE(""https://docs.google.com/spreadsheets/d/1ierEhD6gcq51HAm433knjnVwey4ZE5DCnu1bW7PRG3E/edit"",""Wzrost w województwach!B72:ZZ87""),12,ROW()-3)"),3100)</f>
        <v>3100</v>
      </c>
      <c r="BG294" s="316">
        <f t="shared" ref="BG294:BH294" ca="1" si="4945">IF(ISBLANK(BI294),,BI294-BI293)</f>
        <v>164</v>
      </c>
      <c r="BH294" s="334">
        <f t="shared" ca="1" si="4945"/>
        <v>16</v>
      </c>
      <c r="BI294" s="335">
        <f ca="1">IFERROR(__xludf.DUMMYFUNCTION("INDEX(IMPORTRANGE(""https://docs.google.com/spreadsheets/d/1ierEhD6gcq51HAm433knjnVwey4ZE5DCnu1bW7PRG3E/edit"",""Wzrost w województwach!B32:ZZ47""),13,ROW()-3)"),33621)</f>
        <v>33621</v>
      </c>
      <c r="BJ294" s="336">
        <f ca="1">IFERROR(__xludf.DUMMYFUNCTION("INDEX(IMPORTRANGE(""https://docs.google.com/spreadsheets/d/1ierEhD6gcq51HAm433knjnVwey4ZE5DCnu1bW7PRG3E/edit"",""Wzrost w województwach!B72:ZZ87""),13,ROW()-3)"),820)</f>
        <v>820</v>
      </c>
      <c r="BK294" s="337">
        <f t="shared" ref="BK294:BL294" ca="1" si="4946">IF(ISBLANK(BM294),,BM294-BM293)</f>
        <v>707</v>
      </c>
      <c r="BL294" s="334">
        <f t="shared" ca="1" si="4946"/>
        <v>36</v>
      </c>
      <c r="BM294" s="335">
        <f ca="1">IFERROR(__xludf.DUMMYFUNCTION("INDEX(IMPORTRANGE(""https://docs.google.com/spreadsheets/d/1ierEhD6gcq51HAm433knjnVwey4ZE5DCnu1bW7PRG3E/edit"",""Wzrost w województwach!B32:ZZ47""),14,ROW()-3)"),45967)</f>
        <v>45967</v>
      </c>
      <c r="BN294" s="339">
        <f ca="1">IFERROR(__xludf.DUMMYFUNCTION("INDEX(IMPORTRANGE(""https://docs.google.com/spreadsheets/d/1ierEhD6gcq51HAm433knjnVwey4ZE5DCnu1bW7PRG3E/edit"",""Wzrost w województwach!B72:ZZ87""),14,ROW()-3)"),993)</f>
        <v>993</v>
      </c>
      <c r="BO294" s="316">
        <f t="shared" ref="BO294:BP294" ca="1" si="4947">IF(ISBLANK(BQ294),,BQ294-BQ293)</f>
        <v>1197</v>
      </c>
      <c r="BP294" s="334">
        <f t="shared" ca="1" si="4947"/>
        <v>79</v>
      </c>
      <c r="BQ294" s="335">
        <f ca="1">IFERROR(__xludf.DUMMYFUNCTION("INDEX(IMPORTRANGE(""https://docs.google.com/spreadsheets/d/1ierEhD6gcq51HAm433knjnVwey4ZE5DCnu1bW7PRG3E/edit"",""Wzrost w województwach!B32:ZZ47""),15,ROW()-3)"),120050)</f>
        <v>120050</v>
      </c>
      <c r="BR294" s="336">
        <f ca="1">IFERROR(__xludf.DUMMYFUNCTION("INDEX(IMPORTRANGE(""https://docs.google.com/spreadsheets/d/1ierEhD6gcq51HAm433knjnVwey4ZE5DCnu1bW7PRG3E/edit"",""Wzrost w województwach!B72:ZZ87""),15,ROW()-3)"),2447)</f>
        <v>2447</v>
      </c>
      <c r="BS294" s="316">
        <f t="shared" ref="BS294:BT294" ca="1" si="4948">IF(ISBLANK(BU294),,BU294-BU293)</f>
        <v>974</v>
      </c>
      <c r="BT294" s="334">
        <f t="shared" ca="1" si="4948"/>
        <v>26</v>
      </c>
      <c r="BU294" s="335">
        <f ca="1">IFERROR(__xludf.DUMMYFUNCTION("INDEX(IMPORTRANGE(""https://docs.google.com/spreadsheets/d/1ierEhD6gcq51HAm433knjnVwey4ZE5DCnu1bW7PRG3E/edit"",""Wzrost w województwach!B32:ZZ47""),16,ROW()-3)"),53383)</f>
        <v>53383</v>
      </c>
      <c r="BV294" s="336">
        <f ca="1">IFERROR(__xludf.DUMMYFUNCTION("INDEX(IMPORTRANGE(""https://docs.google.com/spreadsheets/d/1ierEhD6gcq51HAm433knjnVwey4ZE5DCnu1bW7PRG3E/edit"",""Wzrost w województwach!B72:ZZ87""),16,ROW()-3)"),836)</f>
        <v>836</v>
      </c>
    </row>
    <row r="295" spans="1:83" x14ac:dyDescent="0.25">
      <c r="A295" s="341">
        <v>44185</v>
      </c>
      <c r="B295" s="314">
        <f t="shared" si="1276"/>
        <v>292</v>
      </c>
      <c r="C295" s="315"/>
      <c r="D295" s="329">
        <v>8594</v>
      </c>
      <c r="E295" s="317">
        <v>143</v>
      </c>
      <c r="F295" s="318">
        <v>938296</v>
      </c>
      <c r="G295" s="319">
        <v>1202700</v>
      </c>
      <c r="H295" s="330">
        <f t="shared" ref="H295:I295" si="4949">IF(ISBLANK(D295),,H294+D295)</f>
        <v>1202532</v>
      </c>
      <c r="I295" s="331">
        <f t="shared" si="4949"/>
        <v>25397</v>
      </c>
      <c r="J295" s="332">
        <f t="shared" si="1"/>
        <v>10573</v>
      </c>
      <c r="K295" s="333">
        <f t="shared" ref="K295:L295" ca="1" si="4950">IF(ISBLANK(M295),,M295-M294)</f>
        <v>486</v>
      </c>
      <c r="L295" s="334">
        <f t="shared" ca="1" si="4950"/>
        <v>8</v>
      </c>
      <c r="M295" s="335">
        <f ca="1">IFERROR(__xludf.DUMMYFUNCTION("INDEX(IMPORTRANGE(""https://docs.google.com/spreadsheets/d/1ierEhD6gcq51HAm433knjnVwey4ZE5DCnu1bW7PRG3E/edit"",""Wzrost w województwach!B32:ZZ47""),1,ROW()-3)"),83393)</f>
        <v>83393</v>
      </c>
      <c r="N295" s="336">
        <f ca="1">IFERROR(__xludf.DUMMYFUNCTION("INDEX(IMPORTRANGE(""https://docs.google.com/spreadsheets/d/1ierEhD6gcq51HAm433knjnVwey4ZE5DCnu1bW7PRG3E/edit"",""Wzrost w województwach!B72:ZZ87""),1,ROW()-3)"),1773)</f>
        <v>1773</v>
      </c>
      <c r="O295" s="337">
        <f t="shared" ref="O295:P295" ca="1" si="4951">IF(ISBLANK(Q295),,Q295-Q294)</f>
        <v>788</v>
      </c>
      <c r="P295" s="338">
        <f t="shared" ca="1" si="4951"/>
        <v>13</v>
      </c>
      <c r="Q295" s="335">
        <f ca="1">IFERROR(__xludf.DUMMYFUNCTION("INDEX(IMPORTRANGE(""https://docs.google.com/spreadsheets/d/1ierEhD6gcq51HAm433knjnVwey4ZE5DCnu1bW7PRG3E/edit"",""Wzrost w województwach!B32:ZZ47""),2,ROW()-3)"),75653)</f>
        <v>75653</v>
      </c>
      <c r="R295" s="339">
        <f ca="1">IFERROR(__xludf.DUMMYFUNCTION("INDEX(IMPORTRANGE(""https://docs.google.com/spreadsheets/d/1ierEhD6gcq51HAm433knjnVwey4ZE5DCnu1bW7PRG3E/edit"",""Wzrost w województwach!B72:ZZ87""),2,ROW()-3)"),1204)</f>
        <v>1204</v>
      </c>
      <c r="S295" s="316">
        <f t="shared" ref="S295:T295" ca="1" si="4952">IF(ISBLANK(U295),,U295-U294)</f>
        <v>299</v>
      </c>
      <c r="T295" s="334">
        <f t="shared" ca="1" si="4952"/>
        <v>20</v>
      </c>
      <c r="U295" s="335">
        <f ca="1">IFERROR(__xludf.DUMMYFUNCTION("INDEX(IMPORTRANGE(""https://docs.google.com/spreadsheets/d/1ierEhD6gcq51HAm433knjnVwey4ZE5DCnu1bW7PRG3E/edit"",""Wzrost w województwach!B32:ZZ47""),3,ROW()-3)"),61183)</f>
        <v>61183</v>
      </c>
      <c r="V295" s="336">
        <f ca="1">IFERROR(__xludf.DUMMYFUNCTION("INDEX(IMPORTRANGE(""https://docs.google.com/spreadsheets/d/1ierEhD6gcq51HAm433knjnVwey4ZE5DCnu1bW7PRG3E/edit"",""Wzrost w województwach!B72:ZZ87""),3,ROW()-3)"),1564)</f>
        <v>1564</v>
      </c>
      <c r="W295" s="337">
        <f t="shared" ref="W295:X295" ca="1" si="4953">IF(ISBLANK(Y295),,Y295-Y294)</f>
        <v>320</v>
      </c>
      <c r="X295" s="334">
        <f t="shared" ca="1" si="4953"/>
        <v>1</v>
      </c>
      <c r="Y295" s="335">
        <f ca="1">IFERROR(__xludf.DUMMYFUNCTION("INDEX(IMPORTRANGE(""https://docs.google.com/spreadsheets/d/1ierEhD6gcq51HAm433knjnVwey4ZE5DCnu1bW7PRG3E/edit"",""Wzrost w województwach!B32:ZZ47""),4,ROW()-3)"),28415)</f>
        <v>28415</v>
      </c>
      <c r="Z295" s="340">
        <f ca="1">IFERROR(__xludf.DUMMYFUNCTION("INDEX(IMPORTRANGE(""https://docs.google.com/spreadsheets/d/1ierEhD6gcq51HAm433knjnVwey4ZE5DCnu1bW7PRG3E/edit"",""Wzrost w województwach!B72:ZZ87""),4,ROW()-3)"),622)</f>
        <v>622</v>
      </c>
      <c r="AA295" s="316">
        <f t="shared" ref="AA295:AB295" ca="1" si="4954">IF(ISBLANK(AC295),,AC295-AC294)</f>
        <v>447</v>
      </c>
      <c r="AB295" s="334">
        <f t="shared" ca="1" si="4954"/>
        <v>9</v>
      </c>
      <c r="AC295" s="335">
        <f ca="1">IFERROR(__xludf.DUMMYFUNCTION("INDEX(IMPORTRANGE(""https://docs.google.com/spreadsheets/d/1ierEhD6gcq51HAm433knjnVwey4ZE5DCnu1bW7PRG3E/edit"",""Wzrost w województwach!B32:ZZ47""),5,ROW()-3)"),78646)</f>
        <v>78646</v>
      </c>
      <c r="AD295" s="336">
        <f ca="1">IFERROR(__xludf.DUMMYFUNCTION("INDEX(IMPORTRANGE(""https://docs.google.com/spreadsheets/d/1ierEhD6gcq51HAm433knjnVwey4ZE5DCnu1bW7PRG3E/edit"",""Wzrost w województwach!B72:ZZ87""),5,ROW()-3)"),1689)</f>
        <v>1689</v>
      </c>
      <c r="AE295" s="337">
        <f t="shared" ref="AE295:AF295" ca="1" si="4955">IF(ISBLANK(AG295),,AG295-AG294)</f>
        <v>310</v>
      </c>
      <c r="AF295" s="334">
        <f t="shared" ca="1" si="4955"/>
        <v>1</v>
      </c>
      <c r="AG295" s="335">
        <f ca="1">IFERROR(__xludf.DUMMYFUNCTION("INDEX(IMPORTRANGE(""https://docs.google.com/spreadsheets/d/1ierEhD6gcq51HAm433knjnVwey4ZE5DCnu1bW7PRG3E/edit"",""Wzrost w województwach!B32:ZZ47""),6,ROW()-3)"),105292)</f>
        <v>105292</v>
      </c>
      <c r="AH295" s="339">
        <f ca="1">IFERROR(__xludf.DUMMYFUNCTION("INDEX(IMPORTRANGE(""https://docs.google.com/spreadsheets/d/1ierEhD6gcq51HAm433knjnVwey4ZE5DCnu1bW7PRG3E/edit"",""Wzrost w województwach!B72:ZZ87""),6,ROW()-3)"),2504)</f>
        <v>2504</v>
      </c>
      <c r="AI295" s="316">
        <f t="shared" ref="AI295:AJ295" ca="1" si="4956">IF(ISBLANK(AK295),,AK295-AK294)</f>
        <v>1105</v>
      </c>
      <c r="AJ295" s="334">
        <f t="shared" ca="1" si="4956"/>
        <v>17</v>
      </c>
      <c r="AK295" s="335">
        <f ca="1">IFERROR(__xludf.DUMMYFUNCTION("INDEX(IMPORTRANGE(""https://docs.google.com/spreadsheets/d/1ierEhD6gcq51HAm433knjnVwey4ZE5DCnu1bW7PRG3E/edit"",""Wzrost w województwach!B32:ZZ47""),7,ROW()-3)"),144486)</f>
        <v>144486</v>
      </c>
      <c r="AL295" s="336">
        <f ca="1">IFERROR(__xludf.DUMMYFUNCTION("INDEX(IMPORTRANGE(""https://docs.google.com/spreadsheets/d/1ierEhD6gcq51HAm433knjnVwey4ZE5DCnu1bW7PRG3E/edit"",""Wzrost w województwach!B72:ZZ87""),7,ROW()-3)"),3043)</f>
        <v>3043</v>
      </c>
      <c r="AM295" s="337">
        <f t="shared" ref="AM295:AN295" ca="1" si="4957">IF(ISBLANK(AO295),,AO295-AO294)</f>
        <v>173</v>
      </c>
      <c r="AN295" s="334">
        <f t="shared" ca="1" si="4957"/>
        <v>1</v>
      </c>
      <c r="AO295" s="335">
        <f ca="1">IFERROR(__xludf.DUMMYFUNCTION("INDEX(IMPORTRANGE(""https://docs.google.com/spreadsheets/d/1ierEhD6gcq51HAm433knjnVwey4ZE5DCnu1bW7PRG3E/edit"",""Wzrost w województwach!B32:ZZ47""),8,ROW()-3)"),34576)</f>
        <v>34576</v>
      </c>
      <c r="AP295" s="339">
        <f ca="1">IFERROR(__xludf.DUMMYFUNCTION("INDEX(IMPORTRANGE(""https://docs.google.com/spreadsheets/d/1ierEhD6gcq51HAm433knjnVwey4ZE5DCnu1bW7PRG3E/edit"",""Wzrost w województwach!B72:ZZ87""),8,ROW()-3)"),934)</f>
        <v>934</v>
      </c>
      <c r="AQ295" s="316">
        <f t="shared" ref="AQ295:AR295" ca="1" si="4958">IF(ISBLANK(AS295),,AS295-AS294)</f>
        <v>142</v>
      </c>
      <c r="AR295" s="338">
        <f t="shared" ca="1" si="4958"/>
        <v>10</v>
      </c>
      <c r="AS295" s="335">
        <f ca="1">IFERROR(__xludf.DUMMYFUNCTION("INDEX(IMPORTRANGE(""https://docs.google.com/spreadsheets/d/1ierEhD6gcq51HAm433knjnVwey4ZE5DCnu1bW7PRG3E/edit"",""Wzrost w województwach!B32:ZZ47""),9,ROW()-3)"),57248)</f>
        <v>57248</v>
      </c>
      <c r="AT295" s="336">
        <f ca="1">IFERROR(__xludf.DUMMYFUNCTION("INDEX(IMPORTRANGE(""https://docs.google.com/spreadsheets/d/1ierEhD6gcq51HAm433knjnVwey4ZE5DCnu1bW7PRG3E/edit"",""Wzrost w województwach!B72:ZZ87""),9,ROW()-3)"),1694)</f>
        <v>1694</v>
      </c>
      <c r="AU295" s="337">
        <f t="shared" ref="AU295:AV295" ca="1" si="4959">IF(ISBLANK(AW295),,AW295-AW294)</f>
        <v>178</v>
      </c>
      <c r="AV295" s="334">
        <f t="shared" ca="1" si="4959"/>
        <v>9</v>
      </c>
      <c r="AW295" s="335">
        <f ca="1">IFERROR(__xludf.DUMMYFUNCTION("INDEX(IMPORTRANGE(""https://docs.google.com/spreadsheets/d/1ierEhD6gcq51HAm433knjnVwey4ZE5DCnu1bW7PRG3E/edit"",""Wzrost w województwach!B32:ZZ47""),10,ROW()-3)"),31672)</f>
        <v>31672</v>
      </c>
      <c r="AX295" s="339">
        <f ca="1">IFERROR(__xludf.DUMMYFUNCTION("INDEX(IMPORTRANGE(""https://docs.google.com/spreadsheets/d/1ierEhD6gcq51HAm433knjnVwey4ZE5DCnu1bW7PRG3E/edit"",""Wzrost w województwach!B72:ZZ87""),10,ROW()-3)"),753)</f>
        <v>753</v>
      </c>
      <c r="AY295" s="316">
        <f t="shared" ref="AY295:AZ295" ca="1" si="4960">IF(ISBLANK(BA295),,BA295-BA294)</f>
        <v>817</v>
      </c>
      <c r="AZ295" s="334">
        <f t="shared" ca="1" si="4960"/>
        <v>3</v>
      </c>
      <c r="BA295" s="335">
        <f ca="1">IFERROR(__xludf.DUMMYFUNCTION("INDEX(IMPORTRANGE(""https://docs.google.com/spreadsheets/d/1ierEhD6gcq51HAm433knjnVwey4ZE5DCnu1bW7PRG3E/edit"",""Wzrost w województwach!B32:ZZ47""),11,ROW()-3)"),73135)</f>
        <v>73135</v>
      </c>
      <c r="BB295" s="336">
        <f ca="1">IFERROR(__xludf.DUMMYFUNCTION("INDEX(IMPORTRANGE(""https://docs.google.com/spreadsheets/d/1ierEhD6gcq51HAm433knjnVwey4ZE5DCnu1bW7PRG3E/edit"",""Wzrost w województwach!B72:ZZ87""),11,ROW()-3)"),1370)</f>
        <v>1370</v>
      </c>
      <c r="BC295" s="337">
        <f t="shared" ref="BC295:BD295" ca="1" si="4961">IF(ISBLANK(BE295),,BE295-BE294)</f>
        <v>694</v>
      </c>
      <c r="BD295" s="334">
        <f t="shared" ca="1" si="4961"/>
        <v>17</v>
      </c>
      <c r="BE295" s="335">
        <f ca="1">IFERROR(__xludf.DUMMYFUNCTION("INDEX(IMPORTRANGE(""https://docs.google.com/spreadsheets/d/1ierEhD6gcq51HAm433knjnVwey4ZE5DCnu1bW7PRG3E/edit"",""Wzrost w województwach!B32:ZZ47""),12,ROW()-3)"),147494)</f>
        <v>147494</v>
      </c>
      <c r="BF295" s="339">
        <f ca="1">IFERROR(__xludf.DUMMYFUNCTION("INDEX(IMPORTRANGE(""https://docs.google.com/spreadsheets/d/1ierEhD6gcq51HAm433knjnVwey4ZE5DCnu1bW7PRG3E/edit"",""Wzrost w województwach!B72:ZZ87""),12,ROW()-3)"),3117)</f>
        <v>3117</v>
      </c>
      <c r="BG295" s="316">
        <f t="shared" ref="BG295:BH295" ca="1" si="4962">IF(ISBLANK(BI295),,BI295-BI294)</f>
        <v>129</v>
      </c>
      <c r="BH295" s="334">
        <f t="shared" ca="1" si="4962"/>
        <v>1</v>
      </c>
      <c r="BI295" s="335">
        <f ca="1">IFERROR(__xludf.DUMMYFUNCTION("INDEX(IMPORTRANGE(""https://docs.google.com/spreadsheets/d/1ierEhD6gcq51HAm433knjnVwey4ZE5DCnu1bW7PRG3E/edit"",""Wzrost w województwach!B32:ZZ47""),13,ROW()-3)"),33750)</f>
        <v>33750</v>
      </c>
      <c r="BJ295" s="336">
        <f ca="1">IFERROR(__xludf.DUMMYFUNCTION("INDEX(IMPORTRANGE(""https://docs.google.com/spreadsheets/d/1ierEhD6gcq51HAm433knjnVwey4ZE5DCnu1bW7PRG3E/edit"",""Wzrost w województwach!B72:ZZ87""),13,ROW()-3)"),821)</f>
        <v>821</v>
      </c>
      <c r="BK295" s="337">
        <f t="shared" ref="BK295:BL295" ca="1" si="4963">IF(ISBLANK(BM295),,BM295-BM294)</f>
        <v>612</v>
      </c>
      <c r="BL295" s="334">
        <f t="shared" ca="1" si="4963"/>
        <v>1</v>
      </c>
      <c r="BM295" s="335">
        <f ca="1">IFERROR(__xludf.DUMMYFUNCTION("INDEX(IMPORTRANGE(""https://docs.google.com/spreadsheets/d/1ierEhD6gcq51HAm433knjnVwey4ZE5DCnu1bW7PRG3E/edit"",""Wzrost w województwach!B32:ZZ47""),14,ROW()-3)"),46579)</f>
        <v>46579</v>
      </c>
      <c r="BN295" s="339">
        <f ca="1">IFERROR(__xludf.DUMMYFUNCTION("INDEX(IMPORTRANGE(""https://docs.google.com/spreadsheets/d/1ierEhD6gcq51HAm433knjnVwey4ZE5DCnu1bW7PRG3E/edit"",""Wzrost w województwach!B72:ZZ87""),14,ROW()-3)"),994)</f>
        <v>994</v>
      </c>
      <c r="BO295" s="316">
        <f t="shared" ref="BO295:BP295" ca="1" si="4964">IF(ISBLANK(BQ295),,BQ295-BQ294)</f>
        <v>1151</v>
      </c>
      <c r="BP295" s="334">
        <f t="shared" ca="1" si="4964"/>
        <v>24</v>
      </c>
      <c r="BQ295" s="335">
        <f ca="1">IFERROR(__xludf.DUMMYFUNCTION("INDEX(IMPORTRANGE(""https://docs.google.com/spreadsheets/d/1ierEhD6gcq51HAm433knjnVwey4ZE5DCnu1bW7PRG3E/edit"",""Wzrost w województwach!B32:ZZ47""),15,ROW()-3)"),121201)</f>
        <v>121201</v>
      </c>
      <c r="BR295" s="336">
        <f ca="1">IFERROR(__xludf.DUMMYFUNCTION("INDEX(IMPORTRANGE(""https://docs.google.com/spreadsheets/d/1ierEhD6gcq51HAm433knjnVwey4ZE5DCnu1bW7PRG3E/edit"",""Wzrost w województwach!B72:ZZ87""),15,ROW()-3)"),2471)</f>
        <v>2471</v>
      </c>
      <c r="BS295" s="316">
        <f t="shared" ref="BS295:BT295" ca="1" si="4965">IF(ISBLANK(BU295),,BU295-BU294)</f>
        <v>773</v>
      </c>
      <c r="BT295" s="334">
        <f t="shared" ca="1" si="4965"/>
        <v>8</v>
      </c>
      <c r="BU295" s="335">
        <f ca="1">IFERROR(__xludf.DUMMYFUNCTION("INDEX(IMPORTRANGE(""https://docs.google.com/spreadsheets/d/1ierEhD6gcq51HAm433knjnVwey4ZE5DCnu1bW7PRG3E/edit"",""Wzrost w województwach!B32:ZZ47""),16,ROW()-3)"),54156)</f>
        <v>54156</v>
      </c>
      <c r="BV295" s="336">
        <f ca="1">IFERROR(__xludf.DUMMYFUNCTION("INDEX(IMPORTRANGE(""https://docs.google.com/spreadsheets/d/1ierEhD6gcq51HAm433knjnVwey4ZE5DCnu1bW7PRG3E/edit"",""Wzrost w województwach!B72:ZZ87""),16,ROW()-3)"),844)</f>
        <v>844</v>
      </c>
    </row>
    <row r="296" spans="1:83" x14ac:dyDescent="0.25">
      <c r="A296" s="341">
        <v>44186</v>
      </c>
      <c r="B296" s="314">
        <f t="shared" si="1276"/>
        <v>293</v>
      </c>
      <c r="C296" s="315"/>
      <c r="D296" s="316"/>
      <c r="E296" s="317"/>
      <c r="F296" s="342"/>
      <c r="G296" s="344"/>
      <c r="H296" s="330">
        <f t="shared" ref="H296:I296" si="4966">IF(ISBLANK(D296),,H295+D296)</f>
        <v>0</v>
      </c>
      <c r="I296" s="331">
        <f t="shared" si="4966"/>
        <v>0</v>
      </c>
      <c r="J296" s="332">
        <f t="shared" si="1"/>
        <v>0</v>
      </c>
      <c r="K296" s="333" t="e">
        <f t="shared" ref="K296:L296" ca="1" si="4967">IF(ISBLANK(M296),,M296-M295)</f>
        <v>#VALUE!</v>
      </c>
      <c r="L296" s="334" t="e">
        <f t="shared" ca="1" si="4967"/>
        <v>#VALUE!</v>
      </c>
      <c r="M296" s="335" t="str">
        <f ca="1">IFERROR(__xludf.DUMMYFUNCTION("INDEX(IMPORTRANGE(""https://docs.google.com/spreadsheets/d/1ierEhD6gcq51HAm433knjnVwey4ZE5DCnu1bW7PRG3E/edit"",""Wzrost w województwach!B32:ZZ47""),1,ROW()-3)"),"")</f>
        <v/>
      </c>
      <c r="N296" s="336" t="str">
        <f ca="1">IFERROR(__xludf.DUMMYFUNCTION("INDEX(IMPORTRANGE(""https://docs.google.com/spreadsheets/d/1ierEhD6gcq51HAm433knjnVwey4ZE5DCnu1bW7PRG3E/edit"",""Wzrost w województwach!B72:ZZ87""),1,ROW()-3)"),"")</f>
        <v/>
      </c>
      <c r="O296" s="337" t="e">
        <f t="shared" ref="O296:P296" ca="1" si="4968">IF(ISBLANK(Q296),,Q296-Q295)</f>
        <v>#VALUE!</v>
      </c>
      <c r="P296" s="338" t="e">
        <f t="shared" ca="1" si="4968"/>
        <v>#VALUE!</v>
      </c>
      <c r="Q296" s="335" t="str">
        <f ca="1">IFERROR(__xludf.DUMMYFUNCTION("INDEX(IMPORTRANGE(""https://docs.google.com/spreadsheets/d/1ierEhD6gcq51HAm433knjnVwey4ZE5DCnu1bW7PRG3E/edit"",""Wzrost w województwach!B32:ZZ47""),2,ROW()-3)"),"")</f>
        <v/>
      </c>
      <c r="R296" s="339" t="str">
        <f ca="1">IFERROR(__xludf.DUMMYFUNCTION("INDEX(IMPORTRANGE(""https://docs.google.com/spreadsheets/d/1ierEhD6gcq51HAm433knjnVwey4ZE5DCnu1bW7PRG3E/edit"",""Wzrost w województwach!B72:ZZ87""),2,ROW()-3)"),"")</f>
        <v/>
      </c>
      <c r="S296" s="316" t="e">
        <f t="shared" ref="S296:T296" ca="1" si="4969">IF(ISBLANK(U296),,U296-U295)</f>
        <v>#VALUE!</v>
      </c>
      <c r="T296" s="334" t="e">
        <f t="shared" ca="1" si="4969"/>
        <v>#VALUE!</v>
      </c>
      <c r="U296" s="335" t="str">
        <f ca="1">IFERROR(__xludf.DUMMYFUNCTION("INDEX(IMPORTRANGE(""https://docs.google.com/spreadsheets/d/1ierEhD6gcq51HAm433knjnVwey4ZE5DCnu1bW7PRG3E/edit"",""Wzrost w województwach!B32:ZZ47""),3,ROW()-3)"),"")</f>
        <v/>
      </c>
      <c r="V296" s="336" t="str">
        <f ca="1">IFERROR(__xludf.DUMMYFUNCTION("INDEX(IMPORTRANGE(""https://docs.google.com/spreadsheets/d/1ierEhD6gcq51HAm433knjnVwey4ZE5DCnu1bW7PRG3E/edit"",""Wzrost w województwach!B72:ZZ87""),3,ROW()-3)"),"")</f>
        <v/>
      </c>
      <c r="W296" s="337" t="e">
        <f t="shared" ref="W296:X296" ca="1" si="4970">IF(ISBLANK(Y296),,Y296-Y295)</f>
        <v>#VALUE!</v>
      </c>
      <c r="X296" s="334" t="e">
        <f t="shared" ca="1" si="4970"/>
        <v>#VALUE!</v>
      </c>
      <c r="Y296" s="335" t="str">
        <f ca="1">IFERROR(__xludf.DUMMYFUNCTION("INDEX(IMPORTRANGE(""https://docs.google.com/spreadsheets/d/1ierEhD6gcq51HAm433knjnVwey4ZE5DCnu1bW7PRG3E/edit"",""Wzrost w województwach!B32:ZZ47""),4,ROW()-3)"),"")</f>
        <v/>
      </c>
      <c r="Z296" s="340" t="str">
        <f ca="1">IFERROR(__xludf.DUMMYFUNCTION("INDEX(IMPORTRANGE(""https://docs.google.com/spreadsheets/d/1ierEhD6gcq51HAm433knjnVwey4ZE5DCnu1bW7PRG3E/edit"",""Wzrost w województwach!B72:ZZ87""),4,ROW()-3)"),"")</f>
        <v/>
      </c>
      <c r="AA296" s="316" t="e">
        <f t="shared" ref="AA296:AB296" ca="1" si="4971">IF(ISBLANK(AC296),,AC296-AC295)</f>
        <v>#VALUE!</v>
      </c>
      <c r="AB296" s="334" t="e">
        <f t="shared" ca="1" si="4971"/>
        <v>#VALUE!</v>
      </c>
      <c r="AC296" s="335" t="str">
        <f ca="1">IFERROR(__xludf.DUMMYFUNCTION("INDEX(IMPORTRANGE(""https://docs.google.com/spreadsheets/d/1ierEhD6gcq51HAm433knjnVwey4ZE5DCnu1bW7PRG3E/edit"",""Wzrost w województwach!B32:ZZ47""),5,ROW()-3)"),"")</f>
        <v/>
      </c>
      <c r="AD296" s="336" t="str">
        <f ca="1">IFERROR(__xludf.DUMMYFUNCTION("INDEX(IMPORTRANGE(""https://docs.google.com/spreadsheets/d/1ierEhD6gcq51HAm433knjnVwey4ZE5DCnu1bW7PRG3E/edit"",""Wzrost w województwach!B72:ZZ87""),5,ROW()-3)"),"")</f>
        <v/>
      </c>
      <c r="AE296" s="337" t="e">
        <f t="shared" ref="AE296:AF296" ca="1" si="4972">IF(ISBLANK(AG296),,AG296-AG295)</f>
        <v>#VALUE!</v>
      </c>
      <c r="AF296" s="334" t="e">
        <f t="shared" ca="1" si="4972"/>
        <v>#VALUE!</v>
      </c>
      <c r="AG296" s="335" t="str">
        <f ca="1">IFERROR(__xludf.DUMMYFUNCTION("INDEX(IMPORTRANGE(""https://docs.google.com/spreadsheets/d/1ierEhD6gcq51HAm433knjnVwey4ZE5DCnu1bW7PRG3E/edit"",""Wzrost w województwach!B32:ZZ47""),6,ROW()-3)"),"")</f>
        <v/>
      </c>
      <c r="AH296" s="339" t="str">
        <f ca="1">IFERROR(__xludf.DUMMYFUNCTION("INDEX(IMPORTRANGE(""https://docs.google.com/spreadsheets/d/1ierEhD6gcq51HAm433knjnVwey4ZE5DCnu1bW7PRG3E/edit"",""Wzrost w województwach!B72:ZZ87""),6,ROW()-3)"),"")</f>
        <v/>
      </c>
      <c r="AI296" s="316" t="e">
        <f t="shared" ref="AI296:AJ296" ca="1" si="4973">IF(ISBLANK(AK296),,AK296-AK295)</f>
        <v>#VALUE!</v>
      </c>
      <c r="AJ296" s="334" t="e">
        <f t="shared" ca="1" si="4973"/>
        <v>#VALUE!</v>
      </c>
      <c r="AK296" s="335" t="str">
        <f ca="1">IFERROR(__xludf.DUMMYFUNCTION("INDEX(IMPORTRANGE(""https://docs.google.com/spreadsheets/d/1ierEhD6gcq51HAm433knjnVwey4ZE5DCnu1bW7PRG3E/edit"",""Wzrost w województwach!B32:ZZ47""),7,ROW()-3)"),"")</f>
        <v/>
      </c>
      <c r="AL296" s="336" t="str">
        <f ca="1">IFERROR(__xludf.DUMMYFUNCTION("INDEX(IMPORTRANGE(""https://docs.google.com/spreadsheets/d/1ierEhD6gcq51HAm433knjnVwey4ZE5DCnu1bW7PRG3E/edit"",""Wzrost w województwach!B72:ZZ87""),7,ROW()-3)"),"")</f>
        <v/>
      </c>
      <c r="AM296" s="337" t="e">
        <f t="shared" ref="AM296:AN296" ca="1" si="4974">IF(ISBLANK(AO296),,AO296-AO295)</f>
        <v>#VALUE!</v>
      </c>
      <c r="AN296" s="334" t="e">
        <f t="shared" ca="1" si="4974"/>
        <v>#VALUE!</v>
      </c>
      <c r="AO296" s="335" t="str">
        <f ca="1">IFERROR(__xludf.DUMMYFUNCTION("INDEX(IMPORTRANGE(""https://docs.google.com/spreadsheets/d/1ierEhD6gcq51HAm433knjnVwey4ZE5DCnu1bW7PRG3E/edit"",""Wzrost w województwach!B32:ZZ47""),8,ROW()-3)"),"")</f>
        <v/>
      </c>
      <c r="AP296" s="339" t="str">
        <f ca="1">IFERROR(__xludf.DUMMYFUNCTION("INDEX(IMPORTRANGE(""https://docs.google.com/spreadsheets/d/1ierEhD6gcq51HAm433knjnVwey4ZE5DCnu1bW7PRG3E/edit"",""Wzrost w województwach!B72:ZZ87""),8,ROW()-3)"),"")</f>
        <v/>
      </c>
      <c r="AQ296" s="316" t="e">
        <f t="shared" ref="AQ296:AR296" ca="1" si="4975">IF(ISBLANK(AS296),,AS296-AS295)</f>
        <v>#VALUE!</v>
      </c>
      <c r="AR296" s="338" t="e">
        <f t="shared" ca="1" si="4975"/>
        <v>#VALUE!</v>
      </c>
      <c r="AS296" s="335" t="str">
        <f ca="1">IFERROR(__xludf.DUMMYFUNCTION("INDEX(IMPORTRANGE(""https://docs.google.com/spreadsheets/d/1ierEhD6gcq51HAm433knjnVwey4ZE5DCnu1bW7PRG3E/edit"",""Wzrost w województwach!B32:ZZ47""),9,ROW()-3)"),"")</f>
        <v/>
      </c>
      <c r="AT296" s="336" t="str">
        <f ca="1">IFERROR(__xludf.DUMMYFUNCTION("INDEX(IMPORTRANGE(""https://docs.google.com/spreadsheets/d/1ierEhD6gcq51HAm433knjnVwey4ZE5DCnu1bW7PRG3E/edit"",""Wzrost w województwach!B72:ZZ87""),9,ROW()-3)"),"")</f>
        <v/>
      </c>
      <c r="AU296" s="337" t="e">
        <f t="shared" ref="AU296:AV296" ca="1" si="4976">IF(ISBLANK(AW296),,AW296-AW295)</f>
        <v>#VALUE!</v>
      </c>
      <c r="AV296" s="334" t="e">
        <f t="shared" ca="1" si="4976"/>
        <v>#VALUE!</v>
      </c>
      <c r="AW296" s="335" t="str">
        <f ca="1">IFERROR(__xludf.DUMMYFUNCTION("INDEX(IMPORTRANGE(""https://docs.google.com/spreadsheets/d/1ierEhD6gcq51HAm433knjnVwey4ZE5DCnu1bW7PRG3E/edit"",""Wzrost w województwach!B32:ZZ47""),10,ROW()-3)"),"")</f>
        <v/>
      </c>
      <c r="AX296" s="339" t="str">
        <f ca="1">IFERROR(__xludf.DUMMYFUNCTION("INDEX(IMPORTRANGE(""https://docs.google.com/spreadsheets/d/1ierEhD6gcq51HAm433knjnVwey4ZE5DCnu1bW7PRG3E/edit"",""Wzrost w województwach!B72:ZZ87""),10,ROW()-3)"),"")</f>
        <v/>
      </c>
      <c r="AY296" s="316" t="e">
        <f t="shared" ref="AY296:AZ296" ca="1" si="4977">IF(ISBLANK(BA296),,BA296-BA295)</f>
        <v>#VALUE!</v>
      </c>
      <c r="AZ296" s="334" t="e">
        <f t="shared" ca="1" si="4977"/>
        <v>#VALUE!</v>
      </c>
      <c r="BA296" s="335" t="str">
        <f ca="1">IFERROR(__xludf.DUMMYFUNCTION("INDEX(IMPORTRANGE(""https://docs.google.com/spreadsheets/d/1ierEhD6gcq51HAm433knjnVwey4ZE5DCnu1bW7PRG3E/edit"",""Wzrost w województwach!B32:ZZ47""),11,ROW()-3)"),"")</f>
        <v/>
      </c>
      <c r="BB296" s="336" t="str">
        <f ca="1">IFERROR(__xludf.DUMMYFUNCTION("INDEX(IMPORTRANGE(""https://docs.google.com/spreadsheets/d/1ierEhD6gcq51HAm433knjnVwey4ZE5DCnu1bW7PRG3E/edit"",""Wzrost w województwach!B72:ZZ87""),11,ROW()-3)"),"")</f>
        <v/>
      </c>
      <c r="BC296" s="337" t="e">
        <f t="shared" ref="BC296:BD296" ca="1" si="4978">IF(ISBLANK(BE296),,BE296-BE295)</f>
        <v>#VALUE!</v>
      </c>
      <c r="BD296" s="334" t="e">
        <f t="shared" ca="1" si="4978"/>
        <v>#VALUE!</v>
      </c>
      <c r="BE296" s="335" t="str">
        <f ca="1">IFERROR(__xludf.DUMMYFUNCTION("INDEX(IMPORTRANGE(""https://docs.google.com/spreadsheets/d/1ierEhD6gcq51HAm433knjnVwey4ZE5DCnu1bW7PRG3E/edit"",""Wzrost w województwach!B32:ZZ47""),12,ROW()-3)"),"")</f>
        <v/>
      </c>
      <c r="BF296" s="339" t="str">
        <f ca="1">IFERROR(__xludf.DUMMYFUNCTION("INDEX(IMPORTRANGE(""https://docs.google.com/spreadsheets/d/1ierEhD6gcq51HAm433knjnVwey4ZE5DCnu1bW7PRG3E/edit"",""Wzrost w województwach!B72:ZZ87""),12,ROW()-3)"),"")</f>
        <v/>
      </c>
      <c r="BG296" s="316" t="e">
        <f t="shared" ref="BG296:BH296" ca="1" si="4979">IF(ISBLANK(BI296),,BI296-BI295)</f>
        <v>#VALUE!</v>
      </c>
      <c r="BH296" s="334" t="e">
        <f t="shared" ca="1" si="4979"/>
        <v>#VALUE!</v>
      </c>
      <c r="BI296" s="335" t="str">
        <f ca="1">IFERROR(__xludf.DUMMYFUNCTION("INDEX(IMPORTRANGE(""https://docs.google.com/spreadsheets/d/1ierEhD6gcq51HAm433knjnVwey4ZE5DCnu1bW7PRG3E/edit"",""Wzrost w województwach!B32:ZZ47""),13,ROW()-3)"),"")</f>
        <v/>
      </c>
      <c r="BJ296" s="336" t="str">
        <f ca="1">IFERROR(__xludf.DUMMYFUNCTION("INDEX(IMPORTRANGE(""https://docs.google.com/spreadsheets/d/1ierEhD6gcq51HAm433knjnVwey4ZE5DCnu1bW7PRG3E/edit"",""Wzrost w województwach!B72:ZZ87""),13,ROW()-3)"),"")</f>
        <v/>
      </c>
      <c r="BK296" s="337" t="e">
        <f t="shared" ref="BK296:BL296" ca="1" si="4980">IF(ISBLANK(BM296),,BM296-BM295)</f>
        <v>#VALUE!</v>
      </c>
      <c r="BL296" s="334" t="e">
        <f t="shared" ca="1" si="4980"/>
        <v>#VALUE!</v>
      </c>
      <c r="BM296" s="335" t="str">
        <f ca="1">IFERROR(__xludf.DUMMYFUNCTION("INDEX(IMPORTRANGE(""https://docs.google.com/spreadsheets/d/1ierEhD6gcq51HAm433knjnVwey4ZE5DCnu1bW7PRG3E/edit"",""Wzrost w województwach!B32:ZZ47""),14,ROW()-3)"),"")</f>
        <v/>
      </c>
      <c r="BN296" s="339" t="str">
        <f ca="1">IFERROR(__xludf.DUMMYFUNCTION("INDEX(IMPORTRANGE(""https://docs.google.com/spreadsheets/d/1ierEhD6gcq51HAm433knjnVwey4ZE5DCnu1bW7PRG3E/edit"",""Wzrost w województwach!B72:ZZ87""),14,ROW()-3)"),"")</f>
        <v/>
      </c>
      <c r="BO296" s="316" t="e">
        <f t="shared" ref="BO296:BP296" ca="1" si="4981">IF(ISBLANK(BQ296),,BQ296-BQ295)</f>
        <v>#VALUE!</v>
      </c>
      <c r="BP296" s="334" t="e">
        <f t="shared" ca="1" si="4981"/>
        <v>#VALUE!</v>
      </c>
      <c r="BQ296" s="335" t="str">
        <f ca="1">IFERROR(__xludf.DUMMYFUNCTION("INDEX(IMPORTRANGE(""https://docs.google.com/spreadsheets/d/1ierEhD6gcq51HAm433knjnVwey4ZE5DCnu1bW7PRG3E/edit"",""Wzrost w województwach!B32:ZZ47""),15,ROW()-3)"),"")</f>
        <v/>
      </c>
      <c r="BR296" s="336" t="str">
        <f ca="1">IFERROR(__xludf.DUMMYFUNCTION("INDEX(IMPORTRANGE(""https://docs.google.com/spreadsheets/d/1ierEhD6gcq51HAm433knjnVwey4ZE5DCnu1bW7PRG3E/edit"",""Wzrost w województwach!B72:ZZ87""),15,ROW()-3)"),"")</f>
        <v/>
      </c>
      <c r="BS296" s="316" t="e">
        <f t="shared" ref="BS296:BT296" ca="1" si="4982">IF(ISBLANK(BU296),,BU296-BU295)</f>
        <v>#VALUE!</v>
      </c>
      <c r="BT296" s="334" t="e">
        <f t="shared" ca="1" si="4982"/>
        <v>#VALUE!</v>
      </c>
      <c r="BU296" s="335" t="str">
        <f ca="1">IFERROR(__xludf.DUMMYFUNCTION("INDEX(IMPORTRANGE(""https://docs.google.com/spreadsheets/d/1ierEhD6gcq51HAm433knjnVwey4ZE5DCnu1bW7PRG3E/edit"",""Wzrost w województwach!B32:ZZ47""),16,ROW()-3)"),"")</f>
        <v/>
      </c>
      <c r="BV296" s="336" t="str">
        <f ca="1">IFERROR(__xludf.DUMMYFUNCTION("INDEX(IMPORTRANGE(""https://docs.google.com/spreadsheets/d/1ierEhD6gcq51HAm433knjnVwey4ZE5DCnu1bW7PRG3E/edit"",""Wzrost w województwach!B72:ZZ87""),16,ROW()-3)"),"")</f>
        <v/>
      </c>
    </row>
    <row r="297" spans="1:83" x14ac:dyDescent="0.25">
      <c r="A297" s="341">
        <v>44187</v>
      </c>
      <c r="B297" s="314">
        <f t="shared" si="1276"/>
        <v>294</v>
      </c>
      <c r="C297" s="315"/>
      <c r="D297" s="316"/>
      <c r="E297" s="317"/>
      <c r="F297" s="342"/>
      <c r="G297" s="344"/>
      <c r="H297" s="330">
        <f t="shared" ref="H297:I297" si="4983">IF(ISBLANK(D297),,H296+D297)</f>
        <v>0</v>
      </c>
      <c r="I297" s="331">
        <f t="shared" si="4983"/>
        <v>0</v>
      </c>
      <c r="J297" s="332">
        <f t="shared" si="1"/>
        <v>0</v>
      </c>
      <c r="K297" s="333" t="e">
        <f t="shared" ref="K297:L297" ca="1" si="4984">IF(ISBLANK(M297),,M297-M296)</f>
        <v>#VALUE!</v>
      </c>
      <c r="L297" s="334" t="e">
        <f t="shared" ca="1" si="4984"/>
        <v>#VALUE!</v>
      </c>
      <c r="M297" s="335" t="str">
        <f ca="1">IFERROR(__xludf.DUMMYFUNCTION("INDEX(IMPORTRANGE(""https://docs.google.com/spreadsheets/d/1ierEhD6gcq51HAm433knjnVwey4ZE5DCnu1bW7PRG3E/edit"",""Wzrost w województwach!B32:ZZ47""),1,ROW()-3)"),"")</f>
        <v/>
      </c>
      <c r="N297" s="336" t="str">
        <f ca="1">IFERROR(__xludf.DUMMYFUNCTION("INDEX(IMPORTRANGE(""https://docs.google.com/spreadsheets/d/1ierEhD6gcq51HAm433knjnVwey4ZE5DCnu1bW7PRG3E/edit"",""Wzrost w województwach!B72:ZZ87""),1,ROW()-3)"),"")</f>
        <v/>
      </c>
      <c r="O297" s="337" t="e">
        <f t="shared" ref="O297:P297" ca="1" si="4985">IF(ISBLANK(Q297),,Q297-Q296)</f>
        <v>#VALUE!</v>
      </c>
      <c r="P297" s="338" t="e">
        <f t="shared" ca="1" si="4985"/>
        <v>#VALUE!</v>
      </c>
      <c r="Q297" s="335" t="str">
        <f ca="1">IFERROR(__xludf.DUMMYFUNCTION("INDEX(IMPORTRANGE(""https://docs.google.com/spreadsheets/d/1ierEhD6gcq51HAm433knjnVwey4ZE5DCnu1bW7PRG3E/edit"",""Wzrost w województwach!B32:ZZ47""),2,ROW()-3)"),"")</f>
        <v/>
      </c>
      <c r="R297" s="339" t="str">
        <f ca="1">IFERROR(__xludf.DUMMYFUNCTION("INDEX(IMPORTRANGE(""https://docs.google.com/spreadsheets/d/1ierEhD6gcq51HAm433knjnVwey4ZE5DCnu1bW7PRG3E/edit"",""Wzrost w województwach!B72:ZZ87""),2,ROW()-3)"),"")</f>
        <v/>
      </c>
      <c r="S297" s="316" t="e">
        <f t="shared" ref="S297:T297" ca="1" si="4986">IF(ISBLANK(U297),,U297-U296)</f>
        <v>#VALUE!</v>
      </c>
      <c r="T297" s="334" t="e">
        <f t="shared" ca="1" si="4986"/>
        <v>#VALUE!</v>
      </c>
      <c r="U297" s="335" t="str">
        <f ca="1">IFERROR(__xludf.DUMMYFUNCTION("INDEX(IMPORTRANGE(""https://docs.google.com/spreadsheets/d/1ierEhD6gcq51HAm433knjnVwey4ZE5DCnu1bW7PRG3E/edit"",""Wzrost w województwach!B32:ZZ47""),3,ROW()-3)"),"")</f>
        <v/>
      </c>
      <c r="V297" s="336" t="str">
        <f ca="1">IFERROR(__xludf.DUMMYFUNCTION("INDEX(IMPORTRANGE(""https://docs.google.com/spreadsheets/d/1ierEhD6gcq51HAm433knjnVwey4ZE5DCnu1bW7PRG3E/edit"",""Wzrost w województwach!B72:ZZ87""),3,ROW()-3)"),"")</f>
        <v/>
      </c>
      <c r="W297" s="337" t="e">
        <f t="shared" ref="W297:X297" ca="1" si="4987">IF(ISBLANK(Y297),,Y297-Y296)</f>
        <v>#VALUE!</v>
      </c>
      <c r="X297" s="334" t="e">
        <f t="shared" ca="1" si="4987"/>
        <v>#VALUE!</v>
      </c>
      <c r="Y297" s="335" t="str">
        <f ca="1">IFERROR(__xludf.DUMMYFUNCTION("INDEX(IMPORTRANGE(""https://docs.google.com/spreadsheets/d/1ierEhD6gcq51HAm433knjnVwey4ZE5DCnu1bW7PRG3E/edit"",""Wzrost w województwach!B32:ZZ47""),4,ROW()-3)"),"")</f>
        <v/>
      </c>
      <c r="Z297" s="340" t="str">
        <f ca="1">IFERROR(__xludf.DUMMYFUNCTION("INDEX(IMPORTRANGE(""https://docs.google.com/spreadsheets/d/1ierEhD6gcq51HAm433knjnVwey4ZE5DCnu1bW7PRG3E/edit"",""Wzrost w województwach!B72:ZZ87""),4,ROW()-3)"),"")</f>
        <v/>
      </c>
      <c r="AA297" s="316" t="e">
        <f t="shared" ref="AA297:AB297" ca="1" si="4988">IF(ISBLANK(AC297),,AC297-AC296)</f>
        <v>#VALUE!</v>
      </c>
      <c r="AB297" s="334" t="e">
        <f t="shared" ca="1" si="4988"/>
        <v>#VALUE!</v>
      </c>
      <c r="AC297" s="335" t="str">
        <f ca="1">IFERROR(__xludf.DUMMYFUNCTION("INDEX(IMPORTRANGE(""https://docs.google.com/spreadsheets/d/1ierEhD6gcq51HAm433knjnVwey4ZE5DCnu1bW7PRG3E/edit"",""Wzrost w województwach!B32:ZZ47""),5,ROW()-3)"),"")</f>
        <v/>
      </c>
      <c r="AD297" s="336" t="str">
        <f ca="1">IFERROR(__xludf.DUMMYFUNCTION("INDEX(IMPORTRANGE(""https://docs.google.com/spreadsheets/d/1ierEhD6gcq51HAm433knjnVwey4ZE5DCnu1bW7PRG3E/edit"",""Wzrost w województwach!B72:ZZ87""),5,ROW()-3)"),"")</f>
        <v/>
      </c>
      <c r="AE297" s="337" t="e">
        <f t="shared" ref="AE297:AF297" ca="1" si="4989">IF(ISBLANK(AG297),,AG297-AG296)</f>
        <v>#VALUE!</v>
      </c>
      <c r="AF297" s="334" t="e">
        <f t="shared" ca="1" si="4989"/>
        <v>#VALUE!</v>
      </c>
      <c r="AG297" s="335" t="str">
        <f ca="1">IFERROR(__xludf.DUMMYFUNCTION("INDEX(IMPORTRANGE(""https://docs.google.com/spreadsheets/d/1ierEhD6gcq51HAm433knjnVwey4ZE5DCnu1bW7PRG3E/edit"",""Wzrost w województwach!B32:ZZ47""),6,ROW()-3)"),"")</f>
        <v/>
      </c>
      <c r="AH297" s="339" t="str">
        <f ca="1">IFERROR(__xludf.DUMMYFUNCTION("INDEX(IMPORTRANGE(""https://docs.google.com/spreadsheets/d/1ierEhD6gcq51HAm433knjnVwey4ZE5DCnu1bW7PRG3E/edit"",""Wzrost w województwach!B72:ZZ87""),6,ROW()-3)"),"")</f>
        <v/>
      </c>
      <c r="AI297" s="316" t="e">
        <f t="shared" ref="AI297:AJ297" ca="1" si="4990">IF(ISBLANK(AK297),,AK297-AK296)</f>
        <v>#VALUE!</v>
      </c>
      <c r="AJ297" s="334" t="e">
        <f t="shared" ca="1" si="4990"/>
        <v>#VALUE!</v>
      </c>
      <c r="AK297" s="335" t="str">
        <f ca="1">IFERROR(__xludf.DUMMYFUNCTION("INDEX(IMPORTRANGE(""https://docs.google.com/spreadsheets/d/1ierEhD6gcq51HAm433knjnVwey4ZE5DCnu1bW7PRG3E/edit"",""Wzrost w województwach!B32:ZZ47""),7,ROW()-3)"),"")</f>
        <v/>
      </c>
      <c r="AL297" s="336" t="str">
        <f ca="1">IFERROR(__xludf.DUMMYFUNCTION("INDEX(IMPORTRANGE(""https://docs.google.com/spreadsheets/d/1ierEhD6gcq51HAm433knjnVwey4ZE5DCnu1bW7PRG3E/edit"",""Wzrost w województwach!B72:ZZ87""),7,ROW()-3)"),"")</f>
        <v/>
      </c>
      <c r="AM297" s="337" t="e">
        <f t="shared" ref="AM297:AN297" ca="1" si="4991">IF(ISBLANK(AO297),,AO297-AO296)</f>
        <v>#VALUE!</v>
      </c>
      <c r="AN297" s="334" t="e">
        <f t="shared" ca="1" si="4991"/>
        <v>#VALUE!</v>
      </c>
      <c r="AO297" s="335" t="str">
        <f ca="1">IFERROR(__xludf.DUMMYFUNCTION("INDEX(IMPORTRANGE(""https://docs.google.com/spreadsheets/d/1ierEhD6gcq51HAm433knjnVwey4ZE5DCnu1bW7PRG3E/edit"",""Wzrost w województwach!B32:ZZ47""),8,ROW()-3)"),"")</f>
        <v/>
      </c>
      <c r="AP297" s="339" t="str">
        <f ca="1">IFERROR(__xludf.DUMMYFUNCTION("INDEX(IMPORTRANGE(""https://docs.google.com/spreadsheets/d/1ierEhD6gcq51HAm433knjnVwey4ZE5DCnu1bW7PRG3E/edit"",""Wzrost w województwach!B72:ZZ87""),8,ROW()-3)"),"")</f>
        <v/>
      </c>
      <c r="AQ297" s="316" t="e">
        <f t="shared" ref="AQ297:AR297" ca="1" si="4992">IF(ISBLANK(AS297),,AS297-AS296)</f>
        <v>#VALUE!</v>
      </c>
      <c r="AR297" s="338" t="e">
        <f t="shared" ca="1" si="4992"/>
        <v>#VALUE!</v>
      </c>
      <c r="AS297" s="335" t="str">
        <f ca="1">IFERROR(__xludf.DUMMYFUNCTION("INDEX(IMPORTRANGE(""https://docs.google.com/spreadsheets/d/1ierEhD6gcq51HAm433knjnVwey4ZE5DCnu1bW7PRG3E/edit"",""Wzrost w województwach!B32:ZZ47""),9,ROW()-3)"),"")</f>
        <v/>
      </c>
      <c r="AT297" s="336" t="str">
        <f ca="1">IFERROR(__xludf.DUMMYFUNCTION("INDEX(IMPORTRANGE(""https://docs.google.com/spreadsheets/d/1ierEhD6gcq51HAm433knjnVwey4ZE5DCnu1bW7PRG3E/edit"",""Wzrost w województwach!B72:ZZ87""),9,ROW()-3)"),"")</f>
        <v/>
      </c>
      <c r="AU297" s="337" t="e">
        <f t="shared" ref="AU297:AV297" ca="1" si="4993">IF(ISBLANK(AW297),,AW297-AW296)</f>
        <v>#VALUE!</v>
      </c>
      <c r="AV297" s="334" t="e">
        <f t="shared" ca="1" si="4993"/>
        <v>#VALUE!</v>
      </c>
      <c r="AW297" s="335" t="str">
        <f ca="1">IFERROR(__xludf.DUMMYFUNCTION("INDEX(IMPORTRANGE(""https://docs.google.com/spreadsheets/d/1ierEhD6gcq51HAm433knjnVwey4ZE5DCnu1bW7PRG3E/edit"",""Wzrost w województwach!B32:ZZ47""),10,ROW()-3)"),"")</f>
        <v/>
      </c>
      <c r="AX297" s="339" t="str">
        <f ca="1">IFERROR(__xludf.DUMMYFUNCTION("INDEX(IMPORTRANGE(""https://docs.google.com/spreadsheets/d/1ierEhD6gcq51HAm433knjnVwey4ZE5DCnu1bW7PRG3E/edit"",""Wzrost w województwach!B72:ZZ87""),10,ROW()-3)"),"")</f>
        <v/>
      </c>
      <c r="AY297" s="316" t="e">
        <f t="shared" ref="AY297:AZ297" ca="1" si="4994">IF(ISBLANK(BA297),,BA297-BA296)</f>
        <v>#VALUE!</v>
      </c>
      <c r="AZ297" s="334" t="e">
        <f t="shared" ca="1" si="4994"/>
        <v>#VALUE!</v>
      </c>
      <c r="BA297" s="335" t="str">
        <f ca="1">IFERROR(__xludf.DUMMYFUNCTION("INDEX(IMPORTRANGE(""https://docs.google.com/spreadsheets/d/1ierEhD6gcq51HAm433knjnVwey4ZE5DCnu1bW7PRG3E/edit"",""Wzrost w województwach!B32:ZZ47""),11,ROW()-3)"),"")</f>
        <v/>
      </c>
      <c r="BB297" s="336" t="str">
        <f ca="1">IFERROR(__xludf.DUMMYFUNCTION("INDEX(IMPORTRANGE(""https://docs.google.com/spreadsheets/d/1ierEhD6gcq51HAm433knjnVwey4ZE5DCnu1bW7PRG3E/edit"",""Wzrost w województwach!B72:ZZ87""),11,ROW()-3)"),"")</f>
        <v/>
      </c>
      <c r="BC297" s="337" t="e">
        <f t="shared" ref="BC297:BD297" ca="1" si="4995">IF(ISBLANK(BE297),,BE297-BE296)</f>
        <v>#VALUE!</v>
      </c>
      <c r="BD297" s="334" t="e">
        <f t="shared" ca="1" si="4995"/>
        <v>#VALUE!</v>
      </c>
      <c r="BE297" s="335" t="str">
        <f ca="1">IFERROR(__xludf.DUMMYFUNCTION("INDEX(IMPORTRANGE(""https://docs.google.com/spreadsheets/d/1ierEhD6gcq51HAm433knjnVwey4ZE5DCnu1bW7PRG3E/edit"",""Wzrost w województwach!B32:ZZ47""),12,ROW()-3)"),"")</f>
        <v/>
      </c>
      <c r="BF297" s="339" t="str">
        <f ca="1">IFERROR(__xludf.DUMMYFUNCTION("INDEX(IMPORTRANGE(""https://docs.google.com/spreadsheets/d/1ierEhD6gcq51HAm433knjnVwey4ZE5DCnu1bW7PRG3E/edit"",""Wzrost w województwach!B72:ZZ87""),12,ROW()-3)"),"")</f>
        <v/>
      </c>
      <c r="BG297" s="316" t="e">
        <f t="shared" ref="BG297:BH297" ca="1" si="4996">IF(ISBLANK(BI297),,BI297-BI296)</f>
        <v>#VALUE!</v>
      </c>
      <c r="BH297" s="334" t="e">
        <f t="shared" ca="1" si="4996"/>
        <v>#VALUE!</v>
      </c>
      <c r="BI297" s="335" t="str">
        <f ca="1">IFERROR(__xludf.DUMMYFUNCTION("INDEX(IMPORTRANGE(""https://docs.google.com/spreadsheets/d/1ierEhD6gcq51HAm433knjnVwey4ZE5DCnu1bW7PRG3E/edit"",""Wzrost w województwach!B32:ZZ47""),13,ROW()-3)"),"")</f>
        <v/>
      </c>
      <c r="BJ297" s="336" t="str">
        <f ca="1">IFERROR(__xludf.DUMMYFUNCTION("INDEX(IMPORTRANGE(""https://docs.google.com/spreadsheets/d/1ierEhD6gcq51HAm433knjnVwey4ZE5DCnu1bW7PRG3E/edit"",""Wzrost w województwach!B72:ZZ87""),13,ROW()-3)"),"")</f>
        <v/>
      </c>
      <c r="BK297" s="337" t="e">
        <f t="shared" ref="BK297:BL297" ca="1" si="4997">IF(ISBLANK(BM297),,BM297-BM296)</f>
        <v>#VALUE!</v>
      </c>
      <c r="BL297" s="334" t="e">
        <f t="shared" ca="1" si="4997"/>
        <v>#VALUE!</v>
      </c>
      <c r="BM297" s="335" t="str">
        <f ca="1">IFERROR(__xludf.DUMMYFUNCTION("INDEX(IMPORTRANGE(""https://docs.google.com/spreadsheets/d/1ierEhD6gcq51HAm433knjnVwey4ZE5DCnu1bW7PRG3E/edit"",""Wzrost w województwach!B32:ZZ47""),14,ROW()-3)"),"")</f>
        <v/>
      </c>
      <c r="BN297" s="339" t="str">
        <f ca="1">IFERROR(__xludf.DUMMYFUNCTION("INDEX(IMPORTRANGE(""https://docs.google.com/spreadsheets/d/1ierEhD6gcq51HAm433knjnVwey4ZE5DCnu1bW7PRG3E/edit"",""Wzrost w województwach!B72:ZZ87""),14,ROW()-3)"),"")</f>
        <v/>
      </c>
      <c r="BO297" s="316" t="e">
        <f t="shared" ref="BO297:BP297" ca="1" si="4998">IF(ISBLANK(BQ297),,BQ297-BQ296)</f>
        <v>#VALUE!</v>
      </c>
      <c r="BP297" s="334" t="e">
        <f t="shared" ca="1" si="4998"/>
        <v>#VALUE!</v>
      </c>
      <c r="BQ297" s="335" t="str">
        <f ca="1">IFERROR(__xludf.DUMMYFUNCTION("INDEX(IMPORTRANGE(""https://docs.google.com/spreadsheets/d/1ierEhD6gcq51HAm433knjnVwey4ZE5DCnu1bW7PRG3E/edit"",""Wzrost w województwach!B32:ZZ47""),15,ROW()-3)"),"")</f>
        <v/>
      </c>
      <c r="BR297" s="336" t="str">
        <f ca="1">IFERROR(__xludf.DUMMYFUNCTION("INDEX(IMPORTRANGE(""https://docs.google.com/spreadsheets/d/1ierEhD6gcq51HAm433knjnVwey4ZE5DCnu1bW7PRG3E/edit"",""Wzrost w województwach!B72:ZZ87""),15,ROW()-3)"),"")</f>
        <v/>
      </c>
      <c r="BS297" s="316" t="e">
        <f t="shared" ref="BS297:BT297" ca="1" si="4999">IF(ISBLANK(BU297),,BU297-BU296)</f>
        <v>#VALUE!</v>
      </c>
      <c r="BT297" s="334" t="e">
        <f t="shared" ca="1" si="4999"/>
        <v>#VALUE!</v>
      </c>
      <c r="BU297" s="335" t="str">
        <f ca="1">IFERROR(__xludf.DUMMYFUNCTION("INDEX(IMPORTRANGE(""https://docs.google.com/spreadsheets/d/1ierEhD6gcq51HAm433knjnVwey4ZE5DCnu1bW7PRG3E/edit"",""Wzrost w województwach!B32:ZZ47""),16,ROW()-3)"),"")</f>
        <v/>
      </c>
      <c r="BV297" s="336" t="str">
        <f ca="1">IFERROR(__xludf.DUMMYFUNCTION("INDEX(IMPORTRANGE(""https://docs.google.com/spreadsheets/d/1ierEhD6gcq51HAm433knjnVwey4ZE5DCnu1bW7PRG3E/edit"",""Wzrost w województwach!B72:ZZ87""),16,ROW()-3)"),"")</f>
        <v/>
      </c>
    </row>
    <row r="298" spans="1:83" x14ac:dyDescent="0.25">
      <c r="A298" s="341">
        <v>44188</v>
      </c>
      <c r="B298" s="314">
        <f t="shared" si="1276"/>
        <v>295</v>
      </c>
      <c r="C298" s="315"/>
      <c r="D298" s="316"/>
      <c r="E298" s="317"/>
      <c r="F298" s="342"/>
      <c r="G298" s="344"/>
      <c r="H298" s="330">
        <f t="shared" ref="H298:I298" si="5000">IF(ISBLANK(D298),,H297+D298)</f>
        <v>0</v>
      </c>
      <c r="I298" s="331">
        <f t="shared" si="5000"/>
        <v>0</v>
      </c>
      <c r="J298" s="332">
        <f t="shared" si="1"/>
        <v>0</v>
      </c>
      <c r="K298" s="333" t="e">
        <f t="shared" ref="K298:L298" ca="1" si="5001">IF(ISBLANK(M298),,M298-M297)</f>
        <v>#VALUE!</v>
      </c>
      <c r="L298" s="334" t="e">
        <f t="shared" ca="1" si="5001"/>
        <v>#VALUE!</v>
      </c>
      <c r="M298" s="335" t="str">
        <f ca="1">IFERROR(__xludf.DUMMYFUNCTION("INDEX(IMPORTRANGE(""https://docs.google.com/spreadsheets/d/1ierEhD6gcq51HAm433knjnVwey4ZE5DCnu1bW7PRG3E/edit"",""Wzrost w województwach!B32:ZZ47""),1,ROW()-3)"),"")</f>
        <v/>
      </c>
      <c r="N298" s="336" t="str">
        <f ca="1">IFERROR(__xludf.DUMMYFUNCTION("INDEX(IMPORTRANGE(""https://docs.google.com/spreadsheets/d/1ierEhD6gcq51HAm433knjnVwey4ZE5DCnu1bW7PRG3E/edit"",""Wzrost w województwach!B72:ZZ87""),1,ROW()-3)"),"")</f>
        <v/>
      </c>
      <c r="O298" s="337" t="e">
        <f t="shared" ref="O298:P298" ca="1" si="5002">IF(ISBLANK(Q298),,Q298-Q297)</f>
        <v>#VALUE!</v>
      </c>
      <c r="P298" s="338" t="e">
        <f t="shared" ca="1" si="5002"/>
        <v>#VALUE!</v>
      </c>
      <c r="Q298" s="335" t="str">
        <f ca="1">IFERROR(__xludf.DUMMYFUNCTION("INDEX(IMPORTRANGE(""https://docs.google.com/spreadsheets/d/1ierEhD6gcq51HAm433knjnVwey4ZE5DCnu1bW7PRG3E/edit"",""Wzrost w województwach!B32:ZZ47""),2,ROW()-3)"),"")</f>
        <v/>
      </c>
      <c r="R298" s="339" t="str">
        <f ca="1">IFERROR(__xludf.DUMMYFUNCTION("INDEX(IMPORTRANGE(""https://docs.google.com/spreadsheets/d/1ierEhD6gcq51HAm433knjnVwey4ZE5DCnu1bW7PRG3E/edit"",""Wzrost w województwach!B72:ZZ87""),2,ROW()-3)"),"")</f>
        <v/>
      </c>
      <c r="S298" s="316" t="e">
        <f t="shared" ref="S298:T298" ca="1" si="5003">IF(ISBLANK(U298),,U298-U297)</f>
        <v>#VALUE!</v>
      </c>
      <c r="T298" s="334" t="e">
        <f t="shared" ca="1" si="5003"/>
        <v>#VALUE!</v>
      </c>
      <c r="U298" s="335" t="str">
        <f ca="1">IFERROR(__xludf.DUMMYFUNCTION("INDEX(IMPORTRANGE(""https://docs.google.com/spreadsheets/d/1ierEhD6gcq51HAm433knjnVwey4ZE5DCnu1bW7PRG3E/edit"",""Wzrost w województwach!B32:ZZ47""),3,ROW()-3)"),"")</f>
        <v/>
      </c>
      <c r="V298" s="336" t="str">
        <f ca="1">IFERROR(__xludf.DUMMYFUNCTION("INDEX(IMPORTRANGE(""https://docs.google.com/spreadsheets/d/1ierEhD6gcq51HAm433knjnVwey4ZE5DCnu1bW7PRG3E/edit"",""Wzrost w województwach!B72:ZZ87""),3,ROW()-3)"),"")</f>
        <v/>
      </c>
      <c r="W298" s="337" t="e">
        <f t="shared" ref="W298:X298" ca="1" si="5004">IF(ISBLANK(Y298),,Y298-Y297)</f>
        <v>#VALUE!</v>
      </c>
      <c r="X298" s="334" t="e">
        <f t="shared" ca="1" si="5004"/>
        <v>#VALUE!</v>
      </c>
      <c r="Y298" s="335" t="str">
        <f ca="1">IFERROR(__xludf.DUMMYFUNCTION("INDEX(IMPORTRANGE(""https://docs.google.com/spreadsheets/d/1ierEhD6gcq51HAm433knjnVwey4ZE5DCnu1bW7PRG3E/edit"",""Wzrost w województwach!B32:ZZ47""),4,ROW()-3)"),"")</f>
        <v/>
      </c>
      <c r="Z298" s="340" t="str">
        <f ca="1">IFERROR(__xludf.DUMMYFUNCTION("INDEX(IMPORTRANGE(""https://docs.google.com/spreadsheets/d/1ierEhD6gcq51HAm433knjnVwey4ZE5DCnu1bW7PRG3E/edit"",""Wzrost w województwach!B72:ZZ87""),4,ROW()-3)"),"")</f>
        <v/>
      </c>
      <c r="AA298" s="316" t="e">
        <f t="shared" ref="AA298:AB298" ca="1" si="5005">IF(ISBLANK(AC298),,AC298-AC297)</f>
        <v>#VALUE!</v>
      </c>
      <c r="AB298" s="334" t="e">
        <f t="shared" ca="1" si="5005"/>
        <v>#VALUE!</v>
      </c>
      <c r="AC298" s="335" t="str">
        <f ca="1">IFERROR(__xludf.DUMMYFUNCTION("INDEX(IMPORTRANGE(""https://docs.google.com/spreadsheets/d/1ierEhD6gcq51HAm433knjnVwey4ZE5DCnu1bW7PRG3E/edit"",""Wzrost w województwach!B32:ZZ47""),5,ROW()-3)"),"")</f>
        <v/>
      </c>
      <c r="AD298" s="336" t="str">
        <f ca="1">IFERROR(__xludf.DUMMYFUNCTION("INDEX(IMPORTRANGE(""https://docs.google.com/spreadsheets/d/1ierEhD6gcq51HAm433knjnVwey4ZE5DCnu1bW7PRG3E/edit"",""Wzrost w województwach!B72:ZZ87""),5,ROW()-3)"),"")</f>
        <v/>
      </c>
      <c r="AE298" s="337" t="e">
        <f t="shared" ref="AE298:AF298" ca="1" si="5006">IF(ISBLANK(AG298),,AG298-AG297)</f>
        <v>#VALUE!</v>
      </c>
      <c r="AF298" s="334" t="e">
        <f t="shared" ca="1" si="5006"/>
        <v>#VALUE!</v>
      </c>
      <c r="AG298" s="335" t="str">
        <f ca="1">IFERROR(__xludf.DUMMYFUNCTION("INDEX(IMPORTRANGE(""https://docs.google.com/spreadsheets/d/1ierEhD6gcq51HAm433knjnVwey4ZE5DCnu1bW7PRG3E/edit"",""Wzrost w województwach!B32:ZZ47""),6,ROW()-3)"),"")</f>
        <v/>
      </c>
      <c r="AH298" s="339" t="str">
        <f ca="1">IFERROR(__xludf.DUMMYFUNCTION("INDEX(IMPORTRANGE(""https://docs.google.com/spreadsheets/d/1ierEhD6gcq51HAm433knjnVwey4ZE5DCnu1bW7PRG3E/edit"",""Wzrost w województwach!B72:ZZ87""),6,ROW()-3)"),"")</f>
        <v/>
      </c>
      <c r="AI298" s="316" t="e">
        <f t="shared" ref="AI298:AJ298" ca="1" si="5007">IF(ISBLANK(AK298),,AK298-AK297)</f>
        <v>#VALUE!</v>
      </c>
      <c r="AJ298" s="334" t="e">
        <f t="shared" ca="1" si="5007"/>
        <v>#VALUE!</v>
      </c>
      <c r="AK298" s="335" t="str">
        <f ca="1">IFERROR(__xludf.DUMMYFUNCTION("INDEX(IMPORTRANGE(""https://docs.google.com/spreadsheets/d/1ierEhD6gcq51HAm433knjnVwey4ZE5DCnu1bW7PRG3E/edit"",""Wzrost w województwach!B32:ZZ47""),7,ROW()-3)"),"")</f>
        <v/>
      </c>
      <c r="AL298" s="336" t="str">
        <f ca="1">IFERROR(__xludf.DUMMYFUNCTION("INDEX(IMPORTRANGE(""https://docs.google.com/spreadsheets/d/1ierEhD6gcq51HAm433knjnVwey4ZE5DCnu1bW7PRG3E/edit"",""Wzrost w województwach!B72:ZZ87""),7,ROW()-3)"),"")</f>
        <v/>
      </c>
      <c r="AM298" s="337" t="e">
        <f t="shared" ref="AM298:AN298" ca="1" si="5008">IF(ISBLANK(AO298),,AO298-AO297)</f>
        <v>#VALUE!</v>
      </c>
      <c r="AN298" s="334" t="e">
        <f t="shared" ca="1" si="5008"/>
        <v>#VALUE!</v>
      </c>
      <c r="AO298" s="335" t="str">
        <f ca="1">IFERROR(__xludf.DUMMYFUNCTION("INDEX(IMPORTRANGE(""https://docs.google.com/spreadsheets/d/1ierEhD6gcq51HAm433knjnVwey4ZE5DCnu1bW7PRG3E/edit"",""Wzrost w województwach!B32:ZZ47""),8,ROW()-3)"),"")</f>
        <v/>
      </c>
      <c r="AP298" s="339" t="str">
        <f ca="1">IFERROR(__xludf.DUMMYFUNCTION("INDEX(IMPORTRANGE(""https://docs.google.com/spreadsheets/d/1ierEhD6gcq51HAm433knjnVwey4ZE5DCnu1bW7PRG3E/edit"",""Wzrost w województwach!B72:ZZ87""),8,ROW()-3)"),"")</f>
        <v/>
      </c>
      <c r="AQ298" s="316" t="e">
        <f t="shared" ref="AQ298:AR298" ca="1" si="5009">IF(ISBLANK(AS298),,AS298-AS297)</f>
        <v>#VALUE!</v>
      </c>
      <c r="AR298" s="338" t="e">
        <f t="shared" ca="1" si="5009"/>
        <v>#VALUE!</v>
      </c>
      <c r="AS298" s="335" t="str">
        <f ca="1">IFERROR(__xludf.DUMMYFUNCTION("INDEX(IMPORTRANGE(""https://docs.google.com/spreadsheets/d/1ierEhD6gcq51HAm433knjnVwey4ZE5DCnu1bW7PRG3E/edit"",""Wzrost w województwach!B32:ZZ47""),9,ROW()-3)"),"")</f>
        <v/>
      </c>
      <c r="AT298" s="336" t="str">
        <f ca="1">IFERROR(__xludf.DUMMYFUNCTION("INDEX(IMPORTRANGE(""https://docs.google.com/spreadsheets/d/1ierEhD6gcq51HAm433knjnVwey4ZE5DCnu1bW7PRG3E/edit"",""Wzrost w województwach!B72:ZZ87""),9,ROW()-3)"),"")</f>
        <v/>
      </c>
      <c r="AU298" s="337" t="e">
        <f t="shared" ref="AU298:AV298" ca="1" si="5010">IF(ISBLANK(AW298),,AW298-AW297)</f>
        <v>#VALUE!</v>
      </c>
      <c r="AV298" s="334" t="e">
        <f t="shared" ca="1" si="5010"/>
        <v>#VALUE!</v>
      </c>
      <c r="AW298" s="335" t="str">
        <f ca="1">IFERROR(__xludf.DUMMYFUNCTION("INDEX(IMPORTRANGE(""https://docs.google.com/spreadsheets/d/1ierEhD6gcq51HAm433knjnVwey4ZE5DCnu1bW7PRG3E/edit"",""Wzrost w województwach!B32:ZZ47""),10,ROW()-3)"),"")</f>
        <v/>
      </c>
      <c r="AX298" s="339" t="str">
        <f ca="1">IFERROR(__xludf.DUMMYFUNCTION("INDEX(IMPORTRANGE(""https://docs.google.com/spreadsheets/d/1ierEhD6gcq51HAm433knjnVwey4ZE5DCnu1bW7PRG3E/edit"",""Wzrost w województwach!B72:ZZ87""),10,ROW()-3)"),"")</f>
        <v/>
      </c>
      <c r="AY298" s="316" t="e">
        <f t="shared" ref="AY298:AZ298" ca="1" si="5011">IF(ISBLANK(BA298),,BA298-BA297)</f>
        <v>#VALUE!</v>
      </c>
      <c r="AZ298" s="334" t="e">
        <f t="shared" ca="1" si="5011"/>
        <v>#VALUE!</v>
      </c>
      <c r="BA298" s="335" t="str">
        <f ca="1">IFERROR(__xludf.DUMMYFUNCTION("INDEX(IMPORTRANGE(""https://docs.google.com/spreadsheets/d/1ierEhD6gcq51HAm433knjnVwey4ZE5DCnu1bW7PRG3E/edit"",""Wzrost w województwach!B32:ZZ47""),11,ROW()-3)"),"")</f>
        <v/>
      </c>
      <c r="BB298" s="336" t="str">
        <f ca="1">IFERROR(__xludf.DUMMYFUNCTION("INDEX(IMPORTRANGE(""https://docs.google.com/spreadsheets/d/1ierEhD6gcq51HAm433knjnVwey4ZE5DCnu1bW7PRG3E/edit"",""Wzrost w województwach!B72:ZZ87""),11,ROW()-3)"),"")</f>
        <v/>
      </c>
      <c r="BC298" s="337" t="e">
        <f t="shared" ref="BC298:BD298" ca="1" si="5012">IF(ISBLANK(BE298),,BE298-BE297)</f>
        <v>#VALUE!</v>
      </c>
      <c r="BD298" s="334" t="e">
        <f t="shared" ca="1" si="5012"/>
        <v>#VALUE!</v>
      </c>
      <c r="BE298" s="335" t="str">
        <f ca="1">IFERROR(__xludf.DUMMYFUNCTION("INDEX(IMPORTRANGE(""https://docs.google.com/spreadsheets/d/1ierEhD6gcq51HAm433knjnVwey4ZE5DCnu1bW7PRG3E/edit"",""Wzrost w województwach!B32:ZZ47""),12,ROW()-3)"),"")</f>
        <v/>
      </c>
      <c r="BF298" s="339" t="str">
        <f ca="1">IFERROR(__xludf.DUMMYFUNCTION("INDEX(IMPORTRANGE(""https://docs.google.com/spreadsheets/d/1ierEhD6gcq51HAm433knjnVwey4ZE5DCnu1bW7PRG3E/edit"",""Wzrost w województwach!B72:ZZ87""),12,ROW()-3)"),"")</f>
        <v/>
      </c>
      <c r="BG298" s="316" t="e">
        <f t="shared" ref="BG298:BH298" ca="1" si="5013">IF(ISBLANK(BI298),,BI298-BI297)</f>
        <v>#VALUE!</v>
      </c>
      <c r="BH298" s="334" t="e">
        <f t="shared" ca="1" si="5013"/>
        <v>#VALUE!</v>
      </c>
      <c r="BI298" s="335" t="str">
        <f ca="1">IFERROR(__xludf.DUMMYFUNCTION("INDEX(IMPORTRANGE(""https://docs.google.com/spreadsheets/d/1ierEhD6gcq51HAm433knjnVwey4ZE5DCnu1bW7PRG3E/edit"",""Wzrost w województwach!B32:ZZ47""),13,ROW()-3)"),"")</f>
        <v/>
      </c>
      <c r="BJ298" s="336" t="str">
        <f ca="1">IFERROR(__xludf.DUMMYFUNCTION("INDEX(IMPORTRANGE(""https://docs.google.com/spreadsheets/d/1ierEhD6gcq51HAm433knjnVwey4ZE5DCnu1bW7PRG3E/edit"",""Wzrost w województwach!B72:ZZ87""),13,ROW()-3)"),"")</f>
        <v/>
      </c>
      <c r="BK298" s="337" t="e">
        <f t="shared" ref="BK298:BL298" ca="1" si="5014">IF(ISBLANK(BM298),,BM298-BM297)</f>
        <v>#VALUE!</v>
      </c>
      <c r="BL298" s="334" t="e">
        <f t="shared" ca="1" si="5014"/>
        <v>#VALUE!</v>
      </c>
      <c r="BM298" s="335" t="str">
        <f ca="1">IFERROR(__xludf.DUMMYFUNCTION("INDEX(IMPORTRANGE(""https://docs.google.com/spreadsheets/d/1ierEhD6gcq51HAm433knjnVwey4ZE5DCnu1bW7PRG3E/edit"",""Wzrost w województwach!B32:ZZ47""),14,ROW()-3)"),"")</f>
        <v/>
      </c>
      <c r="BN298" s="339" t="str">
        <f ca="1">IFERROR(__xludf.DUMMYFUNCTION("INDEX(IMPORTRANGE(""https://docs.google.com/spreadsheets/d/1ierEhD6gcq51HAm433knjnVwey4ZE5DCnu1bW7PRG3E/edit"",""Wzrost w województwach!B72:ZZ87""),14,ROW()-3)"),"")</f>
        <v/>
      </c>
      <c r="BO298" s="316" t="e">
        <f t="shared" ref="BO298:BP298" ca="1" si="5015">IF(ISBLANK(BQ298),,BQ298-BQ297)</f>
        <v>#VALUE!</v>
      </c>
      <c r="BP298" s="334" t="e">
        <f t="shared" ca="1" si="5015"/>
        <v>#VALUE!</v>
      </c>
      <c r="BQ298" s="335" t="str">
        <f ca="1">IFERROR(__xludf.DUMMYFUNCTION("INDEX(IMPORTRANGE(""https://docs.google.com/spreadsheets/d/1ierEhD6gcq51HAm433knjnVwey4ZE5DCnu1bW7PRG3E/edit"",""Wzrost w województwach!B32:ZZ47""),15,ROW()-3)"),"")</f>
        <v/>
      </c>
      <c r="BR298" s="336" t="str">
        <f ca="1">IFERROR(__xludf.DUMMYFUNCTION("INDEX(IMPORTRANGE(""https://docs.google.com/spreadsheets/d/1ierEhD6gcq51HAm433knjnVwey4ZE5DCnu1bW7PRG3E/edit"",""Wzrost w województwach!B72:ZZ87""),15,ROW()-3)"),"")</f>
        <v/>
      </c>
      <c r="BS298" s="316" t="e">
        <f t="shared" ref="BS298:BT298" ca="1" si="5016">IF(ISBLANK(BU298),,BU298-BU297)</f>
        <v>#VALUE!</v>
      </c>
      <c r="BT298" s="334" t="e">
        <f t="shared" ca="1" si="5016"/>
        <v>#VALUE!</v>
      </c>
      <c r="BU298" s="335" t="str">
        <f ca="1">IFERROR(__xludf.DUMMYFUNCTION("INDEX(IMPORTRANGE(""https://docs.google.com/spreadsheets/d/1ierEhD6gcq51HAm433knjnVwey4ZE5DCnu1bW7PRG3E/edit"",""Wzrost w województwach!B32:ZZ47""),16,ROW()-3)"),"")</f>
        <v/>
      </c>
      <c r="BV298" s="336" t="str">
        <f ca="1">IFERROR(__xludf.DUMMYFUNCTION("INDEX(IMPORTRANGE(""https://docs.google.com/spreadsheets/d/1ierEhD6gcq51HAm433knjnVwey4ZE5DCnu1bW7PRG3E/edit"",""Wzrost w województwach!B72:ZZ87""),16,ROW()-3)"),"")</f>
        <v/>
      </c>
    </row>
    <row r="299" spans="1:83" x14ac:dyDescent="0.25">
      <c r="A299" s="341">
        <v>44189</v>
      </c>
      <c r="B299" s="314">
        <f t="shared" si="1276"/>
        <v>296</v>
      </c>
      <c r="C299" s="315"/>
      <c r="D299" s="316"/>
      <c r="E299" s="317"/>
      <c r="F299" s="342"/>
      <c r="G299" s="344"/>
      <c r="H299" s="330">
        <f t="shared" ref="H299:I299" si="5017">IF(ISBLANK(D299),,H298+D299)</f>
        <v>0</v>
      </c>
      <c r="I299" s="331">
        <f t="shared" si="5017"/>
        <v>0</v>
      </c>
      <c r="J299" s="332">
        <f t="shared" si="1"/>
        <v>0</v>
      </c>
      <c r="K299" s="333" t="e">
        <f t="shared" ref="K299:L299" ca="1" si="5018">IF(ISBLANK(M299),,M299-M298)</f>
        <v>#VALUE!</v>
      </c>
      <c r="L299" s="334" t="e">
        <f t="shared" ca="1" si="5018"/>
        <v>#VALUE!</v>
      </c>
      <c r="M299" s="335" t="str">
        <f ca="1">IFERROR(__xludf.DUMMYFUNCTION("INDEX(IMPORTRANGE(""https://docs.google.com/spreadsheets/d/1ierEhD6gcq51HAm433knjnVwey4ZE5DCnu1bW7PRG3E/edit"",""Wzrost w województwach!B32:ZZ47""),1,ROW()-3)"),"")</f>
        <v/>
      </c>
      <c r="N299" s="336" t="str">
        <f ca="1">IFERROR(__xludf.DUMMYFUNCTION("INDEX(IMPORTRANGE(""https://docs.google.com/spreadsheets/d/1ierEhD6gcq51HAm433knjnVwey4ZE5DCnu1bW7PRG3E/edit"",""Wzrost w województwach!B72:ZZ87""),1,ROW()-3)"),"")</f>
        <v/>
      </c>
      <c r="O299" s="337" t="e">
        <f t="shared" ref="O299:P299" ca="1" si="5019">IF(ISBLANK(Q299),,Q299-Q298)</f>
        <v>#VALUE!</v>
      </c>
      <c r="P299" s="338" t="e">
        <f t="shared" ca="1" si="5019"/>
        <v>#VALUE!</v>
      </c>
      <c r="Q299" s="335" t="str">
        <f ca="1">IFERROR(__xludf.DUMMYFUNCTION("INDEX(IMPORTRANGE(""https://docs.google.com/spreadsheets/d/1ierEhD6gcq51HAm433knjnVwey4ZE5DCnu1bW7PRG3E/edit"",""Wzrost w województwach!B32:ZZ47""),2,ROW()-3)"),"")</f>
        <v/>
      </c>
      <c r="R299" s="339" t="str">
        <f ca="1">IFERROR(__xludf.DUMMYFUNCTION("INDEX(IMPORTRANGE(""https://docs.google.com/spreadsheets/d/1ierEhD6gcq51HAm433knjnVwey4ZE5DCnu1bW7PRG3E/edit"",""Wzrost w województwach!B72:ZZ87""),2,ROW()-3)"),"")</f>
        <v/>
      </c>
      <c r="S299" s="316" t="e">
        <f t="shared" ref="S299:T299" ca="1" si="5020">IF(ISBLANK(U299),,U299-U298)</f>
        <v>#VALUE!</v>
      </c>
      <c r="T299" s="334" t="e">
        <f t="shared" ca="1" si="5020"/>
        <v>#VALUE!</v>
      </c>
      <c r="U299" s="335" t="str">
        <f ca="1">IFERROR(__xludf.DUMMYFUNCTION("INDEX(IMPORTRANGE(""https://docs.google.com/spreadsheets/d/1ierEhD6gcq51HAm433knjnVwey4ZE5DCnu1bW7PRG3E/edit"",""Wzrost w województwach!B32:ZZ47""),3,ROW()-3)"),"")</f>
        <v/>
      </c>
      <c r="V299" s="336" t="str">
        <f ca="1">IFERROR(__xludf.DUMMYFUNCTION("INDEX(IMPORTRANGE(""https://docs.google.com/spreadsheets/d/1ierEhD6gcq51HAm433knjnVwey4ZE5DCnu1bW7PRG3E/edit"",""Wzrost w województwach!B72:ZZ87""),3,ROW()-3)"),"")</f>
        <v/>
      </c>
      <c r="W299" s="337" t="e">
        <f t="shared" ref="W299:X299" ca="1" si="5021">IF(ISBLANK(Y299),,Y299-Y298)</f>
        <v>#VALUE!</v>
      </c>
      <c r="X299" s="334" t="e">
        <f t="shared" ca="1" si="5021"/>
        <v>#VALUE!</v>
      </c>
      <c r="Y299" s="335" t="str">
        <f ca="1">IFERROR(__xludf.DUMMYFUNCTION("INDEX(IMPORTRANGE(""https://docs.google.com/spreadsheets/d/1ierEhD6gcq51HAm433knjnVwey4ZE5DCnu1bW7PRG3E/edit"",""Wzrost w województwach!B32:ZZ47""),4,ROW()-3)"),"")</f>
        <v/>
      </c>
      <c r="Z299" s="340" t="str">
        <f ca="1">IFERROR(__xludf.DUMMYFUNCTION("INDEX(IMPORTRANGE(""https://docs.google.com/spreadsheets/d/1ierEhD6gcq51HAm433knjnVwey4ZE5DCnu1bW7PRG3E/edit"",""Wzrost w województwach!B72:ZZ87""),4,ROW()-3)"),"")</f>
        <v/>
      </c>
      <c r="AA299" s="316" t="e">
        <f t="shared" ref="AA299:AB299" ca="1" si="5022">IF(ISBLANK(AC299),,AC299-AC298)</f>
        <v>#VALUE!</v>
      </c>
      <c r="AB299" s="334" t="e">
        <f t="shared" ca="1" si="5022"/>
        <v>#VALUE!</v>
      </c>
      <c r="AC299" s="335" t="str">
        <f ca="1">IFERROR(__xludf.DUMMYFUNCTION("INDEX(IMPORTRANGE(""https://docs.google.com/spreadsheets/d/1ierEhD6gcq51HAm433knjnVwey4ZE5DCnu1bW7PRG3E/edit"",""Wzrost w województwach!B32:ZZ47""),5,ROW()-3)"),"")</f>
        <v/>
      </c>
      <c r="AD299" s="336" t="str">
        <f ca="1">IFERROR(__xludf.DUMMYFUNCTION("INDEX(IMPORTRANGE(""https://docs.google.com/spreadsheets/d/1ierEhD6gcq51HAm433knjnVwey4ZE5DCnu1bW7PRG3E/edit"",""Wzrost w województwach!B72:ZZ87""),5,ROW()-3)"),"")</f>
        <v/>
      </c>
      <c r="AE299" s="337" t="e">
        <f t="shared" ref="AE299:AF299" ca="1" si="5023">IF(ISBLANK(AG299),,AG299-AG298)</f>
        <v>#VALUE!</v>
      </c>
      <c r="AF299" s="334" t="e">
        <f t="shared" ca="1" si="5023"/>
        <v>#VALUE!</v>
      </c>
      <c r="AG299" s="335" t="str">
        <f ca="1">IFERROR(__xludf.DUMMYFUNCTION("INDEX(IMPORTRANGE(""https://docs.google.com/spreadsheets/d/1ierEhD6gcq51HAm433knjnVwey4ZE5DCnu1bW7PRG3E/edit"",""Wzrost w województwach!B32:ZZ47""),6,ROW()-3)"),"")</f>
        <v/>
      </c>
      <c r="AH299" s="339" t="str">
        <f ca="1">IFERROR(__xludf.DUMMYFUNCTION("INDEX(IMPORTRANGE(""https://docs.google.com/spreadsheets/d/1ierEhD6gcq51HAm433knjnVwey4ZE5DCnu1bW7PRG3E/edit"",""Wzrost w województwach!B72:ZZ87""),6,ROW()-3)"),"")</f>
        <v/>
      </c>
      <c r="AI299" s="316" t="e">
        <f t="shared" ref="AI299:AJ299" ca="1" si="5024">IF(ISBLANK(AK299),,AK299-AK298)</f>
        <v>#VALUE!</v>
      </c>
      <c r="AJ299" s="334" t="e">
        <f t="shared" ca="1" si="5024"/>
        <v>#VALUE!</v>
      </c>
      <c r="AK299" s="335" t="str">
        <f ca="1">IFERROR(__xludf.DUMMYFUNCTION("INDEX(IMPORTRANGE(""https://docs.google.com/spreadsheets/d/1ierEhD6gcq51HAm433knjnVwey4ZE5DCnu1bW7PRG3E/edit"",""Wzrost w województwach!B32:ZZ47""),7,ROW()-3)"),"")</f>
        <v/>
      </c>
      <c r="AL299" s="336" t="str">
        <f ca="1">IFERROR(__xludf.DUMMYFUNCTION("INDEX(IMPORTRANGE(""https://docs.google.com/spreadsheets/d/1ierEhD6gcq51HAm433knjnVwey4ZE5DCnu1bW7PRG3E/edit"",""Wzrost w województwach!B72:ZZ87""),7,ROW()-3)"),"")</f>
        <v/>
      </c>
      <c r="AM299" s="337" t="e">
        <f t="shared" ref="AM299:AN299" ca="1" si="5025">IF(ISBLANK(AO299),,AO299-AO298)</f>
        <v>#VALUE!</v>
      </c>
      <c r="AN299" s="334" t="e">
        <f t="shared" ca="1" si="5025"/>
        <v>#VALUE!</v>
      </c>
      <c r="AO299" s="335" t="str">
        <f ca="1">IFERROR(__xludf.DUMMYFUNCTION("INDEX(IMPORTRANGE(""https://docs.google.com/spreadsheets/d/1ierEhD6gcq51HAm433knjnVwey4ZE5DCnu1bW7PRG3E/edit"",""Wzrost w województwach!B32:ZZ47""),8,ROW()-3)"),"")</f>
        <v/>
      </c>
      <c r="AP299" s="339" t="str">
        <f ca="1">IFERROR(__xludf.DUMMYFUNCTION("INDEX(IMPORTRANGE(""https://docs.google.com/spreadsheets/d/1ierEhD6gcq51HAm433knjnVwey4ZE5DCnu1bW7PRG3E/edit"",""Wzrost w województwach!B72:ZZ87""),8,ROW()-3)"),"")</f>
        <v/>
      </c>
      <c r="AQ299" s="316" t="e">
        <f t="shared" ref="AQ299:AR299" ca="1" si="5026">IF(ISBLANK(AS299),,AS299-AS298)</f>
        <v>#VALUE!</v>
      </c>
      <c r="AR299" s="338" t="e">
        <f t="shared" ca="1" si="5026"/>
        <v>#VALUE!</v>
      </c>
      <c r="AS299" s="335" t="str">
        <f ca="1">IFERROR(__xludf.DUMMYFUNCTION("INDEX(IMPORTRANGE(""https://docs.google.com/spreadsheets/d/1ierEhD6gcq51HAm433knjnVwey4ZE5DCnu1bW7PRG3E/edit"",""Wzrost w województwach!B32:ZZ47""),9,ROW()-3)"),"")</f>
        <v/>
      </c>
      <c r="AT299" s="336" t="str">
        <f ca="1">IFERROR(__xludf.DUMMYFUNCTION("INDEX(IMPORTRANGE(""https://docs.google.com/spreadsheets/d/1ierEhD6gcq51HAm433knjnVwey4ZE5DCnu1bW7PRG3E/edit"",""Wzrost w województwach!B72:ZZ87""),9,ROW()-3)"),"")</f>
        <v/>
      </c>
      <c r="AU299" s="337" t="e">
        <f t="shared" ref="AU299:AV299" ca="1" si="5027">IF(ISBLANK(AW299),,AW299-AW298)</f>
        <v>#VALUE!</v>
      </c>
      <c r="AV299" s="334" t="e">
        <f t="shared" ca="1" si="5027"/>
        <v>#VALUE!</v>
      </c>
      <c r="AW299" s="335" t="str">
        <f ca="1">IFERROR(__xludf.DUMMYFUNCTION("INDEX(IMPORTRANGE(""https://docs.google.com/spreadsheets/d/1ierEhD6gcq51HAm433knjnVwey4ZE5DCnu1bW7PRG3E/edit"",""Wzrost w województwach!B32:ZZ47""),10,ROW()-3)"),"")</f>
        <v/>
      </c>
      <c r="AX299" s="339" t="str">
        <f ca="1">IFERROR(__xludf.DUMMYFUNCTION("INDEX(IMPORTRANGE(""https://docs.google.com/spreadsheets/d/1ierEhD6gcq51HAm433knjnVwey4ZE5DCnu1bW7PRG3E/edit"",""Wzrost w województwach!B72:ZZ87""),10,ROW()-3)"),"")</f>
        <v/>
      </c>
      <c r="AY299" s="316" t="e">
        <f t="shared" ref="AY299:AZ299" ca="1" si="5028">IF(ISBLANK(BA299),,BA299-BA298)</f>
        <v>#VALUE!</v>
      </c>
      <c r="AZ299" s="334" t="e">
        <f t="shared" ca="1" si="5028"/>
        <v>#VALUE!</v>
      </c>
      <c r="BA299" s="335" t="str">
        <f ca="1">IFERROR(__xludf.DUMMYFUNCTION("INDEX(IMPORTRANGE(""https://docs.google.com/spreadsheets/d/1ierEhD6gcq51HAm433knjnVwey4ZE5DCnu1bW7PRG3E/edit"",""Wzrost w województwach!B32:ZZ47""),11,ROW()-3)"),"")</f>
        <v/>
      </c>
      <c r="BB299" s="336" t="str">
        <f ca="1">IFERROR(__xludf.DUMMYFUNCTION("INDEX(IMPORTRANGE(""https://docs.google.com/spreadsheets/d/1ierEhD6gcq51HAm433knjnVwey4ZE5DCnu1bW7PRG3E/edit"",""Wzrost w województwach!B72:ZZ87""),11,ROW()-3)"),"")</f>
        <v/>
      </c>
      <c r="BC299" s="337" t="e">
        <f t="shared" ref="BC299:BD299" ca="1" si="5029">IF(ISBLANK(BE299),,BE299-BE298)</f>
        <v>#VALUE!</v>
      </c>
      <c r="BD299" s="334" t="e">
        <f t="shared" ca="1" si="5029"/>
        <v>#VALUE!</v>
      </c>
      <c r="BE299" s="335" t="str">
        <f ca="1">IFERROR(__xludf.DUMMYFUNCTION("INDEX(IMPORTRANGE(""https://docs.google.com/spreadsheets/d/1ierEhD6gcq51HAm433knjnVwey4ZE5DCnu1bW7PRG3E/edit"",""Wzrost w województwach!B32:ZZ47""),12,ROW()-3)"),"")</f>
        <v/>
      </c>
      <c r="BF299" s="339" t="str">
        <f ca="1">IFERROR(__xludf.DUMMYFUNCTION("INDEX(IMPORTRANGE(""https://docs.google.com/spreadsheets/d/1ierEhD6gcq51HAm433knjnVwey4ZE5DCnu1bW7PRG3E/edit"",""Wzrost w województwach!B72:ZZ87""),12,ROW()-3)"),"")</f>
        <v/>
      </c>
      <c r="BG299" s="316" t="e">
        <f t="shared" ref="BG299:BH299" ca="1" si="5030">IF(ISBLANK(BI299),,BI299-BI298)</f>
        <v>#VALUE!</v>
      </c>
      <c r="BH299" s="334" t="e">
        <f t="shared" ca="1" si="5030"/>
        <v>#VALUE!</v>
      </c>
      <c r="BI299" s="335" t="str">
        <f ca="1">IFERROR(__xludf.DUMMYFUNCTION("INDEX(IMPORTRANGE(""https://docs.google.com/spreadsheets/d/1ierEhD6gcq51HAm433knjnVwey4ZE5DCnu1bW7PRG3E/edit"",""Wzrost w województwach!B32:ZZ47""),13,ROW()-3)"),"")</f>
        <v/>
      </c>
      <c r="BJ299" s="336" t="str">
        <f ca="1">IFERROR(__xludf.DUMMYFUNCTION("INDEX(IMPORTRANGE(""https://docs.google.com/spreadsheets/d/1ierEhD6gcq51HAm433knjnVwey4ZE5DCnu1bW7PRG3E/edit"",""Wzrost w województwach!B72:ZZ87""),13,ROW()-3)"),"")</f>
        <v/>
      </c>
      <c r="BK299" s="337" t="e">
        <f t="shared" ref="BK299:BL299" ca="1" si="5031">IF(ISBLANK(BM299),,BM299-BM298)</f>
        <v>#VALUE!</v>
      </c>
      <c r="BL299" s="334" t="e">
        <f t="shared" ca="1" si="5031"/>
        <v>#VALUE!</v>
      </c>
      <c r="BM299" s="335" t="str">
        <f ca="1">IFERROR(__xludf.DUMMYFUNCTION("INDEX(IMPORTRANGE(""https://docs.google.com/spreadsheets/d/1ierEhD6gcq51HAm433knjnVwey4ZE5DCnu1bW7PRG3E/edit"",""Wzrost w województwach!B32:ZZ47""),14,ROW()-3)"),"")</f>
        <v/>
      </c>
      <c r="BN299" s="339" t="str">
        <f ca="1">IFERROR(__xludf.DUMMYFUNCTION("INDEX(IMPORTRANGE(""https://docs.google.com/spreadsheets/d/1ierEhD6gcq51HAm433knjnVwey4ZE5DCnu1bW7PRG3E/edit"",""Wzrost w województwach!B72:ZZ87""),14,ROW()-3)"),"")</f>
        <v/>
      </c>
      <c r="BO299" s="316" t="e">
        <f t="shared" ref="BO299:BP299" ca="1" si="5032">IF(ISBLANK(BQ299),,BQ299-BQ298)</f>
        <v>#VALUE!</v>
      </c>
      <c r="BP299" s="334" t="e">
        <f t="shared" ca="1" si="5032"/>
        <v>#VALUE!</v>
      </c>
      <c r="BQ299" s="335" t="str">
        <f ca="1">IFERROR(__xludf.DUMMYFUNCTION("INDEX(IMPORTRANGE(""https://docs.google.com/spreadsheets/d/1ierEhD6gcq51HAm433knjnVwey4ZE5DCnu1bW7PRG3E/edit"",""Wzrost w województwach!B32:ZZ47""),15,ROW()-3)"),"")</f>
        <v/>
      </c>
      <c r="BR299" s="336" t="str">
        <f ca="1">IFERROR(__xludf.DUMMYFUNCTION("INDEX(IMPORTRANGE(""https://docs.google.com/spreadsheets/d/1ierEhD6gcq51HAm433knjnVwey4ZE5DCnu1bW7PRG3E/edit"",""Wzrost w województwach!B72:ZZ87""),15,ROW()-3)"),"")</f>
        <v/>
      </c>
      <c r="BS299" s="316" t="e">
        <f t="shared" ref="BS299:BT299" ca="1" si="5033">IF(ISBLANK(BU299),,BU299-BU298)</f>
        <v>#VALUE!</v>
      </c>
      <c r="BT299" s="334" t="e">
        <f t="shared" ca="1" si="5033"/>
        <v>#VALUE!</v>
      </c>
      <c r="BU299" s="335" t="str">
        <f ca="1">IFERROR(__xludf.DUMMYFUNCTION("INDEX(IMPORTRANGE(""https://docs.google.com/spreadsheets/d/1ierEhD6gcq51HAm433knjnVwey4ZE5DCnu1bW7PRG3E/edit"",""Wzrost w województwach!B32:ZZ47""),16,ROW()-3)"),"")</f>
        <v/>
      </c>
      <c r="BV299" s="336" t="str">
        <f ca="1">IFERROR(__xludf.DUMMYFUNCTION("INDEX(IMPORTRANGE(""https://docs.google.com/spreadsheets/d/1ierEhD6gcq51HAm433knjnVwey4ZE5DCnu1bW7PRG3E/edit"",""Wzrost w województwach!B72:ZZ87""),16,ROW()-3)"),"")</f>
        <v/>
      </c>
    </row>
    <row r="300" spans="1:83" x14ac:dyDescent="0.25">
      <c r="A300" s="345"/>
      <c r="B300" s="284"/>
      <c r="D300" s="346"/>
      <c r="E300" s="347"/>
      <c r="F300" s="348"/>
      <c r="G300" s="349"/>
      <c r="H300" s="350"/>
      <c r="I300" s="351"/>
      <c r="J300" s="352"/>
      <c r="K300" s="346"/>
      <c r="L300" s="353"/>
      <c r="M300" s="350"/>
      <c r="N300" s="351"/>
      <c r="O300" s="346"/>
      <c r="P300" s="354"/>
      <c r="Q300" s="350"/>
      <c r="R300" s="351"/>
      <c r="S300" s="346"/>
      <c r="T300" s="353"/>
      <c r="U300" s="350"/>
      <c r="V300" s="351"/>
      <c r="W300" s="346"/>
      <c r="X300" s="353"/>
      <c r="Y300" s="350"/>
      <c r="Z300" s="351"/>
      <c r="AA300" s="346"/>
      <c r="AB300" s="353"/>
      <c r="AC300" s="350"/>
      <c r="AD300" s="351"/>
      <c r="AE300" s="346"/>
      <c r="AF300" s="353"/>
      <c r="AG300" s="350"/>
      <c r="AH300" s="351"/>
      <c r="AI300" s="346"/>
      <c r="AJ300" s="353"/>
      <c r="AK300" s="350"/>
      <c r="AL300" s="351"/>
      <c r="AM300" s="346"/>
      <c r="AN300" s="353"/>
      <c r="AO300" s="350"/>
      <c r="AP300" s="351"/>
      <c r="AQ300" s="346"/>
      <c r="AR300" s="354"/>
      <c r="AS300" s="350"/>
      <c r="AT300" s="351"/>
      <c r="AU300" s="346"/>
      <c r="AV300" s="353"/>
      <c r="AW300" s="350"/>
      <c r="AX300" s="351"/>
      <c r="AY300" s="346"/>
      <c r="AZ300" s="353"/>
      <c r="BA300" s="350"/>
      <c r="BB300" s="351"/>
      <c r="BC300" s="346"/>
      <c r="BD300" s="353"/>
      <c r="BE300" s="350"/>
      <c r="BF300" s="351"/>
      <c r="BG300" s="346"/>
      <c r="BH300" s="353"/>
      <c r="BI300" s="350"/>
      <c r="BJ300" s="351"/>
      <c r="BK300" s="346"/>
      <c r="BL300" s="353"/>
      <c r="BM300" s="350"/>
      <c r="BN300" s="351"/>
      <c r="BO300" s="346"/>
      <c r="BP300" s="353"/>
      <c r="BQ300" s="350"/>
      <c r="BR300" s="351"/>
      <c r="BS300" s="346"/>
      <c r="BT300" s="353"/>
      <c r="BU300" s="350"/>
      <c r="BV300" s="351"/>
    </row>
    <row r="301" spans="1:83" x14ac:dyDescent="0.25">
      <c r="A301" s="345"/>
      <c r="B301" s="284"/>
      <c r="D301" s="346"/>
      <c r="E301" s="347"/>
      <c r="F301" s="348"/>
      <c r="G301" s="349"/>
      <c r="H301" s="350"/>
      <c r="I301" s="351"/>
      <c r="J301" s="352"/>
      <c r="K301" s="346"/>
      <c r="L301" s="353"/>
      <c r="M301" s="350"/>
      <c r="N301" s="351"/>
      <c r="O301" s="346"/>
      <c r="P301" s="354"/>
      <c r="Q301" s="350"/>
      <c r="R301" s="351"/>
      <c r="S301" s="346"/>
      <c r="T301" s="353"/>
      <c r="U301" s="350"/>
      <c r="V301" s="351"/>
      <c r="W301" s="346"/>
      <c r="X301" s="353"/>
      <c r="Y301" s="350"/>
      <c r="Z301" s="351"/>
      <c r="AA301" s="346"/>
      <c r="AB301" s="353"/>
      <c r="AC301" s="350"/>
      <c r="AD301" s="351"/>
      <c r="AE301" s="346"/>
      <c r="AF301" s="353"/>
      <c r="AG301" s="350"/>
      <c r="AH301" s="351"/>
      <c r="AI301" s="346"/>
      <c r="AJ301" s="353"/>
      <c r="AK301" s="350"/>
      <c r="AL301" s="351"/>
      <c r="AM301" s="346"/>
      <c r="AN301" s="353"/>
      <c r="AO301" s="350"/>
      <c r="AP301" s="351"/>
      <c r="AQ301" s="346"/>
      <c r="AR301" s="354"/>
      <c r="AS301" s="350"/>
      <c r="AT301" s="351"/>
      <c r="AU301" s="346"/>
      <c r="AV301" s="353"/>
      <c r="AW301" s="350"/>
      <c r="AX301" s="351"/>
      <c r="AY301" s="346"/>
      <c r="AZ301" s="353"/>
      <c r="BA301" s="350"/>
      <c r="BB301" s="351"/>
      <c r="BC301" s="346"/>
      <c r="BD301" s="353"/>
      <c r="BE301" s="350"/>
      <c r="BF301" s="351"/>
      <c r="BG301" s="346"/>
      <c r="BH301" s="353"/>
      <c r="BI301" s="350"/>
      <c r="BJ301" s="351"/>
      <c r="BK301" s="346"/>
      <c r="BL301" s="353"/>
      <c r="BM301" s="350"/>
      <c r="BN301" s="351"/>
      <c r="BO301" s="346"/>
      <c r="BP301" s="353"/>
      <c r="BQ301" s="350"/>
      <c r="BR301" s="351"/>
      <c r="BS301" s="346"/>
      <c r="BT301" s="353"/>
      <c r="BU301" s="350"/>
      <c r="BV301" s="351"/>
    </row>
    <row r="302" spans="1:83" x14ac:dyDescent="0.25">
      <c r="A302" s="345"/>
      <c r="B302" s="284"/>
      <c r="D302" s="346"/>
      <c r="E302" s="347"/>
      <c r="F302" s="348"/>
      <c r="G302" s="349"/>
      <c r="H302" s="350"/>
      <c r="I302" s="351"/>
      <c r="J302" s="352"/>
      <c r="K302" s="346"/>
      <c r="L302" s="353"/>
      <c r="M302" s="350"/>
      <c r="N302" s="351"/>
      <c r="O302" s="346"/>
      <c r="P302" s="354"/>
      <c r="Q302" s="350"/>
      <c r="R302" s="351"/>
      <c r="S302" s="346"/>
      <c r="T302" s="353"/>
      <c r="U302" s="350"/>
      <c r="V302" s="351"/>
      <c r="W302" s="346"/>
      <c r="X302" s="353"/>
      <c r="Y302" s="350"/>
      <c r="Z302" s="351"/>
      <c r="AA302" s="346"/>
      <c r="AB302" s="353"/>
      <c r="AC302" s="350"/>
      <c r="AD302" s="351"/>
      <c r="AE302" s="346"/>
      <c r="AF302" s="353"/>
      <c r="AG302" s="350"/>
      <c r="AH302" s="351"/>
      <c r="AI302" s="346"/>
      <c r="AJ302" s="353"/>
      <c r="AK302" s="350"/>
      <c r="AL302" s="351"/>
      <c r="AM302" s="346"/>
      <c r="AN302" s="353"/>
      <c r="AO302" s="350"/>
      <c r="AP302" s="351"/>
      <c r="AQ302" s="346"/>
      <c r="AR302" s="354"/>
      <c r="AS302" s="350"/>
      <c r="AT302" s="351"/>
      <c r="AU302" s="346"/>
      <c r="AV302" s="353"/>
      <c r="AW302" s="350"/>
      <c r="AX302" s="351"/>
      <c r="AY302" s="346"/>
      <c r="AZ302" s="353"/>
      <c r="BA302" s="350"/>
      <c r="BB302" s="351"/>
      <c r="BC302" s="346"/>
      <c r="BD302" s="353"/>
      <c r="BE302" s="350"/>
      <c r="BF302" s="351"/>
      <c r="BG302" s="346"/>
      <c r="BH302" s="353"/>
      <c r="BI302" s="350"/>
      <c r="BJ302" s="351"/>
      <c r="BK302" s="346"/>
      <c r="BL302" s="353"/>
      <c r="BM302" s="350"/>
      <c r="BN302" s="351"/>
      <c r="BO302" s="346"/>
      <c r="BP302" s="353"/>
      <c r="BQ302" s="350"/>
      <c r="BR302" s="351"/>
      <c r="BS302" s="346"/>
      <c r="BT302" s="353"/>
      <c r="BU302" s="350"/>
      <c r="BV302" s="351"/>
    </row>
    <row r="303" spans="1:83" x14ac:dyDescent="0.25">
      <c r="A303" s="345"/>
      <c r="B303" s="284"/>
      <c r="D303" s="346"/>
      <c r="E303" s="347"/>
      <c r="F303" s="348"/>
      <c r="G303" s="349"/>
      <c r="H303" s="350"/>
      <c r="I303" s="351"/>
      <c r="J303" s="352"/>
      <c r="K303" s="346"/>
      <c r="L303" s="353"/>
      <c r="M303" s="350"/>
      <c r="N303" s="351"/>
      <c r="O303" s="346"/>
      <c r="P303" s="354"/>
      <c r="Q303" s="350"/>
      <c r="R303" s="351"/>
      <c r="S303" s="346"/>
      <c r="T303" s="353"/>
      <c r="U303" s="350"/>
      <c r="V303" s="351"/>
      <c r="W303" s="346"/>
      <c r="X303" s="353"/>
      <c r="Y303" s="350"/>
      <c r="Z303" s="351"/>
      <c r="AA303" s="346"/>
      <c r="AB303" s="353"/>
      <c r="AC303" s="350"/>
      <c r="AD303" s="351"/>
      <c r="AE303" s="346"/>
      <c r="AF303" s="353"/>
      <c r="AG303" s="350"/>
      <c r="AH303" s="351"/>
      <c r="AI303" s="346"/>
      <c r="AJ303" s="353"/>
      <c r="AK303" s="350"/>
      <c r="AL303" s="351"/>
      <c r="AM303" s="346"/>
      <c r="AN303" s="353"/>
      <c r="AO303" s="350"/>
      <c r="AP303" s="351"/>
      <c r="AQ303" s="346"/>
      <c r="AR303" s="354"/>
      <c r="AS303" s="350"/>
      <c r="AT303" s="351"/>
      <c r="AU303" s="346"/>
      <c r="AV303" s="353"/>
      <c r="AW303" s="350"/>
      <c r="AX303" s="351"/>
      <c r="AY303" s="346"/>
      <c r="AZ303" s="353"/>
      <c r="BA303" s="350"/>
      <c r="BB303" s="351"/>
      <c r="BC303" s="346"/>
      <c r="BD303" s="353"/>
      <c r="BE303" s="350"/>
      <c r="BF303" s="351"/>
      <c r="BG303" s="346"/>
      <c r="BH303" s="353"/>
      <c r="BI303" s="350"/>
      <c r="BJ303" s="351"/>
      <c r="BK303" s="346"/>
      <c r="BL303" s="353"/>
      <c r="BM303" s="350"/>
      <c r="BN303" s="351"/>
      <c r="BO303" s="346"/>
      <c r="BP303" s="353"/>
      <c r="BQ303" s="350"/>
      <c r="BR303" s="351"/>
      <c r="BS303" s="346"/>
      <c r="BT303" s="353"/>
      <c r="BU303" s="350"/>
      <c r="BV303" s="351"/>
    </row>
    <row r="304" spans="1:83" x14ac:dyDescent="0.25">
      <c r="A304" s="345"/>
      <c r="B304" s="284"/>
      <c r="D304" s="346"/>
      <c r="E304" s="347"/>
      <c r="F304" s="348"/>
      <c r="G304" s="349"/>
      <c r="H304" s="350"/>
      <c r="I304" s="351"/>
      <c r="J304" s="352"/>
      <c r="K304" s="346"/>
      <c r="L304" s="353"/>
      <c r="M304" s="350"/>
      <c r="N304" s="351"/>
      <c r="O304" s="346"/>
      <c r="P304" s="354"/>
      <c r="Q304" s="350"/>
      <c r="R304" s="351"/>
      <c r="S304" s="346"/>
      <c r="T304" s="353"/>
      <c r="U304" s="350"/>
      <c r="V304" s="351"/>
      <c r="W304" s="346"/>
      <c r="X304" s="353"/>
      <c r="Y304" s="350"/>
      <c r="Z304" s="351"/>
      <c r="AA304" s="346"/>
      <c r="AB304" s="353"/>
      <c r="AC304" s="350"/>
      <c r="AD304" s="351"/>
      <c r="AE304" s="346"/>
      <c r="AF304" s="353"/>
      <c r="AG304" s="350"/>
      <c r="AH304" s="351"/>
      <c r="AI304" s="346"/>
      <c r="AJ304" s="353"/>
      <c r="AK304" s="350"/>
      <c r="AL304" s="351"/>
      <c r="AM304" s="346"/>
      <c r="AN304" s="353"/>
      <c r="AO304" s="350"/>
      <c r="AP304" s="351"/>
      <c r="AQ304" s="346"/>
      <c r="AR304" s="354"/>
      <c r="AS304" s="350"/>
      <c r="AT304" s="351"/>
      <c r="AU304" s="346"/>
      <c r="AV304" s="353"/>
      <c r="AW304" s="350"/>
      <c r="AX304" s="351"/>
      <c r="AY304" s="346"/>
      <c r="AZ304" s="353"/>
      <c r="BA304" s="350"/>
      <c r="BB304" s="351"/>
      <c r="BC304" s="346"/>
      <c r="BD304" s="353"/>
      <c r="BE304" s="350"/>
      <c r="BF304" s="351"/>
      <c r="BG304" s="346"/>
      <c r="BH304" s="353"/>
      <c r="BI304" s="350"/>
      <c r="BJ304" s="351"/>
      <c r="BK304" s="346"/>
      <c r="BL304" s="353"/>
      <c r="BM304" s="350"/>
      <c r="BN304" s="351"/>
      <c r="BO304" s="346"/>
      <c r="BP304" s="353"/>
      <c r="BQ304" s="350"/>
      <c r="BR304" s="351"/>
      <c r="BS304" s="346"/>
      <c r="BT304" s="353"/>
      <c r="BU304" s="350"/>
      <c r="BV304" s="351"/>
    </row>
    <row r="305" spans="1:74" x14ac:dyDescent="0.25">
      <c r="A305" s="345"/>
      <c r="B305" s="284"/>
      <c r="D305" s="346"/>
      <c r="E305" s="347"/>
      <c r="F305" s="348"/>
      <c r="G305" s="349"/>
      <c r="H305" s="350"/>
      <c r="I305" s="351"/>
      <c r="J305" s="352"/>
      <c r="K305" s="346"/>
      <c r="L305" s="353"/>
      <c r="M305" s="350"/>
      <c r="N305" s="351"/>
      <c r="O305" s="346"/>
      <c r="P305" s="354"/>
      <c r="Q305" s="350"/>
      <c r="R305" s="351"/>
      <c r="S305" s="346"/>
      <c r="T305" s="353"/>
      <c r="U305" s="350"/>
      <c r="V305" s="351"/>
      <c r="W305" s="346"/>
      <c r="X305" s="353"/>
      <c r="Y305" s="350"/>
      <c r="Z305" s="351"/>
      <c r="AA305" s="346"/>
      <c r="AB305" s="353"/>
      <c r="AC305" s="350"/>
      <c r="AD305" s="351"/>
      <c r="AE305" s="346"/>
      <c r="AF305" s="353"/>
      <c r="AG305" s="350"/>
      <c r="AH305" s="351"/>
      <c r="AI305" s="346"/>
      <c r="AJ305" s="353"/>
      <c r="AK305" s="350"/>
      <c r="AL305" s="351"/>
      <c r="AM305" s="346"/>
      <c r="AN305" s="353"/>
      <c r="AO305" s="350"/>
      <c r="AP305" s="351"/>
      <c r="AQ305" s="346"/>
      <c r="AR305" s="354"/>
      <c r="AS305" s="350"/>
      <c r="AT305" s="351"/>
      <c r="AU305" s="346"/>
      <c r="AV305" s="353"/>
      <c r="AW305" s="350"/>
      <c r="AX305" s="351"/>
      <c r="AY305" s="346"/>
      <c r="AZ305" s="353"/>
      <c r="BA305" s="350"/>
      <c r="BB305" s="351"/>
      <c r="BC305" s="346"/>
      <c r="BD305" s="353"/>
      <c r="BE305" s="350"/>
      <c r="BF305" s="351"/>
      <c r="BG305" s="346"/>
      <c r="BH305" s="353"/>
      <c r="BI305" s="350"/>
      <c r="BJ305" s="351"/>
      <c r="BK305" s="346"/>
      <c r="BL305" s="353"/>
      <c r="BM305" s="350"/>
      <c r="BN305" s="351"/>
      <c r="BO305" s="346"/>
      <c r="BP305" s="353"/>
      <c r="BQ305" s="350"/>
      <c r="BR305" s="351"/>
      <c r="BS305" s="346"/>
      <c r="BT305" s="353"/>
      <c r="BU305" s="350"/>
      <c r="BV305" s="351"/>
    </row>
    <row r="306" spans="1:74" x14ac:dyDescent="0.25">
      <c r="A306" s="345"/>
      <c r="B306" s="284"/>
      <c r="D306" s="346"/>
      <c r="E306" s="347"/>
      <c r="F306" s="348"/>
      <c r="G306" s="349"/>
      <c r="H306" s="350"/>
      <c r="I306" s="351"/>
      <c r="J306" s="352"/>
      <c r="K306" s="346"/>
      <c r="L306" s="353"/>
      <c r="M306" s="350"/>
      <c r="N306" s="351"/>
      <c r="O306" s="346"/>
      <c r="P306" s="354"/>
      <c r="Q306" s="350"/>
      <c r="R306" s="351"/>
      <c r="S306" s="346"/>
      <c r="T306" s="353"/>
      <c r="U306" s="350"/>
      <c r="V306" s="351"/>
      <c r="W306" s="346"/>
      <c r="X306" s="353"/>
      <c r="Y306" s="350"/>
      <c r="Z306" s="351"/>
      <c r="AA306" s="346"/>
      <c r="AB306" s="353"/>
      <c r="AC306" s="350"/>
      <c r="AD306" s="351"/>
      <c r="AE306" s="346"/>
      <c r="AF306" s="353"/>
      <c r="AG306" s="350"/>
      <c r="AH306" s="351"/>
      <c r="AI306" s="346"/>
      <c r="AJ306" s="353"/>
      <c r="AK306" s="350"/>
      <c r="AL306" s="351"/>
      <c r="AM306" s="346"/>
      <c r="AN306" s="353"/>
      <c r="AO306" s="350"/>
      <c r="AP306" s="351"/>
      <c r="AQ306" s="346"/>
      <c r="AR306" s="354"/>
      <c r="AS306" s="350"/>
      <c r="AT306" s="351"/>
      <c r="AU306" s="346"/>
      <c r="AV306" s="353"/>
      <c r="AW306" s="350"/>
      <c r="AX306" s="351"/>
      <c r="AY306" s="346"/>
      <c r="AZ306" s="353"/>
      <c r="BA306" s="350"/>
      <c r="BB306" s="351"/>
      <c r="BC306" s="346"/>
      <c r="BD306" s="353"/>
      <c r="BE306" s="350"/>
      <c r="BF306" s="351"/>
      <c r="BG306" s="346"/>
      <c r="BH306" s="353"/>
      <c r="BI306" s="350"/>
      <c r="BJ306" s="351"/>
      <c r="BK306" s="346"/>
      <c r="BL306" s="353"/>
      <c r="BM306" s="350"/>
      <c r="BN306" s="351"/>
      <c r="BO306" s="346"/>
      <c r="BP306" s="353"/>
      <c r="BQ306" s="350"/>
      <c r="BR306" s="351"/>
      <c r="BS306" s="346"/>
      <c r="BT306" s="353"/>
      <c r="BU306" s="350"/>
      <c r="BV306" s="351"/>
    </row>
    <row r="307" spans="1:74" x14ac:dyDescent="0.25">
      <c r="A307" s="345"/>
      <c r="B307" s="284"/>
      <c r="D307" s="346"/>
      <c r="E307" s="347"/>
      <c r="F307" s="348"/>
      <c r="G307" s="349"/>
      <c r="H307" s="350"/>
      <c r="I307" s="351"/>
      <c r="J307" s="352"/>
      <c r="K307" s="346"/>
      <c r="L307" s="353"/>
      <c r="M307" s="350"/>
      <c r="N307" s="351"/>
      <c r="O307" s="346"/>
      <c r="P307" s="354"/>
      <c r="Q307" s="350"/>
      <c r="R307" s="351"/>
      <c r="S307" s="346"/>
      <c r="T307" s="353"/>
      <c r="U307" s="350"/>
      <c r="V307" s="351"/>
      <c r="W307" s="346"/>
      <c r="X307" s="353"/>
      <c r="Y307" s="350"/>
      <c r="Z307" s="351"/>
      <c r="AA307" s="346"/>
      <c r="AB307" s="353"/>
      <c r="AC307" s="350"/>
      <c r="AD307" s="351"/>
      <c r="AE307" s="346"/>
      <c r="AF307" s="353"/>
      <c r="AG307" s="350"/>
      <c r="AH307" s="351"/>
      <c r="AI307" s="346"/>
      <c r="AJ307" s="353"/>
      <c r="AK307" s="350"/>
      <c r="AL307" s="351"/>
      <c r="AM307" s="346"/>
      <c r="AN307" s="353"/>
      <c r="AO307" s="350"/>
      <c r="AP307" s="351"/>
      <c r="AQ307" s="346"/>
      <c r="AR307" s="354"/>
      <c r="AS307" s="350"/>
      <c r="AT307" s="351"/>
      <c r="AU307" s="346"/>
      <c r="AV307" s="353"/>
      <c r="AW307" s="350"/>
      <c r="AX307" s="351"/>
      <c r="AY307" s="346"/>
      <c r="AZ307" s="353"/>
      <c r="BA307" s="350"/>
      <c r="BB307" s="351"/>
      <c r="BC307" s="346"/>
      <c r="BD307" s="353"/>
      <c r="BE307" s="350"/>
      <c r="BF307" s="351"/>
      <c r="BG307" s="346"/>
      <c r="BH307" s="353"/>
      <c r="BI307" s="350"/>
      <c r="BJ307" s="351"/>
      <c r="BK307" s="346"/>
      <c r="BL307" s="353"/>
      <c r="BM307" s="350"/>
      <c r="BN307" s="351"/>
      <c r="BO307" s="346"/>
      <c r="BP307" s="353"/>
      <c r="BQ307" s="350"/>
      <c r="BR307" s="351"/>
      <c r="BS307" s="346"/>
      <c r="BT307" s="353"/>
      <c r="BU307" s="350"/>
      <c r="BV307" s="351"/>
    </row>
    <row r="308" spans="1:74" x14ac:dyDescent="0.25">
      <c r="A308" s="345"/>
      <c r="B308" s="284"/>
      <c r="D308" s="346"/>
      <c r="E308" s="347"/>
      <c r="F308" s="348"/>
      <c r="G308" s="349"/>
      <c r="H308" s="350"/>
      <c r="I308" s="351"/>
      <c r="J308" s="352"/>
      <c r="K308" s="346"/>
      <c r="L308" s="353"/>
      <c r="M308" s="350"/>
      <c r="N308" s="351"/>
      <c r="O308" s="346"/>
      <c r="P308" s="354"/>
      <c r="Q308" s="350"/>
      <c r="R308" s="351"/>
      <c r="S308" s="346"/>
      <c r="T308" s="353"/>
      <c r="U308" s="350"/>
      <c r="V308" s="351"/>
      <c r="W308" s="346"/>
      <c r="X308" s="353"/>
      <c r="Y308" s="350"/>
      <c r="Z308" s="351"/>
      <c r="AA308" s="346"/>
      <c r="AB308" s="353"/>
      <c r="AC308" s="350"/>
      <c r="AD308" s="351"/>
      <c r="AE308" s="346"/>
      <c r="AF308" s="353"/>
      <c r="AG308" s="350"/>
      <c r="AH308" s="351"/>
      <c r="AI308" s="346"/>
      <c r="AJ308" s="353"/>
      <c r="AK308" s="350"/>
      <c r="AL308" s="351"/>
      <c r="AM308" s="346"/>
      <c r="AN308" s="353"/>
      <c r="AO308" s="350"/>
      <c r="AP308" s="351"/>
      <c r="AQ308" s="346"/>
      <c r="AR308" s="354"/>
      <c r="AS308" s="350"/>
      <c r="AT308" s="351"/>
      <c r="AU308" s="346"/>
      <c r="AV308" s="353"/>
      <c r="AW308" s="350"/>
      <c r="AX308" s="351"/>
      <c r="AY308" s="346"/>
      <c r="AZ308" s="353"/>
      <c r="BA308" s="350"/>
      <c r="BB308" s="351"/>
      <c r="BC308" s="346"/>
      <c r="BD308" s="353"/>
      <c r="BE308" s="350"/>
      <c r="BF308" s="351"/>
      <c r="BG308" s="346"/>
      <c r="BH308" s="353"/>
      <c r="BI308" s="350"/>
      <c r="BJ308" s="351"/>
      <c r="BK308" s="346"/>
      <c r="BL308" s="353"/>
      <c r="BM308" s="350"/>
      <c r="BN308" s="351"/>
      <c r="BO308" s="346"/>
      <c r="BP308" s="353"/>
      <c r="BQ308" s="350"/>
      <c r="BR308" s="351"/>
      <c r="BS308" s="346"/>
      <c r="BT308" s="353"/>
      <c r="BU308" s="350"/>
      <c r="BV308" s="351"/>
    </row>
    <row r="309" spans="1:74" x14ac:dyDescent="0.25">
      <c r="A309" s="345"/>
      <c r="B309" s="284"/>
      <c r="D309" s="346"/>
      <c r="E309" s="347"/>
      <c r="F309" s="348"/>
      <c r="G309" s="349"/>
      <c r="H309" s="350"/>
      <c r="I309" s="351"/>
      <c r="J309" s="352"/>
      <c r="K309" s="346"/>
      <c r="L309" s="353"/>
      <c r="M309" s="350"/>
      <c r="N309" s="351"/>
      <c r="O309" s="346"/>
      <c r="P309" s="354"/>
      <c r="Q309" s="350"/>
      <c r="R309" s="351"/>
      <c r="S309" s="346"/>
      <c r="T309" s="353"/>
      <c r="U309" s="350"/>
      <c r="V309" s="351"/>
      <c r="W309" s="346"/>
      <c r="X309" s="353"/>
      <c r="Y309" s="350"/>
      <c r="Z309" s="351"/>
      <c r="AA309" s="346"/>
      <c r="AB309" s="353"/>
      <c r="AC309" s="350"/>
      <c r="AD309" s="351"/>
      <c r="AE309" s="346"/>
      <c r="AF309" s="353"/>
      <c r="AG309" s="350"/>
      <c r="AH309" s="351"/>
      <c r="AI309" s="346"/>
      <c r="AJ309" s="353"/>
      <c r="AK309" s="350"/>
      <c r="AL309" s="351"/>
      <c r="AM309" s="346"/>
      <c r="AN309" s="353"/>
      <c r="AO309" s="350"/>
      <c r="AP309" s="351"/>
      <c r="AQ309" s="346"/>
      <c r="AR309" s="354"/>
      <c r="AS309" s="350"/>
      <c r="AT309" s="351"/>
      <c r="AU309" s="346"/>
      <c r="AV309" s="353"/>
      <c r="AW309" s="350"/>
      <c r="AX309" s="351"/>
      <c r="AY309" s="346"/>
      <c r="AZ309" s="353"/>
      <c r="BA309" s="350"/>
      <c r="BB309" s="351"/>
      <c r="BC309" s="346"/>
      <c r="BD309" s="353"/>
      <c r="BE309" s="350"/>
      <c r="BF309" s="351"/>
      <c r="BG309" s="346"/>
      <c r="BH309" s="353"/>
      <c r="BI309" s="350"/>
      <c r="BJ309" s="351"/>
      <c r="BK309" s="346"/>
      <c r="BL309" s="353"/>
      <c r="BM309" s="350"/>
      <c r="BN309" s="351"/>
      <c r="BO309" s="346"/>
      <c r="BP309" s="353"/>
      <c r="BQ309" s="350"/>
      <c r="BR309" s="351"/>
      <c r="BS309" s="346"/>
      <c r="BT309" s="353"/>
      <c r="BU309" s="350"/>
      <c r="BV309" s="351"/>
    </row>
    <row r="310" spans="1:74" x14ac:dyDescent="0.25">
      <c r="A310" s="345"/>
      <c r="B310" s="284"/>
      <c r="D310" s="346"/>
      <c r="E310" s="347"/>
      <c r="F310" s="348"/>
      <c r="G310" s="349"/>
      <c r="H310" s="350"/>
      <c r="I310" s="351"/>
      <c r="J310" s="352"/>
      <c r="K310" s="346"/>
      <c r="L310" s="353"/>
      <c r="M310" s="350"/>
      <c r="N310" s="351"/>
      <c r="O310" s="346"/>
      <c r="P310" s="354"/>
      <c r="Q310" s="350"/>
      <c r="R310" s="351"/>
      <c r="S310" s="346"/>
      <c r="T310" s="353"/>
      <c r="U310" s="350"/>
      <c r="V310" s="351"/>
      <c r="W310" s="346"/>
      <c r="X310" s="353"/>
      <c r="Y310" s="350"/>
      <c r="Z310" s="351"/>
      <c r="AA310" s="346"/>
      <c r="AB310" s="353"/>
      <c r="AC310" s="350"/>
      <c r="AD310" s="351"/>
      <c r="AE310" s="346"/>
      <c r="AF310" s="353"/>
      <c r="AG310" s="350"/>
      <c r="AH310" s="351"/>
      <c r="AI310" s="346"/>
      <c r="AJ310" s="353"/>
      <c r="AK310" s="350"/>
      <c r="AL310" s="351"/>
      <c r="AM310" s="346"/>
      <c r="AN310" s="353"/>
      <c r="AO310" s="350"/>
      <c r="AP310" s="351"/>
      <c r="AQ310" s="346"/>
      <c r="AR310" s="354"/>
      <c r="AS310" s="350"/>
      <c r="AT310" s="351"/>
      <c r="AU310" s="346"/>
      <c r="AV310" s="353"/>
      <c r="AW310" s="350"/>
      <c r="AX310" s="351"/>
      <c r="AY310" s="346"/>
      <c r="AZ310" s="353"/>
      <c r="BA310" s="350"/>
      <c r="BB310" s="351"/>
      <c r="BC310" s="346"/>
      <c r="BD310" s="353"/>
      <c r="BE310" s="350"/>
      <c r="BF310" s="351"/>
      <c r="BG310" s="346"/>
      <c r="BH310" s="353"/>
      <c r="BI310" s="350"/>
      <c r="BJ310" s="351"/>
      <c r="BK310" s="346"/>
      <c r="BL310" s="353"/>
      <c r="BM310" s="350"/>
      <c r="BN310" s="351"/>
      <c r="BO310" s="346"/>
      <c r="BP310" s="353"/>
      <c r="BQ310" s="350"/>
      <c r="BR310" s="351"/>
      <c r="BS310" s="346"/>
      <c r="BT310" s="353"/>
      <c r="BU310" s="350"/>
      <c r="BV310" s="351"/>
    </row>
    <row r="311" spans="1:74" x14ac:dyDescent="0.25">
      <c r="A311" s="345"/>
      <c r="B311" s="284"/>
      <c r="D311" s="346"/>
      <c r="E311" s="347"/>
      <c r="F311" s="348"/>
      <c r="G311" s="349"/>
      <c r="H311" s="350"/>
      <c r="I311" s="351"/>
      <c r="J311" s="352"/>
      <c r="K311" s="346"/>
      <c r="L311" s="353"/>
      <c r="M311" s="350"/>
      <c r="N311" s="351"/>
      <c r="O311" s="346"/>
      <c r="P311" s="354"/>
      <c r="Q311" s="350"/>
      <c r="R311" s="351"/>
      <c r="S311" s="346"/>
      <c r="T311" s="353"/>
      <c r="U311" s="350"/>
      <c r="V311" s="351"/>
      <c r="W311" s="346"/>
      <c r="X311" s="353"/>
      <c r="Y311" s="350"/>
      <c r="Z311" s="351"/>
      <c r="AA311" s="346"/>
      <c r="AB311" s="353"/>
      <c r="AC311" s="350"/>
      <c r="AD311" s="351"/>
      <c r="AE311" s="346"/>
      <c r="AF311" s="353"/>
      <c r="AG311" s="350"/>
      <c r="AH311" s="351"/>
      <c r="AI311" s="346"/>
      <c r="AJ311" s="353"/>
      <c r="AK311" s="350"/>
      <c r="AL311" s="351"/>
      <c r="AM311" s="346"/>
      <c r="AN311" s="353"/>
      <c r="AO311" s="350"/>
      <c r="AP311" s="351"/>
      <c r="AQ311" s="346"/>
      <c r="AR311" s="354"/>
      <c r="AS311" s="350"/>
      <c r="AT311" s="351"/>
      <c r="AU311" s="346"/>
      <c r="AV311" s="353"/>
      <c r="AW311" s="350"/>
      <c r="AX311" s="351"/>
      <c r="AY311" s="346"/>
      <c r="AZ311" s="353"/>
      <c r="BA311" s="350"/>
      <c r="BB311" s="351"/>
      <c r="BC311" s="346"/>
      <c r="BD311" s="353"/>
      <c r="BE311" s="350"/>
      <c r="BF311" s="351"/>
      <c r="BG311" s="346"/>
      <c r="BH311" s="353"/>
      <c r="BI311" s="350"/>
      <c r="BJ311" s="351"/>
      <c r="BK311" s="346"/>
      <c r="BL311" s="353"/>
      <c r="BM311" s="350"/>
      <c r="BN311" s="351"/>
      <c r="BO311" s="346"/>
      <c r="BP311" s="353"/>
      <c r="BQ311" s="350"/>
      <c r="BR311" s="351"/>
      <c r="BS311" s="346"/>
      <c r="BT311" s="353"/>
      <c r="BU311" s="350"/>
      <c r="BV311" s="351"/>
    </row>
    <row r="312" spans="1:74" x14ac:dyDescent="0.25">
      <c r="A312" s="345"/>
      <c r="B312" s="284"/>
      <c r="D312" s="346"/>
      <c r="E312" s="347"/>
      <c r="F312" s="348"/>
      <c r="G312" s="349"/>
      <c r="H312" s="350"/>
      <c r="I312" s="351"/>
      <c r="J312" s="352"/>
      <c r="K312" s="346"/>
      <c r="L312" s="353"/>
      <c r="M312" s="350"/>
      <c r="N312" s="351"/>
      <c r="O312" s="346"/>
      <c r="P312" s="354"/>
      <c r="Q312" s="350"/>
      <c r="R312" s="351"/>
      <c r="S312" s="346"/>
      <c r="T312" s="353"/>
      <c r="U312" s="350"/>
      <c r="V312" s="351"/>
      <c r="W312" s="346"/>
      <c r="X312" s="353"/>
      <c r="Y312" s="350"/>
      <c r="Z312" s="351"/>
      <c r="AA312" s="346"/>
      <c r="AB312" s="353"/>
      <c r="AC312" s="350"/>
      <c r="AD312" s="351"/>
      <c r="AE312" s="346"/>
      <c r="AF312" s="353"/>
      <c r="AG312" s="350"/>
      <c r="AH312" s="351"/>
      <c r="AI312" s="346"/>
      <c r="AJ312" s="353"/>
      <c r="AK312" s="350"/>
      <c r="AL312" s="351"/>
      <c r="AM312" s="346"/>
      <c r="AN312" s="353"/>
      <c r="AO312" s="350"/>
      <c r="AP312" s="351"/>
      <c r="AQ312" s="346"/>
      <c r="AR312" s="354"/>
      <c r="AS312" s="350"/>
      <c r="AT312" s="351"/>
      <c r="AU312" s="346"/>
      <c r="AV312" s="353"/>
      <c r="AW312" s="350"/>
      <c r="AX312" s="351"/>
      <c r="AY312" s="346"/>
      <c r="AZ312" s="353"/>
      <c r="BA312" s="350"/>
      <c r="BB312" s="351"/>
      <c r="BC312" s="346"/>
      <c r="BD312" s="353"/>
      <c r="BE312" s="350"/>
      <c r="BF312" s="351"/>
      <c r="BG312" s="346"/>
      <c r="BH312" s="353"/>
      <c r="BI312" s="350"/>
      <c r="BJ312" s="351"/>
      <c r="BK312" s="346"/>
      <c r="BL312" s="353"/>
      <c r="BM312" s="350"/>
      <c r="BN312" s="351"/>
      <c r="BO312" s="346"/>
      <c r="BP312" s="353"/>
      <c r="BQ312" s="350"/>
      <c r="BR312" s="351"/>
      <c r="BS312" s="346"/>
      <c r="BT312" s="353"/>
      <c r="BU312" s="350"/>
      <c r="BV312" s="351"/>
    </row>
    <row r="313" spans="1:74" x14ac:dyDescent="0.25">
      <c r="A313" s="345"/>
      <c r="B313" s="284"/>
      <c r="D313" s="346"/>
      <c r="E313" s="347"/>
      <c r="F313" s="348"/>
      <c r="G313" s="349"/>
      <c r="H313" s="350"/>
      <c r="I313" s="351"/>
      <c r="J313" s="352"/>
      <c r="K313" s="346"/>
      <c r="L313" s="353"/>
      <c r="M313" s="350"/>
      <c r="N313" s="351"/>
      <c r="O313" s="346"/>
      <c r="P313" s="354"/>
      <c r="Q313" s="350"/>
      <c r="R313" s="351"/>
      <c r="S313" s="346"/>
      <c r="T313" s="353"/>
      <c r="U313" s="350"/>
      <c r="V313" s="351"/>
      <c r="W313" s="346"/>
      <c r="X313" s="353"/>
      <c r="Y313" s="350"/>
      <c r="Z313" s="351"/>
      <c r="AA313" s="346"/>
      <c r="AB313" s="353"/>
      <c r="AC313" s="350"/>
      <c r="AD313" s="351"/>
      <c r="AE313" s="346"/>
      <c r="AF313" s="353"/>
      <c r="AG313" s="350"/>
      <c r="AH313" s="351"/>
      <c r="AI313" s="346"/>
      <c r="AJ313" s="353"/>
      <c r="AK313" s="350"/>
      <c r="AL313" s="351"/>
      <c r="AM313" s="346"/>
      <c r="AN313" s="353"/>
      <c r="AO313" s="350"/>
      <c r="AP313" s="351"/>
      <c r="AQ313" s="346"/>
      <c r="AR313" s="354"/>
      <c r="AS313" s="350"/>
      <c r="AT313" s="351"/>
      <c r="AU313" s="346"/>
      <c r="AV313" s="353"/>
      <c r="AW313" s="350"/>
      <c r="AX313" s="351"/>
      <c r="AY313" s="346"/>
      <c r="AZ313" s="353"/>
      <c r="BA313" s="350"/>
      <c r="BB313" s="351"/>
      <c r="BC313" s="346"/>
      <c r="BD313" s="353"/>
      <c r="BE313" s="350"/>
      <c r="BF313" s="351"/>
      <c r="BG313" s="346"/>
      <c r="BH313" s="353"/>
      <c r="BI313" s="350"/>
      <c r="BJ313" s="351"/>
      <c r="BK313" s="346"/>
      <c r="BL313" s="353"/>
      <c r="BM313" s="350"/>
      <c r="BN313" s="351"/>
      <c r="BO313" s="346"/>
      <c r="BP313" s="353"/>
      <c r="BQ313" s="350"/>
      <c r="BR313" s="351"/>
      <c r="BS313" s="346"/>
      <c r="BT313" s="353"/>
      <c r="BU313" s="350"/>
      <c r="BV313" s="351"/>
    </row>
    <row r="314" spans="1:74" x14ac:dyDescent="0.25">
      <c r="A314" s="345"/>
      <c r="B314" s="284"/>
      <c r="D314" s="346"/>
      <c r="E314" s="347"/>
      <c r="F314" s="348"/>
      <c r="G314" s="349"/>
      <c r="H314" s="350"/>
      <c r="I314" s="351"/>
      <c r="J314" s="352"/>
      <c r="K314" s="346"/>
      <c r="L314" s="353"/>
      <c r="M314" s="350"/>
      <c r="N314" s="351"/>
      <c r="O314" s="346"/>
      <c r="P314" s="354"/>
      <c r="Q314" s="350"/>
      <c r="R314" s="351"/>
      <c r="S314" s="346"/>
      <c r="T314" s="353"/>
      <c r="U314" s="350"/>
      <c r="V314" s="351"/>
      <c r="W314" s="346"/>
      <c r="X314" s="353"/>
      <c r="Y314" s="350"/>
      <c r="Z314" s="351"/>
      <c r="AA314" s="346"/>
      <c r="AB314" s="353"/>
      <c r="AC314" s="350"/>
      <c r="AD314" s="351"/>
      <c r="AE314" s="346"/>
      <c r="AF314" s="353"/>
      <c r="AG314" s="350"/>
      <c r="AH314" s="351"/>
      <c r="AI314" s="346"/>
      <c r="AJ314" s="353"/>
      <c r="AK314" s="350"/>
      <c r="AL314" s="351"/>
      <c r="AM314" s="346"/>
      <c r="AN314" s="353"/>
      <c r="AO314" s="350"/>
      <c r="AP314" s="351"/>
      <c r="AQ314" s="346"/>
      <c r="AR314" s="354"/>
      <c r="AS314" s="350"/>
      <c r="AT314" s="351"/>
      <c r="AU314" s="346"/>
      <c r="AV314" s="353"/>
      <c r="AW314" s="350"/>
      <c r="AX314" s="351"/>
      <c r="AY314" s="346"/>
      <c r="AZ314" s="353"/>
      <c r="BA314" s="350"/>
      <c r="BB314" s="351"/>
      <c r="BC314" s="346"/>
      <c r="BD314" s="353"/>
      <c r="BE314" s="350"/>
      <c r="BF314" s="351"/>
      <c r="BG314" s="346"/>
      <c r="BH314" s="353"/>
      <c r="BI314" s="350"/>
      <c r="BJ314" s="351"/>
      <c r="BK314" s="346"/>
      <c r="BL314" s="353"/>
      <c r="BM314" s="350"/>
      <c r="BN314" s="351"/>
      <c r="BO314" s="346"/>
      <c r="BP314" s="353"/>
      <c r="BQ314" s="350"/>
      <c r="BR314" s="351"/>
      <c r="BS314" s="346"/>
      <c r="BT314" s="353"/>
      <c r="BU314" s="350"/>
      <c r="BV314" s="351"/>
    </row>
    <row r="315" spans="1:74" x14ac:dyDescent="0.25">
      <c r="A315" s="345"/>
      <c r="B315" s="284"/>
      <c r="D315" s="346"/>
      <c r="E315" s="347"/>
      <c r="F315" s="348"/>
      <c r="G315" s="349"/>
      <c r="H315" s="350"/>
      <c r="I315" s="351"/>
      <c r="J315" s="352"/>
      <c r="K315" s="346"/>
      <c r="L315" s="353"/>
      <c r="M315" s="350"/>
      <c r="N315" s="351"/>
      <c r="O315" s="346"/>
      <c r="P315" s="354"/>
      <c r="Q315" s="350"/>
      <c r="R315" s="351"/>
      <c r="S315" s="346"/>
      <c r="T315" s="353"/>
      <c r="U315" s="350"/>
      <c r="V315" s="351"/>
      <c r="W315" s="346"/>
      <c r="X315" s="353"/>
      <c r="Y315" s="350"/>
      <c r="Z315" s="351"/>
      <c r="AA315" s="346"/>
      <c r="AB315" s="353"/>
      <c r="AC315" s="350"/>
      <c r="AD315" s="351"/>
      <c r="AE315" s="346"/>
      <c r="AF315" s="353"/>
      <c r="AG315" s="350"/>
      <c r="AH315" s="351"/>
      <c r="AI315" s="346"/>
      <c r="AJ315" s="353"/>
      <c r="AK315" s="350"/>
      <c r="AL315" s="351"/>
      <c r="AM315" s="346"/>
      <c r="AN315" s="353"/>
      <c r="AO315" s="350"/>
      <c r="AP315" s="351"/>
      <c r="AQ315" s="346"/>
      <c r="AR315" s="354"/>
      <c r="AS315" s="350"/>
      <c r="AT315" s="351"/>
      <c r="AU315" s="346"/>
      <c r="AV315" s="353"/>
      <c r="AW315" s="350"/>
      <c r="AX315" s="351"/>
      <c r="AY315" s="346"/>
      <c r="AZ315" s="353"/>
      <c r="BA315" s="350"/>
      <c r="BB315" s="351"/>
      <c r="BC315" s="346"/>
      <c r="BD315" s="353"/>
      <c r="BE315" s="350"/>
      <c r="BF315" s="351"/>
      <c r="BG315" s="346"/>
      <c r="BH315" s="353"/>
      <c r="BI315" s="350"/>
      <c r="BJ315" s="351"/>
      <c r="BK315" s="346"/>
      <c r="BL315" s="353"/>
      <c r="BM315" s="350"/>
      <c r="BN315" s="351"/>
      <c r="BO315" s="346"/>
      <c r="BP315" s="353"/>
      <c r="BQ315" s="350"/>
      <c r="BR315" s="351"/>
      <c r="BS315" s="346"/>
      <c r="BT315" s="353"/>
      <c r="BU315" s="350"/>
      <c r="BV315" s="351"/>
    </row>
    <row r="316" spans="1:74" x14ac:dyDescent="0.25">
      <c r="A316" s="345"/>
      <c r="B316" s="284"/>
      <c r="D316" s="346"/>
      <c r="E316" s="347"/>
      <c r="F316" s="348"/>
      <c r="G316" s="349"/>
      <c r="H316" s="350"/>
      <c r="I316" s="351"/>
      <c r="J316" s="352"/>
      <c r="K316" s="346"/>
      <c r="L316" s="353"/>
      <c r="M316" s="350"/>
      <c r="N316" s="351"/>
      <c r="O316" s="346"/>
      <c r="P316" s="354"/>
      <c r="Q316" s="350"/>
      <c r="R316" s="351"/>
      <c r="S316" s="346"/>
      <c r="T316" s="353"/>
      <c r="U316" s="350"/>
      <c r="V316" s="351"/>
      <c r="W316" s="346"/>
      <c r="X316" s="353"/>
      <c r="Y316" s="350"/>
      <c r="Z316" s="351"/>
      <c r="AA316" s="346"/>
      <c r="AB316" s="353"/>
      <c r="AC316" s="350"/>
      <c r="AD316" s="351"/>
      <c r="AE316" s="346"/>
      <c r="AF316" s="353"/>
      <c r="AG316" s="350"/>
      <c r="AH316" s="351"/>
      <c r="AI316" s="346"/>
      <c r="AJ316" s="353"/>
      <c r="AK316" s="350"/>
      <c r="AL316" s="351"/>
      <c r="AM316" s="346"/>
      <c r="AN316" s="353"/>
      <c r="AO316" s="350"/>
      <c r="AP316" s="351"/>
      <c r="AQ316" s="346"/>
      <c r="AR316" s="354"/>
      <c r="AS316" s="350"/>
      <c r="AT316" s="351"/>
      <c r="AU316" s="346"/>
      <c r="AV316" s="353"/>
      <c r="AW316" s="350"/>
      <c r="AX316" s="351"/>
      <c r="AY316" s="346"/>
      <c r="AZ316" s="353"/>
      <c r="BA316" s="350"/>
      <c r="BB316" s="351"/>
      <c r="BC316" s="346"/>
      <c r="BD316" s="353"/>
      <c r="BE316" s="350"/>
      <c r="BF316" s="351"/>
      <c r="BG316" s="346"/>
      <c r="BH316" s="353"/>
      <c r="BI316" s="350"/>
      <c r="BJ316" s="351"/>
      <c r="BK316" s="346"/>
      <c r="BL316" s="353"/>
      <c r="BM316" s="350"/>
      <c r="BN316" s="351"/>
      <c r="BO316" s="346"/>
      <c r="BP316" s="353"/>
      <c r="BQ316" s="350"/>
      <c r="BR316" s="351"/>
      <c r="BS316" s="346"/>
      <c r="BT316" s="353"/>
      <c r="BU316" s="350"/>
      <c r="BV316" s="351"/>
    </row>
    <row r="317" spans="1:74" x14ac:dyDescent="0.25">
      <c r="A317" s="345"/>
      <c r="B317" s="284"/>
      <c r="D317" s="346"/>
      <c r="E317" s="347"/>
      <c r="F317" s="348"/>
      <c r="G317" s="349"/>
      <c r="H317" s="350"/>
      <c r="I317" s="351"/>
      <c r="J317" s="352"/>
      <c r="K317" s="346"/>
      <c r="L317" s="353"/>
      <c r="M317" s="350"/>
      <c r="N317" s="351"/>
      <c r="O317" s="346"/>
      <c r="P317" s="354"/>
      <c r="Q317" s="350"/>
      <c r="R317" s="351"/>
      <c r="S317" s="346"/>
      <c r="T317" s="353"/>
      <c r="U317" s="350"/>
      <c r="V317" s="351"/>
      <c r="W317" s="346"/>
      <c r="X317" s="353"/>
      <c r="Y317" s="350"/>
      <c r="Z317" s="351"/>
      <c r="AA317" s="346"/>
      <c r="AB317" s="353"/>
      <c r="AC317" s="350"/>
      <c r="AD317" s="351"/>
      <c r="AE317" s="346"/>
      <c r="AF317" s="353"/>
      <c r="AG317" s="350"/>
      <c r="AH317" s="351"/>
      <c r="AI317" s="346"/>
      <c r="AJ317" s="353"/>
      <c r="AK317" s="350"/>
      <c r="AL317" s="351"/>
      <c r="AM317" s="346"/>
      <c r="AN317" s="353"/>
      <c r="AO317" s="350"/>
      <c r="AP317" s="351"/>
      <c r="AQ317" s="346"/>
      <c r="AR317" s="354"/>
      <c r="AS317" s="350"/>
      <c r="AT317" s="351"/>
      <c r="AU317" s="346"/>
      <c r="AV317" s="353"/>
      <c r="AW317" s="350"/>
      <c r="AX317" s="351"/>
      <c r="AY317" s="346"/>
      <c r="AZ317" s="353"/>
      <c r="BA317" s="350"/>
      <c r="BB317" s="351"/>
      <c r="BC317" s="346"/>
      <c r="BD317" s="353"/>
      <c r="BE317" s="350"/>
      <c r="BF317" s="351"/>
      <c r="BG317" s="346"/>
      <c r="BH317" s="353"/>
      <c r="BI317" s="350"/>
      <c r="BJ317" s="351"/>
      <c r="BK317" s="346"/>
      <c r="BL317" s="353"/>
      <c r="BM317" s="350"/>
      <c r="BN317" s="351"/>
      <c r="BO317" s="346"/>
      <c r="BP317" s="353"/>
      <c r="BQ317" s="350"/>
      <c r="BR317" s="351"/>
      <c r="BS317" s="346"/>
      <c r="BT317" s="353"/>
      <c r="BU317" s="350"/>
      <c r="BV317" s="351"/>
    </row>
    <row r="318" spans="1:74" x14ac:dyDescent="0.25">
      <c r="A318" s="345"/>
      <c r="B318" s="284"/>
      <c r="D318" s="346"/>
      <c r="E318" s="347"/>
      <c r="F318" s="348"/>
      <c r="G318" s="349"/>
      <c r="H318" s="350"/>
      <c r="I318" s="351"/>
      <c r="J318" s="352"/>
      <c r="K318" s="346"/>
      <c r="L318" s="353"/>
      <c r="M318" s="350"/>
      <c r="N318" s="351"/>
      <c r="O318" s="346"/>
      <c r="P318" s="354"/>
      <c r="Q318" s="350"/>
      <c r="R318" s="351"/>
      <c r="S318" s="346"/>
      <c r="T318" s="353"/>
      <c r="U318" s="350"/>
      <c r="V318" s="351"/>
      <c r="W318" s="346"/>
      <c r="X318" s="353"/>
      <c r="Y318" s="350"/>
      <c r="Z318" s="351"/>
      <c r="AA318" s="346"/>
      <c r="AB318" s="353"/>
      <c r="AC318" s="350"/>
      <c r="AD318" s="351"/>
      <c r="AE318" s="346"/>
      <c r="AF318" s="353"/>
      <c r="AG318" s="350"/>
      <c r="AH318" s="351"/>
      <c r="AI318" s="346"/>
      <c r="AJ318" s="353"/>
      <c r="AK318" s="350"/>
      <c r="AL318" s="351"/>
      <c r="AM318" s="346"/>
      <c r="AN318" s="353"/>
      <c r="AO318" s="350"/>
      <c r="AP318" s="351"/>
      <c r="AQ318" s="346"/>
      <c r="AR318" s="354"/>
      <c r="AS318" s="350"/>
      <c r="AT318" s="351"/>
      <c r="AU318" s="346"/>
      <c r="AV318" s="353"/>
      <c r="AW318" s="350"/>
      <c r="AX318" s="351"/>
      <c r="AY318" s="346"/>
      <c r="AZ318" s="353"/>
      <c r="BA318" s="350"/>
      <c r="BB318" s="351"/>
      <c r="BC318" s="346"/>
      <c r="BD318" s="353"/>
      <c r="BE318" s="350"/>
      <c r="BF318" s="351"/>
      <c r="BG318" s="346"/>
      <c r="BH318" s="353"/>
      <c r="BI318" s="350"/>
      <c r="BJ318" s="351"/>
      <c r="BK318" s="346"/>
      <c r="BL318" s="353"/>
      <c r="BM318" s="350"/>
      <c r="BN318" s="351"/>
      <c r="BO318" s="346"/>
      <c r="BP318" s="353"/>
      <c r="BQ318" s="350"/>
      <c r="BR318" s="351"/>
      <c r="BS318" s="346"/>
      <c r="BT318" s="353"/>
      <c r="BU318" s="350"/>
      <c r="BV318" s="351"/>
    </row>
    <row r="319" spans="1:74" x14ac:dyDescent="0.25">
      <c r="A319" s="345"/>
      <c r="B319" s="284"/>
      <c r="D319" s="346"/>
      <c r="E319" s="347"/>
      <c r="F319" s="348"/>
      <c r="G319" s="349"/>
      <c r="H319" s="350"/>
      <c r="I319" s="351"/>
      <c r="J319" s="352"/>
      <c r="K319" s="346"/>
      <c r="L319" s="353"/>
      <c r="M319" s="350"/>
      <c r="N319" s="351"/>
      <c r="O319" s="346"/>
      <c r="P319" s="354"/>
      <c r="Q319" s="350"/>
      <c r="R319" s="351"/>
      <c r="S319" s="346"/>
      <c r="T319" s="353"/>
      <c r="U319" s="350"/>
      <c r="V319" s="351"/>
      <c r="W319" s="346"/>
      <c r="X319" s="353"/>
      <c r="Y319" s="350"/>
      <c r="Z319" s="351"/>
      <c r="AA319" s="346"/>
      <c r="AB319" s="353"/>
      <c r="AC319" s="350"/>
      <c r="AD319" s="351"/>
      <c r="AE319" s="346"/>
      <c r="AF319" s="353"/>
      <c r="AG319" s="350"/>
      <c r="AH319" s="351"/>
      <c r="AI319" s="346"/>
      <c r="AJ319" s="353"/>
      <c r="AK319" s="350"/>
      <c r="AL319" s="351"/>
      <c r="AM319" s="346"/>
      <c r="AN319" s="353"/>
      <c r="AO319" s="350"/>
      <c r="AP319" s="351"/>
      <c r="AQ319" s="346"/>
      <c r="AR319" s="354"/>
      <c r="AS319" s="350"/>
      <c r="AT319" s="351"/>
      <c r="AU319" s="346"/>
      <c r="AV319" s="353"/>
      <c r="AW319" s="350"/>
      <c r="AX319" s="351"/>
      <c r="AY319" s="346"/>
      <c r="AZ319" s="353"/>
      <c r="BA319" s="350"/>
      <c r="BB319" s="351"/>
      <c r="BC319" s="346"/>
      <c r="BD319" s="353"/>
      <c r="BE319" s="350"/>
      <c r="BF319" s="351"/>
      <c r="BG319" s="346"/>
      <c r="BH319" s="353"/>
      <c r="BI319" s="350"/>
      <c r="BJ319" s="351"/>
      <c r="BK319" s="346"/>
      <c r="BL319" s="353"/>
      <c r="BM319" s="350"/>
      <c r="BN319" s="351"/>
      <c r="BO319" s="346"/>
      <c r="BP319" s="353"/>
      <c r="BQ319" s="350"/>
      <c r="BR319" s="351"/>
      <c r="BS319" s="346"/>
      <c r="BT319" s="353"/>
      <c r="BU319" s="350"/>
      <c r="BV319" s="351"/>
    </row>
    <row r="320" spans="1:74" x14ac:dyDescent="0.25">
      <c r="A320" s="345"/>
      <c r="B320" s="284"/>
      <c r="D320" s="346"/>
      <c r="E320" s="347"/>
      <c r="F320" s="348"/>
      <c r="G320" s="349"/>
      <c r="H320" s="350"/>
      <c r="I320" s="351"/>
      <c r="J320" s="352"/>
      <c r="K320" s="346"/>
      <c r="L320" s="353"/>
      <c r="M320" s="350"/>
      <c r="N320" s="351"/>
      <c r="O320" s="346"/>
      <c r="P320" s="354"/>
      <c r="Q320" s="350"/>
      <c r="R320" s="351"/>
      <c r="S320" s="346"/>
      <c r="T320" s="353"/>
      <c r="U320" s="350"/>
      <c r="V320" s="351"/>
      <c r="W320" s="346"/>
      <c r="X320" s="353"/>
      <c r="Y320" s="350"/>
      <c r="Z320" s="351"/>
      <c r="AA320" s="346"/>
      <c r="AB320" s="353"/>
      <c r="AC320" s="350"/>
      <c r="AD320" s="351"/>
      <c r="AE320" s="346"/>
      <c r="AF320" s="353"/>
      <c r="AG320" s="350"/>
      <c r="AH320" s="351"/>
      <c r="AI320" s="346"/>
      <c r="AJ320" s="353"/>
      <c r="AK320" s="350"/>
      <c r="AL320" s="351"/>
      <c r="AM320" s="346"/>
      <c r="AN320" s="353"/>
      <c r="AO320" s="350"/>
      <c r="AP320" s="351"/>
      <c r="AQ320" s="346"/>
      <c r="AR320" s="354"/>
      <c r="AS320" s="350"/>
      <c r="AT320" s="351"/>
      <c r="AU320" s="346"/>
      <c r="AV320" s="353"/>
      <c r="AW320" s="350"/>
      <c r="AX320" s="351"/>
      <c r="AY320" s="346"/>
      <c r="AZ320" s="353"/>
      <c r="BA320" s="350"/>
      <c r="BB320" s="351"/>
      <c r="BC320" s="346"/>
      <c r="BD320" s="353"/>
      <c r="BE320" s="350"/>
      <c r="BF320" s="351"/>
      <c r="BG320" s="346"/>
      <c r="BH320" s="353"/>
      <c r="BI320" s="350"/>
      <c r="BJ320" s="351"/>
      <c r="BK320" s="346"/>
      <c r="BL320" s="353"/>
      <c r="BM320" s="350"/>
      <c r="BN320" s="351"/>
      <c r="BO320" s="346"/>
      <c r="BP320" s="353"/>
      <c r="BQ320" s="350"/>
      <c r="BR320" s="351"/>
      <c r="BS320" s="346"/>
      <c r="BT320" s="353"/>
      <c r="BU320" s="350"/>
      <c r="BV320" s="351"/>
    </row>
    <row r="321" spans="1:74" x14ac:dyDescent="0.25">
      <c r="A321" s="345"/>
      <c r="B321" s="284"/>
      <c r="D321" s="346"/>
      <c r="E321" s="347"/>
      <c r="F321" s="348"/>
      <c r="G321" s="349"/>
      <c r="H321" s="350"/>
      <c r="I321" s="351"/>
      <c r="J321" s="352"/>
      <c r="K321" s="346"/>
      <c r="L321" s="353"/>
      <c r="M321" s="350"/>
      <c r="N321" s="351"/>
      <c r="O321" s="346"/>
      <c r="P321" s="354"/>
      <c r="Q321" s="350"/>
      <c r="R321" s="351"/>
      <c r="S321" s="346"/>
      <c r="T321" s="353"/>
      <c r="U321" s="350"/>
      <c r="V321" s="351"/>
      <c r="W321" s="346"/>
      <c r="X321" s="353"/>
      <c r="Y321" s="350"/>
      <c r="Z321" s="351"/>
      <c r="AA321" s="346"/>
      <c r="AB321" s="353"/>
      <c r="AC321" s="350"/>
      <c r="AD321" s="351"/>
      <c r="AE321" s="346"/>
      <c r="AF321" s="353"/>
      <c r="AG321" s="350"/>
      <c r="AH321" s="351"/>
      <c r="AI321" s="346"/>
      <c r="AJ321" s="353"/>
      <c r="AK321" s="350"/>
      <c r="AL321" s="351"/>
      <c r="AM321" s="346"/>
      <c r="AN321" s="353"/>
      <c r="AO321" s="350"/>
      <c r="AP321" s="351"/>
      <c r="AQ321" s="346"/>
      <c r="AR321" s="354"/>
      <c r="AS321" s="350"/>
      <c r="AT321" s="351"/>
      <c r="AU321" s="346"/>
      <c r="AV321" s="353"/>
      <c r="AW321" s="350"/>
      <c r="AX321" s="351"/>
      <c r="AY321" s="346"/>
      <c r="AZ321" s="353"/>
      <c r="BA321" s="350"/>
      <c r="BB321" s="351"/>
      <c r="BC321" s="346"/>
      <c r="BD321" s="353"/>
      <c r="BE321" s="350"/>
      <c r="BF321" s="351"/>
      <c r="BG321" s="346"/>
      <c r="BH321" s="353"/>
      <c r="BI321" s="350"/>
      <c r="BJ321" s="351"/>
      <c r="BK321" s="346"/>
      <c r="BL321" s="353"/>
      <c r="BM321" s="350"/>
      <c r="BN321" s="351"/>
      <c r="BO321" s="346"/>
      <c r="BP321" s="353"/>
      <c r="BQ321" s="350"/>
      <c r="BR321" s="351"/>
      <c r="BS321" s="346"/>
      <c r="BT321" s="353"/>
      <c r="BU321" s="350"/>
      <c r="BV321" s="351"/>
    </row>
    <row r="322" spans="1:74" x14ac:dyDescent="0.25">
      <c r="A322" s="345"/>
      <c r="B322" s="284"/>
      <c r="D322" s="346"/>
      <c r="E322" s="347"/>
      <c r="F322" s="348"/>
      <c r="G322" s="349"/>
      <c r="H322" s="350"/>
      <c r="I322" s="351"/>
      <c r="J322" s="352"/>
      <c r="K322" s="346"/>
      <c r="L322" s="353"/>
      <c r="M322" s="350"/>
      <c r="N322" s="351"/>
      <c r="O322" s="346"/>
      <c r="P322" s="354"/>
      <c r="Q322" s="350"/>
      <c r="R322" s="351"/>
      <c r="S322" s="346"/>
      <c r="T322" s="353"/>
      <c r="U322" s="350"/>
      <c r="V322" s="351"/>
      <c r="W322" s="346"/>
      <c r="X322" s="353"/>
      <c r="Y322" s="350"/>
      <c r="Z322" s="351"/>
      <c r="AA322" s="346"/>
      <c r="AB322" s="353"/>
      <c r="AC322" s="350"/>
      <c r="AD322" s="351"/>
      <c r="AE322" s="346"/>
      <c r="AF322" s="353"/>
      <c r="AG322" s="350"/>
      <c r="AH322" s="351"/>
      <c r="AI322" s="346"/>
      <c r="AJ322" s="353"/>
      <c r="AK322" s="350"/>
      <c r="AL322" s="351"/>
      <c r="AM322" s="346"/>
      <c r="AN322" s="353"/>
      <c r="AO322" s="350"/>
      <c r="AP322" s="351"/>
      <c r="AQ322" s="346"/>
      <c r="AR322" s="354"/>
      <c r="AS322" s="350"/>
      <c r="AT322" s="351"/>
      <c r="AU322" s="346"/>
      <c r="AV322" s="353"/>
      <c r="AW322" s="350"/>
      <c r="AX322" s="351"/>
      <c r="AY322" s="346"/>
      <c r="AZ322" s="353"/>
      <c r="BA322" s="350"/>
      <c r="BB322" s="351"/>
      <c r="BC322" s="346"/>
      <c r="BD322" s="353"/>
      <c r="BE322" s="350"/>
      <c r="BF322" s="351"/>
      <c r="BG322" s="346"/>
      <c r="BH322" s="353"/>
      <c r="BI322" s="350"/>
      <c r="BJ322" s="351"/>
      <c r="BK322" s="346"/>
      <c r="BL322" s="353"/>
      <c r="BM322" s="350"/>
      <c r="BN322" s="351"/>
      <c r="BO322" s="346"/>
      <c r="BP322" s="353"/>
      <c r="BQ322" s="350"/>
      <c r="BR322" s="351"/>
      <c r="BS322" s="346"/>
      <c r="BT322" s="353"/>
      <c r="BU322" s="350"/>
      <c r="BV322" s="351"/>
    </row>
    <row r="323" spans="1:74" x14ac:dyDescent="0.25">
      <c r="A323" s="345"/>
      <c r="B323" s="284"/>
      <c r="D323" s="346"/>
      <c r="E323" s="347"/>
      <c r="F323" s="348"/>
      <c r="G323" s="349"/>
      <c r="H323" s="350"/>
      <c r="I323" s="351"/>
      <c r="J323" s="352"/>
      <c r="K323" s="346"/>
      <c r="L323" s="353"/>
      <c r="M323" s="350"/>
      <c r="N323" s="351"/>
      <c r="O323" s="346"/>
      <c r="P323" s="354"/>
      <c r="Q323" s="350"/>
      <c r="R323" s="351"/>
      <c r="S323" s="346"/>
      <c r="T323" s="353"/>
      <c r="U323" s="350"/>
      <c r="V323" s="351"/>
      <c r="W323" s="346"/>
      <c r="X323" s="353"/>
      <c r="Y323" s="350"/>
      <c r="Z323" s="351"/>
      <c r="AA323" s="346"/>
      <c r="AB323" s="353"/>
      <c r="AC323" s="350"/>
      <c r="AD323" s="351"/>
      <c r="AE323" s="346"/>
      <c r="AF323" s="353"/>
      <c r="AG323" s="350"/>
      <c r="AH323" s="351"/>
      <c r="AI323" s="346"/>
      <c r="AJ323" s="353"/>
      <c r="AK323" s="350"/>
      <c r="AL323" s="351"/>
      <c r="AM323" s="346"/>
      <c r="AN323" s="353"/>
      <c r="AO323" s="350"/>
      <c r="AP323" s="351"/>
      <c r="AQ323" s="346"/>
      <c r="AR323" s="354"/>
      <c r="AS323" s="350"/>
      <c r="AT323" s="351"/>
      <c r="AU323" s="346"/>
      <c r="AV323" s="353"/>
      <c r="AW323" s="350"/>
      <c r="AX323" s="351"/>
      <c r="AY323" s="346"/>
      <c r="AZ323" s="353"/>
      <c r="BA323" s="350"/>
      <c r="BB323" s="351"/>
      <c r="BC323" s="346"/>
      <c r="BD323" s="353"/>
      <c r="BE323" s="350"/>
      <c r="BF323" s="351"/>
      <c r="BG323" s="346"/>
      <c r="BH323" s="353"/>
      <c r="BI323" s="350"/>
      <c r="BJ323" s="351"/>
      <c r="BK323" s="346"/>
      <c r="BL323" s="353"/>
      <c r="BM323" s="350"/>
      <c r="BN323" s="351"/>
      <c r="BO323" s="346"/>
      <c r="BP323" s="353"/>
      <c r="BQ323" s="350"/>
      <c r="BR323" s="351"/>
      <c r="BS323" s="346"/>
      <c r="BT323" s="353"/>
      <c r="BU323" s="350"/>
      <c r="BV323" s="351"/>
    </row>
    <row r="324" spans="1:74" x14ac:dyDescent="0.25">
      <c r="A324" s="345"/>
      <c r="B324" s="284"/>
      <c r="D324" s="346"/>
      <c r="E324" s="347"/>
      <c r="F324" s="348"/>
      <c r="G324" s="349"/>
      <c r="H324" s="350"/>
      <c r="I324" s="351"/>
      <c r="J324" s="352"/>
      <c r="K324" s="346"/>
      <c r="L324" s="353"/>
      <c r="M324" s="350"/>
      <c r="N324" s="351"/>
      <c r="O324" s="346"/>
      <c r="P324" s="354"/>
      <c r="Q324" s="350"/>
      <c r="R324" s="351"/>
      <c r="S324" s="346"/>
      <c r="T324" s="353"/>
      <c r="U324" s="350"/>
      <c r="V324" s="351"/>
      <c r="W324" s="346"/>
      <c r="X324" s="353"/>
      <c r="Y324" s="350"/>
      <c r="Z324" s="351"/>
      <c r="AA324" s="346"/>
      <c r="AB324" s="353"/>
      <c r="AC324" s="350"/>
      <c r="AD324" s="351"/>
      <c r="AE324" s="346"/>
      <c r="AF324" s="353"/>
      <c r="AG324" s="350"/>
      <c r="AH324" s="351"/>
      <c r="AI324" s="346"/>
      <c r="AJ324" s="353"/>
      <c r="AK324" s="350"/>
      <c r="AL324" s="351"/>
      <c r="AM324" s="346"/>
      <c r="AN324" s="353"/>
      <c r="AO324" s="350"/>
      <c r="AP324" s="351"/>
      <c r="AQ324" s="346"/>
      <c r="AR324" s="354"/>
      <c r="AS324" s="350"/>
      <c r="AT324" s="351"/>
      <c r="AU324" s="346"/>
      <c r="AV324" s="353"/>
      <c r="AW324" s="350"/>
      <c r="AX324" s="351"/>
      <c r="AY324" s="346"/>
      <c r="AZ324" s="353"/>
      <c r="BA324" s="350"/>
      <c r="BB324" s="351"/>
      <c r="BC324" s="346"/>
      <c r="BD324" s="353"/>
      <c r="BE324" s="350"/>
      <c r="BF324" s="351"/>
      <c r="BG324" s="346"/>
      <c r="BH324" s="353"/>
      <c r="BI324" s="350"/>
      <c r="BJ324" s="351"/>
      <c r="BK324" s="346"/>
      <c r="BL324" s="353"/>
      <c r="BM324" s="350"/>
      <c r="BN324" s="351"/>
      <c r="BO324" s="346"/>
      <c r="BP324" s="353"/>
      <c r="BQ324" s="350"/>
      <c r="BR324" s="351"/>
      <c r="BS324" s="346"/>
      <c r="BT324" s="353"/>
      <c r="BU324" s="350"/>
      <c r="BV324" s="351"/>
    </row>
    <row r="325" spans="1:74" x14ac:dyDescent="0.25">
      <c r="A325" s="345"/>
      <c r="B325" s="284"/>
      <c r="D325" s="346"/>
      <c r="E325" s="347"/>
      <c r="F325" s="348"/>
      <c r="G325" s="349"/>
      <c r="H325" s="350"/>
      <c r="I325" s="351"/>
      <c r="J325" s="352"/>
      <c r="K325" s="346"/>
      <c r="L325" s="353"/>
      <c r="M325" s="350"/>
      <c r="N325" s="351"/>
      <c r="O325" s="346"/>
      <c r="P325" s="354"/>
      <c r="Q325" s="350"/>
      <c r="R325" s="351"/>
      <c r="S325" s="346"/>
      <c r="T325" s="353"/>
      <c r="U325" s="350"/>
      <c r="V325" s="351"/>
      <c r="W325" s="346"/>
      <c r="X325" s="353"/>
      <c r="Y325" s="350"/>
      <c r="Z325" s="351"/>
      <c r="AA325" s="346"/>
      <c r="AB325" s="353"/>
      <c r="AC325" s="350"/>
      <c r="AD325" s="351"/>
      <c r="AE325" s="346"/>
      <c r="AF325" s="353"/>
      <c r="AG325" s="350"/>
      <c r="AH325" s="351"/>
      <c r="AI325" s="346"/>
      <c r="AJ325" s="353"/>
      <c r="AK325" s="350"/>
      <c r="AL325" s="351"/>
      <c r="AM325" s="346"/>
      <c r="AN325" s="353"/>
      <c r="AO325" s="350"/>
      <c r="AP325" s="351"/>
      <c r="AQ325" s="346"/>
      <c r="AR325" s="354"/>
      <c r="AS325" s="350"/>
      <c r="AT325" s="351"/>
      <c r="AU325" s="346"/>
      <c r="AV325" s="353"/>
      <c r="AW325" s="350"/>
      <c r="AX325" s="351"/>
      <c r="AY325" s="346"/>
      <c r="AZ325" s="353"/>
      <c r="BA325" s="350"/>
      <c r="BB325" s="351"/>
      <c r="BC325" s="346"/>
      <c r="BD325" s="353"/>
      <c r="BE325" s="350"/>
      <c r="BF325" s="351"/>
      <c r="BG325" s="346"/>
      <c r="BH325" s="353"/>
      <c r="BI325" s="350"/>
      <c r="BJ325" s="351"/>
      <c r="BK325" s="346"/>
      <c r="BL325" s="353"/>
      <c r="BM325" s="350"/>
      <c r="BN325" s="351"/>
      <c r="BO325" s="346"/>
      <c r="BP325" s="353"/>
      <c r="BQ325" s="350"/>
      <c r="BR325" s="351"/>
      <c r="BS325" s="346"/>
      <c r="BT325" s="353"/>
      <c r="BU325" s="350"/>
      <c r="BV325" s="351"/>
    </row>
    <row r="326" spans="1:74" x14ac:dyDescent="0.25">
      <c r="A326" s="345"/>
      <c r="B326" s="284"/>
      <c r="D326" s="346"/>
      <c r="E326" s="347"/>
      <c r="F326" s="348"/>
      <c r="G326" s="349"/>
      <c r="H326" s="350"/>
      <c r="I326" s="351"/>
      <c r="J326" s="352"/>
      <c r="K326" s="346"/>
      <c r="L326" s="353"/>
      <c r="M326" s="350"/>
      <c r="N326" s="351"/>
      <c r="O326" s="346"/>
      <c r="P326" s="354"/>
      <c r="Q326" s="350"/>
      <c r="R326" s="351"/>
      <c r="S326" s="346"/>
      <c r="T326" s="353"/>
      <c r="U326" s="350"/>
      <c r="V326" s="351"/>
      <c r="W326" s="346"/>
      <c r="X326" s="353"/>
      <c r="Y326" s="350"/>
      <c r="Z326" s="351"/>
      <c r="AA326" s="346"/>
      <c r="AB326" s="353"/>
      <c r="AC326" s="350"/>
      <c r="AD326" s="351"/>
      <c r="AE326" s="346"/>
      <c r="AF326" s="353"/>
      <c r="AG326" s="350"/>
      <c r="AH326" s="351"/>
      <c r="AI326" s="346"/>
      <c r="AJ326" s="353"/>
      <c r="AK326" s="350"/>
      <c r="AL326" s="351"/>
      <c r="AM326" s="346"/>
      <c r="AN326" s="353"/>
      <c r="AO326" s="350"/>
      <c r="AP326" s="351"/>
      <c r="AQ326" s="346"/>
      <c r="AR326" s="354"/>
      <c r="AS326" s="350"/>
      <c r="AT326" s="351"/>
      <c r="AU326" s="346"/>
      <c r="AV326" s="353"/>
      <c r="AW326" s="350"/>
      <c r="AX326" s="351"/>
      <c r="AY326" s="346"/>
      <c r="AZ326" s="353"/>
      <c r="BA326" s="350"/>
      <c r="BB326" s="351"/>
      <c r="BC326" s="346"/>
      <c r="BD326" s="353"/>
      <c r="BE326" s="350"/>
      <c r="BF326" s="351"/>
      <c r="BG326" s="346"/>
      <c r="BH326" s="353"/>
      <c r="BI326" s="350"/>
      <c r="BJ326" s="351"/>
      <c r="BK326" s="346"/>
      <c r="BL326" s="353"/>
      <c r="BM326" s="350"/>
      <c r="BN326" s="351"/>
      <c r="BO326" s="346"/>
      <c r="BP326" s="353"/>
      <c r="BQ326" s="350"/>
      <c r="BR326" s="351"/>
      <c r="BS326" s="346"/>
      <c r="BT326" s="353"/>
      <c r="BU326" s="350"/>
      <c r="BV326" s="351"/>
    </row>
    <row r="327" spans="1:74" x14ac:dyDescent="0.25">
      <c r="A327" s="345"/>
      <c r="B327" s="284"/>
      <c r="D327" s="346"/>
      <c r="E327" s="347"/>
      <c r="F327" s="348"/>
      <c r="G327" s="349"/>
      <c r="H327" s="350"/>
      <c r="I327" s="351"/>
      <c r="J327" s="352"/>
      <c r="K327" s="346"/>
      <c r="L327" s="353"/>
      <c r="M327" s="350"/>
      <c r="N327" s="351"/>
      <c r="O327" s="346"/>
      <c r="P327" s="354"/>
      <c r="Q327" s="350"/>
      <c r="R327" s="351"/>
      <c r="S327" s="346"/>
      <c r="T327" s="353"/>
      <c r="U327" s="350"/>
      <c r="V327" s="351"/>
      <c r="W327" s="346"/>
      <c r="X327" s="353"/>
      <c r="Y327" s="350"/>
      <c r="Z327" s="351"/>
      <c r="AA327" s="346"/>
      <c r="AB327" s="353"/>
      <c r="AC327" s="350"/>
      <c r="AD327" s="351"/>
      <c r="AE327" s="346"/>
      <c r="AF327" s="353"/>
      <c r="AG327" s="350"/>
      <c r="AH327" s="351"/>
      <c r="AI327" s="346"/>
      <c r="AJ327" s="353"/>
      <c r="AK327" s="350"/>
      <c r="AL327" s="351"/>
      <c r="AM327" s="346"/>
      <c r="AN327" s="353"/>
      <c r="AO327" s="350"/>
      <c r="AP327" s="351"/>
      <c r="AQ327" s="346"/>
      <c r="AR327" s="354"/>
      <c r="AS327" s="350"/>
      <c r="AT327" s="351"/>
      <c r="AU327" s="346"/>
      <c r="AV327" s="353"/>
      <c r="AW327" s="350"/>
      <c r="AX327" s="351"/>
      <c r="AY327" s="346"/>
      <c r="AZ327" s="353"/>
      <c r="BA327" s="350"/>
      <c r="BB327" s="351"/>
      <c r="BC327" s="346"/>
      <c r="BD327" s="353"/>
      <c r="BE327" s="350"/>
      <c r="BF327" s="351"/>
      <c r="BG327" s="346"/>
      <c r="BH327" s="353"/>
      <c r="BI327" s="350"/>
      <c r="BJ327" s="351"/>
      <c r="BK327" s="346"/>
      <c r="BL327" s="353"/>
      <c r="BM327" s="350"/>
      <c r="BN327" s="351"/>
      <c r="BO327" s="346"/>
      <c r="BP327" s="353"/>
      <c r="BQ327" s="350"/>
      <c r="BR327" s="351"/>
      <c r="BS327" s="346"/>
      <c r="BT327" s="353"/>
      <c r="BU327" s="350"/>
      <c r="BV327" s="351"/>
    </row>
    <row r="328" spans="1:74" x14ac:dyDescent="0.25">
      <c r="A328" s="345"/>
      <c r="B328" s="284"/>
      <c r="D328" s="346"/>
      <c r="E328" s="347"/>
      <c r="F328" s="348"/>
      <c r="G328" s="349"/>
      <c r="H328" s="350"/>
      <c r="I328" s="351"/>
      <c r="J328" s="352"/>
      <c r="K328" s="346"/>
      <c r="L328" s="353"/>
      <c r="M328" s="350"/>
      <c r="N328" s="351"/>
      <c r="O328" s="346"/>
      <c r="P328" s="354"/>
      <c r="Q328" s="350"/>
      <c r="R328" s="351"/>
      <c r="S328" s="346"/>
      <c r="T328" s="353"/>
      <c r="U328" s="350"/>
      <c r="V328" s="351"/>
      <c r="W328" s="346"/>
      <c r="X328" s="353"/>
      <c r="Y328" s="350"/>
      <c r="Z328" s="351"/>
      <c r="AA328" s="346"/>
      <c r="AB328" s="353"/>
      <c r="AC328" s="350"/>
      <c r="AD328" s="351"/>
      <c r="AE328" s="346"/>
      <c r="AF328" s="353"/>
      <c r="AG328" s="350"/>
      <c r="AH328" s="351"/>
      <c r="AI328" s="346"/>
      <c r="AJ328" s="353"/>
      <c r="AK328" s="350"/>
      <c r="AL328" s="351"/>
      <c r="AM328" s="346"/>
      <c r="AN328" s="353"/>
      <c r="AO328" s="350"/>
      <c r="AP328" s="351"/>
      <c r="AQ328" s="346"/>
      <c r="AR328" s="354"/>
      <c r="AS328" s="350"/>
      <c r="AT328" s="351"/>
      <c r="AU328" s="346"/>
      <c r="AV328" s="353"/>
      <c r="AW328" s="350"/>
      <c r="AX328" s="351"/>
      <c r="AY328" s="346"/>
      <c r="AZ328" s="353"/>
      <c r="BA328" s="350"/>
      <c r="BB328" s="351"/>
      <c r="BC328" s="346"/>
      <c r="BD328" s="353"/>
      <c r="BE328" s="350"/>
      <c r="BF328" s="351"/>
      <c r="BG328" s="346"/>
      <c r="BH328" s="353"/>
      <c r="BI328" s="350"/>
      <c r="BJ328" s="351"/>
      <c r="BK328" s="346"/>
      <c r="BL328" s="353"/>
      <c r="BM328" s="350"/>
      <c r="BN328" s="351"/>
      <c r="BO328" s="346"/>
      <c r="BP328" s="353"/>
      <c r="BQ328" s="350"/>
      <c r="BR328" s="351"/>
      <c r="BS328" s="346"/>
      <c r="BT328" s="353"/>
      <c r="BU328" s="350"/>
      <c r="BV328" s="351"/>
    </row>
    <row r="329" spans="1:74" x14ac:dyDescent="0.25">
      <c r="A329" s="345"/>
      <c r="B329" s="284"/>
      <c r="D329" s="346"/>
      <c r="E329" s="347"/>
      <c r="F329" s="348"/>
      <c r="G329" s="349"/>
      <c r="H329" s="350"/>
      <c r="I329" s="351"/>
      <c r="J329" s="352"/>
      <c r="K329" s="346"/>
      <c r="L329" s="353"/>
      <c r="M329" s="350"/>
      <c r="N329" s="351"/>
      <c r="O329" s="346"/>
      <c r="P329" s="354"/>
      <c r="Q329" s="350"/>
      <c r="R329" s="351"/>
      <c r="S329" s="346"/>
      <c r="T329" s="353"/>
      <c r="U329" s="350"/>
      <c r="V329" s="351"/>
      <c r="W329" s="346"/>
      <c r="X329" s="353"/>
      <c r="Y329" s="350"/>
      <c r="Z329" s="351"/>
      <c r="AA329" s="346"/>
      <c r="AB329" s="353"/>
      <c r="AC329" s="350"/>
      <c r="AD329" s="351"/>
      <c r="AE329" s="346"/>
      <c r="AF329" s="353"/>
      <c r="AG329" s="350"/>
      <c r="AH329" s="351"/>
      <c r="AI329" s="346"/>
      <c r="AJ329" s="353"/>
      <c r="AK329" s="350"/>
      <c r="AL329" s="351"/>
      <c r="AM329" s="346"/>
      <c r="AN329" s="353"/>
      <c r="AO329" s="350"/>
      <c r="AP329" s="351"/>
      <c r="AQ329" s="346"/>
      <c r="AR329" s="354"/>
      <c r="AS329" s="350"/>
      <c r="AT329" s="351"/>
      <c r="AU329" s="346"/>
      <c r="AV329" s="353"/>
      <c r="AW329" s="350"/>
      <c r="AX329" s="351"/>
      <c r="AY329" s="346"/>
      <c r="AZ329" s="353"/>
      <c r="BA329" s="350"/>
      <c r="BB329" s="351"/>
      <c r="BC329" s="346"/>
      <c r="BD329" s="353"/>
      <c r="BE329" s="350"/>
      <c r="BF329" s="351"/>
      <c r="BG329" s="346"/>
      <c r="BH329" s="353"/>
      <c r="BI329" s="350"/>
      <c r="BJ329" s="351"/>
      <c r="BK329" s="346"/>
      <c r="BL329" s="353"/>
      <c r="BM329" s="350"/>
      <c r="BN329" s="351"/>
      <c r="BO329" s="346"/>
      <c r="BP329" s="353"/>
      <c r="BQ329" s="350"/>
      <c r="BR329" s="351"/>
      <c r="BS329" s="346"/>
      <c r="BT329" s="353"/>
      <c r="BU329" s="350"/>
      <c r="BV329" s="351"/>
    </row>
    <row r="330" spans="1:74" x14ac:dyDescent="0.25">
      <c r="A330" s="345"/>
      <c r="B330" s="284"/>
      <c r="D330" s="346"/>
      <c r="E330" s="347"/>
      <c r="F330" s="348"/>
      <c r="G330" s="349"/>
      <c r="H330" s="350"/>
      <c r="I330" s="351"/>
      <c r="J330" s="352"/>
      <c r="K330" s="346"/>
      <c r="L330" s="353"/>
      <c r="M330" s="350"/>
      <c r="N330" s="351"/>
      <c r="O330" s="346"/>
      <c r="P330" s="354"/>
      <c r="Q330" s="350"/>
      <c r="R330" s="351"/>
      <c r="S330" s="346"/>
      <c r="T330" s="353"/>
      <c r="U330" s="350"/>
      <c r="V330" s="351"/>
      <c r="W330" s="346"/>
      <c r="X330" s="353"/>
      <c r="Y330" s="350"/>
      <c r="Z330" s="351"/>
      <c r="AA330" s="346"/>
      <c r="AB330" s="353"/>
      <c r="AC330" s="350"/>
      <c r="AD330" s="351"/>
      <c r="AE330" s="346"/>
      <c r="AF330" s="353"/>
      <c r="AG330" s="350"/>
      <c r="AH330" s="351"/>
      <c r="AI330" s="346"/>
      <c r="AJ330" s="353"/>
      <c r="AK330" s="350"/>
      <c r="AL330" s="351"/>
      <c r="AM330" s="346"/>
      <c r="AN330" s="353"/>
      <c r="AO330" s="350"/>
      <c r="AP330" s="351"/>
      <c r="AQ330" s="346"/>
      <c r="AR330" s="354"/>
      <c r="AS330" s="350"/>
      <c r="AT330" s="351"/>
      <c r="AU330" s="346"/>
      <c r="AV330" s="353"/>
      <c r="AW330" s="350"/>
      <c r="AX330" s="351"/>
      <c r="AY330" s="346"/>
      <c r="AZ330" s="353"/>
      <c r="BA330" s="350"/>
      <c r="BB330" s="351"/>
      <c r="BC330" s="346"/>
      <c r="BD330" s="353"/>
      <c r="BE330" s="350"/>
      <c r="BF330" s="351"/>
      <c r="BG330" s="346"/>
      <c r="BH330" s="353"/>
      <c r="BI330" s="350"/>
      <c r="BJ330" s="351"/>
      <c r="BK330" s="346"/>
      <c r="BL330" s="353"/>
      <c r="BM330" s="350"/>
      <c r="BN330" s="351"/>
      <c r="BO330" s="346"/>
      <c r="BP330" s="353"/>
      <c r="BQ330" s="350"/>
      <c r="BR330" s="351"/>
      <c r="BS330" s="346"/>
      <c r="BT330" s="353"/>
      <c r="BU330" s="350"/>
      <c r="BV330" s="351"/>
    </row>
    <row r="331" spans="1:74" x14ac:dyDescent="0.25">
      <c r="A331" s="345"/>
      <c r="B331" s="284"/>
      <c r="D331" s="346"/>
      <c r="E331" s="347"/>
      <c r="F331" s="348"/>
      <c r="G331" s="349"/>
      <c r="H331" s="350"/>
      <c r="I331" s="351"/>
      <c r="J331" s="352"/>
      <c r="K331" s="346"/>
      <c r="L331" s="353"/>
      <c r="M331" s="350"/>
      <c r="N331" s="351"/>
      <c r="O331" s="346"/>
      <c r="P331" s="354"/>
      <c r="Q331" s="350"/>
      <c r="R331" s="351"/>
      <c r="S331" s="346"/>
      <c r="T331" s="353"/>
      <c r="U331" s="350"/>
      <c r="V331" s="351"/>
      <c r="W331" s="346"/>
      <c r="X331" s="353"/>
      <c r="Y331" s="350"/>
      <c r="Z331" s="351"/>
      <c r="AA331" s="346"/>
      <c r="AB331" s="353"/>
      <c r="AC331" s="350"/>
      <c r="AD331" s="351"/>
      <c r="AE331" s="346"/>
      <c r="AF331" s="353"/>
      <c r="AG331" s="350"/>
      <c r="AH331" s="351"/>
      <c r="AI331" s="346"/>
      <c r="AJ331" s="353"/>
      <c r="AK331" s="350"/>
      <c r="AL331" s="351"/>
      <c r="AM331" s="346"/>
      <c r="AN331" s="353"/>
      <c r="AO331" s="350"/>
      <c r="AP331" s="351"/>
      <c r="AQ331" s="346"/>
      <c r="AR331" s="354"/>
      <c r="AS331" s="350"/>
      <c r="AT331" s="351"/>
      <c r="AU331" s="346"/>
      <c r="AV331" s="353"/>
      <c r="AW331" s="350"/>
      <c r="AX331" s="351"/>
      <c r="AY331" s="346"/>
      <c r="AZ331" s="353"/>
      <c r="BA331" s="350"/>
      <c r="BB331" s="351"/>
      <c r="BC331" s="346"/>
      <c r="BD331" s="353"/>
      <c r="BE331" s="350"/>
      <c r="BF331" s="351"/>
      <c r="BG331" s="346"/>
      <c r="BH331" s="353"/>
      <c r="BI331" s="350"/>
      <c r="BJ331" s="351"/>
      <c r="BK331" s="346"/>
      <c r="BL331" s="353"/>
      <c r="BM331" s="350"/>
      <c r="BN331" s="351"/>
      <c r="BO331" s="346"/>
      <c r="BP331" s="353"/>
      <c r="BQ331" s="350"/>
      <c r="BR331" s="351"/>
      <c r="BS331" s="346"/>
      <c r="BT331" s="353"/>
      <c r="BU331" s="350"/>
      <c r="BV331" s="351"/>
    </row>
    <row r="332" spans="1:74" x14ac:dyDescent="0.25">
      <c r="B332" s="284"/>
      <c r="D332" s="355"/>
      <c r="E332" s="356"/>
      <c r="F332" s="357"/>
      <c r="G332" s="358"/>
      <c r="H332" s="359"/>
      <c r="I332" s="284"/>
      <c r="J332" s="287"/>
      <c r="K332" s="355"/>
      <c r="M332" s="359"/>
      <c r="N332" s="284"/>
      <c r="O332" s="355"/>
      <c r="P332" s="360"/>
      <c r="Q332" s="359"/>
      <c r="R332" s="284"/>
      <c r="S332" s="355"/>
      <c r="U332" s="359"/>
      <c r="V332" s="284"/>
      <c r="W332" s="355"/>
      <c r="Y332" s="359"/>
      <c r="Z332" s="284"/>
      <c r="AA332" s="355"/>
      <c r="AC332" s="359"/>
      <c r="AD332" s="284"/>
      <c r="AE332" s="355"/>
      <c r="AG332" s="359"/>
      <c r="AH332" s="284"/>
      <c r="AI332" s="355"/>
      <c r="AK332" s="359"/>
      <c r="AL332" s="284"/>
      <c r="AM332" s="355"/>
      <c r="AO332" s="359"/>
      <c r="AP332" s="284"/>
      <c r="AQ332" s="355"/>
      <c r="AR332" s="360"/>
      <c r="AS332" s="359"/>
      <c r="AT332" s="284"/>
      <c r="AU332" s="355"/>
      <c r="AW332" s="359"/>
      <c r="AX332" s="284"/>
      <c r="AY332" s="355"/>
      <c r="BA332" s="359"/>
      <c r="BB332" s="284"/>
      <c r="BC332" s="355"/>
      <c r="BE332" s="359"/>
      <c r="BF332" s="284"/>
      <c r="BG332" s="355"/>
      <c r="BI332" s="359"/>
      <c r="BJ332" s="284"/>
      <c r="BK332" s="355"/>
      <c r="BM332" s="359"/>
      <c r="BN332" s="284"/>
      <c r="BO332" s="355"/>
      <c r="BQ332" s="359"/>
      <c r="BR332" s="284"/>
      <c r="BS332" s="355"/>
      <c r="BU332" s="359"/>
      <c r="BV332" s="284"/>
    </row>
    <row r="333" spans="1:74" x14ac:dyDescent="0.25">
      <c r="B333" s="284"/>
      <c r="D333" s="355"/>
      <c r="E333" s="356"/>
      <c r="F333" s="357"/>
      <c r="G333" s="358"/>
      <c r="H333" s="359"/>
      <c r="I333" s="284"/>
      <c r="J333" s="287"/>
      <c r="K333" s="355"/>
      <c r="M333" s="359"/>
      <c r="N333" s="284"/>
      <c r="O333" s="355"/>
      <c r="P333" s="360"/>
      <c r="Q333" s="359"/>
      <c r="R333" s="284"/>
      <c r="S333" s="355"/>
      <c r="U333" s="359"/>
      <c r="V333" s="284"/>
      <c r="W333" s="355"/>
      <c r="Y333" s="359"/>
      <c r="Z333" s="284"/>
      <c r="AA333" s="355"/>
      <c r="AC333" s="359"/>
      <c r="AD333" s="284"/>
      <c r="AE333" s="355"/>
      <c r="AG333" s="359"/>
      <c r="AH333" s="284"/>
      <c r="AI333" s="355"/>
      <c r="AK333" s="359"/>
      <c r="AL333" s="284"/>
      <c r="AM333" s="355"/>
      <c r="AO333" s="359"/>
      <c r="AP333" s="284"/>
      <c r="AQ333" s="355"/>
      <c r="AR333" s="360"/>
      <c r="AS333" s="359"/>
      <c r="AT333" s="284"/>
      <c r="AU333" s="355"/>
      <c r="AW333" s="359"/>
      <c r="AX333" s="284"/>
      <c r="AY333" s="355"/>
      <c r="BA333" s="359"/>
      <c r="BB333" s="284"/>
      <c r="BC333" s="355"/>
      <c r="BE333" s="359"/>
      <c r="BF333" s="284"/>
      <c r="BG333" s="355"/>
      <c r="BI333" s="359"/>
      <c r="BJ333" s="284"/>
      <c r="BK333" s="355"/>
      <c r="BM333" s="359"/>
      <c r="BN333" s="284"/>
      <c r="BO333" s="355"/>
      <c r="BQ333" s="359"/>
      <c r="BR333" s="284"/>
      <c r="BS333" s="355"/>
      <c r="BU333" s="359"/>
      <c r="BV333" s="284"/>
    </row>
    <row r="334" spans="1:74" x14ac:dyDescent="0.25">
      <c r="B334" s="284"/>
      <c r="D334" s="355"/>
      <c r="E334" s="356"/>
      <c r="F334" s="357"/>
      <c r="G334" s="358"/>
      <c r="H334" s="359"/>
      <c r="I334" s="284"/>
      <c r="J334" s="287"/>
      <c r="K334" s="355"/>
      <c r="M334" s="359"/>
      <c r="N334" s="284"/>
      <c r="O334" s="355"/>
      <c r="P334" s="360"/>
      <c r="Q334" s="359"/>
      <c r="R334" s="284"/>
      <c r="S334" s="355"/>
      <c r="U334" s="359"/>
      <c r="V334" s="284"/>
      <c r="W334" s="355"/>
      <c r="Y334" s="359"/>
      <c r="Z334" s="284"/>
      <c r="AA334" s="355"/>
      <c r="AC334" s="359"/>
      <c r="AD334" s="284"/>
      <c r="AE334" s="355"/>
      <c r="AG334" s="359"/>
      <c r="AH334" s="284"/>
      <c r="AI334" s="355"/>
      <c r="AK334" s="359"/>
      <c r="AL334" s="284"/>
      <c r="AM334" s="355"/>
      <c r="AO334" s="359"/>
      <c r="AP334" s="284"/>
      <c r="AQ334" s="355"/>
      <c r="AR334" s="360"/>
      <c r="AS334" s="359"/>
      <c r="AT334" s="284"/>
      <c r="AU334" s="355"/>
      <c r="AW334" s="359"/>
      <c r="AX334" s="284"/>
      <c r="AY334" s="355"/>
      <c r="BA334" s="359"/>
      <c r="BB334" s="284"/>
      <c r="BC334" s="355"/>
      <c r="BE334" s="359"/>
      <c r="BF334" s="284"/>
      <c r="BG334" s="355"/>
      <c r="BI334" s="359"/>
      <c r="BJ334" s="284"/>
      <c r="BK334" s="355"/>
      <c r="BM334" s="359"/>
      <c r="BN334" s="284"/>
      <c r="BO334" s="355"/>
      <c r="BQ334" s="359"/>
      <c r="BR334" s="284"/>
      <c r="BS334" s="355"/>
      <c r="BU334" s="359"/>
      <c r="BV334" s="284"/>
    </row>
    <row r="335" spans="1:74" x14ac:dyDescent="0.25">
      <c r="B335" s="284"/>
      <c r="D335" s="355"/>
      <c r="E335" s="356"/>
      <c r="F335" s="357"/>
      <c r="G335" s="358"/>
      <c r="H335" s="359"/>
      <c r="I335" s="284"/>
      <c r="J335" s="287"/>
      <c r="K335" s="355"/>
      <c r="M335" s="359"/>
      <c r="N335" s="284"/>
      <c r="O335" s="355"/>
      <c r="P335" s="360"/>
      <c r="Q335" s="359"/>
      <c r="R335" s="284"/>
      <c r="S335" s="355"/>
      <c r="U335" s="359"/>
      <c r="V335" s="284"/>
      <c r="W335" s="355"/>
      <c r="Y335" s="359"/>
      <c r="Z335" s="284"/>
      <c r="AA335" s="355"/>
      <c r="AC335" s="359"/>
      <c r="AD335" s="284"/>
      <c r="AE335" s="355"/>
      <c r="AG335" s="359"/>
      <c r="AH335" s="284"/>
      <c r="AI335" s="355"/>
      <c r="AK335" s="359"/>
      <c r="AL335" s="284"/>
      <c r="AM335" s="355"/>
      <c r="AO335" s="359"/>
      <c r="AP335" s="284"/>
      <c r="AQ335" s="355"/>
      <c r="AR335" s="360"/>
      <c r="AS335" s="359"/>
      <c r="AT335" s="284"/>
      <c r="AU335" s="355"/>
      <c r="AW335" s="359"/>
      <c r="AX335" s="284"/>
      <c r="AY335" s="355"/>
      <c r="BA335" s="359"/>
      <c r="BB335" s="284"/>
      <c r="BC335" s="355"/>
      <c r="BE335" s="359"/>
      <c r="BF335" s="284"/>
      <c r="BG335" s="355"/>
      <c r="BI335" s="359"/>
      <c r="BJ335" s="284"/>
      <c r="BK335" s="355"/>
      <c r="BM335" s="359"/>
      <c r="BN335" s="284"/>
      <c r="BO335" s="355"/>
      <c r="BQ335" s="359"/>
      <c r="BR335" s="284"/>
      <c r="BS335" s="355"/>
      <c r="BU335" s="359"/>
      <c r="BV335" s="284"/>
    </row>
    <row r="336" spans="1:74" x14ac:dyDescent="0.25">
      <c r="B336" s="284"/>
      <c r="D336" s="355"/>
      <c r="E336" s="356"/>
      <c r="F336" s="357"/>
      <c r="G336" s="358"/>
      <c r="H336" s="359"/>
      <c r="I336" s="284"/>
      <c r="J336" s="287"/>
      <c r="K336" s="355"/>
      <c r="M336" s="359"/>
      <c r="N336" s="284"/>
      <c r="O336" s="355"/>
      <c r="P336" s="360"/>
      <c r="Q336" s="359"/>
      <c r="R336" s="284"/>
      <c r="S336" s="355"/>
      <c r="U336" s="359"/>
      <c r="V336" s="284"/>
      <c r="W336" s="355"/>
      <c r="Y336" s="359"/>
      <c r="Z336" s="284"/>
      <c r="AA336" s="355"/>
      <c r="AC336" s="359"/>
      <c r="AD336" s="284"/>
      <c r="AE336" s="355"/>
      <c r="AG336" s="359"/>
      <c r="AH336" s="284"/>
      <c r="AI336" s="355"/>
      <c r="AK336" s="359"/>
      <c r="AL336" s="284"/>
      <c r="AM336" s="355"/>
      <c r="AO336" s="359"/>
      <c r="AP336" s="284"/>
      <c r="AQ336" s="355"/>
      <c r="AR336" s="360"/>
      <c r="AS336" s="359"/>
      <c r="AT336" s="284"/>
      <c r="AU336" s="355"/>
      <c r="AW336" s="359"/>
      <c r="AX336" s="284"/>
      <c r="AY336" s="355"/>
      <c r="BA336" s="359"/>
      <c r="BB336" s="284"/>
      <c r="BC336" s="355"/>
      <c r="BE336" s="359"/>
      <c r="BF336" s="284"/>
      <c r="BG336" s="355"/>
      <c r="BI336" s="359"/>
      <c r="BJ336" s="284"/>
      <c r="BK336" s="355"/>
      <c r="BM336" s="359"/>
      <c r="BN336" s="284"/>
      <c r="BO336" s="355"/>
      <c r="BQ336" s="359"/>
      <c r="BR336" s="284"/>
      <c r="BS336" s="355"/>
      <c r="BU336" s="359"/>
      <c r="BV336" s="284"/>
    </row>
    <row r="337" spans="2:74" x14ac:dyDescent="0.25">
      <c r="B337" s="284"/>
      <c r="D337" s="355"/>
      <c r="E337" s="356"/>
      <c r="F337" s="357"/>
      <c r="G337" s="358"/>
      <c r="H337" s="359"/>
      <c r="I337" s="284"/>
      <c r="J337" s="287"/>
      <c r="K337" s="355"/>
      <c r="M337" s="359"/>
      <c r="N337" s="284"/>
      <c r="O337" s="355"/>
      <c r="P337" s="360"/>
      <c r="Q337" s="359"/>
      <c r="R337" s="284"/>
      <c r="S337" s="355"/>
      <c r="U337" s="359"/>
      <c r="V337" s="284"/>
      <c r="W337" s="355"/>
      <c r="Y337" s="359"/>
      <c r="Z337" s="284"/>
      <c r="AA337" s="355"/>
      <c r="AC337" s="359"/>
      <c r="AD337" s="284"/>
      <c r="AE337" s="355"/>
      <c r="AG337" s="359"/>
      <c r="AH337" s="284"/>
      <c r="AI337" s="355"/>
      <c r="AK337" s="359"/>
      <c r="AL337" s="284"/>
      <c r="AM337" s="355"/>
      <c r="AO337" s="359"/>
      <c r="AP337" s="284"/>
      <c r="AQ337" s="355"/>
      <c r="AR337" s="360"/>
      <c r="AS337" s="359"/>
      <c r="AT337" s="284"/>
      <c r="AU337" s="355"/>
      <c r="AW337" s="359"/>
      <c r="AX337" s="284"/>
      <c r="AY337" s="355"/>
      <c r="BA337" s="359"/>
      <c r="BB337" s="284"/>
      <c r="BC337" s="355"/>
      <c r="BE337" s="359"/>
      <c r="BF337" s="284"/>
      <c r="BG337" s="355"/>
      <c r="BI337" s="359"/>
      <c r="BJ337" s="284"/>
      <c r="BK337" s="355"/>
      <c r="BM337" s="359"/>
      <c r="BN337" s="284"/>
      <c r="BO337" s="355"/>
      <c r="BQ337" s="359"/>
      <c r="BR337" s="284"/>
      <c r="BS337" s="355"/>
      <c r="BU337" s="359"/>
      <c r="BV337" s="284"/>
    </row>
    <row r="338" spans="2:74" x14ac:dyDescent="0.25">
      <c r="B338" s="284"/>
      <c r="D338" s="355"/>
      <c r="E338" s="356"/>
      <c r="F338" s="357"/>
      <c r="G338" s="358"/>
      <c r="H338" s="359"/>
      <c r="I338" s="284"/>
      <c r="J338" s="287"/>
      <c r="K338" s="355"/>
      <c r="M338" s="359"/>
      <c r="N338" s="284"/>
      <c r="O338" s="355"/>
      <c r="P338" s="360"/>
      <c r="Q338" s="359"/>
      <c r="R338" s="284"/>
      <c r="S338" s="355"/>
      <c r="U338" s="359"/>
      <c r="V338" s="284"/>
      <c r="W338" s="355"/>
      <c r="Y338" s="359"/>
      <c r="Z338" s="284"/>
      <c r="AA338" s="355"/>
      <c r="AC338" s="359"/>
      <c r="AD338" s="284"/>
      <c r="AE338" s="355"/>
      <c r="AG338" s="359"/>
      <c r="AH338" s="284"/>
      <c r="AI338" s="355"/>
      <c r="AK338" s="359"/>
      <c r="AL338" s="284"/>
      <c r="AM338" s="355"/>
      <c r="AO338" s="359"/>
      <c r="AP338" s="284"/>
      <c r="AQ338" s="355"/>
      <c r="AR338" s="360"/>
      <c r="AS338" s="359"/>
      <c r="AT338" s="284"/>
      <c r="AU338" s="355"/>
      <c r="AW338" s="359"/>
      <c r="AX338" s="284"/>
      <c r="AY338" s="355"/>
      <c r="BA338" s="359"/>
      <c r="BB338" s="284"/>
      <c r="BC338" s="355"/>
      <c r="BE338" s="359"/>
      <c r="BF338" s="284"/>
      <c r="BG338" s="355"/>
      <c r="BI338" s="359"/>
      <c r="BJ338" s="284"/>
      <c r="BK338" s="355"/>
      <c r="BM338" s="359"/>
      <c r="BN338" s="284"/>
      <c r="BO338" s="355"/>
      <c r="BQ338" s="359"/>
      <c r="BR338" s="284"/>
      <c r="BS338" s="355"/>
      <c r="BU338" s="359"/>
      <c r="BV338" s="284"/>
    </row>
    <row r="339" spans="2:74" x14ac:dyDescent="0.25">
      <c r="B339" s="284"/>
      <c r="D339" s="355"/>
      <c r="E339" s="356"/>
      <c r="F339" s="357"/>
      <c r="G339" s="358"/>
      <c r="H339" s="359"/>
      <c r="I339" s="284"/>
      <c r="J339" s="287"/>
      <c r="K339" s="355"/>
      <c r="M339" s="359"/>
      <c r="N339" s="284"/>
      <c r="O339" s="355"/>
      <c r="P339" s="360"/>
      <c r="Q339" s="359"/>
      <c r="R339" s="284"/>
      <c r="S339" s="355"/>
      <c r="U339" s="359"/>
      <c r="V339" s="284"/>
      <c r="W339" s="355"/>
      <c r="Y339" s="359"/>
      <c r="Z339" s="284"/>
      <c r="AA339" s="355"/>
      <c r="AC339" s="359"/>
      <c r="AD339" s="284"/>
      <c r="AE339" s="355"/>
      <c r="AG339" s="359"/>
      <c r="AH339" s="284"/>
      <c r="AI339" s="355"/>
      <c r="AK339" s="359"/>
      <c r="AL339" s="284"/>
      <c r="AM339" s="355"/>
      <c r="AO339" s="359"/>
      <c r="AP339" s="284"/>
      <c r="AQ339" s="355"/>
      <c r="AR339" s="360"/>
      <c r="AS339" s="359"/>
      <c r="AT339" s="284"/>
      <c r="AU339" s="355"/>
      <c r="AW339" s="359"/>
      <c r="AX339" s="284"/>
      <c r="AY339" s="355"/>
      <c r="BA339" s="359"/>
      <c r="BB339" s="284"/>
      <c r="BC339" s="355"/>
      <c r="BE339" s="359"/>
      <c r="BF339" s="284"/>
      <c r="BG339" s="355"/>
      <c r="BI339" s="359"/>
      <c r="BJ339" s="284"/>
      <c r="BK339" s="355"/>
      <c r="BM339" s="359"/>
      <c r="BN339" s="284"/>
      <c r="BO339" s="355"/>
      <c r="BQ339" s="359"/>
      <c r="BR339" s="284"/>
      <c r="BS339" s="355"/>
      <c r="BU339" s="359"/>
      <c r="BV339" s="284"/>
    </row>
    <row r="340" spans="2:74" x14ac:dyDescent="0.25">
      <c r="B340" s="284"/>
      <c r="D340" s="355"/>
      <c r="E340" s="356"/>
      <c r="F340" s="357"/>
      <c r="G340" s="358"/>
      <c r="H340" s="359"/>
      <c r="I340" s="284"/>
      <c r="J340" s="287"/>
      <c r="K340" s="355"/>
      <c r="M340" s="359"/>
      <c r="N340" s="284"/>
      <c r="O340" s="355"/>
      <c r="P340" s="360"/>
      <c r="Q340" s="359"/>
      <c r="R340" s="284"/>
      <c r="S340" s="355"/>
      <c r="U340" s="359"/>
      <c r="V340" s="284"/>
      <c r="W340" s="355"/>
      <c r="Y340" s="359"/>
      <c r="Z340" s="284"/>
      <c r="AA340" s="355"/>
      <c r="AC340" s="359"/>
      <c r="AD340" s="284"/>
      <c r="AE340" s="355"/>
      <c r="AG340" s="359"/>
      <c r="AH340" s="284"/>
      <c r="AI340" s="355"/>
      <c r="AK340" s="359"/>
      <c r="AL340" s="284"/>
      <c r="AM340" s="355"/>
      <c r="AO340" s="359"/>
      <c r="AP340" s="284"/>
      <c r="AQ340" s="355"/>
      <c r="AR340" s="360"/>
      <c r="AS340" s="359"/>
      <c r="AT340" s="284"/>
      <c r="AU340" s="355"/>
      <c r="AW340" s="359"/>
      <c r="AX340" s="284"/>
      <c r="AY340" s="355"/>
      <c r="BA340" s="359"/>
      <c r="BB340" s="284"/>
      <c r="BC340" s="355"/>
      <c r="BE340" s="359"/>
      <c r="BF340" s="284"/>
      <c r="BG340" s="355"/>
      <c r="BI340" s="359"/>
      <c r="BJ340" s="284"/>
      <c r="BK340" s="355"/>
      <c r="BM340" s="359"/>
      <c r="BN340" s="284"/>
      <c r="BO340" s="355"/>
      <c r="BQ340" s="359"/>
      <c r="BR340" s="284"/>
      <c r="BS340" s="355"/>
      <c r="BU340" s="359"/>
      <c r="BV340" s="284"/>
    </row>
    <row r="341" spans="2:74" x14ac:dyDescent="0.25">
      <c r="B341" s="284"/>
      <c r="D341" s="355"/>
      <c r="E341" s="356"/>
      <c r="F341" s="357"/>
      <c r="G341" s="358"/>
      <c r="H341" s="359"/>
      <c r="I341" s="284"/>
      <c r="J341" s="287"/>
      <c r="K341" s="355"/>
      <c r="M341" s="359"/>
      <c r="N341" s="284"/>
      <c r="O341" s="355"/>
      <c r="P341" s="360"/>
      <c r="Q341" s="359"/>
      <c r="R341" s="284"/>
      <c r="S341" s="355"/>
      <c r="U341" s="359"/>
      <c r="V341" s="284"/>
      <c r="W341" s="355"/>
      <c r="Y341" s="359"/>
      <c r="Z341" s="284"/>
      <c r="AA341" s="355"/>
      <c r="AC341" s="359"/>
      <c r="AD341" s="284"/>
      <c r="AE341" s="355"/>
      <c r="AG341" s="359"/>
      <c r="AH341" s="284"/>
      <c r="AI341" s="355"/>
      <c r="AK341" s="359"/>
      <c r="AL341" s="284"/>
      <c r="AM341" s="355"/>
      <c r="AO341" s="359"/>
      <c r="AP341" s="284"/>
      <c r="AQ341" s="355"/>
      <c r="AR341" s="360"/>
      <c r="AS341" s="359"/>
      <c r="AT341" s="284"/>
      <c r="AU341" s="355"/>
      <c r="AW341" s="359"/>
      <c r="AX341" s="284"/>
      <c r="AY341" s="355"/>
      <c r="BA341" s="359"/>
      <c r="BB341" s="284"/>
      <c r="BC341" s="355"/>
      <c r="BE341" s="359"/>
      <c r="BF341" s="284"/>
      <c r="BG341" s="355"/>
      <c r="BI341" s="359"/>
      <c r="BJ341" s="284"/>
      <c r="BK341" s="355"/>
      <c r="BM341" s="359"/>
      <c r="BN341" s="284"/>
      <c r="BO341" s="355"/>
      <c r="BQ341" s="359"/>
      <c r="BR341" s="284"/>
      <c r="BS341" s="355"/>
      <c r="BU341" s="359"/>
      <c r="BV341" s="284"/>
    </row>
    <row r="342" spans="2:74" x14ac:dyDescent="0.25">
      <c r="B342" s="284"/>
      <c r="D342" s="355"/>
      <c r="E342" s="356"/>
      <c r="F342" s="357"/>
      <c r="G342" s="358"/>
      <c r="H342" s="359"/>
      <c r="I342" s="284"/>
      <c r="J342" s="287"/>
      <c r="K342" s="355"/>
      <c r="M342" s="359"/>
      <c r="N342" s="284"/>
      <c r="O342" s="355"/>
      <c r="P342" s="360"/>
      <c r="Q342" s="359"/>
      <c r="R342" s="284"/>
      <c r="S342" s="355"/>
      <c r="U342" s="359"/>
      <c r="V342" s="284"/>
      <c r="W342" s="355"/>
      <c r="Y342" s="359"/>
      <c r="Z342" s="284"/>
      <c r="AA342" s="355"/>
      <c r="AC342" s="359"/>
      <c r="AD342" s="284"/>
      <c r="AE342" s="355"/>
      <c r="AG342" s="359"/>
      <c r="AH342" s="284"/>
      <c r="AI342" s="355"/>
      <c r="AK342" s="359"/>
      <c r="AL342" s="284"/>
      <c r="AM342" s="355"/>
      <c r="AO342" s="359"/>
      <c r="AP342" s="284"/>
      <c r="AQ342" s="355"/>
      <c r="AR342" s="360"/>
      <c r="AS342" s="359"/>
      <c r="AT342" s="284"/>
      <c r="AU342" s="355"/>
      <c r="AW342" s="359"/>
      <c r="AX342" s="284"/>
      <c r="AY342" s="355"/>
      <c r="BA342" s="359"/>
      <c r="BB342" s="284"/>
      <c r="BC342" s="355"/>
      <c r="BE342" s="359"/>
      <c r="BF342" s="284"/>
      <c r="BG342" s="355"/>
      <c r="BI342" s="359"/>
      <c r="BJ342" s="284"/>
      <c r="BK342" s="355"/>
      <c r="BM342" s="359"/>
      <c r="BN342" s="284"/>
      <c r="BO342" s="355"/>
      <c r="BQ342" s="359"/>
      <c r="BR342" s="284"/>
      <c r="BS342" s="355"/>
      <c r="BU342" s="359"/>
      <c r="BV342" s="284"/>
    </row>
    <row r="343" spans="2:74" x14ac:dyDescent="0.25">
      <c r="B343" s="284"/>
      <c r="D343" s="355"/>
      <c r="E343" s="356"/>
      <c r="F343" s="357"/>
      <c r="G343" s="358"/>
      <c r="H343" s="359"/>
      <c r="I343" s="284"/>
      <c r="J343" s="287"/>
      <c r="K343" s="355"/>
      <c r="M343" s="359"/>
      <c r="N343" s="284"/>
      <c r="O343" s="355"/>
      <c r="P343" s="360"/>
      <c r="Q343" s="359"/>
      <c r="R343" s="284"/>
      <c r="S343" s="355"/>
      <c r="U343" s="359"/>
      <c r="V343" s="284"/>
      <c r="W343" s="355"/>
      <c r="Y343" s="359"/>
      <c r="Z343" s="284"/>
      <c r="AA343" s="355"/>
      <c r="AC343" s="359"/>
      <c r="AD343" s="284"/>
      <c r="AE343" s="355"/>
      <c r="AG343" s="359"/>
      <c r="AH343" s="284"/>
      <c r="AI343" s="355"/>
      <c r="AK343" s="359"/>
      <c r="AL343" s="284"/>
      <c r="AM343" s="355"/>
      <c r="AO343" s="359"/>
      <c r="AP343" s="284"/>
      <c r="AQ343" s="355"/>
      <c r="AR343" s="360"/>
      <c r="AS343" s="359"/>
      <c r="AT343" s="284"/>
      <c r="AU343" s="355"/>
      <c r="AW343" s="359"/>
      <c r="AX343" s="284"/>
      <c r="AY343" s="355"/>
      <c r="BA343" s="359"/>
      <c r="BB343" s="284"/>
      <c r="BC343" s="355"/>
      <c r="BE343" s="359"/>
      <c r="BF343" s="284"/>
      <c r="BG343" s="355"/>
      <c r="BI343" s="359"/>
      <c r="BJ343" s="284"/>
      <c r="BK343" s="355"/>
      <c r="BM343" s="359"/>
      <c r="BN343" s="284"/>
      <c r="BO343" s="355"/>
      <c r="BQ343" s="359"/>
      <c r="BR343" s="284"/>
      <c r="BS343" s="355"/>
      <c r="BU343" s="359"/>
      <c r="BV343" s="284"/>
    </row>
    <row r="344" spans="2:74" x14ac:dyDescent="0.25">
      <c r="B344" s="284"/>
      <c r="D344" s="355"/>
      <c r="E344" s="356"/>
      <c r="F344" s="357"/>
      <c r="G344" s="358"/>
      <c r="H344" s="359"/>
      <c r="I344" s="284"/>
      <c r="J344" s="287"/>
      <c r="K344" s="355"/>
      <c r="M344" s="359"/>
      <c r="N344" s="284"/>
      <c r="O344" s="355"/>
      <c r="P344" s="360"/>
      <c r="Q344" s="359"/>
      <c r="R344" s="284"/>
      <c r="S344" s="355"/>
      <c r="U344" s="359"/>
      <c r="V344" s="284"/>
      <c r="W344" s="355"/>
      <c r="Y344" s="359"/>
      <c r="Z344" s="284"/>
      <c r="AA344" s="355"/>
      <c r="AC344" s="359"/>
      <c r="AD344" s="284"/>
      <c r="AE344" s="355"/>
      <c r="AG344" s="359"/>
      <c r="AH344" s="284"/>
      <c r="AI344" s="355"/>
      <c r="AK344" s="359"/>
      <c r="AL344" s="284"/>
      <c r="AM344" s="355"/>
      <c r="AO344" s="359"/>
      <c r="AP344" s="284"/>
      <c r="AQ344" s="355"/>
      <c r="AR344" s="360"/>
      <c r="AS344" s="359"/>
      <c r="AT344" s="284"/>
      <c r="AU344" s="355"/>
      <c r="AW344" s="359"/>
      <c r="AX344" s="284"/>
      <c r="AY344" s="355"/>
      <c r="BA344" s="359"/>
      <c r="BB344" s="284"/>
      <c r="BC344" s="355"/>
      <c r="BE344" s="359"/>
      <c r="BF344" s="284"/>
      <c r="BG344" s="355"/>
      <c r="BI344" s="359"/>
      <c r="BJ344" s="284"/>
      <c r="BK344" s="355"/>
      <c r="BM344" s="359"/>
      <c r="BN344" s="284"/>
      <c r="BO344" s="355"/>
      <c r="BQ344" s="359"/>
      <c r="BR344" s="284"/>
      <c r="BS344" s="355"/>
      <c r="BU344" s="359"/>
      <c r="BV344" s="284"/>
    </row>
    <row r="345" spans="2:74" x14ac:dyDescent="0.25">
      <c r="B345" s="284"/>
      <c r="D345" s="355"/>
      <c r="E345" s="356"/>
      <c r="F345" s="357"/>
      <c r="G345" s="358"/>
      <c r="H345" s="359"/>
      <c r="I345" s="284"/>
      <c r="J345" s="287"/>
      <c r="K345" s="355"/>
      <c r="M345" s="359"/>
      <c r="N345" s="284"/>
      <c r="O345" s="355"/>
      <c r="P345" s="360"/>
      <c r="Q345" s="359"/>
      <c r="R345" s="284"/>
      <c r="S345" s="355"/>
      <c r="U345" s="359"/>
      <c r="V345" s="284"/>
      <c r="W345" s="355"/>
      <c r="Y345" s="359"/>
      <c r="Z345" s="284"/>
      <c r="AA345" s="355"/>
      <c r="AC345" s="359"/>
      <c r="AD345" s="284"/>
      <c r="AE345" s="355"/>
      <c r="AG345" s="359"/>
      <c r="AH345" s="284"/>
      <c r="AI345" s="355"/>
      <c r="AK345" s="359"/>
      <c r="AL345" s="284"/>
      <c r="AM345" s="355"/>
      <c r="AO345" s="359"/>
      <c r="AP345" s="284"/>
      <c r="AQ345" s="355"/>
      <c r="AR345" s="360"/>
      <c r="AS345" s="359"/>
      <c r="AT345" s="284"/>
      <c r="AU345" s="355"/>
      <c r="AW345" s="359"/>
      <c r="AX345" s="284"/>
      <c r="AY345" s="355"/>
      <c r="BA345" s="359"/>
      <c r="BB345" s="284"/>
      <c r="BC345" s="355"/>
      <c r="BE345" s="359"/>
      <c r="BF345" s="284"/>
      <c r="BG345" s="355"/>
      <c r="BI345" s="359"/>
      <c r="BJ345" s="284"/>
      <c r="BK345" s="355"/>
      <c r="BM345" s="359"/>
      <c r="BN345" s="284"/>
      <c r="BO345" s="355"/>
      <c r="BQ345" s="359"/>
      <c r="BR345" s="284"/>
      <c r="BS345" s="355"/>
      <c r="BU345" s="359"/>
      <c r="BV345" s="284"/>
    </row>
    <row r="346" spans="2:74" x14ac:dyDescent="0.25">
      <c r="B346" s="284"/>
      <c r="D346" s="355"/>
      <c r="E346" s="356"/>
      <c r="F346" s="357"/>
      <c r="G346" s="358"/>
      <c r="H346" s="359"/>
      <c r="I346" s="284"/>
      <c r="J346" s="287"/>
      <c r="K346" s="355"/>
      <c r="M346" s="359"/>
      <c r="N346" s="284"/>
      <c r="O346" s="355"/>
      <c r="P346" s="360"/>
      <c r="Q346" s="359"/>
      <c r="R346" s="284"/>
      <c r="S346" s="355"/>
      <c r="U346" s="359"/>
      <c r="V346" s="284"/>
      <c r="W346" s="355"/>
      <c r="Y346" s="359"/>
      <c r="Z346" s="284"/>
      <c r="AA346" s="355"/>
      <c r="AC346" s="359"/>
      <c r="AD346" s="284"/>
      <c r="AE346" s="355"/>
      <c r="AG346" s="359"/>
      <c r="AH346" s="284"/>
      <c r="AI346" s="355"/>
      <c r="AK346" s="359"/>
      <c r="AL346" s="284"/>
      <c r="AM346" s="355"/>
      <c r="AO346" s="359"/>
      <c r="AP346" s="284"/>
      <c r="AQ346" s="355"/>
      <c r="AR346" s="360"/>
      <c r="AS346" s="359"/>
      <c r="AT346" s="284"/>
      <c r="AU346" s="355"/>
      <c r="AW346" s="359"/>
      <c r="AX346" s="284"/>
      <c r="AY346" s="355"/>
      <c r="BA346" s="359"/>
      <c r="BB346" s="284"/>
      <c r="BC346" s="355"/>
      <c r="BE346" s="359"/>
      <c r="BF346" s="284"/>
      <c r="BG346" s="355"/>
      <c r="BI346" s="359"/>
      <c r="BJ346" s="284"/>
      <c r="BK346" s="355"/>
      <c r="BM346" s="359"/>
      <c r="BN346" s="284"/>
      <c r="BO346" s="355"/>
      <c r="BQ346" s="359"/>
      <c r="BR346" s="284"/>
      <c r="BS346" s="355"/>
      <c r="BU346" s="359"/>
      <c r="BV346" s="284"/>
    </row>
    <row r="347" spans="2:74" x14ac:dyDescent="0.25">
      <c r="B347" s="284"/>
      <c r="D347" s="355"/>
      <c r="E347" s="356"/>
      <c r="F347" s="357"/>
      <c r="G347" s="358"/>
      <c r="H347" s="359"/>
      <c r="I347" s="284"/>
      <c r="J347" s="287"/>
      <c r="K347" s="355"/>
      <c r="M347" s="359"/>
      <c r="N347" s="284"/>
      <c r="O347" s="355"/>
      <c r="P347" s="360"/>
      <c r="Q347" s="359"/>
      <c r="R347" s="284"/>
      <c r="S347" s="355"/>
      <c r="U347" s="359"/>
      <c r="V347" s="284"/>
      <c r="W347" s="355"/>
      <c r="Y347" s="359"/>
      <c r="Z347" s="284"/>
      <c r="AA347" s="355"/>
      <c r="AC347" s="359"/>
      <c r="AD347" s="284"/>
      <c r="AE347" s="355"/>
      <c r="AG347" s="359"/>
      <c r="AH347" s="284"/>
      <c r="AI347" s="355"/>
      <c r="AK347" s="359"/>
      <c r="AL347" s="284"/>
      <c r="AM347" s="355"/>
      <c r="AO347" s="359"/>
      <c r="AP347" s="284"/>
      <c r="AQ347" s="355"/>
      <c r="AR347" s="360"/>
      <c r="AS347" s="359"/>
      <c r="AT347" s="284"/>
      <c r="AU347" s="355"/>
      <c r="AW347" s="359"/>
      <c r="AX347" s="284"/>
      <c r="AY347" s="355"/>
      <c r="BA347" s="359"/>
      <c r="BB347" s="284"/>
      <c r="BC347" s="355"/>
      <c r="BE347" s="359"/>
      <c r="BF347" s="284"/>
      <c r="BG347" s="355"/>
      <c r="BI347" s="359"/>
      <c r="BJ347" s="284"/>
      <c r="BK347" s="355"/>
      <c r="BM347" s="359"/>
      <c r="BN347" s="284"/>
      <c r="BO347" s="355"/>
      <c r="BQ347" s="359"/>
      <c r="BR347" s="284"/>
      <c r="BS347" s="355"/>
      <c r="BU347" s="359"/>
      <c r="BV347" s="284"/>
    </row>
    <row r="348" spans="2:74" x14ac:dyDescent="0.25">
      <c r="B348" s="284"/>
      <c r="D348" s="355"/>
      <c r="E348" s="356"/>
      <c r="F348" s="357"/>
      <c r="G348" s="358"/>
      <c r="H348" s="359"/>
      <c r="I348" s="284"/>
      <c r="J348" s="287"/>
      <c r="K348" s="355"/>
      <c r="M348" s="359"/>
      <c r="N348" s="284"/>
      <c r="O348" s="355"/>
      <c r="P348" s="360"/>
      <c r="Q348" s="359"/>
      <c r="R348" s="284"/>
      <c r="S348" s="355"/>
      <c r="U348" s="359"/>
      <c r="V348" s="284"/>
      <c r="W348" s="355"/>
      <c r="Y348" s="359"/>
      <c r="Z348" s="284"/>
      <c r="AA348" s="355"/>
      <c r="AC348" s="359"/>
      <c r="AD348" s="284"/>
      <c r="AE348" s="355"/>
      <c r="AG348" s="359"/>
      <c r="AH348" s="284"/>
      <c r="AI348" s="355"/>
      <c r="AK348" s="359"/>
      <c r="AL348" s="284"/>
      <c r="AM348" s="355"/>
      <c r="AO348" s="359"/>
      <c r="AP348" s="284"/>
      <c r="AQ348" s="355"/>
      <c r="AR348" s="360"/>
      <c r="AS348" s="359"/>
      <c r="AT348" s="284"/>
      <c r="AU348" s="355"/>
      <c r="AW348" s="359"/>
      <c r="AX348" s="284"/>
      <c r="AY348" s="355"/>
      <c r="BA348" s="359"/>
      <c r="BB348" s="284"/>
      <c r="BC348" s="355"/>
      <c r="BE348" s="359"/>
      <c r="BF348" s="284"/>
      <c r="BG348" s="355"/>
      <c r="BI348" s="359"/>
      <c r="BJ348" s="284"/>
      <c r="BK348" s="355"/>
      <c r="BM348" s="359"/>
      <c r="BN348" s="284"/>
      <c r="BO348" s="355"/>
      <c r="BQ348" s="359"/>
      <c r="BR348" s="284"/>
      <c r="BS348" s="355"/>
      <c r="BU348" s="359"/>
      <c r="BV348" s="284"/>
    </row>
    <row r="349" spans="2:74" x14ac:dyDescent="0.25">
      <c r="B349" s="284"/>
      <c r="D349" s="355"/>
      <c r="E349" s="356"/>
      <c r="F349" s="357"/>
      <c r="G349" s="358"/>
      <c r="H349" s="359"/>
      <c r="I349" s="284"/>
      <c r="J349" s="287"/>
      <c r="K349" s="355"/>
      <c r="M349" s="359"/>
      <c r="N349" s="284"/>
      <c r="O349" s="355"/>
      <c r="P349" s="360"/>
      <c r="Q349" s="359"/>
      <c r="R349" s="284"/>
      <c r="S349" s="355"/>
      <c r="U349" s="359"/>
      <c r="V349" s="284"/>
      <c r="W349" s="355"/>
      <c r="Y349" s="359"/>
      <c r="Z349" s="284"/>
      <c r="AA349" s="355"/>
      <c r="AC349" s="359"/>
      <c r="AD349" s="284"/>
      <c r="AE349" s="355"/>
      <c r="AG349" s="359"/>
      <c r="AH349" s="284"/>
      <c r="AI349" s="355"/>
      <c r="AK349" s="359"/>
      <c r="AL349" s="284"/>
      <c r="AM349" s="355"/>
      <c r="AO349" s="359"/>
      <c r="AP349" s="284"/>
      <c r="AQ349" s="355"/>
      <c r="AR349" s="360"/>
      <c r="AS349" s="359"/>
      <c r="AT349" s="284"/>
      <c r="AU349" s="355"/>
      <c r="AW349" s="359"/>
      <c r="AX349" s="284"/>
      <c r="AY349" s="355"/>
      <c r="BA349" s="359"/>
      <c r="BB349" s="284"/>
      <c r="BC349" s="355"/>
      <c r="BE349" s="359"/>
      <c r="BF349" s="284"/>
      <c r="BG349" s="355"/>
      <c r="BI349" s="359"/>
      <c r="BJ349" s="284"/>
      <c r="BK349" s="355"/>
      <c r="BM349" s="359"/>
      <c r="BN349" s="284"/>
      <c r="BO349" s="355"/>
      <c r="BQ349" s="359"/>
      <c r="BR349" s="284"/>
      <c r="BS349" s="355"/>
      <c r="BU349" s="359"/>
      <c r="BV349" s="284"/>
    </row>
    <row r="350" spans="2:74" x14ac:dyDescent="0.25">
      <c r="B350" s="284"/>
      <c r="D350" s="355"/>
      <c r="E350" s="356"/>
      <c r="F350" s="357"/>
      <c r="G350" s="358"/>
      <c r="H350" s="359"/>
      <c r="I350" s="284"/>
      <c r="J350" s="287"/>
      <c r="K350" s="355"/>
      <c r="M350" s="359"/>
      <c r="N350" s="284"/>
      <c r="O350" s="355"/>
      <c r="P350" s="360"/>
      <c r="Q350" s="359"/>
      <c r="R350" s="284"/>
      <c r="S350" s="355"/>
      <c r="U350" s="359"/>
      <c r="V350" s="284"/>
      <c r="W350" s="355"/>
      <c r="Y350" s="359"/>
      <c r="Z350" s="284"/>
      <c r="AA350" s="355"/>
      <c r="AC350" s="359"/>
      <c r="AD350" s="284"/>
      <c r="AE350" s="355"/>
      <c r="AG350" s="359"/>
      <c r="AH350" s="284"/>
      <c r="AI350" s="355"/>
      <c r="AK350" s="359"/>
      <c r="AL350" s="284"/>
      <c r="AM350" s="355"/>
      <c r="AO350" s="359"/>
      <c r="AP350" s="284"/>
      <c r="AQ350" s="355"/>
      <c r="AR350" s="360"/>
      <c r="AS350" s="359"/>
      <c r="AT350" s="284"/>
      <c r="AU350" s="355"/>
      <c r="AW350" s="359"/>
      <c r="AX350" s="284"/>
      <c r="AY350" s="355"/>
      <c r="BA350" s="359"/>
      <c r="BB350" s="284"/>
      <c r="BC350" s="355"/>
      <c r="BE350" s="359"/>
      <c r="BF350" s="284"/>
      <c r="BG350" s="355"/>
      <c r="BI350" s="359"/>
      <c r="BJ350" s="284"/>
      <c r="BK350" s="355"/>
      <c r="BM350" s="359"/>
      <c r="BN350" s="284"/>
      <c r="BO350" s="355"/>
      <c r="BQ350" s="359"/>
      <c r="BR350" s="284"/>
      <c r="BS350" s="355"/>
      <c r="BU350" s="359"/>
      <c r="BV350" s="284"/>
    </row>
    <row r="351" spans="2:74" x14ac:dyDescent="0.25">
      <c r="B351" s="284"/>
      <c r="D351" s="355"/>
      <c r="E351" s="356"/>
      <c r="F351" s="357"/>
      <c r="G351" s="358"/>
      <c r="H351" s="359"/>
      <c r="I351" s="284"/>
      <c r="J351" s="287"/>
      <c r="K351" s="355"/>
      <c r="M351" s="359"/>
      <c r="N351" s="284"/>
      <c r="O351" s="355"/>
      <c r="P351" s="360"/>
      <c r="Q351" s="359"/>
      <c r="R351" s="284"/>
      <c r="S351" s="355"/>
      <c r="U351" s="359"/>
      <c r="V351" s="284"/>
      <c r="W351" s="355"/>
      <c r="Y351" s="359"/>
      <c r="Z351" s="284"/>
      <c r="AA351" s="355"/>
      <c r="AC351" s="359"/>
      <c r="AD351" s="284"/>
      <c r="AE351" s="355"/>
      <c r="AG351" s="359"/>
      <c r="AH351" s="284"/>
      <c r="AI351" s="355"/>
      <c r="AK351" s="359"/>
      <c r="AL351" s="284"/>
      <c r="AM351" s="355"/>
      <c r="AO351" s="359"/>
      <c r="AP351" s="284"/>
      <c r="AQ351" s="355"/>
      <c r="AR351" s="360"/>
      <c r="AS351" s="359"/>
      <c r="AT351" s="284"/>
      <c r="AU351" s="355"/>
      <c r="AW351" s="359"/>
      <c r="AX351" s="284"/>
      <c r="AY351" s="355"/>
      <c r="BA351" s="359"/>
      <c r="BB351" s="284"/>
      <c r="BC351" s="355"/>
      <c r="BE351" s="359"/>
      <c r="BF351" s="284"/>
      <c r="BG351" s="355"/>
      <c r="BI351" s="359"/>
      <c r="BJ351" s="284"/>
      <c r="BK351" s="355"/>
      <c r="BM351" s="359"/>
      <c r="BN351" s="284"/>
      <c r="BO351" s="355"/>
      <c r="BQ351" s="359"/>
      <c r="BR351" s="284"/>
      <c r="BS351" s="355"/>
      <c r="BU351" s="359"/>
      <c r="BV351" s="284"/>
    </row>
    <row r="352" spans="2:74" x14ac:dyDescent="0.25">
      <c r="B352" s="284"/>
      <c r="D352" s="355"/>
      <c r="E352" s="356"/>
      <c r="F352" s="357"/>
      <c r="G352" s="358"/>
      <c r="H352" s="359"/>
      <c r="I352" s="284"/>
      <c r="J352" s="287"/>
      <c r="K352" s="355"/>
      <c r="M352" s="359"/>
      <c r="N352" s="284"/>
      <c r="O352" s="355"/>
      <c r="P352" s="360"/>
      <c r="Q352" s="359"/>
      <c r="R352" s="284"/>
      <c r="S352" s="355"/>
      <c r="U352" s="359"/>
      <c r="V352" s="284"/>
      <c r="W352" s="355"/>
      <c r="Y352" s="359"/>
      <c r="Z352" s="284"/>
      <c r="AA352" s="355"/>
      <c r="AC352" s="359"/>
      <c r="AD352" s="284"/>
      <c r="AE352" s="355"/>
      <c r="AG352" s="359"/>
      <c r="AH352" s="284"/>
      <c r="AI352" s="355"/>
      <c r="AK352" s="359"/>
      <c r="AL352" s="284"/>
      <c r="AM352" s="355"/>
      <c r="AO352" s="359"/>
      <c r="AP352" s="284"/>
      <c r="AQ352" s="355"/>
      <c r="AR352" s="360"/>
      <c r="AS352" s="359"/>
      <c r="AT352" s="284"/>
      <c r="AU352" s="355"/>
      <c r="AW352" s="359"/>
      <c r="AX352" s="284"/>
      <c r="AY352" s="355"/>
      <c r="BA352" s="359"/>
      <c r="BB352" s="284"/>
      <c r="BC352" s="355"/>
      <c r="BE352" s="359"/>
      <c r="BF352" s="284"/>
      <c r="BG352" s="355"/>
      <c r="BI352" s="359"/>
      <c r="BJ352" s="284"/>
      <c r="BK352" s="355"/>
      <c r="BM352" s="359"/>
      <c r="BN352" s="284"/>
      <c r="BO352" s="355"/>
      <c r="BQ352" s="359"/>
      <c r="BR352" s="284"/>
      <c r="BS352" s="355"/>
      <c r="BU352" s="359"/>
      <c r="BV352" s="284"/>
    </row>
    <row r="353" spans="2:74" x14ac:dyDescent="0.25">
      <c r="B353" s="284"/>
      <c r="D353" s="355"/>
      <c r="E353" s="356"/>
      <c r="F353" s="357"/>
      <c r="G353" s="358"/>
      <c r="H353" s="359"/>
      <c r="I353" s="284"/>
      <c r="J353" s="287"/>
      <c r="K353" s="355"/>
      <c r="M353" s="359"/>
      <c r="N353" s="284"/>
      <c r="O353" s="355"/>
      <c r="P353" s="360"/>
      <c r="Q353" s="359"/>
      <c r="R353" s="284"/>
      <c r="S353" s="355"/>
      <c r="U353" s="359"/>
      <c r="V353" s="284"/>
      <c r="W353" s="355"/>
      <c r="Y353" s="359"/>
      <c r="Z353" s="284"/>
      <c r="AA353" s="355"/>
      <c r="AC353" s="359"/>
      <c r="AD353" s="284"/>
      <c r="AE353" s="355"/>
      <c r="AG353" s="359"/>
      <c r="AH353" s="284"/>
      <c r="AI353" s="355"/>
      <c r="AK353" s="359"/>
      <c r="AL353" s="284"/>
      <c r="AM353" s="355"/>
      <c r="AO353" s="359"/>
      <c r="AP353" s="284"/>
      <c r="AQ353" s="355"/>
      <c r="AR353" s="360"/>
      <c r="AS353" s="359"/>
      <c r="AT353" s="284"/>
      <c r="AU353" s="355"/>
      <c r="AW353" s="359"/>
      <c r="AX353" s="284"/>
      <c r="AY353" s="355"/>
      <c r="BA353" s="359"/>
      <c r="BB353" s="284"/>
      <c r="BC353" s="355"/>
      <c r="BE353" s="359"/>
      <c r="BF353" s="284"/>
      <c r="BG353" s="355"/>
      <c r="BI353" s="359"/>
      <c r="BJ353" s="284"/>
      <c r="BK353" s="355"/>
      <c r="BM353" s="359"/>
      <c r="BN353" s="284"/>
      <c r="BO353" s="355"/>
      <c r="BQ353" s="359"/>
      <c r="BR353" s="284"/>
      <c r="BS353" s="355"/>
      <c r="BU353" s="359"/>
      <c r="BV353" s="284"/>
    </row>
    <row r="354" spans="2:74" x14ac:dyDescent="0.25">
      <c r="B354" s="284"/>
      <c r="D354" s="355"/>
      <c r="E354" s="356"/>
      <c r="F354" s="357"/>
      <c r="G354" s="358"/>
      <c r="H354" s="359"/>
      <c r="I354" s="284"/>
      <c r="J354" s="287"/>
      <c r="K354" s="355"/>
      <c r="M354" s="359"/>
      <c r="N354" s="284"/>
      <c r="O354" s="355"/>
      <c r="P354" s="360"/>
      <c r="Q354" s="359"/>
      <c r="R354" s="284"/>
      <c r="S354" s="355"/>
      <c r="U354" s="359"/>
      <c r="V354" s="284"/>
      <c r="W354" s="355"/>
      <c r="Y354" s="359"/>
      <c r="Z354" s="284"/>
      <c r="AA354" s="355"/>
      <c r="AC354" s="359"/>
      <c r="AD354" s="284"/>
      <c r="AE354" s="355"/>
      <c r="AG354" s="359"/>
      <c r="AH354" s="284"/>
      <c r="AI354" s="355"/>
      <c r="AK354" s="359"/>
      <c r="AL354" s="284"/>
      <c r="AM354" s="355"/>
      <c r="AO354" s="359"/>
      <c r="AP354" s="284"/>
      <c r="AQ354" s="355"/>
      <c r="AR354" s="360"/>
      <c r="AS354" s="359"/>
      <c r="AT354" s="284"/>
      <c r="AU354" s="355"/>
      <c r="AW354" s="359"/>
      <c r="AX354" s="284"/>
      <c r="AY354" s="355"/>
      <c r="BA354" s="359"/>
      <c r="BB354" s="284"/>
      <c r="BC354" s="355"/>
      <c r="BE354" s="359"/>
      <c r="BF354" s="284"/>
      <c r="BG354" s="355"/>
      <c r="BI354" s="359"/>
      <c r="BJ354" s="284"/>
      <c r="BK354" s="355"/>
      <c r="BM354" s="359"/>
      <c r="BN354" s="284"/>
      <c r="BO354" s="355"/>
      <c r="BQ354" s="359"/>
      <c r="BR354" s="284"/>
      <c r="BS354" s="355"/>
      <c r="BU354" s="359"/>
      <c r="BV354" s="284"/>
    </row>
    <row r="355" spans="2:74" x14ac:dyDescent="0.25">
      <c r="B355" s="284"/>
      <c r="D355" s="355"/>
      <c r="E355" s="356"/>
      <c r="F355" s="357"/>
      <c r="G355" s="358"/>
      <c r="H355" s="359"/>
      <c r="I355" s="284"/>
      <c r="J355" s="287"/>
      <c r="K355" s="355"/>
      <c r="M355" s="359"/>
      <c r="N355" s="284"/>
      <c r="O355" s="355"/>
      <c r="P355" s="360"/>
      <c r="Q355" s="359"/>
      <c r="R355" s="284"/>
      <c r="S355" s="355"/>
      <c r="U355" s="359"/>
      <c r="V355" s="284"/>
      <c r="W355" s="355"/>
      <c r="Y355" s="359"/>
      <c r="Z355" s="284"/>
      <c r="AA355" s="355"/>
      <c r="AC355" s="359"/>
      <c r="AD355" s="284"/>
      <c r="AE355" s="355"/>
      <c r="AG355" s="359"/>
      <c r="AH355" s="284"/>
      <c r="AI355" s="355"/>
      <c r="AK355" s="359"/>
      <c r="AL355" s="284"/>
      <c r="AM355" s="355"/>
      <c r="AO355" s="359"/>
      <c r="AP355" s="284"/>
      <c r="AQ355" s="355"/>
      <c r="AR355" s="360"/>
      <c r="AS355" s="359"/>
      <c r="AT355" s="284"/>
      <c r="AU355" s="355"/>
      <c r="AW355" s="359"/>
      <c r="AX355" s="284"/>
      <c r="AY355" s="355"/>
      <c r="BA355" s="359"/>
      <c r="BB355" s="284"/>
      <c r="BC355" s="355"/>
      <c r="BE355" s="359"/>
      <c r="BF355" s="284"/>
      <c r="BG355" s="355"/>
      <c r="BI355" s="359"/>
      <c r="BJ355" s="284"/>
      <c r="BK355" s="355"/>
      <c r="BM355" s="359"/>
      <c r="BN355" s="284"/>
      <c r="BO355" s="355"/>
      <c r="BQ355" s="359"/>
      <c r="BR355" s="284"/>
      <c r="BS355" s="355"/>
      <c r="BU355" s="359"/>
      <c r="BV355" s="284"/>
    </row>
    <row r="356" spans="2:74" x14ac:dyDescent="0.25">
      <c r="B356" s="284"/>
      <c r="D356" s="355"/>
      <c r="E356" s="356"/>
      <c r="F356" s="357"/>
      <c r="G356" s="358"/>
      <c r="H356" s="359"/>
      <c r="I356" s="284"/>
      <c r="J356" s="287"/>
      <c r="K356" s="355"/>
      <c r="M356" s="359"/>
      <c r="N356" s="284"/>
      <c r="O356" s="355"/>
      <c r="P356" s="360"/>
      <c r="Q356" s="359"/>
      <c r="R356" s="284"/>
      <c r="S356" s="355"/>
      <c r="U356" s="359"/>
      <c r="V356" s="284"/>
      <c r="W356" s="355"/>
      <c r="Y356" s="359"/>
      <c r="Z356" s="284"/>
      <c r="AA356" s="355"/>
      <c r="AC356" s="359"/>
      <c r="AD356" s="284"/>
      <c r="AE356" s="355"/>
      <c r="AG356" s="359"/>
      <c r="AH356" s="284"/>
      <c r="AI356" s="355"/>
      <c r="AK356" s="359"/>
      <c r="AL356" s="284"/>
      <c r="AM356" s="355"/>
      <c r="AO356" s="359"/>
      <c r="AP356" s="284"/>
      <c r="AQ356" s="355"/>
      <c r="AR356" s="360"/>
      <c r="AS356" s="359"/>
      <c r="AT356" s="284"/>
      <c r="AU356" s="355"/>
      <c r="AW356" s="359"/>
      <c r="AX356" s="284"/>
      <c r="AY356" s="355"/>
      <c r="BA356" s="359"/>
      <c r="BB356" s="284"/>
      <c r="BC356" s="355"/>
      <c r="BE356" s="359"/>
      <c r="BF356" s="284"/>
      <c r="BG356" s="355"/>
      <c r="BI356" s="359"/>
      <c r="BJ356" s="284"/>
      <c r="BK356" s="355"/>
      <c r="BM356" s="359"/>
      <c r="BN356" s="284"/>
      <c r="BO356" s="355"/>
      <c r="BQ356" s="359"/>
      <c r="BR356" s="284"/>
      <c r="BS356" s="355"/>
      <c r="BU356" s="359"/>
      <c r="BV356" s="284"/>
    </row>
    <row r="357" spans="2:74" x14ac:dyDescent="0.25">
      <c r="B357" s="284"/>
      <c r="D357" s="355"/>
      <c r="E357" s="356"/>
      <c r="F357" s="357"/>
      <c r="G357" s="358"/>
      <c r="H357" s="359"/>
      <c r="I357" s="284"/>
      <c r="J357" s="287"/>
      <c r="K357" s="355"/>
      <c r="M357" s="359"/>
      <c r="N357" s="284"/>
      <c r="O357" s="355"/>
      <c r="P357" s="360"/>
      <c r="Q357" s="359"/>
      <c r="R357" s="284"/>
      <c r="S357" s="355"/>
      <c r="U357" s="359"/>
      <c r="V357" s="284"/>
      <c r="W357" s="355"/>
      <c r="Y357" s="359"/>
      <c r="Z357" s="284"/>
      <c r="AA357" s="355"/>
      <c r="AC357" s="359"/>
      <c r="AD357" s="284"/>
      <c r="AE357" s="355"/>
      <c r="AG357" s="359"/>
      <c r="AH357" s="284"/>
      <c r="AI357" s="355"/>
      <c r="AK357" s="359"/>
      <c r="AL357" s="284"/>
      <c r="AM357" s="355"/>
      <c r="AO357" s="359"/>
      <c r="AP357" s="284"/>
      <c r="AQ357" s="355"/>
      <c r="AR357" s="360"/>
      <c r="AS357" s="359"/>
      <c r="AT357" s="284"/>
      <c r="AU357" s="355"/>
      <c r="AW357" s="359"/>
      <c r="AX357" s="284"/>
      <c r="AY357" s="355"/>
      <c r="BA357" s="359"/>
      <c r="BB357" s="284"/>
      <c r="BC357" s="355"/>
      <c r="BE357" s="359"/>
      <c r="BF357" s="284"/>
      <c r="BG357" s="355"/>
      <c r="BI357" s="359"/>
      <c r="BJ357" s="284"/>
      <c r="BK357" s="355"/>
      <c r="BM357" s="359"/>
      <c r="BN357" s="284"/>
      <c r="BO357" s="355"/>
      <c r="BQ357" s="359"/>
      <c r="BR357" s="284"/>
      <c r="BS357" s="355"/>
      <c r="BU357" s="359"/>
      <c r="BV357" s="284"/>
    </row>
    <row r="358" spans="2:74" x14ac:dyDescent="0.25">
      <c r="B358" s="284"/>
      <c r="D358" s="355"/>
      <c r="E358" s="356"/>
      <c r="F358" s="357"/>
      <c r="G358" s="358"/>
      <c r="H358" s="359"/>
      <c r="I358" s="284"/>
      <c r="J358" s="287"/>
      <c r="K358" s="355"/>
      <c r="M358" s="359"/>
      <c r="N358" s="284"/>
      <c r="O358" s="355"/>
      <c r="P358" s="360"/>
      <c r="Q358" s="359"/>
      <c r="R358" s="284"/>
      <c r="S358" s="355"/>
      <c r="U358" s="359"/>
      <c r="V358" s="284"/>
      <c r="W358" s="355"/>
      <c r="Y358" s="359"/>
      <c r="Z358" s="284"/>
      <c r="AA358" s="355"/>
      <c r="AC358" s="359"/>
      <c r="AD358" s="284"/>
      <c r="AE358" s="355"/>
      <c r="AG358" s="359"/>
      <c r="AH358" s="284"/>
      <c r="AI358" s="355"/>
      <c r="AK358" s="359"/>
      <c r="AL358" s="284"/>
      <c r="AM358" s="355"/>
      <c r="AO358" s="359"/>
      <c r="AP358" s="284"/>
      <c r="AQ358" s="355"/>
      <c r="AR358" s="360"/>
      <c r="AS358" s="359"/>
      <c r="AT358" s="284"/>
      <c r="AU358" s="355"/>
      <c r="AW358" s="359"/>
      <c r="AX358" s="284"/>
      <c r="AY358" s="355"/>
      <c r="BA358" s="359"/>
      <c r="BB358" s="284"/>
      <c r="BC358" s="355"/>
      <c r="BE358" s="359"/>
      <c r="BF358" s="284"/>
      <c r="BG358" s="355"/>
      <c r="BI358" s="359"/>
      <c r="BJ358" s="284"/>
      <c r="BK358" s="355"/>
      <c r="BM358" s="359"/>
      <c r="BN358" s="284"/>
      <c r="BO358" s="355"/>
      <c r="BQ358" s="359"/>
      <c r="BR358" s="284"/>
      <c r="BS358" s="355"/>
      <c r="BU358" s="359"/>
      <c r="BV358" s="284"/>
    </row>
    <row r="359" spans="2:74" x14ac:dyDescent="0.25">
      <c r="B359" s="284"/>
      <c r="D359" s="355"/>
      <c r="E359" s="356"/>
      <c r="F359" s="357"/>
      <c r="G359" s="358"/>
      <c r="H359" s="359"/>
      <c r="I359" s="284"/>
      <c r="J359" s="287"/>
      <c r="K359" s="355"/>
      <c r="M359" s="359"/>
      <c r="N359" s="284"/>
      <c r="O359" s="355"/>
      <c r="P359" s="360"/>
      <c r="Q359" s="359"/>
      <c r="R359" s="284"/>
      <c r="S359" s="355"/>
      <c r="U359" s="359"/>
      <c r="V359" s="284"/>
      <c r="W359" s="355"/>
      <c r="Y359" s="359"/>
      <c r="Z359" s="284"/>
      <c r="AA359" s="355"/>
      <c r="AC359" s="359"/>
      <c r="AD359" s="284"/>
      <c r="AE359" s="355"/>
      <c r="AG359" s="359"/>
      <c r="AH359" s="284"/>
      <c r="AI359" s="355"/>
      <c r="AK359" s="359"/>
      <c r="AL359" s="284"/>
      <c r="AM359" s="355"/>
      <c r="AO359" s="359"/>
      <c r="AP359" s="284"/>
      <c r="AQ359" s="355"/>
      <c r="AR359" s="360"/>
      <c r="AS359" s="359"/>
      <c r="AT359" s="284"/>
      <c r="AU359" s="355"/>
      <c r="AW359" s="359"/>
      <c r="AX359" s="284"/>
      <c r="AY359" s="355"/>
      <c r="BA359" s="359"/>
      <c r="BB359" s="284"/>
      <c r="BC359" s="355"/>
      <c r="BE359" s="359"/>
      <c r="BF359" s="284"/>
      <c r="BG359" s="355"/>
      <c r="BI359" s="359"/>
      <c r="BJ359" s="284"/>
      <c r="BK359" s="355"/>
      <c r="BM359" s="359"/>
      <c r="BN359" s="284"/>
      <c r="BO359" s="355"/>
      <c r="BQ359" s="359"/>
      <c r="BR359" s="284"/>
      <c r="BS359" s="355"/>
      <c r="BU359" s="359"/>
      <c r="BV359" s="284"/>
    </row>
    <row r="360" spans="2:74" x14ac:dyDescent="0.25">
      <c r="B360" s="284"/>
      <c r="D360" s="355"/>
      <c r="E360" s="356"/>
      <c r="F360" s="357"/>
      <c r="G360" s="358"/>
      <c r="H360" s="359"/>
      <c r="I360" s="284"/>
      <c r="J360" s="287"/>
      <c r="K360" s="355"/>
      <c r="M360" s="359"/>
      <c r="N360" s="284"/>
      <c r="O360" s="355"/>
      <c r="P360" s="360"/>
      <c r="Q360" s="359"/>
      <c r="R360" s="284"/>
      <c r="S360" s="355"/>
      <c r="U360" s="359"/>
      <c r="V360" s="284"/>
      <c r="W360" s="355"/>
      <c r="Y360" s="359"/>
      <c r="Z360" s="284"/>
      <c r="AA360" s="355"/>
      <c r="AC360" s="359"/>
      <c r="AD360" s="284"/>
      <c r="AE360" s="355"/>
      <c r="AG360" s="359"/>
      <c r="AH360" s="284"/>
      <c r="AI360" s="355"/>
      <c r="AK360" s="359"/>
      <c r="AL360" s="284"/>
      <c r="AM360" s="355"/>
      <c r="AO360" s="359"/>
      <c r="AP360" s="284"/>
      <c r="AQ360" s="355"/>
      <c r="AR360" s="360"/>
      <c r="AS360" s="359"/>
      <c r="AT360" s="284"/>
      <c r="AU360" s="355"/>
      <c r="AW360" s="359"/>
      <c r="AX360" s="284"/>
      <c r="AY360" s="355"/>
      <c r="BA360" s="359"/>
      <c r="BB360" s="284"/>
      <c r="BC360" s="355"/>
      <c r="BE360" s="359"/>
      <c r="BF360" s="284"/>
      <c r="BG360" s="355"/>
      <c r="BI360" s="359"/>
      <c r="BJ360" s="284"/>
      <c r="BK360" s="355"/>
      <c r="BM360" s="359"/>
      <c r="BN360" s="284"/>
      <c r="BO360" s="355"/>
      <c r="BQ360" s="359"/>
      <c r="BR360" s="284"/>
      <c r="BS360" s="355"/>
      <c r="BU360" s="359"/>
      <c r="BV360" s="284"/>
    </row>
    <row r="361" spans="2:74" x14ac:dyDescent="0.25">
      <c r="B361" s="284"/>
      <c r="D361" s="355"/>
      <c r="E361" s="356"/>
      <c r="F361" s="357"/>
      <c r="G361" s="358"/>
      <c r="H361" s="359"/>
      <c r="I361" s="284"/>
      <c r="J361" s="287"/>
      <c r="K361" s="355"/>
      <c r="M361" s="359"/>
      <c r="N361" s="284"/>
      <c r="O361" s="355"/>
      <c r="P361" s="360"/>
      <c r="Q361" s="359"/>
      <c r="R361" s="284"/>
      <c r="S361" s="355"/>
      <c r="U361" s="359"/>
      <c r="V361" s="284"/>
      <c r="W361" s="355"/>
      <c r="Y361" s="359"/>
      <c r="Z361" s="284"/>
      <c r="AA361" s="355"/>
      <c r="AC361" s="359"/>
      <c r="AD361" s="284"/>
      <c r="AE361" s="355"/>
      <c r="AG361" s="359"/>
      <c r="AH361" s="284"/>
      <c r="AI361" s="355"/>
      <c r="AK361" s="359"/>
      <c r="AL361" s="284"/>
      <c r="AM361" s="355"/>
      <c r="AO361" s="359"/>
      <c r="AP361" s="284"/>
      <c r="AQ361" s="355"/>
      <c r="AR361" s="360"/>
      <c r="AS361" s="359"/>
      <c r="AT361" s="284"/>
      <c r="AU361" s="355"/>
      <c r="AW361" s="359"/>
      <c r="AX361" s="284"/>
      <c r="AY361" s="355"/>
      <c r="BA361" s="359"/>
      <c r="BB361" s="284"/>
      <c r="BC361" s="355"/>
      <c r="BE361" s="359"/>
      <c r="BF361" s="284"/>
      <c r="BG361" s="355"/>
      <c r="BI361" s="359"/>
      <c r="BJ361" s="284"/>
      <c r="BK361" s="355"/>
      <c r="BM361" s="359"/>
      <c r="BN361" s="284"/>
      <c r="BO361" s="355"/>
      <c r="BQ361" s="359"/>
      <c r="BR361" s="284"/>
      <c r="BS361" s="355"/>
      <c r="BU361" s="359"/>
      <c r="BV361" s="284"/>
    </row>
    <row r="362" spans="2:74" x14ac:dyDescent="0.25">
      <c r="B362" s="284"/>
      <c r="D362" s="355"/>
      <c r="E362" s="356"/>
      <c r="F362" s="357"/>
      <c r="G362" s="358"/>
      <c r="H362" s="359"/>
      <c r="I362" s="284"/>
      <c r="J362" s="287"/>
      <c r="K362" s="355"/>
      <c r="M362" s="359"/>
      <c r="N362" s="284"/>
      <c r="O362" s="355"/>
      <c r="P362" s="360"/>
      <c r="Q362" s="359"/>
      <c r="R362" s="284"/>
      <c r="S362" s="355"/>
      <c r="U362" s="359"/>
      <c r="V362" s="284"/>
      <c r="W362" s="355"/>
      <c r="Y362" s="359"/>
      <c r="Z362" s="284"/>
      <c r="AA362" s="355"/>
      <c r="AC362" s="359"/>
      <c r="AD362" s="284"/>
      <c r="AE362" s="355"/>
      <c r="AG362" s="359"/>
      <c r="AH362" s="284"/>
      <c r="AI362" s="355"/>
      <c r="AK362" s="359"/>
      <c r="AL362" s="284"/>
      <c r="AM362" s="355"/>
      <c r="AO362" s="359"/>
      <c r="AP362" s="284"/>
      <c r="AQ362" s="355"/>
      <c r="AR362" s="360"/>
      <c r="AS362" s="359"/>
      <c r="AT362" s="284"/>
      <c r="AU362" s="355"/>
      <c r="AW362" s="359"/>
      <c r="AX362" s="284"/>
      <c r="AY362" s="355"/>
      <c r="BA362" s="359"/>
      <c r="BB362" s="284"/>
      <c r="BC362" s="355"/>
      <c r="BE362" s="359"/>
      <c r="BF362" s="284"/>
      <c r="BG362" s="355"/>
      <c r="BI362" s="359"/>
      <c r="BJ362" s="284"/>
      <c r="BK362" s="355"/>
      <c r="BM362" s="359"/>
      <c r="BN362" s="284"/>
      <c r="BO362" s="355"/>
      <c r="BQ362" s="359"/>
      <c r="BR362" s="284"/>
      <c r="BS362" s="355"/>
      <c r="BU362" s="359"/>
      <c r="BV362" s="284"/>
    </row>
    <row r="363" spans="2:74" x14ac:dyDescent="0.25">
      <c r="B363" s="284"/>
      <c r="D363" s="355"/>
      <c r="E363" s="356"/>
      <c r="F363" s="357"/>
      <c r="G363" s="358"/>
      <c r="H363" s="359"/>
      <c r="I363" s="284"/>
      <c r="J363" s="287"/>
      <c r="K363" s="355"/>
      <c r="M363" s="359"/>
      <c r="N363" s="284"/>
      <c r="O363" s="355"/>
      <c r="P363" s="360"/>
      <c r="Q363" s="359"/>
      <c r="R363" s="284"/>
      <c r="S363" s="355"/>
      <c r="U363" s="359"/>
      <c r="V363" s="284"/>
      <c r="W363" s="355"/>
      <c r="Y363" s="359"/>
      <c r="Z363" s="284"/>
      <c r="AA363" s="355"/>
      <c r="AC363" s="359"/>
      <c r="AD363" s="284"/>
      <c r="AE363" s="355"/>
      <c r="AG363" s="359"/>
      <c r="AH363" s="284"/>
      <c r="AI363" s="355"/>
      <c r="AK363" s="359"/>
      <c r="AL363" s="284"/>
      <c r="AM363" s="355"/>
      <c r="AO363" s="359"/>
      <c r="AP363" s="284"/>
      <c r="AQ363" s="355"/>
      <c r="AR363" s="360"/>
      <c r="AS363" s="359"/>
      <c r="AT363" s="284"/>
      <c r="AU363" s="355"/>
      <c r="AW363" s="359"/>
      <c r="AX363" s="284"/>
      <c r="AY363" s="355"/>
      <c r="BA363" s="359"/>
      <c r="BB363" s="284"/>
      <c r="BC363" s="355"/>
      <c r="BE363" s="359"/>
      <c r="BF363" s="284"/>
      <c r="BG363" s="355"/>
      <c r="BI363" s="359"/>
      <c r="BJ363" s="284"/>
      <c r="BK363" s="355"/>
      <c r="BM363" s="359"/>
      <c r="BN363" s="284"/>
      <c r="BO363" s="355"/>
      <c r="BQ363" s="359"/>
      <c r="BR363" s="284"/>
      <c r="BS363" s="355"/>
      <c r="BU363" s="359"/>
      <c r="BV363" s="284"/>
    </row>
    <row r="364" spans="2:74" x14ac:dyDescent="0.25">
      <c r="B364" s="284"/>
      <c r="D364" s="355"/>
      <c r="E364" s="356"/>
      <c r="F364" s="357"/>
      <c r="G364" s="358"/>
      <c r="H364" s="359"/>
      <c r="I364" s="284"/>
      <c r="J364" s="287"/>
      <c r="K364" s="355"/>
      <c r="M364" s="359"/>
      <c r="N364" s="284"/>
      <c r="O364" s="355"/>
      <c r="P364" s="360"/>
      <c r="Q364" s="359"/>
      <c r="R364" s="284"/>
      <c r="S364" s="355"/>
      <c r="U364" s="359"/>
      <c r="V364" s="284"/>
      <c r="W364" s="355"/>
      <c r="Y364" s="359"/>
      <c r="Z364" s="284"/>
      <c r="AA364" s="355"/>
      <c r="AC364" s="359"/>
      <c r="AD364" s="284"/>
      <c r="AE364" s="355"/>
      <c r="AG364" s="359"/>
      <c r="AH364" s="284"/>
      <c r="AI364" s="355"/>
      <c r="AK364" s="359"/>
      <c r="AL364" s="284"/>
      <c r="AM364" s="355"/>
      <c r="AO364" s="359"/>
      <c r="AP364" s="284"/>
      <c r="AQ364" s="355"/>
      <c r="AR364" s="360"/>
      <c r="AS364" s="359"/>
      <c r="AT364" s="284"/>
      <c r="AU364" s="355"/>
      <c r="AW364" s="359"/>
      <c r="AX364" s="284"/>
      <c r="AY364" s="355"/>
      <c r="BA364" s="359"/>
      <c r="BB364" s="284"/>
      <c r="BC364" s="355"/>
      <c r="BE364" s="359"/>
      <c r="BF364" s="284"/>
      <c r="BG364" s="355"/>
      <c r="BI364" s="359"/>
      <c r="BJ364" s="284"/>
      <c r="BK364" s="355"/>
      <c r="BM364" s="359"/>
      <c r="BN364" s="284"/>
      <c r="BO364" s="355"/>
      <c r="BQ364" s="359"/>
      <c r="BR364" s="284"/>
      <c r="BS364" s="355"/>
      <c r="BU364" s="359"/>
      <c r="BV364" s="284"/>
    </row>
    <row r="365" spans="2:74" x14ac:dyDescent="0.25">
      <c r="B365" s="284"/>
      <c r="D365" s="355"/>
      <c r="E365" s="356"/>
      <c r="F365" s="357"/>
      <c r="G365" s="358"/>
      <c r="H365" s="359"/>
      <c r="I365" s="284"/>
      <c r="J365" s="287"/>
      <c r="K365" s="355"/>
      <c r="M365" s="359"/>
      <c r="N365" s="284"/>
      <c r="O365" s="355"/>
      <c r="P365" s="360"/>
      <c r="Q365" s="359"/>
      <c r="R365" s="284"/>
      <c r="S365" s="355"/>
      <c r="U365" s="359"/>
      <c r="V365" s="284"/>
      <c r="W365" s="355"/>
      <c r="Y365" s="359"/>
      <c r="Z365" s="284"/>
      <c r="AA365" s="355"/>
      <c r="AC365" s="359"/>
      <c r="AD365" s="284"/>
      <c r="AE365" s="355"/>
      <c r="AG365" s="359"/>
      <c r="AH365" s="284"/>
      <c r="AI365" s="355"/>
      <c r="AK365" s="359"/>
      <c r="AL365" s="284"/>
      <c r="AM365" s="355"/>
      <c r="AO365" s="359"/>
      <c r="AP365" s="284"/>
      <c r="AQ365" s="355"/>
      <c r="AR365" s="360"/>
      <c r="AS365" s="359"/>
      <c r="AT365" s="284"/>
      <c r="AU365" s="355"/>
      <c r="AW365" s="359"/>
      <c r="AX365" s="284"/>
      <c r="AY365" s="355"/>
      <c r="BA365" s="359"/>
      <c r="BB365" s="284"/>
      <c r="BC365" s="355"/>
      <c r="BE365" s="359"/>
      <c r="BF365" s="284"/>
      <c r="BG365" s="355"/>
      <c r="BI365" s="359"/>
      <c r="BJ365" s="284"/>
      <c r="BK365" s="355"/>
      <c r="BM365" s="359"/>
      <c r="BN365" s="284"/>
      <c r="BO365" s="355"/>
      <c r="BQ365" s="359"/>
      <c r="BR365" s="284"/>
      <c r="BS365" s="355"/>
      <c r="BU365" s="359"/>
      <c r="BV365" s="284"/>
    </row>
    <row r="366" spans="2:74" x14ac:dyDescent="0.25">
      <c r="B366" s="284"/>
      <c r="D366" s="355"/>
      <c r="E366" s="356"/>
      <c r="F366" s="357"/>
      <c r="G366" s="358"/>
      <c r="H366" s="359"/>
      <c r="I366" s="284"/>
      <c r="J366" s="287"/>
      <c r="K366" s="355"/>
      <c r="M366" s="359"/>
      <c r="N366" s="284"/>
      <c r="O366" s="355"/>
      <c r="P366" s="360"/>
      <c r="Q366" s="359"/>
      <c r="R366" s="284"/>
      <c r="S366" s="355"/>
      <c r="U366" s="359"/>
      <c r="V366" s="284"/>
      <c r="W366" s="355"/>
      <c r="Y366" s="359"/>
      <c r="Z366" s="284"/>
      <c r="AA366" s="355"/>
      <c r="AC366" s="359"/>
      <c r="AD366" s="284"/>
      <c r="AE366" s="355"/>
      <c r="AG366" s="359"/>
      <c r="AH366" s="284"/>
      <c r="AI366" s="355"/>
      <c r="AK366" s="359"/>
      <c r="AL366" s="284"/>
      <c r="AM366" s="355"/>
      <c r="AO366" s="359"/>
      <c r="AP366" s="284"/>
      <c r="AQ366" s="355"/>
      <c r="AR366" s="360"/>
      <c r="AS366" s="359"/>
      <c r="AT366" s="284"/>
      <c r="AU366" s="355"/>
      <c r="AW366" s="359"/>
      <c r="AX366" s="284"/>
      <c r="AY366" s="355"/>
      <c r="BA366" s="359"/>
      <c r="BB366" s="284"/>
      <c r="BC366" s="355"/>
      <c r="BE366" s="359"/>
      <c r="BF366" s="284"/>
      <c r="BG366" s="355"/>
      <c r="BI366" s="359"/>
      <c r="BJ366" s="284"/>
      <c r="BK366" s="355"/>
      <c r="BM366" s="359"/>
      <c r="BN366" s="284"/>
      <c r="BO366" s="355"/>
      <c r="BQ366" s="359"/>
      <c r="BR366" s="284"/>
      <c r="BS366" s="355"/>
      <c r="BU366" s="359"/>
      <c r="BV366" s="284"/>
    </row>
    <row r="367" spans="2:74" x14ac:dyDescent="0.25">
      <c r="B367" s="284"/>
      <c r="D367" s="355"/>
      <c r="E367" s="356"/>
      <c r="F367" s="357"/>
      <c r="G367" s="358"/>
      <c r="H367" s="359"/>
      <c r="I367" s="284"/>
      <c r="J367" s="287"/>
      <c r="K367" s="355"/>
      <c r="M367" s="359"/>
      <c r="N367" s="284"/>
      <c r="O367" s="355"/>
      <c r="P367" s="360"/>
      <c r="Q367" s="359"/>
      <c r="R367" s="284"/>
      <c r="S367" s="355"/>
      <c r="U367" s="359"/>
      <c r="V367" s="284"/>
      <c r="W367" s="355"/>
      <c r="Y367" s="359"/>
      <c r="Z367" s="284"/>
      <c r="AA367" s="355"/>
      <c r="AC367" s="359"/>
      <c r="AD367" s="284"/>
      <c r="AE367" s="355"/>
      <c r="AG367" s="359"/>
      <c r="AH367" s="284"/>
      <c r="AI367" s="355"/>
      <c r="AK367" s="359"/>
      <c r="AL367" s="284"/>
      <c r="AM367" s="355"/>
      <c r="AO367" s="359"/>
      <c r="AP367" s="284"/>
      <c r="AQ367" s="355"/>
      <c r="AR367" s="360"/>
      <c r="AS367" s="359"/>
      <c r="AT367" s="284"/>
      <c r="AU367" s="355"/>
      <c r="AW367" s="359"/>
      <c r="AX367" s="284"/>
      <c r="AY367" s="355"/>
      <c r="BA367" s="359"/>
      <c r="BB367" s="284"/>
      <c r="BC367" s="355"/>
      <c r="BE367" s="359"/>
      <c r="BF367" s="284"/>
      <c r="BG367" s="355"/>
      <c r="BI367" s="359"/>
      <c r="BJ367" s="284"/>
      <c r="BK367" s="355"/>
      <c r="BM367" s="359"/>
      <c r="BN367" s="284"/>
      <c r="BO367" s="355"/>
      <c r="BQ367" s="359"/>
      <c r="BR367" s="284"/>
      <c r="BS367" s="355"/>
      <c r="BU367" s="359"/>
      <c r="BV367" s="284"/>
    </row>
    <row r="368" spans="2:74" x14ac:dyDescent="0.25">
      <c r="B368" s="284"/>
      <c r="D368" s="355"/>
      <c r="E368" s="356"/>
      <c r="F368" s="357"/>
      <c r="G368" s="358"/>
      <c r="H368" s="359"/>
      <c r="I368" s="284"/>
      <c r="J368" s="287"/>
      <c r="K368" s="355"/>
      <c r="M368" s="359"/>
      <c r="N368" s="284"/>
      <c r="O368" s="355"/>
      <c r="P368" s="360"/>
      <c r="Q368" s="359"/>
      <c r="R368" s="284"/>
      <c r="S368" s="355"/>
      <c r="U368" s="359"/>
      <c r="V368" s="284"/>
      <c r="W368" s="355"/>
      <c r="Y368" s="359"/>
      <c r="Z368" s="284"/>
      <c r="AA368" s="355"/>
      <c r="AC368" s="359"/>
      <c r="AD368" s="284"/>
      <c r="AE368" s="355"/>
      <c r="AG368" s="359"/>
      <c r="AH368" s="284"/>
      <c r="AI368" s="355"/>
      <c r="AK368" s="359"/>
      <c r="AL368" s="284"/>
      <c r="AM368" s="355"/>
      <c r="AO368" s="359"/>
      <c r="AP368" s="284"/>
      <c r="AQ368" s="355"/>
      <c r="AR368" s="360"/>
      <c r="AS368" s="359"/>
      <c r="AT368" s="284"/>
      <c r="AU368" s="355"/>
      <c r="AW368" s="359"/>
      <c r="AX368" s="284"/>
      <c r="AY368" s="355"/>
      <c r="BA368" s="359"/>
      <c r="BB368" s="284"/>
      <c r="BC368" s="355"/>
      <c r="BE368" s="359"/>
      <c r="BF368" s="284"/>
      <c r="BG368" s="355"/>
      <c r="BI368" s="359"/>
      <c r="BJ368" s="284"/>
      <c r="BK368" s="355"/>
      <c r="BM368" s="359"/>
      <c r="BN368" s="284"/>
      <c r="BO368" s="355"/>
      <c r="BQ368" s="359"/>
      <c r="BR368" s="284"/>
      <c r="BS368" s="355"/>
      <c r="BU368" s="359"/>
      <c r="BV368" s="284"/>
    </row>
    <row r="369" spans="2:74" x14ac:dyDescent="0.25">
      <c r="B369" s="284"/>
      <c r="D369" s="355"/>
      <c r="E369" s="356"/>
      <c r="F369" s="357"/>
      <c r="G369" s="358"/>
      <c r="H369" s="359"/>
      <c r="I369" s="284"/>
      <c r="J369" s="287"/>
      <c r="K369" s="355"/>
      <c r="M369" s="359"/>
      <c r="N369" s="284"/>
      <c r="O369" s="355"/>
      <c r="P369" s="360"/>
      <c r="Q369" s="359"/>
      <c r="R369" s="284"/>
      <c r="S369" s="355"/>
      <c r="U369" s="359"/>
      <c r="V369" s="284"/>
      <c r="W369" s="355"/>
      <c r="Y369" s="359"/>
      <c r="Z369" s="284"/>
      <c r="AA369" s="355"/>
      <c r="AC369" s="359"/>
      <c r="AD369" s="284"/>
      <c r="AE369" s="355"/>
      <c r="AG369" s="359"/>
      <c r="AH369" s="284"/>
      <c r="AI369" s="355"/>
      <c r="AK369" s="359"/>
      <c r="AL369" s="284"/>
      <c r="AM369" s="355"/>
      <c r="AO369" s="359"/>
      <c r="AP369" s="284"/>
      <c r="AQ369" s="355"/>
      <c r="AR369" s="360"/>
      <c r="AS369" s="359"/>
      <c r="AT369" s="284"/>
      <c r="AU369" s="355"/>
      <c r="AW369" s="359"/>
      <c r="AX369" s="284"/>
      <c r="AY369" s="355"/>
      <c r="BA369" s="359"/>
      <c r="BB369" s="284"/>
      <c r="BC369" s="355"/>
      <c r="BE369" s="359"/>
      <c r="BF369" s="284"/>
      <c r="BG369" s="355"/>
      <c r="BI369" s="359"/>
      <c r="BJ369" s="284"/>
      <c r="BK369" s="355"/>
      <c r="BM369" s="359"/>
      <c r="BN369" s="284"/>
      <c r="BO369" s="355"/>
      <c r="BQ369" s="359"/>
      <c r="BR369" s="284"/>
      <c r="BS369" s="355"/>
      <c r="BU369" s="359"/>
      <c r="BV369" s="284"/>
    </row>
    <row r="370" spans="2:74" x14ac:dyDescent="0.25">
      <c r="B370" s="284"/>
      <c r="D370" s="355"/>
      <c r="E370" s="356"/>
      <c r="F370" s="357"/>
      <c r="G370" s="358"/>
      <c r="H370" s="359"/>
      <c r="I370" s="284"/>
      <c r="J370" s="287"/>
      <c r="K370" s="355"/>
      <c r="M370" s="359"/>
      <c r="N370" s="284"/>
      <c r="O370" s="355"/>
      <c r="P370" s="360"/>
      <c r="Q370" s="359"/>
      <c r="R370" s="284"/>
      <c r="S370" s="355"/>
      <c r="U370" s="359"/>
      <c r="V370" s="284"/>
      <c r="W370" s="355"/>
      <c r="Y370" s="359"/>
      <c r="Z370" s="284"/>
      <c r="AA370" s="355"/>
      <c r="AC370" s="359"/>
      <c r="AD370" s="284"/>
      <c r="AE370" s="355"/>
      <c r="AG370" s="359"/>
      <c r="AH370" s="284"/>
      <c r="AI370" s="355"/>
      <c r="AK370" s="359"/>
      <c r="AL370" s="284"/>
      <c r="AM370" s="355"/>
      <c r="AO370" s="359"/>
      <c r="AP370" s="284"/>
      <c r="AQ370" s="355"/>
      <c r="AR370" s="360"/>
      <c r="AS370" s="359"/>
      <c r="AT370" s="284"/>
      <c r="AU370" s="355"/>
      <c r="AW370" s="359"/>
      <c r="AX370" s="284"/>
      <c r="AY370" s="355"/>
      <c r="BA370" s="359"/>
      <c r="BB370" s="284"/>
      <c r="BC370" s="355"/>
      <c r="BE370" s="359"/>
      <c r="BF370" s="284"/>
      <c r="BG370" s="355"/>
      <c r="BI370" s="359"/>
      <c r="BJ370" s="284"/>
      <c r="BK370" s="355"/>
      <c r="BM370" s="359"/>
      <c r="BN370" s="284"/>
      <c r="BO370" s="355"/>
      <c r="BQ370" s="359"/>
      <c r="BR370" s="284"/>
      <c r="BS370" s="355"/>
      <c r="BU370" s="359"/>
      <c r="BV370" s="284"/>
    </row>
    <row r="371" spans="2:74" x14ac:dyDescent="0.25">
      <c r="B371" s="284"/>
      <c r="D371" s="355"/>
      <c r="E371" s="356"/>
      <c r="F371" s="357"/>
      <c r="G371" s="358"/>
      <c r="H371" s="359"/>
      <c r="I371" s="284"/>
      <c r="J371" s="287"/>
      <c r="K371" s="355"/>
      <c r="M371" s="359"/>
      <c r="N371" s="284"/>
      <c r="O371" s="355"/>
      <c r="P371" s="360"/>
      <c r="Q371" s="359"/>
      <c r="R371" s="284"/>
      <c r="S371" s="355"/>
      <c r="U371" s="359"/>
      <c r="V371" s="284"/>
      <c r="W371" s="355"/>
      <c r="Y371" s="359"/>
      <c r="Z371" s="284"/>
      <c r="AA371" s="355"/>
      <c r="AC371" s="359"/>
      <c r="AD371" s="284"/>
      <c r="AE371" s="355"/>
      <c r="AG371" s="359"/>
      <c r="AH371" s="284"/>
      <c r="AI371" s="355"/>
      <c r="AK371" s="359"/>
      <c r="AL371" s="284"/>
      <c r="AM371" s="355"/>
      <c r="AO371" s="359"/>
      <c r="AP371" s="284"/>
      <c r="AQ371" s="355"/>
      <c r="AR371" s="360"/>
      <c r="AS371" s="359"/>
      <c r="AT371" s="284"/>
      <c r="AU371" s="355"/>
      <c r="AW371" s="359"/>
      <c r="AX371" s="284"/>
      <c r="AY371" s="355"/>
      <c r="BA371" s="359"/>
      <c r="BB371" s="284"/>
      <c r="BC371" s="355"/>
      <c r="BE371" s="359"/>
      <c r="BF371" s="284"/>
      <c r="BG371" s="355"/>
      <c r="BI371" s="359"/>
      <c r="BJ371" s="284"/>
      <c r="BK371" s="355"/>
      <c r="BM371" s="359"/>
      <c r="BN371" s="284"/>
      <c r="BO371" s="355"/>
      <c r="BQ371" s="359"/>
      <c r="BR371" s="284"/>
      <c r="BS371" s="355"/>
      <c r="BU371" s="359"/>
      <c r="BV371" s="284"/>
    </row>
    <row r="372" spans="2:74" x14ac:dyDescent="0.25">
      <c r="B372" s="284"/>
      <c r="D372" s="355"/>
      <c r="E372" s="356"/>
      <c r="F372" s="357"/>
      <c r="G372" s="358"/>
      <c r="H372" s="359"/>
      <c r="I372" s="284"/>
      <c r="J372" s="287"/>
      <c r="K372" s="355"/>
      <c r="M372" s="359"/>
      <c r="N372" s="284"/>
      <c r="O372" s="355"/>
      <c r="P372" s="360"/>
      <c r="Q372" s="359"/>
      <c r="R372" s="284"/>
      <c r="S372" s="355"/>
      <c r="U372" s="359"/>
      <c r="V372" s="284"/>
      <c r="W372" s="355"/>
      <c r="Y372" s="359"/>
      <c r="Z372" s="284"/>
      <c r="AA372" s="355"/>
      <c r="AC372" s="359"/>
      <c r="AD372" s="284"/>
      <c r="AE372" s="355"/>
      <c r="AG372" s="359"/>
      <c r="AH372" s="284"/>
      <c r="AI372" s="355"/>
      <c r="AK372" s="359"/>
      <c r="AL372" s="284"/>
      <c r="AM372" s="355"/>
      <c r="AO372" s="359"/>
      <c r="AP372" s="284"/>
      <c r="AQ372" s="355"/>
      <c r="AR372" s="360"/>
      <c r="AS372" s="359"/>
      <c r="AT372" s="284"/>
      <c r="AU372" s="355"/>
      <c r="AW372" s="359"/>
      <c r="AX372" s="284"/>
      <c r="AY372" s="355"/>
      <c r="BA372" s="359"/>
      <c r="BB372" s="284"/>
      <c r="BC372" s="355"/>
      <c r="BE372" s="359"/>
      <c r="BF372" s="284"/>
      <c r="BG372" s="355"/>
      <c r="BI372" s="359"/>
      <c r="BJ372" s="284"/>
      <c r="BK372" s="355"/>
      <c r="BM372" s="359"/>
      <c r="BN372" s="284"/>
      <c r="BO372" s="355"/>
      <c r="BQ372" s="359"/>
      <c r="BR372" s="284"/>
      <c r="BS372" s="355"/>
      <c r="BU372" s="359"/>
      <c r="BV372" s="284"/>
    </row>
    <row r="373" spans="2:74" x14ac:dyDescent="0.25">
      <c r="B373" s="284"/>
      <c r="D373" s="355"/>
      <c r="E373" s="356"/>
      <c r="F373" s="357"/>
      <c r="G373" s="358"/>
      <c r="H373" s="359"/>
      <c r="I373" s="284"/>
      <c r="J373" s="287"/>
      <c r="K373" s="355"/>
      <c r="M373" s="359"/>
      <c r="N373" s="284"/>
      <c r="O373" s="355"/>
      <c r="P373" s="360"/>
      <c r="Q373" s="359"/>
      <c r="R373" s="284"/>
      <c r="S373" s="355"/>
      <c r="U373" s="359"/>
      <c r="V373" s="284"/>
      <c r="W373" s="355"/>
      <c r="Y373" s="359"/>
      <c r="Z373" s="284"/>
      <c r="AA373" s="355"/>
      <c r="AC373" s="359"/>
      <c r="AD373" s="284"/>
      <c r="AE373" s="355"/>
      <c r="AG373" s="359"/>
      <c r="AH373" s="284"/>
      <c r="AI373" s="355"/>
      <c r="AK373" s="359"/>
      <c r="AL373" s="284"/>
      <c r="AM373" s="355"/>
      <c r="AO373" s="359"/>
      <c r="AP373" s="284"/>
      <c r="AQ373" s="355"/>
      <c r="AR373" s="360"/>
      <c r="AS373" s="359"/>
      <c r="AT373" s="284"/>
      <c r="AU373" s="355"/>
      <c r="AW373" s="359"/>
      <c r="AX373" s="284"/>
      <c r="AY373" s="355"/>
      <c r="BA373" s="359"/>
      <c r="BB373" s="284"/>
      <c r="BC373" s="355"/>
      <c r="BE373" s="359"/>
      <c r="BF373" s="284"/>
      <c r="BG373" s="355"/>
      <c r="BI373" s="359"/>
      <c r="BJ373" s="284"/>
      <c r="BK373" s="355"/>
      <c r="BM373" s="359"/>
      <c r="BN373" s="284"/>
      <c r="BO373" s="355"/>
      <c r="BQ373" s="359"/>
      <c r="BR373" s="284"/>
      <c r="BS373" s="355"/>
      <c r="BU373" s="359"/>
      <c r="BV373" s="284"/>
    </row>
    <row r="374" spans="2:74" x14ac:dyDescent="0.25">
      <c r="B374" s="284"/>
      <c r="D374" s="355"/>
      <c r="E374" s="356"/>
      <c r="F374" s="357"/>
      <c r="G374" s="358"/>
      <c r="H374" s="359"/>
      <c r="I374" s="284"/>
      <c r="J374" s="287"/>
      <c r="K374" s="355"/>
      <c r="M374" s="359"/>
      <c r="N374" s="284"/>
      <c r="O374" s="355"/>
      <c r="P374" s="360"/>
      <c r="Q374" s="359"/>
      <c r="R374" s="284"/>
      <c r="S374" s="355"/>
      <c r="U374" s="359"/>
      <c r="V374" s="284"/>
      <c r="W374" s="355"/>
      <c r="Y374" s="359"/>
      <c r="Z374" s="284"/>
      <c r="AA374" s="355"/>
      <c r="AC374" s="359"/>
      <c r="AD374" s="284"/>
      <c r="AE374" s="355"/>
      <c r="AG374" s="359"/>
      <c r="AH374" s="284"/>
      <c r="AI374" s="355"/>
      <c r="AK374" s="359"/>
      <c r="AL374" s="284"/>
      <c r="AM374" s="355"/>
      <c r="AO374" s="359"/>
      <c r="AP374" s="284"/>
      <c r="AQ374" s="355"/>
      <c r="AR374" s="360"/>
      <c r="AS374" s="359"/>
      <c r="AT374" s="284"/>
      <c r="AU374" s="355"/>
      <c r="AW374" s="359"/>
      <c r="AX374" s="284"/>
      <c r="AY374" s="355"/>
      <c r="BA374" s="359"/>
      <c r="BB374" s="284"/>
      <c r="BC374" s="355"/>
      <c r="BE374" s="359"/>
      <c r="BF374" s="284"/>
      <c r="BG374" s="355"/>
      <c r="BI374" s="359"/>
      <c r="BJ374" s="284"/>
      <c r="BK374" s="355"/>
      <c r="BM374" s="359"/>
      <c r="BN374" s="284"/>
      <c r="BO374" s="355"/>
      <c r="BQ374" s="359"/>
      <c r="BR374" s="284"/>
      <c r="BS374" s="355"/>
      <c r="BU374" s="359"/>
      <c r="BV374" s="284"/>
    </row>
    <row r="375" spans="2:74" x14ac:dyDescent="0.25">
      <c r="B375" s="284"/>
      <c r="D375" s="355"/>
      <c r="E375" s="356"/>
      <c r="F375" s="357"/>
      <c r="G375" s="358"/>
      <c r="H375" s="359"/>
      <c r="I375" s="284"/>
      <c r="J375" s="287"/>
      <c r="K375" s="355"/>
      <c r="M375" s="359"/>
      <c r="N375" s="284"/>
      <c r="O375" s="355"/>
      <c r="P375" s="360"/>
      <c r="Q375" s="359"/>
      <c r="R375" s="284"/>
      <c r="S375" s="355"/>
      <c r="U375" s="359"/>
      <c r="V375" s="284"/>
      <c r="W375" s="355"/>
      <c r="Y375" s="359"/>
      <c r="Z375" s="284"/>
      <c r="AA375" s="355"/>
      <c r="AC375" s="359"/>
      <c r="AD375" s="284"/>
      <c r="AE375" s="355"/>
      <c r="AG375" s="359"/>
      <c r="AH375" s="284"/>
      <c r="AI375" s="355"/>
      <c r="AK375" s="359"/>
      <c r="AL375" s="284"/>
      <c r="AM375" s="355"/>
      <c r="AO375" s="359"/>
      <c r="AP375" s="284"/>
      <c r="AQ375" s="355"/>
      <c r="AR375" s="360"/>
      <c r="AS375" s="359"/>
      <c r="AT375" s="284"/>
      <c r="AU375" s="355"/>
      <c r="AW375" s="359"/>
      <c r="AX375" s="284"/>
      <c r="AY375" s="355"/>
      <c r="BA375" s="359"/>
      <c r="BB375" s="284"/>
      <c r="BC375" s="355"/>
      <c r="BE375" s="359"/>
      <c r="BF375" s="284"/>
      <c r="BG375" s="355"/>
      <c r="BI375" s="359"/>
      <c r="BJ375" s="284"/>
      <c r="BK375" s="355"/>
      <c r="BM375" s="359"/>
      <c r="BN375" s="284"/>
      <c r="BO375" s="355"/>
      <c r="BQ375" s="359"/>
      <c r="BR375" s="284"/>
      <c r="BS375" s="355"/>
      <c r="BU375" s="359"/>
      <c r="BV375" s="284"/>
    </row>
    <row r="376" spans="2:74" x14ac:dyDescent="0.25">
      <c r="B376" s="284"/>
      <c r="D376" s="355"/>
      <c r="E376" s="356"/>
      <c r="F376" s="357"/>
      <c r="G376" s="358"/>
      <c r="H376" s="359"/>
      <c r="I376" s="284"/>
      <c r="J376" s="287"/>
      <c r="K376" s="355"/>
      <c r="M376" s="359"/>
      <c r="N376" s="284"/>
      <c r="O376" s="355"/>
      <c r="P376" s="360"/>
      <c r="Q376" s="359"/>
      <c r="R376" s="284"/>
      <c r="S376" s="355"/>
      <c r="U376" s="359"/>
      <c r="V376" s="284"/>
      <c r="W376" s="355"/>
      <c r="Y376" s="359"/>
      <c r="Z376" s="284"/>
      <c r="AA376" s="355"/>
      <c r="AC376" s="359"/>
      <c r="AD376" s="284"/>
      <c r="AE376" s="355"/>
      <c r="AG376" s="359"/>
      <c r="AH376" s="284"/>
      <c r="AI376" s="355"/>
      <c r="AK376" s="359"/>
      <c r="AL376" s="284"/>
      <c r="AM376" s="355"/>
      <c r="AO376" s="359"/>
      <c r="AP376" s="284"/>
      <c r="AQ376" s="355"/>
      <c r="AR376" s="360"/>
      <c r="AS376" s="359"/>
      <c r="AT376" s="284"/>
      <c r="AU376" s="355"/>
      <c r="AW376" s="359"/>
      <c r="AX376" s="284"/>
      <c r="AY376" s="355"/>
      <c r="BA376" s="359"/>
      <c r="BB376" s="284"/>
      <c r="BC376" s="355"/>
      <c r="BE376" s="359"/>
      <c r="BF376" s="284"/>
      <c r="BG376" s="355"/>
      <c r="BI376" s="359"/>
      <c r="BJ376" s="284"/>
      <c r="BK376" s="355"/>
      <c r="BM376" s="359"/>
      <c r="BN376" s="284"/>
      <c r="BO376" s="355"/>
      <c r="BQ376" s="359"/>
      <c r="BR376" s="284"/>
      <c r="BS376" s="355"/>
      <c r="BU376" s="359"/>
      <c r="BV376" s="284"/>
    </row>
    <row r="377" spans="2:74" x14ac:dyDescent="0.25">
      <c r="B377" s="284"/>
      <c r="D377" s="355"/>
      <c r="E377" s="356"/>
      <c r="F377" s="357"/>
      <c r="G377" s="358"/>
      <c r="H377" s="359"/>
      <c r="I377" s="284"/>
      <c r="J377" s="287"/>
      <c r="K377" s="355"/>
      <c r="M377" s="359"/>
      <c r="N377" s="284"/>
      <c r="O377" s="355"/>
      <c r="P377" s="360"/>
      <c r="Q377" s="359"/>
      <c r="R377" s="284"/>
      <c r="S377" s="355"/>
      <c r="U377" s="359"/>
      <c r="V377" s="284"/>
      <c r="W377" s="355"/>
      <c r="Y377" s="359"/>
      <c r="Z377" s="284"/>
      <c r="AA377" s="355"/>
      <c r="AC377" s="359"/>
      <c r="AD377" s="284"/>
      <c r="AE377" s="355"/>
      <c r="AG377" s="359"/>
      <c r="AH377" s="284"/>
      <c r="AI377" s="355"/>
      <c r="AK377" s="359"/>
      <c r="AL377" s="284"/>
      <c r="AM377" s="355"/>
      <c r="AO377" s="359"/>
      <c r="AP377" s="284"/>
      <c r="AQ377" s="355"/>
      <c r="AR377" s="360"/>
      <c r="AS377" s="359"/>
      <c r="AT377" s="284"/>
      <c r="AU377" s="355"/>
      <c r="AW377" s="359"/>
      <c r="AX377" s="284"/>
      <c r="AY377" s="355"/>
      <c r="BA377" s="359"/>
      <c r="BB377" s="284"/>
      <c r="BC377" s="355"/>
      <c r="BE377" s="359"/>
      <c r="BF377" s="284"/>
      <c r="BG377" s="355"/>
      <c r="BI377" s="359"/>
      <c r="BJ377" s="284"/>
      <c r="BK377" s="355"/>
      <c r="BM377" s="359"/>
      <c r="BN377" s="284"/>
      <c r="BO377" s="355"/>
      <c r="BQ377" s="359"/>
      <c r="BR377" s="284"/>
      <c r="BS377" s="355"/>
      <c r="BU377" s="359"/>
      <c r="BV377" s="284"/>
    </row>
    <row r="378" spans="2:74" x14ac:dyDescent="0.25">
      <c r="B378" s="284"/>
      <c r="D378" s="355"/>
      <c r="E378" s="356"/>
      <c r="F378" s="357"/>
      <c r="G378" s="358"/>
      <c r="H378" s="359"/>
      <c r="I378" s="284"/>
      <c r="J378" s="287"/>
      <c r="K378" s="355"/>
      <c r="M378" s="359"/>
      <c r="N378" s="284"/>
      <c r="O378" s="355"/>
      <c r="P378" s="360"/>
      <c r="Q378" s="359"/>
      <c r="R378" s="284"/>
      <c r="S378" s="355"/>
      <c r="U378" s="359"/>
      <c r="V378" s="284"/>
      <c r="W378" s="355"/>
      <c r="Y378" s="359"/>
      <c r="Z378" s="284"/>
      <c r="AA378" s="355"/>
      <c r="AC378" s="359"/>
      <c r="AD378" s="284"/>
      <c r="AE378" s="355"/>
      <c r="AG378" s="359"/>
      <c r="AH378" s="284"/>
      <c r="AI378" s="355"/>
      <c r="AK378" s="359"/>
      <c r="AL378" s="284"/>
      <c r="AM378" s="355"/>
      <c r="AO378" s="359"/>
      <c r="AP378" s="284"/>
      <c r="AQ378" s="355"/>
      <c r="AR378" s="360"/>
      <c r="AS378" s="359"/>
      <c r="AT378" s="284"/>
      <c r="AU378" s="355"/>
      <c r="AW378" s="359"/>
      <c r="AX378" s="284"/>
      <c r="AY378" s="355"/>
      <c r="BA378" s="359"/>
      <c r="BB378" s="284"/>
      <c r="BC378" s="355"/>
      <c r="BE378" s="359"/>
      <c r="BF378" s="284"/>
      <c r="BG378" s="355"/>
      <c r="BI378" s="359"/>
      <c r="BJ378" s="284"/>
      <c r="BK378" s="355"/>
      <c r="BM378" s="359"/>
      <c r="BN378" s="284"/>
      <c r="BO378" s="355"/>
      <c r="BQ378" s="359"/>
      <c r="BR378" s="284"/>
      <c r="BS378" s="355"/>
      <c r="BU378" s="359"/>
      <c r="BV378" s="284"/>
    </row>
    <row r="379" spans="2:74" x14ac:dyDescent="0.25">
      <c r="B379" s="284"/>
      <c r="D379" s="355"/>
      <c r="E379" s="356"/>
      <c r="F379" s="357"/>
      <c r="G379" s="358"/>
      <c r="H379" s="359"/>
      <c r="I379" s="284"/>
      <c r="J379" s="287"/>
      <c r="K379" s="355"/>
      <c r="M379" s="359"/>
      <c r="N379" s="284"/>
      <c r="O379" s="355"/>
      <c r="P379" s="360"/>
      <c r="Q379" s="359"/>
      <c r="R379" s="284"/>
      <c r="S379" s="355"/>
      <c r="U379" s="359"/>
      <c r="V379" s="284"/>
      <c r="W379" s="355"/>
      <c r="Y379" s="359"/>
      <c r="Z379" s="284"/>
      <c r="AA379" s="355"/>
      <c r="AC379" s="359"/>
      <c r="AD379" s="284"/>
      <c r="AE379" s="355"/>
      <c r="AG379" s="359"/>
      <c r="AH379" s="284"/>
      <c r="AI379" s="355"/>
      <c r="AK379" s="359"/>
      <c r="AL379" s="284"/>
      <c r="AM379" s="355"/>
      <c r="AO379" s="359"/>
      <c r="AP379" s="284"/>
      <c r="AQ379" s="355"/>
      <c r="AR379" s="360"/>
      <c r="AS379" s="359"/>
      <c r="AT379" s="284"/>
      <c r="AU379" s="355"/>
      <c r="AW379" s="359"/>
      <c r="AX379" s="284"/>
      <c r="AY379" s="355"/>
      <c r="BA379" s="359"/>
      <c r="BB379" s="284"/>
      <c r="BC379" s="355"/>
      <c r="BE379" s="359"/>
      <c r="BF379" s="284"/>
      <c r="BG379" s="355"/>
      <c r="BI379" s="359"/>
      <c r="BJ379" s="284"/>
      <c r="BK379" s="355"/>
      <c r="BM379" s="359"/>
      <c r="BN379" s="284"/>
      <c r="BO379" s="355"/>
      <c r="BQ379" s="359"/>
      <c r="BR379" s="284"/>
      <c r="BS379" s="355"/>
      <c r="BU379" s="359"/>
      <c r="BV379" s="284"/>
    </row>
    <row r="380" spans="2:74" x14ac:dyDescent="0.25">
      <c r="B380" s="284"/>
      <c r="D380" s="355"/>
      <c r="E380" s="356"/>
      <c r="F380" s="357"/>
      <c r="G380" s="358"/>
      <c r="H380" s="359"/>
      <c r="I380" s="284"/>
      <c r="J380" s="287"/>
      <c r="K380" s="355"/>
      <c r="M380" s="359"/>
      <c r="N380" s="284"/>
      <c r="O380" s="355"/>
      <c r="P380" s="360"/>
      <c r="Q380" s="359"/>
      <c r="R380" s="284"/>
      <c r="S380" s="355"/>
      <c r="U380" s="359"/>
      <c r="V380" s="284"/>
      <c r="W380" s="355"/>
      <c r="Y380" s="359"/>
      <c r="Z380" s="284"/>
      <c r="AA380" s="355"/>
      <c r="AC380" s="359"/>
      <c r="AD380" s="284"/>
      <c r="AE380" s="355"/>
      <c r="AG380" s="359"/>
      <c r="AH380" s="284"/>
      <c r="AI380" s="355"/>
      <c r="AK380" s="359"/>
      <c r="AL380" s="284"/>
      <c r="AM380" s="355"/>
      <c r="AO380" s="359"/>
      <c r="AP380" s="284"/>
      <c r="AQ380" s="355"/>
      <c r="AR380" s="360"/>
      <c r="AS380" s="359"/>
      <c r="AT380" s="284"/>
      <c r="AU380" s="355"/>
      <c r="AW380" s="359"/>
      <c r="AX380" s="284"/>
      <c r="AY380" s="355"/>
      <c r="BA380" s="359"/>
      <c r="BB380" s="284"/>
      <c r="BC380" s="355"/>
      <c r="BE380" s="359"/>
      <c r="BF380" s="284"/>
      <c r="BG380" s="355"/>
      <c r="BI380" s="359"/>
      <c r="BJ380" s="284"/>
      <c r="BK380" s="355"/>
      <c r="BM380" s="359"/>
      <c r="BN380" s="284"/>
      <c r="BO380" s="355"/>
      <c r="BQ380" s="359"/>
      <c r="BR380" s="284"/>
      <c r="BS380" s="355"/>
      <c r="BU380" s="359"/>
      <c r="BV380" s="284"/>
    </row>
    <row r="381" spans="2:74" x14ac:dyDescent="0.25">
      <c r="B381" s="284"/>
      <c r="D381" s="355"/>
      <c r="E381" s="356"/>
      <c r="F381" s="357"/>
      <c r="G381" s="358"/>
      <c r="H381" s="359"/>
      <c r="I381" s="284"/>
      <c r="J381" s="287"/>
      <c r="K381" s="355"/>
      <c r="M381" s="359"/>
      <c r="N381" s="284"/>
      <c r="O381" s="355"/>
      <c r="P381" s="360"/>
      <c r="Q381" s="359"/>
      <c r="R381" s="284"/>
      <c r="S381" s="355"/>
      <c r="U381" s="359"/>
      <c r="V381" s="284"/>
      <c r="W381" s="355"/>
      <c r="Y381" s="359"/>
      <c r="Z381" s="284"/>
      <c r="AA381" s="355"/>
      <c r="AC381" s="359"/>
      <c r="AD381" s="284"/>
      <c r="AE381" s="355"/>
      <c r="AG381" s="359"/>
      <c r="AH381" s="284"/>
      <c r="AI381" s="355"/>
      <c r="AK381" s="359"/>
      <c r="AL381" s="284"/>
      <c r="AM381" s="355"/>
      <c r="AO381" s="359"/>
      <c r="AP381" s="284"/>
      <c r="AQ381" s="355"/>
      <c r="AR381" s="360"/>
      <c r="AS381" s="359"/>
      <c r="AT381" s="284"/>
      <c r="AU381" s="355"/>
      <c r="AW381" s="359"/>
      <c r="AX381" s="284"/>
      <c r="AY381" s="355"/>
      <c r="BA381" s="359"/>
      <c r="BB381" s="284"/>
      <c r="BC381" s="355"/>
      <c r="BE381" s="359"/>
      <c r="BF381" s="284"/>
      <c r="BG381" s="355"/>
      <c r="BI381" s="359"/>
      <c r="BJ381" s="284"/>
      <c r="BK381" s="355"/>
      <c r="BM381" s="359"/>
      <c r="BN381" s="284"/>
      <c r="BO381" s="355"/>
      <c r="BQ381" s="359"/>
      <c r="BR381" s="284"/>
      <c r="BS381" s="355"/>
      <c r="BU381" s="359"/>
      <c r="BV381" s="284"/>
    </row>
    <row r="382" spans="2:74" x14ac:dyDescent="0.25">
      <c r="B382" s="284"/>
      <c r="D382" s="355"/>
      <c r="E382" s="356"/>
      <c r="F382" s="357"/>
      <c r="G382" s="358"/>
      <c r="H382" s="359"/>
      <c r="I382" s="284"/>
      <c r="J382" s="287"/>
      <c r="K382" s="355"/>
      <c r="M382" s="359"/>
      <c r="N382" s="284"/>
      <c r="O382" s="355"/>
      <c r="P382" s="360"/>
      <c r="Q382" s="359"/>
      <c r="R382" s="284"/>
      <c r="S382" s="355"/>
      <c r="U382" s="359"/>
      <c r="V382" s="284"/>
      <c r="W382" s="355"/>
      <c r="Y382" s="359"/>
      <c r="Z382" s="284"/>
      <c r="AA382" s="355"/>
      <c r="AC382" s="359"/>
      <c r="AD382" s="284"/>
      <c r="AE382" s="355"/>
      <c r="AG382" s="359"/>
      <c r="AH382" s="284"/>
      <c r="AI382" s="355"/>
      <c r="AK382" s="359"/>
      <c r="AL382" s="284"/>
      <c r="AM382" s="355"/>
      <c r="AO382" s="359"/>
      <c r="AP382" s="284"/>
      <c r="AQ382" s="355"/>
      <c r="AR382" s="360"/>
      <c r="AS382" s="359"/>
      <c r="AT382" s="284"/>
      <c r="AU382" s="355"/>
      <c r="AW382" s="359"/>
      <c r="AX382" s="284"/>
      <c r="AY382" s="355"/>
      <c r="BA382" s="359"/>
      <c r="BB382" s="284"/>
      <c r="BC382" s="355"/>
      <c r="BE382" s="359"/>
      <c r="BF382" s="284"/>
      <c r="BG382" s="355"/>
      <c r="BI382" s="359"/>
      <c r="BJ382" s="284"/>
      <c r="BK382" s="355"/>
      <c r="BM382" s="359"/>
      <c r="BN382" s="284"/>
      <c r="BO382" s="355"/>
      <c r="BQ382" s="359"/>
      <c r="BR382" s="284"/>
      <c r="BS382" s="355"/>
      <c r="BU382" s="359"/>
      <c r="BV382" s="284"/>
    </row>
    <row r="383" spans="2:74" x14ac:dyDescent="0.25">
      <c r="B383" s="284"/>
      <c r="D383" s="355"/>
      <c r="E383" s="356"/>
      <c r="F383" s="357"/>
      <c r="G383" s="358"/>
      <c r="H383" s="359"/>
      <c r="I383" s="284"/>
      <c r="J383" s="287"/>
      <c r="K383" s="355"/>
      <c r="M383" s="359"/>
      <c r="N383" s="284"/>
      <c r="O383" s="355"/>
      <c r="P383" s="360"/>
      <c r="Q383" s="359"/>
      <c r="R383" s="284"/>
      <c r="S383" s="355"/>
      <c r="U383" s="359"/>
      <c r="V383" s="284"/>
      <c r="W383" s="355"/>
      <c r="Y383" s="359"/>
      <c r="Z383" s="284"/>
      <c r="AA383" s="355"/>
      <c r="AC383" s="359"/>
      <c r="AD383" s="284"/>
      <c r="AE383" s="355"/>
      <c r="AG383" s="359"/>
      <c r="AH383" s="284"/>
      <c r="AI383" s="355"/>
      <c r="AK383" s="359"/>
      <c r="AL383" s="284"/>
      <c r="AM383" s="355"/>
      <c r="AO383" s="359"/>
      <c r="AP383" s="284"/>
      <c r="AQ383" s="355"/>
      <c r="AR383" s="360"/>
      <c r="AS383" s="359"/>
      <c r="AT383" s="284"/>
      <c r="AU383" s="355"/>
      <c r="AW383" s="359"/>
      <c r="AX383" s="284"/>
      <c r="AY383" s="355"/>
      <c r="BA383" s="359"/>
      <c r="BB383" s="284"/>
      <c r="BC383" s="355"/>
      <c r="BE383" s="359"/>
      <c r="BF383" s="284"/>
      <c r="BG383" s="355"/>
      <c r="BI383" s="359"/>
      <c r="BJ383" s="284"/>
      <c r="BK383" s="355"/>
      <c r="BM383" s="359"/>
      <c r="BN383" s="284"/>
      <c r="BO383" s="355"/>
      <c r="BQ383" s="359"/>
      <c r="BR383" s="284"/>
      <c r="BS383" s="355"/>
      <c r="BU383" s="359"/>
      <c r="BV383" s="284"/>
    </row>
    <row r="384" spans="2:74" x14ac:dyDescent="0.25">
      <c r="B384" s="284"/>
      <c r="D384" s="355"/>
      <c r="E384" s="356"/>
      <c r="F384" s="357"/>
      <c r="G384" s="358"/>
      <c r="H384" s="359"/>
      <c r="I384" s="284"/>
      <c r="J384" s="287"/>
      <c r="K384" s="355"/>
      <c r="M384" s="359"/>
      <c r="N384" s="284"/>
      <c r="O384" s="355"/>
      <c r="P384" s="360"/>
      <c r="Q384" s="359"/>
      <c r="R384" s="284"/>
      <c r="S384" s="355"/>
      <c r="U384" s="359"/>
      <c r="V384" s="284"/>
      <c r="W384" s="355"/>
      <c r="Y384" s="359"/>
      <c r="Z384" s="284"/>
      <c r="AA384" s="355"/>
      <c r="AC384" s="359"/>
      <c r="AD384" s="284"/>
      <c r="AE384" s="355"/>
      <c r="AG384" s="359"/>
      <c r="AH384" s="284"/>
      <c r="AI384" s="355"/>
      <c r="AK384" s="359"/>
      <c r="AL384" s="284"/>
      <c r="AM384" s="355"/>
      <c r="AO384" s="359"/>
      <c r="AP384" s="284"/>
      <c r="AQ384" s="355"/>
      <c r="AR384" s="360"/>
      <c r="AS384" s="359"/>
      <c r="AT384" s="284"/>
      <c r="AU384" s="355"/>
      <c r="AW384" s="359"/>
      <c r="AX384" s="284"/>
      <c r="AY384" s="355"/>
      <c r="BA384" s="359"/>
      <c r="BB384" s="284"/>
      <c r="BC384" s="355"/>
      <c r="BE384" s="359"/>
      <c r="BF384" s="284"/>
      <c r="BG384" s="355"/>
      <c r="BI384" s="359"/>
      <c r="BJ384" s="284"/>
      <c r="BK384" s="355"/>
      <c r="BM384" s="359"/>
      <c r="BN384" s="284"/>
      <c r="BO384" s="355"/>
      <c r="BQ384" s="359"/>
      <c r="BR384" s="284"/>
      <c r="BS384" s="355"/>
      <c r="BU384" s="359"/>
      <c r="BV384" s="284"/>
    </row>
    <row r="385" spans="2:74" x14ac:dyDescent="0.25">
      <c r="B385" s="284"/>
      <c r="D385" s="355"/>
      <c r="E385" s="356"/>
      <c r="F385" s="357"/>
      <c r="G385" s="358"/>
      <c r="H385" s="359"/>
      <c r="I385" s="284"/>
      <c r="J385" s="287"/>
      <c r="K385" s="355"/>
      <c r="M385" s="359"/>
      <c r="N385" s="284"/>
      <c r="O385" s="355"/>
      <c r="P385" s="360"/>
      <c r="Q385" s="359"/>
      <c r="R385" s="284"/>
      <c r="S385" s="355"/>
      <c r="U385" s="359"/>
      <c r="V385" s="284"/>
      <c r="W385" s="355"/>
      <c r="Y385" s="359"/>
      <c r="Z385" s="284"/>
      <c r="AA385" s="355"/>
      <c r="AC385" s="359"/>
      <c r="AD385" s="284"/>
      <c r="AE385" s="355"/>
      <c r="AG385" s="359"/>
      <c r="AH385" s="284"/>
      <c r="AI385" s="355"/>
      <c r="AK385" s="359"/>
      <c r="AL385" s="284"/>
      <c r="AM385" s="355"/>
      <c r="AO385" s="359"/>
      <c r="AP385" s="284"/>
      <c r="AQ385" s="355"/>
      <c r="AR385" s="360"/>
      <c r="AS385" s="359"/>
      <c r="AT385" s="284"/>
      <c r="AU385" s="355"/>
      <c r="AW385" s="359"/>
      <c r="AX385" s="284"/>
      <c r="AY385" s="355"/>
      <c r="BA385" s="359"/>
      <c r="BB385" s="284"/>
      <c r="BC385" s="355"/>
      <c r="BE385" s="359"/>
      <c r="BF385" s="284"/>
      <c r="BG385" s="355"/>
      <c r="BI385" s="359"/>
      <c r="BJ385" s="284"/>
      <c r="BK385" s="355"/>
      <c r="BM385" s="359"/>
      <c r="BN385" s="284"/>
      <c r="BO385" s="355"/>
      <c r="BQ385" s="359"/>
      <c r="BR385" s="284"/>
      <c r="BS385" s="355"/>
      <c r="BU385" s="359"/>
      <c r="BV385" s="284"/>
    </row>
    <row r="386" spans="2:74" x14ac:dyDescent="0.25">
      <c r="B386" s="284"/>
      <c r="D386" s="355"/>
      <c r="E386" s="356"/>
      <c r="F386" s="357"/>
      <c r="G386" s="358"/>
      <c r="H386" s="359"/>
      <c r="I386" s="284"/>
      <c r="J386" s="287"/>
      <c r="K386" s="355"/>
      <c r="M386" s="359"/>
      <c r="N386" s="284"/>
      <c r="O386" s="355"/>
      <c r="P386" s="360"/>
      <c r="Q386" s="359"/>
      <c r="R386" s="284"/>
      <c r="S386" s="355"/>
      <c r="U386" s="359"/>
      <c r="V386" s="284"/>
      <c r="W386" s="355"/>
      <c r="Y386" s="359"/>
      <c r="Z386" s="284"/>
      <c r="AA386" s="355"/>
      <c r="AC386" s="359"/>
      <c r="AD386" s="284"/>
      <c r="AE386" s="355"/>
      <c r="AG386" s="359"/>
      <c r="AH386" s="284"/>
      <c r="AI386" s="355"/>
      <c r="AK386" s="359"/>
      <c r="AL386" s="284"/>
      <c r="AM386" s="355"/>
      <c r="AO386" s="359"/>
      <c r="AP386" s="284"/>
      <c r="AQ386" s="355"/>
      <c r="AR386" s="360"/>
      <c r="AS386" s="359"/>
      <c r="AT386" s="284"/>
      <c r="AU386" s="355"/>
      <c r="AW386" s="359"/>
      <c r="AX386" s="284"/>
      <c r="AY386" s="355"/>
      <c r="BA386" s="359"/>
      <c r="BB386" s="284"/>
      <c r="BC386" s="355"/>
      <c r="BE386" s="359"/>
      <c r="BF386" s="284"/>
      <c r="BG386" s="355"/>
      <c r="BI386" s="359"/>
      <c r="BJ386" s="284"/>
      <c r="BK386" s="355"/>
      <c r="BM386" s="359"/>
      <c r="BN386" s="284"/>
      <c r="BO386" s="355"/>
      <c r="BQ386" s="359"/>
      <c r="BR386" s="284"/>
      <c r="BS386" s="355"/>
      <c r="BU386" s="359"/>
      <c r="BV386" s="284"/>
    </row>
    <row r="387" spans="2:74" x14ac:dyDescent="0.25">
      <c r="B387" s="284"/>
      <c r="D387" s="355"/>
      <c r="E387" s="356"/>
      <c r="F387" s="357"/>
      <c r="G387" s="358"/>
      <c r="H387" s="359"/>
      <c r="I387" s="284"/>
      <c r="J387" s="287"/>
      <c r="K387" s="355"/>
      <c r="M387" s="359"/>
      <c r="N387" s="284"/>
      <c r="O387" s="355"/>
      <c r="P387" s="360"/>
      <c r="Q387" s="359"/>
      <c r="R387" s="284"/>
      <c r="S387" s="355"/>
      <c r="U387" s="359"/>
      <c r="V387" s="284"/>
      <c r="W387" s="355"/>
      <c r="Y387" s="359"/>
      <c r="Z387" s="284"/>
      <c r="AA387" s="355"/>
      <c r="AC387" s="359"/>
      <c r="AD387" s="284"/>
      <c r="AE387" s="355"/>
      <c r="AG387" s="359"/>
      <c r="AH387" s="284"/>
      <c r="AI387" s="355"/>
      <c r="AK387" s="359"/>
      <c r="AL387" s="284"/>
      <c r="AM387" s="355"/>
      <c r="AO387" s="359"/>
      <c r="AP387" s="284"/>
      <c r="AQ387" s="355"/>
      <c r="AR387" s="360"/>
      <c r="AS387" s="359"/>
      <c r="AT387" s="284"/>
      <c r="AU387" s="355"/>
      <c r="AW387" s="359"/>
      <c r="AX387" s="284"/>
      <c r="AY387" s="355"/>
      <c r="BA387" s="359"/>
      <c r="BB387" s="284"/>
      <c r="BC387" s="355"/>
      <c r="BE387" s="359"/>
      <c r="BF387" s="284"/>
      <c r="BG387" s="355"/>
      <c r="BI387" s="359"/>
      <c r="BJ387" s="284"/>
      <c r="BK387" s="355"/>
      <c r="BM387" s="359"/>
      <c r="BN387" s="284"/>
      <c r="BO387" s="355"/>
      <c r="BQ387" s="359"/>
      <c r="BR387" s="284"/>
      <c r="BS387" s="355"/>
      <c r="BU387" s="359"/>
      <c r="BV387" s="284"/>
    </row>
    <row r="388" spans="2:74" x14ac:dyDescent="0.25">
      <c r="B388" s="284"/>
      <c r="D388" s="355"/>
      <c r="E388" s="356"/>
      <c r="F388" s="357"/>
      <c r="G388" s="358"/>
      <c r="H388" s="359"/>
      <c r="I388" s="284"/>
      <c r="J388" s="287"/>
      <c r="K388" s="355"/>
      <c r="M388" s="359"/>
      <c r="N388" s="284"/>
      <c r="O388" s="355"/>
      <c r="P388" s="360"/>
      <c r="Q388" s="359"/>
      <c r="R388" s="284"/>
      <c r="S388" s="355"/>
      <c r="U388" s="359"/>
      <c r="V388" s="284"/>
      <c r="W388" s="355"/>
      <c r="Y388" s="359"/>
      <c r="Z388" s="284"/>
      <c r="AA388" s="355"/>
      <c r="AC388" s="359"/>
      <c r="AD388" s="284"/>
      <c r="AE388" s="355"/>
      <c r="AG388" s="359"/>
      <c r="AH388" s="284"/>
      <c r="AI388" s="355"/>
      <c r="AK388" s="359"/>
      <c r="AL388" s="284"/>
      <c r="AM388" s="355"/>
      <c r="AO388" s="359"/>
      <c r="AP388" s="284"/>
      <c r="AQ388" s="355"/>
      <c r="AR388" s="360"/>
      <c r="AS388" s="359"/>
      <c r="AT388" s="284"/>
      <c r="AU388" s="355"/>
      <c r="AW388" s="359"/>
      <c r="AX388" s="284"/>
      <c r="AY388" s="355"/>
      <c r="BA388" s="359"/>
      <c r="BB388" s="284"/>
      <c r="BC388" s="355"/>
      <c r="BE388" s="359"/>
      <c r="BF388" s="284"/>
      <c r="BG388" s="355"/>
      <c r="BI388" s="359"/>
      <c r="BJ388" s="284"/>
      <c r="BK388" s="355"/>
      <c r="BM388" s="359"/>
      <c r="BN388" s="284"/>
      <c r="BO388" s="355"/>
      <c r="BQ388" s="359"/>
      <c r="BR388" s="284"/>
      <c r="BS388" s="355"/>
      <c r="BU388" s="359"/>
      <c r="BV388" s="284"/>
    </row>
    <row r="389" spans="2:74" x14ac:dyDescent="0.25">
      <c r="B389" s="284"/>
      <c r="D389" s="355"/>
      <c r="E389" s="356"/>
      <c r="F389" s="357"/>
      <c r="G389" s="358"/>
      <c r="H389" s="359"/>
      <c r="I389" s="284"/>
      <c r="J389" s="287"/>
      <c r="K389" s="355"/>
      <c r="M389" s="359"/>
      <c r="N389" s="284"/>
      <c r="O389" s="355"/>
      <c r="P389" s="360"/>
      <c r="Q389" s="359"/>
      <c r="R389" s="284"/>
      <c r="S389" s="355"/>
      <c r="U389" s="359"/>
      <c r="V389" s="284"/>
      <c r="W389" s="355"/>
      <c r="Y389" s="359"/>
      <c r="Z389" s="284"/>
      <c r="AA389" s="355"/>
      <c r="AC389" s="359"/>
      <c r="AD389" s="284"/>
      <c r="AE389" s="355"/>
      <c r="AG389" s="359"/>
      <c r="AH389" s="284"/>
      <c r="AI389" s="355"/>
      <c r="AK389" s="359"/>
      <c r="AL389" s="284"/>
      <c r="AM389" s="355"/>
      <c r="AO389" s="359"/>
      <c r="AP389" s="284"/>
      <c r="AQ389" s="355"/>
      <c r="AR389" s="360"/>
      <c r="AS389" s="359"/>
      <c r="AT389" s="284"/>
      <c r="AU389" s="355"/>
      <c r="AW389" s="359"/>
      <c r="AX389" s="284"/>
      <c r="AY389" s="355"/>
      <c r="BA389" s="359"/>
      <c r="BB389" s="284"/>
      <c r="BC389" s="355"/>
      <c r="BE389" s="359"/>
      <c r="BF389" s="284"/>
      <c r="BG389" s="355"/>
      <c r="BI389" s="359"/>
      <c r="BJ389" s="284"/>
      <c r="BK389" s="355"/>
      <c r="BM389" s="359"/>
      <c r="BN389" s="284"/>
      <c r="BO389" s="355"/>
      <c r="BQ389" s="359"/>
      <c r="BR389" s="284"/>
      <c r="BS389" s="355"/>
      <c r="BU389" s="359"/>
      <c r="BV389" s="284"/>
    </row>
    <row r="390" spans="2:74" x14ac:dyDescent="0.25">
      <c r="B390" s="284"/>
      <c r="D390" s="355"/>
      <c r="E390" s="356"/>
      <c r="F390" s="357"/>
      <c r="G390" s="358"/>
      <c r="H390" s="359"/>
      <c r="I390" s="284"/>
      <c r="J390" s="287"/>
      <c r="K390" s="355"/>
      <c r="M390" s="359"/>
      <c r="N390" s="284"/>
      <c r="O390" s="355"/>
      <c r="P390" s="360"/>
      <c r="Q390" s="359"/>
      <c r="R390" s="284"/>
      <c r="S390" s="355"/>
      <c r="U390" s="359"/>
      <c r="V390" s="284"/>
      <c r="W390" s="355"/>
      <c r="Y390" s="359"/>
      <c r="Z390" s="284"/>
      <c r="AA390" s="355"/>
      <c r="AC390" s="359"/>
      <c r="AD390" s="284"/>
      <c r="AE390" s="355"/>
      <c r="AG390" s="359"/>
      <c r="AH390" s="284"/>
      <c r="AI390" s="355"/>
      <c r="AK390" s="359"/>
      <c r="AL390" s="284"/>
      <c r="AM390" s="355"/>
      <c r="AO390" s="359"/>
      <c r="AP390" s="284"/>
      <c r="AQ390" s="355"/>
      <c r="AR390" s="360"/>
      <c r="AS390" s="359"/>
      <c r="AT390" s="284"/>
      <c r="AU390" s="355"/>
      <c r="AW390" s="359"/>
      <c r="AX390" s="284"/>
      <c r="AY390" s="355"/>
      <c r="BA390" s="359"/>
      <c r="BB390" s="284"/>
      <c r="BC390" s="355"/>
      <c r="BE390" s="359"/>
      <c r="BF390" s="284"/>
      <c r="BG390" s="355"/>
      <c r="BI390" s="359"/>
      <c r="BJ390" s="284"/>
      <c r="BK390" s="355"/>
      <c r="BM390" s="359"/>
      <c r="BN390" s="284"/>
      <c r="BO390" s="355"/>
      <c r="BQ390" s="359"/>
      <c r="BR390" s="284"/>
      <c r="BS390" s="355"/>
      <c r="BU390" s="359"/>
      <c r="BV390" s="284"/>
    </row>
    <row r="391" spans="2:74" x14ac:dyDescent="0.25">
      <c r="B391" s="284"/>
      <c r="D391" s="355"/>
      <c r="E391" s="356"/>
      <c r="F391" s="357"/>
      <c r="G391" s="358"/>
      <c r="H391" s="359"/>
      <c r="I391" s="284"/>
      <c r="J391" s="287"/>
      <c r="K391" s="355"/>
      <c r="M391" s="359"/>
      <c r="N391" s="284"/>
      <c r="O391" s="355"/>
      <c r="P391" s="360"/>
      <c r="Q391" s="359"/>
      <c r="R391" s="284"/>
      <c r="S391" s="355"/>
      <c r="U391" s="359"/>
      <c r="V391" s="284"/>
      <c r="W391" s="355"/>
      <c r="Y391" s="359"/>
      <c r="Z391" s="284"/>
      <c r="AA391" s="355"/>
      <c r="AC391" s="359"/>
      <c r="AD391" s="284"/>
      <c r="AE391" s="355"/>
      <c r="AG391" s="359"/>
      <c r="AH391" s="284"/>
      <c r="AI391" s="355"/>
      <c r="AK391" s="359"/>
      <c r="AL391" s="284"/>
      <c r="AM391" s="355"/>
      <c r="AO391" s="359"/>
      <c r="AP391" s="284"/>
      <c r="AQ391" s="355"/>
      <c r="AR391" s="360"/>
      <c r="AS391" s="359"/>
      <c r="AT391" s="284"/>
      <c r="AU391" s="355"/>
      <c r="AW391" s="359"/>
      <c r="AX391" s="284"/>
      <c r="AY391" s="355"/>
      <c r="BA391" s="359"/>
      <c r="BB391" s="284"/>
      <c r="BC391" s="355"/>
      <c r="BE391" s="359"/>
      <c r="BF391" s="284"/>
      <c r="BG391" s="355"/>
      <c r="BI391" s="359"/>
      <c r="BJ391" s="284"/>
      <c r="BK391" s="355"/>
      <c r="BM391" s="359"/>
      <c r="BN391" s="284"/>
      <c r="BO391" s="355"/>
      <c r="BQ391" s="359"/>
      <c r="BR391" s="284"/>
      <c r="BS391" s="355"/>
      <c r="BU391" s="359"/>
      <c r="BV391" s="284"/>
    </row>
    <row r="392" spans="2:74" x14ac:dyDescent="0.25">
      <c r="B392" s="284"/>
      <c r="D392" s="355"/>
      <c r="E392" s="356"/>
      <c r="F392" s="357"/>
      <c r="G392" s="358"/>
      <c r="H392" s="359"/>
      <c r="I392" s="284"/>
      <c r="J392" s="287"/>
      <c r="K392" s="355"/>
      <c r="M392" s="359"/>
      <c r="N392" s="284"/>
      <c r="O392" s="355"/>
      <c r="P392" s="360"/>
      <c r="Q392" s="359"/>
      <c r="R392" s="284"/>
      <c r="S392" s="355"/>
      <c r="U392" s="359"/>
      <c r="V392" s="284"/>
      <c r="W392" s="355"/>
      <c r="Y392" s="359"/>
      <c r="Z392" s="284"/>
      <c r="AA392" s="355"/>
      <c r="AC392" s="359"/>
      <c r="AD392" s="284"/>
      <c r="AE392" s="355"/>
      <c r="AG392" s="359"/>
      <c r="AH392" s="284"/>
      <c r="AI392" s="355"/>
      <c r="AK392" s="359"/>
      <c r="AL392" s="284"/>
      <c r="AM392" s="355"/>
      <c r="AO392" s="359"/>
      <c r="AP392" s="284"/>
      <c r="AQ392" s="355"/>
      <c r="AR392" s="360"/>
      <c r="AS392" s="359"/>
      <c r="AT392" s="284"/>
      <c r="AU392" s="355"/>
      <c r="AW392" s="359"/>
      <c r="AX392" s="284"/>
      <c r="AY392" s="355"/>
      <c r="BA392" s="359"/>
      <c r="BB392" s="284"/>
      <c r="BC392" s="355"/>
      <c r="BE392" s="359"/>
      <c r="BF392" s="284"/>
      <c r="BG392" s="355"/>
      <c r="BI392" s="359"/>
      <c r="BJ392" s="284"/>
      <c r="BK392" s="355"/>
      <c r="BM392" s="359"/>
      <c r="BN392" s="284"/>
      <c r="BO392" s="355"/>
      <c r="BQ392" s="359"/>
      <c r="BR392" s="284"/>
      <c r="BS392" s="355"/>
      <c r="BU392" s="359"/>
      <c r="BV392" s="284"/>
    </row>
    <row r="393" spans="2:74" x14ac:dyDescent="0.25">
      <c r="B393" s="284"/>
      <c r="D393" s="355"/>
      <c r="E393" s="356"/>
      <c r="F393" s="357"/>
      <c r="G393" s="358"/>
      <c r="H393" s="359"/>
      <c r="I393" s="284"/>
      <c r="J393" s="287"/>
      <c r="K393" s="355"/>
      <c r="M393" s="359"/>
      <c r="N393" s="284"/>
      <c r="O393" s="355"/>
      <c r="P393" s="360"/>
      <c r="Q393" s="359"/>
      <c r="R393" s="284"/>
      <c r="S393" s="355"/>
      <c r="U393" s="359"/>
      <c r="V393" s="284"/>
      <c r="W393" s="355"/>
      <c r="Y393" s="359"/>
      <c r="Z393" s="284"/>
      <c r="AA393" s="355"/>
      <c r="AC393" s="359"/>
      <c r="AD393" s="284"/>
      <c r="AE393" s="355"/>
      <c r="AG393" s="359"/>
      <c r="AH393" s="284"/>
      <c r="AI393" s="355"/>
      <c r="AK393" s="359"/>
      <c r="AL393" s="284"/>
      <c r="AM393" s="355"/>
      <c r="AO393" s="359"/>
      <c r="AP393" s="284"/>
      <c r="AQ393" s="355"/>
      <c r="AR393" s="360"/>
      <c r="AS393" s="359"/>
      <c r="AT393" s="284"/>
      <c r="AU393" s="355"/>
      <c r="AW393" s="359"/>
      <c r="AX393" s="284"/>
      <c r="AY393" s="355"/>
      <c r="BA393" s="359"/>
      <c r="BB393" s="284"/>
      <c r="BC393" s="355"/>
      <c r="BE393" s="359"/>
      <c r="BF393" s="284"/>
      <c r="BG393" s="355"/>
      <c r="BI393" s="359"/>
      <c r="BJ393" s="284"/>
      <c r="BK393" s="355"/>
      <c r="BM393" s="359"/>
      <c r="BN393" s="284"/>
      <c r="BO393" s="355"/>
      <c r="BQ393" s="359"/>
      <c r="BR393" s="284"/>
      <c r="BS393" s="355"/>
      <c r="BU393" s="359"/>
      <c r="BV393" s="284"/>
    </row>
    <row r="394" spans="2:74" x14ac:dyDescent="0.25">
      <c r="B394" s="284"/>
      <c r="D394" s="355"/>
      <c r="E394" s="356"/>
      <c r="F394" s="357"/>
      <c r="G394" s="358"/>
      <c r="H394" s="359"/>
      <c r="I394" s="284"/>
      <c r="J394" s="287"/>
      <c r="K394" s="355"/>
      <c r="M394" s="359"/>
      <c r="N394" s="284"/>
      <c r="O394" s="355"/>
      <c r="P394" s="360"/>
      <c r="Q394" s="359"/>
      <c r="R394" s="284"/>
      <c r="S394" s="355"/>
      <c r="U394" s="359"/>
      <c r="V394" s="284"/>
      <c r="W394" s="355"/>
      <c r="Y394" s="359"/>
      <c r="Z394" s="284"/>
      <c r="AA394" s="355"/>
      <c r="AC394" s="359"/>
      <c r="AD394" s="284"/>
      <c r="AE394" s="355"/>
      <c r="AG394" s="359"/>
      <c r="AH394" s="284"/>
      <c r="AI394" s="355"/>
      <c r="AK394" s="359"/>
      <c r="AL394" s="284"/>
      <c r="AM394" s="355"/>
      <c r="AO394" s="359"/>
      <c r="AP394" s="284"/>
      <c r="AQ394" s="355"/>
      <c r="AR394" s="360"/>
      <c r="AS394" s="359"/>
      <c r="AT394" s="284"/>
      <c r="AU394" s="355"/>
      <c r="AW394" s="359"/>
      <c r="AX394" s="284"/>
      <c r="AY394" s="355"/>
      <c r="BA394" s="359"/>
      <c r="BB394" s="284"/>
      <c r="BC394" s="355"/>
      <c r="BE394" s="359"/>
      <c r="BF394" s="284"/>
      <c r="BG394" s="355"/>
      <c r="BI394" s="359"/>
      <c r="BJ394" s="284"/>
      <c r="BK394" s="355"/>
      <c r="BM394" s="359"/>
      <c r="BN394" s="284"/>
      <c r="BO394" s="355"/>
      <c r="BQ394" s="359"/>
      <c r="BR394" s="284"/>
      <c r="BS394" s="355"/>
      <c r="BU394" s="359"/>
      <c r="BV394" s="284"/>
    </row>
    <row r="395" spans="2:74" x14ac:dyDescent="0.25">
      <c r="B395" s="284"/>
      <c r="D395" s="355"/>
      <c r="E395" s="356"/>
      <c r="F395" s="357"/>
      <c r="G395" s="358"/>
      <c r="H395" s="359"/>
      <c r="I395" s="284"/>
      <c r="J395" s="287"/>
      <c r="K395" s="355"/>
      <c r="M395" s="359"/>
      <c r="N395" s="284"/>
      <c r="O395" s="355"/>
      <c r="P395" s="360"/>
      <c r="Q395" s="359"/>
      <c r="R395" s="284"/>
      <c r="S395" s="355"/>
      <c r="U395" s="359"/>
      <c r="V395" s="284"/>
      <c r="W395" s="355"/>
      <c r="Y395" s="359"/>
      <c r="Z395" s="284"/>
      <c r="AA395" s="355"/>
      <c r="AC395" s="359"/>
      <c r="AD395" s="284"/>
      <c r="AE395" s="355"/>
      <c r="AG395" s="359"/>
      <c r="AH395" s="284"/>
      <c r="AI395" s="355"/>
      <c r="AK395" s="359"/>
      <c r="AL395" s="284"/>
      <c r="AM395" s="355"/>
      <c r="AO395" s="359"/>
      <c r="AP395" s="284"/>
      <c r="AQ395" s="355"/>
      <c r="AR395" s="360"/>
      <c r="AS395" s="359"/>
      <c r="AT395" s="284"/>
      <c r="AU395" s="355"/>
      <c r="AW395" s="359"/>
      <c r="AX395" s="284"/>
      <c r="AY395" s="355"/>
      <c r="BA395" s="359"/>
      <c r="BB395" s="284"/>
      <c r="BC395" s="355"/>
      <c r="BE395" s="359"/>
      <c r="BF395" s="284"/>
      <c r="BG395" s="355"/>
      <c r="BI395" s="359"/>
      <c r="BJ395" s="284"/>
      <c r="BK395" s="355"/>
      <c r="BM395" s="359"/>
      <c r="BN395" s="284"/>
      <c r="BO395" s="355"/>
      <c r="BQ395" s="359"/>
      <c r="BR395" s="284"/>
      <c r="BS395" s="355"/>
      <c r="BU395" s="359"/>
      <c r="BV395" s="284"/>
    </row>
    <row r="396" spans="2:74" x14ac:dyDescent="0.25">
      <c r="B396" s="284"/>
      <c r="D396" s="355"/>
      <c r="E396" s="356"/>
      <c r="F396" s="357"/>
      <c r="G396" s="358"/>
      <c r="H396" s="359"/>
      <c r="I396" s="284"/>
      <c r="J396" s="287"/>
      <c r="K396" s="355"/>
      <c r="M396" s="359"/>
      <c r="N396" s="284"/>
      <c r="O396" s="355"/>
      <c r="P396" s="360"/>
      <c r="Q396" s="359"/>
      <c r="R396" s="284"/>
      <c r="S396" s="355"/>
      <c r="U396" s="359"/>
      <c r="V396" s="284"/>
      <c r="W396" s="355"/>
      <c r="Y396" s="359"/>
      <c r="Z396" s="284"/>
      <c r="AA396" s="355"/>
      <c r="AC396" s="359"/>
      <c r="AD396" s="284"/>
      <c r="AE396" s="355"/>
      <c r="AG396" s="359"/>
      <c r="AH396" s="284"/>
      <c r="AI396" s="355"/>
      <c r="AK396" s="359"/>
      <c r="AL396" s="284"/>
      <c r="AM396" s="355"/>
      <c r="AO396" s="359"/>
      <c r="AP396" s="284"/>
      <c r="AQ396" s="355"/>
      <c r="AR396" s="360"/>
      <c r="AS396" s="359"/>
      <c r="AT396" s="284"/>
      <c r="AU396" s="355"/>
      <c r="AW396" s="359"/>
      <c r="AX396" s="284"/>
      <c r="AY396" s="355"/>
      <c r="BA396" s="359"/>
      <c r="BB396" s="284"/>
      <c r="BC396" s="355"/>
      <c r="BE396" s="359"/>
      <c r="BF396" s="284"/>
      <c r="BG396" s="355"/>
      <c r="BI396" s="359"/>
      <c r="BJ396" s="284"/>
      <c r="BK396" s="355"/>
      <c r="BM396" s="359"/>
      <c r="BN396" s="284"/>
      <c r="BO396" s="355"/>
      <c r="BQ396" s="359"/>
      <c r="BR396" s="284"/>
      <c r="BS396" s="355"/>
      <c r="BU396" s="359"/>
      <c r="BV396" s="284"/>
    </row>
    <row r="397" spans="2:74" x14ac:dyDescent="0.25">
      <c r="B397" s="284"/>
      <c r="D397" s="355"/>
      <c r="E397" s="356"/>
      <c r="F397" s="357"/>
      <c r="G397" s="358"/>
      <c r="H397" s="359"/>
      <c r="I397" s="284"/>
      <c r="J397" s="287"/>
      <c r="K397" s="355"/>
      <c r="M397" s="359"/>
      <c r="N397" s="284"/>
      <c r="O397" s="355"/>
      <c r="P397" s="360"/>
      <c r="Q397" s="359"/>
      <c r="R397" s="284"/>
      <c r="S397" s="355"/>
      <c r="U397" s="359"/>
      <c r="V397" s="284"/>
      <c r="W397" s="355"/>
      <c r="Y397" s="359"/>
      <c r="Z397" s="284"/>
      <c r="AA397" s="355"/>
      <c r="AC397" s="359"/>
      <c r="AD397" s="284"/>
      <c r="AE397" s="355"/>
      <c r="AG397" s="359"/>
      <c r="AH397" s="284"/>
      <c r="AI397" s="355"/>
      <c r="AK397" s="359"/>
      <c r="AL397" s="284"/>
      <c r="AM397" s="355"/>
      <c r="AO397" s="359"/>
      <c r="AP397" s="284"/>
      <c r="AQ397" s="355"/>
      <c r="AR397" s="360"/>
      <c r="AS397" s="359"/>
      <c r="AT397" s="284"/>
      <c r="AU397" s="355"/>
      <c r="AW397" s="359"/>
      <c r="AX397" s="284"/>
      <c r="AY397" s="355"/>
      <c r="BA397" s="359"/>
      <c r="BB397" s="284"/>
      <c r="BC397" s="355"/>
      <c r="BE397" s="359"/>
      <c r="BF397" s="284"/>
      <c r="BG397" s="355"/>
      <c r="BI397" s="359"/>
      <c r="BJ397" s="284"/>
      <c r="BK397" s="355"/>
      <c r="BM397" s="359"/>
      <c r="BN397" s="284"/>
      <c r="BO397" s="355"/>
      <c r="BQ397" s="359"/>
      <c r="BR397" s="284"/>
      <c r="BS397" s="355"/>
      <c r="BU397" s="359"/>
      <c r="BV397" s="284"/>
    </row>
    <row r="398" spans="2:74" x14ac:dyDescent="0.25">
      <c r="B398" s="284"/>
      <c r="D398" s="355"/>
      <c r="E398" s="356"/>
      <c r="F398" s="357"/>
      <c r="G398" s="358"/>
      <c r="H398" s="359"/>
      <c r="I398" s="284"/>
      <c r="J398" s="287"/>
      <c r="K398" s="355"/>
      <c r="M398" s="359"/>
      <c r="N398" s="284"/>
      <c r="O398" s="355"/>
      <c r="P398" s="360"/>
      <c r="Q398" s="359"/>
      <c r="R398" s="284"/>
      <c r="S398" s="355"/>
      <c r="U398" s="359"/>
      <c r="V398" s="284"/>
      <c r="W398" s="355"/>
      <c r="Y398" s="359"/>
      <c r="Z398" s="284"/>
      <c r="AA398" s="355"/>
      <c r="AC398" s="359"/>
      <c r="AD398" s="284"/>
      <c r="AE398" s="355"/>
      <c r="AG398" s="359"/>
      <c r="AH398" s="284"/>
      <c r="AI398" s="355"/>
      <c r="AK398" s="359"/>
      <c r="AL398" s="284"/>
      <c r="AM398" s="355"/>
      <c r="AO398" s="359"/>
      <c r="AP398" s="284"/>
      <c r="AQ398" s="355"/>
      <c r="AR398" s="360"/>
      <c r="AS398" s="359"/>
      <c r="AT398" s="284"/>
      <c r="AU398" s="355"/>
      <c r="AW398" s="359"/>
      <c r="AX398" s="284"/>
      <c r="AY398" s="355"/>
      <c r="BA398" s="359"/>
      <c r="BB398" s="284"/>
      <c r="BC398" s="355"/>
      <c r="BE398" s="359"/>
      <c r="BF398" s="284"/>
      <c r="BG398" s="355"/>
      <c r="BI398" s="359"/>
      <c r="BJ398" s="284"/>
      <c r="BK398" s="355"/>
      <c r="BM398" s="359"/>
      <c r="BN398" s="284"/>
      <c r="BO398" s="355"/>
      <c r="BQ398" s="359"/>
      <c r="BR398" s="284"/>
      <c r="BS398" s="355"/>
      <c r="BU398" s="359"/>
      <c r="BV398" s="284"/>
    </row>
    <row r="399" spans="2:74" x14ac:dyDescent="0.25">
      <c r="B399" s="284"/>
      <c r="D399" s="355"/>
      <c r="E399" s="356"/>
      <c r="F399" s="357"/>
      <c r="G399" s="358"/>
      <c r="H399" s="359"/>
      <c r="I399" s="284"/>
      <c r="J399" s="287"/>
      <c r="K399" s="355"/>
      <c r="M399" s="359"/>
      <c r="N399" s="284"/>
      <c r="O399" s="355"/>
      <c r="P399" s="360"/>
      <c r="Q399" s="359"/>
      <c r="R399" s="284"/>
      <c r="S399" s="355"/>
      <c r="U399" s="359"/>
      <c r="V399" s="284"/>
      <c r="W399" s="355"/>
      <c r="Y399" s="359"/>
      <c r="Z399" s="284"/>
      <c r="AA399" s="355"/>
      <c r="AC399" s="359"/>
      <c r="AD399" s="284"/>
      <c r="AE399" s="355"/>
      <c r="AG399" s="359"/>
      <c r="AH399" s="284"/>
      <c r="AI399" s="355"/>
      <c r="AK399" s="359"/>
      <c r="AL399" s="284"/>
      <c r="AM399" s="355"/>
      <c r="AO399" s="359"/>
      <c r="AP399" s="284"/>
      <c r="AQ399" s="355"/>
      <c r="AR399" s="360"/>
      <c r="AS399" s="359"/>
      <c r="AT399" s="284"/>
      <c r="AU399" s="355"/>
      <c r="AW399" s="359"/>
      <c r="AX399" s="284"/>
      <c r="AY399" s="355"/>
      <c r="BA399" s="359"/>
      <c r="BB399" s="284"/>
      <c r="BC399" s="355"/>
      <c r="BE399" s="359"/>
      <c r="BF399" s="284"/>
      <c r="BG399" s="355"/>
      <c r="BI399" s="359"/>
      <c r="BJ399" s="284"/>
      <c r="BK399" s="355"/>
      <c r="BM399" s="359"/>
      <c r="BN399" s="284"/>
      <c r="BO399" s="355"/>
      <c r="BQ399" s="359"/>
      <c r="BR399" s="284"/>
      <c r="BS399" s="355"/>
      <c r="BU399" s="359"/>
      <c r="BV399" s="284"/>
    </row>
    <row r="400" spans="2:74" x14ac:dyDescent="0.25">
      <c r="B400" s="284"/>
      <c r="D400" s="355"/>
      <c r="E400" s="356"/>
      <c r="F400" s="357"/>
      <c r="G400" s="358"/>
      <c r="H400" s="359"/>
      <c r="I400" s="284"/>
      <c r="J400" s="287"/>
      <c r="K400" s="355"/>
      <c r="M400" s="359"/>
      <c r="N400" s="284"/>
      <c r="O400" s="355"/>
      <c r="P400" s="360"/>
      <c r="Q400" s="359"/>
      <c r="R400" s="284"/>
      <c r="S400" s="355"/>
      <c r="U400" s="359"/>
      <c r="V400" s="284"/>
      <c r="W400" s="355"/>
      <c r="Y400" s="359"/>
      <c r="Z400" s="284"/>
      <c r="AA400" s="355"/>
      <c r="AC400" s="359"/>
      <c r="AD400" s="284"/>
      <c r="AE400" s="355"/>
      <c r="AG400" s="359"/>
      <c r="AH400" s="284"/>
      <c r="AI400" s="355"/>
      <c r="AK400" s="359"/>
      <c r="AL400" s="284"/>
      <c r="AM400" s="355"/>
      <c r="AO400" s="359"/>
      <c r="AP400" s="284"/>
      <c r="AQ400" s="355"/>
      <c r="AR400" s="360"/>
      <c r="AS400" s="359"/>
      <c r="AT400" s="284"/>
      <c r="AU400" s="355"/>
      <c r="AW400" s="359"/>
      <c r="AX400" s="284"/>
      <c r="AY400" s="355"/>
      <c r="BA400" s="359"/>
      <c r="BB400" s="284"/>
      <c r="BC400" s="355"/>
      <c r="BE400" s="359"/>
      <c r="BF400" s="284"/>
      <c r="BG400" s="355"/>
      <c r="BI400" s="359"/>
      <c r="BJ400" s="284"/>
      <c r="BK400" s="355"/>
      <c r="BM400" s="359"/>
      <c r="BN400" s="284"/>
      <c r="BO400" s="355"/>
      <c r="BQ400" s="359"/>
      <c r="BR400" s="284"/>
      <c r="BS400" s="355"/>
      <c r="BU400" s="359"/>
      <c r="BV400" s="284"/>
    </row>
    <row r="401" spans="2:74" x14ac:dyDescent="0.25">
      <c r="B401" s="284"/>
      <c r="D401" s="355"/>
      <c r="E401" s="356"/>
      <c r="F401" s="357"/>
      <c r="G401" s="358"/>
      <c r="H401" s="359"/>
      <c r="I401" s="284"/>
      <c r="J401" s="287"/>
      <c r="K401" s="355"/>
      <c r="M401" s="359"/>
      <c r="N401" s="284"/>
      <c r="O401" s="355"/>
      <c r="P401" s="360"/>
      <c r="Q401" s="359"/>
      <c r="R401" s="284"/>
      <c r="S401" s="355"/>
      <c r="U401" s="359"/>
      <c r="V401" s="284"/>
      <c r="W401" s="355"/>
      <c r="Y401" s="359"/>
      <c r="Z401" s="284"/>
      <c r="AA401" s="355"/>
      <c r="AC401" s="359"/>
      <c r="AD401" s="284"/>
      <c r="AE401" s="355"/>
      <c r="AG401" s="359"/>
      <c r="AH401" s="284"/>
      <c r="AI401" s="355"/>
      <c r="AK401" s="359"/>
      <c r="AL401" s="284"/>
      <c r="AM401" s="355"/>
      <c r="AO401" s="359"/>
      <c r="AP401" s="284"/>
      <c r="AQ401" s="355"/>
      <c r="AR401" s="360"/>
      <c r="AS401" s="359"/>
      <c r="AT401" s="284"/>
      <c r="AU401" s="355"/>
      <c r="AW401" s="359"/>
      <c r="AX401" s="284"/>
      <c r="AY401" s="355"/>
      <c r="BA401" s="359"/>
      <c r="BB401" s="284"/>
      <c r="BC401" s="355"/>
      <c r="BE401" s="359"/>
      <c r="BF401" s="284"/>
      <c r="BG401" s="355"/>
      <c r="BI401" s="359"/>
      <c r="BJ401" s="284"/>
      <c r="BK401" s="355"/>
      <c r="BM401" s="359"/>
      <c r="BN401" s="284"/>
      <c r="BO401" s="355"/>
      <c r="BQ401" s="359"/>
      <c r="BR401" s="284"/>
      <c r="BS401" s="355"/>
      <c r="BU401" s="359"/>
      <c r="BV401" s="284"/>
    </row>
    <row r="402" spans="2:74" x14ac:dyDescent="0.25">
      <c r="B402" s="284"/>
      <c r="D402" s="355"/>
      <c r="E402" s="356"/>
      <c r="F402" s="357"/>
      <c r="G402" s="358"/>
      <c r="H402" s="359"/>
      <c r="I402" s="284"/>
      <c r="J402" s="287"/>
      <c r="K402" s="355"/>
      <c r="M402" s="359"/>
      <c r="N402" s="284"/>
      <c r="O402" s="355"/>
      <c r="P402" s="360"/>
      <c r="Q402" s="359"/>
      <c r="R402" s="284"/>
      <c r="S402" s="355"/>
      <c r="U402" s="359"/>
      <c r="V402" s="284"/>
      <c r="W402" s="355"/>
      <c r="Y402" s="359"/>
      <c r="Z402" s="284"/>
      <c r="AA402" s="355"/>
      <c r="AC402" s="359"/>
      <c r="AD402" s="284"/>
      <c r="AE402" s="355"/>
      <c r="AG402" s="359"/>
      <c r="AH402" s="284"/>
      <c r="AI402" s="355"/>
      <c r="AK402" s="359"/>
      <c r="AL402" s="284"/>
      <c r="AM402" s="355"/>
      <c r="AO402" s="359"/>
      <c r="AP402" s="284"/>
      <c r="AQ402" s="355"/>
      <c r="AR402" s="360"/>
      <c r="AS402" s="359"/>
      <c r="AT402" s="284"/>
      <c r="AU402" s="355"/>
      <c r="AW402" s="359"/>
      <c r="AX402" s="284"/>
      <c r="AY402" s="355"/>
      <c r="BA402" s="359"/>
      <c r="BB402" s="284"/>
      <c r="BC402" s="355"/>
      <c r="BE402" s="359"/>
      <c r="BF402" s="284"/>
      <c r="BG402" s="355"/>
      <c r="BI402" s="359"/>
      <c r="BJ402" s="284"/>
      <c r="BK402" s="355"/>
      <c r="BM402" s="359"/>
      <c r="BN402" s="284"/>
      <c r="BO402" s="355"/>
      <c r="BQ402" s="359"/>
      <c r="BR402" s="284"/>
      <c r="BS402" s="355"/>
      <c r="BU402" s="359"/>
      <c r="BV402" s="284"/>
    </row>
    <row r="403" spans="2:74" x14ac:dyDescent="0.25">
      <c r="B403" s="284"/>
      <c r="D403" s="355"/>
      <c r="E403" s="356"/>
      <c r="F403" s="357"/>
      <c r="G403" s="358"/>
      <c r="H403" s="359"/>
      <c r="I403" s="284"/>
      <c r="J403" s="287"/>
      <c r="K403" s="355"/>
      <c r="M403" s="359"/>
      <c r="N403" s="284"/>
      <c r="O403" s="355"/>
      <c r="P403" s="360"/>
      <c r="Q403" s="359"/>
      <c r="R403" s="284"/>
      <c r="S403" s="355"/>
      <c r="U403" s="359"/>
      <c r="V403" s="284"/>
      <c r="W403" s="355"/>
      <c r="Y403" s="359"/>
      <c r="Z403" s="284"/>
      <c r="AA403" s="355"/>
      <c r="AC403" s="359"/>
      <c r="AD403" s="284"/>
      <c r="AE403" s="355"/>
      <c r="AG403" s="359"/>
      <c r="AH403" s="284"/>
      <c r="AI403" s="355"/>
      <c r="AK403" s="359"/>
      <c r="AL403" s="284"/>
      <c r="AM403" s="355"/>
      <c r="AO403" s="359"/>
      <c r="AP403" s="284"/>
      <c r="AQ403" s="355"/>
      <c r="AR403" s="360"/>
      <c r="AS403" s="359"/>
      <c r="AT403" s="284"/>
      <c r="AU403" s="355"/>
      <c r="AW403" s="359"/>
      <c r="AX403" s="284"/>
      <c r="AY403" s="355"/>
      <c r="BA403" s="359"/>
      <c r="BB403" s="284"/>
      <c r="BC403" s="355"/>
      <c r="BE403" s="359"/>
      <c r="BF403" s="284"/>
      <c r="BG403" s="355"/>
      <c r="BI403" s="359"/>
      <c r="BJ403" s="284"/>
      <c r="BK403" s="355"/>
      <c r="BM403" s="359"/>
      <c r="BN403" s="284"/>
      <c r="BO403" s="355"/>
      <c r="BQ403" s="359"/>
      <c r="BR403" s="284"/>
      <c r="BS403" s="355"/>
      <c r="BU403" s="359"/>
      <c r="BV403" s="284"/>
    </row>
    <row r="404" spans="2:74" x14ac:dyDescent="0.25">
      <c r="B404" s="284"/>
      <c r="D404" s="355"/>
      <c r="E404" s="356"/>
      <c r="F404" s="357"/>
      <c r="G404" s="358"/>
      <c r="H404" s="359"/>
      <c r="I404" s="284"/>
      <c r="J404" s="287"/>
      <c r="K404" s="355"/>
      <c r="M404" s="359"/>
      <c r="N404" s="284"/>
      <c r="O404" s="355"/>
      <c r="P404" s="360"/>
      <c r="Q404" s="359"/>
      <c r="R404" s="284"/>
      <c r="S404" s="355"/>
      <c r="U404" s="359"/>
      <c r="V404" s="284"/>
      <c r="W404" s="355"/>
      <c r="Y404" s="359"/>
      <c r="Z404" s="284"/>
      <c r="AA404" s="355"/>
      <c r="AC404" s="359"/>
      <c r="AD404" s="284"/>
      <c r="AE404" s="355"/>
      <c r="AG404" s="359"/>
      <c r="AH404" s="284"/>
      <c r="AI404" s="355"/>
      <c r="AK404" s="359"/>
      <c r="AL404" s="284"/>
      <c r="AM404" s="355"/>
      <c r="AO404" s="359"/>
      <c r="AP404" s="284"/>
      <c r="AQ404" s="355"/>
      <c r="AR404" s="360"/>
      <c r="AS404" s="359"/>
      <c r="AT404" s="284"/>
      <c r="AU404" s="355"/>
      <c r="AW404" s="359"/>
      <c r="AX404" s="284"/>
      <c r="AY404" s="355"/>
      <c r="BA404" s="359"/>
      <c r="BB404" s="284"/>
      <c r="BC404" s="355"/>
      <c r="BE404" s="359"/>
      <c r="BF404" s="284"/>
      <c r="BG404" s="355"/>
      <c r="BI404" s="359"/>
      <c r="BJ404" s="284"/>
      <c r="BK404" s="355"/>
      <c r="BM404" s="359"/>
      <c r="BN404" s="284"/>
      <c r="BO404" s="355"/>
      <c r="BQ404" s="359"/>
      <c r="BR404" s="284"/>
      <c r="BS404" s="355"/>
      <c r="BU404" s="359"/>
      <c r="BV404" s="284"/>
    </row>
    <row r="405" spans="2:74" x14ac:dyDescent="0.25">
      <c r="B405" s="284"/>
      <c r="D405" s="355"/>
      <c r="E405" s="356"/>
      <c r="F405" s="357"/>
      <c r="G405" s="358"/>
      <c r="H405" s="359"/>
      <c r="I405" s="284"/>
      <c r="J405" s="287"/>
      <c r="K405" s="355"/>
      <c r="M405" s="359"/>
      <c r="N405" s="284"/>
      <c r="O405" s="355"/>
      <c r="P405" s="360"/>
      <c r="Q405" s="359"/>
      <c r="R405" s="284"/>
      <c r="S405" s="355"/>
      <c r="U405" s="359"/>
      <c r="V405" s="284"/>
      <c r="W405" s="355"/>
      <c r="Y405" s="359"/>
      <c r="Z405" s="284"/>
      <c r="AA405" s="355"/>
      <c r="AC405" s="359"/>
      <c r="AD405" s="284"/>
      <c r="AE405" s="355"/>
      <c r="AG405" s="359"/>
      <c r="AH405" s="284"/>
      <c r="AI405" s="355"/>
      <c r="AK405" s="359"/>
      <c r="AL405" s="284"/>
      <c r="AM405" s="355"/>
      <c r="AO405" s="359"/>
      <c r="AP405" s="284"/>
      <c r="AQ405" s="355"/>
      <c r="AR405" s="360"/>
      <c r="AS405" s="359"/>
      <c r="AT405" s="284"/>
      <c r="AU405" s="355"/>
      <c r="AW405" s="359"/>
      <c r="AX405" s="284"/>
      <c r="AY405" s="355"/>
      <c r="BA405" s="359"/>
      <c r="BB405" s="284"/>
      <c r="BC405" s="355"/>
      <c r="BE405" s="359"/>
      <c r="BF405" s="284"/>
      <c r="BG405" s="355"/>
      <c r="BI405" s="359"/>
      <c r="BJ405" s="284"/>
      <c r="BK405" s="355"/>
      <c r="BM405" s="359"/>
      <c r="BN405" s="284"/>
      <c r="BO405" s="355"/>
      <c r="BQ405" s="359"/>
      <c r="BR405" s="284"/>
      <c r="BS405" s="355"/>
      <c r="BU405" s="359"/>
      <c r="BV405" s="284"/>
    </row>
    <row r="406" spans="2:74" x14ac:dyDescent="0.25">
      <c r="B406" s="284"/>
      <c r="D406" s="355"/>
      <c r="E406" s="356"/>
      <c r="F406" s="357"/>
      <c r="G406" s="358"/>
      <c r="H406" s="359"/>
      <c r="I406" s="284"/>
      <c r="J406" s="287"/>
      <c r="K406" s="355"/>
      <c r="M406" s="359"/>
      <c r="N406" s="284"/>
      <c r="O406" s="355"/>
      <c r="P406" s="360"/>
      <c r="Q406" s="359"/>
      <c r="R406" s="284"/>
      <c r="S406" s="355"/>
      <c r="U406" s="359"/>
      <c r="V406" s="284"/>
      <c r="W406" s="355"/>
      <c r="Y406" s="359"/>
      <c r="Z406" s="284"/>
      <c r="AA406" s="355"/>
      <c r="AC406" s="359"/>
      <c r="AD406" s="284"/>
      <c r="AE406" s="355"/>
      <c r="AG406" s="359"/>
      <c r="AH406" s="284"/>
      <c r="AI406" s="355"/>
      <c r="AK406" s="359"/>
      <c r="AL406" s="284"/>
      <c r="AM406" s="355"/>
      <c r="AO406" s="359"/>
      <c r="AP406" s="284"/>
      <c r="AQ406" s="355"/>
      <c r="AR406" s="360"/>
      <c r="AS406" s="359"/>
      <c r="AT406" s="284"/>
      <c r="AU406" s="355"/>
      <c r="AW406" s="359"/>
      <c r="AX406" s="284"/>
      <c r="AY406" s="355"/>
      <c r="BA406" s="359"/>
      <c r="BB406" s="284"/>
      <c r="BC406" s="355"/>
      <c r="BE406" s="359"/>
      <c r="BF406" s="284"/>
      <c r="BG406" s="355"/>
      <c r="BI406" s="359"/>
      <c r="BJ406" s="284"/>
      <c r="BK406" s="355"/>
      <c r="BM406" s="359"/>
      <c r="BN406" s="284"/>
      <c r="BO406" s="355"/>
      <c r="BQ406" s="359"/>
      <c r="BR406" s="284"/>
      <c r="BS406" s="355"/>
      <c r="BU406" s="359"/>
      <c r="BV406" s="284"/>
    </row>
    <row r="407" spans="2:74" x14ac:dyDescent="0.25">
      <c r="B407" s="284"/>
      <c r="D407" s="355"/>
      <c r="E407" s="356"/>
      <c r="F407" s="357"/>
      <c r="G407" s="358"/>
      <c r="H407" s="359"/>
      <c r="I407" s="284"/>
      <c r="J407" s="287"/>
      <c r="K407" s="355"/>
      <c r="M407" s="359"/>
      <c r="N407" s="284"/>
      <c r="O407" s="355"/>
      <c r="P407" s="360"/>
      <c r="Q407" s="359"/>
      <c r="R407" s="284"/>
      <c r="S407" s="355"/>
      <c r="U407" s="359"/>
      <c r="V407" s="284"/>
      <c r="W407" s="355"/>
      <c r="Y407" s="359"/>
      <c r="Z407" s="284"/>
      <c r="AA407" s="355"/>
      <c r="AC407" s="359"/>
      <c r="AD407" s="284"/>
      <c r="AE407" s="355"/>
      <c r="AG407" s="359"/>
      <c r="AH407" s="284"/>
      <c r="AI407" s="355"/>
      <c r="AK407" s="359"/>
      <c r="AL407" s="284"/>
      <c r="AM407" s="355"/>
      <c r="AO407" s="359"/>
      <c r="AP407" s="284"/>
      <c r="AQ407" s="355"/>
      <c r="AR407" s="360"/>
      <c r="AS407" s="359"/>
      <c r="AT407" s="284"/>
      <c r="AU407" s="355"/>
      <c r="AW407" s="359"/>
      <c r="AX407" s="284"/>
      <c r="AY407" s="355"/>
      <c r="BA407" s="359"/>
      <c r="BB407" s="284"/>
      <c r="BC407" s="355"/>
      <c r="BE407" s="359"/>
      <c r="BF407" s="284"/>
      <c r="BG407" s="355"/>
      <c r="BI407" s="359"/>
      <c r="BJ407" s="284"/>
      <c r="BK407" s="355"/>
      <c r="BM407" s="359"/>
      <c r="BN407" s="284"/>
      <c r="BO407" s="355"/>
      <c r="BQ407" s="359"/>
      <c r="BR407" s="284"/>
      <c r="BS407" s="355"/>
      <c r="BU407" s="359"/>
      <c r="BV407" s="284"/>
    </row>
    <row r="408" spans="2:74" x14ac:dyDescent="0.25">
      <c r="B408" s="284"/>
      <c r="D408" s="355"/>
      <c r="E408" s="356"/>
      <c r="F408" s="357"/>
      <c r="G408" s="358"/>
      <c r="H408" s="359"/>
      <c r="I408" s="284"/>
      <c r="J408" s="287"/>
      <c r="K408" s="355"/>
      <c r="M408" s="359"/>
      <c r="N408" s="284"/>
      <c r="O408" s="355"/>
      <c r="P408" s="360"/>
      <c r="Q408" s="359"/>
      <c r="R408" s="284"/>
      <c r="S408" s="355"/>
      <c r="U408" s="359"/>
      <c r="V408" s="284"/>
      <c r="W408" s="355"/>
      <c r="Y408" s="359"/>
      <c r="Z408" s="284"/>
      <c r="AA408" s="355"/>
      <c r="AC408" s="359"/>
      <c r="AD408" s="284"/>
      <c r="AE408" s="355"/>
      <c r="AG408" s="359"/>
      <c r="AH408" s="284"/>
      <c r="AI408" s="355"/>
      <c r="AK408" s="359"/>
      <c r="AL408" s="284"/>
      <c r="AM408" s="355"/>
      <c r="AO408" s="359"/>
      <c r="AP408" s="284"/>
      <c r="AQ408" s="355"/>
      <c r="AR408" s="360"/>
      <c r="AS408" s="359"/>
      <c r="AT408" s="284"/>
      <c r="AU408" s="355"/>
      <c r="AW408" s="359"/>
      <c r="AX408" s="284"/>
      <c r="AY408" s="355"/>
      <c r="BA408" s="359"/>
      <c r="BB408" s="284"/>
      <c r="BC408" s="355"/>
      <c r="BE408" s="359"/>
      <c r="BF408" s="284"/>
      <c r="BG408" s="355"/>
      <c r="BI408" s="359"/>
      <c r="BJ408" s="284"/>
      <c r="BK408" s="355"/>
      <c r="BM408" s="359"/>
      <c r="BN408" s="284"/>
      <c r="BO408" s="355"/>
      <c r="BQ408" s="359"/>
      <c r="BR408" s="284"/>
      <c r="BS408" s="355"/>
      <c r="BU408" s="359"/>
      <c r="BV408" s="284"/>
    </row>
    <row r="409" spans="2:74" x14ac:dyDescent="0.25">
      <c r="B409" s="284"/>
      <c r="D409" s="355"/>
      <c r="E409" s="356"/>
      <c r="F409" s="357"/>
      <c r="G409" s="358"/>
      <c r="H409" s="359"/>
      <c r="I409" s="284"/>
      <c r="J409" s="287"/>
      <c r="K409" s="355"/>
      <c r="M409" s="359"/>
      <c r="N409" s="284"/>
      <c r="O409" s="355"/>
      <c r="P409" s="360"/>
      <c r="Q409" s="359"/>
      <c r="R409" s="284"/>
      <c r="S409" s="355"/>
      <c r="U409" s="359"/>
      <c r="V409" s="284"/>
      <c r="W409" s="355"/>
      <c r="Y409" s="359"/>
      <c r="Z409" s="284"/>
      <c r="AA409" s="355"/>
      <c r="AC409" s="359"/>
      <c r="AD409" s="284"/>
      <c r="AE409" s="355"/>
      <c r="AG409" s="359"/>
      <c r="AH409" s="284"/>
      <c r="AI409" s="355"/>
      <c r="AK409" s="359"/>
      <c r="AL409" s="284"/>
      <c r="AM409" s="355"/>
      <c r="AO409" s="359"/>
      <c r="AP409" s="284"/>
      <c r="AQ409" s="355"/>
      <c r="AR409" s="360"/>
      <c r="AS409" s="359"/>
      <c r="AT409" s="284"/>
      <c r="AU409" s="355"/>
      <c r="AW409" s="359"/>
      <c r="AX409" s="284"/>
      <c r="AY409" s="355"/>
      <c r="BA409" s="359"/>
      <c r="BB409" s="284"/>
      <c r="BC409" s="355"/>
      <c r="BE409" s="359"/>
      <c r="BF409" s="284"/>
      <c r="BG409" s="355"/>
      <c r="BI409" s="359"/>
      <c r="BJ409" s="284"/>
      <c r="BK409" s="355"/>
      <c r="BM409" s="359"/>
      <c r="BN409" s="284"/>
      <c r="BO409" s="355"/>
      <c r="BQ409" s="359"/>
      <c r="BR409" s="284"/>
      <c r="BS409" s="355"/>
      <c r="BU409" s="359"/>
      <c r="BV409" s="284"/>
    </row>
    <row r="410" spans="2:74" x14ac:dyDescent="0.25">
      <c r="B410" s="284"/>
      <c r="D410" s="355"/>
      <c r="E410" s="356"/>
      <c r="F410" s="357"/>
      <c r="G410" s="358"/>
      <c r="H410" s="359"/>
      <c r="I410" s="284"/>
      <c r="J410" s="287"/>
      <c r="K410" s="355"/>
      <c r="M410" s="359"/>
      <c r="N410" s="284"/>
      <c r="O410" s="355"/>
      <c r="P410" s="360"/>
      <c r="Q410" s="359"/>
      <c r="R410" s="284"/>
      <c r="S410" s="355"/>
      <c r="U410" s="359"/>
      <c r="V410" s="284"/>
      <c r="W410" s="355"/>
      <c r="Y410" s="359"/>
      <c r="Z410" s="284"/>
      <c r="AA410" s="355"/>
      <c r="AC410" s="359"/>
      <c r="AD410" s="284"/>
      <c r="AE410" s="355"/>
      <c r="AG410" s="359"/>
      <c r="AH410" s="284"/>
      <c r="AI410" s="355"/>
      <c r="AK410" s="359"/>
      <c r="AL410" s="284"/>
      <c r="AM410" s="355"/>
      <c r="AO410" s="359"/>
      <c r="AP410" s="284"/>
      <c r="AQ410" s="355"/>
      <c r="AR410" s="360"/>
      <c r="AS410" s="359"/>
      <c r="AT410" s="284"/>
      <c r="AU410" s="355"/>
      <c r="AW410" s="359"/>
      <c r="AX410" s="284"/>
      <c r="AY410" s="355"/>
      <c r="BA410" s="359"/>
      <c r="BB410" s="284"/>
      <c r="BC410" s="355"/>
      <c r="BE410" s="359"/>
      <c r="BF410" s="284"/>
      <c r="BG410" s="355"/>
      <c r="BI410" s="359"/>
      <c r="BJ410" s="284"/>
      <c r="BK410" s="355"/>
      <c r="BM410" s="359"/>
      <c r="BN410" s="284"/>
      <c r="BO410" s="355"/>
      <c r="BQ410" s="359"/>
      <c r="BR410" s="284"/>
      <c r="BS410" s="355"/>
      <c r="BU410" s="359"/>
      <c r="BV410" s="284"/>
    </row>
    <row r="411" spans="2:74" x14ac:dyDescent="0.25">
      <c r="B411" s="284"/>
      <c r="D411" s="355"/>
      <c r="E411" s="356"/>
      <c r="F411" s="357"/>
      <c r="G411" s="358"/>
      <c r="H411" s="359"/>
      <c r="I411" s="284"/>
      <c r="J411" s="287"/>
      <c r="K411" s="355"/>
      <c r="M411" s="359"/>
      <c r="N411" s="284"/>
      <c r="O411" s="355"/>
      <c r="P411" s="360"/>
      <c r="Q411" s="359"/>
      <c r="R411" s="284"/>
      <c r="S411" s="355"/>
      <c r="U411" s="359"/>
      <c r="V411" s="284"/>
      <c r="W411" s="355"/>
      <c r="Y411" s="359"/>
      <c r="Z411" s="284"/>
      <c r="AA411" s="355"/>
      <c r="AC411" s="359"/>
      <c r="AD411" s="284"/>
      <c r="AE411" s="355"/>
      <c r="AG411" s="359"/>
      <c r="AH411" s="284"/>
      <c r="AI411" s="355"/>
      <c r="AK411" s="359"/>
      <c r="AL411" s="284"/>
      <c r="AM411" s="355"/>
      <c r="AO411" s="359"/>
      <c r="AP411" s="284"/>
      <c r="AQ411" s="355"/>
      <c r="AR411" s="360"/>
      <c r="AS411" s="359"/>
      <c r="AT411" s="284"/>
      <c r="AU411" s="355"/>
      <c r="AW411" s="359"/>
      <c r="AX411" s="284"/>
      <c r="AY411" s="355"/>
      <c r="BA411" s="359"/>
      <c r="BB411" s="284"/>
      <c r="BC411" s="355"/>
      <c r="BE411" s="359"/>
      <c r="BF411" s="284"/>
      <c r="BG411" s="355"/>
      <c r="BI411" s="359"/>
      <c r="BJ411" s="284"/>
      <c r="BK411" s="355"/>
      <c r="BM411" s="359"/>
      <c r="BN411" s="284"/>
      <c r="BO411" s="355"/>
      <c r="BQ411" s="359"/>
      <c r="BR411" s="284"/>
      <c r="BS411" s="355"/>
      <c r="BU411" s="359"/>
      <c r="BV411" s="284"/>
    </row>
    <row r="412" spans="2:74" x14ac:dyDescent="0.25">
      <c r="B412" s="284"/>
      <c r="D412" s="355"/>
      <c r="E412" s="356"/>
      <c r="F412" s="357"/>
      <c r="G412" s="358"/>
      <c r="H412" s="359"/>
      <c r="I412" s="284"/>
      <c r="J412" s="287"/>
      <c r="K412" s="355"/>
      <c r="M412" s="359"/>
      <c r="N412" s="284"/>
      <c r="O412" s="355"/>
      <c r="P412" s="360"/>
      <c r="Q412" s="359"/>
      <c r="R412" s="284"/>
      <c r="S412" s="355"/>
      <c r="U412" s="359"/>
      <c r="V412" s="284"/>
      <c r="W412" s="355"/>
      <c r="Y412" s="359"/>
      <c r="Z412" s="284"/>
      <c r="AA412" s="355"/>
      <c r="AC412" s="359"/>
      <c r="AD412" s="284"/>
      <c r="AE412" s="355"/>
      <c r="AG412" s="359"/>
      <c r="AH412" s="284"/>
      <c r="AI412" s="355"/>
      <c r="AK412" s="359"/>
      <c r="AL412" s="284"/>
      <c r="AM412" s="355"/>
      <c r="AO412" s="359"/>
      <c r="AP412" s="284"/>
      <c r="AQ412" s="355"/>
      <c r="AR412" s="360"/>
      <c r="AS412" s="359"/>
      <c r="AT412" s="284"/>
      <c r="AU412" s="355"/>
      <c r="AW412" s="359"/>
      <c r="AX412" s="284"/>
      <c r="AY412" s="355"/>
      <c r="BA412" s="359"/>
      <c r="BB412" s="284"/>
      <c r="BC412" s="355"/>
      <c r="BE412" s="359"/>
      <c r="BF412" s="284"/>
      <c r="BG412" s="355"/>
      <c r="BI412" s="359"/>
      <c r="BJ412" s="284"/>
      <c r="BK412" s="355"/>
      <c r="BM412" s="359"/>
      <c r="BN412" s="284"/>
      <c r="BO412" s="355"/>
      <c r="BQ412" s="359"/>
      <c r="BR412" s="284"/>
      <c r="BS412" s="355"/>
      <c r="BU412" s="359"/>
      <c r="BV412" s="284"/>
    </row>
    <row r="413" spans="2:74" x14ac:dyDescent="0.25">
      <c r="B413" s="284"/>
      <c r="D413" s="355"/>
      <c r="E413" s="356"/>
      <c r="F413" s="357"/>
      <c r="G413" s="358"/>
      <c r="H413" s="359"/>
      <c r="I413" s="284"/>
      <c r="J413" s="287"/>
      <c r="K413" s="355"/>
      <c r="M413" s="359"/>
      <c r="N413" s="284"/>
      <c r="O413" s="355"/>
      <c r="P413" s="360"/>
      <c r="Q413" s="359"/>
      <c r="R413" s="284"/>
      <c r="S413" s="355"/>
      <c r="U413" s="359"/>
      <c r="V413" s="284"/>
      <c r="W413" s="355"/>
      <c r="Y413" s="359"/>
      <c r="Z413" s="284"/>
      <c r="AA413" s="355"/>
      <c r="AC413" s="359"/>
      <c r="AD413" s="284"/>
      <c r="AE413" s="355"/>
      <c r="AG413" s="359"/>
      <c r="AH413" s="284"/>
      <c r="AI413" s="355"/>
      <c r="AK413" s="359"/>
      <c r="AL413" s="284"/>
      <c r="AM413" s="355"/>
      <c r="AO413" s="359"/>
      <c r="AP413" s="284"/>
      <c r="AQ413" s="355"/>
      <c r="AR413" s="360"/>
      <c r="AS413" s="359"/>
      <c r="AT413" s="284"/>
      <c r="AU413" s="355"/>
      <c r="AW413" s="359"/>
      <c r="AX413" s="284"/>
      <c r="AY413" s="355"/>
      <c r="BA413" s="359"/>
      <c r="BB413" s="284"/>
      <c r="BC413" s="355"/>
      <c r="BE413" s="359"/>
      <c r="BF413" s="284"/>
      <c r="BG413" s="355"/>
      <c r="BI413" s="359"/>
      <c r="BJ413" s="284"/>
      <c r="BK413" s="355"/>
      <c r="BM413" s="359"/>
      <c r="BN413" s="284"/>
      <c r="BO413" s="355"/>
      <c r="BQ413" s="359"/>
      <c r="BR413" s="284"/>
      <c r="BS413" s="355"/>
      <c r="BU413" s="359"/>
      <c r="BV413" s="284"/>
    </row>
    <row r="414" spans="2:74" x14ac:dyDescent="0.25">
      <c r="B414" s="284"/>
      <c r="D414" s="355"/>
      <c r="E414" s="356"/>
      <c r="F414" s="357"/>
      <c r="G414" s="358"/>
      <c r="H414" s="359"/>
      <c r="I414" s="284"/>
      <c r="J414" s="287"/>
      <c r="K414" s="355"/>
      <c r="M414" s="359"/>
      <c r="N414" s="284"/>
      <c r="O414" s="355"/>
      <c r="P414" s="360"/>
      <c r="Q414" s="359"/>
      <c r="R414" s="284"/>
      <c r="S414" s="355"/>
      <c r="U414" s="359"/>
      <c r="V414" s="284"/>
      <c r="W414" s="355"/>
      <c r="Y414" s="359"/>
      <c r="Z414" s="284"/>
      <c r="AA414" s="355"/>
      <c r="AC414" s="359"/>
      <c r="AD414" s="284"/>
      <c r="AE414" s="355"/>
      <c r="AG414" s="359"/>
      <c r="AH414" s="284"/>
      <c r="AI414" s="355"/>
      <c r="AK414" s="359"/>
      <c r="AL414" s="284"/>
      <c r="AM414" s="355"/>
      <c r="AO414" s="359"/>
      <c r="AP414" s="284"/>
      <c r="AQ414" s="355"/>
      <c r="AR414" s="360"/>
      <c r="AS414" s="359"/>
      <c r="AT414" s="284"/>
      <c r="AU414" s="355"/>
      <c r="AW414" s="359"/>
      <c r="AX414" s="284"/>
      <c r="AY414" s="355"/>
      <c r="BA414" s="359"/>
      <c r="BB414" s="284"/>
      <c r="BC414" s="355"/>
      <c r="BE414" s="359"/>
      <c r="BF414" s="284"/>
      <c r="BG414" s="355"/>
      <c r="BI414" s="359"/>
      <c r="BJ414" s="284"/>
      <c r="BK414" s="355"/>
      <c r="BM414" s="359"/>
      <c r="BN414" s="284"/>
      <c r="BO414" s="355"/>
      <c r="BQ414" s="359"/>
      <c r="BR414" s="284"/>
      <c r="BS414" s="355"/>
      <c r="BU414" s="359"/>
      <c r="BV414" s="284"/>
    </row>
    <row r="415" spans="2:74" x14ac:dyDescent="0.25">
      <c r="B415" s="284"/>
      <c r="D415" s="355"/>
      <c r="E415" s="356"/>
      <c r="F415" s="357"/>
      <c r="G415" s="358"/>
      <c r="H415" s="359"/>
      <c r="I415" s="284"/>
      <c r="J415" s="287"/>
      <c r="K415" s="355"/>
      <c r="M415" s="359"/>
      <c r="N415" s="284"/>
      <c r="O415" s="355"/>
      <c r="P415" s="360"/>
      <c r="Q415" s="359"/>
      <c r="R415" s="284"/>
      <c r="S415" s="355"/>
      <c r="U415" s="359"/>
      <c r="V415" s="284"/>
      <c r="W415" s="355"/>
      <c r="Y415" s="359"/>
      <c r="Z415" s="284"/>
      <c r="AA415" s="355"/>
      <c r="AC415" s="359"/>
      <c r="AD415" s="284"/>
      <c r="AE415" s="355"/>
      <c r="AG415" s="359"/>
      <c r="AH415" s="284"/>
      <c r="AI415" s="355"/>
      <c r="AK415" s="359"/>
      <c r="AL415" s="284"/>
      <c r="AM415" s="355"/>
      <c r="AO415" s="359"/>
      <c r="AP415" s="284"/>
      <c r="AQ415" s="355"/>
      <c r="AR415" s="360"/>
      <c r="AS415" s="359"/>
      <c r="AT415" s="284"/>
      <c r="AU415" s="355"/>
      <c r="AW415" s="359"/>
      <c r="AX415" s="284"/>
      <c r="AY415" s="355"/>
      <c r="BA415" s="359"/>
      <c r="BB415" s="284"/>
      <c r="BC415" s="355"/>
      <c r="BE415" s="359"/>
      <c r="BF415" s="284"/>
      <c r="BG415" s="355"/>
      <c r="BI415" s="359"/>
      <c r="BJ415" s="284"/>
      <c r="BK415" s="355"/>
      <c r="BM415" s="359"/>
      <c r="BN415" s="284"/>
      <c r="BO415" s="355"/>
      <c r="BQ415" s="359"/>
      <c r="BR415" s="284"/>
      <c r="BS415" s="355"/>
      <c r="BU415" s="359"/>
      <c r="BV415" s="284"/>
    </row>
    <row r="416" spans="2:74" x14ac:dyDescent="0.25">
      <c r="B416" s="284"/>
      <c r="D416" s="355"/>
      <c r="E416" s="356"/>
      <c r="F416" s="357"/>
      <c r="G416" s="358"/>
      <c r="H416" s="359"/>
      <c r="I416" s="284"/>
      <c r="J416" s="287"/>
      <c r="K416" s="355"/>
      <c r="M416" s="359"/>
      <c r="N416" s="284"/>
      <c r="O416" s="355"/>
      <c r="P416" s="360"/>
      <c r="Q416" s="359"/>
      <c r="R416" s="284"/>
      <c r="S416" s="355"/>
      <c r="U416" s="359"/>
      <c r="V416" s="284"/>
      <c r="W416" s="355"/>
      <c r="Y416" s="359"/>
      <c r="Z416" s="284"/>
      <c r="AA416" s="355"/>
      <c r="AC416" s="359"/>
      <c r="AD416" s="284"/>
      <c r="AE416" s="355"/>
      <c r="AG416" s="359"/>
      <c r="AH416" s="284"/>
      <c r="AI416" s="355"/>
      <c r="AK416" s="359"/>
      <c r="AL416" s="284"/>
      <c r="AM416" s="355"/>
      <c r="AO416" s="359"/>
      <c r="AP416" s="284"/>
      <c r="AQ416" s="355"/>
      <c r="AR416" s="360"/>
      <c r="AS416" s="359"/>
      <c r="AT416" s="284"/>
      <c r="AU416" s="355"/>
      <c r="AW416" s="359"/>
      <c r="AX416" s="284"/>
      <c r="AY416" s="355"/>
      <c r="BA416" s="359"/>
      <c r="BB416" s="284"/>
      <c r="BC416" s="355"/>
      <c r="BE416" s="359"/>
      <c r="BF416" s="284"/>
      <c r="BG416" s="355"/>
      <c r="BI416" s="359"/>
      <c r="BJ416" s="284"/>
      <c r="BK416" s="355"/>
      <c r="BM416" s="359"/>
      <c r="BN416" s="284"/>
      <c r="BO416" s="355"/>
      <c r="BQ416" s="359"/>
      <c r="BR416" s="284"/>
      <c r="BS416" s="355"/>
      <c r="BU416" s="359"/>
      <c r="BV416" s="284"/>
    </row>
    <row r="417" spans="2:74" x14ac:dyDescent="0.25">
      <c r="B417" s="284"/>
      <c r="D417" s="355"/>
      <c r="E417" s="356"/>
      <c r="F417" s="357"/>
      <c r="G417" s="358"/>
      <c r="H417" s="359"/>
      <c r="I417" s="284"/>
      <c r="J417" s="287"/>
      <c r="K417" s="355"/>
      <c r="M417" s="359"/>
      <c r="N417" s="284"/>
      <c r="O417" s="355"/>
      <c r="P417" s="360"/>
      <c r="Q417" s="359"/>
      <c r="R417" s="284"/>
      <c r="S417" s="355"/>
      <c r="U417" s="359"/>
      <c r="V417" s="284"/>
      <c r="W417" s="355"/>
      <c r="Y417" s="359"/>
      <c r="Z417" s="284"/>
      <c r="AA417" s="355"/>
      <c r="AC417" s="359"/>
      <c r="AD417" s="284"/>
      <c r="AE417" s="355"/>
      <c r="AG417" s="359"/>
      <c r="AH417" s="284"/>
      <c r="AI417" s="355"/>
      <c r="AK417" s="359"/>
      <c r="AL417" s="284"/>
      <c r="AM417" s="355"/>
      <c r="AO417" s="359"/>
      <c r="AP417" s="284"/>
      <c r="AQ417" s="355"/>
      <c r="AR417" s="360"/>
      <c r="AS417" s="359"/>
      <c r="AT417" s="284"/>
      <c r="AU417" s="355"/>
      <c r="AW417" s="359"/>
      <c r="AX417" s="284"/>
      <c r="AY417" s="355"/>
      <c r="BA417" s="359"/>
      <c r="BB417" s="284"/>
      <c r="BC417" s="355"/>
      <c r="BE417" s="359"/>
      <c r="BF417" s="284"/>
      <c r="BG417" s="355"/>
      <c r="BI417" s="359"/>
      <c r="BJ417" s="284"/>
      <c r="BK417" s="355"/>
      <c r="BM417" s="359"/>
      <c r="BN417" s="284"/>
      <c r="BO417" s="355"/>
      <c r="BQ417" s="359"/>
      <c r="BR417" s="284"/>
      <c r="BS417" s="355"/>
      <c r="BU417" s="359"/>
      <c r="BV417" s="284"/>
    </row>
    <row r="418" spans="2:74" x14ac:dyDescent="0.25">
      <c r="B418" s="284"/>
      <c r="D418" s="355"/>
      <c r="E418" s="356"/>
      <c r="F418" s="357"/>
      <c r="G418" s="358"/>
      <c r="H418" s="359"/>
      <c r="I418" s="284"/>
      <c r="J418" s="287"/>
      <c r="K418" s="355"/>
      <c r="M418" s="359"/>
      <c r="N418" s="284"/>
      <c r="O418" s="355"/>
      <c r="P418" s="360"/>
      <c r="Q418" s="359"/>
      <c r="R418" s="284"/>
      <c r="S418" s="355"/>
      <c r="U418" s="359"/>
      <c r="V418" s="284"/>
      <c r="W418" s="355"/>
      <c r="Y418" s="359"/>
      <c r="Z418" s="284"/>
      <c r="AA418" s="355"/>
      <c r="AC418" s="359"/>
      <c r="AD418" s="284"/>
      <c r="AE418" s="355"/>
      <c r="AG418" s="359"/>
      <c r="AH418" s="284"/>
      <c r="AI418" s="355"/>
      <c r="AK418" s="359"/>
      <c r="AL418" s="284"/>
      <c r="AM418" s="355"/>
      <c r="AO418" s="359"/>
      <c r="AP418" s="284"/>
      <c r="AQ418" s="355"/>
      <c r="AR418" s="360"/>
      <c r="AS418" s="359"/>
      <c r="AT418" s="284"/>
      <c r="AU418" s="355"/>
      <c r="AW418" s="359"/>
      <c r="AX418" s="284"/>
      <c r="AY418" s="355"/>
      <c r="BA418" s="359"/>
      <c r="BB418" s="284"/>
      <c r="BC418" s="355"/>
      <c r="BE418" s="359"/>
      <c r="BF418" s="284"/>
      <c r="BG418" s="355"/>
      <c r="BI418" s="359"/>
      <c r="BJ418" s="284"/>
      <c r="BK418" s="355"/>
      <c r="BM418" s="359"/>
      <c r="BN418" s="284"/>
      <c r="BO418" s="355"/>
      <c r="BQ418" s="359"/>
      <c r="BR418" s="284"/>
      <c r="BS418" s="355"/>
      <c r="BU418" s="359"/>
      <c r="BV418" s="284"/>
    </row>
    <row r="419" spans="2:74" x14ac:dyDescent="0.25">
      <c r="B419" s="284"/>
      <c r="D419" s="355"/>
      <c r="E419" s="356"/>
      <c r="F419" s="357"/>
      <c r="G419" s="358"/>
      <c r="H419" s="359"/>
      <c r="I419" s="284"/>
      <c r="J419" s="287"/>
      <c r="K419" s="355"/>
      <c r="M419" s="359"/>
      <c r="N419" s="284"/>
      <c r="O419" s="355"/>
      <c r="P419" s="360"/>
      <c r="Q419" s="359"/>
      <c r="R419" s="284"/>
      <c r="S419" s="355"/>
      <c r="U419" s="359"/>
      <c r="V419" s="284"/>
      <c r="W419" s="355"/>
      <c r="Y419" s="359"/>
      <c r="Z419" s="284"/>
      <c r="AA419" s="355"/>
      <c r="AC419" s="359"/>
      <c r="AD419" s="284"/>
      <c r="AE419" s="355"/>
      <c r="AG419" s="359"/>
      <c r="AH419" s="284"/>
      <c r="AI419" s="355"/>
      <c r="AK419" s="359"/>
      <c r="AL419" s="284"/>
      <c r="AM419" s="355"/>
      <c r="AO419" s="359"/>
      <c r="AP419" s="284"/>
      <c r="AQ419" s="355"/>
      <c r="AR419" s="360"/>
      <c r="AS419" s="359"/>
      <c r="AT419" s="284"/>
      <c r="AU419" s="355"/>
      <c r="AW419" s="359"/>
      <c r="AX419" s="284"/>
      <c r="AY419" s="355"/>
      <c r="BA419" s="359"/>
      <c r="BB419" s="284"/>
      <c r="BC419" s="355"/>
      <c r="BE419" s="359"/>
      <c r="BF419" s="284"/>
      <c r="BG419" s="355"/>
      <c r="BI419" s="359"/>
      <c r="BJ419" s="284"/>
      <c r="BK419" s="355"/>
      <c r="BM419" s="359"/>
      <c r="BN419" s="284"/>
      <c r="BO419" s="355"/>
      <c r="BQ419" s="359"/>
      <c r="BR419" s="284"/>
      <c r="BS419" s="355"/>
      <c r="BU419" s="359"/>
      <c r="BV419" s="284"/>
    </row>
    <row r="420" spans="2:74" x14ac:dyDescent="0.25">
      <c r="B420" s="284"/>
      <c r="D420" s="355"/>
      <c r="E420" s="356"/>
      <c r="F420" s="357"/>
      <c r="G420" s="358"/>
      <c r="H420" s="359"/>
      <c r="I420" s="284"/>
      <c r="J420" s="287"/>
      <c r="K420" s="355"/>
      <c r="M420" s="359"/>
      <c r="N420" s="284"/>
      <c r="O420" s="355"/>
      <c r="P420" s="360"/>
      <c r="Q420" s="359"/>
      <c r="R420" s="284"/>
      <c r="S420" s="355"/>
      <c r="U420" s="359"/>
      <c r="V420" s="284"/>
      <c r="W420" s="355"/>
      <c r="Y420" s="359"/>
      <c r="Z420" s="284"/>
      <c r="AA420" s="355"/>
      <c r="AC420" s="359"/>
      <c r="AD420" s="284"/>
      <c r="AE420" s="355"/>
      <c r="AG420" s="359"/>
      <c r="AH420" s="284"/>
      <c r="AI420" s="355"/>
      <c r="AK420" s="359"/>
      <c r="AL420" s="284"/>
      <c r="AM420" s="355"/>
      <c r="AO420" s="359"/>
      <c r="AP420" s="284"/>
      <c r="AQ420" s="355"/>
      <c r="AR420" s="360"/>
      <c r="AS420" s="359"/>
      <c r="AT420" s="284"/>
      <c r="AU420" s="355"/>
      <c r="AW420" s="359"/>
      <c r="AX420" s="284"/>
      <c r="AY420" s="355"/>
      <c r="BA420" s="359"/>
      <c r="BB420" s="284"/>
      <c r="BC420" s="355"/>
      <c r="BE420" s="359"/>
      <c r="BF420" s="284"/>
      <c r="BG420" s="355"/>
      <c r="BI420" s="359"/>
      <c r="BJ420" s="284"/>
      <c r="BK420" s="355"/>
      <c r="BM420" s="359"/>
      <c r="BN420" s="284"/>
      <c r="BO420" s="355"/>
      <c r="BQ420" s="359"/>
      <c r="BR420" s="284"/>
      <c r="BS420" s="355"/>
      <c r="BU420" s="359"/>
      <c r="BV420" s="284"/>
    </row>
    <row r="421" spans="2:74" x14ac:dyDescent="0.25">
      <c r="B421" s="284"/>
      <c r="D421" s="355"/>
      <c r="E421" s="356"/>
      <c r="F421" s="357"/>
      <c r="G421" s="358"/>
      <c r="H421" s="359"/>
      <c r="I421" s="284"/>
      <c r="J421" s="287"/>
      <c r="K421" s="355"/>
      <c r="M421" s="359"/>
      <c r="N421" s="284"/>
      <c r="O421" s="355"/>
      <c r="P421" s="360"/>
      <c r="Q421" s="359"/>
      <c r="R421" s="284"/>
      <c r="S421" s="355"/>
      <c r="U421" s="359"/>
      <c r="V421" s="284"/>
      <c r="W421" s="355"/>
      <c r="Y421" s="359"/>
      <c r="Z421" s="284"/>
      <c r="AA421" s="355"/>
      <c r="AC421" s="359"/>
      <c r="AD421" s="284"/>
      <c r="AE421" s="355"/>
      <c r="AG421" s="359"/>
      <c r="AH421" s="284"/>
      <c r="AI421" s="355"/>
      <c r="AK421" s="359"/>
      <c r="AL421" s="284"/>
      <c r="AM421" s="355"/>
      <c r="AO421" s="359"/>
      <c r="AP421" s="284"/>
      <c r="AQ421" s="355"/>
      <c r="AR421" s="360"/>
      <c r="AS421" s="359"/>
      <c r="AT421" s="284"/>
      <c r="AU421" s="355"/>
      <c r="AW421" s="359"/>
      <c r="AX421" s="284"/>
      <c r="AY421" s="355"/>
      <c r="BA421" s="359"/>
      <c r="BB421" s="284"/>
      <c r="BC421" s="355"/>
      <c r="BE421" s="359"/>
      <c r="BF421" s="284"/>
      <c r="BG421" s="355"/>
      <c r="BI421" s="359"/>
      <c r="BJ421" s="284"/>
      <c r="BK421" s="355"/>
      <c r="BM421" s="359"/>
      <c r="BN421" s="284"/>
      <c r="BO421" s="355"/>
      <c r="BQ421" s="359"/>
      <c r="BR421" s="284"/>
      <c r="BS421" s="355"/>
      <c r="BU421" s="359"/>
      <c r="BV421" s="284"/>
    </row>
    <row r="422" spans="2:74" x14ac:dyDescent="0.25">
      <c r="B422" s="284"/>
      <c r="D422" s="355"/>
      <c r="E422" s="356"/>
      <c r="F422" s="357"/>
      <c r="G422" s="358"/>
      <c r="H422" s="359"/>
      <c r="I422" s="284"/>
      <c r="J422" s="287"/>
      <c r="K422" s="355"/>
      <c r="M422" s="359"/>
      <c r="N422" s="284"/>
      <c r="O422" s="355"/>
      <c r="P422" s="360"/>
      <c r="Q422" s="359"/>
      <c r="R422" s="284"/>
      <c r="S422" s="355"/>
      <c r="U422" s="359"/>
      <c r="V422" s="284"/>
      <c r="W422" s="355"/>
      <c r="Y422" s="359"/>
      <c r="Z422" s="284"/>
      <c r="AA422" s="355"/>
      <c r="AC422" s="359"/>
      <c r="AD422" s="284"/>
      <c r="AE422" s="355"/>
      <c r="AG422" s="359"/>
      <c r="AH422" s="284"/>
      <c r="AI422" s="355"/>
      <c r="AK422" s="359"/>
      <c r="AL422" s="284"/>
      <c r="AM422" s="355"/>
      <c r="AO422" s="359"/>
      <c r="AP422" s="284"/>
      <c r="AQ422" s="355"/>
      <c r="AR422" s="360"/>
      <c r="AS422" s="359"/>
      <c r="AT422" s="284"/>
      <c r="AU422" s="355"/>
      <c r="AW422" s="359"/>
      <c r="AX422" s="284"/>
      <c r="AY422" s="355"/>
      <c r="BA422" s="359"/>
      <c r="BB422" s="284"/>
      <c r="BC422" s="355"/>
      <c r="BE422" s="359"/>
      <c r="BF422" s="284"/>
      <c r="BG422" s="355"/>
      <c r="BI422" s="359"/>
      <c r="BJ422" s="284"/>
      <c r="BK422" s="355"/>
      <c r="BM422" s="359"/>
      <c r="BN422" s="284"/>
      <c r="BO422" s="355"/>
      <c r="BQ422" s="359"/>
      <c r="BR422" s="284"/>
      <c r="BS422" s="355"/>
      <c r="BU422" s="359"/>
      <c r="BV422" s="284"/>
    </row>
    <row r="423" spans="2:74" x14ac:dyDescent="0.25">
      <c r="B423" s="284"/>
      <c r="D423" s="355"/>
      <c r="E423" s="356"/>
      <c r="F423" s="357"/>
      <c r="G423" s="358"/>
      <c r="H423" s="359"/>
      <c r="I423" s="284"/>
      <c r="J423" s="287"/>
      <c r="K423" s="355"/>
      <c r="M423" s="359"/>
      <c r="N423" s="284"/>
      <c r="O423" s="355"/>
      <c r="P423" s="360"/>
      <c r="Q423" s="359"/>
      <c r="R423" s="284"/>
      <c r="S423" s="355"/>
      <c r="U423" s="359"/>
      <c r="V423" s="284"/>
      <c r="W423" s="355"/>
      <c r="Y423" s="359"/>
      <c r="Z423" s="284"/>
      <c r="AA423" s="355"/>
      <c r="AC423" s="359"/>
      <c r="AD423" s="284"/>
      <c r="AE423" s="355"/>
      <c r="AG423" s="359"/>
      <c r="AH423" s="284"/>
      <c r="AI423" s="355"/>
      <c r="AK423" s="359"/>
      <c r="AL423" s="284"/>
      <c r="AM423" s="355"/>
      <c r="AO423" s="359"/>
      <c r="AP423" s="284"/>
      <c r="AQ423" s="355"/>
      <c r="AR423" s="360"/>
      <c r="AS423" s="359"/>
      <c r="AT423" s="284"/>
      <c r="AU423" s="355"/>
      <c r="AW423" s="359"/>
      <c r="AX423" s="284"/>
      <c r="AY423" s="355"/>
      <c r="BA423" s="359"/>
      <c r="BB423" s="284"/>
      <c r="BC423" s="355"/>
      <c r="BE423" s="359"/>
      <c r="BF423" s="284"/>
      <c r="BG423" s="355"/>
      <c r="BI423" s="359"/>
      <c r="BJ423" s="284"/>
      <c r="BK423" s="355"/>
      <c r="BM423" s="359"/>
      <c r="BN423" s="284"/>
      <c r="BO423" s="355"/>
      <c r="BQ423" s="359"/>
      <c r="BR423" s="284"/>
      <c r="BS423" s="355"/>
      <c r="BU423" s="359"/>
      <c r="BV423" s="284"/>
    </row>
    <row r="424" spans="2:74" x14ac:dyDescent="0.25">
      <c r="B424" s="284"/>
      <c r="D424" s="355"/>
      <c r="E424" s="356"/>
      <c r="F424" s="357"/>
      <c r="G424" s="358"/>
      <c r="H424" s="359"/>
      <c r="I424" s="284"/>
      <c r="J424" s="287"/>
      <c r="K424" s="355"/>
      <c r="M424" s="359"/>
      <c r="N424" s="284"/>
      <c r="O424" s="355"/>
      <c r="P424" s="360"/>
      <c r="Q424" s="359"/>
      <c r="R424" s="284"/>
      <c r="S424" s="355"/>
      <c r="U424" s="359"/>
      <c r="V424" s="284"/>
      <c r="W424" s="355"/>
      <c r="Y424" s="359"/>
      <c r="Z424" s="284"/>
      <c r="AA424" s="355"/>
      <c r="AC424" s="359"/>
      <c r="AD424" s="284"/>
      <c r="AE424" s="355"/>
      <c r="AG424" s="359"/>
      <c r="AH424" s="284"/>
      <c r="AI424" s="355"/>
      <c r="AK424" s="359"/>
      <c r="AL424" s="284"/>
      <c r="AM424" s="355"/>
      <c r="AO424" s="359"/>
      <c r="AP424" s="284"/>
      <c r="AQ424" s="355"/>
      <c r="AR424" s="360"/>
      <c r="AS424" s="359"/>
      <c r="AT424" s="284"/>
      <c r="AU424" s="355"/>
      <c r="AW424" s="359"/>
      <c r="AX424" s="284"/>
      <c r="AY424" s="355"/>
      <c r="BA424" s="359"/>
      <c r="BB424" s="284"/>
      <c r="BC424" s="355"/>
      <c r="BE424" s="359"/>
      <c r="BF424" s="284"/>
      <c r="BG424" s="355"/>
      <c r="BI424" s="359"/>
      <c r="BJ424" s="284"/>
      <c r="BK424" s="355"/>
      <c r="BM424" s="359"/>
      <c r="BN424" s="284"/>
      <c r="BO424" s="355"/>
      <c r="BQ424" s="359"/>
      <c r="BR424" s="284"/>
      <c r="BS424" s="355"/>
      <c r="BU424" s="359"/>
      <c r="BV424" s="284"/>
    </row>
    <row r="425" spans="2:74" x14ac:dyDescent="0.25">
      <c r="B425" s="284"/>
      <c r="D425" s="355"/>
      <c r="E425" s="356"/>
      <c r="F425" s="357"/>
      <c r="G425" s="358"/>
      <c r="H425" s="359"/>
      <c r="I425" s="284"/>
      <c r="J425" s="287"/>
      <c r="K425" s="355"/>
      <c r="M425" s="359"/>
      <c r="N425" s="284"/>
      <c r="O425" s="355"/>
      <c r="P425" s="360"/>
      <c r="Q425" s="359"/>
      <c r="R425" s="284"/>
      <c r="S425" s="355"/>
      <c r="U425" s="359"/>
      <c r="V425" s="284"/>
      <c r="W425" s="355"/>
      <c r="Y425" s="359"/>
      <c r="Z425" s="284"/>
      <c r="AA425" s="355"/>
      <c r="AC425" s="359"/>
      <c r="AD425" s="284"/>
      <c r="AE425" s="355"/>
      <c r="AG425" s="359"/>
      <c r="AH425" s="284"/>
      <c r="AI425" s="355"/>
      <c r="AK425" s="359"/>
      <c r="AL425" s="284"/>
      <c r="AM425" s="355"/>
      <c r="AO425" s="359"/>
      <c r="AP425" s="284"/>
      <c r="AQ425" s="355"/>
      <c r="AR425" s="360"/>
      <c r="AS425" s="359"/>
      <c r="AT425" s="284"/>
      <c r="AU425" s="355"/>
      <c r="AW425" s="359"/>
      <c r="AX425" s="284"/>
      <c r="AY425" s="355"/>
      <c r="BA425" s="359"/>
      <c r="BB425" s="284"/>
      <c r="BC425" s="355"/>
      <c r="BE425" s="359"/>
      <c r="BF425" s="284"/>
      <c r="BG425" s="355"/>
      <c r="BI425" s="359"/>
      <c r="BJ425" s="284"/>
      <c r="BK425" s="355"/>
      <c r="BM425" s="359"/>
      <c r="BN425" s="284"/>
      <c r="BO425" s="355"/>
      <c r="BQ425" s="359"/>
      <c r="BR425" s="284"/>
      <c r="BS425" s="355"/>
      <c r="BU425" s="359"/>
      <c r="BV425" s="284"/>
    </row>
    <row r="426" spans="2:74" x14ac:dyDescent="0.25">
      <c r="B426" s="284"/>
      <c r="D426" s="355"/>
      <c r="E426" s="356"/>
      <c r="F426" s="357"/>
      <c r="G426" s="358"/>
      <c r="H426" s="359"/>
      <c r="I426" s="284"/>
      <c r="J426" s="287"/>
      <c r="K426" s="355"/>
      <c r="M426" s="359"/>
      <c r="N426" s="284"/>
      <c r="O426" s="355"/>
      <c r="P426" s="360"/>
      <c r="Q426" s="359"/>
      <c r="R426" s="284"/>
      <c r="S426" s="355"/>
      <c r="U426" s="359"/>
      <c r="V426" s="284"/>
      <c r="W426" s="355"/>
      <c r="Y426" s="359"/>
      <c r="Z426" s="284"/>
      <c r="AA426" s="355"/>
      <c r="AC426" s="359"/>
      <c r="AD426" s="284"/>
      <c r="AE426" s="355"/>
      <c r="AG426" s="359"/>
      <c r="AH426" s="284"/>
      <c r="AI426" s="355"/>
      <c r="AK426" s="359"/>
      <c r="AL426" s="284"/>
      <c r="AM426" s="355"/>
      <c r="AO426" s="359"/>
      <c r="AP426" s="284"/>
      <c r="AQ426" s="355"/>
      <c r="AR426" s="360"/>
      <c r="AS426" s="359"/>
      <c r="AT426" s="284"/>
      <c r="AU426" s="355"/>
      <c r="AW426" s="359"/>
      <c r="AX426" s="284"/>
      <c r="AY426" s="355"/>
      <c r="BA426" s="359"/>
      <c r="BB426" s="284"/>
      <c r="BC426" s="355"/>
      <c r="BE426" s="359"/>
      <c r="BF426" s="284"/>
      <c r="BG426" s="355"/>
      <c r="BI426" s="359"/>
      <c r="BJ426" s="284"/>
      <c r="BK426" s="355"/>
      <c r="BM426" s="359"/>
      <c r="BN426" s="284"/>
      <c r="BO426" s="355"/>
      <c r="BQ426" s="359"/>
      <c r="BR426" s="284"/>
      <c r="BS426" s="355"/>
      <c r="BU426" s="359"/>
      <c r="BV426" s="284"/>
    </row>
    <row r="427" spans="2:74" x14ac:dyDescent="0.25">
      <c r="B427" s="284"/>
      <c r="D427" s="355"/>
      <c r="E427" s="356"/>
      <c r="F427" s="357"/>
      <c r="G427" s="358"/>
      <c r="H427" s="359"/>
      <c r="I427" s="284"/>
      <c r="J427" s="287"/>
      <c r="K427" s="355"/>
      <c r="M427" s="359"/>
      <c r="N427" s="284"/>
      <c r="O427" s="355"/>
      <c r="P427" s="360"/>
      <c r="Q427" s="359"/>
      <c r="R427" s="284"/>
      <c r="S427" s="355"/>
      <c r="U427" s="359"/>
      <c r="V427" s="284"/>
      <c r="W427" s="355"/>
      <c r="Y427" s="359"/>
      <c r="Z427" s="284"/>
      <c r="AA427" s="355"/>
      <c r="AC427" s="359"/>
      <c r="AD427" s="284"/>
      <c r="AE427" s="355"/>
      <c r="AG427" s="359"/>
      <c r="AH427" s="284"/>
      <c r="AI427" s="355"/>
      <c r="AK427" s="359"/>
      <c r="AL427" s="284"/>
      <c r="AM427" s="355"/>
      <c r="AO427" s="359"/>
      <c r="AP427" s="284"/>
      <c r="AQ427" s="355"/>
      <c r="AR427" s="360"/>
      <c r="AS427" s="359"/>
      <c r="AT427" s="284"/>
      <c r="AU427" s="355"/>
      <c r="AW427" s="359"/>
      <c r="AX427" s="284"/>
      <c r="AY427" s="355"/>
      <c r="BA427" s="359"/>
      <c r="BB427" s="284"/>
      <c r="BC427" s="355"/>
      <c r="BE427" s="359"/>
      <c r="BF427" s="284"/>
      <c r="BG427" s="355"/>
      <c r="BI427" s="359"/>
      <c r="BJ427" s="284"/>
      <c r="BK427" s="355"/>
      <c r="BM427" s="359"/>
      <c r="BN427" s="284"/>
      <c r="BO427" s="355"/>
      <c r="BQ427" s="359"/>
      <c r="BR427" s="284"/>
      <c r="BS427" s="355"/>
      <c r="BU427" s="359"/>
      <c r="BV427" s="284"/>
    </row>
    <row r="428" spans="2:74" x14ac:dyDescent="0.25">
      <c r="B428" s="284"/>
      <c r="D428" s="355"/>
      <c r="E428" s="356"/>
      <c r="F428" s="357"/>
      <c r="G428" s="358"/>
      <c r="H428" s="359"/>
      <c r="I428" s="284"/>
      <c r="J428" s="287"/>
      <c r="K428" s="355"/>
      <c r="M428" s="359"/>
      <c r="N428" s="284"/>
      <c r="O428" s="355"/>
      <c r="P428" s="360"/>
      <c r="Q428" s="359"/>
      <c r="R428" s="284"/>
      <c r="S428" s="355"/>
      <c r="U428" s="359"/>
      <c r="V428" s="284"/>
      <c r="W428" s="355"/>
      <c r="Y428" s="359"/>
      <c r="Z428" s="284"/>
      <c r="AA428" s="355"/>
      <c r="AC428" s="359"/>
      <c r="AD428" s="284"/>
      <c r="AE428" s="355"/>
      <c r="AG428" s="359"/>
      <c r="AH428" s="284"/>
      <c r="AI428" s="355"/>
      <c r="AK428" s="359"/>
      <c r="AL428" s="284"/>
      <c r="AM428" s="355"/>
      <c r="AO428" s="359"/>
      <c r="AP428" s="284"/>
      <c r="AQ428" s="355"/>
      <c r="AR428" s="360"/>
      <c r="AS428" s="359"/>
      <c r="AT428" s="284"/>
      <c r="AU428" s="355"/>
      <c r="AW428" s="359"/>
      <c r="AX428" s="284"/>
      <c r="AY428" s="355"/>
      <c r="BA428" s="359"/>
      <c r="BB428" s="284"/>
      <c r="BC428" s="355"/>
      <c r="BE428" s="359"/>
      <c r="BF428" s="284"/>
      <c r="BG428" s="355"/>
      <c r="BI428" s="359"/>
      <c r="BJ428" s="284"/>
      <c r="BK428" s="355"/>
      <c r="BM428" s="359"/>
      <c r="BN428" s="284"/>
      <c r="BO428" s="355"/>
      <c r="BQ428" s="359"/>
      <c r="BR428" s="284"/>
      <c r="BS428" s="355"/>
      <c r="BU428" s="359"/>
      <c r="BV428" s="284"/>
    </row>
    <row r="429" spans="2:74" x14ac:dyDescent="0.25">
      <c r="B429" s="284"/>
      <c r="D429" s="355"/>
      <c r="E429" s="356"/>
      <c r="F429" s="357"/>
      <c r="G429" s="358"/>
      <c r="H429" s="359"/>
      <c r="I429" s="284"/>
      <c r="J429" s="287"/>
      <c r="K429" s="355"/>
      <c r="M429" s="359"/>
      <c r="N429" s="284"/>
      <c r="O429" s="355"/>
      <c r="P429" s="360"/>
      <c r="Q429" s="359"/>
      <c r="R429" s="284"/>
      <c r="S429" s="355"/>
      <c r="U429" s="359"/>
      <c r="V429" s="284"/>
      <c r="W429" s="355"/>
      <c r="Y429" s="359"/>
      <c r="Z429" s="284"/>
      <c r="AA429" s="355"/>
      <c r="AC429" s="359"/>
      <c r="AD429" s="284"/>
      <c r="AE429" s="355"/>
      <c r="AG429" s="359"/>
      <c r="AH429" s="284"/>
      <c r="AI429" s="355"/>
      <c r="AK429" s="359"/>
      <c r="AL429" s="284"/>
      <c r="AM429" s="355"/>
      <c r="AO429" s="359"/>
      <c r="AP429" s="284"/>
      <c r="AQ429" s="355"/>
      <c r="AR429" s="360"/>
      <c r="AS429" s="359"/>
      <c r="AT429" s="284"/>
      <c r="AU429" s="355"/>
      <c r="AW429" s="359"/>
      <c r="AX429" s="284"/>
      <c r="AY429" s="355"/>
      <c r="BA429" s="359"/>
      <c r="BB429" s="284"/>
      <c r="BC429" s="355"/>
      <c r="BE429" s="359"/>
      <c r="BF429" s="284"/>
      <c r="BG429" s="355"/>
      <c r="BI429" s="359"/>
      <c r="BJ429" s="284"/>
      <c r="BK429" s="355"/>
      <c r="BM429" s="359"/>
      <c r="BN429" s="284"/>
      <c r="BO429" s="355"/>
      <c r="BQ429" s="359"/>
      <c r="BR429" s="284"/>
      <c r="BS429" s="355"/>
      <c r="BU429" s="359"/>
      <c r="BV429" s="284"/>
    </row>
    <row r="430" spans="2:74" x14ac:dyDescent="0.25">
      <c r="B430" s="284"/>
      <c r="D430" s="355"/>
      <c r="E430" s="356"/>
      <c r="F430" s="357"/>
      <c r="G430" s="358"/>
      <c r="H430" s="359"/>
      <c r="I430" s="284"/>
      <c r="J430" s="287"/>
      <c r="K430" s="355"/>
      <c r="M430" s="359"/>
      <c r="N430" s="284"/>
      <c r="O430" s="355"/>
      <c r="P430" s="360"/>
      <c r="Q430" s="359"/>
      <c r="R430" s="284"/>
      <c r="S430" s="355"/>
      <c r="U430" s="359"/>
      <c r="V430" s="284"/>
      <c r="W430" s="355"/>
      <c r="Y430" s="359"/>
      <c r="Z430" s="284"/>
      <c r="AA430" s="355"/>
      <c r="AC430" s="359"/>
      <c r="AD430" s="284"/>
      <c r="AE430" s="355"/>
      <c r="AG430" s="359"/>
      <c r="AH430" s="284"/>
      <c r="AI430" s="355"/>
      <c r="AK430" s="359"/>
      <c r="AL430" s="284"/>
      <c r="AM430" s="355"/>
      <c r="AO430" s="359"/>
      <c r="AP430" s="284"/>
      <c r="AQ430" s="355"/>
      <c r="AR430" s="360"/>
      <c r="AS430" s="359"/>
      <c r="AT430" s="284"/>
      <c r="AU430" s="355"/>
      <c r="AW430" s="359"/>
      <c r="AX430" s="284"/>
      <c r="AY430" s="355"/>
      <c r="BA430" s="359"/>
      <c r="BB430" s="284"/>
      <c r="BC430" s="355"/>
      <c r="BE430" s="359"/>
      <c r="BF430" s="284"/>
      <c r="BG430" s="355"/>
      <c r="BI430" s="359"/>
      <c r="BJ430" s="284"/>
      <c r="BK430" s="355"/>
      <c r="BM430" s="359"/>
      <c r="BN430" s="284"/>
      <c r="BO430" s="355"/>
      <c r="BQ430" s="359"/>
      <c r="BR430" s="284"/>
      <c r="BS430" s="355"/>
      <c r="BU430" s="359"/>
      <c r="BV430" s="284"/>
    </row>
    <row r="431" spans="2:74" x14ac:dyDescent="0.25">
      <c r="B431" s="284"/>
      <c r="D431" s="355"/>
      <c r="E431" s="356"/>
      <c r="F431" s="357"/>
      <c r="G431" s="358"/>
      <c r="H431" s="359"/>
      <c r="I431" s="284"/>
      <c r="J431" s="287"/>
      <c r="K431" s="355"/>
      <c r="M431" s="359"/>
      <c r="N431" s="284"/>
      <c r="O431" s="355"/>
      <c r="P431" s="360"/>
      <c r="Q431" s="359"/>
      <c r="R431" s="284"/>
      <c r="S431" s="355"/>
      <c r="U431" s="359"/>
      <c r="V431" s="284"/>
      <c r="W431" s="355"/>
      <c r="Y431" s="359"/>
      <c r="Z431" s="284"/>
      <c r="AA431" s="355"/>
      <c r="AC431" s="359"/>
      <c r="AD431" s="284"/>
      <c r="AE431" s="355"/>
      <c r="AG431" s="359"/>
      <c r="AH431" s="284"/>
      <c r="AI431" s="355"/>
      <c r="AK431" s="359"/>
      <c r="AL431" s="284"/>
      <c r="AM431" s="355"/>
      <c r="AO431" s="359"/>
      <c r="AP431" s="284"/>
      <c r="AQ431" s="355"/>
      <c r="AR431" s="360"/>
      <c r="AS431" s="359"/>
      <c r="AT431" s="284"/>
      <c r="AU431" s="355"/>
      <c r="AW431" s="359"/>
      <c r="AX431" s="284"/>
      <c r="AY431" s="355"/>
      <c r="BA431" s="359"/>
      <c r="BB431" s="284"/>
      <c r="BC431" s="355"/>
      <c r="BE431" s="359"/>
      <c r="BF431" s="284"/>
      <c r="BG431" s="355"/>
      <c r="BI431" s="359"/>
      <c r="BJ431" s="284"/>
      <c r="BK431" s="355"/>
      <c r="BM431" s="359"/>
      <c r="BN431" s="284"/>
      <c r="BO431" s="355"/>
      <c r="BQ431" s="359"/>
      <c r="BR431" s="284"/>
      <c r="BS431" s="355"/>
      <c r="BU431" s="359"/>
      <c r="BV431" s="284"/>
    </row>
    <row r="432" spans="2:74" x14ac:dyDescent="0.25">
      <c r="B432" s="284"/>
      <c r="D432" s="355"/>
      <c r="E432" s="356"/>
      <c r="F432" s="357"/>
      <c r="G432" s="358"/>
      <c r="H432" s="359"/>
      <c r="I432" s="284"/>
      <c r="J432" s="287"/>
      <c r="K432" s="355"/>
      <c r="M432" s="359"/>
      <c r="N432" s="284"/>
      <c r="O432" s="355"/>
      <c r="P432" s="360"/>
      <c r="Q432" s="359"/>
      <c r="R432" s="284"/>
      <c r="S432" s="355"/>
      <c r="U432" s="359"/>
      <c r="V432" s="284"/>
      <c r="W432" s="355"/>
      <c r="Y432" s="359"/>
      <c r="Z432" s="284"/>
      <c r="AA432" s="355"/>
      <c r="AC432" s="359"/>
      <c r="AD432" s="284"/>
      <c r="AE432" s="355"/>
      <c r="AG432" s="359"/>
      <c r="AH432" s="284"/>
      <c r="AI432" s="355"/>
      <c r="AK432" s="359"/>
      <c r="AL432" s="284"/>
      <c r="AM432" s="355"/>
      <c r="AO432" s="359"/>
      <c r="AP432" s="284"/>
      <c r="AQ432" s="355"/>
      <c r="AR432" s="360"/>
      <c r="AS432" s="359"/>
      <c r="AT432" s="284"/>
      <c r="AU432" s="355"/>
      <c r="AW432" s="359"/>
      <c r="AX432" s="284"/>
      <c r="AY432" s="355"/>
      <c r="BA432" s="359"/>
      <c r="BB432" s="284"/>
      <c r="BC432" s="355"/>
      <c r="BE432" s="359"/>
      <c r="BF432" s="284"/>
      <c r="BG432" s="355"/>
      <c r="BI432" s="359"/>
      <c r="BJ432" s="284"/>
      <c r="BK432" s="355"/>
      <c r="BM432" s="359"/>
      <c r="BN432" s="284"/>
      <c r="BO432" s="355"/>
      <c r="BQ432" s="359"/>
      <c r="BR432" s="284"/>
      <c r="BS432" s="355"/>
      <c r="BU432" s="359"/>
      <c r="BV432" s="284"/>
    </row>
    <row r="433" spans="2:74" x14ac:dyDescent="0.25">
      <c r="B433" s="284"/>
      <c r="D433" s="355"/>
      <c r="E433" s="356"/>
      <c r="F433" s="357"/>
      <c r="G433" s="358"/>
      <c r="H433" s="359"/>
      <c r="I433" s="284"/>
      <c r="J433" s="287"/>
      <c r="K433" s="355"/>
      <c r="M433" s="359"/>
      <c r="N433" s="284"/>
      <c r="O433" s="355"/>
      <c r="P433" s="360"/>
      <c r="Q433" s="359"/>
      <c r="R433" s="284"/>
      <c r="S433" s="355"/>
      <c r="U433" s="359"/>
      <c r="V433" s="284"/>
      <c r="W433" s="355"/>
      <c r="Y433" s="359"/>
      <c r="Z433" s="284"/>
      <c r="AA433" s="355"/>
      <c r="AC433" s="359"/>
      <c r="AD433" s="284"/>
      <c r="AE433" s="355"/>
      <c r="AG433" s="359"/>
      <c r="AH433" s="284"/>
      <c r="AI433" s="355"/>
      <c r="AK433" s="359"/>
      <c r="AL433" s="284"/>
      <c r="AM433" s="355"/>
      <c r="AO433" s="359"/>
      <c r="AP433" s="284"/>
      <c r="AQ433" s="355"/>
      <c r="AR433" s="360"/>
      <c r="AS433" s="359"/>
      <c r="AT433" s="284"/>
      <c r="AU433" s="355"/>
      <c r="AW433" s="359"/>
      <c r="AX433" s="284"/>
      <c r="AY433" s="355"/>
      <c r="BA433" s="359"/>
      <c r="BB433" s="284"/>
      <c r="BC433" s="355"/>
      <c r="BE433" s="359"/>
      <c r="BF433" s="284"/>
      <c r="BG433" s="355"/>
      <c r="BI433" s="359"/>
      <c r="BJ433" s="284"/>
      <c r="BK433" s="355"/>
      <c r="BM433" s="359"/>
      <c r="BN433" s="284"/>
      <c r="BO433" s="355"/>
      <c r="BQ433" s="359"/>
      <c r="BR433" s="284"/>
      <c r="BS433" s="355"/>
      <c r="BU433" s="359"/>
      <c r="BV433" s="284"/>
    </row>
    <row r="434" spans="2:74" x14ac:dyDescent="0.25">
      <c r="B434" s="284"/>
      <c r="D434" s="355"/>
      <c r="E434" s="356"/>
      <c r="F434" s="357"/>
      <c r="G434" s="358"/>
      <c r="H434" s="359"/>
      <c r="I434" s="284"/>
      <c r="J434" s="287"/>
      <c r="K434" s="355"/>
      <c r="M434" s="359"/>
      <c r="N434" s="284"/>
      <c r="O434" s="355"/>
      <c r="P434" s="360"/>
      <c r="Q434" s="359"/>
      <c r="R434" s="284"/>
      <c r="S434" s="355"/>
      <c r="U434" s="359"/>
      <c r="V434" s="284"/>
      <c r="W434" s="355"/>
      <c r="Y434" s="359"/>
      <c r="Z434" s="284"/>
      <c r="AA434" s="355"/>
      <c r="AC434" s="359"/>
      <c r="AD434" s="284"/>
      <c r="AE434" s="355"/>
      <c r="AG434" s="359"/>
      <c r="AH434" s="284"/>
      <c r="AI434" s="355"/>
      <c r="AK434" s="359"/>
      <c r="AL434" s="284"/>
      <c r="AM434" s="355"/>
      <c r="AO434" s="359"/>
      <c r="AP434" s="284"/>
      <c r="AQ434" s="355"/>
      <c r="AR434" s="360"/>
      <c r="AS434" s="359"/>
      <c r="AT434" s="284"/>
      <c r="AU434" s="355"/>
      <c r="AW434" s="359"/>
      <c r="AX434" s="284"/>
      <c r="AY434" s="355"/>
      <c r="BA434" s="359"/>
      <c r="BB434" s="284"/>
      <c r="BC434" s="355"/>
      <c r="BE434" s="359"/>
      <c r="BF434" s="284"/>
      <c r="BG434" s="355"/>
      <c r="BI434" s="359"/>
      <c r="BJ434" s="284"/>
      <c r="BK434" s="355"/>
      <c r="BM434" s="359"/>
      <c r="BN434" s="284"/>
      <c r="BO434" s="355"/>
      <c r="BQ434" s="359"/>
      <c r="BR434" s="284"/>
      <c r="BS434" s="355"/>
      <c r="BU434" s="359"/>
      <c r="BV434" s="284"/>
    </row>
    <row r="435" spans="2:74" x14ac:dyDescent="0.25">
      <c r="B435" s="284"/>
      <c r="D435" s="355"/>
      <c r="E435" s="356"/>
      <c r="F435" s="357"/>
      <c r="G435" s="358"/>
      <c r="H435" s="359"/>
      <c r="I435" s="284"/>
      <c r="J435" s="287"/>
      <c r="K435" s="355"/>
      <c r="M435" s="359"/>
      <c r="N435" s="284"/>
      <c r="O435" s="355"/>
      <c r="P435" s="360"/>
      <c r="Q435" s="359"/>
      <c r="R435" s="284"/>
      <c r="S435" s="355"/>
      <c r="U435" s="359"/>
      <c r="V435" s="284"/>
      <c r="W435" s="355"/>
      <c r="Y435" s="359"/>
      <c r="Z435" s="284"/>
      <c r="AA435" s="355"/>
      <c r="AC435" s="359"/>
      <c r="AD435" s="284"/>
      <c r="AE435" s="355"/>
      <c r="AG435" s="359"/>
      <c r="AH435" s="284"/>
      <c r="AI435" s="355"/>
      <c r="AK435" s="359"/>
      <c r="AL435" s="284"/>
      <c r="AM435" s="355"/>
      <c r="AO435" s="359"/>
      <c r="AP435" s="284"/>
      <c r="AQ435" s="355"/>
      <c r="AR435" s="360"/>
      <c r="AS435" s="359"/>
      <c r="AT435" s="284"/>
      <c r="AU435" s="355"/>
      <c r="AW435" s="359"/>
      <c r="AX435" s="284"/>
      <c r="AY435" s="355"/>
      <c r="BA435" s="359"/>
      <c r="BB435" s="284"/>
      <c r="BC435" s="355"/>
      <c r="BE435" s="359"/>
      <c r="BF435" s="284"/>
      <c r="BG435" s="355"/>
      <c r="BI435" s="359"/>
      <c r="BJ435" s="284"/>
      <c r="BK435" s="355"/>
      <c r="BM435" s="359"/>
      <c r="BN435" s="284"/>
      <c r="BO435" s="355"/>
      <c r="BQ435" s="359"/>
      <c r="BR435" s="284"/>
      <c r="BS435" s="355"/>
      <c r="BU435" s="359"/>
      <c r="BV435" s="284"/>
    </row>
    <row r="436" spans="2:74" x14ac:dyDescent="0.25">
      <c r="B436" s="284"/>
      <c r="D436" s="355"/>
      <c r="E436" s="356"/>
      <c r="F436" s="357"/>
      <c r="G436" s="358"/>
      <c r="H436" s="359"/>
      <c r="I436" s="284"/>
      <c r="J436" s="287"/>
      <c r="K436" s="355"/>
      <c r="M436" s="359"/>
      <c r="N436" s="284"/>
      <c r="O436" s="355"/>
      <c r="P436" s="360"/>
      <c r="Q436" s="359"/>
      <c r="R436" s="284"/>
      <c r="S436" s="355"/>
      <c r="U436" s="359"/>
      <c r="V436" s="284"/>
      <c r="W436" s="355"/>
      <c r="Y436" s="359"/>
      <c r="Z436" s="284"/>
      <c r="AA436" s="355"/>
      <c r="AC436" s="359"/>
      <c r="AD436" s="284"/>
      <c r="AE436" s="355"/>
      <c r="AG436" s="359"/>
      <c r="AH436" s="284"/>
      <c r="AI436" s="355"/>
      <c r="AK436" s="359"/>
      <c r="AL436" s="284"/>
      <c r="AM436" s="355"/>
      <c r="AO436" s="359"/>
      <c r="AP436" s="284"/>
      <c r="AQ436" s="355"/>
      <c r="AR436" s="360"/>
      <c r="AS436" s="359"/>
      <c r="AT436" s="284"/>
      <c r="AU436" s="355"/>
      <c r="AW436" s="359"/>
      <c r="AX436" s="284"/>
      <c r="AY436" s="355"/>
      <c r="BA436" s="359"/>
      <c r="BB436" s="284"/>
      <c r="BC436" s="355"/>
      <c r="BE436" s="359"/>
      <c r="BF436" s="284"/>
      <c r="BG436" s="355"/>
      <c r="BI436" s="359"/>
      <c r="BJ436" s="284"/>
      <c r="BK436" s="355"/>
      <c r="BM436" s="359"/>
      <c r="BN436" s="284"/>
      <c r="BO436" s="355"/>
      <c r="BQ436" s="359"/>
      <c r="BR436" s="284"/>
      <c r="BS436" s="355"/>
      <c r="BU436" s="359"/>
      <c r="BV436" s="284"/>
    </row>
    <row r="437" spans="2:74" x14ac:dyDescent="0.25">
      <c r="B437" s="284"/>
      <c r="D437" s="355"/>
      <c r="E437" s="356"/>
      <c r="F437" s="357"/>
      <c r="G437" s="358"/>
      <c r="H437" s="359"/>
      <c r="I437" s="284"/>
      <c r="J437" s="287"/>
      <c r="K437" s="355"/>
      <c r="M437" s="359"/>
      <c r="N437" s="284"/>
      <c r="O437" s="355"/>
      <c r="P437" s="360"/>
      <c r="Q437" s="359"/>
      <c r="R437" s="284"/>
      <c r="S437" s="355"/>
      <c r="U437" s="359"/>
      <c r="V437" s="284"/>
      <c r="W437" s="355"/>
      <c r="Y437" s="359"/>
      <c r="Z437" s="284"/>
      <c r="AA437" s="355"/>
      <c r="AC437" s="359"/>
      <c r="AD437" s="284"/>
      <c r="AE437" s="355"/>
      <c r="AG437" s="359"/>
      <c r="AH437" s="284"/>
      <c r="AI437" s="355"/>
      <c r="AK437" s="359"/>
      <c r="AL437" s="284"/>
      <c r="AM437" s="355"/>
      <c r="AO437" s="359"/>
      <c r="AP437" s="284"/>
      <c r="AQ437" s="355"/>
      <c r="AR437" s="360"/>
      <c r="AS437" s="359"/>
      <c r="AT437" s="284"/>
      <c r="AU437" s="355"/>
      <c r="AW437" s="359"/>
      <c r="AX437" s="284"/>
      <c r="AY437" s="355"/>
      <c r="BA437" s="359"/>
      <c r="BB437" s="284"/>
      <c r="BC437" s="355"/>
      <c r="BE437" s="359"/>
      <c r="BF437" s="284"/>
      <c r="BG437" s="355"/>
      <c r="BI437" s="359"/>
      <c r="BJ437" s="284"/>
      <c r="BK437" s="355"/>
      <c r="BM437" s="359"/>
      <c r="BN437" s="284"/>
      <c r="BO437" s="355"/>
      <c r="BQ437" s="359"/>
      <c r="BR437" s="284"/>
      <c r="BS437" s="355"/>
      <c r="BU437" s="359"/>
      <c r="BV437" s="284"/>
    </row>
    <row r="438" spans="2:74" x14ac:dyDescent="0.25">
      <c r="B438" s="284"/>
      <c r="D438" s="355"/>
      <c r="E438" s="356"/>
      <c r="F438" s="357"/>
      <c r="G438" s="358"/>
      <c r="H438" s="359"/>
      <c r="I438" s="284"/>
      <c r="J438" s="287"/>
      <c r="K438" s="355"/>
      <c r="M438" s="359"/>
      <c r="N438" s="284"/>
      <c r="O438" s="355"/>
      <c r="P438" s="360"/>
      <c r="Q438" s="359"/>
      <c r="R438" s="284"/>
      <c r="S438" s="355"/>
      <c r="U438" s="359"/>
      <c r="V438" s="284"/>
      <c r="W438" s="355"/>
      <c r="Y438" s="359"/>
      <c r="Z438" s="284"/>
      <c r="AA438" s="355"/>
      <c r="AC438" s="359"/>
      <c r="AD438" s="284"/>
      <c r="AE438" s="355"/>
      <c r="AG438" s="359"/>
      <c r="AH438" s="284"/>
      <c r="AI438" s="355"/>
      <c r="AK438" s="359"/>
      <c r="AL438" s="284"/>
      <c r="AM438" s="355"/>
      <c r="AO438" s="359"/>
      <c r="AP438" s="284"/>
      <c r="AQ438" s="355"/>
      <c r="AR438" s="360"/>
      <c r="AS438" s="359"/>
      <c r="AT438" s="284"/>
      <c r="AU438" s="355"/>
      <c r="AW438" s="359"/>
      <c r="AX438" s="284"/>
      <c r="AY438" s="355"/>
      <c r="BA438" s="359"/>
      <c r="BB438" s="284"/>
      <c r="BC438" s="355"/>
      <c r="BE438" s="359"/>
      <c r="BF438" s="284"/>
      <c r="BG438" s="355"/>
      <c r="BI438" s="359"/>
      <c r="BJ438" s="284"/>
      <c r="BK438" s="355"/>
      <c r="BM438" s="359"/>
      <c r="BN438" s="284"/>
      <c r="BO438" s="355"/>
      <c r="BQ438" s="359"/>
      <c r="BR438" s="284"/>
      <c r="BS438" s="355"/>
      <c r="BU438" s="359"/>
      <c r="BV438" s="284"/>
    </row>
    <row r="439" spans="2:74" x14ac:dyDescent="0.25">
      <c r="B439" s="284"/>
      <c r="D439" s="355"/>
      <c r="E439" s="356"/>
      <c r="F439" s="357"/>
      <c r="G439" s="358"/>
      <c r="H439" s="359"/>
      <c r="I439" s="284"/>
      <c r="J439" s="287"/>
      <c r="K439" s="355"/>
      <c r="M439" s="359"/>
      <c r="N439" s="284"/>
      <c r="O439" s="355"/>
      <c r="P439" s="360"/>
      <c r="Q439" s="359"/>
      <c r="R439" s="284"/>
      <c r="S439" s="355"/>
      <c r="U439" s="359"/>
      <c r="V439" s="284"/>
      <c r="W439" s="355"/>
      <c r="Y439" s="359"/>
      <c r="Z439" s="284"/>
      <c r="AA439" s="355"/>
      <c r="AC439" s="359"/>
      <c r="AD439" s="284"/>
      <c r="AE439" s="355"/>
      <c r="AG439" s="359"/>
      <c r="AH439" s="284"/>
      <c r="AI439" s="355"/>
      <c r="AK439" s="359"/>
      <c r="AL439" s="284"/>
      <c r="AM439" s="355"/>
      <c r="AO439" s="359"/>
      <c r="AP439" s="284"/>
      <c r="AQ439" s="355"/>
      <c r="AR439" s="360"/>
      <c r="AS439" s="359"/>
      <c r="AT439" s="284"/>
      <c r="AU439" s="355"/>
      <c r="AW439" s="359"/>
      <c r="AX439" s="284"/>
      <c r="AY439" s="355"/>
      <c r="BA439" s="359"/>
      <c r="BB439" s="284"/>
      <c r="BC439" s="355"/>
      <c r="BE439" s="359"/>
      <c r="BF439" s="284"/>
      <c r="BG439" s="355"/>
      <c r="BI439" s="359"/>
      <c r="BJ439" s="284"/>
      <c r="BK439" s="355"/>
      <c r="BM439" s="359"/>
      <c r="BN439" s="284"/>
      <c r="BO439" s="355"/>
      <c r="BQ439" s="359"/>
      <c r="BR439" s="284"/>
      <c r="BS439" s="355"/>
      <c r="BU439" s="359"/>
      <c r="BV439" s="284"/>
    </row>
    <row r="440" spans="2:74" x14ac:dyDescent="0.25">
      <c r="B440" s="284"/>
      <c r="D440" s="355"/>
      <c r="E440" s="356"/>
      <c r="F440" s="357"/>
      <c r="G440" s="358"/>
      <c r="H440" s="359"/>
      <c r="I440" s="284"/>
      <c r="J440" s="287"/>
      <c r="K440" s="355"/>
      <c r="M440" s="359"/>
      <c r="N440" s="284"/>
      <c r="O440" s="355"/>
      <c r="P440" s="360"/>
      <c r="Q440" s="359"/>
      <c r="R440" s="284"/>
      <c r="S440" s="355"/>
      <c r="U440" s="359"/>
      <c r="V440" s="284"/>
      <c r="W440" s="355"/>
      <c r="Y440" s="359"/>
      <c r="Z440" s="284"/>
      <c r="AA440" s="355"/>
      <c r="AC440" s="359"/>
      <c r="AD440" s="284"/>
      <c r="AE440" s="355"/>
      <c r="AG440" s="359"/>
      <c r="AH440" s="284"/>
      <c r="AI440" s="355"/>
      <c r="AK440" s="359"/>
      <c r="AL440" s="284"/>
      <c r="AM440" s="355"/>
      <c r="AO440" s="359"/>
      <c r="AP440" s="284"/>
      <c r="AQ440" s="355"/>
      <c r="AR440" s="360"/>
      <c r="AS440" s="359"/>
      <c r="AT440" s="284"/>
      <c r="AU440" s="355"/>
      <c r="AW440" s="359"/>
      <c r="AX440" s="284"/>
      <c r="AY440" s="355"/>
      <c r="BA440" s="359"/>
      <c r="BB440" s="284"/>
      <c r="BC440" s="355"/>
      <c r="BE440" s="359"/>
      <c r="BF440" s="284"/>
      <c r="BG440" s="355"/>
      <c r="BI440" s="359"/>
      <c r="BJ440" s="284"/>
      <c r="BK440" s="355"/>
      <c r="BM440" s="359"/>
      <c r="BN440" s="284"/>
      <c r="BO440" s="355"/>
      <c r="BQ440" s="359"/>
      <c r="BR440" s="284"/>
      <c r="BS440" s="355"/>
      <c r="BU440" s="359"/>
      <c r="BV440" s="284"/>
    </row>
    <row r="441" spans="2:74" x14ac:dyDescent="0.25">
      <c r="B441" s="284"/>
      <c r="D441" s="355"/>
      <c r="E441" s="356"/>
      <c r="F441" s="357"/>
      <c r="G441" s="358"/>
      <c r="H441" s="359"/>
      <c r="I441" s="284"/>
      <c r="J441" s="287"/>
      <c r="K441" s="355"/>
      <c r="M441" s="359"/>
      <c r="N441" s="284"/>
      <c r="O441" s="355"/>
      <c r="P441" s="360"/>
      <c r="Q441" s="359"/>
      <c r="R441" s="284"/>
      <c r="S441" s="355"/>
      <c r="U441" s="359"/>
      <c r="V441" s="284"/>
      <c r="W441" s="355"/>
      <c r="Y441" s="359"/>
      <c r="Z441" s="284"/>
      <c r="AA441" s="355"/>
      <c r="AC441" s="359"/>
      <c r="AD441" s="284"/>
      <c r="AE441" s="355"/>
      <c r="AG441" s="359"/>
      <c r="AH441" s="284"/>
      <c r="AI441" s="355"/>
      <c r="AK441" s="359"/>
      <c r="AL441" s="284"/>
      <c r="AM441" s="355"/>
      <c r="AO441" s="359"/>
      <c r="AP441" s="284"/>
      <c r="AQ441" s="355"/>
      <c r="AR441" s="360"/>
      <c r="AS441" s="359"/>
      <c r="AT441" s="284"/>
      <c r="AU441" s="355"/>
      <c r="AW441" s="359"/>
      <c r="AX441" s="284"/>
      <c r="AY441" s="355"/>
      <c r="BA441" s="359"/>
      <c r="BB441" s="284"/>
      <c r="BC441" s="355"/>
      <c r="BE441" s="359"/>
      <c r="BF441" s="284"/>
      <c r="BG441" s="355"/>
      <c r="BI441" s="359"/>
      <c r="BJ441" s="284"/>
      <c r="BK441" s="355"/>
      <c r="BM441" s="359"/>
      <c r="BN441" s="284"/>
      <c r="BO441" s="355"/>
      <c r="BQ441" s="359"/>
      <c r="BR441" s="284"/>
      <c r="BS441" s="355"/>
      <c r="BU441" s="359"/>
      <c r="BV441" s="284"/>
    </row>
    <row r="442" spans="2:74" x14ac:dyDescent="0.25">
      <c r="B442" s="284"/>
      <c r="D442" s="355"/>
      <c r="E442" s="356"/>
      <c r="F442" s="357"/>
      <c r="G442" s="358"/>
      <c r="H442" s="359"/>
      <c r="I442" s="284"/>
      <c r="J442" s="287"/>
      <c r="K442" s="355"/>
      <c r="M442" s="359"/>
      <c r="N442" s="284"/>
      <c r="O442" s="355"/>
      <c r="P442" s="360"/>
      <c r="Q442" s="359"/>
      <c r="R442" s="284"/>
      <c r="S442" s="355"/>
      <c r="U442" s="359"/>
      <c r="V442" s="284"/>
      <c r="W442" s="355"/>
      <c r="Y442" s="359"/>
      <c r="Z442" s="284"/>
      <c r="AA442" s="355"/>
      <c r="AC442" s="359"/>
      <c r="AD442" s="284"/>
      <c r="AE442" s="355"/>
      <c r="AG442" s="359"/>
      <c r="AH442" s="284"/>
      <c r="AI442" s="355"/>
      <c r="AK442" s="359"/>
      <c r="AL442" s="284"/>
      <c r="AM442" s="355"/>
      <c r="AO442" s="359"/>
      <c r="AP442" s="284"/>
      <c r="AQ442" s="355"/>
      <c r="AR442" s="360"/>
      <c r="AS442" s="359"/>
      <c r="AT442" s="284"/>
      <c r="AU442" s="355"/>
      <c r="AW442" s="359"/>
      <c r="AX442" s="284"/>
      <c r="AY442" s="355"/>
      <c r="BA442" s="359"/>
      <c r="BB442" s="284"/>
      <c r="BC442" s="355"/>
      <c r="BE442" s="359"/>
      <c r="BF442" s="284"/>
      <c r="BG442" s="355"/>
      <c r="BI442" s="359"/>
      <c r="BJ442" s="284"/>
      <c r="BK442" s="355"/>
      <c r="BM442" s="359"/>
      <c r="BN442" s="284"/>
      <c r="BO442" s="355"/>
      <c r="BQ442" s="359"/>
      <c r="BR442" s="284"/>
      <c r="BS442" s="355"/>
      <c r="BU442" s="359"/>
      <c r="BV442" s="284"/>
    </row>
    <row r="443" spans="2:74" x14ac:dyDescent="0.25">
      <c r="B443" s="284"/>
      <c r="D443" s="355"/>
      <c r="E443" s="356"/>
      <c r="F443" s="357"/>
      <c r="G443" s="358"/>
      <c r="H443" s="359"/>
      <c r="I443" s="284"/>
      <c r="J443" s="287"/>
      <c r="K443" s="355"/>
      <c r="M443" s="359"/>
      <c r="N443" s="284"/>
      <c r="O443" s="355"/>
      <c r="P443" s="360"/>
      <c r="Q443" s="359"/>
      <c r="R443" s="284"/>
      <c r="S443" s="355"/>
      <c r="U443" s="359"/>
      <c r="V443" s="284"/>
      <c r="W443" s="355"/>
      <c r="Y443" s="359"/>
      <c r="Z443" s="284"/>
      <c r="AA443" s="355"/>
      <c r="AC443" s="359"/>
      <c r="AD443" s="284"/>
      <c r="AE443" s="355"/>
      <c r="AG443" s="359"/>
      <c r="AH443" s="284"/>
      <c r="AI443" s="355"/>
      <c r="AK443" s="359"/>
      <c r="AL443" s="284"/>
      <c r="AM443" s="355"/>
      <c r="AO443" s="359"/>
      <c r="AP443" s="284"/>
      <c r="AQ443" s="355"/>
      <c r="AR443" s="360"/>
      <c r="AS443" s="359"/>
      <c r="AT443" s="284"/>
      <c r="AU443" s="355"/>
      <c r="AW443" s="359"/>
      <c r="AX443" s="284"/>
      <c r="AY443" s="355"/>
      <c r="BA443" s="359"/>
      <c r="BB443" s="284"/>
      <c r="BC443" s="355"/>
      <c r="BE443" s="359"/>
      <c r="BF443" s="284"/>
      <c r="BG443" s="355"/>
      <c r="BI443" s="359"/>
      <c r="BJ443" s="284"/>
      <c r="BK443" s="355"/>
      <c r="BM443" s="359"/>
      <c r="BN443" s="284"/>
      <c r="BO443" s="355"/>
      <c r="BQ443" s="359"/>
      <c r="BR443" s="284"/>
      <c r="BS443" s="355"/>
      <c r="BU443" s="359"/>
      <c r="BV443" s="284"/>
    </row>
    <row r="444" spans="2:74" x14ac:dyDescent="0.25">
      <c r="B444" s="284"/>
      <c r="D444" s="355"/>
      <c r="E444" s="356"/>
      <c r="F444" s="357"/>
      <c r="G444" s="358"/>
      <c r="H444" s="359"/>
      <c r="I444" s="284"/>
      <c r="J444" s="287"/>
      <c r="K444" s="355"/>
      <c r="M444" s="359"/>
      <c r="N444" s="284"/>
      <c r="O444" s="355"/>
      <c r="P444" s="360"/>
      <c r="Q444" s="359"/>
      <c r="R444" s="284"/>
      <c r="S444" s="355"/>
      <c r="U444" s="359"/>
      <c r="V444" s="284"/>
      <c r="W444" s="355"/>
      <c r="Y444" s="359"/>
      <c r="Z444" s="284"/>
      <c r="AA444" s="355"/>
      <c r="AC444" s="359"/>
      <c r="AD444" s="284"/>
      <c r="AE444" s="355"/>
      <c r="AG444" s="359"/>
      <c r="AH444" s="284"/>
      <c r="AI444" s="355"/>
      <c r="AK444" s="359"/>
      <c r="AL444" s="284"/>
      <c r="AM444" s="355"/>
      <c r="AO444" s="359"/>
      <c r="AP444" s="284"/>
      <c r="AQ444" s="355"/>
      <c r="AR444" s="360"/>
      <c r="AS444" s="359"/>
      <c r="AT444" s="284"/>
      <c r="AU444" s="355"/>
      <c r="AW444" s="359"/>
      <c r="AX444" s="284"/>
      <c r="AY444" s="355"/>
      <c r="BA444" s="359"/>
      <c r="BB444" s="284"/>
      <c r="BC444" s="355"/>
      <c r="BE444" s="359"/>
      <c r="BF444" s="284"/>
      <c r="BG444" s="355"/>
      <c r="BI444" s="359"/>
      <c r="BJ444" s="284"/>
      <c r="BK444" s="355"/>
      <c r="BM444" s="359"/>
      <c r="BN444" s="284"/>
      <c r="BO444" s="355"/>
      <c r="BQ444" s="359"/>
      <c r="BR444" s="284"/>
      <c r="BS444" s="355"/>
      <c r="BU444" s="359"/>
      <c r="BV444" s="284"/>
    </row>
    <row r="445" spans="2:74" x14ac:dyDescent="0.25">
      <c r="B445" s="284"/>
      <c r="D445" s="355"/>
      <c r="E445" s="356"/>
      <c r="F445" s="357"/>
      <c r="G445" s="358"/>
      <c r="H445" s="359"/>
      <c r="I445" s="284"/>
      <c r="J445" s="287"/>
      <c r="K445" s="355"/>
      <c r="M445" s="359"/>
      <c r="N445" s="284"/>
      <c r="O445" s="355"/>
      <c r="P445" s="360"/>
      <c r="Q445" s="359"/>
      <c r="R445" s="284"/>
      <c r="S445" s="355"/>
      <c r="U445" s="359"/>
      <c r="V445" s="284"/>
      <c r="W445" s="355"/>
      <c r="Y445" s="359"/>
      <c r="Z445" s="284"/>
      <c r="AA445" s="355"/>
      <c r="AC445" s="359"/>
      <c r="AD445" s="284"/>
      <c r="AE445" s="355"/>
      <c r="AG445" s="359"/>
      <c r="AH445" s="284"/>
      <c r="AI445" s="355"/>
      <c r="AK445" s="359"/>
      <c r="AL445" s="284"/>
      <c r="AM445" s="355"/>
      <c r="AO445" s="359"/>
      <c r="AP445" s="284"/>
      <c r="AQ445" s="355"/>
      <c r="AR445" s="360"/>
      <c r="AS445" s="359"/>
      <c r="AT445" s="284"/>
      <c r="AU445" s="355"/>
      <c r="AW445" s="359"/>
      <c r="AX445" s="284"/>
      <c r="AY445" s="355"/>
      <c r="BA445" s="359"/>
      <c r="BB445" s="284"/>
      <c r="BC445" s="355"/>
      <c r="BE445" s="359"/>
      <c r="BF445" s="284"/>
      <c r="BG445" s="355"/>
      <c r="BI445" s="359"/>
      <c r="BJ445" s="284"/>
      <c r="BK445" s="355"/>
      <c r="BM445" s="359"/>
      <c r="BN445" s="284"/>
      <c r="BO445" s="355"/>
      <c r="BQ445" s="359"/>
      <c r="BR445" s="284"/>
      <c r="BS445" s="355"/>
      <c r="BU445" s="359"/>
      <c r="BV445" s="284"/>
    </row>
    <row r="446" spans="2:74" x14ac:dyDescent="0.25">
      <c r="B446" s="284"/>
      <c r="D446" s="355"/>
      <c r="E446" s="356"/>
      <c r="F446" s="357"/>
      <c r="G446" s="358"/>
      <c r="H446" s="359"/>
      <c r="I446" s="284"/>
      <c r="J446" s="287"/>
      <c r="K446" s="355"/>
      <c r="M446" s="359"/>
      <c r="N446" s="284"/>
      <c r="O446" s="355"/>
      <c r="P446" s="360"/>
      <c r="Q446" s="359"/>
      <c r="R446" s="284"/>
      <c r="S446" s="355"/>
      <c r="U446" s="359"/>
      <c r="V446" s="284"/>
      <c r="W446" s="355"/>
      <c r="Y446" s="359"/>
      <c r="Z446" s="284"/>
      <c r="AA446" s="355"/>
      <c r="AC446" s="359"/>
      <c r="AD446" s="284"/>
      <c r="AE446" s="355"/>
      <c r="AG446" s="359"/>
      <c r="AH446" s="284"/>
      <c r="AI446" s="355"/>
      <c r="AK446" s="359"/>
      <c r="AL446" s="284"/>
      <c r="AM446" s="355"/>
      <c r="AO446" s="359"/>
      <c r="AP446" s="284"/>
      <c r="AQ446" s="355"/>
      <c r="AR446" s="360"/>
      <c r="AS446" s="359"/>
      <c r="AT446" s="284"/>
      <c r="AU446" s="355"/>
      <c r="AW446" s="359"/>
      <c r="AX446" s="284"/>
      <c r="AY446" s="355"/>
      <c r="BA446" s="359"/>
      <c r="BB446" s="284"/>
      <c r="BC446" s="355"/>
      <c r="BE446" s="359"/>
      <c r="BF446" s="284"/>
      <c r="BG446" s="355"/>
      <c r="BI446" s="359"/>
      <c r="BJ446" s="284"/>
      <c r="BK446" s="355"/>
      <c r="BM446" s="359"/>
      <c r="BN446" s="284"/>
      <c r="BO446" s="355"/>
      <c r="BQ446" s="359"/>
      <c r="BR446" s="284"/>
      <c r="BS446" s="355"/>
      <c r="BU446" s="359"/>
      <c r="BV446" s="284"/>
    </row>
    <row r="447" spans="2:74" x14ac:dyDescent="0.25">
      <c r="B447" s="284"/>
      <c r="D447" s="355"/>
      <c r="E447" s="356"/>
      <c r="F447" s="357"/>
      <c r="G447" s="358"/>
      <c r="H447" s="359"/>
      <c r="I447" s="284"/>
      <c r="J447" s="287"/>
      <c r="K447" s="355"/>
      <c r="M447" s="359"/>
      <c r="N447" s="284"/>
      <c r="O447" s="355"/>
      <c r="P447" s="360"/>
      <c r="Q447" s="359"/>
      <c r="R447" s="284"/>
      <c r="S447" s="355"/>
      <c r="U447" s="359"/>
      <c r="V447" s="284"/>
      <c r="W447" s="355"/>
      <c r="Y447" s="359"/>
      <c r="Z447" s="284"/>
      <c r="AA447" s="355"/>
      <c r="AC447" s="359"/>
      <c r="AD447" s="284"/>
      <c r="AE447" s="355"/>
      <c r="AG447" s="359"/>
      <c r="AH447" s="284"/>
      <c r="AI447" s="355"/>
      <c r="AK447" s="359"/>
      <c r="AL447" s="284"/>
      <c r="AM447" s="355"/>
      <c r="AO447" s="359"/>
      <c r="AP447" s="284"/>
      <c r="AQ447" s="355"/>
      <c r="AR447" s="360"/>
      <c r="AS447" s="359"/>
      <c r="AT447" s="284"/>
      <c r="AU447" s="355"/>
      <c r="AW447" s="359"/>
      <c r="AX447" s="284"/>
      <c r="AY447" s="355"/>
      <c r="BA447" s="359"/>
      <c r="BB447" s="284"/>
      <c r="BC447" s="355"/>
      <c r="BE447" s="359"/>
      <c r="BF447" s="284"/>
      <c r="BG447" s="355"/>
      <c r="BI447" s="359"/>
      <c r="BJ447" s="284"/>
      <c r="BK447" s="355"/>
      <c r="BM447" s="359"/>
      <c r="BN447" s="284"/>
      <c r="BO447" s="355"/>
      <c r="BQ447" s="359"/>
      <c r="BR447" s="284"/>
      <c r="BS447" s="355"/>
      <c r="BU447" s="359"/>
      <c r="BV447" s="284"/>
    </row>
    <row r="448" spans="2:74" x14ac:dyDescent="0.25">
      <c r="B448" s="284"/>
      <c r="D448" s="355"/>
      <c r="E448" s="356"/>
      <c r="F448" s="357"/>
      <c r="G448" s="358"/>
      <c r="H448" s="359"/>
      <c r="I448" s="284"/>
      <c r="J448" s="287"/>
      <c r="K448" s="355"/>
      <c r="M448" s="359"/>
      <c r="N448" s="284"/>
      <c r="O448" s="355"/>
      <c r="P448" s="360"/>
      <c r="Q448" s="359"/>
      <c r="R448" s="284"/>
      <c r="S448" s="355"/>
      <c r="U448" s="359"/>
      <c r="V448" s="284"/>
      <c r="W448" s="355"/>
      <c r="Y448" s="359"/>
      <c r="Z448" s="284"/>
      <c r="AA448" s="355"/>
      <c r="AC448" s="359"/>
      <c r="AD448" s="284"/>
      <c r="AE448" s="355"/>
      <c r="AG448" s="359"/>
      <c r="AH448" s="284"/>
      <c r="AI448" s="355"/>
      <c r="AK448" s="359"/>
      <c r="AL448" s="284"/>
      <c r="AM448" s="355"/>
      <c r="AO448" s="359"/>
      <c r="AP448" s="284"/>
      <c r="AQ448" s="355"/>
      <c r="AR448" s="360"/>
      <c r="AS448" s="359"/>
      <c r="AT448" s="284"/>
      <c r="AU448" s="355"/>
      <c r="AW448" s="359"/>
      <c r="AX448" s="284"/>
      <c r="AY448" s="355"/>
      <c r="BA448" s="359"/>
      <c r="BB448" s="284"/>
      <c r="BC448" s="355"/>
      <c r="BE448" s="359"/>
      <c r="BF448" s="284"/>
      <c r="BG448" s="355"/>
      <c r="BI448" s="359"/>
      <c r="BJ448" s="284"/>
      <c r="BK448" s="355"/>
      <c r="BM448" s="359"/>
      <c r="BN448" s="284"/>
      <c r="BO448" s="355"/>
      <c r="BQ448" s="359"/>
      <c r="BR448" s="284"/>
      <c r="BS448" s="355"/>
      <c r="BU448" s="359"/>
      <c r="BV448" s="284"/>
    </row>
    <row r="449" spans="2:74" x14ac:dyDescent="0.25">
      <c r="B449" s="284"/>
      <c r="D449" s="355"/>
      <c r="E449" s="356"/>
      <c r="F449" s="357"/>
      <c r="G449" s="358"/>
      <c r="H449" s="359"/>
      <c r="I449" s="284"/>
      <c r="J449" s="287"/>
      <c r="K449" s="355"/>
      <c r="M449" s="359"/>
      <c r="N449" s="284"/>
      <c r="O449" s="355"/>
      <c r="P449" s="360"/>
      <c r="Q449" s="359"/>
      <c r="R449" s="284"/>
      <c r="S449" s="355"/>
      <c r="U449" s="359"/>
      <c r="V449" s="284"/>
      <c r="W449" s="355"/>
      <c r="Y449" s="359"/>
      <c r="Z449" s="284"/>
      <c r="AA449" s="355"/>
      <c r="AC449" s="359"/>
      <c r="AD449" s="284"/>
      <c r="AE449" s="355"/>
      <c r="AG449" s="359"/>
      <c r="AH449" s="284"/>
      <c r="AI449" s="355"/>
      <c r="AK449" s="359"/>
      <c r="AL449" s="284"/>
      <c r="AM449" s="355"/>
      <c r="AO449" s="359"/>
      <c r="AP449" s="284"/>
      <c r="AQ449" s="355"/>
      <c r="AR449" s="360"/>
      <c r="AS449" s="359"/>
      <c r="AT449" s="284"/>
      <c r="AU449" s="355"/>
      <c r="AW449" s="359"/>
      <c r="AX449" s="284"/>
      <c r="AY449" s="355"/>
      <c r="BA449" s="359"/>
      <c r="BB449" s="284"/>
      <c r="BC449" s="355"/>
      <c r="BE449" s="359"/>
      <c r="BF449" s="284"/>
      <c r="BG449" s="355"/>
      <c r="BI449" s="359"/>
      <c r="BJ449" s="284"/>
      <c r="BK449" s="355"/>
      <c r="BM449" s="359"/>
      <c r="BN449" s="284"/>
      <c r="BO449" s="355"/>
      <c r="BQ449" s="359"/>
      <c r="BR449" s="284"/>
      <c r="BS449" s="355"/>
      <c r="BU449" s="359"/>
      <c r="BV449" s="284"/>
    </row>
    <row r="450" spans="2:74" x14ac:dyDescent="0.25">
      <c r="B450" s="284"/>
      <c r="D450" s="355"/>
      <c r="E450" s="356"/>
      <c r="F450" s="357"/>
      <c r="G450" s="358"/>
      <c r="H450" s="359"/>
      <c r="I450" s="284"/>
      <c r="J450" s="287"/>
      <c r="K450" s="355"/>
      <c r="M450" s="359"/>
      <c r="N450" s="284"/>
      <c r="O450" s="355"/>
      <c r="P450" s="360"/>
      <c r="Q450" s="359"/>
      <c r="R450" s="284"/>
      <c r="S450" s="355"/>
      <c r="U450" s="359"/>
      <c r="V450" s="284"/>
      <c r="W450" s="355"/>
      <c r="Y450" s="359"/>
      <c r="Z450" s="284"/>
      <c r="AA450" s="355"/>
      <c r="AC450" s="359"/>
      <c r="AD450" s="284"/>
      <c r="AE450" s="355"/>
      <c r="AG450" s="359"/>
      <c r="AH450" s="284"/>
      <c r="AI450" s="355"/>
      <c r="AK450" s="359"/>
      <c r="AL450" s="284"/>
      <c r="AM450" s="355"/>
      <c r="AO450" s="359"/>
      <c r="AP450" s="284"/>
      <c r="AQ450" s="355"/>
      <c r="AR450" s="360"/>
      <c r="AS450" s="359"/>
      <c r="AT450" s="284"/>
      <c r="AU450" s="355"/>
      <c r="AW450" s="359"/>
      <c r="AX450" s="284"/>
      <c r="AY450" s="355"/>
      <c r="BA450" s="359"/>
      <c r="BB450" s="284"/>
      <c r="BC450" s="355"/>
      <c r="BE450" s="359"/>
      <c r="BF450" s="284"/>
      <c r="BG450" s="355"/>
      <c r="BI450" s="359"/>
      <c r="BJ450" s="284"/>
      <c r="BK450" s="355"/>
      <c r="BM450" s="359"/>
      <c r="BN450" s="284"/>
      <c r="BO450" s="355"/>
      <c r="BQ450" s="359"/>
      <c r="BR450" s="284"/>
      <c r="BS450" s="355"/>
      <c r="BU450" s="359"/>
      <c r="BV450" s="284"/>
    </row>
    <row r="451" spans="2:74" x14ac:dyDescent="0.25">
      <c r="B451" s="284"/>
      <c r="D451" s="355"/>
      <c r="E451" s="356"/>
      <c r="F451" s="357"/>
      <c r="G451" s="358"/>
      <c r="H451" s="359"/>
      <c r="I451" s="284"/>
      <c r="J451" s="287"/>
      <c r="K451" s="355"/>
      <c r="M451" s="359"/>
      <c r="N451" s="284"/>
      <c r="O451" s="355"/>
      <c r="P451" s="360"/>
      <c r="Q451" s="359"/>
      <c r="R451" s="284"/>
      <c r="S451" s="355"/>
      <c r="U451" s="359"/>
      <c r="V451" s="284"/>
      <c r="W451" s="355"/>
      <c r="Y451" s="359"/>
      <c r="Z451" s="284"/>
      <c r="AA451" s="355"/>
      <c r="AC451" s="359"/>
      <c r="AD451" s="284"/>
      <c r="AE451" s="355"/>
      <c r="AG451" s="359"/>
      <c r="AH451" s="284"/>
      <c r="AI451" s="355"/>
      <c r="AK451" s="359"/>
      <c r="AL451" s="284"/>
      <c r="AM451" s="355"/>
      <c r="AO451" s="359"/>
      <c r="AP451" s="284"/>
      <c r="AQ451" s="355"/>
      <c r="AR451" s="360"/>
      <c r="AS451" s="359"/>
      <c r="AT451" s="284"/>
      <c r="AU451" s="355"/>
      <c r="AW451" s="359"/>
      <c r="AX451" s="284"/>
      <c r="AY451" s="355"/>
      <c r="BA451" s="359"/>
      <c r="BB451" s="284"/>
      <c r="BC451" s="355"/>
      <c r="BE451" s="359"/>
      <c r="BF451" s="284"/>
      <c r="BG451" s="355"/>
      <c r="BI451" s="359"/>
      <c r="BJ451" s="284"/>
      <c r="BK451" s="355"/>
      <c r="BM451" s="359"/>
      <c r="BN451" s="284"/>
      <c r="BO451" s="355"/>
      <c r="BQ451" s="359"/>
      <c r="BR451" s="284"/>
      <c r="BS451" s="355"/>
      <c r="BU451" s="359"/>
      <c r="BV451" s="284"/>
    </row>
    <row r="452" spans="2:74" x14ac:dyDescent="0.25">
      <c r="B452" s="284"/>
      <c r="D452" s="355"/>
      <c r="E452" s="356"/>
      <c r="F452" s="357"/>
      <c r="G452" s="358"/>
      <c r="H452" s="359"/>
      <c r="I452" s="284"/>
      <c r="J452" s="287"/>
      <c r="K452" s="355"/>
      <c r="M452" s="359"/>
      <c r="N452" s="284"/>
      <c r="O452" s="355"/>
      <c r="P452" s="360"/>
      <c r="Q452" s="359"/>
      <c r="R452" s="284"/>
      <c r="S452" s="355"/>
      <c r="U452" s="359"/>
      <c r="V452" s="284"/>
      <c r="W452" s="355"/>
      <c r="Y452" s="359"/>
      <c r="Z452" s="284"/>
      <c r="AA452" s="355"/>
      <c r="AC452" s="359"/>
      <c r="AD452" s="284"/>
      <c r="AE452" s="355"/>
      <c r="AG452" s="359"/>
      <c r="AH452" s="284"/>
      <c r="AI452" s="355"/>
      <c r="AK452" s="359"/>
      <c r="AL452" s="284"/>
      <c r="AM452" s="355"/>
      <c r="AO452" s="359"/>
      <c r="AP452" s="284"/>
      <c r="AQ452" s="355"/>
      <c r="AR452" s="360"/>
      <c r="AS452" s="359"/>
      <c r="AT452" s="284"/>
      <c r="AU452" s="355"/>
      <c r="AW452" s="359"/>
      <c r="AX452" s="284"/>
      <c r="AY452" s="355"/>
      <c r="BA452" s="359"/>
      <c r="BB452" s="284"/>
      <c r="BC452" s="355"/>
      <c r="BE452" s="359"/>
      <c r="BF452" s="284"/>
      <c r="BG452" s="355"/>
      <c r="BI452" s="359"/>
      <c r="BJ452" s="284"/>
      <c r="BK452" s="355"/>
      <c r="BM452" s="359"/>
      <c r="BN452" s="284"/>
      <c r="BO452" s="355"/>
      <c r="BQ452" s="359"/>
      <c r="BR452" s="284"/>
      <c r="BS452" s="355"/>
      <c r="BU452" s="359"/>
      <c r="BV452" s="284"/>
    </row>
    <row r="453" spans="2:74" x14ac:dyDescent="0.25">
      <c r="B453" s="284"/>
      <c r="D453" s="355"/>
      <c r="E453" s="356"/>
      <c r="F453" s="357"/>
      <c r="G453" s="358"/>
      <c r="H453" s="359"/>
      <c r="I453" s="284"/>
      <c r="J453" s="287"/>
      <c r="K453" s="355"/>
      <c r="M453" s="359"/>
      <c r="N453" s="284"/>
      <c r="O453" s="355"/>
      <c r="P453" s="360"/>
      <c r="Q453" s="359"/>
      <c r="R453" s="284"/>
      <c r="S453" s="355"/>
      <c r="U453" s="359"/>
      <c r="V453" s="284"/>
      <c r="W453" s="355"/>
      <c r="Y453" s="359"/>
      <c r="Z453" s="284"/>
      <c r="AA453" s="355"/>
      <c r="AC453" s="359"/>
      <c r="AD453" s="284"/>
      <c r="AE453" s="355"/>
      <c r="AG453" s="359"/>
      <c r="AH453" s="284"/>
      <c r="AI453" s="355"/>
      <c r="AK453" s="359"/>
      <c r="AL453" s="284"/>
      <c r="AM453" s="355"/>
      <c r="AO453" s="359"/>
      <c r="AP453" s="284"/>
      <c r="AQ453" s="355"/>
      <c r="AR453" s="360"/>
      <c r="AS453" s="359"/>
      <c r="AT453" s="284"/>
      <c r="AU453" s="355"/>
      <c r="AW453" s="359"/>
      <c r="AX453" s="284"/>
      <c r="AY453" s="355"/>
      <c r="BA453" s="359"/>
      <c r="BB453" s="284"/>
      <c r="BC453" s="355"/>
      <c r="BE453" s="359"/>
      <c r="BF453" s="284"/>
      <c r="BG453" s="355"/>
      <c r="BI453" s="359"/>
      <c r="BJ453" s="284"/>
      <c r="BK453" s="355"/>
      <c r="BM453" s="359"/>
      <c r="BN453" s="284"/>
      <c r="BO453" s="355"/>
      <c r="BQ453" s="359"/>
      <c r="BR453" s="284"/>
      <c r="BS453" s="355"/>
      <c r="BU453" s="359"/>
      <c r="BV453" s="284"/>
    </row>
    <row r="454" spans="2:74" x14ac:dyDescent="0.25">
      <c r="B454" s="284"/>
      <c r="D454" s="355"/>
      <c r="E454" s="356"/>
      <c r="F454" s="357"/>
      <c r="G454" s="358"/>
      <c r="H454" s="359"/>
      <c r="I454" s="284"/>
      <c r="J454" s="287"/>
      <c r="K454" s="355"/>
      <c r="M454" s="359"/>
      <c r="N454" s="284"/>
      <c r="O454" s="355"/>
      <c r="P454" s="360"/>
      <c r="Q454" s="359"/>
      <c r="R454" s="284"/>
      <c r="S454" s="355"/>
      <c r="U454" s="359"/>
      <c r="V454" s="284"/>
      <c r="W454" s="355"/>
      <c r="Y454" s="359"/>
      <c r="Z454" s="284"/>
      <c r="AA454" s="355"/>
      <c r="AC454" s="359"/>
      <c r="AD454" s="284"/>
      <c r="AE454" s="355"/>
      <c r="AG454" s="359"/>
      <c r="AH454" s="284"/>
      <c r="AI454" s="355"/>
      <c r="AK454" s="359"/>
      <c r="AL454" s="284"/>
      <c r="AM454" s="355"/>
      <c r="AO454" s="359"/>
      <c r="AP454" s="284"/>
      <c r="AQ454" s="355"/>
      <c r="AR454" s="360"/>
      <c r="AS454" s="359"/>
      <c r="AT454" s="284"/>
      <c r="AU454" s="355"/>
      <c r="AW454" s="359"/>
      <c r="AX454" s="284"/>
      <c r="AY454" s="355"/>
      <c r="BA454" s="359"/>
      <c r="BB454" s="284"/>
      <c r="BC454" s="355"/>
      <c r="BE454" s="359"/>
      <c r="BF454" s="284"/>
      <c r="BG454" s="355"/>
      <c r="BI454" s="359"/>
      <c r="BJ454" s="284"/>
      <c r="BK454" s="355"/>
      <c r="BM454" s="359"/>
      <c r="BN454" s="284"/>
      <c r="BO454" s="355"/>
      <c r="BQ454" s="359"/>
      <c r="BR454" s="284"/>
      <c r="BS454" s="355"/>
      <c r="BU454" s="359"/>
      <c r="BV454" s="284"/>
    </row>
    <row r="455" spans="2:74" x14ac:dyDescent="0.25">
      <c r="B455" s="284"/>
      <c r="D455" s="355"/>
      <c r="E455" s="356"/>
      <c r="F455" s="357"/>
      <c r="G455" s="358"/>
      <c r="H455" s="359"/>
      <c r="I455" s="284"/>
      <c r="J455" s="287"/>
      <c r="K455" s="355"/>
      <c r="M455" s="359"/>
      <c r="N455" s="284"/>
      <c r="O455" s="355"/>
      <c r="P455" s="360"/>
      <c r="Q455" s="359"/>
      <c r="R455" s="284"/>
      <c r="S455" s="355"/>
      <c r="U455" s="359"/>
      <c r="V455" s="284"/>
      <c r="W455" s="355"/>
      <c r="Y455" s="359"/>
      <c r="Z455" s="284"/>
      <c r="AA455" s="355"/>
      <c r="AC455" s="359"/>
      <c r="AD455" s="284"/>
      <c r="AE455" s="355"/>
      <c r="AG455" s="359"/>
      <c r="AH455" s="284"/>
      <c r="AI455" s="355"/>
      <c r="AK455" s="359"/>
      <c r="AL455" s="284"/>
      <c r="AM455" s="355"/>
      <c r="AO455" s="359"/>
      <c r="AP455" s="284"/>
      <c r="AQ455" s="355"/>
      <c r="AR455" s="360"/>
      <c r="AS455" s="359"/>
      <c r="AT455" s="284"/>
      <c r="AU455" s="355"/>
      <c r="AW455" s="359"/>
      <c r="AX455" s="284"/>
      <c r="AY455" s="355"/>
      <c r="BA455" s="359"/>
      <c r="BB455" s="284"/>
      <c r="BC455" s="355"/>
      <c r="BE455" s="359"/>
      <c r="BF455" s="284"/>
      <c r="BG455" s="355"/>
      <c r="BI455" s="359"/>
      <c r="BJ455" s="284"/>
      <c r="BK455" s="355"/>
      <c r="BM455" s="359"/>
      <c r="BN455" s="284"/>
      <c r="BO455" s="355"/>
      <c r="BQ455" s="359"/>
      <c r="BR455" s="284"/>
      <c r="BS455" s="355"/>
      <c r="BU455" s="359"/>
      <c r="BV455" s="284"/>
    </row>
    <row r="456" spans="2:74" x14ac:dyDescent="0.25">
      <c r="B456" s="284"/>
      <c r="D456" s="355"/>
      <c r="E456" s="356"/>
      <c r="F456" s="357"/>
      <c r="G456" s="358"/>
      <c r="H456" s="359"/>
      <c r="I456" s="284"/>
      <c r="J456" s="287"/>
      <c r="K456" s="355"/>
      <c r="M456" s="359"/>
      <c r="N456" s="284"/>
      <c r="O456" s="355"/>
      <c r="P456" s="360"/>
      <c r="Q456" s="359"/>
      <c r="R456" s="284"/>
      <c r="S456" s="355"/>
      <c r="U456" s="359"/>
      <c r="V456" s="284"/>
      <c r="W456" s="355"/>
      <c r="Y456" s="359"/>
      <c r="Z456" s="284"/>
      <c r="AA456" s="355"/>
      <c r="AC456" s="359"/>
      <c r="AD456" s="284"/>
      <c r="AE456" s="355"/>
      <c r="AG456" s="359"/>
      <c r="AH456" s="284"/>
      <c r="AI456" s="355"/>
      <c r="AK456" s="359"/>
      <c r="AL456" s="284"/>
      <c r="AM456" s="355"/>
      <c r="AO456" s="359"/>
      <c r="AP456" s="284"/>
      <c r="AQ456" s="355"/>
      <c r="AR456" s="360"/>
      <c r="AS456" s="359"/>
      <c r="AT456" s="284"/>
      <c r="AU456" s="355"/>
      <c r="AW456" s="359"/>
      <c r="AX456" s="284"/>
      <c r="AY456" s="355"/>
      <c r="BA456" s="359"/>
      <c r="BB456" s="284"/>
      <c r="BC456" s="355"/>
      <c r="BE456" s="359"/>
      <c r="BF456" s="284"/>
      <c r="BG456" s="355"/>
      <c r="BI456" s="359"/>
      <c r="BJ456" s="284"/>
      <c r="BK456" s="355"/>
      <c r="BM456" s="359"/>
      <c r="BN456" s="284"/>
      <c r="BO456" s="355"/>
      <c r="BQ456" s="359"/>
      <c r="BR456" s="284"/>
      <c r="BS456" s="355"/>
      <c r="BU456" s="359"/>
      <c r="BV456" s="284"/>
    </row>
    <row r="457" spans="2:74" x14ac:dyDescent="0.25">
      <c r="B457" s="284"/>
      <c r="D457" s="355"/>
      <c r="E457" s="356"/>
      <c r="F457" s="357"/>
      <c r="G457" s="358"/>
      <c r="H457" s="359"/>
      <c r="I457" s="284"/>
      <c r="J457" s="287"/>
      <c r="K457" s="355"/>
      <c r="M457" s="359"/>
      <c r="N457" s="284"/>
      <c r="O457" s="355"/>
      <c r="P457" s="360"/>
      <c r="Q457" s="359"/>
      <c r="R457" s="284"/>
      <c r="S457" s="355"/>
      <c r="U457" s="359"/>
      <c r="V457" s="284"/>
      <c r="W457" s="355"/>
      <c r="Y457" s="359"/>
      <c r="Z457" s="284"/>
      <c r="AA457" s="355"/>
      <c r="AC457" s="359"/>
      <c r="AD457" s="284"/>
      <c r="AE457" s="355"/>
      <c r="AG457" s="359"/>
      <c r="AH457" s="284"/>
      <c r="AI457" s="355"/>
      <c r="AK457" s="359"/>
      <c r="AL457" s="284"/>
      <c r="AM457" s="355"/>
      <c r="AO457" s="359"/>
      <c r="AP457" s="284"/>
      <c r="AQ457" s="355"/>
      <c r="AR457" s="360"/>
      <c r="AS457" s="359"/>
      <c r="AT457" s="284"/>
      <c r="AU457" s="355"/>
      <c r="AW457" s="359"/>
      <c r="AX457" s="284"/>
      <c r="AY457" s="355"/>
      <c r="BA457" s="359"/>
      <c r="BB457" s="284"/>
      <c r="BC457" s="355"/>
      <c r="BE457" s="359"/>
      <c r="BF457" s="284"/>
      <c r="BG457" s="355"/>
      <c r="BI457" s="359"/>
      <c r="BJ457" s="284"/>
      <c r="BK457" s="355"/>
      <c r="BM457" s="359"/>
      <c r="BN457" s="284"/>
      <c r="BO457" s="355"/>
      <c r="BQ457" s="359"/>
      <c r="BR457" s="284"/>
      <c r="BS457" s="355"/>
      <c r="BU457" s="359"/>
      <c r="BV457" s="284"/>
    </row>
    <row r="458" spans="2:74" x14ac:dyDescent="0.25">
      <c r="B458" s="284"/>
      <c r="D458" s="355"/>
      <c r="E458" s="356"/>
      <c r="F458" s="357"/>
      <c r="G458" s="358"/>
      <c r="H458" s="359"/>
      <c r="I458" s="284"/>
      <c r="J458" s="287"/>
      <c r="K458" s="355"/>
      <c r="M458" s="359"/>
      <c r="N458" s="284"/>
      <c r="O458" s="355"/>
      <c r="P458" s="360"/>
      <c r="Q458" s="359"/>
      <c r="R458" s="284"/>
      <c r="S458" s="355"/>
      <c r="U458" s="359"/>
      <c r="V458" s="284"/>
      <c r="W458" s="355"/>
      <c r="Y458" s="359"/>
      <c r="Z458" s="284"/>
      <c r="AA458" s="355"/>
      <c r="AC458" s="359"/>
      <c r="AD458" s="284"/>
      <c r="AE458" s="355"/>
      <c r="AG458" s="359"/>
      <c r="AH458" s="284"/>
      <c r="AI458" s="355"/>
      <c r="AK458" s="359"/>
      <c r="AL458" s="284"/>
      <c r="AM458" s="355"/>
      <c r="AO458" s="359"/>
      <c r="AP458" s="284"/>
      <c r="AQ458" s="355"/>
      <c r="AR458" s="360"/>
      <c r="AS458" s="359"/>
      <c r="AT458" s="284"/>
      <c r="AU458" s="355"/>
      <c r="AW458" s="359"/>
      <c r="AX458" s="284"/>
      <c r="AY458" s="355"/>
      <c r="BA458" s="359"/>
      <c r="BB458" s="284"/>
      <c r="BC458" s="355"/>
      <c r="BE458" s="359"/>
      <c r="BF458" s="284"/>
      <c r="BG458" s="355"/>
      <c r="BI458" s="359"/>
      <c r="BJ458" s="284"/>
      <c r="BK458" s="355"/>
      <c r="BM458" s="359"/>
      <c r="BN458" s="284"/>
      <c r="BO458" s="355"/>
      <c r="BQ458" s="359"/>
      <c r="BR458" s="284"/>
      <c r="BS458" s="355"/>
      <c r="BU458" s="359"/>
      <c r="BV458" s="284"/>
    </row>
    <row r="459" spans="2:74" x14ac:dyDescent="0.25">
      <c r="B459" s="284"/>
      <c r="D459" s="355"/>
      <c r="E459" s="356"/>
      <c r="F459" s="357"/>
      <c r="G459" s="358"/>
      <c r="H459" s="359"/>
      <c r="I459" s="284"/>
      <c r="J459" s="287"/>
      <c r="K459" s="355"/>
      <c r="M459" s="359"/>
      <c r="N459" s="284"/>
      <c r="O459" s="355"/>
      <c r="P459" s="360"/>
      <c r="Q459" s="359"/>
      <c r="R459" s="284"/>
      <c r="S459" s="355"/>
      <c r="U459" s="359"/>
      <c r="V459" s="284"/>
      <c r="W459" s="355"/>
      <c r="Y459" s="359"/>
      <c r="Z459" s="284"/>
      <c r="AA459" s="355"/>
      <c r="AC459" s="359"/>
      <c r="AD459" s="284"/>
      <c r="AE459" s="355"/>
      <c r="AG459" s="359"/>
      <c r="AH459" s="284"/>
      <c r="AI459" s="355"/>
      <c r="AK459" s="359"/>
      <c r="AL459" s="284"/>
      <c r="AM459" s="355"/>
      <c r="AO459" s="359"/>
      <c r="AP459" s="284"/>
      <c r="AQ459" s="355"/>
      <c r="AR459" s="360"/>
      <c r="AS459" s="359"/>
      <c r="AT459" s="284"/>
      <c r="AU459" s="355"/>
      <c r="AW459" s="359"/>
      <c r="AX459" s="284"/>
      <c r="AY459" s="355"/>
      <c r="BA459" s="359"/>
      <c r="BB459" s="284"/>
      <c r="BC459" s="355"/>
      <c r="BE459" s="359"/>
      <c r="BF459" s="284"/>
      <c r="BG459" s="355"/>
      <c r="BI459" s="359"/>
      <c r="BJ459" s="284"/>
      <c r="BK459" s="355"/>
      <c r="BM459" s="359"/>
      <c r="BN459" s="284"/>
      <c r="BO459" s="355"/>
      <c r="BQ459" s="359"/>
      <c r="BR459" s="284"/>
      <c r="BS459" s="355"/>
      <c r="BU459" s="359"/>
      <c r="BV459" s="284"/>
    </row>
    <row r="460" spans="2:74" x14ac:dyDescent="0.25">
      <c r="B460" s="284"/>
      <c r="D460" s="355"/>
      <c r="E460" s="356"/>
      <c r="F460" s="357"/>
      <c r="G460" s="358"/>
      <c r="H460" s="359"/>
      <c r="I460" s="284"/>
      <c r="J460" s="287"/>
      <c r="K460" s="355"/>
      <c r="M460" s="359"/>
      <c r="N460" s="284"/>
      <c r="O460" s="355"/>
      <c r="P460" s="360"/>
      <c r="Q460" s="359"/>
      <c r="R460" s="284"/>
      <c r="S460" s="355"/>
      <c r="U460" s="359"/>
      <c r="V460" s="284"/>
      <c r="W460" s="355"/>
      <c r="Y460" s="359"/>
      <c r="Z460" s="284"/>
      <c r="AA460" s="355"/>
      <c r="AC460" s="359"/>
      <c r="AD460" s="284"/>
      <c r="AE460" s="355"/>
      <c r="AG460" s="359"/>
      <c r="AH460" s="284"/>
      <c r="AI460" s="355"/>
      <c r="AK460" s="359"/>
      <c r="AL460" s="284"/>
      <c r="AM460" s="355"/>
      <c r="AO460" s="359"/>
      <c r="AP460" s="284"/>
      <c r="AQ460" s="355"/>
      <c r="AR460" s="360"/>
      <c r="AS460" s="359"/>
      <c r="AT460" s="284"/>
      <c r="AU460" s="355"/>
      <c r="AW460" s="359"/>
      <c r="AX460" s="284"/>
      <c r="AY460" s="355"/>
      <c r="BA460" s="359"/>
      <c r="BB460" s="284"/>
      <c r="BC460" s="355"/>
      <c r="BE460" s="359"/>
      <c r="BF460" s="284"/>
      <c r="BG460" s="355"/>
      <c r="BI460" s="359"/>
      <c r="BJ460" s="284"/>
      <c r="BK460" s="355"/>
      <c r="BM460" s="359"/>
      <c r="BN460" s="284"/>
      <c r="BO460" s="355"/>
      <c r="BQ460" s="359"/>
      <c r="BR460" s="284"/>
      <c r="BS460" s="355"/>
      <c r="BU460" s="359"/>
      <c r="BV460" s="284"/>
    </row>
    <row r="461" spans="2:74" x14ac:dyDescent="0.25">
      <c r="B461" s="284"/>
      <c r="D461" s="355"/>
      <c r="E461" s="356"/>
      <c r="F461" s="357"/>
      <c r="G461" s="358"/>
      <c r="H461" s="359"/>
      <c r="I461" s="284"/>
      <c r="J461" s="287"/>
      <c r="K461" s="355"/>
      <c r="M461" s="359"/>
      <c r="N461" s="284"/>
      <c r="O461" s="355"/>
      <c r="P461" s="360"/>
      <c r="Q461" s="359"/>
      <c r="R461" s="284"/>
      <c r="S461" s="355"/>
      <c r="U461" s="359"/>
      <c r="V461" s="284"/>
      <c r="W461" s="355"/>
      <c r="Y461" s="359"/>
      <c r="Z461" s="284"/>
      <c r="AA461" s="355"/>
      <c r="AC461" s="359"/>
      <c r="AD461" s="284"/>
      <c r="AE461" s="355"/>
      <c r="AG461" s="359"/>
      <c r="AH461" s="284"/>
      <c r="AI461" s="355"/>
      <c r="AK461" s="359"/>
      <c r="AL461" s="284"/>
      <c r="AM461" s="355"/>
      <c r="AO461" s="359"/>
      <c r="AP461" s="284"/>
      <c r="AQ461" s="355"/>
      <c r="AR461" s="360"/>
      <c r="AS461" s="359"/>
      <c r="AT461" s="284"/>
      <c r="AU461" s="355"/>
      <c r="AW461" s="359"/>
      <c r="AX461" s="284"/>
      <c r="AY461" s="355"/>
      <c r="BA461" s="359"/>
      <c r="BB461" s="284"/>
      <c r="BC461" s="355"/>
      <c r="BE461" s="359"/>
      <c r="BF461" s="284"/>
      <c r="BG461" s="355"/>
      <c r="BI461" s="359"/>
      <c r="BJ461" s="284"/>
      <c r="BK461" s="355"/>
      <c r="BM461" s="359"/>
      <c r="BN461" s="284"/>
      <c r="BO461" s="355"/>
      <c r="BQ461" s="359"/>
      <c r="BR461" s="284"/>
      <c r="BS461" s="355"/>
      <c r="BU461" s="359"/>
      <c r="BV461" s="284"/>
    </row>
    <row r="462" spans="2:74" x14ac:dyDescent="0.25">
      <c r="B462" s="284"/>
      <c r="D462" s="355"/>
      <c r="E462" s="356"/>
      <c r="F462" s="357"/>
      <c r="G462" s="358"/>
      <c r="H462" s="359"/>
      <c r="I462" s="284"/>
      <c r="J462" s="287"/>
      <c r="K462" s="355"/>
      <c r="M462" s="359"/>
      <c r="N462" s="284"/>
      <c r="O462" s="355"/>
      <c r="P462" s="360"/>
      <c r="Q462" s="359"/>
      <c r="R462" s="284"/>
      <c r="S462" s="355"/>
      <c r="U462" s="359"/>
      <c r="V462" s="284"/>
      <c r="W462" s="355"/>
      <c r="Y462" s="359"/>
      <c r="Z462" s="284"/>
      <c r="AA462" s="355"/>
      <c r="AC462" s="359"/>
      <c r="AD462" s="284"/>
      <c r="AE462" s="355"/>
      <c r="AG462" s="359"/>
      <c r="AH462" s="284"/>
      <c r="AI462" s="355"/>
      <c r="AK462" s="359"/>
      <c r="AL462" s="284"/>
      <c r="AM462" s="355"/>
      <c r="AO462" s="359"/>
      <c r="AP462" s="284"/>
      <c r="AQ462" s="355"/>
      <c r="AR462" s="360"/>
      <c r="AS462" s="359"/>
      <c r="AT462" s="284"/>
      <c r="AU462" s="355"/>
      <c r="AW462" s="359"/>
      <c r="AX462" s="284"/>
      <c r="AY462" s="355"/>
      <c r="BA462" s="359"/>
      <c r="BB462" s="284"/>
      <c r="BC462" s="355"/>
      <c r="BE462" s="359"/>
      <c r="BF462" s="284"/>
      <c r="BG462" s="355"/>
      <c r="BI462" s="359"/>
      <c r="BJ462" s="284"/>
      <c r="BK462" s="355"/>
      <c r="BM462" s="359"/>
      <c r="BN462" s="284"/>
      <c r="BO462" s="355"/>
      <c r="BQ462" s="359"/>
      <c r="BR462" s="284"/>
      <c r="BS462" s="355"/>
      <c r="BU462" s="359"/>
      <c r="BV462" s="284"/>
    </row>
    <row r="463" spans="2:74" x14ac:dyDescent="0.25">
      <c r="B463" s="284"/>
      <c r="D463" s="355"/>
      <c r="E463" s="356"/>
      <c r="F463" s="357"/>
      <c r="G463" s="358"/>
      <c r="H463" s="359"/>
      <c r="I463" s="284"/>
      <c r="J463" s="287"/>
      <c r="K463" s="355"/>
      <c r="M463" s="359"/>
      <c r="N463" s="284"/>
      <c r="O463" s="355"/>
      <c r="P463" s="360"/>
      <c r="Q463" s="359"/>
      <c r="R463" s="284"/>
      <c r="S463" s="355"/>
      <c r="U463" s="359"/>
      <c r="V463" s="284"/>
      <c r="W463" s="355"/>
      <c r="Y463" s="359"/>
      <c r="Z463" s="284"/>
      <c r="AA463" s="355"/>
      <c r="AC463" s="359"/>
      <c r="AD463" s="284"/>
      <c r="AE463" s="355"/>
      <c r="AG463" s="359"/>
      <c r="AH463" s="284"/>
      <c r="AI463" s="355"/>
      <c r="AK463" s="359"/>
      <c r="AL463" s="284"/>
      <c r="AM463" s="355"/>
      <c r="AO463" s="359"/>
      <c r="AP463" s="284"/>
      <c r="AQ463" s="355"/>
      <c r="AR463" s="360"/>
      <c r="AS463" s="359"/>
      <c r="AT463" s="284"/>
      <c r="AU463" s="355"/>
      <c r="AW463" s="359"/>
      <c r="AX463" s="284"/>
      <c r="AY463" s="355"/>
      <c r="BA463" s="359"/>
      <c r="BB463" s="284"/>
      <c r="BC463" s="355"/>
      <c r="BE463" s="359"/>
      <c r="BF463" s="284"/>
      <c r="BG463" s="355"/>
      <c r="BI463" s="359"/>
      <c r="BJ463" s="284"/>
      <c r="BK463" s="355"/>
      <c r="BM463" s="359"/>
      <c r="BN463" s="284"/>
      <c r="BO463" s="355"/>
      <c r="BQ463" s="359"/>
      <c r="BR463" s="284"/>
      <c r="BS463" s="355"/>
      <c r="BU463" s="359"/>
      <c r="BV463" s="284"/>
    </row>
    <row r="464" spans="2:74" x14ac:dyDescent="0.25">
      <c r="B464" s="284"/>
      <c r="D464" s="355"/>
      <c r="E464" s="356"/>
      <c r="F464" s="357"/>
      <c r="G464" s="358"/>
      <c r="H464" s="359"/>
      <c r="I464" s="284"/>
      <c r="J464" s="287"/>
      <c r="K464" s="355"/>
      <c r="M464" s="359"/>
      <c r="N464" s="284"/>
      <c r="O464" s="355"/>
      <c r="P464" s="360"/>
      <c r="Q464" s="359"/>
      <c r="R464" s="284"/>
      <c r="S464" s="355"/>
      <c r="U464" s="359"/>
      <c r="V464" s="284"/>
      <c r="W464" s="355"/>
      <c r="Y464" s="359"/>
      <c r="Z464" s="284"/>
      <c r="AA464" s="355"/>
      <c r="AC464" s="359"/>
      <c r="AD464" s="284"/>
      <c r="AE464" s="355"/>
      <c r="AG464" s="359"/>
      <c r="AH464" s="284"/>
      <c r="AI464" s="355"/>
      <c r="AK464" s="359"/>
      <c r="AL464" s="284"/>
      <c r="AM464" s="355"/>
      <c r="AO464" s="359"/>
      <c r="AP464" s="284"/>
      <c r="AQ464" s="355"/>
      <c r="AR464" s="360"/>
      <c r="AS464" s="359"/>
      <c r="AT464" s="284"/>
      <c r="AU464" s="355"/>
      <c r="AW464" s="359"/>
      <c r="AX464" s="284"/>
      <c r="AY464" s="355"/>
      <c r="BA464" s="359"/>
      <c r="BB464" s="284"/>
      <c r="BC464" s="355"/>
      <c r="BE464" s="359"/>
      <c r="BF464" s="284"/>
      <c r="BG464" s="355"/>
      <c r="BI464" s="359"/>
      <c r="BJ464" s="284"/>
      <c r="BK464" s="355"/>
      <c r="BM464" s="359"/>
      <c r="BN464" s="284"/>
      <c r="BO464" s="355"/>
      <c r="BQ464" s="359"/>
      <c r="BR464" s="284"/>
      <c r="BS464" s="355"/>
      <c r="BU464" s="359"/>
      <c r="BV464" s="284"/>
    </row>
    <row r="465" spans="2:74" x14ac:dyDescent="0.25">
      <c r="B465" s="284"/>
      <c r="D465" s="355"/>
      <c r="E465" s="356"/>
      <c r="F465" s="357"/>
      <c r="G465" s="358"/>
      <c r="H465" s="359"/>
      <c r="I465" s="284"/>
      <c r="J465" s="287"/>
      <c r="K465" s="355"/>
      <c r="M465" s="359"/>
      <c r="N465" s="284"/>
      <c r="O465" s="355"/>
      <c r="P465" s="360"/>
      <c r="Q465" s="359"/>
      <c r="R465" s="284"/>
      <c r="S465" s="355"/>
      <c r="U465" s="359"/>
      <c r="V465" s="284"/>
      <c r="W465" s="355"/>
      <c r="Y465" s="359"/>
      <c r="Z465" s="284"/>
      <c r="AA465" s="355"/>
      <c r="AC465" s="359"/>
      <c r="AD465" s="284"/>
      <c r="AE465" s="355"/>
      <c r="AG465" s="359"/>
      <c r="AH465" s="284"/>
      <c r="AI465" s="355"/>
      <c r="AK465" s="359"/>
      <c r="AL465" s="284"/>
      <c r="AM465" s="355"/>
      <c r="AO465" s="359"/>
      <c r="AP465" s="284"/>
      <c r="AQ465" s="355"/>
      <c r="AR465" s="360"/>
      <c r="AS465" s="359"/>
      <c r="AT465" s="284"/>
      <c r="AU465" s="355"/>
      <c r="AW465" s="359"/>
      <c r="AX465" s="284"/>
      <c r="AY465" s="355"/>
      <c r="BA465" s="359"/>
      <c r="BB465" s="284"/>
      <c r="BC465" s="355"/>
      <c r="BE465" s="359"/>
      <c r="BF465" s="284"/>
      <c r="BG465" s="355"/>
      <c r="BI465" s="359"/>
      <c r="BJ465" s="284"/>
      <c r="BK465" s="355"/>
      <c r="BM465" s="359"/>
      <c r="BN465" s="284"/>
      <c r="BO465" s="355"/>
      <c r="BQ465" s="359"/>
      <c r="BR465" s="284"/>
      <c r="BS465" s="355"/>
      <c r="BU465" s="359"/>
      <c r="BV465" s="284"/>
    </row>
    <row r="466" spans="2:74" x14ac:dyDescent="0.25">
      <c r="B466" s="284"/>
      <c r="D466" s="355"/>
      <c r="E466" s="356"/>
      <c r="F466" s="357"/>
      <c r="G466" s="358"/>
      <c r="H466" s="359"/>
      <c r="I466" s="284"/>
      <c r="J466" s="287"/>
      <c r="K466" s="355"/>
      <c r="M466" s="359"/>
      <c r="N466" s="284"/>
      <c r="O466" s="355"/>
      <c r="P466" s="360"/>
      <c r="Q466" s="359"/>
      <c r="R466" s="284"/>
      <c r="S466" s="355"/>
      <c r="U466" s="359"/>
      <c r="V466" s="284"/>
      <c r="W466" s="355"/>
      <c r="Y466" s="359"/>
      <c r="Z466" s="284"/>
      <c r="AA466" s="355"/>
      <c r="AC466" s="359"/>
      <c r="AD466" s="284"/>
      <c r="AE466" s="355"/>
      <c r="AG466" s="359"/>
      <c r="AH466" s="284"/>
      <c r="AI466" s="355"/>
      <c r="AK466" s="359"/>
      <c r="AL466" s="284"/>
      <c r="AM466" s="355"/>
      <c r="AO466" s="359"/>
      <c r="AP466" s="284"/>
      <c r="AQ466" s="355"/>
      <c r="AR466" s="360"/>
      <c r="AS466" s="359"/>
      <c r="AT466" s="284"/>
      <c r="AU466" s="355"/>
      <c r="AW466" s="359"/>
      <c r="AX466" s="284"/>
      <c r="AY466" s="355"/>
      <c r="BA466" s="359"/>
      <c r="BB466" s="284"/>
      <c r="BC466" s="355"/>
      <c r="BE466" s="359"/>
      <c r="BF466" s="284"/>
      <c r="BG466" s="355"/>
      <c r="BI466" s="359"/>
      <c r="BJ466" s="284"/>
      <c r="BK466" s="355"/>
      <c r="BM466" s="359"/>
      <c r="BN466" s="284"/>
      <c r="BO466" s="355"/>
      <c r="BQ466" s="359"/>
      <c r="BR466" s="284"/>
      <c r="BS466" s="355"/>
      <c r="BU466" s="359"/>
      <c r="BV466" s="284"/>
    </row>
    <row r="467" spans="2:74" x14ac:dyDescent="0.25">
      <c r="B467" s="284"/>
      <c r="D467" s="355"/>
      <c r="E467" s="356"/>
      <c r="F467" s="357"/>
      <c r="G467" s="358"/>
      <c r="H467" s="359"/>
      <c r="I467" s="284"/>
      <c r="J467" s="287"/>
      <c r="K467" s="355"/>
      <c r="M467" s="359"/>
      <c r="N467" s="284"/>
      <c r="O467" s="355"/>
      <c r="P467" s="360"/>
      <c r="Q467" s="359"/>
      <c r="R467" s="284"/>
      <c r="S467" s="355"/>
      <c r="U467" s="359"/>
      <c r="V467" s="284"/>
      <c r="W467" s="355"/>
      <c r="Y467" s="359"/>
      <c r="Z467" s="284"/>
      <c r="AA467" s="355"/>
      <c r="AC467" s="359"/>
      <c r="AD467" s="284"/>
      <c r="AE467" s="355"/>
      <c r="AG467" s="359"/>
      <c r="AH467" s="284"/>
      <c r="AI467" s="355"/>
      <c r="AK467" s="359"/>
      <c r="AL467" s="284"/>
      <c r="AM467" s="355"/>
      <c r="AO467" s="359"/>
      <c r="AP467" s="284"/>
      <c r="AQ467" s="355"/>
      <c r="AR467" s="360"/>
      <c r="AS467" s="359"/>
      <c r="AT467" s="284"/>
      <c r="AU467" s="355"/>
      <c r="AW467" s="359"/>
      <c r="AX467" s="284"/>
      <c r="AY467" s="355"/>
      <c r="BA467" s="359"/>
      <c r="BB467" s="284"/>
      <c r="BC467" s="355"/>
      <c r="BE467" s="359"/>
      <c r="BF467" s="284"/>
      <c r="BG467" s="355"/>
      <c r="BI467" s="359"/>
      <c r="BJ467" s="284"/>
      <c r="BK467" s="355"/>
      <c r="BM467" s="359"/>
      <c r="BN467" s="284"/>
      <c r="BO467" s="355"/>
      <c r="BQ467" s="359"/>
      <c r="BR467" s="284"/>
      <c r="BS467" s="355"/>
      <c r="BU467" s="359"/>
      <c r="BV467" s="284"/>
    </row>
    <row r="468" spans="2:74" x14ac:dyDescent="0.25">
      <c r="B468" s="284"/>
      <c r="D468" s="355"/>
      <c r="E468" s="356"/>
      <c r="F468" s="357"/>
      <c r="G468" s="358"/>
      <c r="H468" s="359"/>
      <c r="I468" s="284"/>
      <c r="J468" s="287"/>
      <c r="K468" s="355"/>
      <c r="M468" s="359"/>
      <c r="N468" s="284"/>
      <c r="O468" s="355"/>
      <c r="P468" s="360"/>
      <c r="Q468" s="359"/>
      <c r="R468" s="284"/>
      <c r="S468" s="355"/>
      <c r="U468" s="359"/>
      <c r="V468" s="284"/>
      <c r="W468" s="355"/>
      <c r="Y468" s="359"/>
      <c r="Z468" s="284"/>
      <c r="AA468" s="355"/>
      <c r="AC468" s="359"/>
      <c r="AD468" s="284"/>
      <c r="AE468" s="355"/>
      <c r="AG468" s="359"/>
      <c r="AH468" s="284"/>
      <c r="AI468" s="355"/>
      <c r="AK468" s="359"/>
      <c r="AL468" s="284"/>
      <c r="AM468" s="355"/>
      <c r="AO468" s="359"/>
      <c r="AP468" s="284"/>
      <c r="AQ468" s="355"/>
      <c r="AR468" s="360"/>
      <c r="AS468" s="359"/>
      <c r="AT468" s="284"/>
      <c r="AU468" s="355"/>
      <c r="AW468" s="359"/>
      <c r="AX468" s="284"/>
      <c r="AY468" s="355"/>
      <c r="BA468" s="359"/>
      <c r="BB468" s="284"/>
      <c r="BC468" s="355"/>
      <c r="BE468" s="359"/>
      <c r="BF468" s="284"/>
      <c r="BG468" s="355"/>
      <c r="BI468" s="359"/>
      <c r="BJ468" s="284"/>
      <c r="BK468" s="355"/>
      <c r="BM468" s="359"/>
      <c r="BN468" s="284"/>
      <c r="BO468" s="355"/>
      <c r="BQ468" s="359"/>
      <c r="BR468" s="284"/>
      <c r="BS468" s="355"/>
      <c r="BU468" s="359"/>
      <c r="BV468" s="284"/>
    </row>
    <row r="469" spans="2:74" x14ac:dyDescent="0.25">
      <c r="B469" s="284"/>
      <c r="D469" s="355"/>
      <c r="E469" s="356"/>
      <c r="F469" s="357"/>
      <c r="G469" s="358"/>
      <c r="H469" s="359"/>
      <c r="I469" s="284"/>
      <c r="J469" s="287"/>
      <c r="K469" s="355"/>
      <c r="M469" s="359"/>
      <c r="N469" s="284"/>
      <c r="O469" s="355"/>
      <c r="P469" s="360"/>
      <c r="Q469" s="359"/>
      <c r="R469" s="284"/>
      <c r="S469" s="355"/>
      <c r="U469" s="359"/>
      <c r="V469" s="284"/>
      <c r="W469" s="355"/>
      <c r="Y469" s="359"/>
      <c r="Z469" s="284"/>
      <c r="AA469" s="355"/>
      <c r="AC469" s="359"/>
      <c r="AD469" s="284"/>
      <c r="AE469" s="355"/>
      <c r="AG469" s="359"/>
      <c r="AH469" s="284"/>
      <c r="AI469" s="355"/>
      <c r="AK469" s="359"/>
      <c r="AL469" s="284"/>
      <c r="AM469" s="355"/>
      <c r="AO469" s="359"/>
      <c r="AP469" s="284"/>
      <c r="AQ469" s="355"/>
      <c r="AR469" s="360"/>
      <c r="AS469" s="359"/>
      <c r="AT469" s="284"/>
      <c r="AU469" s="355"/>
      <c r="AW469" s="359"/>
      <c r="AX469" s="284"/>
      <c r="AY469" s="355"/>
      <c r="BA469" s="359"/>
      <c r="BB469" s="284"/>
      <c r="BC469" s="355"/>
      <c r="BE469" s="359"/>
      <c r="BF469" s="284"/>
      <c r="BG469" s="355"/>
      <c r="BI469" s="359"/>
      <c r="BJ469" s="284"/>
      <c r="BK469" s="355"/>
      <c r="BM469" s="359"/>
      <c r="BN469" s="284"/>
      <c r="BO469" s="355"/>
      <c r="BQ469" s="359"/>
      <c r="BR469" s="284"/>
      <c r="BS469" s="355"/>
      <c r="BU469" s="359"/>
      <c r="BV469" s="284"/>
    </row>
    <row r="470" spans="2:74" x14ac:dyDescent="0.25">
      <c r="B470" s="284"/>
      <c r="D470" s="355"/>
      <c r="E470" s="356"/>
      <c r="F470" s="357"/>
      <c r="G470" s="358"/>
      <c r="H470" s="359"/>
      <c r="I470" s="284"/>
      <c r="J470" s="287"/>
      <c r="K470" s="355"/>
      <c r="M470" s="359"/>
      <c r="N470" s="284"/>
      <c r="O470" s="355"/>
      <c r="P470" s="360"/>
      <c r="Q470" s="359"/>
      <c r="R470" s="284"/>
      <c r="S470" s="355"/>
      <c r="U470" s="359"/>
      <c r="V470" s="284"/>
      <c r="W470" s="355"/>
      <c r="Y470" s="359"/>
      <c r="Z470" s="284"/>
      <c r="AA470" s="355"/>
      <c r="AC470" s="359"/>
      <c r="AD470" s="284"/>
      <c r="AE470" s="355"/>
      <c r="AG470" s="359"/>
      <c r="AH470" s="284"/>
      <c r="AI470" s="355"/>
      <c r="AK470" s="359"/>
      <c r="AL470" s="284"/>
      <c r="AM470" s="355"/>
      <c r="AO470" s="359"/>
      <c r="AP470" s="284"/>
      <c r="AQ470" s="355"/>
      <c r="AR470" s="360"/>
      <c r="AS470" s="359"/>
      <c r="AT470" s="284"/>
      <c r="AU470" s="355"/>
      <c r="AW470" s="359"/>
      <c r="AX470" s="284"/>
      <c r="AY470" s="355"/>
      <c r="BA470" s="359"/>
      <c r="BB470" s="284"/>
      <c r="BC470" s="355"/>
      <c r="BE470" s="359"/>
      <c r="BF470" s="284"/>
      <c r="BG470" s="355"/>
      <c r="BI470" s="359"/>
      <c r="BJ470" s="284"/>
      <c r="BK470" s="355"/>
      <c r="BM470" s="359"/>
      <c r="BN470" s="284"/>
      <c r="BO470" s="355"/>
      <c r="BQ470" s="359"/>
      <c r="BR470" s="284"/>
      <c r="BS470" s="355"/>
      <c r="BU470" s="359"/>
      <c r="BV470" s="284"/>
    </row>
    <row r="471" spans="2:74" x14ac:dyDescent="0.25">
      <c r="B471" s="284"/>
      <c r="D471" s="355"/>
      <c r="E471" s="356"/>
      <c r="F471" s="357"/>
      <c r="G471" s="358"/>
      <c r="H471" s="359"/>
      <c r="I471" s="284"/>
      <c r="J471" s="287"/>
      <c r="K471" s="355"/>
      <c r="M471" s="359"/>
      <c r="N471" s="284"/>
      <c r="O471" s="355"/>
      <c r="P471" s="360"/>
      <c r="Q471" s="359"/>
      <c r="R471" s="284"/>
      <c r="S471" s="355"/>
      <c r="U471" s="359"/>
      <c r="V471" s="284"/>
      <c r="W471" s="355"/>
      <c r="Y471" s="359"/>
      <c r="Z471" s="284"/>
      <c r="AA471" s="355"/>
      <c r="AC471" s="359"/>
      <c r="AD471" s="284"/>
      <c r="AE471" s="355"/>
      <c r="AG471" s="359"/>
      <c r="AH471" s="284"/>
      <c r="AI471" s="355"/>
      <c r="AK471" s="359"/>
      <c r="AL471" s="284"/>
      <c r="AM471" s="355"/>
      <c r="AO471" s="359"/>
      <c r="AP471" s="284"/>
      <c r="AQ471" s="355"/>
      <c r="AR471" s="360"/>
      <c r="AS471" s="359"/>
      <c r="AT471" s="284"/>
      <c r="AU471" s="355"/>
      <c r="AW471" s="359"/>
      <c r="AX471" s="284"/>
      <c r="AY471" s="355"/>
      <c r="BA471" s="359"/>
      <c r="BB471" s="284"/>
      <c r="BC471" s="355"/>
      <c r="BE471" s="359"/>
      <c r="BF471" s="284"/>
      <c r="BG471" s="355"/>
      <c r="BI471" s="359"/>
      <c r="BJ471" s="284"/>
      <c r="BK471" s="355"/>
      <c r="BM471" s="359"/>
      <c r="BN471" s="284"/>
      <c r="BO471" s="355"/>
      <c r="BQ471" s="359"/>
      <c r="BR471" s="284"/>
      <c r="BS471" s="355"/>
      <c r="BU471" s="359"/>
      <c r="BV471" s="284"/>
    </row>
    <row r="472" spans="2:74" x14ac:dyDescent="0.25">
      <c r="B472" s="284"/>
      <c r="D472" s="355"/>
      <c r="E472" s="356"/>
      <c r="F472" s="357"/>
      <c r="G472" s="358"/>
      <c r="H472" s="359"/>
      <c r="I472" s="284"/>
      <c r="J472" s="287"/>
      <c r="K472" s="355"/>
      <c r="M472" s="359"/>
      <c r="N472" s="284"/>
      <c r="O472" s="355"/>
      <c r="P472" s="360"/>
      <c r="Q472" s="359"/>
      <c r="R472" s="284"/>
      <c r="S472" s="355"/>
      <c r="U472" s="359"/>
      <c r="V472" s="284"/>
      <c r="W472" s="355"/>
      <c r="Y472" s="359"/>
      <c r="Z472" s="284"/>
      <c r="AA472" s="355"/>
      <c r="AC472" s="359"/>
      <c r="AD472" s="284"/>
      <c r="AE472" s="355"/>
      <c r="AG472" s="359"/>
      <c r="AH472" s="284"/>
      <c r="AI472" s="355"/>
      <c r="AK472" s="359"/>
      <c r="AL472" s="284"/>
      <c r="AM472" s="355"/>
      <c r="AO472" s="359"/>
      <c r="AP472" s="284"/>
      <c r="AQ472" s="355"/>
      <c r="AR472" s="360"/>
      <c r="AS472" s="359"/>
      <c r="AT472" s="284"/>
      <c r="AU472" s="355"/>
      <c r="AW472" s="359"/>
      <c r="AX472" s="284"/>
      <c r="AY472" s="355"/>
      <c r="BA472" s="359"/>
      <c r="BB472" s="284"/>
      <c r="BC472" s="355"/>
      <c r="BE472" s="359"/>
      <c r="BF472" s="284"/>
      <c r="BG472" s="355"/>
      <c r="BI472" s="359"/>
      <c r="BJ472" s="284"/>
      <c r="BK472" s="355"/>
      <c r="BM472" s="359"/>
      <c r="BN472" s="284"/>
      <c r="BO472" s="355"/>
      <c r="BQ472" s="359"/>
      <c r="BR472" s="284"/>
      <c r="BS472" s="355"/>
      <c r="BU472" s="359"/>
      <c r="BV472" s="284"/>
    </row>
    <row r="473" spans="2:74" x14ac:dyDescent="0.25">
      <c r="B473" s="284"/>
      <c r="D473" s="355"/>
      <c r="E473" s="356"/>
      <c r="F473" s="357"/>
      <c r="G473" s="358"/>
      <c r="H473" s="359"/>
      <c r="I473" s="284"/>
      <c r="J473" s="287"/>
      <c r="K473" s="355"/>
      <c r="M473" s="359"/>
      <c r="N473" s="284"/>
      <c r="O473" s="355"/>
      <c r="P473" s="360"/>
      <c r="Q473" s="359"/>
      <c r="R473" s="284"/>
      <c r="S473" s="355"/>
      <c r="U473" s="359"/>
      <c r="V473" s="284"/>
      <c r="W473" s="355"/>
      <c r="Y473" s="359"/>
      <c r="Z473" s="284"/>
      <c r="AA473" s="355"/>
      <c r="AC473" s="359"/>
      <c r="AD473" s="284"/>
      <c r="AE473" s="355"/>
      <c r="AG473" s="359"/>
      <c r="AH473" s="284"/>
      <c r="AI473" s="355"/>
      <c r="AK473" s="359"/>
      <c r="AL473" s="284"/>
      <c r="AM473" s="355"/>
      <c r="AO473" s="359"/>
      <c r="AP473" s="284"/>
      <c r="AQ473" s="355"/>
      <c r="AR473" s="360"/>
      <c r="AS473" s="359"/>
      <c r="AT473" s="284"/>
      <c r="AU473" s="355"/>
      <c r="AW473" s="359"/>
      <c r="AX473" s="284"/>
      <c r="AY473" s="355"/>
      <c r="BA473" s="359"/>
      <c r="BB473" s="284"/>
      <c r="BC473" s="355"/>
      <c r="BE473" s="359"/>
      <c r="BF473" s="284"/>
      <c r="BG473" s="355"/>
      <c r="BI473" s="359"/>
      <c r="BJ473" s="284"/>
      <c r="BK473" s="355"/>
      <c r="BM473" s="359"/>
      <c r="BN473" s="284"/>
      <c r="BO473" s="355"/>
      <c r="BQ473" s="359"/>
      <c r="BR473" s="284"/>
      <c r="BS473" s="355"/>
      <c r="BU473" s="359"/>
      <c r="BV473" s="284"/>
    </row>
    <row r="474" spans="2:74" x14ac:dyDescent="0.25">
      <c r="B474" s="284"/>
      <c r="D474" s="355"/>
      <c r="E474" s="356"/>
      <c r="F474" s="357"/>
      <c r="G474" s="358"/>
      <c r="H474" s="359"/>
      <c r="I474" s="284"/>
      <c r="J474" s="287"/>
      <c r="K474" s="355"/>
      <c r="M474" s="359"/>
      <c r="N474" s="284"/>
      <c r="O474" s="355"/>
      <c r="P474" s="360"/>
      <c r="Q474" s="359"/>
      <c r="R474" s="284"/>
      <c r="S474" s="355"/>
      <c r="U474" s="359"/>
      <c r="V474" s="284"/>
      <c r="W474" s="355"/>
      <c r="Y474" s="359"/>
      <c r="Z474" s="284"/>
      <c r="AA474" s="355"/>
      <c r="AC474" s="359"/>
      <c r="AD474" s="284"/>
      <c r="AE474" s="355"/>
      <c r="AG474" s="359"/>
      <c r="AH474" s="284"/>
      <c r="AI474" s="355"/>
      <c r="AK474" s="359"/>
      <c r="AL474" s="284"/>
      <c r="AM474" s="355"/>
      <c r="AO474" s="359"/>
      <c r="AP474" s="284"/>
      <c r="AQ474" s="355"/>
      <c r="AR474" s="360"/>
      <c r="AS474" s="359"/>
      <c r="AT474" s="284"/>
      <c r="AU474" s="355"/>
      <c r="AW474" s="359"/>
      <c r="AX474" s="284"/>
      <c r="AY474" s="355"/>
      <c r="BA474" s="359"/>
      <c r="BB474" s="284"/>
      <c r="BC474" s="355"/>
      <c r="BE474" s="359"/>
      <c r="BF474" s="284"/>
      <c r="BG474" s="355"/>
      <c r="BI474" s="359"/>
      <c r="BJ474" s="284"/>
      <c r="BK474" s="355"/>
      <c r="BM474" s="359"/>
      <c r="BN474" s="284"/>
      <c r="BO474" s="355"/>
      <c r="BQ474" s="359"/>
      <c r="BR474" s="284"/>
      <c r="BS474" s="355"/>
      <c r="BU474" s="359"/>
      <c r="BV474" s="284"/>
    </row>
    <row r="475" spans="2:74" x14ac:dyDescent="0.25">
      <c r="B475" s="284"/>
      <c r="D475" s="355"/>
      <c r="E475" s="356"/>
      <c r="F475" s="357"/>
      <c r="G475" s="358"/>
      <c r="H475" s="359"/>
      <c r="I475" s="284"/>
      <c r="J475" s="287"/>
      <c r="K475" s="355"/>
      <c r="M475" s="359"/>
      <c r="N475" s="284"/>
      <c r="O475" s="355"/>
      <c r="P475" s="360"/>
      <c r="Q475" s="359"/>
      <c r="R475" s="284"/>
      <c r="S475" s="355"/>
      <c r="U475" s="359"/>
      <c r="V475" s="284"/>
      <c r="W475" s="355"/>
      <c r="Y475" s="359"/>
      <c r="Z475" s="284"/>
      <c r="AA475" s="355"/>
      <c r="AC475" s="359"/>
      <c r="AD475" s="284"/>
      <c r="AE475" s="355"/>
      <c r="AG475" s="359"/>
      <c r="AH475" s="284"/>
      <c r="AI475" s="355"/>
      <c r="AK475" s="359"/>
      <c r="AL475" s="284"/>
      <c r="AM475" s="355"/>
      <c r="AO475" s="359"/>
      <c r="AP475" s="284"/>
      <c r="AQ475" s="355"/>
      <c r="AR475" s="360"/>
      <c r="AS475" s="359"/>
      <c r="AT475" s="284"/>
      <c r="AU475" s="355"/>
      <c r="AW475" s="359"/>
      <c r="AX475" s="284"/>
      <c r="AY475" s="355"/>
      <c r="BA475" s="359"/>
      <c r="BB475" s="284"/>
      <c r="BC475" s="355"/>
      <c r="BE475" s="359"/>
      <c r="BF475" s="284"/>
      <c r="BG475" s="355"/>
      <c r="BI475" s="359"/>
      <c r="BJ475" s="284"/>
      <c r="BK475" s="355"/>
      <c r="BM475" s="359"/>
      <c r="BN475" s="284"/>
      <c r="BO475" s="355"/>
      <c r="BQ475" s="359"/>
      <c r="BR475" s="284"/>
      <c r="BS475" s="355"/>
      <c r="BU475" s="359"/>
      <c r="BV475" s="284"/>
    </row>
    <row r="476" spans="2:74" x14ac:dyDescent="0.25">
      <c r="B476" s="284"/>
      <c r="D476" s="355"/>
      <c r="E476" s="356"/>
      <c r="F476" s="357"/>
      <c r="G476" s="358"/>
      <c r="H476" s="359"/>
      <c r="I476" s="284"/>
      <c r="J476" s="287"/>
      <c r="K476" s="355"/>
      <c r="M476" s="359"/>
      <c r="N476" s="284"/>
      <c r="O476" s="355"/>
      <c r="P476" s="360"/>
      <c r="Q476" s="359"/>
      <c r="R476" s="284"/>
      <c r="S476" s="355"/>
      <c r="U476" s="359"/>
      <c r="V476" s="284"/>
      <c r="W476" s="355"/>
      <c r="Y476" s="359"/>
      <c r="Z476" s="284"/>
      <c r="AA476" s="355"/>
      <c r="AC476" s="359"/>
      <c r="AD476" s="284"/>
      <c r="AE476" s="355"/>
      <c r="AG476" s="359"/>
      <c r="AH476" s="284"/>
      <c r="AI476" s="355"/>
      <c r="AK476" s="359"/>
      <c r="AL476" s="284"/>
      <c r="AM476" s="355"/>
      <c r="AO476" s="359"/>
      <c r="AP476" s="284"/>
      <c r="AQ476" s="355"/>
      <c r="AR476" s="360"/>
      <c r="AS476" s="359"/>
      <c r="AT476" s="284"/>
      <c r="AU476" s="355"/>
      <c r="AW476" s="359"/>
      <c r="AX476" s="284"/>
      <c r="AY476" s="355"/>
      <c r="BA476" s="359"/>
      <c r="BB476" s="284"/>
      <c r="BC476" s="355"/>
      <c r="BE476" s="359"/>
      <c r="BF476" s="284"/>
      <c r="BG476" s="355"/>
      <c r="BI476" s="359"/>
      <c r="BJ476" s="284"/>
      <c r="BK476" s="355"/>
      <c r="BM476" s="359"/>
      <c r="BN476" s="284"/>
      <c r="BO476" s="355"/>
      <c r="BQ476" s="359"/>
      <c r="BR476" s="284"/>
      <c r="BS476" s="355"/>
      <c r="BU476" s="359"/>
      <c r="BV476" s="284"/>
    </row>
    <row r="477" spans="2:74" x14ac:dyDescent="0.25">
      <c r="B477" s="284"/>
      <c r="D477" s="355"/>
      <c r="E477" s="356"/>
      <c r="F477" s="357"/>
      <c r="G477" s="358"/>
      <c r="H477" s="359"/>
      <c r="I477" s="284"/>
      <c r="J477" s="287"/>
      <c r="K477" s="355"/>
      <c r="M477" s="359"/>
      <c r="N477" s="284"/>
      <c r="O477" s="355"/>
      <c r="P477" s="360"/>
      <c r="Q477" s="359"/>
      <c r="R477" s="284"/>
      <c r="S477" s="355"/>
      <c r="U477" s="359"/>
      <c r="V477" s="284"/>
      <c r="W477" s="355"/>
      <c r="Y477" s="359"/>
      <c r="Z477" s="284"/>
      <c r="AA477" s="355"/>
      <c r="AC477" s="359"/>
      <c r="AD477" s="284"/>
      <c r="AE477" s="355"/>
      <c r="AG477" s="359"/>
      <c r="AH477" s="284"/>
      <c r="AI477" s="355"/>
      <c r="AK477" s="359"/>
      <c r="AL477" s="284"/>
      <c r="AM477" s="355"/>
      <c r="AO477" s="359"/>
      <c r="AP477" s="284"/>
      <c r="AQ477" s="355"/>
      <c r="AR477" s="360"/>
      <c r="AS477" s="359"/>
      <c r="AT477" s="284"/>
      <c r="AU477" s="355"/>
      <c r="AW477" s="359"/>
      <c r="AX477" s="284"/>
      <c r="AY477" s="355"/>
      <c r="BA477" s="359"/>
      <c r="BB477" s="284"/>
      <c r="BC477" s="355"/>
      <c r="BE477" s="359"/>
      <c r="BF477" s="284"/>
      <c r="BG477" s="355"/>
      <c r="BI477" s="359"/>
      <c r="BJ477" s="284"/>
      <c r="BK477" s="355"/>
      <c r="BM477" s="359"/>
      <c r="BN477" s="284"/>
      <c r="BO477" s="355"/>
      <c r="BQ477" s="359"/>
      <c r="BR477" s="284"/>
      <c r="BS477" s="355"/>
      <c r="BU477" s="359"/>
      <c r="BV477" s="284"/>
    </row>
    <row r="478" spans="2:74" x14ac:dyDescent="0.25">
      <c r="B478" s="284"/>
      <c r="D478" s="355"/>
      <c r="E478" s="356"/>
      <c r="F478" s="357"/>
      <c r="G478" s="358"/>
      <c r="H478" s="359"/>
      <c r="I478" s="284"/>
      <c r="J478" s="287"/>
      <c r="K478" s="355"/>
      <c r="M478" s="359"/>
      <c r="N478" s="284"/>
      <c r="O478" s="355"/>
      <c r="P478" s="360"/>
      <c r="Q478" s="359"/>
      <c r="R478" s="284"/>
      <c r="S478" s="355"/>
      <c r="U478" s="359"/>
      <c r="V478" s="284"/>
      <c r="W478" s="355"/>
      <c r="Y478" s="359"/>
      <c r="Z478" s="284"/>
      <c r="AA478" s="355"/>
      <c r="AC478" s="359"/>
      <c r="AD478" s="284"/>
      <c r="AE478" s="355"/>
      <c r="AG478" s="359"/>
      <c r="AH478" s="284"/>
      <c r="AI478" s="355"/>
      <c r="AK478" s="359"/>
      <c r="AL478" s="284"/>
      <c r="AM478" s="355"/>
      <c r="AO478" s="359"/>
      <c r="AP478" s="284"/>
      <c r="AQ478" s="355"/>
      <c r="AR478" s="360"/>
      <c r="AS478" s="359"/>
      <c r="AT478" s="284"/>
      <c r="AU478" s="355"/>
      <c r="AW478" s="359"/>
      <c r="AX478" s="284"/>
      <c r="AY478" s="355"/>
      <c r="BA478" s="359"/>
      <c r="BB478" s="284"/>
      <c r="BC478" s="355"/>
      <c r="BE478" s="359"/>
      <c r="BF478" s="284"/>
      <c r="BG478" s="355"/>
      <c r="BI478" s="359"/>
      <c r="BJ478" s="284"/>
      <c r="BK478" s="355"/>
      <c r="BM478" s="359"/>
      <c r="BN478" s="284"/>
      <c r="BO478" s="355"/>
      <c r="BQ478" s="359"/>
      <c r="BR478" s="284"/>
      <c r="BS478" s="355"/>
      <c r="BU478" s="359"/>
      <c r="BV478" s="284"/>
    </row>
    <row r="479" spans="2:74" x14ac:dyDescent="0.25">
      <c r="B479" s="284"/>
      <c r="D479" s="355"/>
      <c r="E479" s="356"/>
      <c r="F479" s="357"/>
      <c r="G479" s="358"/>
      <c r="H479" s="359"/>
      <c r="I479" s="284"/>
      <c r="J479" s="287"/>
      <c r="K479" s="355"/>
      <c r="M479" s="359"/>
      <c r="N479" s="284"/>
      <c r="O479" s="355"/>
      <c r="P479" s="360"/>
      <c r="Q479" s="359"/>
      <c r="R479" s="284"/>
      <c r="S479" s="355"/>
      <c r="U479" s="359"/>
      <c r="V479" s="284"/>
      <c r="W479" s="355"/>
      <c r="Y479" s="359"/>
      <c r="Z479" s="284"/>
      <c r="AA479" s="355"/>
      <c r="AC479" s="359"/>
      <c r="AD479" s="284"/>
      <c r="AE479" s="355"/>
      <c r="AG479" s="359"/>
      <c r="AH479" s="284"/>
      <c r="AI479" s="355"/>
      <c r="AK479" s="359"/>
      <c r="AL479" s="284"/>
      <c r="AM479" s="355"/>
      <c r="AO479" s="359"/>
      <c r="AP479" s="284"/>
      <c r="AQ479" s="355"/>
      <c r="AR479" s="360"/>
      <c r="AS479" s="359"/>
      <c r="AT479" s="284"/>
      <c r="AU479" s="355"/>
      <c r="AW479" s="359"/>
      <c r="AX479" s="284"/>
      <c r="AY479" s="355"/>
      <c r="BA479" s="359"/>
      <c r="BB479" s="284"/>
      <c r="BC479" s="355"/>
      <c r="BE479" s="359"/>
      <c r="BF479" s="284"/>
      <c r="BG479" s="355"/>
      <c r="BI479" s="359"/>
      <c r="BJ479" s="284"/>
      <c r="BK479" s="355"/>
      <c r="BM479" s="359"/>
      <c r="BN479" s="284"/>
      <c r="BO479" s="355"/>
      <c r="BQ479" s="359"/>
      <c r="BR479" s="284"/>
      <c r="BS479" s="355"/>
      <c r="BU479" s="359"/>
      <c r="BV479" s="284"/>
    </row>
    <row r="480" spans="2:74" x14ac:dyDescent="0.25">
      <c r="B480" s="284"/>
      <c r="D480" s="355"/>
      <c r="E480" s="356"/>
      <c r="F480" s="357"/>
      <c r="G480" s="358"/>
      <c r="H480" s="359"/>
      <c r="I480" s="284"/>
      <c r="J480" s="287"/>
      <c r="K480" s="355"/>
      <c r="M480" s="359"/>
      <c r="N480" s="284"/>
      <c r="O480" s="355"/>
      <c r="P480" s="360"/>
      <c r="Q480" s="359"/>
      <c r="R480" s="284"/>
      <c r="S480" s="355"/>
      <c r="U480" s="359"/>
      <c r="V480" s="284"/>
      <c r="W480" s="355"/>
      <c r="Y480" s="359"/>
      <c r="Z480" s="284"/>
      <c r="AA480" s="355"/>
      <c r="AC480" s="359"/>
      <c r="AD480" s="284"/>
      <c r="AE480" s="355"/>
      <c r="AG480" s="359"/>
      <c r="AH480" s="284"/>
      <c r="AI480" s="355"/>
      <c r="AK480" s="359"/>
      <c r="AL480" s="284"/>
      <c r="AM480" s="355"/>
      <c r="AO480" s="359"/>
      <c r="AP480" s="284"/>
      <c r="AQ480" s="355"/>
      <c r="AR480" s="360"/>
      <c r="AS480" s="359"/>
      <c r="AT480" s="284"/>
      <c r="AU480" s="355"/>
      <c r="AW480" s="359"/>
      <c r="AX480" s="284"/>
      <c r="AY480" s="355"/>
      <c r="BA480" s="359"/>
      <c r="BB480" s="284"/>
      <c r="BC480" s="355"/>
      <c r="BE480" s="359"/>
      <c r="BF480" s="284"/>
      <c r="BG480" s="355"/>
      <c r="BI480" s="359"/>
      <c r="BJ480" s="284"/>
      <c r="BK480" s="355"/>
      <c r="BM480" s="359"/>
      <c r="BN480" s="284"/>
      <c r="BO480" s="355"/>
      <c r="BQ480" s="359"/>
      <c r="BR480" s="284"/>
      <c r="BS480" s="355"/>
      <c r="BU480" s="359"/>
      <c r="BV480" s="284"/>
    </row>
    <row r="481" spans="2:74" x14ac:dyDescent="0.25">
      <c r="B481" s="284"/>
      <c r="D481" s="355"/>
      <c r="E481" s="356"/>
      <c r="F481" s="357"/>
      <c r="G481" s="358"/>
      <c r="H481" s="359"/>
      <c r="I481" s="284"/>
      <c r="J481" s="287"/>
      <c r="K481" s="355"/>
      <c r="M481" s="359"/>
      <c r="N481" s="284"/>
      <c r="O481" s="355"/>
      <c r="P481" s="360"/>
      <c r="Q481" s="359"/>
      <c r="R481" s="284"/>
      <c r="S481" s="355"/>
      <c r="U481" s="359"/>
      <c r="V481" s="284"/>
      <c r="W481" s="355"/>
      <c r="Y481" s="359"/>
      <c r="Z481" s="284"/>
      <c r="AA481" s="355"/>
      <c r="AC481" s="359"/>
      <c r="AD481" s="284"/>
      <c r="AE481" s="355"/>
      <c r="AG481" s="359"/>
      <c r="AH481" s="284"/>
      <c r="AI481" s="355"/>
      <c r="AK481" s="359"/>
      <c r="AL481" s="284"/>
      <c r="AM481" s="355"/>
      <c r="AO481" s="359"/>
      <c r="AP481" s="284"/>
      <c r="AQ481" s="355"/>
      <c r="AR481" s="360"/>
      <c r="AS481" s="359"/>
      <c r="AT481" s="284"/>
      <c r="AU481" s="355"/>
      <c r="AW481" s="359"/>
      <c r="AX481" s="284"/>
      <c r="AY481" s="355"/>
      <c r="BA481" s="359"/>
      <c r="BB481" s="284"/>
      <c r="BC481" s="355"/>
      <c r="BE481" s="359"/>
      <c r="BF481" s="284"/>
      <c r="BG481" s="355"/>
      <c r="BI481" s="359"/>
      <c r="BJ481" s="284"/>
      <c r="BK481" s="355"/>
      <c r="BM481" s="359"/>
      <c r="BN481" s="284"/>
      <c r="BO481" s="355"/>
      <c r="BQ481" s="359"/>
      <c r="BR481" s="284"/>
      <c r="BS481" s="355"/>
      <c r="BU481" s="359"/>
      <c r="BV481" s="284"/>
    </row>
    <row r="482" spans="2:74" x14ac:dyDescent="0.25">
      <c r="B482" s="284"/>
      <c r="D482" s="355"/>
      <c r="E482" s="356"/>
      <c r="F482" s="357"/>
      <c r="G482" s="358"/>
      <c r="H482" s="359"/>
      <c r="I482" s="284"/>
      <c r="J482" s="287"/>
      <c r="K482" s="355"/>
      <c r="M482" s="359"/>
      <c r="N482" s="284"/>
      <c r="O482" s="355"/>
      <c r="P482" s="360"/>
      <c r="Q482" s="359"/>
      <c r="R482" s="284"/>
      <c r="S482" s="355"/>
      <c r="U482" s="359"/>
      <c r="V482" s="284"/>
      <c r="W482" s="355"/>
      <c r="Y482" s="359"/>
      <c r="Z482" s="284"/>
      <c r="AA482" s="355"/>
      <c r="AC482" s="359"/>
      <c r="AD482" s="284"/>
      <c r="AE482" s="355"/>
      <c r="AG482" s="359"/>
      <c r="AH482" s="284"/>
      <c r="AI482" s="355"/>
      <c r="AK482" s="359"/>
      <c r="AL482" s="284"/>
      <c r="AM482" s="355"/>
      <c r="AO482" s="359"/>
      <c r="AP482" s="284"/>
      <c r="AQ482" s="355"/>
      <c r="AR482" s="360"/>
      <c r="AS482" s="359"/>
      <c r="AT482" s="284"/>
      <c r="AU482" s="355"/>
      <c r="AW482" s="359"/>
      <c r="AX482" s="284"/>
      <c r="AY482" s="355"/>
      <c r="BA482" s="359"/>
      <c r="BB482" s="284"/>
      <c r="BC482" s="355"/>
      <c r="BE482" s="359"/>
      <c r="BF482" s="284"/>
      <c r="BG482" s="355"/>
      <c r="BI482" s="359"/>
      <c r="BJ482" s="284"/>
      <c r="BK482" s="355"/>
      <c r="BM482" s="359"/>
      <c r="BN482" s="284"/>
      <c r="BO482" s="355"/>
      <c r="BQ482" s="359"/>
      <c r="BR482" s="284"/>
      <c r="BS482" s="355"/>
      <c r="BU482" s="359"/>
      <c r="BV482" s="284"/>
    </row>
    <row r="483" spans="2:74" x14ac:dyDescent="0.25">
      <c r="B483" s="284"/>
      <c r="D483" s="355"/>
      <c r="E483" s="356"/>
      <c r="F483" s="357"/>
      <c r="G483" s="358"/>
      <c r="H483" s="359"/>
      <c r="I483" s="284"/>
      <c r="J483" s="287"/>
      <c r="K483" s="355"/>
      <c r="M483" s="359"/>
      <c r="N483" s="284"/>
      <c r="O483" s="355"/>
      <c r="P483" s="360"/>
      <c r="Q483" s="359"/>
      <c r="R483" s="284"/>
      <c r="S483" s="355"/>
      <c r="U483" s="359"/>
      <c r="V483" s="284"/>
      <c r="W483" s="355"/>
      <c r="Y483" s="359"/>
      <c r="Z483" s="284"/>
      <c r="AA483" s="355"/>
      <c r="AC483" s="359"/>
      <c r="AD483" s="284"/>
      <c r="AE483" s="355"/>
      <c r="AG483" s="359"/>
      <c r="AH483" s="284"/>
      <c r="AI483" s="355"/>
      <c r="AK483" s="359"/>
      <c r="AL483" s="284"/>
      <c r="AM483" s="355"/>
      <c r="AO483" s="359"/>
      <c r="AP483" s="284"/>
      <c r="AQ483" s="355"/>
      <c r="AR483" s="360"/>
      <c r="AS483" s="359"/>
      <c r="AT483" s="284"/>
      <c r="AU483" s="355"/>
      <c r="AW483" s="359"/>
      <c r="AX483" s="284"/>
      <c r="AY483" s="355"/>
      <c r="BA483" s="359"/>
      <c r="BB483" s="284"/>
      <c r="BC483" s="355"/>
      <c r="BE483" s="359"/>
      <c r="BF483" s="284"/>
      <c r="BG483" s="355"/>
      <c r="BI483" s="359"/>
      <c r="BJ483" s="284"/>
      <c r="BK483" s="355"/>
      <c r="BM483" s="359"/>
      <c r="BN483" s="284"/>
      <c r="BO483" s="355"/>
      <c r="BQ483" s="359"/>
      <c r="BR483" s="284"/>
      <c r="BS483" s="355"/>
      <c r="BU483" s="359"/>
      <c r="BV483" s="284"/>
    </row>
    <row r="484" spans="2:74" x14ac:dyDescent="0.25">
      <c r="B484" s="284"/>
      <c r="D484" s="355"/>
      <c r="E484" s="356"/>
      <c r="F484" s="357"/>
      <c r="G484" s="358"/>
      <c r="H484" s="359"/>
      <c r="I484" s="284"/>
      <c r="J484" s="287"/>
      <c r="K484" s="355"/>
      <c r="M484" s="359"/>
      <c r="N484" s="284"/>
      <c r="O484" s="355"/>
      <c r="P484" s="360"/>
      <c r="Q484" s="359"/>
      <c r="R484" s="284"/>
      <c r="S484" s="355"/>
      <c r="U484" s="359"/>
      <c r="V484" s="284"/>
      <c r="W484" s="355"/>
      <c r="Y484" s="359"/>
      <c r="Z484" s="284"/>
      <c r="AA484" s="355"/>
      <c r="AC484" s="359"/>
      <c r="AD484" s="284"/>
      <c r="AE484" s="355"/>
      <c r="AG484" s="359"/>
      <c r="AH484" s="284"/>
      <c r="AI484" s="355"/>
      <c r="AK484" s="359"/>
      <c r="AL484" s="284"/>
      <c r="AM484" s="355"/>
      <c r="AO484" s="359"/>
      <c r="AP484" s="284"/>
      <c r="AQ484" s="355"/>
      <c r="AR484" s="360"/>
      <c r="AS484" s="359"/>
      <c r="AT484" s="284"/>
      <c r="AU484" s="355"/>
      <c r="AW484" s="359"/>
      <c r="AX484" s="284"/>
      <c r="AY484" s="355"/>
      <c r="BA484" s="359"/>
      <c r="BB484" s="284"/>
      <c r="BC484" s="355"/>
      <c r="BE484" s="359"/>
      <c r="BF484" s="284"/>
      <c r="BG484" s="355"/>
      <c r="BI484" s="359"/>
      <c r="BJ484" s="284"/>
      <c r="BK484" s="355"/>
      <c r="BM484" s="359"/>
      <c r="BN484" s="284"/>
      <c r="BO484" s="355"/>
      <c r="BQ484" s="359"/>
      <c r="BR484" s="284"/>
      <c r="BS484" s="355"/>
      <c r="BU484" s="359"/>
      <c r="BV484" s="284"/>
    </row>
    <row r="485" spans="2:74" x14ac:dyDescent="0.25">
      <c r="B485" s="284"/>
      <c r="D485" s="355"/>
      <c r="E485" s="356"/>
      <c r="F485" s="357"/>
      <c r="G485" s="358"/>
      <c r="H485" s="359"/>
      <c r="I485" s="284"/>
      <c r="J485" s="287"/>
      <c r="K485" s="355"/>
      <c r="M485" s="359"/>
      <c r="N485" s="284"/>
      <c r="O485" s="355"/>
      <c r="P485" s="360"/>
      <c r="Q485" s="359"/>
      <c r="R485" s="284"/>
      <c r="S485" s="355"/>
      <c r="U485" s="359"/>
      <c r="V485" s="284"/>
      <c r="W485" s="355"/>
      <c r="Y485" s="359"/>
      <c r="Z485" s="284"/>
      <c r="AA485" s="355"/>
      <c r="AC485" s="359"/>
      <c r="AD485" s="284"/>
      <c r="AE485" s="355"/>
      <c r="AG485" s="359"/>
      <c r="AH485" s="284"/>
      <c r="AI485" s="355"/>
      <c r="AK485" s="359"/>
      <c r="AL485" s="284"/>
      <c r="AM485" s="355"/>
      <c r="AO485" s="359"/>
      <c r="AP485" s="284"/>
      <c r="AQ485" s="355"/>
      <c r="AR485" s="360"/>
      <c r="AS485" s="359"/>
      <c r="AT485" s="284"/>
      <c r="AU485" s="355"/>
      <c r="AW485" s="359"/>
      <c r="AX485" s="284"/>
      <c r="AY485" s="355"/>
      <c r="BA485" s="359"/>
      <c r="BB485" s="284"/>
      <c r="BC485" s="355"/>
      <c r="BE485" s="359"/>
      <c r="BF485" s="284"/>
      <c r="BG485" s="355"/>
      <c r="BI485" s="359"/>
      <c r="BJ485" s="284"/>
      <c r="BK485" s="355"/>
      <c r="BM485" s="359"/>
      <c r="BN485" s="284"/>
      <c r="BO485" s="355"/>
      <c r="BQ485" s="359"/>
      <c r="BR485" s="284"/>
      <c r="BS485" s="355"/>
      <c r="BU485" s="359"/>
      <c r="BV485" s="284"/>
    </row>
    <row r="486" spans="2:74" x14ac:dyDescent="0.25">
      <c r="B486" s="284"/>
      <c r="D486" s="355"/>
      <c r="E486" s="356"/>
      <c r="F486" s="357"/>
      <c r="G486" s="358"/>
      <c r="H486" s="359"/>
      <c r="I486" s="284"/>
      <c r="J486" s="287"/>
      <c r="K486" s="355"/>
      <c r="M486" s="359"/>
      <c r="N486" s="284"/>
      <c r="O486" s="355"/>
      <c r="P486" s="360"/>
      <c r="Q486" s="359"/>
      <c r="R486" s="284"/>
      <c r="S486" s="355"/>
      <c r="U486" s="359"/>
      <c r="V486" s="284"/>
      <c r="W486" s="355"/>
      <c r="Y486" s="359"/>
      <c r="Z486" s="284"/>
      <c r="AA486" s="355"/>
      <c r="AC486" s="359"/>
      <c r="AD486" s="284"/>
      <c r="AE486" s="355"/>
      <c r="AG486" s="359"/>
      <c r="AH486" s="284"/>
      <c r="AI486" s="355"/>
      <c r="AK486" s="359"/>
      <c r="AL486" s="284"/>
      <c r="AM486" s="355"/>
      <c r="AO486" s="359"/>
      <c r="AP486" s="284"/>
      <c r="AQ486" s="355"/>
      <c r="AR486" s="360"/>
      <c r="AS486" s="359"/>
      <c r="AT486" s="284"/>
      <c r="AU486" s="355"/>
      <c r="AW486" s="359"/>
      <c r="AX486" s="284"/>
      <c r="AY486" s="355"/>
      <c r="BA486" s="359"/>
      <c r="BB486" s="284"/>
      <c r="BC486" s="355"/>
      <c r="BE486" s="359"/>
      <c r="BF486" s="284"/>
      <c r="BG486" s="355"/>
      <c r="BI486" s="359"/>
      <c r="BJ486" s="284"/>
      <c r="BK486" s="355"/>
      <c r="BM486" s="359"/>
      <c r="BN486" s="284"/>
      <c r="BO486" s="355"/>
      <c r="BQ486" s="359"/>
      <c r="BR486" s="284"/>
      <c r="BS486" s="355"/>
      <c r="BU486" s="359"/>
      <c r="BV486" s="284"/>
    </row>
    <row r="487" spans="2:74" x14ac:dyDescent="0.25">
      <c r="B487" s="284"/>
      <c r="D487" s="355"/>
      <c r="E487" s="356"/>
      <c r="F487" s="357"/>
      <c r="G487" s="358"/>
      <c r="H487" s="359"/>
      <c r="I487" s="284"/>
      <c r="J487" s="287"/>
      <c r="K487" s="355"/>
      <c r="M487" s="359"/>
      <c r="N487" s="284"/>
      <c r="O487" s="355"/>
      <c r="P487" s="360"/>
      <c r="Q487" s="359"/>
      <c r="R487" s="284"/>
      <c r="S487" s="355"/>
      <c r="U487" s="359"/>
      <c r="V487" s="284"/>
      <c r="W487" s="355"/>
      <c r="Y487" s="359"/>
      <c r="Z487" s="284"/>
      <c r="AA487" s="355"/>
      <c r="AC487" s="359"/>
      <c r="AD487" s="284"/>
      <c r="AE487" s="355"/>
      <c r="AG487" s="359"/>
      <c r="AH487" s="284"/>
      <c r="AI487" s="355"/>
      <c r="AK487" s="359"/>
      <c r="AL487" s="284"/>
      <c r="AM487" s="355"/>
      <c r="AO487" s="359"/>
      <c r="AP487" s="284"/>
      <c r="AQ487" s="355"/>
      <c r="AR487" s="360"/>
      <c r="AS487" s="359"/>
      <c r="AT487" s="284"/>
      <c r="AU487" s="355"/>
      <c r="AW487" s="359"/>
      <c r="AX487" s="284"/>
      <c r="AY487" s="355"/>
      <c r="BA487" s="359"/>
      <c r="BB487" s="284"/>
      <c r="BC487" s="355"/>
      <c r="BE487" s="359"/>
      <c r="BF487" s="284"/>
      <c r="BG487" s="355"/>
      <c r="BI487" s="359"/>
      <c r="BJ487" s="284"/>
      <c r="BK487" s="355"/>
      <c r="BM487" s="359"/>
      <c r="BN487" s="284"/>
      <c r="BO487" s="355"/>
      <c r="BQ487" s="359"/>
      <c r="BR487" s="284"/>
      <c r="BS487" s="355"/>
      <c r="BU487" s="359"/>
      <c r="BV487" s="284"/>
    </row>
    <row r="488" spans="2:74" x14ac:dyDescent="0.25">
      <c r="B488" s="284"/>
      <c r="D488" s="355"/>
      <c r="E488" s="356"/>
      <c r="F488" s="357"/>
      <c r="G488" s="358"/>
      <c r="H488" s="359"/>
      <c r="I488" s="284"/>
      <c r="J488" s="287"/>
      <c r="K488" s="355"/>
      <c r="M488" s="359"/>
      <c r="N488" s="284"/>
      <c r="O488" s="355"/>
      <c r="P488" s="360"/>
      <c r="Q488" s="359"/>
      <c r="R488" s="284"/>
      <c r="S488" s="355"/>
      <c r="U488" s="359"/>
      <c r="V488" s="284"/>
      <c r="W488" s="355"/>
      <c r="Y488" s="359"/>
      <c r="Z488" s="284"/>
      <c r="AA488" s="355"/>
      <c r="AC488" s="359"/>
      <c r="AD488" s="284"/>
      <c r="AE488" s="355"/>
      <c r="AG488" s="359"/>
      <c r="AH488" s="284"/>
      <c r="AI488" s="355"/>
      <c r="AK488" s="359"/>
      <c r="AL488" s="284"/>
      <c r="AM488" s="355"/>
      <c r="AO488" s="359"/>
      <c r="AP488" s="284"/>
      <c r="AQ488" s="355"/>
      <c r="AR488" s="360"/>
      <c r="AS488" s="359"/>
      <c r="AT488" s="284"/>
      <c r="AU488" s="355"/>
      <c r="AW488" s="359"/>
      <c r="AX488" s="284"/>
      <c r="AY488" s="355"/>
      <c r="BA488" s="359"/>
      <c r="BB488" s="284"/>
      <c r="BC488" s="355"/>
      <c r="BE488" s="359"/>
      <c r="BF488" s="284"/>
      <c r="BG488" s="355"/>
      <c r="BI488" s="359"/>
      <c r="BJ488" s="284"/>
      <c r="BK488" s="355"/>
      <c r="BM488" s="359"/>
      <c r="BN488" s="284"/>
      <c r="BO488" s="355"/>
      <c r="BQ488" s="359"/>
      <c r="BR488" s="284"/>
      <c r="BS488" s="355"/>
      <c r="BU488" s="359"/>
      <c r="BV488" s="284"/>
    </row>
    <row r="489" spans="2:74" x14ac:dyDescent="0.25">
      <c r="B489" s="284"/>
      <c r="D489" s="355"/>
      <c r="E489" s="356"/>
      <c r="F489" s="357"/>
      <c r="G489" s="358"/>
      <c r="H489" s="359"/>
      <c r="I489" s="284"/>
      <c r="J489" s="287"/>
      <c r="K489" s="355"/>
      <c r="M489" s="359"/>
      <c r="N489" s="284"/>
      <c r="O489" s="355"/>
      <c r="P489" s="360"/>
      <c r="Q489" s="359"/>
      <c r="R489" s="284"/>
      <c r="S489" s="355"/>
      <c r="U489" s="359"/>
      <c r="V489" s="284"/>
      <c r="W489" s="355"/>
      <c r="Y489" s="359"/>
      <c r="Z489" s="284"/>
      <c r="AA489" s="355"/>
      <c r="AC489" s="359"/>
      <c r="AD489" s="284"/>
      <c r="AE489" s="355"/>
      <c r="AG489" s="359"/>
      <c r="AH489" s="284"/>
      <c r="AI489" s="355"/>
      <c r="AK489" s="359"/>
      <c r="AL489" s="284"/>
      <c r="AM489" s="355"/>
      <c r="AO489" s="359"/>
      <c r="AP489" s="284"/>
      <c r="AQ489" s="355"/>
      <c r="AR489" s="360"/>
      <c r="AS489" s="359"/>
      <c r="AT489" s="284"/>
      <c r="AU489" s="355"/>
      <c r="AW489" s="359"/>
      <c r="AX489" s="284"/>
      <c r="AY489" s="355"/>
      <c r="BA489" s="359"/>
      <c r="BB489" s="284"/>
      <c r="BC489" s="355"/>
      <c r="BE489" s="359"/>
      <c r="BF489" s="284"/>
      <c r="BG489" s="355"/>
      <c r="BI489" s="359"/>
      <c r="BJ489" s="284"/>
      <c r="BK489" s="355"/>
      <c r="BM489" s="359"/>
      <c r="BN489" s="284"/>
      <c r="BO489" s="355"/>
      <c r="BQ489" s="359"/>
      <c r="BR489" s="284"/>
      <c r="BS489" s="355"/>
      <c r="BU489" s="359"/>
      <c r="BV489" s="284"/>
    </row>
    <row r="490" spans="2:74" x14ac:dyDescent="0.25">
      <c r="B490" s="284"/>
      <c r="D490" s="355"/>
      <c r="E490" s="356"/>
      <c r="F490" s="357"/>
      <c r="G490" s="358"/>
      <c r="H490" s="359"/>
      <c r="I490" s="284"/>
      <c r="J490" s="287"/>
      <c r="K490" s="355"/>
      <c r="M490" s="359"/>
      <c r="N490" s="284"/>
      <c r="O490" s="355"/>
      <c r="P490" s="360"/>
      <c r="Q490" s="359"/>
      <c r="R490" s="284"/>
      <c r="S490" s="355"/>
      <c r="U490" s="359"/>
      <c r="V490" s="284"/>
      <c r="W490" s="355"/>
      <c r="Y490" s="359"/>
      <c r="Z490" s="284"/>
      <c r="AA490" s="355"/>
      <c r="AC490" s="359"/>
      <c r="AD490" s="284"/>
      <c r="AE490" s="355"/>
      <c r="AG490" s="359"/>
      <c r="AH490" s="284"/>
      <c r="AI490" s="355"/>
      <c r="AK490" s="359"/>
      <c r="AL490" s="284"/>
      <c r="AM490" s="355"/>
      <c r="AO490" s="359"/>
      <c r="AP490" s="284"/>
      <c r="AQ490" s="355"/>
      <c r="AR490" s="360"/>
      <c r="AS490" s="359"/>
      <c r="AT490" s="284"/>
      <c r="AU490" s="355"/>
      <c r="AW490" s="359"/>
      <c r="AX490" s="284"/>
      <c r="AY490" s="355"/>
      <c r="BA490" s="359"/>
      <c r="BB490" s="284"/>
      <c r="BC490" s="355"/>
      <c r="BE490" s="359"/>
      <c r="BF490" s="284"/>
      <c r="BG490" s="355"/>
      <c r="BI490" s="359"/>
      <c r="BJ490" s="284"/>
      <c r="BK490" s="355"/>
      <c r="BM490" s="359"/>
      <c r="BN490" s="284"/>
      <c r="BO490" s="355"/>
      <c r="BQ490" s="359"/>
      <c r="BR490" s="284"/>
      <c r="BS490" s="355"/>
      <c r="BU490" s="359"/>
      <c r="BV490" s="284"/>
    </row>
    <row r="491" spans="2:74" x14ac:dyDescent="0.25">
      <c r="B491" s="284"/>
      <c r="D491" s="355"/>
      <c r="E491" s="356"/>
      <c r="F491" s="357"/>
      <c r="G491" s="358"/>
      <c r="H491" s="359"/>
      <c r="I491" s="284"/>
      <c r="J491" s="287"/>
      <c r="K491" s="355"/>
      <c r="M491" s="359"/>
      <c r="N491" s="284"/>
      <c r="O491" s="355"/>
      <c r="P491" s="360"/>
      <c r="Q491" s="359"/>
      <c r="R491" s="284"/>
      <c r="S491" s="355"/>
      <c r="U491" s="359"/>
      <c r="V491" s="284"/>
      <c r="W491" s="355"/>
      <c r="Y491" s="359"/>
      <c r="Z491" s="284"/>
      <c r="AA491" s="355"/>
      <c r="AC491" s="359"/>
      <c r="AD491" s="284"/>
      <c r="AE491" s="355"/>
      <c r="AG491" s="359"/>
      <c r="AH491" s="284"/>
      <c r="AI491" s="355"/>
      <c r="AK491" s="359"/>
      <c r="AL491" s="284"/>
      <c r="AM491" s="355"/>
      <c r="AO491" s="359"/>
      <c r="AP491" s="284"/>
      <c r="AQ491" s="355"/>
      <c r="AR491" s="360"/>
      <c r="AS491" s="359"/>
      <c r="AT491" s="284"/>
      <c r="AU491" s="355"/>
      <c r="AW491" s="359"/>
      <c r="AX491" s="284"/>
      <c r="AY491" s="355"/>
      <c r="BA491" s="359"/>
      <c r="BB491" s="284"/>
      <c r="BC491" s="355"/>
      <c r="BE491" s="359"/>
      <c r="BF491" s="284"/>
      <c r="BG491" s="355"/>
      <c r="BI491" s="359"/>
      <c r="BJ491" s="284"/>
      <c r="BK491" s="355"/>
      <c r="BM491" s="359"/>
      <c r="BN491" s="284"/>
      <c r="BO491" s="355"/>
      <c r="BQ491" s="359"/>
      <c r="BR491" s="284"/>
      <c r="BS491" s="355"/>
      <c r="BU491" s="359"/>
      <c r="BV491" s="284"/>
    </row>
    <row r="492" spans="2:74" x14ac:dyDescent="0.25">
      <c r="B492" s="284"/>
      <c r="D492" s="355"/>
      <c r="E492" s="356"/>
      <c r="F492" s="357"/>
      <c r="G492" s="358"/>
      <c r="H492" s="359"/>
      <c r="I492" s="284"/>
      <c r="J492" s="287"/>
      <c r="K492" s="355"/>
      <c r="M492" s="359"/>
      <c r="N492" s="284"/>
      <c r="O492" s="355"/>
      <c r="P492" s="360"/>
      <c r="Q492" s="359"/>
      <c r="R492" s="284"/>
      <c r="S492" s="355"/>
      <c r="U492" s="359"/>
      <c r="V492" s="284"/>
      <c r="W492" s="355"/>
      <c r="Y492" s="359"/>
      <c r="Z492" s="284"/>
      <c r="AA492" s="355"/>
      <c r="AC492" s="359"/>
      <c r="AD492" s="284"/>
      <c r="AE492" s="355"/>
      <c r="AG492" s="359"/>
      <c r="AH492" s="284"/>
      <c r="AI492" s="355"/>
      <c r="AK492" s="359"/>
      <c r="AL492" s="284"/>
      <c r="AM492" s="355"/>
      <c r="AO492" s="359"/>
      <c r="AP492" s="284"/>
      <c r="AQ492" s="355"/>
      <c r="AR492" s="360"/>
      <c r="AS492" s="359"/>
      <c r="AT492" s="284"/>
      <c r="AU492" s="355"/>
      <c r="AW492" s="359"/>
      <c r="AX492" s="284"/>
      <c r="AY492" s="355"/>
      <c r="BA492" s="359"/>
      <c r="BB492" s="284"/>
      <c r="BC492" s="355"/>
      <c r="BE492" s="359"/>
      <c r="BF492" s="284"/>
      <c r="BG492" s="355"/>
      <c r="BI492" s="359"/>
      <c r="BJ492" s="284"/>
      <c r="BK492" s="355"/>
      <c r="BM492" s="359"/>
      <c r="BN492" s="284"/>
      <c r="BO492" s="355"/>
      <c r="BQ492" s="359"/>
      <c r="BR492" s="284"/>
      <c r="BS492" s="355"/>
      <c r="BU492" s="359"/>
      <c r="BV492" s="284"/>
    </row>
    <row r="493" spans="2:74" x14ac:dyDescent="0.25">
      <c r="B493" s="284"/>
      <c r="D493" s="355"/>
      <c r="E493" s="356"/>
      <c r="F493" s="357"/>
      <c r="G493" s="358"/>
      <c r="H493" s="359"/>
      <c r="I493" s="284"/>
      <c r="J493" s="287"/>
      <c r="K493" s="355"/>
      <c r="M493" s="359"/>
      <c r="N493" s="284"/>
      <c r="O493" s="355"/>
      <c r="P493" s="360"/>
      <c r="Q493" s="359"/>
      <c r="R493" s="284"/>
      <c r="S493" s="355"/>
      <c r="U493" s="359"/>
      <c r="V493" s="284"/>
      <c r="W493" s="355"/>
      <c r="Y493" s="359"/>
      <c r="Z493" s="284"/>
      <c r="AA493" s="355"/>
      <c r="AC493" s="359"/>
      <c r="AD493" s="284"/>
      <c r="AE493" s="355"/>
      <c r="AG493" s="359"/>
      <c r="AH493" s="284"/>
      <c r="AI493" s="355"/>
      <c r="AK493" s="359"/>
      <c r="AL493" s="284"/>
      <c r="AM493" s="355"/>
      <c r="AO493" s="359"/>
      <c r="AP493" s="284"/>
      <c r="AQ493" s="355"/>
      <c r="AR493" s="360"/>
      <c r="AS493" s="359"/>
      <c r="AT493" s="284"/>
      <c r="AU493" s="355"/>
      <c r="AW493" s="359"/>
      <c r="AX493" s="284"/>
      <c r="AY493" s="355"/>
      <c r="BA493" s="359"/>
      <c r="BB493" s="284"/>
      <c r="BC493" s="355"/>
      <c r="BE493" s="359"/>
      <c r="BF493" s="284"/>
      <c r="BG493" s="355"/>
      <c r="BI493" s="359"/>
      <c r="BJ493" s="284"/>
      <c r="BK493" s="355"/>
      <c r="BM493" s="359"/>
      <c r="BN493" s="284"/>
      <c r="BO493" s="355"/>
      <c r="BQ493" s="359"/>
      <c r="BR493" s="284"/>
      <c r="BS493" s="355"/>
      <c r="BU493" s="359"/>
      <c r="BV493" s="284"/>
    </row>
    <row r="494" spans="2:74" x14ac:dyDescent="0.25">
      <c r="B494" s="284"/>
      <c r="D494" s="355"/>
      <c r="E494" s="356"/>
      <c r="F494" s="357"/>
      <c r="G494" s="358"/>
      <c r="H494" s="359"/>
      <c r="I494" s="284"/>
      <c r="J494" s="287"/>
      <c r="K494" s="355"/>
      <c r="M494" s="359"/>
      <c r="N494" s="284"/>
      <c r="O494" s="355"/>
      <c r="P494" s="360"/>
      <c r="Q494" s="359"/>
      <c r="R494" s="284"/>
      <c r="S494" s="355"/>
      <c r="U494" s="359"/>
      <c r="V494" s="284"/>
      <c r="W494" s="355"/>
      <c r="Y494" s="359"/>
      <c r="Z494" s="284"/>
      <c r="AA494" s="355"/>
      <c r="AC494" s="359"/>
      <c r="AD494" s="284"/>
      <c r="AE494" s="355"/>
      <c r="AG494" s="359"/>
      <c r="AH494" s="284"/>
      <c r="AI494" s="355"/>
      <c r="AK494" s="359"/>
      <c r="AL494" s="284"/>
      <c r="AM494" s="355"/>
      <c r="AO494" s="359"/>
      <c r="AP494" s="284"/>
      <c r="AQ494" s="355"/>
      <c r="AR494" s="360"/>
      <c r="AS494" s="359"/>
      <c r="AT494" s="284"/>
      <c r="AU494" s="355"/>
      <c r="AW494" s="359"/>
      <c r="AX494" s="284"/>
      <c r="AY494" s="355"/>
      <c r="BA494" s="359"/>
      <c r="BB494" s="284"/>
      <c r="BC494" s="355"/>
      <c r="BE494" s="359"/>
      <c r="BF494" s="284"/>
      <c r="BG494" s="355"/>
      <c r="BI494" s="359"/>
      <c r="BJ494" s="284"/>
      <c r="BK494" s="355"/>
      <c r="BM494" s="359"/>
      <c r="BN494" s="284"/>
      <c r="BO494" s="355"/>
      <c r="BQ494" s="359"/>
      <c r="BR494" s="284"/>
      <c r="BS494" s="355"/>
      <c r="BU494" s="359"/>
      <c r="BV494" s="284"/>
    </row>
    <row r="495" spans="2:74" x14ac:dyDescent="0.25">
      <c r="B495" s="284"/>
      <c r="D495" s="355"/>
      <c r="E495" s="356"/>
      <c r="F495" s="357"/>
      <c r="G495" s="358"/>
      <c r="H495" s="359"/>
      <c r="I495" s="284"/>
      <c r="J495" s="287"/>
      <c r="K495" s="355"/>
      <c r="M495" s="359"/>
      <c r="N495" s="284"/>
      <c r="O495" s="355"/>
      <c r="P495" s="360"/>
      <c r="Q495" s="359"/>
      <c r="R495" s="284"/>
      <c r="S495" s="355"/>
      <c r="U495" s="359"/>
      <c r="V495" s="284"/>
      <c r="W495" s="355"/>
      <c r="Y495" s="359"/>
      <c r="Z495" s="284"/>
      <c r="AA495" s="355"/>
      <c r="AC495" s="359"/>
      <c r="AD495" s="284"/>
      <c r="AE495" s="355"/>
      <c r="AG495" s="359"/>
      <c r="AH495" s="284"/>
      <c r="AI495" s="355"/>
      <c r="AK495" s="359"/>
      <c r="AL495" s="284"/>
      <c r="AM495" s="355"/>
      <c r="AO495" s="359"/>
      <c r="AP495" s="284"/>
      <c r="AQ495" s="355"/>
      <c r="AR495" s="360"/>
      <c r="AS495" s="359"/>
      <c r="AT495" s="284"/>
      <c r="AU495" s="355"/>
      <c r="AW495" s="359"/>
      <c r="AX495" s="284"/>
      <c r="AY495" s="355"/>
      <c r="BA495" s="359"/>
      <c r="BB495" s="284"/>
      <c r="BC495" s="355"/>
      <c r="BE495" s="359"/>
      <c r="BF495" s="284"/>
      <c r="BG495" s="355"/>
      <c r="BI495" s="359"/>
      <c r="BJ495" s="284"/>
      <c r="BK495" s="355"/>
      <c r="BM495" s="359"/>
      <c r="BN495" s="284"/>
      <c r="BO495" s="355"/>
      <c r="BQ495" s="359"/>
      <c r="BR495" s="284"/>
      <c r="BS495" s="355"/>
      <c r="BU495" s="359"/>
      <c r="BV495" s="284"/>
    </row>
    <row r="496" spans="2:74" x14ac:dyDescent="0.25">
      <c r="B496" s="284"/>
      <c r="D496" s="355"/>
      <c r="E496" s="356"/>
      <c r="F496" s="357"/>
      <c r="G496" s="358"/>
      <c r="H496" s="359"/>
      <c r="I496" s="284"/>
      <c r="J496" s="287"/>
      <c r="K496" s="355"/>
      <c r="M496" s="359"/>
      <c r="N496" s="284"/>
      <c r="O496" s="355"/>
      <c r="P496" s="360"/>
      <c r="Q496" s="359"/>
      <c r="R496" s="284"/>
      <c r="S496" s="355"/>
      <c r="U496" s="359"/>
      <c r="V496" s="284"/>
      <c r="W496" s="355"/>
      <c r="Y496" s="359"/>
      <c r="Z496" s="284"/>
      <c r="AA496" s="355"/>
      <c r="AC496" s="359"/>
      <c r="AD496" s="284"/>
      <c r="AE496" s="355"/>
      <c r="AG496" s="359"/>
      <c r="AH496" s="284"/>
      <c r="AI496" s="355"/>
      <c r="AK496" s="359"/>
      <c r="AL496" s="284"/>
      <c r="AM496" s="355"/>
      <c r="AO496" s="359"/>
      <c r="AP496" s="284"/>
      <c r="AQ496" s="355"/>
      <c r="AR496" s="360"/>
      <c r="AS496" s="359"/>
      <c r="AT496" s="284"/>
      <c r="AU496" s="355"/>
      <c r="AW496" s="359"/>
      <c r="AX496" s="284"/>
      <c r="AY496" s="355"/>
      <c r="BA496" s="359"/>
      <c r="BB496" s="284"/>
      <c r="BC496" s="355"/>
      <c r="BE496" s="359"/>
      <c r="BF496" s="284"/>
      <c r="BG496" s="355"/>
      <c r="BI496" s="359"/>
      <c r="BJ496" s="284"/>
      <c r="BK496" s="355"/>
      <c r="BM496" s="359"/>
      <c r="BN496" s="284"/>
      <c r="BO496" s="355"/>
      <c r="BQ496" s="359"/>
      <c r="BR496" s="284"/>
      <c r="BS496" s="355"/>
      <c r="BU496" s="359"/>
      <c r="BV496" s="284"/>
    </row>
    <row r="497" spans="2:74" x14ac:dyDescent="0.25">
      <c r="B497" s="284"/>
      <c r="D497" s="355"/>
      <c r="E497" s="356"/>
      <c r="F497" s="357"/>
      <c r="G497" s="358"/>
      <c r="H497" s="359"/>
      <c r="I497" s="284"/>
      <c r="J497" s="287"/>
      <c r="K497" s="355"/>
      <c r="M497" s="359"/>
      <c r="N497" s="284"/>
      <c r="O497" s="355"/>
      <c r="P497" s="360"/>
      <c r="Q497" s="359"/>
      <c r="R497" s="284"/>
      <c r="S497" s="355"/>
      <c r="U497" s="359"/>
      <c r="V497" s="284"/>
      <c r="W497" s="355"/>
      <c r="Y497" s="359"/>
      <c r="Z497" s="284"/>
      <c r="AA497" s="355"/>
      <c r="AC497" s="359"/>
      <c r="AD497" s="284"/>
      <c r="AE497" s="355"/>
      <c r="AG497" s="359"/>
      <c r="AH497" s="284"/>
      <c r="AI497" s="355"/>
      <c r="AK497" s="359"/>
      <c r="AL497" s="284"/>
      <c r="AM497" s="355"/>
      <c r="AO497" s="359"/>
      <c r="AP497" s="284"/>
      <c r="AQ497" s="355"/>
      <c r="AR497" s="360"/>
      <c r="AS497" s="359"/>
      <c r="AT497" s="284"/>
      <c r="AU497" s="355"/>
      <c r="AW497" s="359"/>
      <c r="AX497" s="284"/>
      <c r="AY497" s="355"/>
      <c r="BA497" s="359"/>
      <c r="BB497" s="284"/>
      <c r="BC497" s="355"/>
      <c r="BE497" s="359"/>
      <c r="BF497" s="284"/>
      <c r="BG497" s="355"/>
      <c r="BI497" s="359"/>
      <c r="BJ497" s="284"/>
      <c r="BK497" s="355"/>
      <c r="BM497" s="359"/>
      <c r="BN497" s="284"/>
      <c r="BO497" s="355"/>
      <c r="BQ497" s="359"/>
      <c r="BR497" s="284"/>
      <c r="BS497" s="355"/>
      <c r="BU497" s="359"/>
      <c r="BV497" s="284"/>
    </row>
    <row r="498" spans="2:74" x14ac:dyDescent="0.25">
      <c r="B498" s="284"/>
      <c r="D498" s="355"/>
      <c r="E498" s="356"/>
      <c r="F498" s="357"/>
      <c r="G498" s="358"/>
      <c r="H498" s="359"/>
      <c r="I498" s="284"/>
      <c r="J498" s="287"/>
      <c r="K498" s="355"/>
      <c r="M498" s="359"/>
      <c r="N498" s="284"/>
      <c r="O498" s="355"/>
      <c r="P498" s="360"/>
      <c r="Q498" s="359"/>
      <c r="R498" s="284"/>
      <c r="S498" s="355"/>
      <c r="U498" s="359"/>
      <c r="V498" s="284"/>
      <c r="W498" s="355"/>
      <c r="Y498" s="359"/>
      <c r="Z498" s="284"/>
      <c r="AA498" s="355"/>
      <c r="AC498" s="359"/>
      <c r="AD498" s="284"/>
      <c r="AE498" s="355"/>
      <c r="AG498" s="359"/>
      <c r="AH498" s="284"/>
      <c r="AI498" s="355"/>
      <c r="AK498" s="359"/>
      <c r="AL498" s="284"/>
      <c r="AM498" s="355"/>
      <c r="AO498" s="359"/>
      <c r="AP498" s="284"/>
      <c r="AQ498" s="355"/>
      <c r="AR498" s="360"/>
      <c r="AS498" s="359"/>
      <c r="AT498" s="284"/>
      <c r="AU498" s="355"/>
      <c r="AW498" s="359"/>
      <c r="AX498" s="284"/>
      <c r="AY498" s="355"/>
      <c r="BA498" s="359"/>
      <c r="BB498" s="284"/>
      <c r="BC498" s="355"/>
      <c r="BE498" s="359"/>
      <c r="BF498" s="284"/>
      <c r="BG498" s="355"/>
      <c r="BI498" s="359"/>
      <c r="BJ498" s="284"/>
      <c r="BK498" s="355"/>
      <c r="BM498" s="359"/>
      <c r="BN498" s="284"/>
      <c r="BO498" s="355"/>
      <c r="BQ498" s="359"/>
      <c r="BR498" s="284"/>
      <c r="BS498" s="355"/>
      <c r="BU498" s="359"/>
      <c r="BV498" s="284"/>
    </row>
    <row r="499" spans="2:74" x14ac:dyDescent="0.25">
      <c r="B499" s="284"/>
      <c r="D499" s="355"/>
      <c r="E499" s="356"/>
      <c r="F499" s="357"/>
      <c r="G499" s="358"/>
      <c r="H499" s="359"/>
      <c r="I499" s="284"/>
      <c r="J499" s="287"/>
      <c r="K499" s="355"/>
      <c r="M499" s="359"/>
      <c r="N499" s="284"/>
      <c r="O499" s="355"/>
      <c r="P499" s="360"/>
      <c r="Q499" s="359"/>
      <c r="R499" s="284"/>
      <c r="S499" s="355"/>
      <c r="U499" s="359"/>
      <c r="V499" s="284"/>
      <c r="W499" s="355"/>
      <c r="Y499" s="359"/>
      <c r="Z499" s="284"/>
      <c r="AA499" s="355"/>
      <c r="AC499" s="359"/>
      <c r="AD499" s="284"/>
      <c r="AE499" s="355"/>
      <c r="AG499" s="359"/>
      <c r="AH499" s="284"/>
      <c r="AI499" s="355"/>
      <c r="AK499" s="359"/>
      <c r="AL499" s="284"/>
      <c r="AM499" s="355"/>
      <c r="AO499" s="359"/>
      <c r="AP499" s="284"/>
      <c r="AQ499" s="355"/>
      <c r="AR499" s="360"/>
      <c r="AS499" s="359"/>
      <c r="AT499" s="284"/>
      <c r="AU499" s="355"/>
      <c r="AW499" s="359"/>
      <c r="AX499" s="284"/>
      <c r="AY499" s="355"/>
      <c r="BA499" s="359"/>
      <c r="BB499" s="284"/>
      <c r="BC499" s="355"/>
      <c r="BE499" s="359"/>
      <c r="BF499" s="284"/>
      <c r="BG499" s="355"/>
      <c r="BI499" s="359"/>
      <c r="BJ499" s="284"/>
      <c r="BK499" s="355"/>
      <c r="BM499" s="359"/>
      <c r="BN499" s="284"/>
      <c r="BO499" s="355"/>
      <c r="BQ499" s="359"/>
      <c r="BR499" s="284"/>
      <c r="BS499" s="355"/>
      <c r="BU499" s="359"/>
      <c r="BV499" s="284"/>
    </row>
    <row r="500" spans="2:74" x14ac:dyDescent="0.25">
      <c r="B500" s="284"/>
      <c r="D500" s="355"/>
      <c r="E500" s="356"/>
      <c r="F500" s="357"/>
      <c r="G500" s="358"/>
      <c r="H500" s="359"/>
      <c r="I500" s="284"/>
      <c r="J500" s="287"/>
      <c r="K500" s="355"/>
      <c r="M500" s="359"/>
      <c r="N500" s="284"/>
      <c r="O500" s="355"/>
      <c r="P500" s="360"/>
      <c r="Q500" s="359"/>
      <c r="R500" s="284"/>
      <c r="S500" s="355"/>
      <c r="U500" s="359"/>
      <c r="V500" s="284"/>
      <c r="W500" s="355"/>
      <c r="Y500" s="359"/>
      <c r="Z500" s="284"/>
      <c r="AA500" s="355"/>
      <c r="AC500" s="359"/>
      <c r="AD500" s="284"/>
      <c r="AE500" s="355"/>
      <c r="AG500" s="359"/>
      <c r="AH500" s="284"/>
      <c r="AI500" s="355"/>
      <c r="AK500" s="359"/>
      <c r="AL500" s="284"/>
      <c r="AM500" s="355"/>
      <c r="AO500" s="359"/>
      <c r="AP500" s="284"/>
      <c r="AQ500" s="355"/>
      <c r="AR500" s="360"/>
      <c r="AS500" s="359"/>
      <c r="AT500" s="284"/>
      <c r="AU500" s="355"/>
      <c r="AW500" s="359"/>
      <c r="AX500" s="284"/>
      <c r="AY500" s="355"/>
      <c r="BA500" s="359"/>
      <c r="BB500" s="284"/>
      <c r="BC500" s="355"/>
      <c r="BE500" s="359"/>
      <c r="BF500" s="284"/>
      <c r="BG500" s="355"/>
      <c r="BI500" s="359"/>
      <c r="BJ500" s="284"/>
      <c r="BK500" s="355"/>
      <c r="BM500" s="359"/>
      <c r="BN500" s="284"/>
      <c r="BO500" s="355"/>
      <c r="BQ500" s="359"/>
      <c r="BR500" s="284"/>
      <c r="BS500" s="355"/>
      <c r="BU500" s="359"/>
      <c r="BV500" s="284"/>
    </row>
    <row r="501" spans="2:74" x14ac:dyDescent="0.25">
      <c r="B501" s="284"/>
      <c r="D501" s="355"/>
      <c r="E501" s="356"/>
      <c r="F501" s="357"/>
      <c r="G501" s="358"/>
      <c r="H501" s="359"/>
      <c r="I501" s="284"/>
      <c r="J501" s="287"/>
      <c r="K501" s="355"/>
      <c r="M501" s="359"/>
      <c r="N501" s="284"/>
      <c r="O501" s="355"/>
      <c r="P501" s="360"/>
      <c r="Q501" s="359"/>
      <c r="R501" s="284"/>
      <c r="S501" s="355"/>
      <c r="U501" s="359"/>
      <c r="V501" s="284"/>
      <c r="W501" s="355"/>
      <c r="Y501" s="359"/>
      <c r="Z501" s="284"/>
      <c r="AA501" s="355"/>
      <c r="AC501" s="359"/>
      <c r="AD501" s="284"/>
      <c r="AE501" s="355"/>
      <c r="AG501" s="359"/>
      <c r="AH501" s="284"/>
      <c r="AI501" s="355"/>
      <c r="AK501" s="359"/>
      <c r="AL501" s="284"/>
      <c r="AM501" s="355"/>
      <c r="AO501" s="359"/>
      <c r="AP501" s="284"/>
      <c r="AQ501" s="355"/>
      <c r="AR501" s="360"/>
      <c r="AS501" s="359"/>
      <c r="AT501" s="284"/>
      <c r="AU501" s="355"/>
      <c r="AW501" s="359"/>
      <c r="AX501" s="284"/>
      <c r="AY501" s="355"/>
      <c r="BA501" s="359"/>
      <c r="BB501" s="284"/>
      <c r="BC501" s="355"/>
      <c r="BE501" s="359"/>
      <c r="BF501" s="284"/>
      <c r="BG501" s="355"/>
      <c r="BI501" s="359"/>
      <c r="BJ501" s="284"/>
      <c r="BK501" s="355"/>
      <c r="BM501" s="359"/>
      <c r="BN501" s="284"/>
      <c r="BO501" s="355"/>
      <c r="BQ501" s="359"/>
      <c r="BR501" s="284"/>
      <c r="BS501" s="355"/>
      <c r="BU501" s="359"/>
      <c r="BV501" s="284"/>
    </row>
    <row r="502" spans="2:74" x14ac:dyDescent="0.25">
      <c r="B502" s="284"/>
      <c r="D502" s="355"/>
      <c r="E502" s="356"/>
      <c r="F502" s="357"/>
      <c r="G502" s="358"/>
      <c r="H502" s="359"/>
      <c r="I502" s="284"/>
      <c r="J502" s="287"/>
      <c r="K502" s="355"/>
      <c r="M502" s="359"/>
      <c r="N502" s="284"/>
      <c r="O502" s="355"/>
      <c r="P502" s="360"/>
      <c r="Q502" s="359"/>
      <c r="R502" s="284"/>
      <c r="S502" s="355"/>
      <c r="U502" s="359"/>
      <c r="V502" s="284"/>
      <c r="W502" s="355"/>
      <c r="Y502" s="359"/>
      <c r="Z502" s="284"/>
      <c r="AA502" s="355"/>
      <c r="AC502" s="359"/>
      <c r="AD502" s="284"/>
      <c r="AE502" s="355"/>
      <c r="AG502" s="359"/>
      <c r="AH502" s="284"/>
      <c r="AI502" s="355"/>
      <c r="AK502" s="359"/>
      <c r="AL502" s="284"/>
      <c r="AM502" s="355"/>
      <c r="AO502" s="359"/>
      <c r="AP502" s="284"/>
      <c r="AQ502" s="355"/>
      <c r="AR502" s="360"/>
      <c r="AS502" s="359"/>
      <c r="AT502" s="284"/>
      <c r="AU502" s="355"/>
      <c r="AW502" s="359"/>
      <c r="AX502" s="284"/>
      <c r="AY502" s="355"/>
      <c r="BA502" s="359"/>
      <c r="BB502" s="284"/>
      <c r="BC502" s="355"/>
      <c r="BE502" s="359"/>
      <c r="BF502" s="284"/>
      <c r="BG502" s="355"/>
      <c r="BI502" s="359"/>
      <c r="BJ502" s="284"/>
      <c r="BK502" s="355"/>
      <c r="BM502" s="359"/>
      <c r="BN502" s="284"/>
      <c r="BO502" s="355"/>
      <c r="BQ502" s="359"/>
      <c r="BR502" s="284"/>
      <c r="BS502" s="355"/>
      <c r="BU502" s="359"/>
      <c r="BV502" s="284"/>
    </row>
    <row r="503" spans="2:74" x14ac:dyDescent="0.25">
      <c r="B503" s="284"/>
      <c r="D503" s="355"/>
      <c r="E503" s="356"/>
      <c r="F503" s="357"/>
      <c r="G503" s="358"/>
      <c r="H503" s="359"/>
      <c r="I503" s="284"/>
      <c r="J503" s="287"/>
      <c r="K503" s="355"/>
      <c r="M503" s="359"/>
      <c r="N503" s="284"/>
      <c r="O503" s="355"/>
      <c r="P503" s="360"/>
      <c r="Q503" s="359"/>
      <c r="R503" s="284"/>
      <c r="S503" s="355"/>
      <c r="U503" s="359"/>
      <c r="V503" s="284"/>
      <c r="W503" s="355"/>
      <c r="Y503" s="359"/>
      <c r="Z503" s="284"/>
      <c r="AA503" s="355"/>
      <c r="AC503" s="359"/>
      <c r="AD503" s="284"/>
      <c r="AE503" s="355"/>
      <c r="AG503" s="359"/>
      <c r="AH503" s="284"/>
      <c r="AI503" s="355"/>
      <c r="AK503" s="359"/>
      <c r="AL503" s="284"/>
      <c r="AM503" s="355"/>
      <c r="AO503" s="359"/>
      <c r="AP503" s="284"/>
      <c r="AQ503" s="355"/>
      <c r="AR503" s="360"/>
      <c r="AS503" s="359"/>
      <c r="AT503" s="284"/>
      <c r="AU503" s="355"/>
      <c r="AW503" s="359"/>
      <c r="AX503" s="284"/>
      <c r="AY503" s="355"/>
      <c r="BA503" s="359"/>
      <c r="BB503" s="284"/>
      <c r="BC503" s="355"/>
      <c r="BE503" s="359"/>
      <c r="BF503" s="284"/>
      <c r="BG503" s="355"/>
      <c r="BI503" s="359"/>
      <c r="BJ503" s="284"/>
      <c r="BK503" s="355"/>
      <c r="BM503" s="359"/>
      <c r="BN503" s="284"/>
      <c r="BO503" s="355"/>
      <c r="BQ503" s="359"/>
      <c r="BR503" s="284"/>
      <c r="BS503" s="355"/>
      <c r="BU503" s="359"/>
      <c r="BV503" s="284"/>
    </row>
    <row r="504" spans="2:74" x14ac:dyDescent="0.25">
      <c r="B504" s="284"/>
      <c r="D504" s="355"/>
      <c r="E504" s="356"/>
      <c r="F504" s="357"/>
      <c r="G504" s="358"/>
      <c r="H504" s="359"/>
      <c r="I504" s="284"/>
      <c r="J504" s="287"/>
      <c r="K504" s="355"/>
      <c r="M504" s="359"/>
      <c r="N504" s="284"/>
      <c r="O504" s="355"/>
      <c r="P504" s="360"/>
      <c r="Q504" s="359"/>
      <c r="R504" s="284"/>
      <c r="S504" s="355"/>
      <c r="U504" s="359"/>
      <c r="V504" s="284"/>
      <c r="W504" s="355"/>
      <c r="Y504" s="359"/>
      <c r="Z504" s="284"/>
      <c r="AA504" s="355"/>
      <c r="AC504" s="359"/>
      <c r="AD504" s="284"/>
      <c r="AE504" s="355"/>
      <c r="AG504" s="359"/>
      <c r="AH504" s="284"/>
      <c r="AI504" s="355"/>
      <c r="AK504" s="359"/>
      <c r="AL504" s="284"/>
      <c r="AM504" s="355"/>
      <c r="AO504" s="359"/>
      <c r="AP504" s="284"/>
      <c r="AQ504" s="355"/>
      <c r="AR504" s="360"/>
      <c r="AS504" s="359"/>
      <c r="AT504" s="284"/>
      <c r="AU504" s="355"/>
      <c r="AW504" s="359"/>
      <c r="AX504" s="284"/>
      <c r="AY504" s="355"/>
      <c r="BA504" s="359"/>
      <c r="BB504" s="284"/>
      <c r="BC504" s="355"/>
      <c r="BE504" s="359"/>
      <c r="BF504" s="284"/>
      <c r="BG504" s="355"/>
      <c r="BI504" s="359"/>
      <c r="BJ504" s="284"/>
      <c r="BK504" s="355"/>
      <c r="BM504" s="359"/>
      <c r="BN504" s="284"/>
      <c r="BO504" s="355"/>
      <c r="BQ504" s="359"/>
      <c r="BR504" s="284"/>
      <c r="BS504" s="355"/>
      <c r="BU504" s="359"/>
      <c r="BV504" s="284"/>
    </row>
    <row r="505" spans="2:74" x14ac:dyDescent="0.25">
      <c r="B505" s="284"/>
      <c r="D505" s="355"/>
      <c r="E505" s="356"/>
      <c r="F505" s="357"/>
      <c r="G505" s="358"/>
      <c r="H505" s="359"/>
      <c r="I505" s="284"/>
      <c r="J505" s="287"/>
      <c r="K505" s="355"/>
      <c r="M505" s="359"/>
      <c r="N505" s="284"/>
      <c r="O505" s="355"/>
      <c r="P505" s="360"/>
      <c r="Q505" s="359"/>
      <c r="R505" s="284"/>
      <c r="S505" s="355"/>
      <c r="U505" s="359"/>
      <c r="V505" s="284"/>
      <c r="W505" s="355"/>
      <c r="Y505" s="359"/>
      <c r="Z505" s="284"/>
      <c r="AA505" s="355"/>
      <c r="AC505" s="359"/>
      <c r="AD505" s="284"/>
      <c r="AE505" s="355"/>
      <c r="AG505" s="359"/>
      <c r="AH505" s="284"/>
      <c r="AI505" s="355"/>
      <c r="AK505" s="359"/>
      <c r="AL505" s="284"/>
      <c r="AM505" s="355"/>
      <c r="AO505" s="359"/>
      <c r="AP505" s="284"/>
      <c r="AQ505" s="355"/>
      <c r="AR505" s="360"/>
      <c r="AS505" s="359"/>
      <c r="AT505" s="284"/>
      <c r="AU505" s="355"/>
      <c r="AW505" s="359"/>
      <c r="AX505" s="284"/>
      <c r="AY505" s="355"/>
      <c r="BA505" s="359"/>
      <c r="BB505" s="284"/>
      <c r="BC505" s="355"/>
      <c r="BE505" s="359"/>
      <c r="BF505" s="284"/>
      <c r="BG505" s="355"/>
      <c r="BI505" s="359"/>
      <c r="BJ505" s="284"/>
      <c r="BK505" s="355"/>
      <c r="BM505" s="359"/>
      <c r="BN505" s="284"/>
      <c r="BO505" s="355"/>
      <c r="BQ505" s="359"/>
      <c r="BR505" s="284"/>
      <c r="BS505" s="355"/>
      <c r="BU505" s="359"/>
      <c r="BV505" s="284"/>
    </row>
    <row r="506" spans="2:74" x14ac:dyDescent="0.25">
      <c r="B506" s="284"/>
      <c r="D506" s="355"/>
      <c r="E506" s="356"/>
      <c r="F506" s="357"/>
      <c r="G506" s="358"/>
      <c r="H506" s="359"/>
      <c r="I506" s="284"/>
      <c r="J506" s="287"/>
      <c r="K506" s="355"/>
      <c r="M506" s="359"/>
      <c r="N506" s="284"/>
      <c r="O506" s="355"/>
      <c r="P506" s="360"/>
      <c r="Q506" s="359"/>
      <c r="R506" s="284"/>
      <c r="S506" s="355"/>
      <c r="U506" s="359"/>
      <c r="V506" s="284"/>
      <c r="W506" s="355"/>
      <c r="Y506" s="359"/>
      <c r="Z506" s="284"/>
      <c r="AA506" s="355"/>
      <c r="AC506" s="359"/>
      <c r="AD506" s="284"/>
      <c r="AE506" s="355"/>
      <c r="AG506" s="359"/>
      <c r="AH506" s="284"/>
      <c r="AI506" s="355"/>
      <c r="AK506" s="359"/>
      <c r="AL506" s="284"/>
      <c r="AM506" s="355"/>
      <c r="AO506" s="359"/>
      <c r="AP506" s="284"/>
      <c r="AQ506" s="355"/>
      <c r="AR506" s="360"/>
      <c r="AS506" s="359"/>
      <c r="AT506" s="284"/>
      <c r="AU506" s="355"/>
      <c r="AW506" s="359"/>
      <c r="AX506" s="284"/>
      <c r="AY506" s="355"/>
      <c r="BA506" s="359"/>
      <c r="BB506" s="284"/>
      <c r="BC506" s="355"/>
      <c r="BE506" s="359"/>
      <c r="BF506" s="284"/>
      <c r="BG506" s="355"/>
      <c r="BI506" s="359"/>
      <c r="BJ506" s="284"/>
      <c r="BK506" s="355"/>
      <c r="BM506" s="359"/>
      <c r="BN506" s="284"/>
      <c r="BO506" s="355"/>
      <c r="BQ506" s="359"/>
      <c r="BR506" s="284"/>
      <c r="BS506" s="355"/>
      <c r="BU506" s="359"/>
      <c r="BV506" s="284"/>
    </row>
    <row r="507" spans="2:74" x14ac:dyDescent="0.25">
      <c r="B507" s="284"/>
      <c r="D507" s="355"/>
      <c r="E507" s="356"/>
      <c r="F507" s="357"/>
      <c r="G507" s="358"/>
      <c r="H507" s="359"/>
      <c r="I507" s="284"/>
      <c r="J507" s="287"/>
      <c r="K507" s="355"/>
      <c r="M507" s="359"/>
      <c r="N507" s="284"/>
      <c r="O507" s="355"/>
      <c r="P507" s="360"/>
      <c r="Q507" s="359"/>
      <c r="R507" s="284"/>
      <c r="S507" s="355"/>
      <c r="U507" s="359"/>
      <c r="V507" s="284"/>
      <c r="W507" s="355"/>
      <c r="Y507" s="359"/>
      <c r="Z507" s="284"/>
      <c r="AA507" s="355"/>
      <c r="AC507" s="359"/>
      <c r="AD507" s="284"/>
      <c r="AE507" s="355"/>
      <c r="AG507" s="359"/>
      <c r="AH507" s="284"/>
      <c r="AI507" s="355"/>
      <c r="AK507" s="359"/>
      <c r="AL507" s="284"/>
      <c r="AM507" s="355"/>
      <c r="AO507" s="359"/>
      <c r="AP507" s="284"/>
      <c r="AQ507" s="355"/>
      <c r="AR507" s="360"/>
      <c r="AS507" s="359"/>
      <c r="AT507" s="284"/>
      <c r="AU507" s="355"/>
      <c r="AW507" s="359"/>
      <c r="AX507" s="284"/>
      <c r="AY507" s="355"/>
      <c r="BA507" s="359"/>
      <c r="BB507" s="284"/>
      <c r="BC507" s="355"/>
      <c r="BE507" s="359"/>
      <c r="BF507" s="284"/>
      <c r="BG507" s="355"/>
      <c r="BI507" s="359"/>
      <c r="BJ507" s="284"/>
      <c r="BK507" s="355"/>
      <c r="BM507" s="359"/>
      <c r="BN507" s="284"/>
      <c r="BO507" s="355"/>
      <c r="BQ507" s="359"/>
      <c r="BR507" s="284"/>
      <c r="BS507" s="355"/>
      <c r="BU507" s="359"/>
      <c r="BV507" s="284"/>
    </row>
    <row r="508" spans="2:74" x14ac:dyDescent="0.25">
      <c r="B508" s="284"/>
      <c r="D508" s="355"/>
      <c r="E508" s="356"/>
      <c r="F508" s="357"/>
      <c r="G508" s="358"/>
      <c r="H508" s="359"/>
      <c r="I508" s="284"/>
      <c r="J508" s="287"/>
      <c r="K508" s="355"/>
      <c r="M508" s="359"/>
      <c r="N508" s="284"/>
      <c r="O508" s="355"/>
      <c r="P508" s="360"/>
      <c r="Q508" s="359"/>
      <c r="R508" s="284"/>
      <c r="S508" s="355"/>
      <c r="U508" s="359"/>
      <c r="V508" s="284"/>
      <c r="W508" s="355"/>
      <c r="Y508" s="359"/>
      <c r="Z508" s="284"/>
      <c r="AA508" s="355"/>
      <c r="AC508" s="359"/>
      <c r="AD508" s="284"/>
      <c r="AE508" s="355"/>
      <c r="AG508" s="359"/>
      <c r="AH508" s="284"/>
      <c r="AI508" s="355"/>
      <c r="AK508" s="359"/>
      <c r="AL508" s="284"/>
      <c r="AM508" s="355"/>
      <c r="AO508" s="359"/>
      <c r="AP508" s="284"/>
      <c r="AQ508" s="355"/>
      <c r="AR508" s="360"/>
      <c r="AS508" s="359"/>
      <c r="AT508" s="284"/>
      <c r="AU508" s="355"/>
      <c r="AW508" s="359"/>
      <c r="AX508" s="284"/>
      <c r="AY508" s="355"/>
      <c r="BA508" s="359"/>
      <c r="BB508" s="284"/>
      <c r="BC508" s="355"/>
      <c r="BE508" s="359"/>
      <c r="BF508" s="284"/>
      <c r="BG508" s="355"/>
      <c r="BI508" s="359"/>
      <c r="BJ508" s="284"/>
      <c r="BK508" s="355"/>
      <c r="BM508" s="359"/>
      <c r="BN508" s="284"/>
      <c r="BO508" s="355"/>
      <c r="BQ508" s="359"/>
      <c r="BR508" s="284"/>
      <c r="BS508" s="355"/>
      <c r="BU508" s="359"/>
      <c r="BV508" s="284"/>
    </row>
    <row r="509" spans="2:74" x14ac:dyDescent="0.25">
      <c r="B509" s="284"/>
      <c r="D509" s="355"/>
      <c r="E509" s="356"/>
      <c r="F509" s="357"/>
      <c r="G509" s="358"/>
      <c r="H509" s="359"/>
      <c r="I509" s="284"/>
      <c r="J509" s="287"/>
      <c r="K509" s="355"/>
      <c r="M509" s="359"/>
      <c r="N509" s="284"/>
      <c r="O509" s="355"/>
      <c r="P509" s="360"/>
      <c r="Q509" s="359"/>
      <c r="R509" s="284"/>
      <c r="S509" s="355"/>
      <c r="U509" s="359"/>
      <c r="V509" s="284"/>
      <c r="W509" s="355"/>
      <c r="Y509" s="359"/>
      <c r="Z509" s="284"/>
      <c r="AA509" s="355"/>
      <c r="AC509" s="359"/>
      <c r="AD509" s="284"/>
      <c r="AE509" s="355"/>
      <c r="AG509" s="359"/>
      <c r="AH509" s="284"/>
      <c r="AI509" s="355"/>
      <c r="AK509" s="359"/>
      <c r="AL509" s="284"/>
      <c r="AM509" s="355"/>
      <c r="AO509" s="359"/>
      <c r="AP509" s="284"/>
      <c r="AQ509" s="355"/>
      <c r="AR509" s="360"/>
      <c r="AS509" s="359"/>
      <c r="AT509" s="284"/>
      <c r="AU509" s="355"/>
      <c r="AW509" s="359"/>
      <c r="AX509" s="284"/>
      <c r="AY509" s="355"/>
      <c r="BA509" s="359"/>
      <c r="BB509" s="284"/>
      <c r="BC509" s="355"/>
      <c r="BE509" s="359"/>
      <c r="BF509" s="284"/>
      <c r="BG509" s="355"/>
      <c r="BI509" s="359"/>
      <c r="BJ509" s="284"/>
      <c r="BK509" s="355"/>
      <c r="BM509" s="359"/>
      <c r="BN509" s="284"/>
      <c r="BO509" s="355"/>
      <c r="BQ509" s="359"/>
      <c r="BR509" s="284"/>
      <c r="BS509" s="355"/>
      <c r="BU509" s="359"/>
      <c r="BV509" s="284"/>
    </row>
    <row r="510" spans="2:74" x14ac:dyDescent="0.25">
      <c r="B510" s="284"/>
      <c r="D510" s="355"/>
      <c r="E510" s="356"/>
      <c r="F510" s="357"/>
      <c r="G510" s="358"/>
      <c r="H510" s="359"/>
      <c r="I510" s="284"/>
      <c r="J510" s="287"/>
      <c r="K510" s="355"/>
      <c r="M510" s="359"/>
      <c r="N510" s="284"/>
      <c r="O510" s="355"/>
      <c r="P510" s="360"/>
      <c r="Q510" s="359"/>
      <c r="R510" s="284"/>
      <c r="S510" s="355"/>
      <c r="U510" s="359"/>
      <c r="V510" s="284"/>
      <c r="W510" s="355"/>
      <c r="Y510" s="359"/>
      <c r="Z510" s="284"/>
      <c r="AA510" s="355"/>
      <c r="AC510" s="359"/>
      <c r="AD510" s="284"/>
      <c r="AE510" s="355"/>
      <c r="AG510" s="359"/>
      <c r="AH510" s="284"/>
      <c r="AI510" s="355"/>
      <c r="AK510" s="359"/>
      <c r="AL510" s="284"/>
      <c r="AM510" s="355"/>
      <c r="AO510" s="359"/>
      <c r="AP510" s="284"/>
      <c r="AQ510" s="355"/>
      <c r="AR510" s="360"/>
      <c r="AS510" s="359"/>
      <c r="AT510" s="284"/>
      <c r="AU510" s="355"/>
      <c r="AW510" s="359"/>
      <c r="AX510" s="284"/>
      <c r="AY510" s="355"/>
      <c r="BA510" s="359"/>
      <c r="BB510" s="284"/>
      <c r="BC510" s="355"/>
      <c r="BE510" s="359"/>
      <c r="BF510" s="284"/>
      <c r="BG510" s="355"/>
      <c r="BI510" s="359"/>
      <c r="BJ510" s="284"/>
      <c r="BK510" s="355"/>
      <c r="BM510" s="359"/>
      <c r="BN510" s="284"/>
      <c r="BO510" s="355"/>
      <c r="BQ510" s="359"/>
      <c r="BR510" s="284"/>
      <c r="BS510" s="355"/>
      <c r="BU510" s="359"/>
      <c r="BV510" s="284"/>
    </row>
    <row r="511" spans="2:74" x14ac:dyDescent="0.25">
      <c r="B511" s="284"/>
      <c r="D511" s="355"/>
      <c r="E511" s="356"/>
      <c r="F511" s="357"/>
      <c r="G511" s="358"/>
      <c r="H511" s="359"/>
      <c r="I511" s="284"/>
      <c r="J511" s="287"/>
      <c r="K511" s="355"/>
      <c r="M511" s="359"/>
      <c r="N511" s="284"/>
      <c r="O511" s="355"/>
      <c r="P511" s="360"/>
      <c r="Q511" s="359"/>
      <c r="R511" s="284"/>
      <c r="S511" s="355"/>
      <c r="U511" s="359"/>
      <c r="V511" s="284"/>
      <c r="W511" s="355"/>
      <c r="Y511" s="359"/>
      <c r="Z511" s="284"/>
      <c r="AA511" s="355"/>
      <c r="AC511" s="359"/>
      <c r="AD511" s="284"/>
      <c r="AE511" s="355"/>
      <c r="AG511" s="359"/>
      <c r="AH511" s="284"/>
      <c r="AI511" s="355"/>
      <c r="AK511" s="359"/>
      <c r="AL511" s="284"/>
      <c r="AM511" s="355"/>
      <c r="AO511" s="359"/>
      <c r="AP511" s="284"/>
      <c r="AQ511" s="355"/>
      <c r="AR511" s="360"/>
      <c r="AS511" s="359"/>
      <c r="AT511" s="284"/>
      <c r="AU511" s="355"/>
      <c r="AW511" s="359"/>
      <c r="AX511" s="284"/>
      <c r="AY511" s="355"/>
      <c r="BA511" s="359"/>
      <c r="BB511" s="284"/>
      <c r="BC511" s="355"/>
      <c r="BE511" s="359"/>
      <c r="BF511" s="284"/>
      <c r="BG511" s="355"/>
      <c r="BI511" s="359"/>
      <c r="BJ511" s="284"/>
      <c r="BK511" s="355"/>
      <c r="BM511" s="359"/>
      <c r="BN511" s="284"/>
      <c r="BO511" s="355"/>
      <c r="BQ511" s="359"/>
      <c r="BR511" s="284"/>
      <c r="BS511" s="355"/>
      <c r="BU511" s="359"/>
      <c r="BV511" s="284"/>
    </row>
    <row r="512" spans="2:74" x14ac:dyDescent="0.25">
      <c r="B512" s="284"/>
      <c r="D512" s="355"/>
      <c r="E512" s="356"/>
      <c r="F512" s="357"/>
      <c r="G512" s="358"/>
      <c r="H512" s="359"/>
      <c r="I512" s="284"/>
      <c r="J512" s="287"/>
      <c r="K512" s="355"/>
      <c r="M512" s="359"/>
      <c r="N512" s="284"/>
      <c r="O512" s="355"/>
      <c r="P512" s="360"/>
      <c r="Q512" s="359"/>
      <c r="R512" s="284"/>
      <c r="S512" s="355"/>
      <c r="U512" s="359"/>
      <c r="V512" s="284"/>
      <c r="W512" s="355"/>
      <c r="Y512" s="359"/>
      <c r="Z512" s="284"/>
      <c r="AA512" s="355"/>
      <c r="AC512" s="359"/>
      <c r="AD512" s="284"/>
      <c r="AE512" s="355"/>
      <c r="AG512" s="359"/>
      <c r="AH512" s="284"/>
      <c r="AI512" s="355"/>
      <c r="AK512" s="359"/>
      <c r="AL512" s="284"/>
      <c r="AM512" s="355"/>
      <c r="AO512" s="359"/>
      <c r="AP512" s="284"/>
      <c r="AQ512" s="355"/>
      <c r="AR512" s="360"/>
      <c r="AS512" s="359"/>
      <c r="AT512" s="284"/>
      <c r="AU512" s="355"/>
      <c r="AW512" s="359"/>
      <c r="AX512" s="284"/>
      <c r="AY512" s="355"/>
      <c r="BA512" s="359"/>
      <c r="BB512" s="284"/>
      <c r="BC512" s="355"/>
      <c r="BE512" s="359"/>
      <c r="BF512" s="284"/>
      <c r="BG512" s="355"/>
      <c r="BI512" s="359"/>
      <c r="BJ512" s="284"/>
      <c r="BK512" s="355"/>
      <c r="BM512" s="359"/>
      <c r="BN512" s="284"/>
      <c r="BO512" s="355"/>
      <c r="BQ512" s="359"/>
      <c r="BR512" s="284"/>
      <c r="BS512" s="355"/>
      <c r="BU512" s="359"/>
      <c r="BV512" s="284"/>
    </row>
    <row r="513" spans="2:74" x14ac:dyDescent="0.25">
      <c r="B513" s="284"/>
      <c r="D513" s="355"/>
      <c r="E513" s="356"/>
      <c r="F513" s="357"/>
      <c r="G513" s="358"/>
      <c r="H513" s="359"/>
      <c r="I513" s="284"/>
      <c r="J513" s="287"/>
      <c r="K513" s="355"/>
      <c r="M513" s="359"/>
      <c r="N513" s="284"/>
      <c r="O513" s="355"/>
      <c r="P513" s="360"/>
      <c r="Q513" s="359"/>
      <c r="R513" s="284"/>
      <c r="S513" s="355"/>
      <c r="U513" s="359"/>
      <c r="V513" s="284"/>
      <c r="W513" s="355"/>
      <c r="Y513" s="359"/>
      <c r="Z513" s="284"/>
      <c r="AA513" s="355"/>
      <c r="AC513" s="359"/>
      <c r="AD513" s="284"/>
      <c r="AE513" s="355"/>
      <c r="AG513" s="359"/>
      <c r="AH513" s="284"/>
      <c r="AI513" s="355"/>
      <c r="AK513" s="359"/>
      <c r="AL513" s="284"/>
      <c r="AM513" s="355"/>
      <c r="AO513" s="359"/>
      <c r="AP513" s="284"/>
      <c r="AQ513" s="355"/>
      <c r="AR513" s="360"/>
      <c r="AS513" s="359"/>
      <c r="AT513" s="284"/>
      <c r="AU513" s="355"/>
      <c r="AW513" s="359"/>
      <c r="AX513" s="284"/>
      <c r="AY513" s="355"/>
      <c r="BA513" s="359"/>
      <c r="BB513" s="284"/>
      <c r="BC513" s="355"/>
      <c r="BE513" s="359"/>
      <c r="BF513" s="284"/>
      <c r="BG513" s="355"/>
      <c r="BI513" s="359"/>
      <c r="BJ513" s="284"/>
      <c r="BK513" s="355"/>
      <c r="BM513" s="359"/>
      <c r="BN513" s="284"/>
      <c r="BO513" s="355"/>
      <c r="BQ513" s="359"/>
      <c r="BR513" s="284"/>
      <c r="BS513" s="355"/>
      <c r="BU513" s="359"/>
      <c r="BV513" s="284"/>
    </row>
    <row r="514" spans="2:74" x14ac:dyDescent="0.25">
      <c r="B514" s="284"/>
      <c r="D514" s="355"/>
      <c r="E514" s="356"/>
      <c r="F514" s="357"/>
      <c r="G514" s="358"/>
      <c r="H514" s="359"/>
      <c r="I514" s="284"/>
      <c r="J514" s="287"/>
      <c r="K514" s="355"/>
      <c r="M514" s="359"/>
      <c r="N514" s="284"/>
      <c r="O514" s="355"/>
      <c r="P514" s="360"/>
      <c r="Q514" s="359"/>
      <c r="R514" s="284"/>
      <c r="S514" s="355"/>
      <c r="U514" s="359"/>
      <c r="V514" s="284"/>
      <c r="W514" s="355"/>
      <c r="Y514" s="359"/>
      <c r="Z514" s="284"/>
      <c r="AA514" s="355"/>
      <c r="AC514" s="359"/>
      <c r="AD514" s="284"/>
      <c r="AE514" s="355"/>
      <c r="AG514" s="359"/>
      <c r="AH514" s="284"/>
      <c r="AI514" s="355"/>
      <c r="AK514" s="359"/>
      <c r="AL514" s="284"/>
      <c r="AM514" s="355"/>
      <c r="AO514" s="359"/>
      <c r="AP514" s="284"/>
      <c r="AQ514" s="355"/>
      <c r="AR514" s="360"/>
      <c r="AS514" s="359"/>
      <c r="AT514" s="284"/>
      <c r="AU514" s="355"/>
      <c r="AW514" s="359"/>
      <c r="AX514" s="284"/>
      <c r="AY514" s="355"/>
      <c r="BA514" s="359"/>
      <c r="BB514" s="284"/>
      <c r="BC514" s="355"/>
      <c r="BE514" s="359"/>
      <c r="BF514" s="284"/>
      <c r="BG514" s="355"/>
      <c r="BI514" s="359"/>
      <c r="BJ514" s="284"/>
      <c r="BK514" s="355"/>
      <c r="BM514" s="359"/>
      <c r="BN514" s="284"/>
      <c r="BO514" s="355"/>
      <c r="BQ514" s="359"/>
      <c r="BR514" s="284"/>
      <c r="BS514" s="355"/>
      <c r="BU514" s="359"/>
      <c r="BV514" s="284"/>
    </row>
    <row r="515" spans="2:74" x14ac:dyDescent="0.25">
      <c r="B515" s="284"/>
      <c r="D515" s="355"/>
      <c r="E515" s="356"/>
      <c r="F515" s="357"/>
      <c r="G515" s="358"/>
      <c r="H515" s="359"/>
      <c r="I515" s="284"/>
      <c r="J515" s="287"/>
      <c r="K515" s="355"/>
      <c r="M515" s="359"/>
      <c r="N515" s="284"/>
      <c r="O515" s="355"/>
      <c r="P515" s="360"/>
      <c r="Q515" s="359"/>
      <c r="R515" s="284"/>
      <c r="S515" s="355"/>
      <c r="U515" s="359"/>
      <c r="V515" s="284"/>
      <c r="W515" s="355"/>
      <c r="Y515" s="359"/>
      <c r="Z515" s="284"/>
      <c r="AA515" s="355"/>
      <c r="AC515" s="359"/>
      <c r="AD515" s="284"/>
      <c r="AE515" s="355"/>
      <c r="AG515" s="359"/>
      <c r="AH515" s="284"/>
      <c r="AI515" s="355"/>
      <c r="AK515" s="359"/>
      <c r="AL515" s="284"/>
      <c r="AM515" s="355"/>
      <c r="AO515" s="359"/>
      <c r="AP515" s="284"/>
      <c r="AQ515" s="355"/>
      <c r="AR515" s="360"/>
      <c r="AS515" s="359"/>
      <c r="AT515" s="284"/>
      <c r="AU515" s="355"/>
      <c r="AW515" s="359"/>
      <c r="AX515" s="284"/>
      <c r="AY515" s="355"/>
      <c r="BA515" s="359"/>
      <c r="BB515" s="284"/>
      <c r="BC515" s="355"/>
      <c r="BE515" s="359"/>
      <c r="BF515" s="284"/>
      <c r="BG515" s="355"/>
      <c r="BI515" s="359"/>
      <c r="BJ515" s="284"/>
      <c r="BK515" s="355"/>
      <c r="BM515" s="359"/>
      <c r="BN515" s="284"/>
      <c r="BO515" s="355"/>
      <c r="BQ515" s="359"/>
      <c r="BR515" s="284"/>
      <c r="BS515" s="355"/>
      <c r="BU515" s="359"/>
      <c r="BV515" s="284"/>
    </row>
    <row r="516" spans="2:74" x14ac:dyDescent="0.25">
      <c r="B516" s="284"/>
      <c r="D516" s="355"/>
      <c r="E516" s="356"/>
      <c r="F516" s="357"/>
      <c r="G516" s="358"/>
      <c r="H516" s="359"/>
      <c r="I516" s="284"/>
      <c r="J516" s="287"/>
      <c r="K516" s="355"/>
      <c r="M516" s="359"/>
      <c r="N516" s="284"/>
      <c r="O516" s="355"/>
      <c r="P516" s="360"/>
      <c r="Q516" s="359"/>
      <c r="R516" s="284"/>
      <c r="S516" s="355"/>
      <c r="U516" s="359"/>
      <c r="V516" s="284"/>
      <c r="W516" s="355"/>
      <c r="Y516" s="359"/>
      <c r="Z516" s="284"/>
      <c r="AA516" s="355"/>
      <c r="AC516" s="359"/>
      <c r="AD516" s="284"/>
      <c r="AE516" s="355"/>
      <c r="AG516" s="359"/>
      <c r="AH516" s="284"/>
      <c r="AI516" s="355"/>
      <c r="AK516" s="359"/>
      <c r="AL516" s="284"/>
      <c r="AM516" s="355"/>
      <c r="AO516" s="359"/>
      <c r="AP516" s="284"/>
      <c r="AQ516" s="355"/>
      <c r="AR516" s="360"/>
      <c r="AS516" s="359"/>
      <c r="AT516" s="284"/>
      <c r="AU516" s="355"/>
      <c r="AW516" s="359"/>
      <c r="AX516" s="284"/>
      <c r="AY516" s="355"/>
      <c r="BA516" s="359"/>
      <c r="BB516" s="284"/>
      <c r="BC516" s="355"/>
      <c r="BE516" s="359"/>
      <c r="BF516" s="284"/>
      <c r="BG516" s="355"/>
      <c r="BI516" s="359"/>
      <c r="BJ516" s="284"/>
      <c r="BK516" s="355"/>
      <c r="BM516" s="359"/>
      <c r="BN516" s="284"/>
      <c r="BO516" s="355"/>
      <c r="BQ516" s="359"/>
      <c r="BR516" s="284"/>
      <c r="BS516" s="355"/>
      <c r="BU516" s="359"/>
      <c r="BV516" s="284"/>
    </row>
    <row r="517" spans="2:74" x14ac:dyDescent="0.25">
      <c r="B517" s="284"/>
      <c r="D517" s="355"/>
      <c r="E517" s="356"/>
      <c r="F517" s="357"/>
      <c r="G517" s="358"/>
      <c r="H517" s="359"/>
      <c r="I517" s="284"/>
      <c r="J517" s="287"/>
      <c r="K517" s="355"/>
      <c r="M517" s="359"/>
      <c r="N517" s="284"/>
      <c r="O517" s="355"/>
      <c r="P517" s="360"/>
      <c r="Q517" s="359"/>
      <c r="R517" s="284"/>
      <c r="S517" s="355"/>
      <c r="U517" s="359"/>
      <c r="V517" s="284"/>
      <c r="W517" s="355"/>
      <c r="Y517" s="359"/>
      <c r="Z517" s="284"/>
      <c r="AA517" s="355"/>
      <c r="AC517" s="359"/>
      <c r="AD517" s="284"/>
      <c r="AE517" s="355"/>
      <c r="AG517" s="359"/>
      <c r="AH517" s="284"/>
      <c r="AI517" s="355"/>
      <c r="AK517" s="359"/>
      <c r="AL517" s="284"/>
      <c r="AM517" s="355"/>
      <c r="AO517" s="359"/>
      <c r="AP517" s="284"/>
      <c r="AQ517" s="355"/>
      <c r="AR517" s="360"/>
      <c r="AS517" s="359"/>
      <c r="AT517" s="284"/>
      <c r="AU517" s="355"/>
      <c r="AW517" s="359"/>
      <c r="AX517" s="284"/>
      <c r="AY517" s="355"/>
      <c r="BA517" s="359"/>
      <c r="BB517" s="284"/>
      <c r="BC517" s="355"/>
      <c r="BE517" s="359"/>
      <c r="BF517" s="284"/>
      <c r="BG517" s="355"/>
      <c r="BI517" s="359"/>
      <c r="BJ517" s="284"/>
      <c r="BK517" s="355"/>
      <c r="BM517" s="359"/>
      <c r="BN517" s="284"/>
      <c r="BO517" s="355"/>
      <c r="BQ517" s="359"/>
      <c r="BR517" s="284"/>
      <c r="BS517" s="355"/>
      <c r="BU517" s="359"/>
      <c r="BV517" s="284"/>
    </row>
    <row r="518" spans="2:74" x14ac:dyDescent="0.25">
      <c r="B518" s="284"/>
      <c r="D518" s="355"/>
      <c r="E518" s="356"/>
      <c r="F518" s="357"/>
      <c r="G518" s="358"/>
      <c r="H518" s="359"/>
      <c r="I518" s="284"/>
      <c r="J518" s="287"/>
      <c r="K518" s="355"/>
      <c r="M518" s="359"/>
      <c r="N518" s="284"/>
      <c r="O518" s="355"/>
      <c r="P518" s="360"/>
      <c r="Q518" s="359"/>
      <c r="R518" s="284"/>
      <c r="S518" s="355"/>
      <c r="U518" s="359"/>
      <c r="V518" s="284"/>
      <c r="W518" s="355"/>
      <c r="Y518" s="359"/>
      <c r="Z518" s="284"/>
      <c r="AA518" s="355"/>
      <c r="AC518" s="359"/>
      <c r="AD518" s="284"/>
      <c r="AE518" s="355"/>
      <c r="AG518" s="359"/>
      <c r="AH518" s="284"/>
      <c r="AI518" s="355"/>
      <c r="AK518" s="359"/>
      <c r="AL518" s="284"/>
      <c r="AM518" s="355"/>
      <c r="AO518" s="359"/>
      <c r="AP518" s="284"/>
      <c r="AQ518" s="355"/>
      <c r="AR518" s="360"/>
      <c r="AS518" s="359"/>
      <c r="AT518" s="284"/>
      <c r="AU518" s="355"/>
      <c r="AW518" s="359"/>
      <c r="AX518" s="284"/>
      <c r="AY518" s="355"/>
      <c r="BA518" s="359"/>
      <c r="BB518" s="284"/>
      <c r="BC518" s="355"/>
      <c r="BE518" s="359"/>
      <c r="BF518" s="284"/>
      <c r="BG518" s="355"/>
      <c r="BI518" s="359"/>
      <c r="BJ518" s="284"/>
      <c r="BK518" s="355"/>
      <c r="BM518" s="359"/>
      <c r="BN518" s="284"/>
      <c r="BO518" s="355"/>
      <c r="BQ518" s="359"/>
      <c r="BR518" s="284"/>
      <c r="BS518" s="355"/>
      <c r="BU518" s="359"/>
      <c r="BV518" s="284"/>
    </row>
    <row r="519" spans="2:74" x14ac:dyDescent="0.25">
      <c r="B519" s="284"/>
      <c r="D519" s="355"/>
      <c r="E519" s="356"/>
      <c r="F519" s="357"/>
      <c r="G519" s="358"/>
      <c r="H519" s="359"/>
      <c r="I519" s="284"/>
      <c r="J519" s="287"/>
      <c r="K519" s="355"/>
      <c r="M519" s="359"/>
      <c r="N519" s="284"/>
      <c r="O519" s="355"/>
      <c r="P519" s="360"/>
      <c r="Q519" s="359"/>
      <c r="R519" s="284"/>
      <c r="S519" s="355"/>
      <c r="U519" s="359"/>
      <c r="V519" s="284"/>
      <c r="W519" s="355"/>
      <c r="Y519" s="359"/>
      <c r="Z519" s="284"/>
      <c r="AA519" s="355"/>
      <c r="AC519" s="359"/>
      <c r="AD519" s="284"/>
      <c r="AE519" s="355"/>
      <c r="AG519" s="359"/>
      <c r="AH519" s="284"/>
      <c r="AI519" s="355"/>
      <c r="AK519" s="359"/>
      <c r="AL519" s="284"/>
      <c r="AM519" s="355"/>
      <c r="AO519" s="359"/>
      <c r="AP519" s="284"/>
      <c r="AQ519" s="355"/>
      <c r="AR519" s="360"/>
      <c r="AS519" s="359"/>
      <c r="AT519" s="284"/>
      <c r="AU519" s="355"/>
      <c r="AW519" s="359"/>
      <c r="AX519" s="284"/>
      <c r="AY519" s="355"/>
      <c r="BA519" s="359"/>
      <c r="BB519" s="284"/>
      <c r="BC519" s="355"/>
      <c r="BE519" s="359"/>
      <c r="BF519" s="284"/>
      <c r="BG519" s="355"/>
      <c r="BI519" s="359"/>
      <c r="BJ519" s="284"/>
      <c r="BK519" s="355"/>
      <c r="BM519" s="359"/>
      <c r="BN519" s="284"/>
      <c r="BO519" s="355"/>
      <c r="BQ519" s="359"/>
      <c r="BR519" s="284"/>
      <c r="BS519" s="355"/>
      <c r="BU519" s="359"/>
      <c r="BV519" s="284"/>
    </row>
    <row r="520" spans="2:74" x14ac:dyDescent="0.25">
      <c r="B520" s="284"/>
      <c r="D520" s="355"/>
      <c r="E520" s="356"/>
      <c r="F520" s="357"/>
      <c r="G520" s="358"/>
      <c r="H520" s="359"/>
      <c r="I520" s="284"/>
      <c r="J520" s="287"/>
      <c r="K520" s="355"/>
      <c r="M520" s="359"/>
      <c r="N520" s="284"/>
      <c r="O520" s="355"/>
      <c r="P520" s="360"/>
      <c r="Q520" s="359"/>
      <c r="R520" s="284"/>
      <c r="S520" s="355"/>
      <c r="U520" s="359"/>
      <c r="V520" s="284"/>
      <c r="W520" s="355"/>
      <c r="Y520" s="359"/>
      <c r="Z520" s="284"/>
      <c r="AA520" s="355"/>
      <c r="AC520" s="359"/>
      <c r="AD520" s="284"/>
      <c r="AE520" s="355"/>
      <c r="AG520" s="359"/>
      <c r="AH520" s="284"/>
      <c r="AI520" s="355"/>
      <c r="AK520" s="359"/>
      <c r="AL520" s="284"/>
      <c r="AM520" s="355"/>
      <c r="AO520" s="359"/>
      <c r="AP520" s="284"/>
      <c r="AQ520" s="355"/>
      <c r="AR520" s="360"/>
      <c r="AS520" s="359"/>
      <c r="AT520" s="284"/>
      <c r="AU520" s="355"/>
      <c r="AW520" s="359"/>
      <c r="AX520" s="284"/>
      <c r="AY520" s="355"/>
      <c r="BA520" s="359"/>
      <c r="BB520" s="284"/>
      <c r="BC520" s="355"/>
      <c r="BE520" s="359"/>
      <c r="BF520" s="284"/>
      <c r="BG520" s="355"/>
      <c r="BI520" s="359"/>
      <c r="BJ520" s="284"/>
      <c r="BK520" s="355"/>
      <c r="BM520" s="359"/>
      <c r="BN520" s="284"/>
      <c r="BO520" s="355"/>
      <c r="BQ520" s="359"/>
      <c r="BR520" s="284"/>
      <c r="BS520" s="355"/>
      <c r="BU520" s="359"/>
      <c r="BV520" s="284"/>
    </row>
    <row r="521" spans="2:74" x14ac:dyDescent="0.25">
      <c r="B521" s="284"/>
      <c r="D521" s="355"/>
      <c r="E521" s="356"/>
      <c r="F521" s="357"/>
      <c r="G521" s="358"/>
      <c r="H521" s="359"/>
      <c r="I521" s="284"/>
      <c r="J521" s="287"/>
      <c r="K521" s="355"/>
      <c r="M521" s="359"/>
      <c r="N521" s="284"/>
      <c r="O521" s="355"/>
      <c r="P521" s="360"/>
      <c r="Q521" s="359"/>
      <c r="R521" s="284"/>
      <c r="S521" s="355"/>
      <c r="U521" s="359"/>
      <c r="V521" s="284"/>
      <c r="W521" s="355"/>
      <c r="Y521" s="359"/>
      <c r="Z521" s="284"/>
      <c r="AA521" s="355"/>
      <c r="AC521" s="359"/>
      <c r="AD521" s="284"/>
      <c r="AE521" s="355"/>
      <c r="AG521" s="359"/>
      <c r="AH521" s="284"/>
      <c r="AI521" s="355"/>
      <c r="AK521" s="359"/>
      <c r="AL521" s="284"/>
      <c r="AM521" s="355"/>
      <c r="AO521" s="359"/>
      <c r="AP521" s="284"/>
      <c r="AQ521" s="355"/>
      <c r="AR521" s="360"/>
      <c r="AS521" s="359"/>
      <c r="AT521" s="284"/>
      <c r="AU521" s="355"/>
      <c r="AW521" s="359"/>
      <c r="AX521" s="284"/>
      <c r="AY521" s="355"/>
      <c r="BA521" s="359"/>
      <c r="BB521" s="284"/>
      <c r="BC521" s="355"/>
      <c r="BE521" s="359"/>
      <c r="BF521" s="284"/>
      <c r="BG521" s="355"/>
      <c r="BI521" s="359"/>
      <c r="BJ521" s="284"/>
      <c r="BK521" s="355"/>
      <c r="BM521" s="359"/>
      <c r="BN521" s="284"/>
      <c r="BO521" s="355"/>
      <c r="BQ521" s="359"/>
      <c r="BR521" s="284"/>
      <c r="BS521" s="355"/>
      <c r="BU521" s="359"/>
      <c r="BV521" s="284"/>
    </row>
    <row r="522" spans="2:74" x14ac:dyDescent="0.25">
      <c r="B522" s="284"/>
      <c r="D522" s="355"/>
      <c r="E522" s="356"/>
      <c r="F522" s="357"/>
      <c r="G522" s="358"/>
      <c r="H522" s="359"/>
      <c r="I522" s="284"/>
      <c r="J522" s="287"/>
      <c r="K522" s="355"/>
      <c r="M522" s="359"/>
      <c r="N522" s="284"/>
      <c r="O522" s="355"/>
      <c r="P522" s="360"/>
      <c r="Q522" s="359"/>
      <c r="R522" s="284"/>
      <c r="S522" s="355"/>
      <c r="U522" s="359"/>
      <c r="V522" s="284"/>
      <c r="W522" s="355"/>
      <c r="Y522" s="359"/>
      <c r="Z522" s="284"/>
      <c r="AA522" s="355"/>
      <c r="AC522" s="359"/>
      <c r="AD522" s="284"/>
      <c r="AE522" s="355"/>
      <c r="AG522" s="359"/>
      <c r="AH522" s="284"/>
      <c r="AI522" s="355"/>
      <c r="AK522" s="359"/>
      <c r="AL522" s="284"/>
      <c r="AM522" s="355"/>
      <c r="AO522" s="359"/>
      <c r="AP522" s="284"/>
      <c r="AQ522" s="355"/>
      <c r="AR522" s="360"/>
      <c r="AS522" s="359"/>
      <c r="AT522" s="284"/>
      <c r="AU522" s="355"/>
      <c r="AW522" s="359"/>
      <c r="AX522" s="284"/>
      <c r="AY522" s="355"/>
      <c r="BA522" s="359"/>
      <c r="BB522" s="284"/>
      <c r="BC522" s="355"/>
      <c r="BE522" s="359"/>
      <c r="BF522" s="284"/>
      <c r="BG522" s="355"/>
      <c r="BI522" s="359"/>
      <c r="BJ522" s="284"/>
      <c r="BK522" s="355"/>
      <c r="BM522" s="359"/>
      <c r="BN522" s="284"/>
      <c r="BO522" s="355"/>
      <c r="BQ522" s="359"/>
      <c r="BR522" s="284"/>
      <c r="BS522" s="355"/>
      <c r="BU522" s="359"/>
      <c r="BV522" s="284"/>
    </row>
    <row r="523" spans="2:74" x14ac:dyDescent="0.25">
      <c r="B523" s="284"/>
      <c r="D523" s="355"/>
      <c r="E523" s="356"/>
      <c r="F523" s="357"/>
      <c r="G523" s="358"/>
      <c r="H523" s="359"/>
      <c r="I523" s="284"/>
      <c r="J523" s="287"/>
      <c r="K523" s="355"/>
      <c r="M523" s="359"/>
      <c r="N523" s="284"/>
      <c r="O523" s="355"/>
      <c r="P523" s="360"/>
      <c r="Q523" s="359"/>
      <c r="R523" s="284"/>
      <c r="S523" s="355"/>
      <c r="U523" s="359"/>
      <c r="V523" s="284"/>
      <c r="W523" s="355"/>
      <c r="Y523" s="359"/>
      <c r="Z523" s="284"/>
      <c r="AA523" s="355"/>
      <c r="AC523" s="359"/>
      <c r="AD523" s="284"/>
      <c r="AE523" s="355"/>
      <c r="AG523" s="359"/>
      <c r="AH523" s="284"/>
      <c r="AI523" s="355"/>
      <c r="AK523" s="359"/>
      <c r="AL523" s="284"/>
      <c r="AM523" s="355"/>
      <c r="AO523" s="359"/>
      <c r="AP523" s="284"/>
      <c r="AQ523" s="355"/>
      <c r="AR523" s="360"/>
      <c r="AS523" s="359"/>
      <c r="AT523" s="284"/>
      <c r="AU523" s="355"/>
      <c r="AW523" s="359"/>
      <c r="AX523" s="284"/>
      <c r="AY523" s="355"/>
      <c r="BA523" s="359"/>
      <c r="BB523" s="284"/>
      <c r="BC523" s="355"/>
      <c r="BE523" s="359"/>
      <c r="BF523" s="284"/>
      <c r="BG523" s="355"/>
      <c r="BI523" s="359"/>
      <c r="BJ523" s="284"/>
      <c r="BK523" s="355"/>
      <c r="BM523" s="359"/>
      <c r="BN523" s="284"/>
      <c r="BO523" s="355"/>
      <c r="BQ523" s="359"/>
      <c r="BR523" s="284"/>
      <c r="BS523" s="355"/>
      <c r="BU523" s="359"/>
      <c r="BV523" s="284"/>
    </row>
    <row r="524" spans="2:74" x14ac:dyDescent="0.25">
      <c r="B524" s="284"/>
      <c r="D524" s="355"/>
      <c r="E524" s="356"/>
      <c r="F524" s="357"/>
      <c r="G524" s="358"/>
      <c r="H524" s="359"/>
      <c r="I524" s="284"/>
      <c r="J524" s="287"/>
      <c r="K524" s="355"/>
      <c r="M524" s="359"/>
      <c r="N524" s="284"/>
      <c r="O524" s="355"/>
      <c r="P524" s="360"/>
      <c r="Q524" s="359"/>
      <c r="R524" s="284"/>
      <c r="S524" s="355"/>
      <c r="U524" s="359"/>
      <c r="V524" s="284"/>
      <c r="W524" s="355"/>
      <c r="Y524" s="359"/>
      <c r="Z524" s="284"/>
      <c r="AA524" s="355"/>
      <c r="AC524" s="359"/>
      <c r="AD524" s="284"/>
      <c r="AE524" s="355"/>
      <c r="AG524" s="359"/>
      <c r="AH524" s="284"/>
      <c r="AI524" s="355"/>
      <c r="AK524" s="359"/>
      <c r="AL524" s="284"/>
      <c r="AM524" s="355"/>
      <c r="AO524" s="359"/>
      <c r="AP524" s="284"/>
      <c r="AQ524" s="355"/>
      <c r="AR524" s="360"/>
      <c r="AS524" s="359"/>
      <c r="AT524" s="284"/>
      <c r="AU524" s="355"/>
      <c r="AW524" s="359"/>
      <c r="AX524" s="284"/>
      <c r="AY524" s="355"/>
      <c r="BA524" s="359"/>
      <c r="BB524" s="284"/>
      <c r="BC524" s="355"/>
      <c r="BE524" s="359"/>
      <c r="BF524" s="284"/>
      <c r="BG524" s="355"/>
      <c r="BI524" s="359"/>
      <c r="BJ524" s="284"/>
      <c r="BK524" s="355"/>
      <c r="BM524" s="359"/>
      <c r="BN524" s="284"/>
      <c r="BO524" s="355"/>
      <c r="BQ524" s="359"/>
      <c r="BR524" s="284"/>
      <c r="BS524" s="355"/>
      <c r="BU524" s="359"/>
      <c r="BV524" s="284"/>
    </row>
    <row r="525" spans="2:74" x14ac:dyDescent="0.25">
      <c r="B525" s="284"/>
      <c r="D525" s="355"/>
      <c r="E525" s="356"/>
      <c r="F525" s="357"/>
      <c r="G525" s="358"/>
      <c r="H525" s="359"/>
      <c r="I525" s="284"/>
      <c r="J525" s="287"/>
      <c r="K525" s="355"/>
      <c r="M525" s="359"/>
      <c r="N525" s="284"/>
      <c r="O525" s="355"/>
      <c r="P525" s="360"/>
      <c r="Q525" s="359"/>
      <c r="R525" s="284"/>
      <c r="S525" s="355"/>
      <c r="U525" s="359"/>
      <c r="V525" s="284"/>
      <c r="W525" s="355"/>
      <c r="Y525" s="359"/>
      <c r="Z525" s="284"/>
      <c r="AA525" s="355"/>
      <c r="AC525" s="359"/>
      <c r="AD525" s="284"/>
      <c r="AE525" s="355"/>
      <c r="AG525" s="359"/>
      <c r="AH525" s="284"/>
      <c r="AI525" s="355"/>
      <c r="AK525" s="359"/>
      <c r="AL525" s="284"/>
      <c r="AM525" s="355"/>
      <c r="AO525" s="359"/>
      <c r="AP525" s="284"/>
      <c r="AQ525" s="355"/>
      <c r="AR525" s="360"/>
      <c r="AS525" s="359"/>
      <c r="AT525" s="284"/>
      <c r="AU525" s="355"/>
      <c r="AW525" s="359"/>
      <c r="AX525" s="284"/>
      <c r="AY525" s="355"/>
      <c r="BA525" s="359"/>
      <c r="BB525" s="284"/>
      <c r="BC525" s="355"/>
      <c r="BE525" s="359"/>
      <c r="BF525" s="284"/>
      <c r="BG525" s="355"/>
      <c r="BI525" s="359"/>
      <c r="BJ525" s="284"/>
      <c r="BK525" s="355"/>
      <c r="BM525" s="359"/>
      <c r="BN525" s="284"/>
      <c r="BO525" s="355"/>
      <c r="BQ525" s="359"/>
      <c r="BR525" s="284"/>
      <c r="BS525" s="355"/>
      <c r="BU525" s="359"/>
      <c r="BV525" s="284"/>
    </row>
    <row r="526" spans="2:74" x14ac:dyDescent="0.25">
      <c r="B526" s="284"/>
      <c r="D526" s="355"/>
      <c r="E526" s="356"/>
      <c r="F526" s="357"/>
      <c r="G526" s="358"/>
      <c r="H526" s="359"/>
      <c r="I526" s="284"/>
      <c r="J526" s="287"/>
      <c r="K526" s="355"/>
      <c r="M526" s="359"/>
      <c r="N526" s="284"/>
      <c r="O526" s="355"/>
      <c r="P526" s="360"/>
      <c r="Q526" s="359"/>
      <c r="R526" s="284"/>
      <c r="S526" s="355"/>
      <c r="U526" s="359"/>
      <c r="V526" s="284"/>
      <c r="W526" s="355"/>
      <c r="Y526" s="359"/>
      <c r="Z526" s="284"/>
      <c r="AA526" s="355"/>
      <c r="AC526" s="359"/>
      <c r="AD526" s="284"/>
      <c r="AE526" s="355"/>
      <c r="AG526" s="359"/>
      <c r="AH526" s="284"/>
      <c r="AI526" s="355"/>
      <c r="AK526" s="359"/>
      <c r="AL526" s="284"/>
      <c r="AM526" s="355"/>
      <c r="AO526" s="359"/>
      <c r="AP526" s="284"/>
      <c r="AQ526" s="355"/>
      <c r="AR526" s="360"/>
      <c r="AS526" s="359"/>
      <c r="AT526" s="284"/>
      <c r="AU526" s="355"/>
      <c r="AW526" s="359"/>
      <c r="AX526" s="284"/>
      <c r="AY526" s="355"/>
      <c r="BA526" s="359"/>
      <c r="BB526" s="284"/>
      <c r="BC526" s="355"/>
      <c r="BE526" s="359"/>
      <c r="BF526" s="284"/>
      <c r="BG526" s="355"/>
      <c r="BI526" s="359"/>
      <c r="BJ526" s="284"/>
      <c r="BK526" s="355"/>
      <c r="BM526" s="359"/>
      <c r="BN526" s="284"/>
      <c r="BO526" s="355"/>
      <c r="BQ526" s="359"/>
      <c r="BR526" s="284"/>
      <c r="BS526" s="355"/>
      <c r="BU526" s="359"/>
      <c r="BV526" s="284"/>
    </row>
    <row r="527" spans="2:74" x14ac:dyDescent="0.25">
      <c r="B527" s="284"/>
      <c r="D527" s="355"/>
      <c r="E527" s="356"/>
      <c r="F527" s="357"/>
      <c r="G527" s="358"/>
      <c r="H527" s="359"/>
      <c r="I527" s="284"/>
      <c r="J527" s="287"/>
      <c r="K527" s="355"/>
      <c r="M527" s="359"/>
      <c r="N527" s="284"/>
      <c r="O527" s="355"/>
      <c r="P527" s="360"/>
      <c r="Q527" s="359"/>
      <c r="R527" s="284"/>
      <c r="S527" s="355"/>
      <c r="U527" s="359"/>
      <c r="V527" s="284"/>
      <c r="W527" s="355"/>
      <c r="Y527" s="359"/>
      <c r="Z527" s="284"/>
      <c r="AA527" s="355"/>
      <c r="AC527" s="359"/>
      <c r="AD527" s="284"/>
      <c r="AE527" s="355"/>
      <c r="AG527" s="359"/>
      <c r="AH527" s="284"/>
      <c r="AI527" s="355"/>
      <c r="AK527" s="359"/>
      <c r="AL527" s="284"/>
      <c r="AM527" s="355"/>
      <c r="AO527" s="359"/>
      <c r="AP527" s="284"/>
      <c r="AQ527" s="355"/>
      <c r="AR527" s="360"/>
      <c r="AS527" s="359"/>
      <c r="AT527" s="284"/>
      <c r="AU527" s="355"/>
      <c r="AW527" s="359"/>
      <c r="AX527" s="284"/>
      <c r="AY527" s="355"/>
      <c r="BA527" s="359"/>
      <c r="BB527" s="284"/>
      <c r="BC527" s="355"/>
      <c r="BE527" s="359"/>
      <c r="BF527" s="284"/>
      <c r="BG527" s="355"/>
      <c r="BI527" s="359"/>
      <c r="BJ527" s="284"/>
      <c r="BK527" s="355"/>
      <c r="BM527" s="359"/>
      <c r="BN527" s="284"/>
      <c r="BO527" s="355"/>
      <c r="BQ527" s="359"/>
      <c r="BR527" s="284"/>
      <c r="BS527" s="355"/>
      <c r="BU527" s="359"/>
      <c r="BV527" s="284"/>
    </row>
    <row r="528" spans="2:74" x14ac:dyDescent="0.25">
      <c r="B528" s="284"/>
      <c r="D528" s="355"/>
      <c r="E528" s="356"/>
      <c r="F528" s="357"/>
      <c r="G528" s="358"/>
      <c r="H528" s="359"/>
      <c r="I528" s="284"/>
      <c r="J528" s="287"/>
      <c r="K528" s="355"/>
      <c r="M528" s="359"/>
      <c r="N528" s="284"/>
      <c r="O528" s="355"/>
      <c r="P528" s="360"/>
      <c r="Q528" s="359"/>
      <c r="R528" s="284"/>
      <c r="S528" s="355"/>
      <c r="U528" s="359"/>
      <c r="V528" s="284"/>
      <c r="W528" s="355"/>
      <c r="Y528" s="359"/>
      <c r="Z528" s="284"/>
      <c r="AA528" s="355"/>
      <c r="AC528" s="359"/>
      <c r="AD528" s="284"/>
      <c r="AE528" s="355"/>
      <c r="AG528" s="359"/>
      <c r="AH528" s="284"/>
      <c r="AI528" s="355"/>
      <c r="AK528" s="359"/>
      <c r="AL528" s="284"/>
      <c r="AM528" s="355"/>
      <c r="AO528" s="359"/>
      <c r="AP528" s="284"/>
      <c r="AQ528" s="355"/>
      <c r="AR528" s="360"/>
      <c r="AS528" s="359"/>
      <c r="AT528" s="284"/>
      <c r="AU528" s="355"/>
      <c r="AW528" s="359"/>
      <c r="AX528" s="284"/>
      <c r="AY528" s="355"/>
      <c r="BA528" s="359"/>
      <c r="BB528" s="284"/>
      <c r="BC528" s="355"/>
      <c r="BE528" s="359"/>
      <c r="BF528" s="284"/>
      <c r="BG528" s="355"/>
      <c r="BI528" s="359"/>
      <c r="BJ528" s="284"/>
      <c r="BK528" s="355"/>
      <c r="BM528" s="359"/>
      <c r="BN528" s="284"/>
      <c r="BO528" s="355"/>
      <c r="BQ528" s="359"/>
      <c r="BR528" s="284"/>
      <c r="BS528" s="355"/>
      <c r="BU528" s="359"/>
      <c r="BV528" s="284"/>
    </row>
    <row r="529" spans="2:74" x14ac:dyDescent="0.25">
      <c r="B529" s="284"/>
      <c r="D529" s="355"/>
      <c r="E529" s="356"/>
      <c r="F529" s="357"/>
      <c r="G529" s="358"/>
      <c r="H529" s="359"/>
      <c r="I529" s="284"/>
      <c r="J529" s="287"/>
      <c r="K529" s="355"/>
      <c r="M529" s="359"/>
      <c r="N529" s="284"/>
      <c r="O529" s="355"/>
      <c r="P529" s="360"/>
      <c r="Q529" s="359"/>
      <c r="R529" s="284"/>
      <c r="S529" s="355"/>
      <c r="U529" s="359"/>
      <c r="V529" s="284"/>
      <c r="W529" s="355"/>
      <c r="Y529" s="359"/>
      <c r="Z529" s="284"/>
      <c r="AA529" s="355"/>
      <c r="AC529" s="359"/>
      <c r="AD529" s="284"/>
      <c r="AE529" s="355"/>
      <c r="AG529" s="359"/>
      <c r="AH529" s="284"/>
      <c r="AI529" s="355"/>
      <c r="AK529" s="359"/>
      <c r="AL529" s="284"/>
      <c r="AM529" s="355"/>
      <c r="AO529" s="359"/>
      <c r="AP529" s="284"/>
      <c r="AQ529" s="355"/>
      <c r="AR529" s="360"/>
      <c r="AS529" s="359"/>
      <c r="AT529" s="284"/>
      <c r="AU529" s="355"/>
      <c r="AW529" s="359"/>
      <c r="AX529" s="284"/>
      <c r="AY529" s="355"/>
      <c r="BA529" s="359"/>
      <c r="BB529" s="284"/>
      <c r="BC529" s="355"/>
      <c r="BE529" s="359"/>
      <c r="BF529" s="284"/>
      <c r="BG529" s="355"/>
      <c r="BI529" s="359"/>
      <c r="BJ529" s="284"/>
      <c r="BK529" s="355"/>
      <c r="BM529" s="359"/>
      <c r="BN529" s="284"/>
      <c r="BO529" s="355"/>
      <c r="BQ529" s="359"/>
      <c r="BR529" s="284"/>
      <c r="BS529" s="355"/>
      <c r="BU529" s="359"/>
      <c r="BV529" s="284"/>
    </row>
    <row r="530" spans="2:74" x14ac:dyDescent="0.25">
      <c r="B530" s="284"/>
      <c r="D530" s="355"/>
      <c r="E530" s="356"/>
      <c r="F530" s="357"/>
      <c r="G530" s="358"/>
      <c r="H530" s="359"/>
      <c r="I530" s="284"/>
      <c r="J530" s="287"/>
      <c r="K530" s="355"/>
      <c r="M530" s="359"/>
      <c r="N530" s="284"/>
      <c r="O530" s="355"/>
      <c r="P530" s="360"/>
      <c r="Q530" s="359"/>
      <c r="R530" s="284"/>
      <c r="S530" s="355"/>
      <c r="U530" s="359"/>
      <c r="V530" s="284"/>
      <c r="W530" s="355"/>
      <c r="Y530" s="359"/>
      <c r="Z530" s="284"/>
      <c r="AA530" s="355"/>
      <c r="AC530" s="359"/>
      <c r="AD530" s="284"/>
      <c r="AE530" s="355"/>
      <c r="AG530" s="359"/>
      <c r="AH530" s="284"/>
      <c r="AI530" s="355"/>
      <c r="AK530" s="359"/>
      <c r="AL530" s="284"/>
      <c r="AM530" s="355"/>
      <c r="AO530" s="359"/>
      <c r="AP530" s="284"/>
      <c r="AQ530" s="355"/>
      <c r="AR530" s="360"/>
      <c r="AS530" s="359"/>
      <c r="AT530" s="284"/>
      <c r="AU530" s="355"/>
      <c r="AW530" s="359"/>
      <c r="AX530" s="284"/>
      <c r="AY530" s="355"/>
      <c r="BA530" s="359"/>
      <c r="BB530" s="284"/>
      <c r="BC530" s="355"/>
      <c r="BE530" s="359"/>
      <c r="BF530" s="284"/>
      <c r="BG530" s="355"/>
      <c r="BI530" s="359"/>
      <c r="BJ530" s="284"/>
      <c r="BK530" s="355"/>
      <c r="BM530" s="359"/>
      <c r="BN530" s="284"/>
      <c r="BO530" s="355"/>
      <c r="BQ530" s="359"/>
      <c r="BR530" s="284"/>
      <c r="BS530" s="355"/>
      <c r="BU530" s="359"/>
      <c r="BV530" s="284"/>
    </row>
    <row r="531" spans="2:74" x14ac:dyDescent="0.25">
      <c r="B531" s="284"/>
      <c r="D531" s="355"/>
      <c r="E531" s="356"/>
      <c r="F531" s="357"/>
      <c r="G531" s="358"/>
      <c r="H531" s="359"/>
      <c r="I531" s="284"/>
      <c r="J531" s="287"/>
      <c r="K531" s="355"/>
      <c r="M531" s="359"/>
      <c r="N531" s="284"/>
      <c r="O531" s="355"/>
      <c r="P531" s="360"/>
      <c r="Q531" s="359"/>
      <c r="R531" s="284"/>
      <c r="S531" s="355"/>
      <c r="U531" s="359"/>
      <c r="V531" s="284"/>
      <c r="W531" s="355"/>
      <c r="Y531" s="359"/>
      <c r="Z531" s="284"/>
      <c r="AA531" s="355"/>
      <c r="AC531" s="359"/>
      <c r="AD531" s="284"/>
      <c r="AE531" s="355"/>
      <c r="AG531" s="359"/>
      <c r="AH531" s="284"/>
      <c r="AI531" s="355"/>
      <c r="AK531" s="359"/>
      <c r="AL531" s="284"/>
      <c r="AM531" s="355"/>
      <c r="AO531" s="359"/>
      <c r="AP531" s="284"/>
      <c r="AQ531" s="355"/>
      <c r="AR531" s="360"/>
      <c r="AS531" s="359"/>
      <c r="AT531" s="284"/>
      <c r="AU531" s="355"/>
      <c r="AW531" s="359"/>
      <c r="AX531" s="284"/>
      <c r="AY531" s="355"/>
      <c r="BA531" s="359"/>
      <c r="BB531" s="284"/>
      <c r="BC531" s="355"/>
      <c r="BE531" s="359"/>
      <c r="BF531" s="284"/>
      <c r="BG531" s="355"/>
      <c r="BI531" s="359"/>
      <c r="BJ531" s="284"/>
      <c r="BK531" s="355"/>
      <c r="BM531" s="359"/>
      <c r="BN531" s="284"/>
      <c r="BO531" s="355"/>
      <c r="BQ531" s="359"/>
      <c r="BR531" s="284"/>
      <c r="BS531" s="355"/>
      <c r="BU531" s="359"/>
      <c r="BV531" s="284"/>
    </row>
    <row r="532" spans="2:74" x14ac:dyDescent="0.25">
      <c r="B532" s="284"/>
      <c r="D532" s="355"/>
      <c r="E532" s="356"/>
      <c r="F532" s="357"/>
      <c r="G532" s="358"/>
      <c r="H532" s="359"/>
      <c r="I532" s="284"/>
      <c r="J532" s="287"/>
      <c r="K532" s="355"/>
      <c r="M532" s="359"/>
      <c r="N532" s="284"/>
      <c r="O532" s="355"/>
      <c r="P532" s="360"/>
      <c r="Q532" s="359"/>
      <c r="R532" s="284"/>
      <c r="S532" s="355"/>
      <c r="U532" s="359"/>
      <c r="V532" s="284"/>
      <c r="W532" s="355"/>
      <c r="Y532" s="359"/>
      <c r="Z532" s="284"/>
      <c r="AA532" s="355"/>
      <c r="AC532" s="359"/>
      <c r="AD532" s="284"/>
      <c r="AE532" s="355"/>
      <c r="AG532" s="359"/>
      <c r="AH532" s="284"/>
      <c r="AI532" s="355"/>
      <c r="AK532" s="359"/>
      <c r="AL532" s="284"/>
      <c r="AM532" s="355"/>
      <c r="AO532" s="359"/>
      <c r="AP532" s="284"/>
      <c r="AQ532" s="355"/>
      <c r="AR532" s="360"/>
      <c r="AS532" s="359"/>
      <c r="AT532" s="284"/>
      <c r="AU532" s="355"/>
      <c r="AW532" s="359"/>
      <c r="AX532" s="284"/>
      <c r="AY532" s="355"/>
      <c r="BA532" s="359"/>
      <c r="BB532" s="284"/>
      <c r="BC532" s="355"/>
      <c r="BE532" s="359"/>
      <c r="BF532" s="284"/>
      <c r="BG532" s="355"/>
      <c r="BI532" s="359"/>
      <c r="BJ532" s="284"/>
      <c r="BK532" s="355"/>
      <c r="BM532" s="359"/>
      <c r="BN532" s="284"/>
      <c r="BO532" s="355"/>
      <c r="BQ532" s="359"/>
      <c r="BR532" s="284"/>
      <c r="BS532" s="355"/>
      <c r="BU532" s="359"/>
      <c r="BV532" s="284"/>
    </row>
    <row r="533" spans="2:74" x14ac:dyDescent="0.25">
      <c r="B533" s="284"/>
      <c r="D533" s="355"/>
      <c r="E533" s="356"/>
      <c r="F533" s="357"/>
      <c r="G533" s="358"/>
      <c r="H533" s="359"/>
      <c r="I533" s="284"/>
      <c r="J533" s="287"/>
      <c r="K533" s="355"/>
      <c r="M533" s="359"/>
      <c r="N533" s="284"/>
      <c r="O533" s="355"/>
      <c r="P533" s="360"/>
      <c r="Q533" s="359"/>
      <c r="R533" s="284"/>
      <c r="S533" s="355"/>
      <c r="U533" s="359"/>
      <c r="V533" s="284"/>
      <c r="W533" s="355"/>
      <c r="Y533" s="359"/>
      <c r="Z533" s="284"/>
      <c r="AA533" s="355"/>
      <c r="AC533" s="359"/>
      <c r="AD533" s="284"/>
      <c r="AE533" s="355"/>
      <c r="AG533" s="359"/>
      <c r="AH533" s="284"/>
      <c r="AI533" s="355"/>
      <c r="AK533" s="359"/>
      <c r="AL533" s="284"/>
      <c r="AM533" s="355"/>
      <c r="AO533" s="359"/>
      <c r="AP533" s="284"/>
      <c r="AQ533" s="355"/>
      <c r="AR533" s="360"/>
      <c r="AS533" s="359"/>
      <c r="AT533" s="284"/>
      <c r="AU533" s="355"/>
      <c r="AW533" s="359"/>
      <c r="AX533" s="284"/>
      <c r="AY533" s="355"/>
      <c r="BA533" s="359"/>
      <c r="BB533" s="284"/>
      <c r="BC533" s="355"/>
      <c r="BE533" s="359"/>
      <c r="BF533" s="284"/>
      <c r="BG533" s="355"/>
      <c r="BI533" s="359"/>
      <c r="BJ533" s="284"/>
      <c r="BK533" s="355"/>
      <c r="BM533" s="359"/>
      <c r="BN533" s="284"/>
      <c r="BO533" s="355"/>
      <c r="BQ533" s="359"/>
      <c r="BR533" s="284"/>
      <c r="BS533" s="355"/>
      <c r="BU533" s="359"/>
      <c r="BV533" s="284"/>
    </row>
    <row r="534" spans="2:74" x14ac:dyDescent="0.25">
      <c r="B534" s="284"/>
      <c r="D534" s="355"/>
      <c r="E534" s="356"/>
      <c r="F534" s="357"/>
      <c r="G534" s="358"/>
      <c r="H534" s="359"/>
      <c r="I534" s="284"/>
      <c r="J534" s="287"/>
      <c r="K534" s="355"/>
      <c r="M534" s="359"/>
      <c r="N534" s="284"/>
      <c r="O534" s="355"/>
      <c r="P534" s="360"/>
      <c r="Q534" s="359"/>
      <c r="R534" s="284"/>
      <c r="S534" s="355"/>
      <c r="U534" s="359"/>
      <c r="V534" s="284"/>
      <c r="W534" s="355"/>
      <c r="Y534" s="359"/>
      <c r="Z534" s="284"/>
      <c r="AA534" s="355"/>
      <c r="AC534" s="359"/>
      <c r="AD534" s="284"/>
      <c r="AE534" s="355"/>
      <c r="AG534" s="359"/>
      <c r="AH534" s="284"/>
      <c r="AI534" s="355"/>
      <c r="AK534" s="359"/>
      <c r="AL534" s="284"/>
      <c r="AM534" s="355"/>
      <c r="AO534" s="359"/>
      <c r="AP534" s="284"/>
      <c r="AQ534" s="355"/>
      <c r="AR534" s="360"/>
      <c r="AS534" s="359"/>
      <c r="AT534" s="284"/>
      <c r="AU534" s="355"/>
      <c r="AW534" s="359"/>
      <c r="AX534" s="284"/>
      <c r="AY534" s="355"/>
      <c r="BA534" s="359"/>
      <c r="BB534" s="284"/>
      <c r="BC534" s="355"/>
      <c r="BE534" s="359"/>
      <c r="BF534" s="284"/>
      <c r="BG534" s="355"/>
      <c r="BI534" s="359"/>
      <c r="BJ534" s="284"/>
      <c r="BK534" s="355"/>
      <c r="BM534" s="359"/>
      <c r="BN534" s="284"/>
      <c r="BO534" s="355"/>
      <c r="BQ534" s="359"/>
      <c r="BR534" s="284"/>
      <c r="BS534" s="355"/>
      <c r="BU534" s="359"/>
      <c r="BV534" s="284"/>
    </row>
    <row r="535" spans="2:74" x14ac:dyDescent="0.25">
      <c r="B535" s="284"/>
      <c r="D535" s="355"/>
      <c r="E535" s="356"/>
      <c r="F535" s="357"/>
      <c r="G535" s="358"/>
      <c r="H535" s="359"/>
      <c r="I535" s="284"/>
      <c r="J535" s="287"/>
      <c r="K535" s="355"/>
      <c r="M535" s="359"/>
      <c r="N535" s="284"/>
      <c r="O535" s="355"/>
      <c r="P535" s="360"/>
      <c r="Q535" s="359"/>
      <c r="R535" s="284"/>
      <c r="S535" s="355"/>
      <c r="U535" s="359"/>
      <c r="V535" s="284"/>
      <c r="W535" s="355"/>
      <c r="Y535" s="359"/>
      <c r="Z535" s="284"/>
      <c r="AA535" s="355"/>
      <c r="AC535" s="359"/>
      <c r="AD535" s="284"/>
      <c r="AE535" s="355"/>
      <c r="AG535" s="359"/>
      <c r="AH535" s="284"/>
      <c r="AI535" s="355"/>
      <c r="AK535" s="359"/>
      <c r="AL535" s="284"/>
      <c r="AM535" s="355"/>
      <c r="AO535" s="359"/>
      <c r="AP535" s="284"/>
      <c r="AQ535" s="355"/>
      <c r="AR535" s="360"/>
      <c r="AS535" s="359"/>
      <c r="AT535" s="284"/>
      <c r="AU535" s="355"/>
      <c r="AW535" s="359"/>
      <c r="AX535" s="284"/>
      <c r="AY535" s="355"/>
      <c r="BA535" s="359"/>
      <c r="BB535" s="284"/>
      <c r="BC535" s="355"/>
      <c r="BE535" s="359"/>
      <c r="BF535" s="284"/>
      <c r="BG535" s="355"/>
      <c r="BI535" s="359"/>
      <c r="BJ535" s="284"/>
      <c r="BK535" s="355"/>
      <c r="BM535" s="359"/>
      <c r="BN535" s="284"/>
      <c r="BO535" s="355"/>
      <c r="BQ535" s="359"/>
      <c r="BR535" s="284"/>
      <c r="BS535" s="355"/>
      <c r="BU535" s="359"/>
      <c r="BV535" s="284"/>
    </row>
    <row r="536" spans="2:74" x14ac:dyDescent="0.25">
      <c r="B536" s="284"/>
      <c r="D536" s="355"/>
      <c r="E536" s="356"/>
      <c r="F536" s="357"/>
      <c r="G536" s="358"/>
      <c r="H536" s="359"/>
      <c r="I536" s="284"/>
      <c r="J536" s="287"/>
      <c r="K536" s="355"/>
      <c r="M536" s="359"/>
      <c r="N536" s="284"/>
      <c r="O536" s="355"/>
      <c r="P536" s="360"/>
      <c r="Q536" s="359"/>
      <c r="R536" s="284"/>
      <c r="S536" s="355"/>
      <c r="U536" s="359"/>
      <c r="V536" s="284"/>
      <c r="W536" s="355"/>
      <c r="Y536" s="359"/>
      <c r="Z536" s="284"/>
      <c r="AA536" s="355"/>
      <c r="AC536" s="359"/>
      <c r="AD536" s="284"/>
      <c r="AE536" s="355"/>
      <c r="AG536" s="359"/>
      <c r="AH536" s="284"/>
      <c r="AI536" s="355"/>
      <c r="AK536" s="359"/>
      <c r="AL536" s="284"/>
      <c r="AM536" s="355"/>
      <c r="AO536" s="359"/>
      <c r="AP536" s="284"/>
      <c r="AQ536" s="355"/>
      <c r="AR536" s="360"/>
      <c r="AS536" s="359"/>
      <c r="AT536" s="284"/>
      <c r="AU536" s="355"/>
      <c r="AW536" s="359"/>
      <c r="AX536" s="284"/>
      <c r="AY536" s="355"/>
      <c r="BA536" s="359"/>
      <c r="BB536" s="284"/>
      <c r="BC536" s="355"/>
      <c r="BE536" s="359"/>
      <c r="BF536" s="284"/>
      <c r="BG536" s="355"/>
      <c r="BI536" s="359"/>
      <c r="BJ536" s="284"/>
      <c r="BK536" s="355"/>
      <c r="BM536" s="359"/>
      <c r="BN536" s="284"/>
      <c r="BO536" s="355"/>
      <c r="BQ536" s="359"/>
      <c r="BR536" s="284"/>
      <c r="BS536" s="355"/>
      <c r="BU536" s="359"/>
      <c r="BV536" s="284"/>
    </row>
    <row r="537" spans="2:74" x14ac:dyDescent="0.25">
      <c r="B537" s="284"/>
      <c r="D537" s="355"/>
      <c r="E537" s="356"/>
      <c r="F537" s="357"/>
      <c r="G537" s="358"/>
      <c r="H537" s="359"/>
      <c r="I537" s="284"/>
      <c r="J537" s="287"/>
      <c r="K537" s="355"/>
      <c r="M537" s="359"/>
      <c r="N537" s="284"/>
      <c r="O537" s="355"/>
      <c r="P537" s="360"/>
      <c r="Q537" s="359"/>
      <c r="R537" s="284"/>
      <c r="S537" s="355"/>
      <c r="U537" s="359"/>
      <c r="V537" s="284"/>
      <c r="W537" s="355"/>
      <c r="Y537" s="359"/>
      <c r="Z537" s="284"/>
      <c r="AA537" s="355"/>
      <c r="AC537" s="359"/>
      <c r="AD537" s="284"/>
      <c r="AE537" s="355"/>
      <c r="AG537" s="359"/>
      <c r="AH537" s="284"/>
      <c r="AI537" s="355"/>
      <c r="AK537" s="359"/>
      <c r="AL537" s="284"/>
      <c r="AM537" s="355"/>
      <c r="AO537" s="359"/>
      <c r="AP537" s="284"/>
      <c r="AQ537" s="355"/>
      <c r="AR537" s="360"/>
      <c r="AS537" s="359"/>
      <c r="AT537" s="284"/>
      <c r="AU537" s="355"/>
      <c r="AW537" s="359"/>
      <c r="AX537" s="284"/>
      <c r="AY537" s="355"/>
      <c r="BA537" s="359"/>
      <c r="BB537" s="284"/>
      <c r="BC537" s="355"/>
      <c r="BE537" s="359"/>
      <c r="BF537" s="284"/>
      <c r="BG537" s="355"/>
      <c r="BI537" s="359"/>
      <c r="BJ537" s="284"/>
      <c r="BK537" s="355"/>
      <c r="BM537" s="359"/>
      <c r="BN537" s="284"/>
      <c r="BO537" s="355"/>
      <c r="BQ537" s="359"/>
      <c r="BR537" s="284"/>
      <c r="BS537" s="355"/>
      <c r="BU537" s="359"/>
      <c r="BV537" s="284"/>
    </row>
    <row r="538" spans="2:74" x14ac:dyDescent="0.25">
      <c r="B538" s="284"/>
      <c r="D538" s="355"/>
      <c r="E538" s="356"/>
      <c r="F538" s="357"/>
      <c r="G538" s="358"/>
      <c r="H538" s="359"/>
      <c r="I538" s="284"/>
      <c r="J538" s="287"/>
      <c r="K538" s="355"/>
      <c r="M538" s="359"/>
      <c r="N538" s="284"/>
      <c r="O538" s="355"/>
      <c r="P538" s="360"/>
      <c r="Q538" s="359"/>
      <c r="R538" s="284"/>
      <c r="S538" s="355"/>
      <c r="U538" s="359"/>
      <c r="V538" s="284"/>
      <c r="W538" s="355"/>
      <c r="Y538" s="359"/>
      <c r="Z538" s="284"/>
      <c r="AA538" s="355"/>
      <c r="AC538" s="359"/>
      <c r="AD538" s="284"/>
      <c r="AE538" s="355"/>
      <c r="AG538" s="359"/>
      <c r="AH538" s="284"/>
      <c r="AI538" s="355"/>
      <c r="AK538" s="359"/>
      <c r="AL538" s="284"/>
      <c r="AM538" s="355"/>
      <c r="AO538" s="359"/>
      <c r="AP538" s="284"/>
      <c r="AQ538" s="355"/>
      <c r="AR538" s="360"/>
      <c r="AS538" s="359"/>
      <c r="AT538" s="284"/>
      <c r="AU538" s="355"/>
      <c r="AW538" s="359"/>
      <c r="AX538" s="284"/>
      <c r="AY538" s="355"/>
      <c r="BA538" s="359"/>
      <c r="BB538" s="284"/>
      <c r="BC538" s="355"/>
      <c r="BE538" s="359"/>
      <c r="BF538" s="284"/>
      <c r="BG538" s="355"/>
      <c r="BI538" s="359"/>
      <c r="BJ538" s="284"/>
      <c r="BK538" s="355"/>
      <c r="BM538" s="359"/>
      <c r="BN538" s="284"/>
      <c r="BO538" s="355"/>
      <c r="BQ538" s="359"/>
      <c r="BR538" s="284"/>
      <c r="BS538" s="355"/>
      <c r="BU538" s="359"/>
      <c r="BV538" s="284"/>
    </row>
    <row r="539" spans="2:74" x14ac:dyDescent="0.25">
      <c r="B539" s="284"/>
      <c r="D539" s="355"/>
      <c r="E539" s="356"/>
      <c r="F539" s="357"/>
      <c r="G539" s="358"/>
      <c r="H539" s="359"/>
      <c r="I539" s="284"/>
      <c r="J539" s="287"/>
      <c r="K539" s="355"/>
      <c r="M539" s="359"/>
      <c r="N539" s="284"/>
      <c r="O539" s="355"/>
      <c r="P539" s="360"/>
      <c r="Q539" s="359"/>
      <c r="R539" s="284"/>
      <c r="S539" s="355"/>
      <c r="U539" s="359"/>
      <c r="V539" s="284"/>
      <c r="W539" s="355"/>
      <c r="Y539" s="359"/>
      <c r="Z539" s="284"/>
      <c r="AA539" s="355"/>
      <c r="AC539" s="359"/>
      <c r="AD539" s="284"/>
      <c r="AE539" s="355"/>
      <c r="AG539" s="359"/>
      <c r="AH539" s="284"/>
      <c r="AI539" s="355"/>
      <c r="AK539" s="359"/>
      <c r="AL539" s="284"/>
      <c r="AM539" s="355"/>
      <c r="AO539" s="359"/>
      <c r="AP539" s="284"/>
      <c r="AQ539" s="355"/>
      <c r="AR539" s="360"/>
      <c r="AS539" s="359"/>
      <c r="AT539" s="284"/>
      <c r="AU539" s="355"/>
      <c r="AW539" s="359"/>
      <c r="AX539" s="284"/>
      <c r="AY539" s="355"/>
      <c r="BA539" s="359"/>
      <c r="BB539" s="284"/>
      <c r="BC539" s="355"/>
      <c r="BE539" s="359"/>
      <c r="BF539" s="284"/>
      <c r="BG539" s="355"/>
      <c r="BI539" s="359"/>
      <c r="BJ539" s="284"/>
      <c r="BK539" s="355"/>
      <c r="BM539" s="359"/>
      <c r="BN539" s="284"/>
      <c r="BO539" s="355"/>
      <c r="BQ539" s="359"/>
      <c r="BR539" s="284"/>
      <c r="BS539" s="355"/>
      <c r="BU539" s="359"/>
      <c r="BV539" s="284"/>
    </row>
    <row r="540" spans="2:74" x14ac:dyDescent="0.25">
      <c r="B540" s="284"/>
      <c r="D540" s="355"/>
      <c r="E540" s="356"/>
      <c r="F540" s="357"/>
      <c r="G540" s="358"/>
      <c r="H540" s="359"/>
      <c r="I540" s="284"/>
      <c r="J540" s="287"/>
      <c r="K540" s="355"/>
      <c r="M540" s="359"/>
      <c r="N540" s="284"/>
      <c r="O540" s="355"/>
      <c r="P540" s="360"/>
      <c r="Q540" s="359"/>
      <c r="R540" s="284"/>
      <c r="S540" s="355"/>
      <c r="U540" s="359"/>
      <c r="V540" s="284"/>
      <c r="W540" s="355"/>
      <c r="Y540" s="359"/>
      <c r="Z540" s="284"/>
      <c r="AA540" s="355"/>
      <c r="AC540" s="359"/>
      <c r="AD540" s="284"/>
      <c r="AE540" s="355"/>
      <c r="AG540" s="359"/>
      <c r="AH540" s="284"/>
      <c r="AI540" s="355"/>
      <c r="AK540" s="359"/>
      <c r="AL540" s="284"/>
      <c r="AM540" s="355"/>
      <c r="AO540" s="359"/>
      <c r="AP540" s="284"/>
      <c r="AQ540" s="355"/>
      <c r="AR540" s="360"/>
      <c r="AS540" s="359"/>
      <c r="AT540" s="284"/>
      <c r="AU540" s="355"/>
      <c r="AW540" s="359"/>
      <c r="AX540" s="284"/>
      <c r="AY540" s="355"/>
      <c r="BA540" s="359"/>
      <c r="BB540" s="284"/>
      <c r="BC540" s="355"/>
      <c r="BE540" s="359"/>
      <c r="BF540" s="284"/>
      <c r="BG540" s="355"/>
      <c r="BI540" s="359"/>
      <c r="BJ540" s="284"/>
      <c r="BK540" s="355"/>
      <c r="BM540" s="359"/>
      <c r="BN540" s="284"/>
      <c r="BO540" s="355"/>
      <c r="BQ540" s="359"/>
      <c r="BR540" s="284"/>
      <c r="BS540" s="355"/>
      <c r="BU540" s="359"/>
      <c r="BV540" s="284"/>
    </row>
    <row r="541" spans="2:74" x14ac:dyDescent="0.25">
      <c r="B541" s="284"/>
      <c r="D541" s="355"/>
      <c r="E541" s="356"/>
      <c r="F541" s="357"/>
      <c r="G541" s="358"/>
      <c r="H541" s="359"/>
      <c r="I541" s="284"/>
      <c r="J541" s="287"/>
      <c r="K541" s="355"/>
      <c r="M541" s="359"/>
      <c r="N541" s="284"/>
      <c r="O541" s="355"/>
      <c r="P541" s="360"/>
      <c r="Q541" s="359"/>
      <c r="R541" s="284"/>
      <c r="S541" s="355"/>
      <c r="U541" s="359"/>
      <c r="V541" s="284"/>
      <c r="W541" s="355"/>
      <c r="Y541" s="359"/>
      <c r="Z541" s="284"/>
      <c r="AA541" s="355"/>
      <c r="AC541" s="359"/>
      <c r="AD541" s="284"/>
      <c r="AE541" s="355"/>
      <c r="AG541" s="359"/>
      <c r="AH541" s="284"/>
      <c r="AI541" s="355"/>
      <c r="AK541" s="359"/>
      <c r="AL541" s="284"/>
      <c r="AM541" s="355"/>
      <c r="AO541" s="359"/>
      <c r="AP541" s="284"/>
      <c r="AQ541" s="355"/>
      <c r="AR541" s="360"/>
      <c r="AS541" s="359"/>
      <c r="AT541" s="284"/>
      <c r="AU541" s="355"/>
      <c r="AW541" s="359"/>
      <c r="AX541" s="284"/>
      <c r="AY541" s="355"/>
      <c r="BA541" s="359"/>
      <c r="BB541" s="284"/>
      <c r="BC541" s="355"/>
      <c r="BE541" s="359"/>
      <c r="BF541" s="284"/>
      <c r="BG541" s="355"/>
      <c r="BI541" s="359"/>
      <c r="BJ541" s="284"/>
      <c r="BK541" s="355"/>
      <c r="BM541" s="359"/>
      <c r="BN541" s="284"/>
      <c r="BO541" s="355"/>
      <c r="BQ541" s="359"/>
      <c r="BR541" s="284"/>
      <c r="BS541" s="355"/>
      <c r="BU541" s="359"/>
      <c r="BV541" s="284"/>
    </row>
    <row r="542" spans="2:74" x14ac:dyDescent="0.25">
      <c r="B542" s="284"/>
      <c r="D542" s="355"/>
      <c r="E542" s="356"/>
      <c r="F542" s="357"/>
      <c r="G542" s="358"/>
      <c r="H542" s="359"/>
      <c r="I542" s="284"/>
      <c r="J542" s="287"/>
      <c r="K542" s="355"/>
      <c r="M542" s="359"/>
      <c r="N542" s="284"/>
      <c r="O542" s="355"/>
      <c r="P542" s="360"/>
      <c r="Q542" s="359"/>
      <c r="R542" s="284"/>
      <c r="S542" s="355"/>
      <c r="U542" s="359"/>
      <c r="V542" s="284"/>
      <c r="W542" s="355"/>
      <c r="Y542" s="359"/>
      <c r="Z542" s="284"/>
      <c r="AA542" s="355"/>
      <c r="AC542" s="359"/>
      <c r="AD542" s="284"/>
      <c r="AE542" s="355"/>
      <c r="AG542" s="359"/>
      <c r="AH542" s="284"/>
      <c r="AI542" s="355"/>
      <c r="AK542" s="359"/>
      <c r="AL542" s="284"/>
      <c r="AM542" s="355"/>
      <c r="AO542" s="359"/>
      <c r="AP542" s="284"/>
      <c r="AQ542" s="355"/>
      <c r="AR542" s="360"/>
      <c r="AS542" s="359"/>
      <c r="AT542" s="284"/>
      <c r="AU542" s="355"/>
      <c r="AW542" s="359"/>
      <c r="AX542" s="284"/>
      <c r="AY542" s="355"/>
      <c r="BA542" s="359"/>
      <c r="BB542" s="284"/>
      <c r="BC542" s="355"/>
      <c r="BE542" s="359"/>
      <c r="BF542" s="284"/>
      <c r="BG542" s="355"/>
      <c r="BI542" s="359"/>
      <c r="BJ542" s="284"/>
      <c r="BK542" s="355"/>
      <c r="BM542" s="359"/>
      <c r="BN542" s="284"/>
      <c r="BO542" s="355"/>
      <c r="BQ542" s="359"/>
      <c r="BR542" s="284"/>
      <c r="BS542" s="355"/>
      <c r="BU542" s="359"/>
      <c r="BV542" s="284"/>
    </row>
    <row r="543" spans="2:74" x14ac:dyDescent="0.25">
      <c r="B543" s="284"/>
      <c r="D543" s="355"/>
      <c r="E543" s="356"/>
      <c r="F543" s="357"/>
      <c r="G543" s="358"/>
      <c r="H543" s="359"/>
      <c r="I543" s="284"/>
      <c r="J543" s="287"/>
      <c r="K543" s="355"/>
      <c r="M543" s="359"/>
      <c r="N543" s="284"/>
      <c r="O543" s="355"/>
      <c r="P543" s="360"/>
      <c r="Q543" s="359"/>
      <c r="R543" s="284"/>
      <c r="S543" s="355"/>
      <c r="U543" s="359"/>
      <c r="V543" s="284"/>
      <c r="W543" s="355"/>
      <c r="Y543" s="359"/>
      <c r="Z543" s="284"/>
      <c r="AA543" s="355"/>
      <c r="AC543" s="359"/>
      <c r="AD543" s="284"/>
      <c r="AE543" s="355"/>
      <c r="AG543" s="359"/>
      <c r="AH543" s="284"/>
      <c r="AI543" s="355"/>
      <c r="AK543" s="359"/>
      <c r="AL543" s="284"/>
      <c r="AM543" s="355"/>
      <c r="AO543" s="359"/>
      <c r="AP543" s="284"/>
      <c r="AQ543" s="355"/>
      <c r="AR543" s="360"/>
      <c r="AS543" s="359"/>
      <c r="AT543" s="284"/>
      <c r="AU543" s="355"/>
      <c r="AW543" s="359"/>
      <c r="AX543" s="284"/>
      <c r="AY543" s="355"/>
      <c r="BA543" s="359"/>
      <c r="BB543" s="284"/>
      <c r="BC543" s="355"/>
      <c r="BE543" s="359"/>
      <c r="BF543" s="284"/>
      <c r="BG543" s="355"/>
      <c r="BI543" s="359"/>
      <c r="BJ543" s="284"/>
      <c r="BK543" s="355"/>
      <c r="BM543" s="359"/>
      <c r="BN543" s="284"/>
      <c r="BO543" s="355"/>
      <c r="BQ543" s="359"/>
      <c r="BR543" s="284"/>
      <c r="BS543" s="355"/>
      <c r="BU543" s="359"/>
      <c r="BV543" s="284"/>
    </row>
    <row r="544" spans="2:74" x14ac:dyDescent="0.25">
      <c r="B544" s="284"/>
      <c r="D544" s="355"/>
      <c r="E544" s="356"/>
      <c r="F544" s="357"/>
      <c r="G544" s="358"/>
      <c r="H544" s="359"/>
      <c r="I544" s="284"/>
      <c r="J544" s="287"/>
      <c r="K544" s="355"/>
      <c r="M544" s="359"/>
      <c r="N544" s="284"/>
      <c r="O544" s="355"/>
      <c r="P544" s="360"/>
      <c r="Q544" s="359"/>
      <c r="R544" s="284"/>
      <c r="S544" s="355"/>
      <c r="U544" s="359"/>
      <c r="V544" s="284"/>
      <c r="W544" s="355"/>
      <c r="Y544" s="359"/>
      <c r="Z544" s="284"/>
      <c r="AA544" s="355"/>
      <c r="AC544" s="359"/>
      <c r="AD544" s="284"/>
      <c r="AE544" s="355"/>
      <c r="AG544" s="359"/>
      <c r="AH544" s="284"/>
      <c r="AI544" s="355"/>
      <c r="AK544" s="359"/>
      <c r="AL544" s="284"/>
      <c r="AM544" s="355"/>
      <c r="AO544" s="359"/>
      <c r="AP544" s="284"/>
      <c r="AQ544" s="355"/>
      <c r="AR544" s="360"/>
      <c r="AS544" s="359"/>
      <c r="AT544" s="284"/>
      <c r="AU544" s="355"/>
      <c r="AW544" s="359"/>
      <c r="AX544" s="284"/>
      <c r="AY544" s="355"/>
      <c r="BA544" s="359"/>
      <c r="BB544" s="284"/>
      <c r="BC544" s="355"/>
      <c r="BE544" s="359"/>
      <c r="BF544" s="284"/>
      <c r="BG544" s="355"/>
      <c r="BI544" s="359"/>
      <c r="BJ544" s="284"/>
      <c r="BK544" s="355"/>
      <c r="BM544" s="359"/>
      <c r="BN544" s="284"/>
      <c r="BO544" s="355"/>
      <c r="BQ544" s="359"/>
      <c r="BR544" s="284"/>
      <c r="BS544" s="355"/>
      <c r="BU544" s="359"/>
      <c r="BV544" s="284"/>
    </row>
    <row r="545" spans="2:74" x14ac:dyDescent="0.25">
      <c r="B545" s="284"/>
      <c r="D545" s="355"/>
      <c r="E545" s="356"/>
      <c r="F545" s="357"/>
      <c r="G545" s="358"/>
      <c r="H545" s="359"/>
      <c r="I545" s="284"/>
      <c r="J545" s="287"/>
      <c r="K545" s="355"/>
      <c r="M545" s="359"/>
      <c r="N545" s="284"/>
      <c r="O545" s="355"/>
      <c r="P545" s="360"/>
      <c r="Q545" s="359"/>
      <c r="R545" s="284"/>
      <c r="S545" s="355"/>
      <c r="U545" s="359"/>
      <c r="V545" s="284"/>
      <c r="W545" s="355"/>
      <c r="Y545" s="359"/>
      <c r="Z545" s="284"/>
      <c r="AA545" s="355"/>
      <c r="AC545" s="359"/>
      <c r="AD545" s="284"/>
      <c r="AE545" s="355"/>
      <c r="AG545" s="359"/>
      <c r="AH545" s="284"/>
      <c r="AI545" s="355"/>
      <c r="AK545" s="359"/>
      <c r="AL545" s="284"/>
      <c r="AM545" s="355"/>
      <c r="AO545" s="359"/>
      <c r="AP545" s="284"/>
      <c r="AQ545" s="355"/>
      <c r="AR545" s="360"/>
      <c r="AS545" s="359"/>
      <c r="AT545" s="284"/>
      <c r="AU545" s="355"/>
      <c r="AW545" s="359"/>
      <c r="AX545" s="284"/>
      <c r="AY545" s="355"/>
      <c r="BA545" s="359"/>
      <c r="BB545" s="284"/>
      <c r="BC545" s="355"/>
      <c r="BE545" s="359"/>
      <c r="BF545" s="284"/>
      <c r="BG545" s="355"/>
      <c r="BI545" s="359"/>
      <c r="BJ545" s="284"/>
      <c r="BK545" s="355"/>
      <c r="BM545" s="359"/>
      <c r="BN545" s="284"/>
      <c r="BO545" s="355"/>
      <c r="BQ545" s="359"/>
      <c r="BR545" s="284"/>
      <c r="BS545" s="355"/>
      <c r="BU545" s="359"/>
      <c r="BV545" s="284"/>
    </row>
    <row r="546" spans="2:74" x14ac:dyDescent="0.25">
      <c r="B546" s="284"/>
      <c r="D546" s="355"/>
      <c r="E546" s="356"/>
      <c r="F546" s="357"/>
      <c r="G546" s="358"/>
      <c r="H546" s="359"/>
      <c r="I546" s="284"/>
      <c r="J546" s="287"/>
      <c r="K546" s="355"/>
      <c r="M546" s="359"/>
      <c r="N546" s="284"/>
      <c r="O546" s="355"/>
      <c r="P546" s="360"/>
      <c r="Q546" s="359"/>
      <c r="R546" s="284"/>
      <c r="S546" s="355"/>
      <c r="U546" s="359"/>
      <c r="V546" s="284"/>
      <c r="W546" s="355"/>
      <c r="Y546" s="359"/>
      <c r="Z546" s="284"/>
      <c r="AA546" s="355"/>
      <c r="AC546" s="359"/>
      <c r="AD546" s="284"/>
      <c r="AE546" s="355"/>
      <c r="AG546" s="359"/>
      <c r="AH546" s="284"/>
      <c r="AI546" s="355"/>
      <c r="AK546" s="359"/>
      <c r="AL546" s="284"/>
      <c r="AM546" s="355"/>
      <c r="AO546" s="359"/>
      <c r="AP546" s="284"/>
      <c r="AQ546" s="355"/>
      <c r="AR546" s="360"/>
      <c r="AS546" s="359"/>
      <c r="AT546" s="284"/>
      <c r="AU546" s="355"/>
      <c r="AW546" s="359"/>
      <c r="AX546" s="284"/>
      <c r="AY546" s="355"/>
      <c r="BA546" s="359"/>
      <c r="BB546" s="284"/>
      <c r="BC546" s="355"/>
      <c r="BE546" s="359"/>
      <c r="BF546" s="284"/>
      <c r="BG546" s="355"/>
      <c r="BI546" s="359"/>
      <c r="BJ546" s="284"/>
      <c r="BK546" s="355"/>
      <c r="BM546" s="359"/>
      <c r="BN546" s="284"/>
      <c r="BO546" s="355"/>
      <c r="BQ546" s="359"/>
      <c r="BR546" s="284"/>
      <c r="BS546" s="355"/>
      <c r="BU546" s="359"/>
      <c r="BV546" s="284"/>
    </row>
    <row r="547" spans="2:74" x14ac:dyDescent="0.25">
      <c r="B547" s="284"/>
      <c r="D547" s="355"/>
      <c r="E547" s="356"/>
      <c r="F547" s="357"/>
      <c r="G547" s="358"/>
      <c r="H547" s="359"/>
      <c r="I547" s="284"/>
      <c r="J547" s="287"/>
      <c r="K547" s="355"/>
      <c r="M547" s="359"/>
      <c r="N547" s="284"/>
      <c r="O547" s="355"/>
      <c r="P547" s="360"/>
      <c r="Q547" s="359"/>
      <c r="R547" s="284"/>
      <c r="S547" s="355"/>
      <c r="U547" s="359"/>
      <c r="V547" s="284"/>
      <c r="W547" s="355"/>
      <c r="Y547" s="359"/>
      <c r="Z547" s="284"/>
      <c r="AA547" s="355"/>
      <c r="AC547" s="359"/>
      <c r="AD547" s="284"/>
      <c r="AE547" s="355"/>
      <c r="AG547" s="359"/>
      <c r="AH547" s="284"/>
      <c r="AI547" s="355"/>
      <c r="AK547" s="359"/>
      <c r="AL547" s="284"/>
      <c r="AM547" s="355"/>
      <c r="AO547" s="359"/>
      <c r="AP547" s="284"/>
      <c r="AQ547" s="355"/>
      <c r="AR547" s="360"/>
      <c r="AS547" s="359"/>
      <c r="AT547" s="284"/>
      <c r="AU547" s="355"/>
      <c r="AW547" s="359"/>
      <c r="AX547" s="284"/>
      <c r="AY547" s="355"/>
      <c r="BA547" s="359"/>
      <c r="BB547" s="284"/>
      <c r="BC547" s="355"/>
      <c r="BE547" s="359"/>
      <c r="BF547" s="284"/>
      <c r="BG547" s="355"/>
      <c r="BI547" s="359"/>
      <c r="BJ547" s="284"/>
      <c r="BK547" s="355"/>
      <c r="BM547" s="359"/>
      <c r="BN547" s="284"/>
      <c r="BO547" s="355"/>
      <c r="BQ547" s="359"/>
      <c r="BR547" s="284"/>
      <c r="BS547" s="355"/>
      <c r="BU547" s="359"/>
      <c r="BV547" s="284"/>
    </row>
    <row r="548" spans="2:74" x14ac:dyDescent="0.25">
      <c r="B548" s="284"/>
      <c r="D548" s="355"/>
      <c r="E548" s="356"/>
      <c r="F548" s="357"/>
      <c r="G548" s="358"/>
      <c r="H548" s="359"/>
      <c r="I548" s="284"/>
      <c r="J548" s="287"/>
      <c r="K548" s="355"/>
      <c r="M548" s="359"/>
      <c r="N548" s="284"/>
      <c r="O548" s="355"/>
      <c r="P548" s="360"/>
      <c r="Q548" s="359"/>
      <c r="R548" s="284"/>
      <c r="S548" s="355"/>
      <c r="U548" s="359"/>
      <c r="V548" s="284"/>
      <c r="W548" s="355"/>
      <c r="Y548" s="359"/>
      <c r="Z548" s="284"/>
      <c r="AA548" s="355"/>
      <c r="AC548" s="359"/>
      <c r="AD548" s="284"/>
      <c r="AE548" s="355"/>
      <c r="AG548" s="359"/>
      <c r="AH548" s="284"/>
      <c r="AI548" s="355"/>
      <c r="AK548" s="359"/>
      <c r="AL548" s="284"/>
      <c r="AM548" s="355"/>
      <c r="AO548" s="359"/>
      <c r="AP548" s="284"/>
      <c r="AQ548" s="355"/>
      <c r="AR548" s="360"/>
      <c r="AS548" s="359"/>
      <c r="AT548" s="284"/>
      <c r="AU548" s="355"/>
      <c r="AW548" s="359"/>
      <c r="AX548" s="284"/>
      <c r="AY548" s="355"/>
      <c r="BA548" s="359"/>
      <c r="BB548" s="284"/>
      <c r="BC548" s="355"/>
      <c r="BE548" s="359"/>
      <c r="BF548" s="284"/>
      <c r="BG548" s="355"/>
      <c r="BI548" s="359"/>
      <c r="BJ548" s="284"/>
      <c r="BK548" s="355"/>
      <c r="BM548" s="359"/>
      <c r="BN548" s="284"/>
      <c r="BO548" s="355"/>
      <c r="BQ548" s="359"/>
      <c r="BR548" s="284"/>
      <c r="BS548" s="355"/>
      <c r="BU548" s="359"/>
      <c r="BV548" s="284"/>
    </row>
    <row r="549" spans="2:74" x14ac:dyDescent="0.25">
      <c r="B549" s="284"/>
      <c r="D549" s="355"/>
      <c r="E549" s="356"/>
      <c r="F549" s="357"/>
      <c r="G549" s="358"/>
      <c r="H549" s="359"/>
      <c r="I549" s="284"/>
      <c r="J549" s="287"/>
      <c r="K549" s="355"/>
      <c r="M549" s="359"/>
      <c r="N549" s="284"/>
      <c r="O549" s="355"/>
      <c r="P549" s="360"/>
      <c r="Q549" s="359"/>
      <c r="R549" s="284"/>
      <c r="S549" s="355"/>
      <c r="U549" s="359"/>
      <c r="V549" s="284"/>
      <c r="W549" s="355"/>
      <c r="Y549" s="359"/>
      <c r="Z549" s="284"/>
      <c r="AA549" s="355"/>
      <c r="AC549" s="359"/>
      <c r="AD549" s="284"/>
      <c r="AE549" s="355"/>
      <c r="AG549" s="359"/>
      <c r="AH549" s="284"/>
      <c r="AI549" s="355"/>
      <c r="AK549" s="359"/>
      <c r="AL549" s="284"/>
      <c r="AM549" s="355"/>
      <c r="AO549" s="359"/>
      <c r="AP549" s="284"/>
      <c r="AQ549" s="355"/>
      <c r="AR549" s="360"/>
      <c r="AS549" s="359"/>
      <c r="AT549" s="284"/>
      <c r="AU549" s="355"/>
      <c r="AW549" s="359"/>
      <c r="AX549" s="284"/>
      <c r="AY549" s="355"/>
      <c r="BA549" s="359"/>
      <c r="BB549" s="284"/>
      <c r="BC549" s="355"/>
      <c r="BE549" s="359"/>
      <c r="BF549" s="284"/>
      <c r="BG549" s="355"/>
      <c r="BI549" s="359"/>
      <c r="BJ549" s="284"/>
      <c r="BK549" s="355"/>
      <c r="BM549" s="359"/>
      <c r="BN549" s="284"/>
      <c r="BO549" s="355"/>
      <c r="BQ549" s="359"/>
      <c r="BR549" s="284"/>
      <c r="BS549" s="355"/>
      <c r="BU549" s="359"/>
      <c r="BV549" s="284"/>
    </row>
    <row r="550" spans="2:74" x14ac:dyDescent="0.25">
      <c r="B550" s="284"/>
      <c r="D550" s="355"/>
      <c r="E550" s="356"/>
      <c r="F550" s="357"/>
      <c r="G550" s="358"/>
      <c r="H550" s="359"/>
      <c r="I550" s="284"/>
      <c r="J550" s="287"/>
      <c r="K550" s="355"/>
      <c r="M550" s="359"/>
      <c r="N550" s="284"/>
      <c r="O550" s="355"/>
      <c r="P550" s="360"/>
      <c r="Q550" s="359"/>
      <c r="R550" s="284"/>
      <c r="S550" s="355"/>
      <c r="U550" s="359"/>
      <c r="V550" s="284"/>
      <c r="W550" s="355"/>
      <c r="Y550" s="359"/>
      <c r="Z550" s="284"/>
      <c r="AA550" s="355"/>
      <c r="AC550" s="359"/>
      <c r="AD550" s="284"/>
      <c r="AE550" s="355"/>
      <c r="AG550" s="359"/>
      <c r="AH550" s="284"/>
      <c r="AI550" s="355"/>
      <c r="AK550" s="359"/>
      <c r="AL550" s="284"/>
      <c r="AM550" s="355"/>
      <c r="AO550" s="359"/>
      <c r="AP550" s="284"/>
      <c r="AQ550" s="355"/>
      <c r="AR550" s="360"/>
      <c r="AS550" s="359"/>
      <c r="AT550" s="284"/>
      <c r="AU550" s="355"/>
      <c r="AW550" s="359"/>
      <c r="AX550" s="284"/>
      <c r="AY550" s="355"/>
      <c r="BA550" s="359"/>
      <c r="BB550" s="284"/>
      <c r="BC550" s="355"/>
      <c r="BE550" s="359"/>
      <c r="BF550" s="284"/>
      <c r="BG550" s="355"/>
      <c r="BI550" s="359"/>
      <c r="BJ550" s="284"/>
      <c r="BK550" s="355"/>
      <c r="BM550" s="359"/>
      <c r="BN550" s="284"/>
      <c r="BO550" s="355"/>
      <c r="BQ550" s="359"/>
      <c r="BR550" s="284"/>
      <c r="BS550" s="355"/>
      <c r="BU550" s="359"/>
      <c r="BV550" s="284"/>
    </row>
    <row r="551" spans="2:74" x14ac:dyDescent="0.25">
      <c r="B551" s="284"/>
      <c r="D551" s="355"/>
      <c r="E551" s="356"/>
      <c r="F551" s="357"/>
      <c r="G551" s="358"/>
      <c r="H551" s="359"/>
      <c r="I551" s="284"/>
      <c r="J551" s="287"/>
      <c r="K551" s="355"/>
      <c r="M551" s="359"/>
      <c r="N551" s="284"/>
      <c r="O551" s="355"/>
      <c r="P551" s="360"/>
      <c r="Q551" s="359"/>
      <c r="R551" s="284"/>
      <c r="S551" s="355"/>
      <c r="U551" s="359"/>
      <c r="V551" s="284"/>
      <c r="W551" s="355"/>
      <c r="Y551" s="359"/>
      <c r="Z551" s="284"/>
      <c r="AA551" s="355"/>
      <c r="AC551" s="359"/>
      <c r="AD551" s="284"/>
      <c r="AE551" s="355"/>
      <c r="AG551" s="359"/>
      <c r="AH551" s="284"/>
      <c r="AI551" s="355"/>
      <c r="AK551" s="359"/>
      <c r="AL551" s="284"/>
      <c r="AM551" s="355"/>
      <c r="AO551" s="359"/>
      <c r="AP551" s="284"/>
      <c r="AQ551" s="355"/>
      <c r="AR551" s="360"/>
      <c r="AS551" s="359"/>
      <c r="AT551" s="284"/>
      <c r="AU551" s="355"/>
      <c r="AW551" s="359"/>
      <c r="AX551" s="284"/>
      <c r="AY551" s="355"/>
      <c r="BA551" s="359"/>
      <c r="BB551" s="284"/>
      <c r="BC551" s="355"/>
      <c r="BE551" s="359"/>
      <c r="BF551" s="284"/>
      <c r="BG551" s="355"/>
      <c r="BI551" s="359"/>
      <c r="BJ551" s="284"/>
      <c r="BK551" s="355"/>
      <c r="BM551" s="359"/>
      <c r="BN551" s="284"/>
      <c r="BO551" s="355"/>
      <c r="BQ551" s="359"/>
      <c r="BR551" s="284"/>
      <c r="BS551" s="355"/>
      <c r="BU551" s="359"/>
      <c r="BV551" s="284"/>
    </row>
    <row r="552" spans="2:74" x14ac:dyDescent="0.25">
      <c r="B552" s="284"/>
      <c r="D552" s="355"/>
      <c r="E552" s="356"/>
      <c r="F552" s="357"/>
      <c r="G552" s="358"/>
      <c r="H552" s="359"/>
      <c r="I552" s="284"/>
      <c r="J552" s="287"/>
      <c r="K552" s="355"/>
      <c r="M552" s="359"/>
      <c r="N552" s="284"/>
      <c r="O552" s="355"/>
      <c r="P552" s="360"/>
      <c r="Q552" s="359"/>
      <c r="R552" s="284"/>
      <c r="S552" s="355"/>
      <c r="U552" s="359"/>
      <c r="V552" s="284"/>
      <c r="W552" s="355"/>
      <c r="Y552" s="359"/>
      <c r="Z552" s="284"/>
      <c r="AA552" s="355"/>
      <c r="AC552" s="359"/>
      <c r="AD552" s="284"/>
      <c r="AE552" s="355"/>
      <c r="AG552" s="359"/>
      <c r="AH552" s="284"/>
      <c r="AI552" s="355"/>
      <c r="AK552" s="359"/>
      <c r="AL552" s="284"/>
      <c r="AM552" s="355"/>
      <c r="AO552" s="359"/>
      <c r="AP552" s="284"/>
      <c r="AQ552" s="355"/>
      <c r="AR552" s="360"/>
      <c r="AS552" s="359"/>
      <c r="AT552" s="284"/>
      <c r="AU552" s="355"/>
      <c r="AW552" s="359"/>
      <c r="AX552" s="284"/>
      <c r="AY552" s="355"/>
      <c r="BA552" s="359"/>
      <c r="BB552" s="284"/>
      <c r="BC552" s="355"/>
      <c r="BE552" s="359"/>
      <c r="BF552" s="284"/>
      <c r="BG552" s="355"/>
      <c r="BI552" s="359"/>
      <c r="BJ552" s="284"/>
      <c r="BK552" s="355"/>
      <c r="BM552" s="359"/>
      <c r="BN552" s="284"/>
      <c r="BO552" s="355"/>
      <c r="BQ552" s="359"/>
      <c r="BR552" s="284"/>
      <c r="BS552" s="355"/>
      <c r="BU552" s="359"/>
      <c r="BV552" s="284"/>
    </row>
    <row r="553" spans="2:74" x14ac:dyDescent="0.25">
      <c r="B553" s="284"/>
      <c r="D553" s="355"/>
      <c r="E553" s="356"/>
      <c r="F553" s="357"/>
      <c r="G553" s="358"/>
      <c r="H553" s="359"/>
      <c r="I553" s="284"/>
      <c r="J553" s="287"/>
      <c r="K553" s="355"/>
      <c r="M553" s="359"/>
      <c r="N553" s="284"/>
      <c r="O553" s="355"/>
      <c r="P553" s="360"/>
      <c r="Q553" s="359"/>
      <c r="R553" s="284"/>
      <c r="S553" s="355"/>
      <c r="U553" s="359"/>
      <c r="V553" s="284"/>
      <c r="W553" s="355"/>
      <c r="Y553" s="359"/>
      <c r="Z553" s="284"/>
      <c r="AA553" s="355"/>
      <c r="AC553" s="359"/>
      <c r="AD553" s="284"/>
      <c r="AE553" s="355"/>
      <c r="AG553" s="359"/>
      <c r="AH553" s="284"/>
      <c r="AI553" s="355"/>
      <c r="AK553" s="359"/>
      <c r="AL553" s="284"/>
      <c r="AM553" s="355"/>
      <c r="AO553" s="359"/>
      <c r="AP553" s="284"/>
      <c r="AQ553" s="355"/>
      <c r="AR553" s="360"/>
      <c r="AS553" s="359"/>
      <c r="AT553" s="284"/>
      <c r="AU553" s="355"/>
      <c r="AW553" s="359"/>
      <c r="AX553" s="284"/>
      <c r="AY553" s="355"/>
      <c r="BA553" s="359"/>
      <c r="BB553" s="284"/>
      <c r="BC553" s="355"/>
      <c r="BE553" s="359"/>
      <c r="BF553" s="284"/>
      <c r="BG553" s="355"/>
      <c r="BI553" s="359"/>
      <c r="BJ553" s="284"/>
      <c r="BK553" s="355"/>
      <c r="BM553" s="359"/>
      <c r="BN553" s="284"/>
      <c r="BO553" s="355"/>
      <c r="BQ553" s="359"/>
      <c r="BR553" s="284"/>
      <c r="BS553" s="355"/>
      <c r="BU553" s="359"/>
      <c r="BV553" s="284"/>
    </row>
    <row r="554" spans="2:74" x14ac:dyDescent="0.25">
      <c r="B554" s="284"/>
      <c r="D554" s="355"/>
      <c r="E554" s="356"/>
      <c r="F554" s="357"/>
      <c r="G554" s="358"/>
      <c r="H554" s="359"/>
      <c r="I554" s="284"/>
      <c r="J554" s="287"/>
      <c r="K554" s="355"/>
      <c r="M554" s="359"/>
      <c r="N554" s="284"/>
      <c r="O554" s="355"/>
      <c r="P554" s="360"/>
      <c r="Q554" s="359"/>
      <c r="R554" s="284"/>
      <c r="S554" s="355"/>
      <c r="U554" s="359"/>
      <c r="V554" s="284"/>
      <c r="W554" s="355"/>
      <c r="Y554" s="359"/>
      <c r="Z554" s="284"/>
      <c r="AA554" s="355"/>
      <c r="AC554" s="359"/>
      <c r="AD554" s="284"/>
      <c r="AE554" s="355"/>
      <c r="AG554" s="359"/>
      <c r="AH554" s="284"/>
      <c r="AI554" s="355"/>
      <c r="AK554" s="359"/>
      <c r="AL554" s="284"/>
      <c r="AM554" s="355"/>
      <c r="AO554" s="359"/>
      <c r="AP554" s="284"/>
      <c r="AQ554" s="355"/>
      <c r="AR554" s="360"/>
      <c r="AS554" s="359"/>
      <c r="AT554" s="284"/>
      <c r="AU554" s="355"/>
      <c r="AW554" s="359"/>
      <c r="AX554" s="284"/>
      <c r="AY554" s="355"/>
      <c r="BA554" s="359"/>
      <c r="BB554" s="284"/>
      <c r="BC554" s="355"/>
      <c r="BE554" s="359"/>
      <c r="BF554" s="284"/>
      <c r="BG554" s="355"/>
      <c r="BI554" s="359"/>
      <c r="BJ554" s="284"/>
      <c r="BK554" s="355"/>
      <c r="BM554" s="359"/>
      <c r="BN554" s="284"/>
      <c r="BO554" s="355"/>
      <c r="BQ554" s="359"/>
      <c r="BR554" s="284"/>
      <c r="BS554" s="355"/>
      <c r="BU554" s="359"/>
      <c r="BV554" s="284"/>
    </row>
    <row r="555" spans="2:74" x14ac:dyDescent="0.25">
      <c r="B555" s="284"/>
      <c r="D555" s="355"/>
      <c r="E555" s="356"/>
      <c r="F555" s="357"/>
      <c r="G555" s="358"/>
      <c r="H555" s="359"/>
      <c r="I555" s="284"/>
      <c r="J555" s="287"/>
      <c r="K555" s="355"/>
      <c r="M555" s="359"/>
      <c r="N555" s="284"/>
      <c r="O555" s="355"/>
      <c r="P555" s="360"/>
      <c r="Q555" s="359"/>
      <c r="R555" s="284"/>
      <c r="S555" s="355"/>
      <c r="U555" s="359"/>
      <c r="V555" s="284"/>
      <c r="W555" s="355"/>
      <c r="Y555" s="359"/>
      <c r="Z555" s="284"/>
      <c r="AA555" s="355"/>
      <c r="AC555" s="359"/>
      <c r="AD555" s="284"/>
      <c r="AE555" s="355"/>
      <c r="AG555" s="359"/>
      <c r="AH555" s="284"/>
      <c r="AI555" s="355"/>
      <c r="AK555" s="359"/>
      <c r="AL555" s="284"/>
      <c r="AM555" s="355"/>
      <c r="AO555" s="359"/>
      <c r="AP555" s="284"/>
      <c r="AQ555" s="355"/>
      <c r="AR555" s="360"/>
      <c r="AS555" s="359"/>
      <c r="AT555" s="284"/>
      <c r="AU555" s="355"/>
      <c r="AW555" s="359"/>
      <c r="AX555" s="284"/>
      <c r="AY555" s="355"/>
      <c r="BA555" s="359"/>
      <c r="BB555" s="284"/>
      <c r="BC555" s="355"/>
      <c r="BE555" s="359"/>
      <c r="BF555" s="284"/>
      <c r="BG555" s="355"/>
      <c r="BI555" s="359"/>
      <c r="BJ555" s="284"/>
      <c r="BK555" s="355"/>
      <c r="BM555" s="359"/>
      <c r="BN555" s="284"/>
      <c r="BO555" s="355"/>
      <c r="BQ555" s="359"/>
      <c r="BR555" s="284"/>
      <c r="BS555" s="355"/>
      <c r="BU555" s="359"/>
      <c r="BV555" s="284"/>
    </row>
    <row r="556" spans="2:74" x14ac:dyDescent="0.25">
      <c r="B556" s="284"/>
      <c r="D556" s="355"/>
      <c r="E556" s="356"/>
      <c r="F556" s="357"/>
      <c r="G556" s="358"/>
      <c r="H556" s="359"/>
      <c r="I556" s="284"/>
      <c r="J556" s="287"/>
      <c r="K556" s="355"/>
      <c r="M556" s="359"/>
      <c r="N556" s="284"/>
      <c r="O556" s="355"/>
      <c r="P556" s="360"/>
      <c r="Q556" s="359"/>
      <c r="R556" s="284"/>
      <c r="S556" s="355"/>
      <c r="U556" s="359"/>
      <c r="V556" s="284"/>
      <c r="W556" s="355"/>
      <c r="Y556" s="359"/>
      <c r="Z556" s="284"/>
      <c r="AA556" s="355"/>
      <c r="AC556" s="359"/>
      <c r="AD556" s="284"/>
      <c r="AE556" s="355"/>
      <c r="AG556" s="359"/>
      <c r="AH556" s="284"/>
      <c r="AI556" s="355"/>
      <c r="AK556" s="359"/>
      <c r="AL556" s="284"/>
      <c r="AM556" s="355"/>
      <c r="AO556" s="359"/>
      <c r="AP556" s="284"/>
      <c r="AQ556" s="355"/>
      <c r="AR556" s="360"/>
      <c r="AS556" s="359"/>
      <c r="AT556" s="284"/>
      <c r="AU556" s="355"/>
      <c r="AW556" s="359"/>
      <c r="AX556" s="284"/>
      <c r="AY556" s="355"/>
      <c r="BA556" s="359"/>
      <c r="BB556" s="284"/>
      <c r="BC556" s="355"/>
      <c r="BE556" s="359"/>
      <c r="BF556" s="284"/>
      <c r="BG556" s="355"/>
      <c r="BI556" s="359"/>
      <c r="BJ556" s="284"/>
      <c r="BK556" s="355"/>
      <c r="BM556" s="359"/>
      <c r="BN556" s="284"/>
      <c r="BO556" s="355"/>
      <c r="BQ556" s="359"/>
      <c r="BR556" s="284"/>
      <c r="BS556" s="355"/>
      <c r="BU556" s="359"/>
      <c r="BV556" s="284"/>
    </row>
    <row r="557" spans="2:74" x14ac:dyDescent="0.25">
      <c r="B557" s="284"/>
      <c r="D557" s="355"/>
      <c r="E557" s="356"/>
      <c r="F557" s="357"/>
      <c r="G557" s="358"/>
      <c r="H557" s="359"/>
      <c r="I557" s="284"/>
      <c r="J557" s="287"/>
      <c r="K557" s="355"/>
      <c r="M557" s="359"/>
      <c r="N557" s="284"/>
      <c r="O557" s="355"/>
      <c r="P557" s="360"/>
      <c r="Q557" s="359"/>
      <c r="R557" s="284"/>
      <c r="S557" s="355"/>
      <c r="U557" s="359"/>
      <c r="V557" s="284"/>
      <c r="W557" s="355"/>
      <c r="Y557" s="359"/>
      <c r="Z557" s="284"/>
      <c r="AA557" s="355"/>
      <c r="AC557" s="359"/>
      <c r="AD557" s="284"/>
      <c r="AE557" s="355"/>
      <c r="AG557" s="359"/>
      <c r="AH557" s="284"/>
      <c r="AI557" s="355"/>
      <c r="AK557" s="359"/>
      <c r="AL557" s="284"/>
      <c r="AM557" s="355"/>
      <c r="AO557" s="359"/>
      <c r="AP557" s="284"/>
      <c r="AQ557" s="355"/>
      <c r="AR557" s="360"/>
      <c r="AS557" s="359"/>
      <c r="AT557" s="284"/>
      <c r="AU557" s="355"/>
      <c r="AW557" s="359"/>
      <c r="AX557" s="284"/>
      <c r="AY557" s="355"/>
      <c r="BA557" s="359"/>
      <c r="BB557" s="284"/>
      <c r="BC557" s="355"/>
      <c r="BE557" s="359"/>
      <c r="BF557" s="284"/>
      <c r="BG557" s="355"/>
      <c r="BI557" s="359"/>
      <c r="BJ557" s="284"/>
      <c r="BK557" s="355"/>
      <c r="BM557" s="359"/>
      <c r="BN557" s="284"/>
      <c r="BO557" s="355"/>
      <c r="BQ557" s="359"/>
      <c r="BR557" s="284"/>
      <c r="BS557" s="355"/>
      <c r="BU557" s="359"/>
      <c r="BV557" s="284"/>
    </row>
    <row r="558" spans="2:74" x14ac:dyDescent="0.25">
      <c r="B558" s="284"/>
      <c r="D558" s="355"/>
      <c r="E558" s="356"/>
      <c r="F558" s="357"/>
      <c r="G558" s="358"/>
      <c r="H558" s="359"/>
      <c r="I558" s="284"/>
      <c r="J558" s="287"/>
      <c r="K558" s="355"/>
      <c r="M558" s="359"/>
      <c r="N558" s="284"/>
      <c r="O558" s="355"/>
      <c r="P558" s="360"/>
      <c r="Q558" s="359"/>
      <c r="R558" s="284"/>
      <c r="S558" s="355"/>
      <c r="U558" s="359"/>
      <c r="V558" s="284"/>
      <c r="W558" s="355"/>
      <c r="Y558" s="359"/>
      <c r="Z558" s="284"/>
      <c r="AA558" s="355"/>
      <c r="AC558" s="359"/>
      <c r="AD558" s="284"/>
      <c r="AE558" s="355"/>
      <c r="AG558" s="359"/>
      <c r="AH558" s="284"/>
      <c r="AI558" s="355"/>
      <c r="AK558" s="359"/>
      <c r="AL558" s="284"/>
      <c r="AM558" s="355"/>
      <c r="AO558" s="359"/>
      <c r="AP558" s="284"/>
      <c r="AQ558" s="355"/>
      <c r="AR558" s="360"/>
      <c r="AS558" s="359"/>
      <c r="AT558" s="284"/>
      <c r="AU558" s="355"/>
      <c r="AW558" s="359"/>
      <c r="AX558" s="284"/>
      <c r="AY558" s="355"/>
      <c r="BA558" s="359"/>
      <c r="BB558" s="284"/>
      <c r="BC558" s="355"/>
      <c r="BE558" s="359"/>
      <c r="BF558" s="284"/>
      <c r="BG558" s="355"/>
      <c r="BI558" s="359"/>
      <c r="BJ558" s="284"/>
      <c r="BK558" s="355"/>
      <c r="BM558" s="359"/>
      <c r="BN558" s="284"/>
      <c r="BO558" s="355"/>
      <c r="BQ558" s="359"/>
      <c r="BR558" s="284"/>
      <c r="BS558" s="355"/>
      <c r="BU558" s="359"/>
      <c r="BV558" s="284"/>
    </row>
    <row r="559" spans="2:74" x14ac:dyDescent="0.25">
      <c r="B559" s="284"/>
      <c r="D559" s="355"/>
      <c r="E559" s="356"/>
      <c r="F559" s="357"/>
      <c r="G559" s="358"/>
      <c r="H559" s="359"/>
      <c r="I559" s="284"/>
      <c r="J559" s="287"/>
      <c r="K559" s="355"/>
      <c r="M559" s="359"/>
      <c r="N559" s="284"/>
      <c r="O559" s="355"/>
      <c r="P559" s="360"/>
      <c r="Q559" s="359"/>
      <c r="R559" s="284"/>
      <c r="S559" s="355"/>
      <c r="U559" s="359"/>
      <c r="V559" s="284"/>
      <c r="W559" s="355"/>
      <c r="Y559" s="359"/>
      <c r="Z559" s="284"/>
      <c r="AA559" s="355"/>
      <c r="AC559" s="359"/>
      <c r="AD559" s="284"/>
      <c r="AE559" s="355"/>
      <c r="AG559" s="359"/>
      <c r="AH559" s="284"/>
      <c r="AI559" s="355"/>
      <c r="AK559" s="359"/>
      <c r="AL559" s="284"/>
      <c r="AM559" s="355"/>
      <c r="AO559" s="359"/>
      <c r="AP559" s="284"/>
      <c r="AQ559" s="355"/>
      <c r="AR559" s="360"/>
      <c r="AS559" s="359"/>
      <c r="AT559" s="284"/>
      <c r="AU559" s="355"/>
      <c r="AW559" s="359"/>
      <c r="AX559" s="284"/>
      <c r="AY559" s="355"/>
      <c r="BA559" s="359"/>
      <c r="BB559" s="284"/>
      <c r="BC559" s="355"/>
      <c r="BE559" s="359"/>
      <c r="BF559" s="284"/>
      <c r="BG559" s="355"/>
      <c r="BI559" s="359"/>
      <c r="BJ559" s="284"/>
      <c r="BK559" s="355"/>
      <c r="BM559" s="359"/>
      <c r="BN559" s="284"/>
      <c r="BO559" s="355"/>
      <c r="BQ559" s="359"/>
      <c r="BR559" s="284"/>
      <c r="BS559" s="355"/>
      <c r="BU559" s="359"/>
      <c r="BV559" s="284"/>
    </row>
    <row r="560" spans="2:74" x14ac:dyDescent="0.25">
      <c r="B560" s="284"/>
      <c r="D560" s="355"/>
      <c r="E560" s="356"/>
      <c r="F560" s="357"/>
      <c r="G560" s="358"/>
      <c r="H560" s="359"/>
      <c r="I560" s="284"/>
      <c r="J560" s="287"/>
      <c r="K560" s="355"/>
      <c r="M560" s="359"/>
      <c r="N560" s="284"/>
      <c r="O560" s="355"/>
      <c r="P560" s="360"/>
      <c r="Q560" s="359"/>
      <c r="R560" s="284"/>
      <c r="S560" s="355"/>
      <c r="U560" s="359"/>
      <c r="V560" s="284"/>
      <c r="W560" s="355"/>
      <c r="Y560" s="359"/>
      <c r="Z560" s="284"/>
      <c r="AA560" s="355"/>
      <c r="AC560" s="359"/>
      <c r="AD560" s="284"/>
      <c r="AE560" s="355"/>
      <c r="AG560" s="359"/>
      <c r="AH560" s="284"/>
      <c r="AI560" s="355"/>
      <c r="AK560" s="359"/>
      <c r="AL560" s="284"/>
      <c r="AM560" s="355"/>
      <c r="AO560" s="359"/>
      <c r="AP560" s="284"/>
      <c r="AQ560" s="355"/>
      <c r="AR560" s="360"/>
      <c r="AS560" s="359"/>
      <c r="AT560" s="284"/>
      <c r="AU560" s="355"/>
      <c r="AW560" s="359"/>
      <c r="AX560" s="284"/>
      <c r="AY560" s="355"/>
      <c r="BA560" s="359"/>
      <c r="BB560" s="284"/>
      <c r="BC560" s="355"/>
      <c r="BE560" s="359"/>
      <c r="BF560" s="284"/>
      <c r="BG560" s="355"/>
      <c r="BI560" s="359"/>
      <c r="BJ560" s="284"/>
      <c r="BK560" s="355"/>
      <c r="BM560" s="359"/>
      <c r="BN560" s="284"/>
      <c r="BO560" s="355"/>
      <c r="BQ560" s="359"/>
      <c r="BR560" s="284"/>
      <c r="BS560" s="355"/>
      <c r="BU560" s="359"/>
      <c r="BV560" s="284"/>
    </row>
    <row r="561" spans="2:74" x14ac:dyDescent="0.25">
      <c r="B561" s="284"/>
      <c r="D561" s="355"/>
      <c r="E561" s="356"/>
      <c r="F561" s="357"/>
      <c r="G561" s="358"/>
      <c r="H561" s="359"/>
      <c r="I561" s="284"/>
      <c r="J561" s="287"/>
      <c r="K561" s="355"/>
      <c r="M561" s="359"/>
      <c r="N561" s="284"/>
      <c r="O561" s="355"/>
      <c r="P561" s="360"/>
      <c r="Q561" s="359"/>
      <c r="R561" s="284"/>
      <c r="S561" s="355"/>
      <c r="U561" s="359"/>
      <c r="V561" s="284"/>
      <c r="W561" s="355"/>
      <c r="Y561" s="359"/>
      <c r="Z561" s="284"/>
      <c r="AA561" s="355"/>
      <c r="AC561" s="359"/>
      <c r="AD561" s="284"/>
      <c r="AE561" s="355"/>
      <c r="AG561" s="359"/>
      <c r="AH561" s="284"/>
      <c r="AI561" s="355"/>
      <c r="AK561" s="359"/>
      <c r="AL561" s="284"/>
      <c r="AM561" s="355"/>
      <c r="AO561" s="359"/>
      <c r="AP561" s="284"/>
      <c r="AQ561" s="355"/>
      <c r="AR561" s="360"/>
      <c r="AS561" s="359"/>
      <c r="AT561" s="284"/>
      <c r="AU561" s="355"/>
      <c r="AW561" s="359"/>
      <c r="AX561" s="284"/>
      <c r="AY561" s="355"/>
      <c r="BA561" s="359"/>
      <c r="BB561" s="284"/>
      <c r="BC561" s="355"/>
      <c r="BE561" s="359"/>
      <c r="BF561" s="284"/>
      <c r="BG561" s="355"/>
      <c r="BI561" s="359"/>
      <c r="BJ561" s="284"/>
      <c r="BK561" s="355"/>
      <c r="BM561" s="359"/>
      <c r="BN561" s="284"/>
      <c r="BO561" s="355"/>
      <c r="BQ561" s="359"/>
      <c r="BR561" s="284"/>
      <c r="BS561" s="355"/>
      <c r="BU561" s="359"/>
      <c r="BV561" s="284"/>
    </row>
    <row r="562" spans="2:74" x14ac:dyDescent="0.25">
      <c r="B562" s="284"/>
      <c r="D562" s="355"/>
      <c r="E562" s="356"/>
      <c r="F562" s="357"/>
      <c r="G562" s="358"/>
      <c r="H562" s="359"/>
      <c r="I562" s="284"/>
      <c r="J562" s="287"/>
      <c r="K562" s="355"/>
      <c r="M562" s="359"/>
      <c r="N562" s="284"/>
      <c r="O562" s="355"/>
      <c r="P562" s="360"/>
      <c r="Q562" s="359"/>
      <c r="R562" s="284"/>
      <c r="S562" s="355"/>
      <c r="U562" s="359"/>
      <c r="V562" s="284"/>
      <c r="W562" s="355"/>
      <c r="Y562" s="359"/>
      <c r="Z562" s="284"/>
      <c r="AA562" s="355"/>
      <c r="AC562" s="359"/>
      <c r="AD562" s="284"/>
      <c r="AE562" s="355"/>
      <c r="AG562" s="359"/>
      <c r="AH562" s="284"/>
      <c r="AI562" s="355"/>
      <c r="AK562" s="359"/>
      <c r="AL562" s="284"/>
      <c r="AM562" s="355"/>
      <c r="AO562" s="359"/>
      <c r="AP562" s="284"/>
      <c r="AQ562" s="355"/>
      <c r="AR562" s="360"/>
      <c r="AS562" s="359"/>
      <c r="AT562" s="284"/>
      <c r="AU562" s="355"/>
      <c r="AW562" s="359"/>
      <c r="AX562" s="284"/>
      <c r="AY562" s="355"/>
      <c r="BA562" s="359"/>
      <c r="BB562" s="284"/>
      <c r="BC562" s="355"/>
      <c r="BE562" s="359"/>
      <c r="BF562" s="284"/>
      <c r="BG562" s="355"/>
      <c r="BI562" s="359"/>
      <c r="BJ562" s="284"/>
      <c r="BK562" s="355"/>
      <c r="BM562" s="359"/>
      <c r="BN562" s="284"/>
      <c r="BO562" s="355"/>
      <c r="BQ562" s="359"/>
      <c r="BR562" s="284"/>
      <c r="BS562" s="355"/>
      <c r="BU562" s="359"/>
      <c r="BV562" s="284"/>
    </row>
    <row r="563" spans="2:74" x14ac:dyDescent="0.25">
      <c r="B563" s="284"/>
      <c r="D563" s="355"/>
      <c r="E563" s="356"/>
      <c r="F563" s="357"/>
      <c r="G563" s="358"/>
      <c r="H563" s="359"/>
      <c r="I563" s="284"/>
      <c r="J563" s="287"/>
      <c r="K563" s="355"/>
      <c r="M563" s="359"/>
      <c r="N563" s="284"/>
      <c r="O563" s="355"/>
      <c r="P563" s="360"/>
      <c r="Q563" s="359"/>
      <c r="R563" s="284"/>
      <c r="S563" s="355"/>
      <c r="U563" s="359"/>
      <c r="V563" s="284"/>
      <c r="W563" s="355"/>
      <c r="Y563" s="359"/>
      <c r="Z563" s="284"/>
      <c r="AA563" s="355"/>
      <c r="AC563" s="359"/>
      <c r="AD563" s="284"/>
      <c r="AE563" s="355"/>
      <c r="AG563" s="359"/>
      <c r="AH563" s="284"/>
      <c r="AI563" s="355"/>
      <c r="AK563" s="359"/>
      <c r="AL563" s="284"/>
      <c r="AM563" s="355"/>
      <c r="AO563" s="359"/>
      <c r="AP563" s="284"/>
      <c r="AQ563" s="355"/>
      <c r="AR563" s="360"/>
      <c r="AS563" s="359"/>
      <c r="AT563" s="284"/>
      <c r="AU563" s="355"/>
      <c r="AW563" s="359"/>
      <c r="AX563" s="284"/>
      <c r="AY563" s="355"/>
      <c r="BA563" s="359"/>
      <c r="BB563" s="284"/>
      <c r="BC563" s="355"/>
      <c r="BE563" s="359"/>
      <c r="BF563" s="284"/>
      <c r="BG563" s="355"/>
      <c r="BI563" s="359"/>
      <c r="BJ563" s="284"/>
      <c r="BK563" s="355"/>
      <c r="BM563" s="359"/>
      <c r="BN563" s="284"/>
      <c r="BO563" s="355"/>
      <c r="BQ563" s="359"/>
      <c r="BR563" s="284"/>
      <c r="BS563" s="355"/>
      <c r="BU563" s="359"/>
      <c r="BV563" s="284"/>
    </row>
    <row r="564" spans="2:74" x14ac:dyDescent="0.25">
      <c r="B564" s="284"/>
      <c r="D564" s="355"/>
      <c r="E564" s="356"/>
      <c r="F564" s="357"/>
      <c r="G564" s="358"/>
      <c r="H564" s="359"/>
      <c r="I564" s="284"/>
      <c r="J564" s="287"/>
      <c r="K564" s="355"/>
      <c r="M564" s="359"/>
      <c r="N564" s="284"/>
      <c r="O564" s="355"/>
      <c r="P564" s="360"/>
      <c r="Q564" s="359"/>
      <c r="R564" s="284"/>
      <c r="S564" s="355"/>
      <c r="U564" s="359"/>
      <c r="V564" s="284"/>
      <c r="W564" s="355"/>
      <c r="Y564" s="359"/>
      <c r="Z564" s="284"/>
      <c r="AA564" s="355"/>
      <c r="AC564" s="359"/>
      <c r="AD564" s="284"/>
      <c r="AE564" s="355"/>
      <c r="AG564" s="359"/>
      <c r="AH564" s="284"/>
      <c r="AI564" s="355"/>
      <c r="AK564" s="359"/>
      <c r="AL564" s="284"/>
      <c r="AM564" s="355"/>
      <c r="AO564" s="359"/>
      <c r="AP564" s="284"/>
      <c r="AQ564" s="355"/>
      <c r="AR564" s="360"/>
      <c r="AS564" s="359"/>
      <c r="AT564" s="284"/>
      <c r="AU564" s="355"/>
      <c r="AW564" s="359"/>
      <c r="AX564" s="284"/>
      <c r="AY564" s="355"/>
      <c r="BA564" s="359"/>
      <c r="BB564" s="284"/>
      <c r="BC564" s="355"/>
      <c r="BE564" s="359"/>
      <c r="BF564" s="284"/>
      <c r="BG564" s="355"/>
      <c r="BI564" s="359"/>
      <c r="BJ564" s="284"/>
      <c r="BK564" s="355"/>
      <c r="BM564" s="359"/>
      <c r="BN564" s="284"/>
      <c r="BO564" s="355"/>
      <c r="BQ564" s="359"/>
      <c r="BR564" s="284"/>
      <c r="BS564" s="355"/>
      <c r="BU564" s="359"/>
      <c r="BV564" s="284"/>
    </row>
    <row r="565" spans="2:74" x14ac:dyDescent="0.25">
      <c r="B565" s="284"/>
      <c r="D565" s="355"/>
      <c r="E565" s="356"/>
      <c r="F565" s="357"/>
      <c r="G565" s="358"/>
      <c r="H565" s="359"/>
      <c r="I565" s="284"/>
      <c r="J565" s="287"/>
      <c r="K565" s="355"/>
      <c r="M565" s="359"/>
      <c r="N565" s="284"/>
      <c r="O565" s="355"/>
      <c r="P565" s="360"/>
      <c r="Q565" s="359"/>
      <c r="R565" s="284"/>
      <c r="S565" s="355"/>
      <c r="U565" s="359"/>
      <c r="V565" s="284"/>
      <c r="W565" s="355"/>
      <c r="Y565" s="359"/>
      <c r="Z565" s="284"/>
      <c r="AA565" s="355"/>
      <c r="AC565" s="359"/>
      <c r="AD565" s="284"/>
      <c r="AE565" s="355"/>
      <c r="AG565" s="359"/>
      <c r="AH565" s="284"/>
      <c r="AI565" s="355"/>
      <c r="AK565" s="359"/>
      <c r="AL565" s="284"/>
      <c r="AM565" s="355"/>
      <c r="AO565" s="359"/>
      <c r="AP565" s="284"/>
      <c r="AQ565" s="355"/>
      <c r="AR565" s="360"/>
      <c r="AS565" s="359"/>
      <c r="AT565" s="284"/>
      <c r="AU565" s="355"/>
      <c r="AW565" s="359"/>
      <c r="AX565" s="284"/>
      <c r="AY565" s="355"/>
      <c r="BA565" s="359"/>
      <c r="BB565" s="284"/>
      <c r="BC565" s="355"/>
      <c r="BE565" s="359"/>
      <c r="BF565" s="284"/>
      <c r="BG565" s="355"/>
      <c r="BI565" s="359"/>
      <c r="BJ565" s="284"/>
      <c r="BK565" s="355"/>
      <c r="BM565" s="359"/>
      <c r="BN565" s="284"/>
      <c r="BO565" s="355"/>
      <c r="BQ565" s="359"/>
      <c r="BR565" s="284"/>
      <c r="BS565" s="355"/>
      <c r="BU565" s="359"/>
      <c r="BV565" s="284"/>
    </row>
    <row r="566" spans="2:74" x14ac:dyDescent="0.25">
      <c r="B566" s="284"/>
      <c r="D566" s="355"/>
      <c r="E566" s="356"/>
      <c r="F566" s="357"/>
      <c r="G566" s="358"/>
      <c r="H566" s="359"/>
      <c r="I566" s="284"/>
      <c r="J566" s="287"/>
      <c r="K566" s="355"/>
      <c r="M566" s="359"/>
      <c r="N566" s="284"/>
      <c r="O566" s="355"/>
      <c r="P566" s="360"/>
      <c r="Q566" s="359"/>
      <c r="R566" s="284"/>
      <c r="S566" s="355"/>
      <c r="U566" s="359"/>
      <c r="V566" s="284"/>
      <c r="W566" s="355"/>
      <c r="Y566" s="359"/>
      <c r="Z566" s="284"/>
      <c r="AA566" s="355"/>
      <c r="AC566" s="359"/>
      <c r="AD566" s="284"/>
      <c r="AE566" s="355"/>
      <c r="AG566" s="359"/>
      <c r="AH566" s="284"/>
      <c r="AI566" s="355"/>
      <c r="AK566" s="359"/>
      <c r="AL566" s="284"/>
      <c r="AM566" s="355"/>
      <c r="AO566" s="359"/>
      <c r="AP566" s="284"/>
      <c r="AQ566" s="355"/>
      <c r="AR566" s="360"/>
      <c r="AS566" s="359"/>
      <c r="AT566" s="284"/>
      <c r="AU566" s="355"/>
      <c r="AW566" s="359"/>
      <c r="AX566" s="284"/>
      <c r="AY566" s="355"/>
      <c r="BA566" s="359"/>
      <c r="BB566" s="284"/>
      <c r="BC566" s="355"/>
      <c r="BE566" s="359"/>
      <c r="BF566" s="284"/>
      <c r="BG566" s="355"/>
      <c r="BI566" s="359"/>
      <c r="BJ566" s="284"/>
      <c r="BK566" s="355"/>
      <c r="BM566" s="359"/>
      <c r="BN566" s="284"/>
      <c r="BO566" s="355"/>
      <c r="BQ566" s="359"/>
      <c r="BR566" s="284"/>
      <c r="BS566" s="355"/>
      <c r="BU566" s="359"/>
      <c r="BV566" s="284"/>
    </row>
    <row r="567" spans="2:74" x14ac:dyDescent="0.25">
      <c r="B567" s="284"/>
      <c r="D567" s="355"/>
      <c r="E567" s="356"/>
      <c r="F567" s="357"/>
      <c r="G567" s="358"/>
      <c r="H567" s="359"/>
      <c r="I567" s="284"/>
      <c r="J567" s="287"/>
      <c r="K567" s="355"/>
      <c r="M567" s="359"/>
      <c r="N567" s="284"/>
      <c r="O567" s="355"/>
      <c r="P567" s="360"/>
      <c r="Q567" s="359"/>
      <c r="R567" s="284"/>
      <c r="S567" s="355"/>
      <c r="U567" s="359"/>
      <c r="V567" s="284"/>
      <c r="W567" s="355"/>
      <c r="Y567" s="359"/>
      <c r="Z567" s="284"/>
      <c r="AA567" s="355"/>
      <c r="AC567" s="359"/>
      <c r="AD567" s="284"/>
      <c r="AE567" s="355"/>
      <c r="AG567" s="359"/>
      <c r="AH567" s="284"/>
      <c r="AI567" s="355"/>
      <c r="AK567" s="359"/>
      <c r="AL567" s="284"/>
      <c r="AM567" s="355"/>
      <c r="AO567" s="359"/>
      <c r="AP567" s="284"/>
      <c r="AQ567" s="355"/>
      <c r="AR567" s="360"/>
      <c r="AS567" s="359"/>
      <c r="AT567" s="284"/>
      <c r="AU567" s="355"/>
      <c r="AW567" s="359"/>
      <c r="AX567" s="284"/>
      <c r="AY567" s="355"/>
      <c r="BA567" s="359"/>
      <c r="BB567" s="284"/>
      <c r="BC567" s="355"/>
      <c r="BE567" s="359"/>
      <c r="BF567" s="284"/>
      <c r="BG567" s="355"/>
      <c r="BI567" s="359"/>
      <c r="BJ567" s="284"/>
      <c r="BK567" s="355"/>
      <c r="BM567" s="359"/>
      <c r="BN567" s="284"/>
      <c r="BO567" s="355"/>
      <c r="BQ567" s="359"/>
      <c r="BR567" s="284"/>
      <c r="BS567" s="355"/>
      <c r="BU567" s="359"/>
      <c r="BV567" s="284"/>
    </row>
    <row r="568" spans="2:74" x14ac:dyDescent="0.25">
      <c r="B568" s="284"/>
      <c r="D568" s="355"/>
      <c r="E568" s="356"/>
      <c r="F568" s="357"/>
      <c r="G568" s="358"/>
      <c r="H568" s="359"/>
      <c r="I568" s="284"/>
      <c r="J568" s="287"/>
      <c r="K568" s="355"/>
      <c r="M568" s="359"/>
      <c r="N568" s="284"/>
      <c r="O568" s="355"/>
      <c r="P568" s="360"/>
      <c r="Q568" s="359"/>
      <c r="R568" s="284"/>
      <c r="S568" s="355"/>
      <c r="U568" s="359"/>
      <c r="V568" s="284"/>
      <c r="W568" s="355"/>
      <c r="Y568" s="359"/>
      <c r="Z568" s="284"/>
      <c r="AA568" s="355"/>
      <c r="AC568" s="359"/>
      <c r="AD568" s="284"/>
      <c r="AE568" s="355"/>
      <c r="AG568" s="359"/>
      <c r="AH568" s="284"/>
      <c r="AI568" s="355"/>
      <c r="AK568" s="359"/>
      <c r="AL568" s="284"/>
      <c r="AM568" s="355"/>
      <c r="AO568" s="359"/>
      <c r="AP568" s="284"/>
      <c r="AQ568" s="355"/>
      <c r="AR568" s="360"/>
      <c r="AS568" s="359"/>
      <c r="AT568" s="284"/>
      <c r="AU568" s="355"/>
      <c r="AW568" s="359"/>
      <c r="AX568" s="284"/>
      <c r="AY568" s="355"/>
      <c r="BA568" s="359"/>
      <c r="BB568" s="284"/>
      <c r="BC568" s="355"/>
      <c r="BE568" s="359"/>
      <c r="BF568" s="284"/>
      <c r="BG568" s="355"/>
      <c r="BI568" s="359"/>
      <c r="BJ568" s="284"/>
      <c r="BK568" s="355"/>
      <c r="BM568" s="359"/>
      <c r="BN568" s="284"/>
      <c r="BO568" s="355"/>
      <c r="BQ568" s="359"/>
      <c r="BR568" s="284"/>
      <c r="BS568" s="355"/>
      <c r="BU568" s="359"/>
      <c r="BV568" s="284"/>
    </row>
    <row r="569" spans="2:74" x14ac:dyDescent="0.25">
      <c r="B569" s="284"/>
      <c r="D569" s="355"/>
      <c r="E569" s="356"/>
      <c r="F569" s="357"/>
      <c r="G569" s="358"/>
      <c r="H569" s="359"/>
      <c r="I569" s="284"/>
      <c r="J569" s="287"/>
      <c r="K569" s="355"/>
      <c r="M569" s="359"/>
      <c r="N569" s="284"/>
      <c r="O569" s="355"/>
      <c r="P569" s="360"/>
      <c r="Q569" s="359"/>
      <c r="R569" s="284"/>
      <c r="S569" s="355"/>
      <c r="U569" s="359"/>
      <c r="V569" s="284"/>
      <c r="W569" s="355"/>
      <c r="Y569" s="359"/>
      <c r="Z569" s="284"/>
      <c r="AA569" s="355"/>
      <c r="AC569" s="359"/>
      <c r="AD569" s="284"/>
      <c r="AE569" s="355"/>
      <c r="AG569" s="359"/>
      <c r="AH569" s="284"/>
      <c r="AI569" s="355"/>
      <c r="AK569" s="359"/>
      <c r="AL569" s="284"/>
      <c r="AM569" s="355"/>
      <c r="AO569" s="359"/>
      <c r="AP569" s="284"/>
      <c r="AQ569" s="355"/>
      <c r="AR569" s="360"/>
      <c r="AS569" s="359"/>
      <c r="AT569" s="284"/>
      <c r="AU569" s="355"/>
      <c r="AW569" s="359"/>
      <c r="AX569" s="284"/>
      <c r="AY569" s="355"/>
      <c r="BA569" s="359"/>
      <c r="BB569" s="284"/>
      <c r="BC569" s="355"/>
      <c r="BE569" s="359"/>
      <c r="BF569" s="284"/>
      <c r="BG569" s="355"/>
      <c r="BI569" s="359"/>
      <c r="BJ569" s="284"/>
      <c r="BK569" s="355"/>
      <c r="BM569" s="359"/>
      <c r="BN569" s="284"/>
      <c r="BO569" s="355"/>
      <c r="BQ569" s="359"/>
      <c r="BR569" s="284"/>
      <c r="BS569" s="355"/>
      <c r="BU569" s="359"/>
      <c r="BV569" s="284"/>
    </row>
    <row r="570" spans="2:74" x14ac:dyDescent="0.25">
      <c r="B570" s="284"/>
      <c r="D570" s="355"/>
      <c r="E570" s="356"/>
      <c r="F570" s="357"/>
      <c r="G570" s="358"/>
      <c r="H570" s="359"/>
      <c r="I570" s="284"/>
      <c r="J570" s="287"/>
      <c r="K570" s="355"/>
      <c r="M570" s="359"/>
      <c r="N570" s="284"/>
      <c r="O570" s="355"/>
      <c r="P570" s="360"/>
      <c r="Q570" s="359"/>
      <c r="R570" s="284"/>
      <c r="S570" s="355"/>
      <c r="U570" s="359"/>
      <c r="V570" s="284"/>
      <c r="W570" s="355"/>
      <c r="Y570" s="359"/>
      <c r="Z570" s="284"/>
      <c r="AA570" s="355"/>
      <c r="AC570" s="359"/>
      <c r="AD570" s="284"/>
      <c r="AE570" s="355"/>
      <c r="AG570" s="359"/>
      <c r="AH570" s="284"/>
      <c r="AI570" s="355"/>
      <c r="AK570" s="359"/>
      <c r="AL570" s="284"/>
      <c r="AM570" s="355"/>
      <c r="AO570" s="359"/>
      <c r="AP570" s="284"/>
      <c r="AQ570" s="355"/>
      <c r="AR570" s="360"/>
      <c r="AS570" s="359"/>
      <c r="AT570" s="284"/>
      <c r="AU570" s="355"/>
      <c r="AW570" s="359"/>
      <c r="AX570" s="284"/>
      <c r="AY570" s="355"/>
      <c r="BA570" s="359"/>
      <c r="BB570" s="284"/>
      <c r="BC570" s="355"/>
      <c r="BE570" s="359"/>
      <c r="BF570" s="284"/>
      <c r="BG570" s="355"/>
      <c r="BI570" s="359"/>
      <c r="BJ570" s="284"/>
      <c r="BK570" s="355"/>
      <c r="BM570" s="359"/>
      <c r="BN570" s="284"/>
      <c r="BO570" s="355"/>
      <c r="BQ570" s="359"/>
      <c r="BR570" s="284"/>
      <c r="BS570" s="355"/>
      <c r="BU570" s="359"/>
      <c r="BV570" s="284"/>
    </row>
    <row r="571" spans="2:74" x14ac:dyDescent="0.25">
      <c r="B571" s="284"/>
      <c r="D571" s="355"/>
      <c r="E571" s="356"/>
      <c r="F571" s="357"/>
      <c r="G571" s="358"/>
      <c r="H571" s="359"/>
      <c r="I571" s="284"/>
      <c r="J571" s="287"/>
      <c r="K571" s="355"/>
      <c r="M571" s="359"/>
      <c r="N571" s="284"/>
      <c r="O571" s="355"/>
      <c r="P571" s="360"/>
      <c r="Q571" s="359"/>
      <c r="R571" s="284"/>
      <c r="S571" s="355"/>
      <c r="U571" s="359"/>
      <c r="V571" s="284"/>
      <c r="W571" s="355"/>
      <c r="Y571" s="359"/>
      <c r="Z571" s="284"/>
      <c r="AA571" s="355"/>
      <c r="AC571" s="359"/>
      <c r="AD571" s="284"/>
      <c r="AE571" s="355"/>
      <c r="AG571" s="359"/>
      <c r="AH571" s="284"/>
      <c r="AI571" s="355"/>
      <c r="AK571" s="359"/>
      <c r="AL571" s="284"/>
      <c r="AM571" s="355"/>
      <c r="AO571" s="359"/>
      <c r="AP571" s="284"/>
      <c r="AQ571" s="355"/>
      <c r="AR571" s="360"/>
      <c r="AS571" s="359"/>
      <c r="AT571" s="284"/>
      <c r="AU571" s="355"/>
      <c r="AW571" s="359"/>
      <c r="AX571" s="284"/>
      <c r="AY571" s="355"/>
      <c r="BA571" s="359"/>
      <c r="BB571" s="284"/>
      <c r="BC571" s="355"/>
      <c r="BE571" s="359"/>
      <c r="BF571" s="284"/>
      <c r="BG571" s="355"/>
      <c r="BI571" s="359"/>
      <c r="BJ571" s="284"/>
      <c r="BK571" s="355"/>
      <c r="BM571" s="359"/>
      <c r="BN571" s="284"/>
      <c r="BO571" s="355"/>
      <c r="BQ571" s="359"/>
      <c r="BR571" s="284"/>
      <c r="BS571" s="355"/>
      <c r="BU571" s="359"/>
      <c r="BV571" s="284"/>
    </row>
    <row r="572" spans="2:74" x14ac:dyDescent="0.25">
      <c r="B572" s="284"/>
      <c r="D572" s="355"/>
      <c r="E572" s="356"/>
      <c r="F572" s="357"/>
      <c r="G572" s="358"/>
      <c r="H572" s="359"/>
      <c r="I572" s="284"/>
      <c r="J572" s="287"/>
      <c r="K572" s="355"/>
      <c r="M572" s="359"/>
      <c r="N572" s="284"/>
      <c r="O572" s="355"/>
      <c r="P572" s="360"/>
      <c r="Q572" s="359"/>
      <c r="R572" s="284"/>
      <c r="S572" s="355"/>
      <c r="U572" s="359"/>
      <c r="V572" s="284"/>
      <c r="W572" s="355"/>
      <c r="Y572" s="359"/>
      <c r="Z572" s="284"/>
      <c r="AA572" s="355"/>
      <c r="AC572" s="359"/>
      <c r="AD572" s="284"/>
      <c r="AE572" s="355"/>
      <c r="AG572" s="359"/>
      <c r="AH572" s="284"/>
      <c r="AI572" s="355"/>
      <c r="AK572" s="359"/>
      <c r="AL572" s="284"/>
      <c r="AM572" s="355"/>
      <c r="AO572" s="359"/>
      <c r="AP572" s="284"/>
      <c r="AQ572" s="355"/>
      <c r="AR572" s="360"/>
      <c r="AS572" s="359"/>
      <c r="AT572" s="284"/>
      <c r="AU572" s="355"/>
      <c r="AW572" s="359"/>
      <c r="AX572" s="284"/>
      <c r="AY572" s="355"/>
      <c r="BA572" s="359"/>
      <c r="BB572" s="284"/>
      <c r="BC572" s="355"/>
      <c r="BE572" s="359"/>
      <c r="BF572" s="284"/>
      <c r="BG572" s="355"/>
      <c r="BI572" s="359"/>
      <c r="BJ572" s="284"/>
      <c r="BK572" s="355"/>
      <c r="BM572" s="359"/>
      <c r="BN572" s="284"/>
      <c r="BO572" s="355"/>
      <c r="BQ572" s="359"/>
      <c r="BR572" s="284"/>
      <c r="BS572" s="355"/>
      <c r="BU572" s="359"/>
      <c r="BV572" s="284"/>
    </row>
    <row r="573" spans="2:74" x14ac:dyDescent="0.25">
      <c r="B573" s="284"/>
      <c r="D573" s="355"/>
      <c r="E573" s="356"/>
      <c r="F573" s="357"/>
      <c r="G573" s="358"/>
      <c r="H573" s="359"/>
      <c r="I573" s="284"/>
      <c r="J573" s="287"/>
      <c r="K573" s="355"/>
      <c r="M573" s="359"/>
      <c r="N573" s="284"/>
      <c r="O573" s="355"/>
      <c r="P573" s="360"/>
      <c r="Q573" s="359"/>
      <c r="R573" s="284"/>
      <c r="S573" s="355"/>
      <c r="U573" s="359"/>
      <c r="V573" s="284"/>
      <c r="W573" s="355"/>
      <c r="Y573" s="359"/>
      <c r="Z573" s="284"/>
      <c r="AA573" s="355"/>
      <c r="AC573" s="359"/>
      <c r="AD573" s="284"/>
      <c r="AE573" s="355"/>
      <c r="AG573" s="359"/>
      <c r="AH573" s="284"/>
      <c r="AI573" s="355"/>
      <c r="AK573" s="359"/>
      <c r="AL573" s="284"/>
      <c r="AM573" s="355"/>
      <c r="AO573" s="359"/>
      <c r="AP573" s="284"/>
      <c r="AQ573" s="355"/>
      <c r="AR573" s="360"/>
      <c r="AS573" s="359"/>
      <c r="AT573" s="284"/>
      <c r="AU573" s="355"/>
      <c r="AW573" s="359"/>
      <c r="AX573" s="284"/>
      <c r="AY573" s="355"/>
      <c r="BA573" s="359"/>
      <c r="BB573" s="284"/>
      <c r="BC573" s="355"/>
      <c r="BE573" s="359"/>
      <c r="BF573" s="284"/>
      <c r="BG573" s="355"/>
      <c r="BI573" s="359"/>
      <c r="BJ573" s="284"/>
      <c r="BK573" s="355"/>
      <c r="BM573" s="359"/>
      <c r="BN573" s="284"/>
      <c r="BO573" s="355"/>
      <c r="BQ573" s="359"/>
      <c r="BR573" s="284"/>
      <c r="BS573" s="355"/>
      <c r="BU573" s="359"/>
      <c r="BV573" s="284"/>
    </row>
    <row r="574" spans="2:74" x14ac:dyDescent="0.25">
      <c r="B574" s="284"/>
      <c r="D574" s="355"/>
      <c r="E574" s="356"/>
      <c r="F574" s="357"/>
      <c r="G574" s="358"/>
      <c r="H574" s="359"/>
      <c r="I574" s="284"/>
      <c r="J574" s="287"/>
      <c r="K574" s="355"/>
      <c r="M574" s="359"/>
      <c r="N574" s="284"/>
      <c r="O574" s="355"/>
      <c r="P574" s="360"/>
      <c r="Q574" s="359"/>
      <c r="R574" s="284"/>
      <c r="S574" s="355"/>
      <c r="U574" s="359"/>
      <c r="V574" s="284"/>
      <c r="W574" s="355"/>
      <c r="Y574" s="359"/>
      <c r="Z574" s="284"/>
      <c r="AA574" s="355"/>
      <c r="AC574" s="359"/>
      <c r="AD574" s="284"/>
      <c r="AE574" s="355"/>
      <c r="AG574" s="359"/>
      <c r="AH574" s="284"/>
      <c r="AI574" s="355"/>
      <c r="AK574" s="359"/>
      <c r="AL574" s="284"/>
      <c r="AM574" s="355"/>
      <c r="AO574" s="359"/>
      <c r="AP574" s="284"/>
      <c r="AQ574" s="355"/>
      <c r="AR574" s="360"/>
      <c r="AS574" s="359"/>
      <c r="AT574" s="284"/>
      <c r="AU574" s="355"/>
      <c r="AW574" s="359"/>
      <c r="AX574" s="284"/>
      <c r="AY574" s="355"/>
      <c r="BA574" s="359"/>
      <c r="BB574" s="284"/>
      <c r="BC574" s="355"/>
      <c r="BE574" s="359"/>
      <c r="BF574" s="284"/>
      <c r="BG574" s="355"/>
      <c r="BI574" s="359"/>
      <c r="BJ574" s="284"/>
      <c r="BK574" s="355"/>
      <c r="BM574" s="359"/>
      <c r="BN574" s="284"/>
      <c r="BO574" s="355"/>
      <c r="BQ574" s="359"/>
      <c r="BR574" s="284"/>
      <c r="BS574" s="355"/>
      <c r="BU574" s="359"/>
      <c r="BV574" s="284"/>
    </row>
    <row r="575" spans="2:74" x14ac:dyDescent="0.25">
      <c r="B575" s="284"/>
      <c r="D575" s="355"/>
      <c r="E575" s="356"/>
      <c r="F575" s="357"/>
      <c r="G575" s="358"/>
      <c r="H575" s="359"/>
      <c r="I575" s="284"/>
      <c r="J575" s="287"/>
      <c r="K575" s="355"/>
      <c r="M575" s="359"/>
      <c r="N575" s="284"/>
      <c r="O575" s="355"/>
      <c r="P575" s="360"/>
      <c r="Q575" s="359"/>
      <c r="R575" s="284"/>
      <c r="S575" s="355"/>
      <c r="U575" s="359"/>
      <c r="V575" s="284"/>
      <c r="W575" s="355"/>
      <c r="Y575" s="359"/>
      <c r="Z575" s="284"/>
      <c r="AA575" s="355"/>
      <c r="AC575" s="359"/>
      <c r="AD575" s="284"/>
      <c r="AE575" s="355"/>
      <c r="AG575" s="359"/>
      <c r="AH575" s="284"/>
      <c r="AI575" s="355"/>
      <c r="AK575" s="359"/>
      <c r="AL575" s="284"/>
      <c r="AM575" s="355"/>
      <c r="AO575" s="359"/>
      <c r="AP575" s="284"/>
      <c r="AQ575" s="355"/>
      <c r="AR575" s="360"/>
      <c r="AS575" s="359"/>
      <c r="AT575" s="284"/>
      <c r="AU575" s="355"/>
      <c r="AW575" s="359"/>
      <c r="AX575" s="284"/>
      <c r="AY575" s="355"/>
      <c r="BA575" s="359"/>
      <c r="BB575" s="284"/>
      <c r="BC575" s="355"/>
      <c r="BE575" s="359"/>
      <c r="BF575" s="284"/>
      <c r="BG575" s="355"/>
      <c r="BI575" s="359"/>
      <c r="BJ575" s="284"/>
      <c r="BK575" s="355"/>
      <c r="BM575" s="359"/>
      <c r="BN575" s="284"/>
      <c r="BO575" s="355"/>
      <c r="BQ575" s="359"/>
      <c r="BR575" s="284"/>
      <c r="BS575" s="355"/>
      <c r="BU575" s="359"/>
      <c r="BV575" s="284"/>
    </row>
    <row r="576" spans="2:74" x14ac:dyDescent="0.25">
      <c r="B576" s="284"/>
      <c r="D576" s="355"/>
      <c r="E576" s="356"/>
      <c r="F576" s="357"/>
      <c r="G576" s="358"/>
      <c r="H576" s="359"/>
      <c r="I576" s="284"/>
      <c r="J576" s="287"/>
      <c r="K576" s="355"/>
      <c r="M576" s="359"/>
      <c r="N576" s="284"/>
      <c r="O576" s="355"/>
      <c r="P576" s="360"/>
      <c r="Q576" s="359"/>
      <c r="R576" s="284"/>
      <c r="S576" s="355"/>
      <c r="U576" s="359"/>
      <c r="V576" s="284"/>
      <c r="W576" s="355"/>
      <c r="Y576" s="359"/>
      <c r="Z576" s="284"/>
      <c r="AA576" s="355"/>
      <c r="AC576" s="359"/>
      <c r="AD576" s="284"/>
      <c r="AE576" s="355"/>
      <c r="AG576" s="359"/>
      <c r="AH576" s="284"/>
      <c r="AI576" s="355"/>
      <c r="AK576" s="359"/>
      <c r="AL576" s="284"/>
      <c r="AM576" s="355"/>
      <c r="AO576" s="359"/>
      <c r="AP576" s="284"/>
      <c r="AQ576" s="355"/>
      <c r="AR576" s="360"/>
      <c r="AS576" s="359"/>
      <c r="AT576" s="284"/>
      <c r="AU576" s="355"/>
      <c r="AW576" s="359"/>
      <c r="AX576" s="284"/>
      <c r="AY576" s="355"/>
      <c r="BA576" s="359"/>
      <c r="BB576" s="284"/>
      <c r="BC576" s="355"/>
      <c r="BE576" s="359"/>
      <c r="BF576" s="284"/>
      <c r="BG576" s="355"/>
      <c r="BI576" s="359"/>
      <c r="BJ576" s="284"/>
      <c r="BK576" s="355"/>
      <c r="BM576" s="359"/>
      <c r="BN576" s="284"/>
      <c r="BO576" s="355"/>
      <c r="BQ576" s="359"/>
      <c r="BR576" s="284"/>
      <c r="BS576" s="355"/>
      <c r="BU576" s="359"/>
      <c r="BV576" s="284"/>
    </row>
    <row r="577" spans="2:74" x14ac:dyDescent="0.25">
      <c r="B577" s="284"/>
      <c r="D577" s="355"/>
      <c r="E577" s="356"/>
      <c r="F577" s="357"/>
      <c r="G577" s="358"/>
      <c r="H577" s="359"/>
      <c r="I577" s="284"/>
      <c r="J577" s="287"/>
      <c r="K577" s="355"/>
      <c r="M577" s="359"/>
      <c r="N577" s="284"/>
      <c r="O577" s="355"/>
      <c r="P577" s="360"/>
      <c r="Q577" s="359"/>
      <c r="R577" s="284"/>
      <c r="S577" s="355"/>
      <c r="U577" s="359"/>
      <c r="V577" s="284"/>
      <c r="W577" s="355"/>
      <c r="Y577" s="359"/>
      <c r="Z577" s="284"/>
      <c r="AA577" s="355"/>
      <c r="AC577" s="359"/>
      <c r="AD577" s="284"/>
      <c r="AE577" s="355"/>
      <c r="AG577" s="359"/>
      <c r="AH577" s="284"/>
      <c r="AI577" s="355"/>
      <c r="AK577" s="359"/>
      <c r="AL577" s="284"/>
      <c r="AM577" s="355"/>
      <c r="AO577" s="359"/>
      <c r="AP577" s="284"/>
      <c r="AQ577" s="355"/>
      <c r="AR577" s="360"/>
      <c r="AS577" s="359"/>
      <c r="AT577" s="284"/>
      <c r="AU577" s="355"/>
      <c r="AW577" s="359"/>
      <c r="AX577" s="284"/>
      <c r="AY577" s="355"/>
      <c r="BA577" s="359"/>
      <c r="BB577" s="284"/>
      <c r="BC577" s="355"/>
      <c r="BE577" s="359"/>
      <c r="BF577" s="284"/>
      <c r="BG577" s="355"/>
      <c r="BI577" s="359"/>
      <c r="BJ577" s="284"/>
      <c r="BK577" s="355"/>
      <c r="BM577" s="359"/>
      <c r="BN577" s="284"/>
      <c r="BO577" s="355"/>
      <c r="BQ577" s="359"/>
      <c r="BR577" s="284"/>
      <c r="BS577" s="355"/>
      <c r="BU577" s="359"/>
      <c r="BV577" s="284"/>
    </row>
    <row r="578" spans="2:74" x14ac:dyDescent="0.25">
      <c r="B578" s="284"/>
      <c r="D578" s="355"/>
      <c r="E578" s="356"/>
      <c r="F578" s="357"/>
      <c r="G578" s="358"/>
      <c r="H578" s="359"/>
      <c r="I578" s="284"/>
      <c r="J578" s="287"/>
      <c r="K578" s="355"/>
      <c r="M578" s="359"/>
      <c r="N578" s="284"/>
      <c r="O578" s="355"/>
      <c r="P578" s="360"/>
      <c r="Q578" s="359"/>
      <c r="R578" s="284"/>
      <c r="S578" s="355"/>
      <c r="U578" s="359"/>
      <c r="V578" s="284"/>
      <c r="W578" s="355"/>
      <c r="Y578" s="359"/>
      <c r="Z578" s="284"/>
      <c r="AA578" s="355"/>
      <c r="AC578" s="359"/>
      <c r="AD578" s="284"/>
      <c r="AE578" s="355"/>
      <c r="AG578" s="359"/>
      <c r="AH578" s="284"/>
      <c r="AI578" s="355"/>
      <c r="AK578" s="359"/>
      <c r="AL578" s="284"/>
      <c r="AM578" s="355"/>
      <c r="AO578" s="359"/>
      <c r="AP578" s="284"/>
      <c r="AQ578" s="355"/>
      <c r="AR578" s="360"/>
      <c r="AS578" s="359"/>
      <c r="AT578" s="284"/>
      <c r="AU578" s="355"/>
      <c r="AW578" s="359"/>
      <c r="AX578" s="284"/>
      <c r="AY578" s="355"/>
      <c r="BA578" s="359"/>
      <c r="BB578" s="284"/>
      <c r="BC578" s="355"/>
      <c r="BE578" s="359"/>
      <c r="BF578" s="284"/>
      <c r="BG578" s="355"/>
      <c r="BI578" s="359"/>
      <c r="BJ578" s="284"/>
      <c r="BK578" s="355"/>
      <c r="BM578" s="359"/>
      <c r="BN578" s="284"/>
      <c r="BO578" s="355"/>
      <c r="BQ578" s="359"/>
      <c r="BR578" s="284"/>
      <c r="BS578" s="355"/>
      <c r="BU578" s="359"/>
      <c r="BV578" s="284"/>
    </row>
    <row r="579" spans="2:74" x14ac:dyDescent="0.25">
      <c r="B579" s="284"/>
      <c r="D579" s="355"/>
      <c r="E579" s="356"/>
      <c r="F579" s="357"/>
      <c r="G579" s="358"/>
      <c r="H579" s="359"/>
      <c r="I579" s="284"/>
      <c r="J579" s="287"/>
      <c r="K579" s="355"/>
      <c r="M579" s="359"/>
      <c r="N579" s="284"/>
      <c r="O579" s="355"/>
      <c r="P579" s="360"/>
      <c r="Q579" s="359"/>
      <c r="R579" s="284"/>
      <c r="S579" s="355"/>
      <c r="U579" s="359"/>
      <c r="V579" s="284"/>
      <c r="W579" s="355"/>
      <c r="Y579" s="359"/>
      <c r="Z579" s="284"/>
      <c r="AA579" s="355"/>
      <c r="AC579" s="359"/>
      <c r="AD579" s="284"/>
      <c r="AE579" s="355"/>
      <c r="AG579" s="359"/>
      <c r="AH579" s="284"/>
      <c r="AI579" s="355"/>
      <c r="AK579" s="359"/>
      <c r="AL579" s="284"/>
      <c r="AM579" s="355"/>
      <c r="AO579" s="359"/>
      <c r="AP579" s="284"/>
      <c r="AQ579" s="355"/>
      <c r="AR579" s="360"/>
      <c r="AS579" s="359"/>
      <c r="AT579" s="284"/>
      <c r="AU579" s="355"/>
      <c r="AW579" s="359"/>
      <c r="AX579" s="284"/>
      <c r="AY579" s="355"/>
      <c r="BA579" s="359"/>
      <c r="BB579" s="284"/>
      <c r="BC579" s="355"/>
      <c r="BE579" s="359"/>
      <c r="BF579" s="284"/>
      <c r="BG579" s="355"/>
      <c r="BI579" s="359"/>
      <c r="BJ579" s="284"/>
      <c r="BK579" s="355"/>
      <c r="BM579" s="359"/>
      <c r="BN579" s="284"/>
      <c r="BO579" s="355"/>
      <c r="BQ579" s="359"/>
      <c r="BR579" s="284"/>
      <c r="BS579" s="355"/>
      <c r="BU579" s="359"/>
      <c r="BV579" s="284"/>
    </row>
    <row r="580" spans="2:74" x14ac:dyDescent="0.25">
      <c r="B580" s="284"/>
      <c r="D580" s="355"/>
      <c r="E580" s="356"/>
      <c r="F580" s="357"/>
      <c r="G580" s="358"/>
      <c r="H580" s="359"/>
      <c r="I580" s="284"/>
      <c r="J580" s="287"/>
      <c r="K580" s="355"/>
      <c r="M580" s="359"/>
      <c r="N580" s="284"/>
      <c r="O580" s="355"/>
      <c r="P580" s="360"/>
      <c r="Q580" s="359"/>
      <c r="R580" s="284"/>
      <c r="S580" s="355"/>
      <c r="U580" s="359"/>
      <c r="V580" s="284"/>
      <c r="W580" s="355"/>
      <c r="Y580" s="359"/>
      <c r="Z580" s="284"/>
      <c r="AA580" s="355"/>
      <c r="AC580" s="359"/>
      <c r="AD580" s="284"/>
      <c r="AE580" s="355"/>
      <c r="AG580" s="359"/>
      <c r="AH580" s="284"/>
      <c r="AI580" s="355"/>
      <c r="AK580" s="359"/>
      <c r="AL580" s="284"/>
      <c r="AM580" s="355"/>
      <c r="AO580" s="359"/>
      <c r="AP580" s="284"/>
      <c r="AQ580" s="355"/>
      <c r="AR580" s="360"/>
      <c r="AS580" s="359"/>
      <c r="AT580" s="284"/>
      <c r="AU580" s="355"/>
      <c r="AW580" s="359"/>
      <c r="AX580" s="284"/>
      <c r="AY580" s="355"/>
      <c r="BA580" s="359"/>
      <c r="BB580" s="284"/>
      <c r="BC580" s="355"/>
      <c r="BE580" s="359"/>
      <c r="BF580" s="284"/>
      <c r="BG580" s="355"/>
      <c r="BI580" s="359"/>
      <c r="BJ580" s="284"/>
      <c r="BK580" s="355"/>
      <c r="BM580" s="359"/>
      <c r="BN580" s="284"/>
      <c r="BO580" s="355"/>
      <c r="BQ580" s="359"/>
      <c r="BR580" s="284"/>
      <c r="BS580" s="355"/>
      <c r="BU580" s="359"/>
      <c r="BV580" s="284"/>
    </row>
    <row r="581" spans="2:74" x14ac:dyDescent="0.25">
      <c r="B581" s="284"/>
      <c r="D581" s="355"/>
      <c r="E581" s="356"/>
      <c r="F581" s="357"/>
      <c r="G581" s="358"/>
      <c r="H581" s="359"/>
      <c r="I581" s="284"/>
      <c r="J581" s="287"/>
      <c r="K581" s="355"/>
      <c r="M581" s="359"/>
      <c r="N581" s="284"/>
      <c r="O581" s="355"/>
      <c r="P581" s="360"/>
      <c r="Q581" s="359"/>
      <c r="R581" s="284"/>
      <c r="S581" s="355"/>
      <c r="U581" s="359"/>
      <c r="V581" s="284"/>
      <c r="W581" s="355"/>
      <c r="Y581" s="359"/>
      <c r="Z581" s="284"/>
      <c r="AA581" s="355"/>
      <c r="AC581" s="359"/>
      <c r="AD581" s="284"/>
      <c r="AE581" s="355"/>
      <c r="AG581" s="359"/>
      <c r="AH581" s="284"/>
      <c r="AI581" s="355"/>
      <c r="AK581" s="359"/>
      <c r="AL581" s="284"/>
      <c r="AM581" s="355"/>
      <c r="AO581" s="359"/>
      <c r="AP581" s="284"/>
      <c r="AQ581" s="355"/>
      <c r="AR581" s="360"/>
      <c r="AS581" s="359"/>
      <c r="AT581" s="284"/>
      <c r="AU581" s="355"/>
      <c r="AW581" s="359"/>
      <c r="AX581" s="284"/>
      <c r="AY581" s="355"/>
      <c r="BA581" s="359"/>
      <c r="BB581" s="284"/>
      <c r="BC581" s="355"/>
      <c r="BE581" s="359"/>
      <c r="BF581" s="284"/>
      <c r="BG581" s="355"/>
      <c r="BI581" s="359"/>
      <c r="BJ581" s="284"/>
      <c r="BK581" s="355"/>
      <c r="BM581" s="359"/>
      <c r="BN581" s="284"/>
      <c r="BO581" s="355"/>
      <c r="BQ581" s="359"/>
      <c r="BR581" s="284"/>
      <c r="BS581" s="355"/>
      <c r="BU581" s="359"/>
      <c r="BV581" s="284"/>
    </row>
    <row r="582" spans="2:74" x14ac:dyDescent="0.25">
      <c r="B582" s="284"/>
      <c r="D582" s="355"/>
      <c r="E582" s="356"/>
      <c r="F582" s="357"/>
      <c r="G582" s="358"/>
      <c r="H582" s="359"/>
      <c r="I582" s="284"/>
      <c r="J582" s="287"/>
      <c r="K582" s="355"/>
      <c r="M582" s="359"/>
      <c r="N582" s="284"/>
      <c r="O582" s="355"/>
      <c r="P582" s="360"/>
      <c r="Q582" s="359"/>
      <c r="R582" s="284"/>
      <c r="S582" s="355"/>
      <c r="U582" s="359"/>
      <c r="V582" s="284"/>
      <c r="W582" s="355"/>
      <c r="Y582" s="359"/>
      <c r="Z582" s="284"/>
      <c r="AA582" s="355"/>
      <c r="AC582" s="359"/>
      <c r="AD582" s="284"/>
      <c r="AE582" s="355"/>
      <c r="AG582" s="359"/>
      <c r="AH582" s="284"/>
      <c r="AI582" s="355"/>
      <c r="AK582" s="359"/>
      <c r="AL582" s="284"/>
      <c r="AM582" s="355"/>
      <c r="AO582" s="359"/>
      <c r="AP582" s="284"/>
      <c r="AQ582" s="355"/>
      <c r="AR582" s="360"/>
      <c r="AS582" s="359"/>
      <c r="AT582" s="284"/>
      <c r="AU582" s="355"/>
      <c r="AW582" s="359"/>
      <c r="AX582" s="284"/>
      <c r="AY582" s="355"/>
      <c r="BA582" s="359"/>
      <c r="BB582" s="284"/>
      <c r="BC582" s="355"/>
      <c r="BE582" s="359"/>
      <c r="BF582" s="284"/>
      <c r="BG582" s="355"/>
      <c r="BI582" s="359"/>
      <c r="BJ582" s="284"/>
      <c r="BK582" s="355"/>
      <c r="BM582" s="359"/>
      <c r="BN582" s="284"/>
      <c r="BO582" s="355"/>
      <c r="BQ582" s="359"/>
      <c r="BR582" s="284"/>
      <c r="BS582" s="355"/>
      <c r="BU582" s="359"/>
      <c r="BV582" s="284"/>
    </row>
    <row r="583" spans="2:74" x14ac:dyDescent="0.25">
      <c r="B583" s="284"/>
      <c r="D583" s="355"/>
      <c r="E583" s="356"/>
      <c r="F583" s="357"/>
      <c r="G583" s="358"/>
      <c r="H583" s="359"/>
      <c r="I583" s="284"/>
      <c r="J583" s="287"/>
      <c r="K583" s="355"/>
      <c r="M583" s="359"/>
      <c r="N583" s="284"/>
      <c r="O583" s="355"/>
      <c r="P583" s="360"/>
      <c r="Q583" s="359"/>
      <c r="R583" s="284"/>
      <c r="S583" s="355"/>
      <c r="U583" s="359"/>
      <c r="V583" s="284"/>
      <c r="W583" s="355"/>
      <c r="Y583" s="359"/>
      <c r="Z583" s="284"/>
      <c r="AA583" s="355"/>
      <c r="AC583" s="359"/>
      <c r="AD583" s="284"/>
      <c r="AE583" s="355"/>
      <c r="AG583" s="359"/>
      <c r="AH583" s="284"/>
      <c r="AI583" s="355"/>
      <c r="AK583" s="359"/>
      <c r="AL583" s="284"/>
      <c r="AM583" s="355"/>
      <c r="AO583" s="359"/>
      <c r="AP583" s="284"/>
      <c r="AQ583" s="355"/>
      <c r="AR583" s="360"/>
      <c r="AS583" s="359"/>
      <c r="AT583" s="284"/>
      <c r="AU583" s="355"/>
      <c r="AW583" s="359"/>
      <c r="AX583" s="284"/>
      <c r="AY583" s="355"/>
      <c r="BA583" s="359"/>
      <c r="BB583" s="284"/>
      <c r="BC583" s="355"/>
      <c r="BE583" s="359"/>
      <c r="BF583" s="284"/>
      <c r="BG583" s="355"/>
      <c r="BI583" s="359"/>
      <c r="BJ583" s="284"/>
      <c r="BK583" s="355"/>
      <c r="BM583" s="359"/>
      <c r="BN583" s="284"/>
      <c r="BO583" s="355"/>
      <c r="BQ583" s="359"/>
      <c r="BR583" s="284"/>
      <c r="BS583" s="355"/>
      <c r="BU583" s="359"/>
      <c r="BV583" s="284"/>
    </row>
    <row r="584" spans="2:74" x14ac:dyDescent="0.25">
      <c r="B584" s="284"/>
      <c r="D584" s="355"/>
      <c r="E584" s="356"/>
      <c r="F584" s="357"/>
      <c r="G584" s="358"/>
      <c r="H584" s="359"/>
      <c r="I584" s="284"/>
      <c r="J584" s="287"/>
      <c r="K584" s="355"/>
      <c r="M584" s="359"/>
      <c r="N584" s="284"/>
      <c r="O584" s="355"/>
      <c r="P584" s="360"/>
      <c r="Q584" s="359"/>
      <c r="R584" s="284"/>
      <c r="S584" s="355"/>
      <c r="U584" s="359"/>
      <c r="V584" s="284"/>
      <c r="W584" s="355"/>
      <c r="Y584" s="359"/>
      <c r="Z584" s="284"/>
      <c r="AA584" s="355"/>
      <c r="AC584" s="359"/>
      <c r="AD584" s="284"/>
      <c r="AE584" s="355"/>
      <c r="AG584" s="359"/>
      <c r="AH584" s="284"/>
      <c r="AI584" s="355"/>
      <c r="AK584" s="359"/>
      <c r="AL584" s="284"/>
      <c r="AM584" s="355"/>
      <c r="AO584" s="359"/>
      <c r="AP584" s="284"/>
      <c r="AQ584" s="355"/>
      <c r="AR584" s="360"/>
      <c r="AS584" s="359"/>
      <c r="AT584" s="284"/>
      <c r="AU584" s="355"/>
      <c r="AW584" s="359"/>
      <c r="AX584" s="284"/>
      <c r="AY584" s="355"/>
      <c r="BA584" s="359"/>
      <c r="BB584" s="284"/>
      <c r="BC584" s="355"/>
      <c r="BE584" s="359"/>
      <c r="BF584" s="284"/>
      <c r="BG584" s="355"/>
      <c r="BI584" s="359"/>
      <c r="BJ584" s="284"/>
      <c r="BK584" s="355"/>
      <c r="BM584" s="359"/>
      <c r="BN584" s="284"/>
      <c r="BO584" s="355"/>
      <c r="BQ584" s="359"/>
      <c r="BR584" s="284"/>
      <c r="BS584" s="355"/>
      <c r="BU584" s="359"/>
      <c r="BV584" s="284"/>
    </row>
    <row r="585" spans="2:74" x14ac:dyDescent="0.25">
      <c r="B585" s="284"/>
      <c r="D585" s="355"/>
      <c r="E585" s="356"/>
      <c r="F585" s="357"/>
      <c r="G585" s="358"/>
      <c r="H585" s="359"/>
      <c r="I585" s="284"/>
      <c r="J585" s="287"/>
      <c r="K585" s="355"/>
      <c r="M585" s="359"/>
      <c r="N585" s="284"/>
      <c r="O585" s="355"/>
      <c r="P585" s="360"/>
      <c r="Q585" s="359"/>
      <c r="R585" s="284"/>
      <c r="S585" s="355"/>
      <c r="U585" s="359"/>
      <c r="V585" s="284"/>
      <c r="W585" s="355"/>
      <c r="Y585" s="359"/>
      <c r="Z585" s="284"/>
      <c r="AA585" s="355"/>
      <c r="AC585" s="359"/>
      <c r="AD585" s="284"/>
      <c r="AE585" s="355"/>
      <c r="AG585" s="359"/>
      <c r="AH585" s="284"/>
      <c r="AI585" s="355"/>
      <c r="AK585" s="359"/>
      <c r="AL585" s="284"/>
      <c r="AM585" s="355"/>
      <c r="AO585" s="359"/>
      <c r="AP585" s="284"/>
      <c r="AQ585" s="355"/>
      <c r="AR585" s="360"/>
      <c r="AS585" s="359"/>
      <c r="AT585" s="284"/>
      <c r="AU585" s="355"/>
      <c r="AW585" s="359"/>
      <c r="AX585" s="284"/>
      <c r="AY585" s="355"/>
      <c r="BA585" s="359"/>
      <c r="BB585" s="284"/>
      <c r="BC585" s="355"/>
      <c r="BE585" s="359"/>
      <c r="BF585" s="284"/>
      <c r="BG585" s="355"/>
      <c r="BI585" s="359"/>
      <c r="BJ585" s="284"/>
      <c r="BK585" s="355"/>
      <c r="BM585" s="359"/>
      <c r="BN585" s="284"/>
      <c r="BO585" s="355"/>
      <c r="BQ585" s="359"/>
      <c r="BR585" s="284"/>
      <c r="BS585" s="355"/>
      <c r="BU585" s="359"/>
      <c r="BV585" s="284"/>
    </row>
    <row r="586" spans="2:74" x14ac:dyDescent="0.25">
      <c r="B586" s="284"/>
      <c r="D586" s="355"/>
      <c r="E586" s="356"/>
      <c r="F586" s="357"/>
      <c r="G586" s="358"/>
      <c r="H586" s="359"/>
      <c r="I586" s="284"/>
      <c r="J586" s="287"/>
      <c r="K586" s="355"/>
      <c r="M586" s="359"/>
      <c r="N586" s="284"/>
      <c r="O586" s="355"/>
      <c r="P586" s="360"/>
      <c r="Q586" s="359"/>
      <c r="R586" s="284"/>
      <c r="S586" s="355"/>
      <c r="U586" s="359"/>
      <c r="V586" s="284"/>
      <c r="W586" s="355"/>
      <c r="Y586" s="359"/>
      <c r="Z586" s="284"/>
      <c r="AA586" s="355"/>
      <c r="AC586" s="359"/>
      <c r="AD586" s="284"/>
      <c r="AE586" s="355"/>
      <c r="AG586" s="359"/>
      <c r="AH586" s="284"/>
      <c r="AI586" s="355"/>
      <c r="AK586" s="359"/>
      <c r="AL586" s="284"/>
      <c r="AM586" s="355"/>
      <c r="AO586" s="359"/>
      <c r="AP586" s="284"/>
      <c r="AQ586" s="355"/>
      <c r="AR586" s="360"/>
      <c r="AS586" s="359"/>
      <c r="AT586" s="284"/>
      <c r="AU586" s="355"/>
      <c r="AW586" s="359"/>
      <c r="AX586" s="284"/>
      <c r="AY586" s="355"/>
      <c r="BA586" s="359"/>
      <c r="BB586" s="284"/>
      <c r="BC586" s="355"/>
      <c r="BE586" s="359"/>
      <c r="BF586" s="284"/>
      <c r="BG586" s="355"/>
      <c r="BI586" s="359"/>
      <c r="BJ586" s="284"/>
      <c r="BK586" s="355"/>
      <c r="BM586" s="359"/>
      <c r="BN586" s="284"/>
      <c r="BO586" s="355"/>
      <c r="BQ586" s="359"/>
      <c r="BR586" s="284"/>
      <c r="BS586" s="355"/>
      <c r="BU586" s="359"/>
      <c r="BV586" s="284"/>
    </row>
    <row r="587" spans="2:74" x14ac:dyDescent="0.25">
      <c r="B587" s="284"/>
      <c r="D587" s="355"/>
      <c r="E587" s="356"/>
      <c r="F587" s="357"/>
      <c r="G587" s="358"/>
      <c r="H587" s="359"/>
      <c r="I587" s="284"/>
      <c r="J587" s="287"/>
      <c r="K587" s="355"/>
      <c r="M587" s="359"/>
      <c r="N587" s="284"/>
      <c r="O587" s="355"/>
      <c r="P587" s="360"/>
      <c r="Q587" s="359"/>
      <c r="R587" s="284"/>
      <c r="S587" s="355"/>
      <c r="U587" s="359"/>
      <c r="V587" s="284"/>
      <c r="W587" s="355"/>
      <c r="Y587" s="359"/>
      <c r="Z587" s="284"/>
      <c r="AA587" s="355"/>
      <c r="AC587" s="359"/>
      <c r="AD587" s="284"/>
      <c r="AE587" s="355"/>
      <c r="AG587" s="359"/>
      <c r="AH587" s="284"/>
      <c r="AI587" s="355"/>
      <c r="AK587" s="359"/>
      <c r="AL587" s="284"/>
      <c r="AM587" s="355"/>
      <c r="AO587" s="359"/>
      <c r="AP587" s="284"/>
      <c r="AQ587" s="355"/>
      <c r="AR587" s="360"/>
      <c r="AS587" s="359"/>
      <c r="AT587" s="284"/>
      <c r="AU587" s="355"/>
      <c r="AW587" s="359"/>
      <c r="AX587" s="284"/>
      <c r="AY587" s="355"/>
      <c r="BA587" s="359"/>
      <c r="BB587" s="284"/>
      <c r="BC587" s="355"/>
      <c r="BE587" s="359"/>
      <c r="BF587" s="284"/>
      <c r="BG587" s="355"/>
      <c r="BI587" s="359"/>
      <c r="BJ587" s="284"/>
      <c r="BK587" s="355"/>
      <c r="BM587" s="359"/>
      <c r="BN587" s="284"/>
      <c r="BO587" s="355"/>
      <c r="BQ587" s="359"/>
      <c r="BR587" s="284"/>
      <c r="BS587" s="355"/>
      <c r="BU587" s="359"/>
      <c r="BV587" s="284"/>
    </row>
    <row r="588" spans="2:74" x14ac:dyDescent="0.25">
      <c r="B588" s="284"/>
      <c r="D588" s="355"/>
      <c r="E588" s="356"/>
      <c r="F588" s="357"/>
      <c r="G588" s="358"/>
      <c r="H588" s="359"/>
      <c r="I588" s="284"/>
      <c r="J588" s="287"/>
      <c r="K588" s="355"/>
      <c r="M588" s="359"/>
      <c r="N588" s="284"/>
      <c r="O588" s="355"/>
      <c r="P588" s="360"/>
      <c r="Q588" s="359"/>
      <c r="R588" s="284"/>
      <c r="S588" s="355"/>
      <c r="U588" s="359"/>
      <c r="V588" s="284"/>
      <c r="W588" s="355"/>
      <c r="Y588" s="359"/>
      <c r="Z588" s="284"/>
      <c r="AA588" s="355"/>
      <c r="AC588" s="359"/>
      <c r="AD588" s="284"/>
      <c r="AE588" s="355"/>
      <c r="AG588" s="359"/>
      <c r="AH588" s="284"/>
      <c r="AI588" s="355"/>
      <c r="AK588" s="359"/>
      <c r="AL588" s="284"/>
      <c r="AM588" s="355"/>
      <c r="AO588" s="359"/>
      <c r="AP588" s="284"/>
      <c r="AQ588" s="355"/>
      <c r="AR588" s="360"/>
      <c r="AS588" s="359"/>
      <c r="AT588" s="284"/>
      <c r="AU588" s="355"/>
      <c r="AW588" s="359"/>
      <c r="AX588" s="284"/>
      <c r="AY588" s="355"/>
      <c r="BA588" s="359"/>
      <c r="BB588" s="284"/>
      <c r="BC588" s="355"/>
      <c r="BE588" s="359"/>
      <c r="BF588" s="284"/>
      <c r="BG588" s="355"/>
      <c r="BI588" s="359"/>
      <c r="BJ588" s="284"/>
      <c r="BK588" s="355"/>
      <c r="BM588" s="359"/>
      <c r="BN588" s="284"/>
      <c r="BO588" s="355"/>
      <c r="BQ588" s="359"/>
      <c r="BR588" s="284"/>
      <c r="BS588" s="355"/>
      <c r="BU588" s="359"/>
      <c r="BV588" s="284"/>
    </row>
    <row r="589" spans="2:74" x14ac:dyDescent="0.25">
      <c r="B589" s="284"/>
      <c r="D589" s="355"/>
      <c r="E589" s="356"/>
      <c r="F589" s="357"/>
      <c r="G589" s="358"/>
      <c r="H589" s="359"/>
      <c r="I589" s="284"/>
      <c r="J589" s="287"/>
      <c r="K589" s="355"/>
      <c r="M589" s="359"/>
      <c r="N589" s="284"/>
      <c r="O589" s="355"/>
      <c r="P589" s="360"/>
      <c r="Q589" s="359"/>
      <c r="R589" s="284"/>
      <c r="S589" s="355"/>
      <c r="U589" s="359"/>
      <c r="V589" s="284"/>
      <c r="W589" s="355"/>
      <c r="Y589" s="359"/>
      <c r="Z589" s="284"/>
      <c r="AA589" s="355"/>
      <c r="AC589" s="359"/>
      <c r="AD589" s="284"/>
      <c r="AE589" s="355"/>
      <c r="AG589" s="359"/>
      <c r="AH589" s="284"/>
      <c r="AI589" s="355"/>
      <c r="AK589" s="359"/>
      <c r="AL589" s="284"/>
      <c r="AM589" s="355"/>
      <c r="AO589" s="359"/>
      <c r="AP589" s="284"/>
      <c r="AQ589" s="355"/>
      <c r="AR589" s="360"/>
      <c r="AS589" s="359"/>
      <c r="AT589" s="284"/>
      <c r="AU589" s="355"/>
      <c r="AW589" s="359"/>
      <c r="AX589" s="284"/>
      <c r="AY589" s="355"/>
      <c r="BA589" s="359"/>
      <c r="BB589" s="284"/>
      <c r="BC589" s="355"/>
      <c r="BE589" s="359"/>
      <c r="BF589" s="284"/>
      <c r="BG589" s="355"/>
      <c r="BI589" s="359"/>
      <c r="BJ589" s="284"/>
      <c r="BK589" s="355"/>
      <c r="BM589" s="359"/>
      <c r="BN589" s="284"/>
      <c r="BO589" s="355"/>
      <c r="BQ589" s="359"/>
      <c r="BR589" s="284"/>
      <c r="BS589" s="355"/>
      <c r="BU589" s="359"/>
      <c r="BV589" s="284"/>
    </row>
    <row r="590" spans="2:74" x14ac:dyDescent="0.25">
      <c r="B590" s="284"/>
      <c r="D590" s="355"/>
      <c r="E590" s="356"/>
      <c r="F590" s="357"/>
      <c r="G590" s="358"/>
      <c r="H590" s="359"/>
      <c r="I590" s="284"/>
      <c r="J590" s="287"/>
      <c r="K590" s="355"/>
      <c r="M590" s="359"/>
      <c r="N590" s="284"/>
      <c r="O590" s="355"/>
      <c r="P590" s="360"/>
      <c r="Q590" s="359"/>
      <c r="R590" s="284"/>
      <c r="S590" s="355"/>
      <c r="U590" s="359"/>
      <c r="V590" s="284"/>
      <c r="W590" s="355"/>
      <c r="Y590" s="359"/>
      <c r="Z590" s="284"/>
      <c r="AA590" s="355"/>
      <c r="AC590" s="359"/>
      <c r="AD590" s="284"/>
      <c r="AE590" s="355"/>
      <c r="AG590" s="359"/>
      <c r="AH590" s="284"/>
      <c r="AI590" s="355"/>
      <c r="AK590" s="359"/>
      <c r="AL590" s="284"/>
      <c r="AM590" s="355"/>
      <c r="AO590" s="359"/>
      <c r="AP590" s="284"/>
      <c r="AQ590" s="355"/>
      <c r="AR590" s="360"/>
      <c r="AS590" s="359"/>
      <c r="AT590" s="284"/>
      <c r="AU590" s="355"/>
      <c r="AW590" s="359"/>
      <c r="AX590" s="284"/>
      <c r="AY590" s="355"/>
      <c r="BA590" s="359"/>
      <c r="BB590" s="284"/>
      <c r="BC590" s="355"/>
      <c r="BE590" s="359"/>
      <c r="BF590" s="284"/>
      <c r="BG590" s="355"/>
      <c r="BI590" s="359"/>
      <c r="BJ590" s="284"/>
      <c r="BK590" s="355"/>
      <c r="BM590" s="359"/>
      <c r="BN590" s="284"/>
      <c r="BO590" s="355"/>
      <c r="BQ590" s="359"/>
      <c r="BR590" s="284"/>
      <c r="BS590" s="355"/>
      <c r="BU590" s="359"/>
      <c r="BV590" s="284"/>
    </row>
    <row r="591" spans="2:74" x14ac:dyDescent="0.25">
      <c r="B591" s="284"/>
      <c r="D591" s="355"/>
      <c r="E591" s="356"/>
      <c r="F591" s="357"/>
      <c r="G591" s="358"/>
      <c r="H591" s="359"/>
      <c r="I591" s="284"/>
      <c r="J591" s="287"/>
      <c r="K591" s="355"/>
      <c r="M591" s="359"/>
      <c r="N591" s="284"/>
      <c r="O591" s="355"/>
      <c r="P591" s="360"/>
      <c r="Q591" s="359"/>
      <c r="R591" s="284"/>
      <c r="S591" s="355"/>
      <c r="U591" s="359"/>
      <c r="V591" s="284"/>
      <c r="W591" s="355"/>
      <c r="Y591" s="359"/>
      <c r="Z591" s="284"/>
      <c r="AA591" s="355"/>
      <c r="AC591" s="359"/>
      <c r="AD591" s="284"/>
      <c r="AE591" s="355"/>
      <c r="AG591" s="359"/>
      <c r="AH591" s="284"/>
      <c r="AI591" s="355"/>
      <c r="AK591" s="359"/>
      <c r="AL591" s="284"/>
      <c r="AM591" s="355"/>
      <c r="AO591" s="359"/>
      <c r="AP591" s="284"/>
      <c r="AQ591" s="355"/>
      <c r="AR591" s="360"/>
      <c r="AS591" s="359"/>
      <c r="AT591" s="284"/>
      <c r="AU591" s="355"/>
      <c r="AW591" s="359"/>
      <c r="AX591" s="284"/>
      <c r="AY591" s="355"/>
      <c r="BA591" s="359"/>
      <c r="BB591" s="284"/>
      <c r="BC591" s="355"/>
      <c r="BE591" s="359"/>
      <c r="BF591" s="284"/>
      <c r="BG591" s="355"/>
      <c r="BI591" s="359"/>
      <c r="BJ591" s="284"/>
      <c r="BK591" s="355"/>
      <c r="BM591" s="359"/>
      <c r="BN591" s="284"/>
      <c r="BO591" s="355"/>
      <c r="BQ591" s="359"/>
      <c r="BR591" s="284"/>
      <c r="BS591" s="355"/>
      <c r="BU591" s="359"/>
      <c r="BV591" s="284"/>
    </row>
    <row r="592" spans="2:74" x14ac:dyDescent="0.25">
      <c r="B592" s="284"/>
      <c r="D592" s="355"/>
      <c r="E592" s="356"/>
      <c r="F592" s="357"/>
      <c r="G592" s="358"/>
      <c r="H592" s="359"/>
      <c r="I592" s="284"/>
      <c r="J592" s="287"/>
      <c r="K592" s="355"/>
      <c r="M592" s="359"/>
      <c r="N592" s="284"/>
      <c r="O592" s="355"/>
      <c r="P592" s="360"/>
      <c r="Q592" s="359"/>
      <c r="R592" s="284"/>
      <c r="S592" s="355"/>
      <c r="U592" s="359"/>
      <c r="V592" s="284"/>
      <c r="W592" s="355"/>
      <c r="Y592" s="359"/>
      <c r="Z592" s="284"/>
      <c r="AA592" s="355"/>
      <c r="AC592" s="359"/>
      <c r="AD592" s="284"/>
      <c r="AE592" s="355"/>
      <c r="AG592" s="359"/>
      <c r="AH592" s="284"/>
      <c r="AI592" s="355"/>
      <c r="AK592" s="359"/>
      <c r="AL592" s="284"/>
      <c r="AM592" s="355"/>
      <c r="AO592" s="359"/>
      <c r="AP592" s="284"/>
      <c r="AQ592" s="355"/>
      <c r="AR592" s="360"/>
      <c r="AS592" s="359"/>
      <c r="AT592" s="284"/>
      <c r="AU592" s="355"/>
      <c r="AW592" s="359"/>
      <c r="AX592" s="284"/>
      <c r="AY592" s="355"/>
      <c r="BA592" s="359"/>
      <c r="BB592" s="284"/>
      <c r="BC592" s="355"/>
      <c r="BE592" s="359"/>
      <c r="BF592" s="284"/>
      <c r="BG592" s="355"/>
      <c r="BI592" s="359"/>
      <c r="BJ592" s="284"/>
      <c r="BK592" s="355"/>
      <c r="BM592" s="359"/>
      <c r="BN592" s="284"/>
      <c r="BO592" s="355"/>
      <c r="BQ592" s="359"/>
      <c r="BR592" s="284"/>
      <c r="BS592" s="355"/>
      <c r="BU592" s="359"/>
      <c r="BV592" s="284"/>
    </row>
    <row r="593" spans="2:74" x14ac:dyDescent="0.25">
      <c r="B593" s="284"/>
      <c r="D593" s="355"/>
      <c r="E593" s="356"/>
      <c r="F593" s="357"/>
      <c r="G593" s="358"/>
      <c r="H593" s="359"/>
      <c r="I593" s="284"/>
      <c r="J593" s="287"/>
      <c r="K593" s="355"/>
      <c r="M593" s="359"/>
      <c r="N593" s="284"/>
      <c r="O593" s="355"/>
      <c r="P593" s="360"/>
      <c r="Q593" s="359"/>
      <c r="R593" s="284"/>
      <c r="S593" s="355"/>
      <c r="U593" s="359"/>
      <c r="V593" s="284"/>
      <c r="W593" s="355"/>
      <c r="Y593" s="359"/>
      <c r="Z593" s="284"/>
      <c r="AA593" s="355"/>
      <c r="AC593" s="359"/>
      <c r="AD593" s="284"/>
      <c r="AE593" s="355"/>
      <c r="AG593" s="359"/>
      <c r="AH593" s="284"/>
      <c r="AI593" s="355"/>
      <c r="AK593" s="359"/>
      <c r="AL593" s="284"/>
      <c r="AM593" s="355"/>
      <c r="AO593" s="359"/>
      <c r="AP593" s="284"/>
      <c r="AQ593" s="355"/>
      <c r="AR593" s="360"/>
      <c r="AS593" s="359"/>
      <c r="AT593" s="284"/>
      <c r="AU593" s="355"/>
      <c r="AW593" s="359"/>
      <c r="AX593" s="284"/>
      <c r="AY593" s="355"/>
      <c r="BA593" s="359"/>
      <c r="BB593" s="284"/>
      <c r="BC593" s="355"/>
      <c r="BE593" s="359"/>
      <c r="BF593" s="284"/>
      <c r="BG593" s="355"/>
      <c r="BI593" s="359"/>
      <c r="BJ593" s="284"/>
      <c r="BK593" s="355"/>
      <c r="BM593" s="359"/>
      <c r="BN593" s="284"/>
      <c r="BO593" s="355"/>
      <c r="BQ593" s="359"/>
      <c r="BR593" s="284"/>
      <c r="BS593" s="355"/>
      <c r="BU593" s="359"/>
      <c r="BV593" s="284"/>
    </row>
    <row r="594" spans="2:74" x14ac:dyDescent="0.25">
      <c r="B594" s="284"/>
      <c r="D594" s="355"/>
      <c r="E594" s="356"/>
      <c r="F594" s="357"/>
      <c r="G594" s="358"/>
      <c r="H594" s="359"/>
      <c r="I594" s="284"/>
      <c r="J594" s="287"/>
      <c r="K594" s="355"/>
      <c r="M594" s="359"/>
      <c r="N594" s="284"/>
      <c r="O594" s="355"/>
      <c r="P594" s="360"/>
      <c r="Q594" s="359"/>
      <c r="R594" s="284"/>
      <c r="S594" s="355"/>
      <c r="U594" s="359"/>
      <c r="V594" s="284"/>
      <c r="W594" s="355"/>
      <c r="Y594" s="359"/>
      <c r="Z594" s="284"/>
      <c r="AA594" s="355"/>
      <c r="AC594" s="359"/>
      <c r="AD594" s="284"/>
      <c r="AE594" s="355"/>
      <c r="AG594" s="359"/>
      <c r="AH594" s="284"/>
      <c r="AI594" s="355"/>
      <c r="AK594" s="359"/>
      <c r="AL594" s="284"/>
      <c r="AM594" s="355"/>
      <c r="AO594" s="359"/>
      <c r="AP594" s="284"/>
      <c r="AQ594" s="355"/>
      <c r="AR594" s="360"/>
      <c r="AS594" s="359"/>
      <c r="AT594" s="284"/>
      <c r="AU594" s="355"/>
      <c r="AW594" s="359"/>
      <c r="AX594" s="284"/>
      <c r="AY594" s="355"/>
      <c r="BA594" s="359"/>
      <c r="BB594" s="284"/>
      <c r="BC594" s="355"/>
      <c r="BE594" s="359"/>
      <c r="BF594" s="284"/>
      <c r="BG594" s="355"/>
      <c r="BI594" s="359"/>
      <c r="BJ594" s="284"/>
      <c r="BK594" s="355"/>
      <c r="BM594" s="359"/>
      <c r="BN594" s="284"/>
      <c r="BO594" s="355"/>
      <c r="BQ594" s="359"/>
      <c r="BR594" s="284"/>
      <c r="BS594" s="355"/>
      <c r="BU594" s="359"/>
      <c r="BV594" s="284"/>
    </row>
    <row r="595" spans="2:74" x14ac:dyDescent="0.25">
      <c r="B595" s="284"/>
      <c r="D595" s="355"/>
      <c r="E595" s="356"/>
      <c r="F595" s="357"/>
      <c r="G595" s="358"/>
      <c r="H595" s="359"/>
      <c r="I595" s="284"/>
      <c r="J595" s="287"/>
      <c r="K595" s="355"/>
      <c r="M595" s="359"/>
      <c r="N595" s="284"/>
      <c r="O595" s="355"/>
      <c r="P595" s="360"/>
      <c r="Q595" s="359"/>
      <c r="R595" s="284"/>
      <c r="S595" s="355"/>
      <c r="U595" s="359"/>
      <c r="V595" s="284"/>
      <c r="W595" s="355"/>
      <c r="Y595" s="359"/>
      <c r="Z595" s="284"/>
      <c r="AA595" s="355"/>
      <c r="AC595" s="359"/>
      <c r="AD595" s="284"/>
      <c r="AE595" s="355"/>
      <c r="AG595" s="359"/>
      <c r="AH595" s="284"/>
      <c r="AI595" s="355"/>
      <c r="AK595" s="359"/>
      <c r="AL595" s="284"/>
      <c r="AM595" s="355"/>
      <c r="AO595" s="359"/>
      <c r="AP595" s="284"/>
      <c r="AQ595" s="355"/>
      <c r="AR595" s="360"/>
      <c r="AS595" s="359"/>
      <c r="AT595" s="284"/>
      <c r="AU595" s="355"/>
      <c r="AW595" s="359"/>
      <c r="AX595" s="284"/>
      <c r="AY595" s="355"/>
      <c r="BA595" s="359"/>
      <c r="BB595" s="284"/>
      <c r="BC595" s="355"/>
      <c r="BE595" s="359"/>
      <c r="BF595" s="284"/>
      <c r="BG595" s="355"/>
      <c r="BI595" s="359"/>
      <c r="BJ595" s="284"/>
      <c r="BK595" s="355"/>
      <c r="BM595" s="359"/>
      <c r="BN595" s="284"/>
      <c r="BO595" s="355"/>
      <c r="BQ595" s="359"/>
      <c r="BR595" s="284"/>
      <c r="BS595" s="355"/>
      <c r="BU595" s="359"/>
      <c r="BV595" s="284"/>
    </row>
    <row r="596" spans="2:74" x14ac:dyDescent="0.25">
      <c r="B596" s="284"/>
      <c r="D596" s="355"/>
      <c r="E596" s="356"/>
      <c r="F596" s="357"/>
      <c r="G596" s="358"/>
      <c r="H596" s="359"/>
      <c r="I596" s="284"/>
      <c r="J596" s="287"/>
      <c r="K596" s="355"/>
      <c r="M596" s="359"/>
      <c r="N596" s="284"/>
      <c r="O596" s="355"/>
      <c r="P596" s="360"/>
      <c r="Q596" s="359"/>
      <c r="R596" s="284"/>
      <c r="S596" s="355"/>
      <c r="U596" s="359"/>
      <c r="V596" s="284"/>
      <c r="W596" s="355"/>
      <c r="Y596" s="359"/>
      <c r="Z596" s="284"/>
      <c r="AA596" s="355"/>
      <c r="AC596" s="359"/>
      <c r="AD596" s="284"/>
      <c r="AE596" s="355"/>
      <c r="AG596" s="359"/>
      <c r="AH596" s="284"/>
      <c r="AI596" s="355"/>
      <c r="AK596" s="359"/>
      <c r="AL596" s="284"/>
      <c r="AM596" s="355"/>
      <c r="AO596" s="359"/>
      <c r="AP596" s="284"/>
      <c r="AQ596" s="355"/>
      <c r="AR596" s="360"/>
      <c r="AS596" s="359"/>
      <c r="AT596" s="284"/>
      <c r="AU596" s="355"/>
      <c r="AW596" s="359"/>
      <c r="AX596" s="284"/>
      <c r="AY596" s="355"/>
      <c r="BA596" s="359"/>
      <c r="BB596" s="284"/>
      <c r="BC596" s="355"/>
      <c r="BE596" s="359"/>
      <c r="BF596" s="284"/>
      <c r="BG596" s="355"/>
      <c r="BI596" s="359"/>
      <c r="BJ596" s="284"/>
      <c r="BK596" s="355"/>
      <c r="BM596" s="359"/>
      <c r="BN596" s="284"/>
      <c r="BO596" s="355"/>
      <c r="BQ596" s="359"/>
      <c r="BR596" s="284"/>
      <c r="BS596" s="355"/>
      <c r="BU596" s="359"/>
      <c r="BV596" s="284"/>
    </row>
    <row r="597" spans="2:74" x14ac:dyDescent="0.25">
      <c r="B597" s="284"/>
      <c r="D597" s="355"/>
      <c r="E597" s="356"/>
      <c r="F597" s="357"/>
      <c r="G597" s="358"/>
      <c r="H597" s="359"/>
      <c r="I597" s="284"/>
      <c r="J597" s="287"/>
      <c r="K597" s="355"/>
      <c r="M597" s="359"/>
      <c r="N597" s="284"/>
      <c r="O597" s="355"/>
      <c r="P597" s="360"/>
      <c r="Q597" s="359"/>
      <c r="R597" s="284"/>
      <c r="S597" s="355"/>
      <c r="U597" s="359"/>
      <c r="V597" s="284"/>
      <c r="W597" s="355"/>
      <c r="Y597" s="359"/>
      <c r="Z597" s="284"/>
      <c r="AA597" s="355"/>
      <c r="AC597" s="359"/>
      <c r="AD597" s="284"/>
      <c r="AE597" s="355"/>
      <c r="AG597" s="359"/>
      <c r="AH597" s="284"/>
      <c r="AI597" s="355"/>
      <c r="AK597" s="359"/>
      <c r="AL597" s="284"/>
      <c r="AM597" s="355"/>
      <c r="AO597" s="359"/>
      <c r="AP597" s="284"/>
      <c r="AQ597" s="355"/>
      <c r="AR597" s="360"/>
      <c r="AS597" s="359"/>
      <c r="AT597" s="284"/>
      <c r="AU597" s="355"/>
      <c r="AW597" s="359"/>
      <c r="AX597" s="284"/>
      <c r="AY597" s="355"/>
      <c r="BA597" s="359"/>
      <c r="BB597" s="284"/>
      <c r="BC597" s="355"/>
      <c r="BE597" s="359"/>
      <c r="BF597" s="284"/>
      <c r="BG597" s="355"/>
      <c r="BI597" s="359"/>
      <c r="BJ597" s="284"/>
      <c r="BK597" s="355"/>
      <c r="BM597" s="359"/>
      <c r="BN597" s="284"/>
      <c r="BO597" s="355"/>
      <c r="BQ597" s="359"/>
      <c r="BR597" s="284"/>
      <c r="BS597" s="355"/>
      <c r="BU597" s="359"/>
      <c r="BV597" s="284"/>
    </row>
    <row r="598" spans="2:74" x14ac:dyDescent="0.25">
      <c r="B598" s="284"/>
      <c r="D598" s="355"/>
      <c r="E598" s="356"/>
      <c r="F598" s="357"/>
      <c r="G598" s="358"/>
      <c r="H598" s="359"/>
      <c r="I598" s="284"/>
      <c r="J598" s="287"/>
      <c r="K598" s="355"/>
      <c r="M598" s="359"/>
      <c r="N598" s="284"/>
      <c r="O598" s="355"/>
      <c r="P598" s="360"/>
      <c r="Q598" s="359"/>
      <c r="R598" s="284"/>
      <c r="S598" s="355"/>
      <c r="U598" s="359"/>
      <c r="V598" s="284"/>
      <c r="W598" s="355"/>
      <c r="Y598" s="359"/>
      <c r="Z598" s="284"/>
      <c r="AA598" s="355"/>
      <c r="AC598" s="359"/>
      <c r="AD598" s="284"/>
      <c r="AE598" s="355"/>
      <c r="AG598" s="359"/>
      <c r="AH598" s="284"/>
      <c r="AI598" s="355"/>
      <c r="AK598" s="359"/>
      <c r="AL598" s="284"/>
      <c r="AM598" s="355"/>
      <c r="AO598" s="359"/>
      <c r="AP598" s="284"/>
      <c r="AQ598" s="355"/>
      <c r="AR598" s="360"/>
      <c r="AS598" s="359"/>
      <c r="AT598" s="284"/>
      <c r="AU598" s="355"/>
      <c r="AW598" s="359"/>
      <c r="AX598" s="284"/>
      <c r="AY598" s="355"/>
      <c r="BA598" s="359"/>
      <c r="BB598" s="284"/>
      <c r="BC598" s="355"/>
      <c r="BE598" s="359"/>
      <c r="BF598" s="284"/>
      <c r="BG598" s="355"/>
      <c r="BI598" s="359"/>
      <c r="BJ598" s="284"/>
      <c r="BK598" s="355"/>
      <c r="BM598" s="359"/>
      <c r="BN598" s="284"/>
      <c r="BO598" s="355"/>
      <c r="BQ598" s="359"/>
      <c r="BR598" s="284"/>
      <c r="BS598" s="355"/>
      <c r="BU598" s="359"/>
      <c r="BV598" s="284"/>
    </row>
    <row r="599" spans="2:74" x14ac:dyDescent="0.25">
      <c r="B599" s="284"/>
      <c r="D599" s="355"/>
      <c r="E599" s="356"/>
      <c r="F599" s="357"/>
      <c r="G599" s="358"/>
      <c r="H599" s="359"/>
      <c r="I599" s="284"/>
      <c r="J599" s="287"/>
      <c r="K599" s="355"/>
      <c r="M599" s="359"/>
      <c r="N599" s="284"/>
      <c r="O599" s="355"/>
      <c r="P599" s="360"/>
      <c r="Q599" s="359"/>
      <c r="R599" s="284"/>
      <c r="S599" s="355"/>
      <c r="U599" s="359"/>
      <c r="V599" s="284"/>
      <c r="W599" s="355"/>
      <c r="Y599" s="359"/>
      <c r="Z599" s="284"/>
      <c r="AA599" s="355"/>
      <c r="AC599" s="359"/>
      <c r="AD599" s="284"/>
      <c r="AE599" s="355"/>
      <c r="AG599" s="359"/>
      <c r="AH599" s="284"/>
      <c r="AI599" s="355"/>
      <c r="AK599" s="359"/>
      <c r="AL599" s="284"/>
      <c r="AM599" s="355"/>
      <c r="AO599" s="359"/>
      <c r="AP599" s="284"/>
      <c r="AQ599" s="355"/>
      <c r="AR599" s="360"/>
      <c r="AS599" s="359"/>
      <c r="AT599" s="284"/>
      <c r="AU599" s="355"/>
      <c r="AW599" s="359"/>
      <c r="AX599" s="284"/>
      <c r="AY599" s="355"/>
      <c r="BA599" s="359"/>
      <c r="BB599" s="284"/>
      <c r="BC599" s="355"/>
      <c r="BE599" s="359"/>
      <c r="BF599" s="284"/>
      <c r="BG599" s="355"/>
      <c r="BI599" s="359"/>
      <c r="BJ599" s="284"/>
      <c r="BK599" s="355"/>
      <c r="BM599" s="359"/>
      <c r="BN599" s="284"/>
      <c r="BO599" s="355"/>
      <c r="BQ599" s="359"/>
      <c r="BR599" s="284"/>
      <c r="BS599" s="355"/>
      <c r="BU599" s="359"/>
      <c r="BV599" s="284"/>
    </row>
    <row r="600" spans="2:74" x14ac:dyDescent="0.25">
      <c r="B600" s="284"/>
      <c r="D600" s="355"/>
      <c r="E600" s="356"/>
      <c r="F600" s="357"/>
      <c r="G600" s="358"/>
      <c r="H600" s="359"/>
      <c r="I600" s="284"/>
      <c r="J600" s="287"/>
      <c r="K600" s="355"/>
      <c r="M600" s="359"/>
      <c r="N600" s="284"/>
      <c r="O600" s="355"/>
      <c r="P600" s="360"/>
      <c r="Q600" s="359"/>
      <c r="R600" s="284"/>
      <c r="S600" s="355"/>
      <c r="U600" s="359"/>
      <c r="V600" s="284"/>
      <c r="W600" s="355"/>
      <c r="Y600" s="359"/>
      <c r="Z600" s="284"/>
      <c r="AA600" s="355"/>
      <c r="AC600" s="359"/>
      <c r="AD600" s="284"/>
      <c r="AE600" s="355"/>
      <c r="AG600" s="359"/>
      <c r="AH600" s="284"/>
      <c r="AI600" s="355"/>
      <c r="AK600" s="359"/>
      <c r="AL600" s="284"/>
      <c r="AM600" s="355"/>
      <c r="AO600" s="359"/>
      <c r="AP600" s="284"/>
      <c r="AQ600" s="355"/>
      <c r="AR600" s="360"/>
      <c r="AS600" s="359"/>
      <c r="AT600" s="284"/>
      <c r="AU600" s="355"/>
      <c r="AW600" s="359"/>
      <c r="AX600" s="284"/>
      <c r="AY600" s="355"/>
      <c r="BA600" s="359"/>
      <c r="BB600" s="284"/>
      <c r="BC600" s="355"/>
      <c r="BE600" s="359"/>
      <c r="BF600" s="284"/>
      <c r="BG600" s="355"/>
      <c r="BI600" s="359"/>
      <c r="BJ600" s="284"/>
      <c r="BK600" s="355"/>
      <c r="BM600" s="359"/>
      <c r="BN600" s="284"/>
      <c r="BO600" s="355"/>
      <c r="BQ600" s="359"/>
      <c r="BR600" s="284"/>
      <c r="BS600" s="355"/>
      <c r="BU600" s="359"/>
      <c r="BV600" s="284"/>
    </row>
    <row r="601" spans="2:74" x14ac:dyDescent="0.25">
      <c r="B601" s="284"/>
      <c r="D601" s="355"/>
      <c r="E601" s="356"/>
      <c r="F601" s="357"/>
      <c r="G601" s="358"/>
      <c r="H601" s="359"/>
      <c r="I601" s="284"/>
      <c r="J601" s="287"/>
      <c r="K601" s="355"/>
      <c r="M601" s="359"/>
      <c r="N601" s="284"/>
      <c r="O601" s="355"/>
      <c r="P601" s="360"/>
      <c r="Q601" s="359"/>
      <c r="R601" s="284"/>
      <c r="S601" s="355"/>
      <c r="U601" s="359"/>
      <c r="V601" s="284"/>
      <c r="W601" s="355"/>
      <c r="Y601" s="359"/>
      <c r="Z601" s="284"/>
      <c r="AA601" s="355"/>
      <c r="AC601" s="359"/>
      <c r="AD601" s="284"/>
      <c r="AE601" s="355"/>
      <c r="AG601" s="359"/>
      <c r="AH601" s="284"/>
      <c r="AI601" s="355"/>
      <c r="AK601" s="359"/>
      <c r="AL601" s="284"/>
      <c r="AM601" s="355"/>
      <c r="AO601" s="359"/>
      <c r="AP601" s="284"/>
      <c r="AQ601" s="355"/>
      <c r="AR601" s="360"/>
      <c r="AS601" s="359"/>
      <c r="AT601" s="284"/>
      <c r="AU601" s="355"/>
      <c r="AW601" s="359"/>
      <c r="AX601" s="284"/>
      <c r="AY601" s="355"/>
      <c r="BA601" s="359"/>
      <c r="BB601" s="284"/>
      <c r="BC601" s="355"/>
      <c r="BE601" s="359"/>
      <c r="BF601" s="284"/>
      <c r="BG601" s="355"/>
      <c r="BI601" s="359"/>
      <c r="BJ601" s="284"/>
      <c r="BK601" s="355"/>
      <c r="BM601" s="359"/>
      <c r="BN601" s="284"/>
      <c r="BO601" s="355"/>
      <c r="BQ601" s="359"/>
      <c r="BR601" s="284"/>
      <c r="BS601" s="355"/>
      <c r="BU601" s="359"/>
      <c r="BV601" s="284"/>
    </row>
    <row r="602" spans="2:74" x14ac:dyDescent="0.25">
      <c r="B602" s="284"/>
      <c r="D602" s="355"/>
      <c r="E602" s="356"/>
      <c r="F602" s="357"/>
      <c r="G602" s="358"/>
      <c r="H602" s="359"/>
      <c r="I602" s="284"/>
      <c r="J602" s="287"/>
      <c r="K602" s="355"/>
      <c r="M602" s="359"/>
      <c r="N602" s="284"/>
      <c r="O602" s="355"/>
      <c r="P602" s="360"/>
      <c r="Q602" s="359"/>
      <c r="R602" s="284"/>
      <c r="S602" s="355"/>
      <c r="U602" s="359"/>
      <c r="V602" s="284"/>
      <c r="W602" s="355"/>
      <c r="Y602" s="359"/>
      <c r="Z602" s="284"/>
      <c r="AA602" s="355"/>
      <c r="AC602" s="359"/>
      <c r="AD602" s="284"/>
      <c r="AE602" s="355"/>
      <c r="AG602" s="359"/>
      <c r="AH602" s="284"/>
      <c r="AI602" s="355"/>
      <c r="AK602" s="359"/>
      <c r="AL602" s="284"/>
      <c r="AM602" s="355"/>
      <c r="AO602" s="359"/>
      <c r="AP602" s="284"/>
      <c r="AQ602" s="355"/>
      <c r="AR602" s="360"/>
      <c r="AS602" s="359"/>
      <c r="AT602" s="284"/>
      <c r="AU602" s="355"/>
      <c r="AW602" s="359"/>
      <c r="AX602" s="284"/>
      <c r="AY602" s="355"/>
      <c r="BA602" s="359"/>
      <c r="BB602" s="284"/>
      <c r="BC602" s="355"/>
      <c r="BE602" s="359"/>
      <c r="BF602" s="284"/>
      <c r="BG602" s="355"/>
      <c r="BI602" s="359"/>
      <c r="BJ602" s="284"/>
      <c r="BK602" s="355"/>
      <c r="BM602" s="359"/>
      <c r="BN602" s="284"/>
      <c r="BO602" s="355"/>
      <c r="BQ602" s="359"/>
      <c r="BR602" s="284"/>
      <c r="BS602" s="355"/>
      <c r="BU602" s="359"/>
      <c r="BV602" s="284"/>
    </row>
    <row r="603" spans="2:74" x14ac:dyDescent="0.25">
      <c r="B603" s="284"/>
      <c r="D603" s="355"/>
      <c r="E603" s="356"/>
      <c r="F603" s="357"/>
      <c r="G603" s="358"/>
      <c r="H603" s="359"/>
      <c r="I603" s="284"/>
      <c r="J603" s="287"/>
      <c r="K603" s="355"/>
      <c r="M603" s="359"/>
      <c r="N603" s="284"/>
      <c r="O603" s="355"/>
      <c r="P603" s="360"/>
      <c r="Q603" s="359"/>
      <c r="R603" s="284"/>
      <c r="S603" s="355"/>
      <c r="U603" s="359"/>
      <c r="V603" s="284"/>
      <c r="W603" s="355"/>
      <c r="Y603" s="359"/>
      <c r="Z603" s="284"/>
      <c r="AA603" s="355"/>
      <c r="AC603" s="359"/>
      <c r="AD603" s="284"/>
      <c r="AE603" s="355"/>
      <c r="AG603" s="359"/>
      <c r="AH603" s="284"/>
      <c r="AI603" s="355"/>
      <c r="AK603" s="359"/>
      <c r="AL603" s="284"/>
      <c r="AM603" s="355"/>
      <c r="AO603" s="359"/>
      <c r="AP603" s="284"/>
      <c r="AQ603" s="355"/>
      <c r="AR603" s="360"/>
      <c r="AS603" s="359"/>
      <c r="AT603" s="284"/>
      <c r="AU603" s="355"/>
      <c r="AW603" s="359"/>
      <c r="AX603" s="284"/>
      <c r="AY603" s="355"/>
      <c r="BA603" s="359"/>
      <c r="BB603" s="284"/>
      <c r="BC603" s="355"/>
      <c r="BE603" s="359"/>
      <c r="BF603" s="284"/>
      <c r="BG603" s="355"/>
      <c r="BI603" s="359"/>
      <c r="BJ603" s="284"/>
      <c r="BK603" s="355"/>
      <c r="BM603" s="359"/>
      <c r="BN603" s="284"/>
      <c r="BO603" s="355"/>
      <c r="BQ603" s="359"/>
      <c r="BR603" s="284"/>
      <c r="BS603" s="355"/>
      <c r="BU603" s="359"/>
      <c r="BV603" s="284"/>
    </row>
    <row r="604" spans="2:74" x14ac:dyDescent="0.25">
      <c r="B604" s="284"/>
      <c r="D604" s="355"/>
      <c r="E604" s="356"/>
      <c r="F604" s="357"/>
      <c r="G604" s="358"/>
      <c r="H604" s="359"/>
      <c r="I604" s="284"/>
      <c r="J604" s="287"/>
      <c r="K604" s="355"/>
      <c r="M604" s="359"/>
      <c r="N604" s="284"/>
      <c r="O604" s="355"/>
      <c r="P604" s="360"/>
      <c r="Q604" s="359"/>
      <c r="R604" s="284"/>
      <c r="S604" s="355"/>
      <c r="U604" s="359"/>
      <c r="V604" s="284"/>
      <c r="W604" s="355"/>
      <c r="Y604" s="359"/>
      <c r="Z604" s="284"/>
      <c r="AA604" s="355"/>
      <c r="AC604" s="359"/>
      <c r="AD604" s="284"/>
      <c r="AE604" s="355"/>
      <c r="AG604" s="359"/>
      <c r="AH604" s="284"/>
      <c r="AI604" s="355"/>
      <c r="AK604" s="359"/>
      <c r="AL604" s="284"/>
      <c r="AM604" s="355"/>
      <c r="AO604" s="359"/>
      <c r="AP604" s="284"/>
      <c r="AQ604" s="355"/>
      <c r="AR604" s="360"/>
      <c r="AS604" s="359"/>
      <c r="AT604" s="284"/>
      <c r="AU604" s="355"/>
      <c r="AW604" s="359"/>
      <c r="AX604" s="284"/>
      <c r="AY604" s="355"/>
      <c r="BA604" s="359"/>
      <c r="BB604" s="284"/>
      <c r="BC604" s="355"/>
      <c r="BE604" s="359"/>
      <c r="BF604" s="284"/>
      <c r="BG604" s="355"/>
      <c r="BI604" s="359"/>
      <c r="BJ604" s="284"/>
      <c r="BK604" s="355"/>
      <c r="BM604" s="359"/>
      <c r="BN604" s="284"/>
      <c r="BO604" s="355"/>
      <c r="BQ604" s="359"/>
      <c r="BR604" s="284"/>
      <c r="BS604" s="355"/>
      <c r="BU604" s="359"/>
      <c r="BV604" s="284"/>
    </row>
    <row r="605" spans="2:74" x14ac:dyDescent="0.25">
      <c r="B605" s="284"/>
      <c r="D605" s="355"/>
      <c r="E605" s="356"/>
      <c r="F605" s="357"/>
      <c r="G605" s="358"/>
      <c r="H605" s="359"/>
      <c r="I605" s="284"/>
      <c r="J605" s="287"/>
      <c r="K605" s="355"/>
      <c r="M605" s="359"/>
      <c r="N605" s="284"/>
      <c r="O605" s="355"/>
      <c r="P605" s="360"/>
      <c r="Q605" s="359"/>
      <c r="R605" s="284"/>
      <c r="S605" s="355"/>
      <c r="U605" s="359"/>
      <c r="V605" s="284"/>
      <c r="W605" s="355"/>
      <c r="Y605" s="359"/>
      <c r="Z605" s="284"/>
      <c r="AA605" s="355"/>
      <c r="AC605" s="359"/>
      <c r="AD605" s="284"/>
      <c r="AE605" s="355"/>
      <c r="AG605" s="359"/>
      <c r="AH605" s="284"/>
      <c r="AI605" s="355"/>
      <c r="AK605" s="359"/>
      <c r="AL605" s="284"/>
      <c r="AM605" s="355"/>
      <c r="AO605" s="359"/>
      <c r="AP605" s="284"/>
      <c r="AQ605" s="355"/>
      <c r="AR605" s="360"/>
      <c r="AS605" s="359"/>
      <c r="AT605" s="284"/>
      <c r="AU605" s="355"/>
      <c r="AW605" s="359"/>
      <c r="AX605" s="284"/>
      <c r="AY605" s="355"/>
      <c r="BA605" s="359"/>
      <c r="BB605" s="284"/>
      <c r="BC605" s="355"/>
      <c r="BE605" s="359"/>
      <c r="BF605" s="284"/>
      <c r="BG605" s="355"/>
      <c r="BI605" s="359"/>
      <c r="BJ605" s="284"/>
      <c r="BK605" s="355"/>
      <c r="BM605" s="359"/>
      <c r="BN605" s="284"/>
      <c r="BO605" s="355"/>
      <c r="BQ605" s="359"/>
      <c r="BR605" s="284"/>
      <c r="BS605" s="355"/>
      <c r="BU605" s="359"/>
      <c r="BV605" s="284"/>
    </row>
    <row r="606" spans="2:74" x14ac:dyDescent="0.25">
      <c r="B606" s="284"/>
      <c r="D606" s="355"/>
      <c r="E606" s="356"/>
      <c r="F606" s="357"/>
      <c r="G606" s="358"/>
      <c r="H606" s="359"/>
      <c r="I606" s="284"/>
      <c r="J606" s="287"/>
      <c r="K606" s="355"/>
      <c r="M606" s="359"/>
      <c r="N606" s="284"/>
      <c r="O606" s="355"/>
      <c r="P606" s="360"/>
      <c r="Q606" s="359"/>
      <c r="R606" s="284"/>
      <c r="S606" s="355"/>
      <c r="U606" s="359"/>
      <c r="V606" s="284"/>
      <c r="W606" s="355"/>
      <c r="Y606" s="359"/>
      <c r="Z606" s="284"/>
      <c r="AA606" s="355"/>
      <c r="AC606" s="359"/>
      <c r="AD606" s="284"/>
      <c r="AE606" s="355"/>
      <c r="AG606" s="359"/>
      <c r="AH606" s="284"/>
      <c r="AI606" s="355"/>
      <c r="AK606" s="359"/>
      <c r="AL606" s="284"/>
      <c r="AM606" s="355"/>
      <c r="AO606" s="359"/>
      <c r="AP606" s="284"/>
      <c r="AQ606" s="355"/>
      <c r="AR606" s="360"/>
      <c r="AS606" s="359"/>
      <c r="AT606" s="284"/>
      <c r="AU606" s="355"/>
      <c r="AW606" s="359"/>
      <c r="AX606" s="284"/>
      <c r="AY606" s="355"/>
      <c r="BA606" s="359"/>
      <c r="BB606" s="284"/>
      <c r="BC606" s="355"/>
      <c r="BE606" s="359"/>
      <c r="BF606" s="284"/>
      <c r="BG606" s="355"/>
      <c r="BI606" s="359"/>
      <c r="BJ606" s="284"/>
      <c r="BK606" s="355"/>
      <c r="BM606" s="359"/>
      <c r="BN606" s="284"/>
      <c r="BO606" s="355"/>
      <c r="BQ606" s="359"/>
      <c r="BR606" s="284"/>
      <c r="BS606" s="355"/>
      <c r="BU606" s="359"/>
      <c r="BV606" s="284"/>
    </row>
    <row r="607" spans="2:74" x14ac:dyDescent="0.25">
      <c r="B607" s="284"/>
      <c r="D607" s="355"/>
      <c r="E607" s="356"/>
      <c r="F607" s="357"/>
      <c r="G607" s="358"/>
      <c r="H607" s="359"/>
      <c r="I607" s="284"/>
      <c r="J607" s="287"/>
      <c r="K607" s="355"/>
      <c r="M607" s="359"/>
      <c r="N607" s="284"/>
      <c r="O607" s="355"/>
      <c r="P607" s="360"/>
      <c r="Q607" s="359"/>
      <c r="R607" s="284"/>
      <c r="S607" s="355"/>
      <c r="U607" s="359"/>
      <c r="V607" s="284"/>
      <c r="W607" s="355"/>
      <c r="Y607" s="359"/>
      <c r="Z607" s="284"/>
      <c r="AA607" s="355"/>
      <c r="AC607" s="359"/>
      <c r="AD607" s="284"/>
      <c r="AE607" s="355"/>
      <c r="AG607" s="359"/>
      <c r="AH607" s="284"/>
      <c r="AI607" s="355"/>
      <c r="AK607" s="359"/>
      <c r="AL607" s="284"/>
      <c r="AM607" s="355"/>
      <c r="AO607" s="359"/>
      <c r="AP607" s="284"/>
      <c r="AQ607" s="355"/>
      <c r="AR607" s="360"/>
      <c r="AS607" s="359"/>
      <c r="AT607" s="284"/>
      <c r="AU607" s="355"/>
      <c r="AW607" s="359"/>
      <c r="AX607" s="284"/>
      <c r="AY607" s="355"/>
      <c r="BA607" s="359"/>
      <c r="BB607" s="284"/>
      <c r="BC607" s="355"/>
      <c r="BE607" s="359"/>
      <c r="BF607" s="284"/>
      <c r="BG607" s="355"/>
      <c r="BI607" s="359"/>
      <c r="BJ607" s="284"/>
      <c r="BK607" s="355"/>
      <c r="BM607" s="359"/>
      <c r="BN607" s="284"/>
      <c r="BO607" s="355"/>
      <c r="BQ607" s="359"/>
      <c r="BR607" s="284"/>
      <c r="BS607" s="355"/>
      <c r="BU607" s="359"/>
      <c r="BV607" s="284"/>
    </row>
    <row r="608" spans="2:74" x14ac:dyDescent="0.25">
      <c r="B608" s="284"/>
      <c r="D608" s="355"/>
      <c r="E608" s="356"/>
      <c r="F608" s="357"/>
      <c r="G608" s="358"/>
      <c r="H608" s="359"/>
      <c r="I608" s="284"/>
      <c r="J608" s="287"/>
      <c r="K608" s="355"/>
      <c r="M608" s="359"/>
      <c r="N608" s="284"/>
      <c r="O608" s="355"/>
      <c r="P608" s="360"/>
      <c r="Q608" s="359"/>
      <c r="R608" s="284"/>
      <c r="S608" s="355"/>
      <c r="U608" s="359"/>
      <c r="V608" s="284"/>
      <c r="W608" s="355"/>
      <c r="Y608" s="359"/>
      <c r="Z608" s="284"/>
      <c r="AA608" s="355"/>
      <c r="AC608" s="359"/>
      <c r="AD608" s="284"/>
      <c r="AE608" s="355"/>
      <c r="AG608" s="359"/>
      <c r="AH608" s="284"/>
      <c r="AI608" s="355"/>
      <c r="AK608" s="359"/>
      <c r="AL608" s="284"/>
      <c r="AM608" s="355"/>
      <c r="AO608" s="359"/>
      <c r="AP608" s="284"/>
      <c r="AQ608" s="355"/>
      <c r="AR608" s="360"/>
      <c r="AS608" s="359"/>
      <c r="AT608" s="284"/>
      <c r="AU608" s="355"/>
      <c r="AW608" s="359"/>
      <c r="AX608" s="284"/>
      <c r="AY608" s="355"/>
      <c r="BA608" s="359"/>
      <c r="BB608" s="284"/>
      <c r="BC608" s="355"/>
      <c r="BE608" s="359"/>
      <c r="BF608" s="284"/>
      <c r="BG608" s="355"/>
      <c r="BI608" s="359"/>
      <c r="BJ608" s="284"/>
      <c r="BK608" s="355"/>
      <c r="BM608" s="359"/>
      <c r="BN608" s="284"/>
      <c r="BO608" s="355"/>
      <c r="BQ608" s="359"/>
      <c r="BR608" s="284"/>
      <c r="BS608" s="355"/>
      <c r="BU608" s="359"/>
      <c r="BV608" s="284"/>
    </row>
    <row r="609" spans="2:74" x14ac:dyDescent="0.25">
      <c r="B609" s="284"/>
      <c r="D609" s="355"/>
      <c r="E609" s="356"/>
      <c r="F609" s="357"/>
      <c r="G609" s="358"/>
      <c r="H609" s="359"/>
      <c r="I609" s="284"/>
      <c r="J609" s="287"/>
      <c r="K609" s="355"/>
      <c r="M609" s="359"/>
      <c r="N609" s="284"/>
      <c r="O609" s="355"/>
      <c r="P609" s="360"/>
      <c r="Q609" s="359"/>
      <c r="R609" s="284"/>
      <c r="S609" s="355"/>
      <c r="U609" s="359"/>
      <c r="V609" s="284"/>
      <c r="W609" s="355"/>
      <c r="Y609" s="359"/>
      <c r="Z609" s="284"/>
      <c r="AA609" s="355"/>
      <c r="AC609" s="359"/>
      <c r="AD609" s="284"/>
      <c r="AE609" s="355"/>
      <c r="AG609" s="359"/>
      <c r="AH609" s="284"/>
      <c r="AI609" s="355"/>
      <c r="AK609" s="359"/>
      <c r="AL609" s="284"/>
      <c r="AM609" s="355"/>
      <c r="AO609" s="359"/>
      <c r="AP609" s="284"/>
      <c r="AQ609" s="355"/>
      <c r="AR609" s="360"/>
      <c r="AS609" s="359"/>
      <c r="AT609" s="284"/>
      <c r="AU609" s="355"/>
      <c r="AW609" s="359"/>
      <c r="AX609" s="284"/>
      <c r="AY609" s="355"/>
      <c r="BA609" s="359"/>
      <c r="BB609" s="284"/>
      <c r="BC609" s="355"/>
      <c r="BE609" s="359"/>
      <c r="BF609" s="284"/>
      <c r="BG609" s="355"/>
      <c r="BI609" s="359"/>
      <c r="BJ609" s="284"/>
      <c r="BK609" s="355"/>
      <c r="BM609" s="359"/>
      <c r="BN609" s="284"/>
      <c r="BO609" s="355"/>
      <c r="BQ609" s="359"/>
      <c r="BR609" s="284"/>
      <c r="BS609" s="355"/>
      <c r="BU609" s="359"/>
      <c r="BV609" s="284"/>
    </row>
    <row r="610" spans="2:74" x14ac:dyDescent="0.25">
      <c r="B610" s="284"/>
      <c r="D610" s="355"/>
      <c r="E610" s="356"/>
      <c r="F610" s="357"/>
      <c r="G610" s="358"/>
      <c r="H610" s="359"/>
      <c r="I610" s="284"/>
      <c r="J610" s="287"/>
      <c r="K610" s="355"/>
      <c r="M610" s="359"/>
      <c r="N610" s="284"/>
      <c r="O610" s="355"/>
      <c r="P610" s="360"/>
      <c r="Q610" s="359"/>
      <c r="R610" s="284"/>
      <c r="S610" s="355"/>
      <c r="U610" s="359"/>
      <c r="V610" s="284"/>
      <c r="W610" s="355"/>
      <c r="Y610" s="359"/>
      <c r="Z610" s="284"/>
      <c r="AA610" s="355"/>
      <c r="AC610" s="359"/>
      <c r="AD610" s="284"/>
      <c r="AE610" s="355"/>
      <c r="AG610" s="359"/>
      <c r="AH610" s="284"/>
      <c r="AI610" s="355"/>
      <c r="AK610" s="359"/>
      <c r="AL610" s="284"/>
      <c r="AM610" s="355"/>
      <c r="AO610" s="359"/>
      <c r="AP610" s="284"/>
      <c r="AQ610" s="355"/>
      <c r="AR610" s="360"/>
      <c r="AS610" s="359"/>
      <c r="AT610" s="284"/>
      <c r="AU610" s="355"/>
      <c r="AW610" s="359"/>
      <c r="AX610" s="284"/>
      <c r="AY610" s="355"/>
      <c r="BA610" s="359"/>
      <c r="BB610" s="284"/>
      <c r="BC610" s="355"/>
      <c r="BE610" s="359"/>
      <c r="BF610" s="284"/>
      <c r="BG610" s="355"/>
      <c r="BI610" s="359"/>
      <c r="BJ610" s="284"/>
      <c r="BK610" s="355"/>
      <c r="BM610" s="359"/>
      <c r="BN610" s="284"/>
      <c r="BO610" s="355"/>
      <c r="BQ610" s="359"/>
      <c r="BR610" s="284"/>
      <c r="BS610" s="355"/>
      <c r="BU610" s="359"/>
      <c r="BV610" s="284"/>
    </row>
    <row r="611" spans="2:74" x14ac:dyDescent="0.25">
      <c r="B611" s="284"/>
      <c r="D611" s="355"/>
      <c r="E611" s="356"/>
      <c r="F611" s="357"/>
      <c r="G611" s="358"/>
      <c r="H611" s="359"/>
      <c r="I611" s="284"/>
      <c r="J611" s="287"/>
      <c r="K611" s="355"/>
      <c r="M611" s="359"/>
      <c r="N611" s="284"/>
      <c r="O611" s="355"/>
      <c r="P611" s="360"/>
      <c r="Q611" s="359"/>
      <c r="R611" s="284"/>
      <c r="S611" s="355"/>
      <c r="U611" s="359"/>
      <c r="V611" s="284"/>
      <c r="W611" s="355"/>
      <c r="Y611" s="359"/>
      <c r="Z611" s="284"/>
      <c r="AA611" s="355"/>
      <c r="AC611" s="359"/>
      <c r="AD611" s="284"/>
      <c r="AE611" s="355"/>
      <c r="AG611" s="359"/>
      <c r="AH611" s="284"/>
      <c r="AI611" s="355"/>
      <c r="AK611" s="359"/>
      <c r="AL611" s="284"/>
      <c r="AM611" s="355"/>
      <c r="AO611" s="359"/>
      <c r="AP611" s="284"/>
      <c r="AQ611" s="355"/>
      <c r="AR611" s="360"/>
      <c r="AS611" s="359"/>
      <c r="AT611" s="284"/>
      <c r="AU611" s="355"/>
      <c r="AW611" s="359"/>
      <c r="AX611" s="284"/>
      <c r="AY611" s="355"/>
      <c r="BA611" s="359"/>
      <c r="BB611" s="284"/>
      <c r="BC611" s="355"/>
      <c r="BE611" s="359"/>
      <c r="BF611" s="284"/>
      <c r="BG611" s="355"/>
      <c r="BI611" s="359"/>
      <c r="BJ611" s="284"/>
      <c r="BK611" s="355"/>
      <c r="BM611" s="359"/>
      <c r="BN611" s="284"/>
      <c r="BO611" s="355"/>
      <c r="BQ611" s="359"/>
      <c r="BR611" s="284"/>
      <c r="BS611" s="355"/>
      <c r="BU611" s="359"/>
      <c r="BV611" s="284"/>
    </row>
    <row r="612" spans="2:74" x14ac:dyDescent="0.25">
      <c r="B612" s="284"/>
      <c r="D612" s="355"/>
      <c r="E612" s="356"/>
      <c r="F612" s="357"/>
      <c r="G612" s="358"/>
      <c r="H612" s="359"/>
      <c r="I612" s="284"/>
      <c r="J612" s="287"/>
      <c r="K612" s="355"/>
      <c r="M612" s="359"/>
      <c r="N612" s="284"/>
      <c r="O612" s="355"/>
      <c r="P612" s="360"/>
      <c r="Q612" s="359"/>
      <c r="R612" s="284"/>
      <c r="S612" s="355"/>
      <c r="U612" s="359"/>
      <c r="V612" s="284"/>
      <c r="W612" s="355"/>
      <c r="Y612" s="359"/>
      <c r="Z612" s="284"/>
      <c r="AA612" s="355"/>
      <c r="AC612" s="359"/>
      <c r="AD612" s="284"/>
      <c r="AE612" s="355"/>
      <c r="AG612" s="359"/>
      <c r="AH612" s="284"/>
      <c r="AI612" s="355"/>
      <c r="AK612" s="359"/>
      <c r="AL612" s="284"/>
      <c r="AM612" s="355"/>
      <c r="AO612" s="359"/>
      <c r="AP612" s="284"/>
      <c r="AQ612" s="355"/>
      <c r="AR612" s="360"/>
      <c r="AS612" s="359"/>
      <c r="AT612" s="284"/>
      <c r="AU612" s="355"/>
      <c r="AW612" s="359"/>
      <c r="AX612" s="284"/>
      <c r="AY612" s="355"/>
      <c r="BA612" s="359"/>
      <c r="BB612" s="284"/>
      <c r="BC612" s="355"/>
      <c r="BE612" s="359"/>
      <c r="BF612" s="284"/>
      <c r="BG612" s="355"/>
      <c r="BI612" s="359"/>
      <c r="BJ612" s="284"/>
      <c r="BK612" s="355"/>
      <c r="BM612" s="359"/>
      <c r="BN612" s="284"/>
      <c r="BO612" s="355"/>
      <c r="BQ612" s="359"/>
      <c r="BR612" s="284"/>
      <c r="BS612" s="355"/>
      <c r="BU612" s="359"/>
      <c r="BV612" s="284"/>
    </row>
    <row r="613" spans="2:74" x14ac:dyDescent="0.25">
      <c r="B613" s="284"/>
      <c r="D613" s="355"/>
      <c r="E613" s="356"/>
      <c r="F613" s="357"/>
      <c r="G613" s="358"/>
      <c r="H613" s="359"/>
      <c r="I613" s="284"/>
      <c r="J613" s="287"/>
      <c r="K613" s="355"/>
      <c r="M613" s="359"/>
      <c r="N613" s="284"/>
      <c r="O613" s="355"/>
      <c r="P613" s="360"/>
      <c r="Q613" s="359"/>
      <c r="R613" s="284"/>
      <c r="S613" s="355"/>
      <c r="U613" s="359"/>
      <c r="V613" s="284"/>
      <c r="W613" s="355"/>
      <c r="Y613" s="359"/>
      <c r="Z613" s="284"/>
      <c r="AA613" s="355"/>
      <c r="AC613" s="359"/>
      <c r="AD613" s="284"/>
      <c r="AE613" s="355"/>
      <c r="AG613" s="359"/>
      <c r="AH613" s="284"/>
      <c r="AI613" s="355"/>
      <c r="AK613" s="359"/>
      <c r="AL613" s="284"/>
      <c r="AM613" s="355"/>
      <c r="AO613" s="359"/>
      <c r="AP613" s="284"/>
      <c r="AQ613" s="355"/>
      <c r="AR613" s="360"/>
      <c r="AS613" s="359"/>
      <c r="AT613" s="284"/>
      <c r="AU613" s="355"/>
      <c r="AW613" s="359"/>
      <c r="AX613" s="284"/>
      <c r="AY613" s="355"/>
      <c r="BA613" s="359"/>
      <c r="BB613" s="284"/>
      <c r="BC613" s="355"/>
      <c r="BE613" s="359"/>
      <c r="BF613" s="284"/>
      <c r="BG613" s="355"/>
      <c r="BI613" s="359"/>
      <c r="BJ613" s="284"/>
      <c r="BK613" s="355"/>
      <c r="BM613" s="359"/>
      <c r="BN613" s="284"/>
      <c r="BO613" s="355"/>
      <c r="BQ613" s="359"/>
      <c r="BR613" s="284"/>
      <c r="BS613" s="355"/>
      <c r="BU613" s="359"/>
      <c r="BV613" s="284"/>
    </row>
    <row r="614" spans="2:74" x14ac:dyDescent="0.25">
      <c r="B614" s="284"/>
      <c r="D614" s="355"/>
      <c r="E614" s="356"/>
      <c r="F614" s="357"/>
      <c r="G614" s="358"/>
      <c r="H614" s="359"/>
      <c r="I614" s="284"/>
      <c r="J614" s="287"/>
      <c r="K614" s="355"/>
      <c r="M614" s="359"/>
      <c r="N614" s="284"/>
      <c r="O614" s="355"/>
      <c r="P614" s="360"/>
      <c r="Q614" s="359"/>
      <c r="R614" s="284"/>
      <c r="S614" s="355"/>
      <c r="U614" s="359"/>
      <c r="V614" s="284"/>
      <c r="W614" s="355"/>
      <c r="Y614" s="359"/>
      <c r="Z614" s="284"/>
      <c r="AA614" s="355"/>
      <c r="AC614" s="359"/>
      <c r="AD614" s="284"/>
      <c r="AE614" s="355"/>
      <c r="AG614" s="359"/>
      <c r="AH614" s="284"/>
      <c r="AI614" s="355"/>
      <c r="AK614" s="359"/>
      <c r="AL614" s="284"/>
      <c r="AM614" s="355"/>
      <c r="AO614" s="359"/>
      <c r="AP614" s="284"/>
      <c r="AQ614" s="355"/>
      <c r="AR614" s="360"/>
      <c r="AS614" s="359"/>
      <c r="AT614" s="284"/>
      <c r="AU614" s="355"/>
      <c r="AW614" s="359"/>
      <c r="AX614" s="284"/>
      <c r="AY614" s="355"/>
      <c r="BA614" s="359"/>
      <c r="BB614" s="284"/>
      <c r="BC614" s="355"/>
      <c r="BE614" s="359"/>
      <c r="BF614" s="284"/>
      <c r="BG614" s="355"/>
      <c r="BI614" s="359"/>
      <c r="BJ614" s="284"/>
      <c r="BK614" s="355"/>
      <c r="BM614" s="359"/>
      <c r="BN614" s="284"/>
      <c r="BO614" s="355"/>
      <c r="BQ614" s="359"/>
      <c r="BR614" s="284"/>
      <c r="BS614" s="355"/>
      <c r="BU614" s="359"/>
      <c r="BV614" s="284"/>
    </row>
    <row r="615" spans="2:74" x14ac:dyDescent="0.25">
      <c r="B615" s="284"/>
      <c r="D615" s="355"/>
      <c r="E615" s="356"/>
      <c r="F615" s="357"/>
      <c r="G615" s="358"/>
      <c r="H615" s="359"/>
      <c r="I615" s="284"/>
      <c r="J615" s="287"/>
      <c r="K615" s="355"/>
      <c r="M615" s="359"/>
      <c r="N615" s="284"/>
      <c r="O615" s="355"/>
      <c r="P615" s="360"/>
      <c r="Q615" s="359"/>
      <c r="R615" s="284"/>
      <c r="S615" s="355"/>
      <c r="U615" s="359"/>
      <c r="V615" s="284"/>
      <c r="W615" s="355"/>
      <c r="Y615" s="359"/>
      <c r="Z615" s="284"/>
      <c r="AA615" s="355"/>
      <c r="AC615" s="359"/>
      <c r="AD615" s="284"/>
      <c r="AE615" s="355"/>
      <c r="AG615" s="359"/>
      <c r="AH615" s="284"/>
      <c r="AI615" s="355"/>
      <c r="AK615" s="359"/>
      <c r="AL615" s="284"/>
      <c r="AM615" s="355"/>
      <c r="AO615" s="359"/>
      <c r="AP615" s="284"/>
      <c r="AQ615" s="355"/>
      <c r="AR615" s="360"/>
      <c r="AS615" s="359"/>
      <c r="AT615" s="284"/>
      <c r="AU615" s="355"/>
      <c r="AW615" s="359"/>
      <c r="AX615" s="284"/>
      <c r="AY615" s="355"/>
      <c r="BA615" s="359"/>
      <c r="BB615" s="284"/>
      <c r="BC615" s="355"/>
      <c r="BE615" s="359"/>
      <c r="BF615" s="284"/>
      <c r="BG615" s="355"/>
      <c r="BI615" s="359"/>
      <c r="BJ615" s="284"/>
      <c r="BK615" s="355"/>
      <c r="BM615" s="359"/>
      <c r="BN615" s="284"/>
      <c r="BO615" s="355"/>
      <c r="BQ615" s="359"/>
      <c r="BR615" s="284"/>
      <c r="BS615" s="355"/>
      <c r="BU615" s="359"/>
      <c r="BV615" s="284"/>
    </row>
    <row r="616" spans="2:74" x14ac:dyDescent="0.25">
      <c r="B616" s="284"/>
      <c r="D616" s="355"/>
      <c r="E616" s="356"/>
      <c r="F616" s="357"/>
      <c r="G616" s="358"/>
      <c r="H616" s="359"/>
      <c r="I616" s="284"/>
      <c r="J616" s="287"/>
      <c r="K616" s="355"/>
      <c r="M616" s="359"/>
      <c r="N616" s="284"/>
      <c r="O616" s="355"/>
      <c r="P616" s="360"/>
      <c r="Q616" s="359"/>
      <c r="R616" s="284"/>
      <c r="S616" s="355"/>
      <c r="U616" s="359"/>
      <c r="V616" s="284"/>
      <c r="W616" s="355"/>
      <c r="Y616" s="359"/>
      <c r="Z616" s="284"/>
      <c r="AA616" s="355"/>
      <c r="AC616" s="359"/>
      <c r="AD616" s="284"/>
      <c r="AE616" s="355"/>
      <c r="AG616" s="359"/>
      <c r="AH616" s="284"/>
      <c r="AI616" s="355"/>
      <c r="AK616" s="359"/>
      <c r="AL616" s="284"/>
      <c r="AM616" s="355"/>
      <c r="AO616" s="359"/>
      <c r="AP616" s="284"/>
      <c r="AQ616" s="355"/>
      <c r="AR616" s="360"/>
      <c r="AS616" s="359"/>
      <c r="AT616" s="284"/>
      <c r="AU616" s="355"/>
      <c r="AW616" s="359"/>
      <c r="AX616" s="284"/>
      <c r="AY616" s="355"/>
      <c r="BA616" s="359"/>
      <c r="BB616" s="284"/>
      <c r="BC616" s="355"/>
      <c r="BE616" s="359"/>
      <c r="BF616" s="284"/>
      <c r="BG616" s="355"/>
      <c r="BI616" s="359"/>
      <c r="BJ616" s="284"/>
      <c r="BK616" s="355"/>
      <c r="BM616" s="359"/>
      <c r="BN616" s="284"/>
      <c r="BO616" s="355"/>
      <c r="BQ616" s="359"/>
      <c r="BR616" s="284"/>
      <c r="BS616" s="355"/>
      <c r="BU616" s="359"/>
      <c r="BV616" s="284"/>
    </row>
    <row r="617" spans="2:74" x14ac:dyDescent="0.25">
      <c r="B617" s="284"/>
      <c r="D617" s="355"/>
      <c r="E617" s="356"/>
      <c r="F617" s="357"/>
      <c r="G617" s="358"/>
      <c r="H617" s="359"/>
      <c r="I617" s="284"/>
      <c r="J617" s="287"/>
      <c r="K617" s="355"/>
      <c r="M617" s="359"/>
      <c r="N617" s="284"/>
      <c r="O617" s="355"/>
      <c r="P617" s="360"/>
      <c r="Q617" s="359"/>
      <c r="R617" s="284"/>
      <c r="S617" s="355"/>
      <c r="U617" s="359"/>
      <c r="V617" s="284"/>
      <c r="W617" s="355"/>
      <c r="Y617" s="359"/>
      <c r="Z617" s="284"/>
      <c r="AA617" s="355"/>
      <c r="AC617" s="359"/>
      <c r="AD617" s="284"/>
      <c r="AE617" s="355"/>
      <c r="AG617" s="359"/>
      <c r="AH617" s="284"/>
      <c r="AI617" s="355"/>
      <c r="AK617" s="359"/>
      <c r="AL617" s="284"/>
      <c r="AM617" s="355"/>
      <c r="AO617" s="359"/>
      <c r="AP617" s="284"/>
      <c r="AQ617" s="355"/>
      <c r="AR617" s="360"/>
      <c r="AS617" s="359"/>
      <c r="AT617" s="284"/>
      <c r="AU617" s="355"/>
      <c r="AW617" s="359"/>
      <c r="AX617" s="284"/>
      <c r="AY617" s="355"/>
      <c r="BA617" s="359"/>
      <c r="BB617" s="284"/>
      <c r="BC617" s="355"/>
      <c r="BE617" s="359"/>
      <c r="BF617" s="284"/>
      <c r="BG617" s="355"/>
      <c r="BI617" s="359"/>
      <c r="BJ617" s="284"/>
      <c r="BK617" s="355"/>
      <c r="BM617" s="359"/>
      <c r="BN617" s="284"/>
      <c r="BO617" s="355"/>
      <c r="BQ617" s="359"/>
      <c r="BR617" s="284"/>
      <c r="BS617" s="355"/>
      <c r="BU617" s="359"/>
      <c r="BV617" s="284"/>
    </row>
    <row r="618" spans="2:74" x14ac:dyDescent="0.25">
      <c r="B618" s="284"/>
      <c r="D618" s="355"/>
      <c r="E618" s="356"/>
      <c r="F618" s="357"/>
      <c r="G618" s="358"/>
      <c r="H618" s="359"/>
      <c r="I618" s="284"/>
      <c r="J618" s="287"/>
      <c r="K618" s="355"/>
      <c r="M618" s="359"/>
      <c r="N618" s="284"/>
      <c r="O618" s="355"/>
      <c r="P618" s="360"/>
      <c r="Q618" s="359"/>
      <c r="R618" s="284"/>
      <c r="S618" s="355"/>
      <c r="U618" s="359"/>
      <c r="V618" s="284"/>
      <c r="W618" s="355"/>
      <c r="Y618" s="359"/>
      <c r="Z618" s="284"/>
      <c r="AA618" s="355"/>
      <c r="AC618" s="359"/>
      <c r="AD618" s="284"/>
      <c r="AE618" s="355"/>
      <c r="AG618" s="359"/>
      <c r="AH618" s="284"/>
      <c r="AI618" s="355"/>
      <c r="AK618" s="359"/>
      <c r="AL618" s="284"/>
      <c r="AM618" s="355"/>
      <c r="AO618" s="359"/>
      <c r="AP618" s="284"/>
      <c r="AQ618" s="355"/>
      <c r="AR618" s="360"/>
      <c r="AS618" s="359"/>
      <c r="AT618" s="284"/>
      <c r="AU618" s="355"/>
      <c r="AW618" s="359"/>
      <c r="AX618" s="284"/>
      <c r="AY618" s="355"/>
      <c r="BA618" s="359"/>
      <c r="BB618" s="284"/>
      <c r="BC618" s="355"/>
      <c r="BE618" s="359"/>
      <c r="BF618" s="284"/>
      <c r="BG618" s="355"/>
      <c r="BI618" s="359"/>
      <c r="BJ618" s="284"/>
      <c r="BK618" s="355"/>
      <c r="BM618" s="359"/>
      <c r="BN618" s="284"/>
      <c r="BO618" s="355"/>
      <c r="BQ618" s="359"/>
      <c r="BR618" s="284"/>
      <c r="BS618" s="355"/>
      <c r="BU618" s="359"/>
      <c r="BV618" s="284"/>
    </row>
    <row r="619" spans="2:74" x14ac:dyDescent="0.25">
      <c r="B619" s="284"/>
      <c r="D619" s="355"/>
      <c r="E619" s="356"/>
      <c r="F619" s="357"/>
      <c r="G619" s="358"/>
      <c r="H619" s="359"/>
      <c r="I619" s="284"/>
      <c r="J619" s="287"/>
      <c r="K619" s="355"/>
      <c r="M619" s="359"/>
      <c r="N619" s="284"/>
      <c r="O619" s="355"/>
      <c r="P619" s="360"/>
      <c r="Q619" s="359"/>
      <c r="R619" s="284"/>
      <c r="S619" s="355"/>
      <c r="U619" s="359"/>
      <c r="V619" s="284"/>
      <c r="W619" s="355"/>
      <c r="Y619" s="359"/>
      <c r="Z619" s="284"/>
      <c r="AA619" s="355"/>
      <c r="AC619" s="359"/>
      <c r="AD619" s="284"/>
      <c r="AE619" s="355"/>
      <c r="AG619" s="359"/>
      <c r="AH619" s="284"/>
      <c r="AI619" s="355"/>
      <c r="AK619" s="359"/>
      <c r="AL619" s="284"/>
      <c r="AM619" s="355"/>
      <c r="AO619" s="359"/>
      <c r="AP619" s="284"/>
      <c r="AQ619" s="355"/>
      <c r="AR619" s="360"/>
      <c r="AS619" s="359"/>
      <c r="AT619" s="284"/>
      <c r="AU619" s="355"/>
      <c r="AW619" s="359"/>
      <c r="AX619" s="284"/>
      <c r="AY619" s="355"/>
      <c r="BA619" s="359"/>
      <c r="BB619" s="284"/>
      <c r="BC619" s="355"/>
      <c r="BE619" s="359"/>
      <c r="BF619" s="284"/>
      <c r="BG619" s="355"/>
      <c r="BI619" s="359"/>
      <c r="BJ619" s="284"/>
      <c r="BK619" s="355"/>
      <c r="BM619" s="359"/>
      <c r="BN619" s="284"/>
      <c r="BO619" s="355"/>
      <c r="BQ619" s="359"/>
      <c r="BR619" s="284"/>
      <c r="BS619" s="355"/>
      <c r="BU619" s="359"/>
      <c r="BV619" s="284"/>
    </row>
    <row r="620" spans="2:74" x14ac:dyDescent="0.25">
      <c r="B620" s="284"/>
      <c r="D620" s="355"/>
      <c r="E620" s="356"/>
      <c r="F620" s="357"/>
      <c r="G620" s="358"/>
      <c r="H620" s="359"/>
      <c r="I620" s="284"/>
      <c r="J620" s="287"/>
      <c r="K620" s="355"/>
      <c r="M620" s="359"/>
      <c r="N620" s="284"/>
      <c r="O620" s="355"/>
      <c r="P620" s="360"/>
      <c r="Q620" s="359"/>
      <c r="R620" s="284"/>
      <c r="S620" s="355"/>
      <c r="U620" s="359"/>
      <c r="V620" s="284"/>
      <c r="W620" s="355"/>
      <c r="Y620" s="359"/>
      <c r="Z620" s="284"/>
      <c r="AA620" s="355"/>
      <c r="AC620" s="359"/>
      <c r="AD620" s="284"/>
      <c r="AE620" s="355"/>
      <c r="AG620" s="359"/>
      <c r="AH620" s="284"/>
      <c r="AI620" s="355"/>
      <c r="AK620" s="359"/>
      <c r="AL620" s="284"/>
      <c r="AM620" s="355"/>
      <c r="AO620" s="359"/>
      <c r="AP620" s="284"/>
      <c r="AQ620" s="355"/>
      <c r="AR620" s="360"/>
      <c r="AS620" s="359"/>
      <c r="AT620" s="284"/>
      <c r="AU620" s="355"/>
      <c r="AW620" s="359"/>
      <c r="AX620" s="284"/>
      <c r="AY620" s="355"/>
      <c r="BA620" s="359"/>
      <c r="BB620" s="284"/>
      <c r="BC620" s="355"/>
      <c r="BE620" s="359"/>
      <c r="BF620" s="284"/>
      <c r="BG620" s="355"/>
      <c r="BI620" s="359"/>
      <c r="BJ620" s="284"/>
      <c r="BK620" s="355"/>
      <c r="BM620" s="359"/>
      <c r="BN620" s="284"/>
      <c r="BO620" s="355"/>
      <c r="BQ620" s="359"/>
      <c r="BR620" s="284"/>
      <c r="BS620" s="355"/>
      <c r="BU620" s="359"/>
      <c r="BV620" s="284"/>
    </row>
    <row r="621" spans="2:74" x14ac:dyDescent="0.25">
      <c r="B621" s="284"/>
      <c r="D621" s="355"/>
      <c r="E621" s="356"/>
      <c r="F621" s="357"/>
      <c r="G621" s="358"/>
      <c r="H621" s="359"/>
      <c r="I621" s="284"/>
      <c r="J621" s="287"/>
      <c r="K621" s="355"/>
      <c r="M621" s="359"/>
      <c r="N621" s="284"/>
      <c r="O621" s="355"/>
      <c r="P621" s="360"/>
      <c r="Q621" s="359"/>
      <c r="R621" s="284"/>
      <c r="S621" s="355"/>
      <c r="U621" s="359"/>
      <c r="V621" s="284"/>
      <c r="W621" s="355"/>
      <c r="Y621" s="359"/>
      <c r="Z621" s="284"/>
      <c r="AA621" s="355"/>
      <c r="AC621" s="359"/>
      <c r="AD621" s="284"/>
      <c r="AE621" s="355"/>
      <c r="AG621" s="359"/>
      <c r="AH621" s="284"/>
      <c r="AI621" s="355"/>
      <c r="AK621" s="359"/>
      <c r="AL621" s="284"/>
      <c r="AM621" s="355"/>
      <c r="AO621" s="359"/>
      <c r="AP621" s="284"/>
      <c r="AQ621" s="355"/>
      <c r="AR621" s="360"/>
      <c r="AS621" s="359"/>
      <c r="AT621" s="284"/>
      <c r="AU621" s="355"/>
      <c r="AW621" s="359"/>
      <c r="AX621" s="284"/>
      <c r="AY621" s="355"/>
      <c r="BA621" s="359"/>
      <c r="BB621" s="284"/>
      <c r="BC621" s="355"/>
      <c r="BE621" s="359"/>
      <c r="BF621" s="284"/>
      <c r="BG621" s="355"/>
      <c r="BI621" s="359"/>
      <c r="BJ621" s="284"/>
      <c r="BK621" s="355"/>
      <c r="BM621" s="359"/>
      <c r="BN621" s="284"/>
      <c r="BO621" s="355"/>
      <c r="BQ621" s="359"/>
      <c r="BR621" s="284"/>
      <c r="BS621" s="355"/>
      <c r="BU621" s="359"/>
      <c r="BV621" s="284"/>
    </row>
    <row r="622" spans="2:74" x14ac:dyDescent="0.25">
      <c r="B622" s="284"/>
      <c r="D622" s="355"/>
      <c r="E622" s="356"/>
      <c r="F622" s="357"/>
      <c r="G622" s="358"/>
      <c r="H622" s="359"/>
      <c r="I622" s="284"/>
      <c r="J622" s="287"/>
      <c r="K622" s="355"/>
      <c r="M622" s="359"/>
      <c r="N622" s="284"/>
      <c r="O622" s="355"/>
      <c r="P622" s="360"/>
      <c r="Q622" s="359"/>
      <c r="R622" s="284"/>
      <c r="S622" s="355"/>
      <c r="U622" s="359"/>
      <c r="V622" s="284"/>
      <c r="W622" s="355"/>
      <c r="Y622" s="359"/>
      <c r="Z622" s="284"/>
      <c r="AA622" s="355"/>
      <c r="AC622" s="359"/>
      <c r="AD622" s="284"/>
      <c r="AE622" s="355"/>
      <c r="AG622" s="359"/>
      <c r="AH622" s="284"/>
      <c r="AI622" s="355"/>
      <c r="AK622" s="359"/>
      <c r="AL622" s="284"/>
      <c r="AM622" s="355"/>
      <c r="AO622" s="359"/>
      <c r="AP622" s="284"/>
      <c r="AQ622" s="355"/>
      <c r="AR622" s="360"/>
      <c r="AS622" s="359"/>
      <c r="AT622" s="284"/>
      <c r="AU622" s="355"/>
      <c r="AW622" s="359"/>
      <c r="AX622" s="284"/>
      <c r="AY622" s="355"/>
      <c r="BA622" s="359"/>
      <c r="BB622" s="284"/>
      <c r="BC622" s="355"/>
      <c r="BE622" s="359"/>
      <c r="BF622" s="284"/>
      <c r="BG622" s="355"/>
      <c r="BI622" s="359"/>
      <c r="BJ622" s="284"/>
      <c r="BK622" s="355"/>
      <c r="BM622" s="359"/>
      <c r="BN622" s="284"/>
      <c r="BO622" s="355"/>
      <c r="BQ622" s="359"/>
      <c r="BR622" s="284"/>
      <c r="BS622" s="355"/>
      <c r="BU622" s="359"/>
      <c r="BV622" s="284"/>
    </row>
    <row r="623" spans="2:74" x14ac:dyDescent="0.25">
      <c r="B623" s="284"/>
      <c r="D623" s="355"/>
      <c r="E623" s="356"/>
      <c r="F623" s="357"/>
      <c r="G623" s="358"/>
      <c r="H623" s="359"/>
      <c r="I623" s="284"/>
      <c r="J623" s="287"/>
      <c r="K623" s="355"/>
      <c r="M623" s="359"/>
      <c r="N623" s="284"/>
      <c r="O623" s="355"/>
      <c r="P623" s="360"/>
      <c r="Q623" s="359"/>
      <c r="R623" s="284"/>
      <c r="S623" s="355"/>
      <c r="U623" s="359"/>
      <c r="V623" s="284"/>
      <c r="W623" s="355"/>
      <c r="Y623" s="359"/>
      <c r="Z623" s="284"/>
      <c r="AA623" s="355"/>
      <c r="AC623" s="359"/>
      <c r="AD623" s="284"/>
      <c r="AE623" s="355"/>
      <c r="AG623" s="359"/>
      <c r="AH623" s="284"/>
      <c r="AI623" s="355"/>
      <c r="AK623" s="359"/>
      <c r="AL623" s="284"/>
      <c r="AM623" s="355"/>
      <c r="AO623" s="359"/>
      <c r="AP623" s="284"/>
      <c r="AQ623" s="355"/>
      <c r="AR623" s="360"/>
      <c r="AS623" s="359"/>
      <c r="AT623" s="284"/>
      <c r="AU623" s="355"/>
      <c r="AW623" s="359"/>
      <c r="AX623" s="284"/>
      <c r="AY623" s="355"/>
      <c r="BA623" s="359"/>
      <c r="BB623" s="284"/>
      <c r="BC623" s="355"/>
      <c r="BE623" s="359"/>
      <c r="BF623" s="284"/>
      <c r="BG623" s="355"/>
      <c r="BI623" s="359"/>
      <c r="BJ623" s="284"/>
      <c r="BK623" s="355"/>
      <c r="BM623" s="359"/>
      <c r="BN623" s="284"/>
      <c r="BO623" s="355"/>
      <c r="BQ623" s="359"/>
      <c r="BR623" s="284"/>
      <c r="BS623" s="355"/>
      <c r="BU623" s="359"/>
      <c r="BV623" s="284"/>
    </row>
    <row r="624" spans="2:74" x14ac:dyDescent="0.25">
      <c r="B624" s="284"/>
      <c r="D624" s="355"/>
      <c r="E624" s="356"/>
      <c r="F624" s="357"/>
      <c r="G624" s="358"/>
      <c r="H624" s="359"/>
      <c r="I624" s="284"/>
      <c r="J624" s="287"/>
      <c r="K624" s="355"/>
      <c r="M624" s="359"/>
      <c r="N624" s="284"/>
      <c r="O624" s="355"/>
      <c r="P624" s="360"/>
      <c r="Q624" s="359"/>
      <c r="R624" s="284"/>
      <c r="S624" s="355"/>
      <c r="U624" s="359"/>
      <c r="V624" s="284"/>
      <c r="W624" s="355"/>
      <c r="Y624" s="359"/>
      <c r="Z624" s="284"/>
      <c r="AA624" s="355"/>
      <c r="AC624" s="359"/>
      <c r="AD624" s="284"/>
      <c r="AE624" s="355"/>
      <c r="AG624" s="359"/>
      <c r="AH624" s="284"/>
      <c r="AI624" s="355"/>
      <c r="AK624" s="359"/>
      <c r="AL624" s="284"/>
      <c r="AM624" s="355"/>
      <c r="AO624" s="359"/>
      <c r="AP624" s="284"/>
      <c r="AQ624" s="355"/>
      <c r="AR624" s="360"/>
      <c r="AS624" s="359"/>
      <c r="AT624" s="284"/>
      <c r="AU624" s="355"/>
      <c r="AW624" s="359"/>
      <c r="AX624" s="284"/>
      <c r="AY624" s="355"/>
      <c r="BA624" s="359"/>
      <c r="BB624" s="284"/>
      <c r="BC624" s="355"/>
      <c r="BE624" s="359"/>
      <c r="BF624" s="284"/>
      <c r="BG624" s="355"/>
      <c r="BI624" s="359"/>
      <c r="BJ624" s="284"/>
      <c r="BK624" s="355"/>
      <c r="BM624" s="359"/>
      <c r="BN624" s="284"/>
      <c r="BO624" s="355"/>
      <c r="BQ624" s="359"/>
      <c r="BR624" s="284"/>
      <c r="BS624" s="355"/>
      <c r="BU624" s="359"/>
      <c r="BV624" s="284"/>
    </row>
    <row r="625" spans="2:74" x14ac:dyDescent="0.25">
      <c r="B625" s="284"/>
      <c r="D625" s="355"/>
      <c r="E625" s="356"/>
      <c r="F625" s="357"/>
      <c r="G625" s="358"/>
      <c r="H625" s="359"/>
      <c r="I625" s="284"/>
      <c r="J625" s="287"/>
      <c r="K625" s="355"/>
      <c r="M625" s="359"/>
      <c r="N625" s="284"/>
      <c r="O625" s="355"/>
      <c r="P625" s="360"/>
      <c r="Q625" s="359"/>
      <c r="R625" s="284"/>
      <c r="S625" s="355"/>
      <c r="U625" s="359"/>
      <c r="V625" s="284"/>
      <c r="W625" s="355"/>
      <c r="Y625" s="359"/>
      <c r="Z625" s="284"/>
      <c r="AA625" s="355"/>
      <c r="AC625" s="359"/>
      <c r="AD625" s="284"/>
      <c r="AE625" s="355"/>
      <c r="AG625" s="359"/>
      <c r="AH625" s="284"/>
      <c r="AI625" s="355"/>
      <c r="AK625" s="359"/>
      <c r="AL625" s="284"/>
      <c r="AM625" s="355"/>
      <c r="AO625" s="359"/>
      <c r="AP625" s="284"/>
      <c r="AQ625" s="355"/>
      <c r="AR625" s="360"/>
      <c r="AS625" s="359"/>
      <c r="AT625" s="284"/>
      <c r="AU625" s="355"/>
      <c r="AW625" s="359"/>
      <c r="AX625" s="284"/>
      <c r="AY625" s="355"/>
      <c r="BA625" s="359"/>
      <c r="BB625" s="284"/>
      <c r="BC625" s="355"/>
      <c r="BE625" s="359"/>
      <c r="BF625" s="284"/>
      <c r="BG625" s="355"/>
      <c r="BI625" s="359"/>
      <c r="BJ625" s="284"/>
      <c r="BK625" s="355"/>
      <c r="BM625" s="359"/>
      <c r="BN625" s="284"/>
      <c r="BO625" s="355"/>
      <c r="BQ625" s="359"/>
      <c r="BR625" s="284"/>
      <c r="BS625" s="355"/>
      <c r="BU625" s="359"/>
      <c r="BV625" s="284"/>
    </row>
    <row r="626" spans="2:74" x14ac:dyDescent="0.25">
      <c r="B626" s="284"/>
      <c r="D626" s="355"/>
      <c r="E626" s="356"/>
      <c r="F626" s="357"/>
      <c r="G626" s="358"/>
      <c r="H626" s="359"/>
      <c r="I626" s="284"/>
      <c r="J626" s="287"/>
      <c r="K626" s="355"/>
      <c r="M626" s="359"/>
      <c r="N626" s="284"/>
      <c r="O626" s="355"/>
      <c r="P626" s="360"/>
      <c r="Q626" s="359"/>
      <c r="R626" s="284"/>
      <c r="S626" s="355"/>
      <c r="U626" s="359"/>
      <c r="V626" s="284"/>
      <c r="W626" s="355"/>
      <c r="Y626" s="359"/>
      <c r="Z626" s="284"/>
      <c r="AA626" s="355"/>
      <c r="AC626" s="359"/>
      <c r="AD626" s="284"/>
      <c r="AE626" s="355"/>
      <c r="AG626" s="359"/>
      <c r="AH626" s="284"/>
      <c r="AI626" s="355"/>
      <c r="AK626" s="359"/>
      <c r="AL626" s="284"/>
      <c r="AM626" s="355"/>
      <c r="AO626" s="359"/>
      <c r="AP626" s="284"/>
      <c r="AQ626" s="355"/>
      <c r="AR626" s="360"/>
      <c r="AS626" s="359"/>
      <c r="AT626" s="284"/>
      <c r="AU626" s="355"/>
      <c r="AW626" s="359"/>
      <c r="AX626" s="284"/>
      <c r="AY626" s="355"/>
      <c r="BA626" s="359"/>
      <c r="BB626" s="284"/>
      <c r="BC626" s="355"/>
      <c r="BE626" s="359"/>
      <c r="BF626" s="284"/>
      <c r="BG626" s="355"/>
      <c r="BI626" s="359"/>
      <c r="BJ626" s="284"/>
      <c r="BK626" s="355"/>
      <c r="BM626" s="359"/>
      <c r="BN626" s="284"/>
      <c r="BO626" s="355"/>
      <c r="BQ626" s="359"/>
      <c r="BR626" s="284"/>
      <c r="BS626" s="355"/>
      <c r="BU626" s="359"/>
      <c r="BV626" s="284"/>
    </row>
    <row r="627" spans="2:74" x14ac:dyDescent="0.25">
      <c r="B627" s="284"/>
      <c r="D627" s="355"/>
      <c r="E627" s="356"/>
      <c r="F627" s="357"/>
      <c r="G627" s="358"/>
      <c r="H627" s="359"/>
      <c r="I627" s="284"/>
      <c r="J627" s="287"/>
      <c r="K627" s="355"/>
      <c r="M627" s="359"/>
      <c r="N627" s="284"/>
      <c r="O627" s="355"/>
      <c r="P627" s="360"/>
      <c r="Q627" s="359"/>
      <c r="R627" s="284"/>
      <c r="S627" s="355"/>
      <c r="U627" s="359"/>
      <c r="V627" s="284"/>
      <c r="W627" s="355"/>
      <c r="Y627" s="359"/>
      <c r="Z627" s="284"/>
      <c r="AA627" s="355"/>
      <c r="AC627" s="359"/>
      <c r="AD627" s="284"/>
      <c r="AE627" s="355"/>
      <c r="AG627" s="359"/>
      <c r="AH627" s="284"/>
      <c r="AI627" s="355"/>
      <c r="AK627" s="359"/>
      <c r="AL627" s="284"/>
      <c r="AM627" s="355"/>
      <c r="AO627" s="359"/>
      <c r="AP627" s="284"/>
      <c r="AQ627" s="355"/>
      <c r="AR627" s="360"/>
      <c r="AS627" s="359"/>
      <c r="AT627" s="284"/>
      <c r="AU627" s="355"/>
      <c r="AW627" s="359"/>
      <c r="AX627" s="284"/>
      <c r="AY627" s="355"/>
      <c r="BA627" s="359"/>
      <c r="BB627" s="284"/>
      <c r="BC627" s="355"/>
      <c r="BE627" s="359"/>
      <c r="BF627" s="284"/>
      <c r="BG627" s="355"/>
      <c r="BI627" s="359"/>
      <c r="BJ627" s="284"/>
      <c r="BK627" s="355"/>
      <c r="BM627" s="359"/>
      <c r="BN627" s="284"/>
      <c r="BO627" s="355"/>
      <c r="BQ627" s="359"/>
      <c r="BR627" s="284"/>
      <c r="BS627" s="355"/>
      <c r="BU627" s="359"/>
      <c r="BV627" s="284"/>
    </row>
    <row r="628" spans="2:74" x14ac:dyDescent="0.25">
      <c r="B628" s="284"/>
      <c r="D628" s="355"/>
      <c r="E628" s="356"/>
      <c r="F628" s="357"/>
      <c r="G628" s="358"/>
      <c r="H628" s="359"/>
      <c r="I628" s="284"/>
      <c r="J628" s="287"/>
      <c r="K628" s="355"/>
      <c r="M628" s="359"/>
      <c r="N628" s="284"/>
      <c r="O628" s="355"/>
      <c r="P628" s="360"/>
      <c r="Q628" s="359"/>
      <c r="R628" s="284"/>
      <c r="S628" s="355"/>
      <c r="U628" s="359"/>
      <c r="V628" s="284"/>
      <c r="W628" s="355"/>
      <c r="Y628" s="359"/>
      <c r="Z628" s="284"/>
      <c r="AA628" s="355"/>
      <c r="AC628" s="359"/>
      <c r="AD628" s="284"/>
      <c r="AE628" s="355"/>
      <c r="AG628" s="359"/>
      <c r="AH628" s="284"/>
      <c r="AI628" s="355"/>
      <c r="AK628" s="359"/>
      <c r="AL628" s="284"/>
      <c r="AM628" s="355"/>
      <c r="AO628" s="359"/>
      <c r="AP628" s="284"/>
      <c r="AQ628" s="355"/>
      <c r="AR628" s="360"/>
      <c r="AS628" s="359"/>
      <c r="AT628" s="284"/>
      <c r="AU628" s="355"/>
      <c r="AW628" s="359"/>
      <c r="AX628" s="284"/>
      <c r="AY628" s="355"/>
      <c r="BA628" s="359"/>
      <c r="BB628" s="284"/>
      <c r="BC628" s="355"/>
      <c r="BE628" s="359"/>
      <c r="BF628" s="284"/>
      <c r="BG628" s="355"/>
      <c r="BI628" s="359"/>
      <c r="BJ628" s="284"/>
      <c r="BK628" s="355"/>
      <c r="BM628" s="359"/>
      <c r="BN628" s="284"/>
      <c r="BO628" s="355"/>
      <c r="BQ628" s="359"/>
      <c r="BR628" s="284"/>
      <c r="BS628" s="355"/>
      <c r="BU628" s="359"/>
      <c r="BV628" s="284"/>
    </row>
    <row r="629" spans="2:74" x14ac:dyDescent="0.25">
      <c r="B629" s="284"/>
      <c r="D629" s="355"/>
      <c r="E629" s="356"/>
      <c r="F629" s="357"/>
      <c r="G629" s="358"/>
      <c r="H629" s="359"/>
      <c r="I629" s="284"/>
      <c r="J629" s="287"/>
      <c r="K629" s="355"/>
      <c r="M629" s="359"/>
      <c r="N629" s="284"/>
      <c r="O629" s="355"/>
      <c r="P629" s="360"/>
      <c r="Q629" s="359"/>
      <c r="R629" s="284"/>
      <c r="S629" s="355"/>
      <c r="U629" s="359"/>
      <c r="V629" s="284"/>
      <c r="W629" s="355"/>
      <c r="Y629" s="359"/>
      <c r="Z629" s="284"/>
      <c r="AA629" s="355"/>
      <c r="AC629" s="359"/>
      <c r="AD629" s="284"/>
      <c r="AE629" s="355"/>
      <c r="AG629" s="359"/>
      <c r="AH629" s="284"/>
      <c r="AI629" s="355"/>
      <c r="AK629" s="359"/>
      <c r="AL629" s="284"/>
      <c r="AM629" s="355"/>
      <c r="AO629" s="359"/>
      <c r="AP629" s="284"/>
      <c r="AQ629" s="355"/>
      <c r="AR629" s="360"/>
      <c r="AS629" s="359"/>
      <c r="AT629" s="284"/>
      <c r="AU629" s="355"/>
      <c r="AW629" s="359"/>
      <c r="AX629" s="284"/>
      <c r="AY629" s="355"/>
      <c r="BA629" s="359"/>
      <c r="BB629" s="284"/>
      <c r="BC629" s="355"/>
      <c r="BE629" s="359"/>
      <c r="BF629" s="284"/>
      <c r="BG629" s="355"/>
      <c r="BI629" s="359"/>
      <c r="BJ629" s="284"/>
      <c r="BK629" s="355"/>
      <c r="BM629" s="359"/>
      <c r="BN629" s="284"/>
      <c r="BO629" s="355"/>
      <c r="BQ629" s="359"/>
      <c r="BR629" s="284"/>
      <c r="BS629" s="355"/>
      <c r="BU629" s="359"/>
      <c r="BV629" s="284"/>
    </row>
    <row r="630" spans="2:74" x14ac:dyDescent="0.25">
      <c r="B630" s="284"/>
      <c r="D630" s="355"/>
      <c r="E630" s="356"/>
      <c r="F630" s="357"/>
      <c r="G630" s="358"/>
      <c r="H630" s="359"/>
      <c r="I630" s="284"/>
      <c r="J630" s="287"/>
      <c r="K630" s="355"/>
      <c r="M630" s="359"/>
      <c r="N630" s="284"/>
      <c r="O630" s="355"/>
      <c r="P630" s="360"/>
      <c r="Q630" s="359"/>
      <c r="R630" s="284"/>
      <c r="S630" s="355"/>
      <c r="U630" s="359"/>
      <c r="V630" s="284"/>
      <c r="W630" s="355"/>
      <c r="Y630" s="359"/>
      <c r="Z630" s="284"/>
      <c r="AA630" s="355"/>
      <c r="AC630" s="359"/>
      <c r="AD630" s="284"/>
      <c r="AE630" s="355"/>
      <c r="AG630" s="359"/>
      <c r="AH630" s="284"/>
      <c r="AI630" s="355"/>
      <c r="AK630" s="359"/>
      <c r="AL630" s="284"/>
      <c r="AM630" s="355"/>
      <c r="AO630" s="359"/>
      <c r="AP630" s="284"/>
      <c r="AQ630" s="355"/>
      <c r="AR630" s="360"/>
      <c r="AS630" s="359"/>
      <c r="AT630" s="284"/>
      <c r="AU630" s="355"/>
      <c r="AW630" s="359"/>
      <c r="AX630" s="284"/>
      <c r="AY630" s="355"/>
      <c r="BA630" s="359"/>
      <c r="BB630" s="284"/>
      <c r="BC630" s="355"/>
      <c r="BE630" s="359"/>
      <c r="BF630" s="284"/>
      <c r="BG630" s="355"/>
      <c r="BI630" s="359"/>
      <c r="BJ630" s="284"/>
      <c r="BK630" s="355"/>
      <c r="BM630" s="359"/>
      <c r="BN630" s="284"/>
      <c r="BO630" s="355"/>
      <c r="BQ630" s="359"/>
      <c r="BR630" s="284"/>
      <c r="BS630" s="355"/>
      <c r="BU630" s="359"/>
      <c r="BV630" s="284"/>
    </row>
    <row r="631" spans="2:74" x14ac:dyDescent="0.25">
      <c r="B631" s="284"/>
      <c r="D631" s="355"/>
      <c r="E631" s="356"/>
      <c r="F631" s="357"/>
      <c r="G631" s="358"/>
      <c r="H631" s="359"/>
      <c r="I631" s="284"/>
      <c r="J631" s="287"/>
      <c r="K631" s="355"/>
      <c r="M631" s="359"/>
      <c r="N631" s="284"/>
      <c r="O631" s="355"/>
      <c r="P631" s="360"/>
      <c r="Q631" s="359"/>
      <c r="R631" s="284"/>
      <c r="S631" s="355"/>
      <c r="U631" s="359"/>
      <c r="V631" s="284"/>
      <c r="W631" s="355"/>
      <c r="Y631" s="359"/>
      <c r="Z631" s="284"/>
      <c r="AA631" s="355"/>
      <c r="AC631" s="359"/>
      <c r="AD631" s="284"/>
      <c r="AE631" s="355"/>
      <c r="AG631" s="359"/>
      <c r="AH631" s="284"/>
      <c r="AI631" s="355"/>
      <c r="AK631" s="359"/>
      <c r="AL631" s="284"/>
      <c r="AM631" s="355"/>
      <c r="AO631" s="359"/>
      <c r="AP631" s="284"/>
      <c r="AQ631" s="355"/>
      <c r="AR631" s="360"/>
      <c r="AS631" s="359"/>
      <c r="AT631" s="284"/>
      <c r="AU631" s="355"/>
      <c r="AW631" s="359"/>
      <c r="AX631" s="284"/>
      <c r="AY631" s="355"/>
      <c r="BA631" s="359"/>
      <c r="BB631" s="284"/>
      <c r="BC631" s="355"/>
      <c r="BE631" s="359"/>
      <c r="BF631" s="284"/>
      <c r="BG631" s="355"/>
      <c r="BI631" s="359"/>
      <c r="BJ631" s="284"/>
      <c r="BK631" s="355"/>
      <c r="BM631" s="359"/>
      <c r="BN631" s="284"/>
      <c r="BO631" s="355"/>
      <c r="BQ631" s="359"/>
      <c r="BR631" s="284"/>
      <c r="BS631" s="355"/>
      <c r="BU631" s="359"/>
      <c r="BV631" s="284"/>
    </row>
    <row r="632" spans="2:74" x14ac:dyDescent="0.25">
      <c r="B632" s="284"/>
      <c r="D632" s="355"/>
      <c r="E632" s="356"/>
      <c r="F632" s="357"/>
      <c r="G632" s="358"/>
      <c r="H632" s="359"/>
      <c r="I632" s="284"/>
      <c r="J632" s="287"/>
      <c r="K632" s="355"/>
      <c r="M632" s="359"/>
      <c r="N632" s="284"/>
      <c r="O632" s="355"/>
      <c r="P632" s="360"/>
      <c r="Q632" s="359"/>
      <c r="R632" s="284"/>
      <c r="S632" s="355"/>
      <c r="U632" s="359"/>
      <c r="V632" s="284"/>
      <c r="W632" s="355"/>
      <c r="Y632" s="359"/>
      <c r="Z632" s="284"/>
      <c r="AA632" s="355"/>
      <c r="AC632" s="359"/>
      <c r="AD632" s="284"/>
      <c r="AE632" s="355"/>
      <c r="AG632" s="359"/>
      <c r="AH632" s="284"/>
      <c r="AI632" s="355"/>
      <c r="AK632" s="359"/>
      <c r="AL632" s="284"/>
      <c r="AM632" s="355"/>
      <c r="AO632" s="359"/>
      <c r="AP632" s="284"/>
      <c r="AQ632" s="355"/>
      <c r="AR632" s="360"/>
      <c r="AS632" s="359"/>
      <c r="AT632" s="284"/>
      <c r="AU632" s="355"/>
      <c r="AW632" s="359"/>
      <c r="AX632" s="284"/>
      <c r="AY632" s="355"/>
      <c r="BA632" s="359"/>
      <c r="BB632" s="284"/>
      <c r="BC632" s="355"/>
      <c r="BE632" s="359"/>
      <c r="BF632" s="284"/>
      <c r="BG632" s="355"/>
      <c r="BI632" s="359"/>
      <c r="BJ632" s="284"/>
      <c r="BK632" s="355"/>
      <c r="BM632" s="359"/>
      <c r="BN632" s="284"/>
      <c r="BO632" s="355"/>
      <c r="BQ632" s="359"/>
      <c r="BR632" s="284"/>
      <c r="BS632" s="355"/>
      <c r="BU632" s="359"/>
      <c r="BV632" s="284"/>
    </row>
    <row r="633" spans="2:74" x14ac:dyDescent="0.25">
      <c r="B633" s="284"/>
      <c r="D633" s="355"/>
      <c r="E633" s="356"/>
      <c r="F633" s="357"/>
      <c r="G633" s="358"/>
      <c r="H633" s="359"/>
      <c r="I633" s="284"/>
      <c r="J633" s="287"/>
      <c r="K633" s="355"/>
      <c r="M633" s="359"/>
      <c r="N633" s="284"/>
      <c r="O633" s="355"/>
      <c r="P633" s="360"/>
      <c r="Q633" s="359"/>
      <c r="R633" s="284"/>
      <c r="S633" s="355"/>
      <c r="U633" s="359"/>
      <c r="V633" s="284"/>
      <c r="W633" s="355"/>
      <c r="Y633" s="359"/>
      <c r="Z633" s="284"/>
      <c r="AA633" s="355"/>
      <c r="AC633" s="359"/>
      <c r="AD633" s="284"/>
      <c r="AE633" s="355"/>
      <c r="AG633" s="359"/>
      <c r="AH633" s="284"/>
      <c r="AI633" s="355"/>
      <c r="AK633" s="359"/>
      <c r="AL633" s="284"/>
      <c r="AM633" s="355"/>
      <c r="AO633" s="359"/>
      <c r="AP633" s="284"/>
      <c r="AQ633" s="355"/>
      <c r="AR633" s="360"/>
      <c r="AS633" s="359"/>
      <c r="AT633" s="284"/>
      <c r="AU633" s="355"/>
      <c r="AW633" s="359"/>
      <c r="AX633" s="284"/>
      <c r="AY633" s="355"/>
      <c r="BA633" s="359"/>
      <c r="BB633" s="284"/>
      <c r="BC633" s="355"/>
      <c r="BE633" s="359"/>
      <c r="BF633" s="284"/>
      <c r="BG633" s="355"/>
      <c r="BI633" s="359"/>
      <c r="BJ633" s="284"/>
      <c r="BK633" s="355"/>
      <c r="BM633" s="359"/>
      <c r="BN633" s="284"/>
      <c r="BO633" s="355"/>
      <c r="BQ633" s="359"/>
      <c r="BR633" s="284"/>
      <c r="BS633" s="355"/>
      <c r="BU633" s="359"/>
      <c r="BV633" s="284"/>
    </row>
    <row r="634" spans="2:74" x14ac:dyDescent="0.25">
      <c r="B634" s="284"/>
      <c r="D634" s="355"/>
      <c r="E634" s="356"/>
      <c r="F634" s="357"/>
      <c r="G634" s="358"/>
      <c r="H634" s="359"/>
      <c r="I634" s="284"/>
      <c r="J634" s="287"/>
      <c r="K634" s="355"/>
      <c r="M634" s="359"/>
      <c r="N634" s="284"/>
      <c r="O634" s="355"/>
      <c r="P634" s="360"/>
      <c r="Q634" s="359"/>
      <c r="R634" s="284"/>
      <c r="S634" s="355"/>
      <c r="U634" s="359"/>
      <c r="V634" s="284"/>
      <c r="W634" s="355"/>
      <c r="Y634" s="359"/>
      <c r="Z634" s="284"/>
      <c r="AA634" s="355"/>
      <c r="AC634" s="359"/>
      <c r="AD634" s="284"/>
      <c r="AE634" s="355"/>
      <c r="AG634" s="359"/>
      <c r="AH634" s="284"/>
      <c r="AI634" s="355"/>
      <c r="AK634" s="359"/>
      <c r="AL634" s="284"/>
      <c r="AM634" s="355"/>
      <c r="AO634" s="359"/>
      <c r="AP634" s="284"/>
      <c r="AQ634" s="355"/>
      <c r="AR634" s="360"/>
      <c r="AS634" s="359"/>
      <c r="AT634" s="284"/>
      <c r="AU634" s="355"/>
      <c r="AW634" s="359"/>
      <c r="AX634" s="284"/>
      <c r="AY634" s="355"/>
      <c r="BA634" s="359"/>
      <c r="BB634" s="284"/>
      <c r="BC634" s="355"/>
      <c r="BE634" s="359"/>
      <c r="BF634" s="284"/>
      <c r="BG634" s="355"/>
      <c r="BI634" s="359"/>
      <c r="BJ634" s="284"/>
      <c r="BK634" s="355"/>
      <c r="BM634" s="359"/>
      <c r="BN634" s="284"/>
      <c r="BO634" s="355"/>
      <c r="BQ634" s="359"/>
      <c r="BR634" s="284"/>
      <c r="BS634" s="355"/>
      <c r="BU634" s="359"/>
      <c r="BV634" s="284"/>
    </row>
    <row r="635" spans="2:74" x14ac:dyDescent="0.25">
      <c r="B635" s="284"/>
      <c r="D635" s="355"/>
      <c r="E635" s="356"/>
      <c r="F635" s="357"/>
      <c r="G635" s="358"/>
      <c r="H635" s="359"/>
      <c r="I635" s="284"/>
      <c r="J635" s="287"/>
      <c r="K635" s="355"/>
      <c r="M635" s="359"/>
      <c r="N635" s="284"/>
      <c r="O635" s="355"/>
      <c r="P635" s="360"/>
      <c r="Q635" s="359"/>
      <c r="R635" s="284"/>
      <c r="S635" s="355"/>
      <c r="U635" s="359"/>
      <c r="V635" s="284"/>
      <c r="W635" s="355"/>
      <c r="Y635" s="359"/>
      <c r="Z635" s="284"/>
      <c r="AA635" s="355"/>
      <c r="AC635" s="359"/>
      <c r="AD635" s="284"/>
      <c r="AE635" s="355"/>
      <c r="AG635" s="359"/>
      <c r="AH635" s="284"/>
      <c r="AI635" s="355"/>
      <c r="AK635" s="359"/>
      <c r="AL635" s="284"/>
      <c r="AM635" s="355"/>
      <c r="AO635" s="359"/>
      <c r="AP635" s="284"/>
      <c r="AQ635" s="355"/>
      <c r="AR635" s="360"/>
      <c r="AS635" s="359"/>
      <c r="AT635" s="284"/>
      <c r="AU635" s="355"/>
      <c r="AW635" s="359"/>
      <c r="AX635" s="284"/>
      <c r="AY635" s="355"/>
      <c r="BA635" s="359"/>
      <c r="BB635" s="284"/>
      <c r="BC635" s="355"/>
      <c r="BE635" s="359"/>
      <c r="BF635" s="284"/>
      <c r="BG635" s="355"/>
      <c r="BI635" s="359"/>
      <c r="BJ635" s="284"/>
      <c r="BK635" s="355"/>
      <c r="BM635" s="359"/>
      <c r="BN635" s="284"/>
      <c r="BO635" s="355"/>
      <c r="BQ635" s="359"/>
      <c r="BR635" s="284"/>
      <c r="BS635" s="355"/>
      <c r="BU635" s="359"/>
      <c r="BV635" s="284"/>
    </row>
    <row r="636" spans="2:74" x14ac:dyDescent="0.25">
      <c r="B636" s="284"/>
      <c r="D636" s="355"/>
      <c r="E636" s="356"/>
      <c r="F636" s="357"/>
      <c r="G636" s="358"/>
      <c r="H636" s="359"/>
      <c r="I636" s="284"/>
      <c r="J636" s="287"/>
      <c r="K636" s="355"/>
      <c r="M636" s="359"/>
      <c r="N636" s="284"/>
      <c r="O636" s="355"/>
      <c r="P636" s="360"/>
      <c r="Q636" s="359"/>
      <c r="R636" s="284"/>
      <c r="S636" s="355"/>
      <c r="U636" s="359"/>
      <c r="V636" s="284"/>
      <c r="W636" s="355"/>
      <c r="Y636" s="359"/>
      <c r="Z636" s="284"/>
      <c r="AA636" s="355"/>
      <c r="AC636" s="359"/>
      <c r="AD636" s="284"/>
      <c r="AE636" s="355"/>
      <c r="AG636" s="359"/>
      <c r="AH636" s="284"/>
      <c r="AI636" s="355"/>
      <c r="AK636" s="359"/>
      <c r="AL636" s="284"/>
      <c r="AM636" s="355"/>
      <c r="AO636" s="359"/>
      <c r="AP636" s="284"/>
      <c r="AQ636" s="355"/>
      <c r="AR636" s="360"/>
      <c r="AS636" s="359"/>
      <c r="AT636" s="284"/>
      <c r="AU636" s="355"/>
      <c r="AW636" s="359"/>
      <c r="AX636" s="284"/>
      <c r="AY636" s="355"/>
      <c r="BA636" s="359"/>
      <c r="BB636" s="284"/>
      <c r="BC636" s="355"/>
      <c r="BE636" s="359"/>
      <c r="BF636" s="284"/>
      <c r="BG636" s="355"/>
      <c r="BI636" s="359"/>
      <c r="BJ636" s="284"/>
      <c r="BK636" s="355"/>
      <c r="BM636" s="359"/>
      <c r="BN636" s="284"/>
      <c r="BO636" s="355"/>
      <c r="BQ636" s="359"/>
      <c r="BR636" s="284"/>
      <c r="BS636" s="355"/>
      <c r="BU636" s="359"/>
      <c r="BV636" s="284"/>
    </row>
    <row r="637" spans="2:74" x14ac:dyDescent="0.25">
      <c r="B637" s="284"/>
      <c r="D637" s="355"/>
      <c r="E637" s="356"/>
      <c r="F637" s="357"/>
      <c r="G637" s="358"/>
      <c r="H637" s="359"/>
      <c r="I637" s="284"/>
      <c r="J637" s="287"/>
      <c r="K637" s="355"/>
      <c r="M637" s="359"/>
      <c r="N637" s="284"/>
      <c r="O637" s="355"/>
      <c r="P637" s="360"/>
      <c r="Q637" s="359"/>
      <c r="R637" s="284"/>
      <c r="S637" s="355"/>
      <c r="U637" s="359"/>
      <c r="V637" s="284"/>
      <c r="W637" s="355"/>
      <c r="Y637" s="359"/>
      <c r="Z637" s="284"/>
      <c r="AA637" s="355"/>
      <c r="AC637" s="359"/>
      <c r="AD637" s="284"/>
      <c r="AE637" s="355"/>
      <c r="AG637" s="359"/>
      <c r="AH637" s="284"/>
      <c r="AI637" s="355"/>
      <c r="AK637" s="359"/>
      <c r="AL637" s="284"/>
      <c r="AM637" s="355"/>
      <c r="AO637" s="359"/>
      <c r="AP637" s="284"/>
      <c r="AQ637" s="355"/>
      <c r="AR637" s="360"/>
      <c r="AS637" s="359"/>
      <c r="AT637" s="284"/>
      <c r="AU637" s="355"/>
      <c r="AW637" s="359"/>
      <c r="AX637" s="284"/>
      <c r="AY637" s="355"/>
      <c r="BA637" s="359"/>
      <c r="BB637" s="284"/>
      <c r="BC637" s="355"/>
      <c r="BE637" s="359"/>
      <c r="BF637" s="284"/>
      <c r="BG637" s="355"/>
      <c r="BI637" s="359"/>
      <c r="BJ637" s="284"/>
      <c r="BK637" s="355"/>
      <c r="BM637" s="359"/>
      <c r="BN637" s="284"/>
      <c r="BO637" s="355"/>
      <c r="BQ637" s="359"/>
      <c r="BR637" s="284"/>
      <c r="BS637" s="355"/>
      <c r="BU637" s="359"/>
      <c r="BV637" s="284"/>
    </row>
    <row r="638" spans="2:74" x14ac:dyDescent="0.25">
      <c r="B638" s="284"/>
      <c r="D638" s="355"/>
      <c r="E638" s="356"/>
      <c r="F638" s="357"/>
      <c r="G638" s="358"/>
      <c r="H638" s="359"/>
      <c r="I638" s="284"/>
      <c r="J638" s="287"/>
      <c r="K638" s="355"/>
      <c r="M638" s="359"/>
      <c r="N638" s="284"/>
      <c r="O638" s="355"/>
      <c r="P638" s="360"/>
      <c r="Q638" s="359"/>
      <c r="R638" s="284"/>
      <c r="S638" s="355"/>
      <c r="U638" s="359"/>
      <c r="V638" s="284"/>
      <c r="W638" s="355"/>
      <c r="Y638" s="359"/>
      <c r="Z638" s="284"/>
      <c r="AA638" s="355"/>
      <c r="AC638" s="359"/>
      <c r="AD638" s="284"/>
      <c r="AE638" s="355"/>
      <c r="AG638" s="359"/>
      <c r="AH638" s="284"/>
      <c r="AI638" s="355"/>
      <c r="AK638" s="359"/>
      <c r="AL638" s="284"/>
      <c r="AM638" s="355"/>
      <c r="AO638" s="359"/>
      <c r="AP638" s="284"/>
      <c r="AQ638" s="355"/>
      <c r="AR638" s="360"/>
      <c r="AS638" s="359"/>
      <c r="AT638" s="284"/>
      <c r="AU638" s="355"/>
      <c r="AW638" s="359"/>
      <c r="AX638" s="284"/>
      <c r="AY638" s="355"/>
      <c r="BA638" s="359"/>
      <c r="BB638" s="284"/>
      <c r="BC638" s="355"/>
      <c r="BE638" s="359"/>
      <c r="BF638" s="284"/>
      <c r="BG638" s="355"/>
      <c r="BI638" s="359"/>
      <c r="BJ638" s="284"/>
      <c r="BK638" s="355"/>
      <c r="BM638" s="359"/>
      <c r="BN638" s="284"/>
      <c r="BO638" s="355"/>
      <c r="BQ638" s="359"/>
      <c r="BR638" s="284"/>
      <c r="BS638" s="355"/>
      <c r="BU638" s="359"/>
      <c r="BV638" s="284"/>
    </row>
    <row r="639" spans="2:74" x14ac:dyDescent="0.25">
      <c r="B639" s="284"/>
      <c r="D639" s="355"/>
      <c r="E639" s="356"/>
      <c r="F639" s="357"/>
      <c r="G639" s="358"/>
      <c r="H639" s="359"/>
      <c r="I639" s="284"/>
      <c r="J639" s="287"/>
      <c r="K639" s="355"/>
      <c r="M639" s="359"/>
      <c r="N639" s="284"/>
      <c r="O639" s="355"/>
      <c r="P639" s="360"/>
      <c r="Q639" s="359"/>
      <c r="R639" s="284"/>
      <c r="S639" s="355"/>
      <c r="U639" s="359"/>
      <c r="V639" s="284"/>
      <c r="W639" s="355"/>
      <c r="Y639" s="359"/>
      <c r="Z639" s="284"/>
      <c r="AA639" s="355"/>
      <c r="AC639" s="359"/>
      <c r="AD639" s="284"/>
      <c r="AE639" s="355"/>
      <c r="AG639" s="359"/>
      <c r="AH639" s="284"/>
      <c r="AI639" s="355"/>
      <c r="AK639" s="359"/>
      <c r="AL639" s="284"/>
      <c r="AM639" s="355"/>
      <c r="AO639" s="359"/>
      <c r="AP639" s="284"/>
      <c r="AQ639" s="355"/>
      <c r="AR639" s="360"/>
      <c r="AS639" s="359"/>
      <c r="AT639" s="284"/>
      <c r="AU639" s="355"/>
      <c r="AW639" s="359"/>
      <c r="AX639" s="284"/>
      <c r="AY639" s="355"/>
      <c r="BA639" s="359"/>
      <c r="BB639" s="284"/>
      <c r="BC639" s="355"/>
      <c r="BE639" s="359"/>
      <c r="BF639" s="284"/>
      <c r="BG639" s="355"/>
      <c r="BI639" s="359"/>
      <c r="BJ639" s="284"/>
      <c r="BK639" s="355"/>
      <c r="BM639" s="359"/>
      <c r="BN639" s="284"/>
      <c r="BO639" s="355"/>
      <c r="BQ639" s="359"/>
      <c r="BR639" s="284"/>
      <c r="BS639" s="355"/>
      <c r="BU639" s="359"/>
      <c r="BV639" s="284"/>
    </row>
    <row r="640" spans="2:74" x14ac:dyDescent="0.25">
      <c r="B640" s="284"/>
      <c r="D640" s="355"/>
      <c r="E640" s="356"/>
      <c r="F640" s="357"/>
      <c r="G640" s="358"/>
      <c r="H640" s="359"/>
      <c r="I640" s="284"/>
      <c r="J640" s="287"/>
      <c r="K640" s="355"/>
      <c r="M640" s="359"/>
      <c r="N640" s="284"/>
      <c r="O640" s="355"/>
      <c r="P640" s="360"/>
      <c r="Q640" s="359"/>
      <c r="R640" s="284"/>
      <c r="S640" s="355"/>
      <c r="U640" s="359"/>
      <c r="V640" s="284"/>
      <c r="W640" s="355"/>
      <c r="Y640" s="359"/>
      <c r="Z640" s="284"/>
      <c r="AA640" s="355"/>
      <c r="AC640" s="359"/>
      <c r="AD640" s="284"/>
      <c r="AE640" s="355"/>
      <c r="AG640" s="359"/>
      <c r="AH640" s="284"/>
      <c r="AI640" s="355"/>
      <c r="AK640" s="359"/>
      <c r="AL640" s="284"/>
      <c r="AM640" s="355"/>
      <c r="AO640" s="359"/>
      <c r="AP640" s="284"/>
      <c r="AQ640" s="355"/>
      <c r="AR640" s="360"/>
      <c r="AS640" s="359"/>
      <c r="AT640" s="284"/>
      <c r="AU640" s="355"/>
      <c r="AW640" s="359"/>
      <c r="AX640" s="284"/>
      <c r="AY640" s="355"/>
      <c r="BA640" s="359"/>
      <c r="BB640" s="284"/>
      <c r="BC640" s="355"/>
      <c r="BE640" s="359"/>
      <c r="BF640" s="284"/>
      <c r="BG640" s="355"/>
      <c r="BI640" s="359"/>
      <c r="BJ640" s="284"/>
      <c r="BK640" s="355"/>
      <c r="BM640" s="359"/>
      <c r="BN640" s="284"/>
      <c r="BO640" s="355"/>
      <c r="BQ640" s="359"/>
      <c r="BR640" s="284"/>
      <c r="BS640" s="355"/>
      <c r="BU640" s="359"/>
      <c r="BV640" s="284"/>
    </row>
    <row r="641" spans="2:74" x14ac:dyDescent="0.25">
      <c r="B641" s="284"/>
      <c r="D641" s="355"/>
      <c r="E641" s="356"/>
      <c r="F641" s="357"/>
      <c r="G641" s="358"/>
      <c r="H641" s="359"/>
      <c r="I641" s="284"/>
      <c r="J641" s="287"/>
      <c r="K641" s="355"/>
      <c r="M641" s="359"/>
      <c r="N641" s="284"/>
      <c r="O641" s="355"/>
      <c r="P641" s="360"/>
      <c r="Q641" s="359"/>
      <c r="R641" s="284"/>
      <c r="S641" s="355"/>
      <c r="U641" s="359"/>
      <c r="V641" s="284"/>
      <c r="W641" s="355"/>
      <c r="Y641" s="359"/>
      <c r="Z641" s="284"/>
      <c r="AA641" s="355"/>
      <c r="AC641" s="359"/>
      <c r="AD641" s="284"/>
      <c r="AE641" s="355"/>
      <c r="AG641" s="359"/>
      <c r="AH641" s="284"/>
      <c r="AI641" s="355"/>
      <c r="AK641" s="359"/>
      <c r="AL641" s="284"/>
      <c r="AM641" s="355"/>
      <c r="AO641" s="359"/>
      <c r="AP641" s="284"/>
      <c r="AQ641" s="355"/>
      <c r="AR641" s="360"/>
      <c r="AS641" s="359"/>
      <c r="AT641" s="284"/>
      <c r="AU641" s="355"/>
      <c r="AW641" s="359"/>
      <c r="AX641" s="284"/>
      <c r="AY641" s="355"/>
      <c r="BA641" s="359"/>
      <c r="BB641" s="284"/>
      <c r="BC641" s="355"/>
      <c r="BE641" s="359"/>
      <c r="BF641" s="284"/>
      <c r="BG641" s="355"/>
      <c r="BI641" s="359"/>
      <c r="BJ641" s="284"/>
      <c r="BK641" s="355"/>
      <c r="BM641" s="359"/>
      <c r="BN641" s="284"/>
      <c r="BO641" s="355"/>
      <c r="BQ641" s="359"/>
      <c r="BR641" s="284"/>
      <c r="BS641" s="355"/>
      <c r="BU641" s="359"/>
      <c r="BV641" s="284"/>
    </row>
    <row r="642" spans="2:74" x14ac:dyDescent="0.25">
      <c r="B642" s="284"/>
      <c r="D642" s="355"/>
      <c r="E642" s="356"/>
      <c r="F642" s="357"/>
      <c r="G642" s="358"/>
      <c r="H642" s="359"/>
      <c r="I642" s="284"/>
      <c r="J642" s="287"/>
      <c r="K642" s="355"/>
      <c r="M642" s="359"/>
      <c r="N642" s="284"/>
      <c r="O642" s="355"/>
      <c r="P642" s="360"/>
      <c r="Q642" s="359"/>
      <c r="R642" s="284"/>
      <c r="S642" s="355"/>
      <c r="U642" s="359"/>
      <c r="V642" s="284"/>
      <c r="W642" s="355"/>
      <c r="Y642" s="359"/>
      <c r="Z642" s="284"/>
      <c r="AA642" s="355"/>
      <c r="AC642" s="359"/>
      <c r="AD642" s="284"/>
      <c r="AE642" s="355"/>
      <c r="AG642" s="359"/>
      <c r="AH642" s="284"/>
      <c r="AI642" s="355"/>
      <c r="AK642" s="359"/>
      <c r="AL642" s="284"/>
      <c r="AM642" s="355"/>
      <c r="AO642" s="359"/>
      <c r="AP642" s="284"/>
      <c r="AQ642" s="355"/>
      <c r="AR642" s="360"/>
      <c r="AS642" s="359"/>
      <c r="AT642" s="284"/>
      <c r="AU642" s="355"/>
      <c r="AW642" s="359"/>
      <c r="AX642" s="284"/>
      <c r="AY642" s="355"/>
      <c r="BA642" s="359"/>
      <c r="BB642" s="284"/>
      <c r="BC642" s="355"/>
      <c r="BE642" s="359"/>
      <c r="BF642" s="284"/>
      <c r="BG642" s="355"/>
      <c r="BI642" s="359"/>
      <c r="BJ642" s="284"/>
      <c r="BK642" s="355"/>
      <c r="BM642" s="359"/>
      <c r="BN642" s="284"/>
      <c r="BO642" s="355"/>
      <c r="BQ642" s="359"/>
      <c r="BR642" s="284"/>
      <c r="BS642" s="355"/>
      <c r="BU642" s="359"/>
      <c r="BV642" s="284"/>
    </row>
    <row r="643" spans="2:74" x14ac:dyDescent="0.25">
      <c r="B643" s="284"/>
      <c r="D643" s="355"/>
      <c r="E643" s="356"/>
      <c r="F643" s="357"/>
      <c r="G643" s="358"/>
      <c r="H643" s="359"/>
      <c r="I643" s="284"/>
      <c r="J643" s="287"/>
      <c r="K643" s="355"/>
      <c r="M643" s="359"/>
      <c r="N643" s="284"/>
      <c r="O643" s="355"/>
      <c r="P643" s="360"/>
      <c r="Q643" s="359"/>
      <c r="R643" s="284"/>
      <c r="S643" s="355"/>
      <c r="U643" s="359"/>
      <c r="V643" s="284"/>
      <c r="W643" s="355"/>
      <c r="Y643" s="359"/>
      <c r="Z643" s="284"/>
      <c r="AA643" s="355"/>
      <c r="AC643" s="359"/>
      <c r="AD643" s="284"/>
      <c r="AE643" s="355"/>
      <c r="AG643" s="359"/>
      <c r="AH643" s="284"/>
      <c r="AI643" s="355"/>
      <c r="AK643" s="359"/>
      <c r="AL643" s="284"/>
      <c r="AM643" s="355"/>
      <c r="AO643" s="359"/>
      <c r="AP643" s="284"/>
      <c r="AQ643" s="355"/>
      <c r="AR643" s="360"/>
      <c r="AS643" s="359"/>
      <c r="AT643" s="284"/>
      <c r="AU643" s="355"/>
      <c r="AW643" s="359"/>
      <c r="AX643" s="284"/>
      <c r="AY643" s="355"/>
      <c r="BA643" s="359"/>
      <c r="BB643" s="284"/>
      <c r="BC643" s="355"/>
      <c r="BE643" s="359"/>
      <c r="BF643" s="284"/>
      <c r="BG643" s="355"/>
      <c r="BI643" s="359"/>
      <c r="BJ643" s="284"/>
      <c r="BK643" s="355"/>
      <c r="BM643" s="359"/>
      <c r="BN643" s="284"/>
      <c r="BO643" s="355"/>
      <c r="BQ643" s="359"/>
      <c r="BR643" s="284"/>
      <c r="BS643" s="355"/>
      <c r="BU643" s="359"/>
      <c r="BV643" s="284"/>
    </row>
    <row r="644" spans="2:74" x14ac:dyDescent="0.25">
      <c r="B644" s="284"/>
      <c r="D644" s="355"/>
      <c r="E644" s="356"/>
      <c r="F644" s="357"/>
      <c r="G644" s="358"/>
      <c r="H644" s="359"/>
      <c r="I644" s="284"/>
      <c r="J644" s="287"/>
      <c r="K644" s="355"/>
      <c r="M644" s="359"/>
      <c r="N644" s="284"/>
      <c r="O644" s="355"/>
      <c r="P644" s="360"/>
      <c r="Q644" s="359"/>
      <c r="R644" s="284"/>
      <c r="S644" s="355"/>
      <c r="U644" s="359"/>
      <c r="V644" s="284"/>
      <c r="W644" s="355"/>
      <c r="Y644" s="359"/>
      <c r="Z644" s="284"/>
      <c r="AA644" s="355"/>
      <c r="AC644" s="359"/>
      <c r="AD644" s="284"/>
      <c r="AE644" s="355"/>
      <c r="AG644" s="359"/>
      <c r="AH644" s="284"/>
      <c r="AI644" s="355"/>
      <c r="AK644" s="359"/>
      <c r="AL644" s="284"/>
      <c r="AM644" s="355"/>
      <c r="AO644" s="359"/>
      <c r="AP644" s="284"/>
      <c r="AQ644" s="355"/>
      <c r="AR644" s="360"/>
      <c r="AS644" s="359"/>
      <c r="AT644" s="284"/>
      <c r="AU644" s="355"/>
      <c r="AW644" s="359"/>
      <c r="AX644" s="284"/>
      <c r="AY644" s="355"/>
      <c r="BA644" s="359"/>
      <c r="BB644" s="284"/>
      <c r="BC644" s="355"/>
      <c r="BE644" s="359"/>
      <c r="BF644" s="284"/>
      <c r="BG644" s="355"/>
      <c r="BI644" s="359"/>
      <c r="BJ644" s="284"/>
      <c r="BK644" s="355"/>
      <c r="BM644" s="359"/>
      <c r="BN644" s="284"/>
      <c r="BO644" s="355"/>
      <c r="BQ644" s="359"/>
      <c r="BR644" s="284"/>
      <c r="BS644" s="355"/>
      <c r="BU644" s="359"/>
      <c r="BV644" s="284"/>
    </row>
    <row r="645" spans="2:74" x14ac:dyDescent="0.25">
      <c r="B645" s="284"/>
      <c r="D645" s="355"/>
      <c r="E645" s="356"/>
      <c r="F645" s="357"/>
      <c r="G645" s="358"/>
      <c r="H645" s="359"/>
      <c r="I645" s="284"/>
      <c r="J645" s="287"/>
      <c r="K645" s="355"/>
      <c r="M645" s="359"/>
      <c r="N645" s="284"/>
      <c r="O645" s="355"/>
      <c r="P645" s="360"/>
      <c r="Q645" s="359"/>
      <c r="R645" s="284"/>
      <c r="S645" s="355"/>
      <c r="U645" s="359"/>
      <c r="V645" s="284"/>
      <c r="W645" s="355"/>
      <c r="Y645" s="359"/>
      <c r="Z645" s="284"/>
      <c r="AA645" s="355"/>
      <c r="AC645" s="359"/>
      <c r="AD645" s="284"/>
      <c r="AE645" s="355"/>
      <c r="AG645" s="359"/>
      <c r="AH645" s="284"/>
      <c r="AI645" s="355"/>
      <c r="AK645" s="359"/>
      <c r="AL645" s="284"/>
      <c r="AM645" s="355"/>
      <c r="AO645" s="359"/>
      <c r="AP645" s="284"/>
      <c r="AQ645" s="355"/>
      <c r="AR645" s="360"/>
      <c r="AS645" s="359"/>
      <c r="AT645" s="284"/>
      <c r="AU645" s="355"/>
      <c r="AW645" s="359"/>
      <c r="AX645" s="284"/>
      <c r="AY645" s="355"/>
      <c r="BA645" s="359"/>
      <c r="BB645" s="284"/>
      <c r="BC645" s="355"/>
      <c r="BE645" s="359"/>
      <c r="BF645" s="284"/>
      <c r="BG645" s="355"/>
      <c r="BI645" s="359"/>
      <c r="BJ645" s="284"/>
      <c r="BK645" s="355"/>
      <c r="BM645" s="359"/>
      <c r="BN645" s="284"/>
      <c r="BO645" s="355"/>
      <c r="BQ645" s="359"/>
      <c r="BR645" s="284"/>
      <c r="BS645" s="355"/>
      <c r="BU645" s="359"/>
      <c r="BV645" s="284"/>
    </row>
    <row r="646" spans="2:74" x14ac:dyDescent="0.25">
      <c r="B646" s="284"/>
      <c r="D646" s="355"/>
      <c r="E646" s="356"/>
      <c r="F646" s="357"/>
      <c r="G646" s="358"/>
      <c r="H646" s="359"/>
      <c r="I646" s="284"/>
      <c r="J646" s="287"/>
      <c r="K646" s="355"/>
      <c r="M646" s="359"/>
      <c r="N646" s="284"/>
      <c r="O646" s="355"/>
      <c r="P646" s="360"/>
      <c r="Q646" s="359"/>
      <c r="R646" s="284"/>
      <c r="S646" s="355"/>
      <c r="U646" s="359"/>
      <c r="V646" s="284"/>
      <c r="W646" s="355"/>
      <c r="Y646" s="359"/>
      <c r="Z646" s="284"/>
      <c r="AA646" s="355"/>
      <c r="AC646" s="359"/>
      <c r="AD646" s="284"/>
      <c r="AE646" s="355"/>
      <c r="AG646" s="359"/>
      <c r="AH646" s="284"/>
      <c r="AI646" s="355"/>
      <c r="AK646" s="359"/>
      <c r="AL646" s="284"/>
      <c r="AM646" s="355"/>
      <c r="AO646" s="359"/>
      <c r="AP646" s="284"/>
      <c r="AQ646" s="355"/>
      <c r="AR646" s="360"/>
      <c r="AS646" s="359"/>
      <c r="AT646" s="284"/>
      <c r="AU646" s="355"/>
      <c r="AW646" s="359"/>
      <c r="AX646" s="284"/>
      <c r="AY646" s="355"/>
      <c r="BA646" s="359"/>
      <c r="BB646" s="284"/>
      <c r="BC646" s="355"/>
      <c r="BE646" s="359"/>
      <c r="BF646" s="284"/>
      <c r="BG646" s="355"/>
      <c r="BI646" s="359"/>
      <c r="BJ646" s="284"/>
      <c r="BK646" s="355"/>
      <c r="BM646" s="359"/>
      <c r="BN646" s="284"/>
      <c r="BO646" s="355"/>
      <c r="BQ646" s="359"/>
      <c r="BR646" s="284"/>
      <c r="BS646" s="355"/>
      <c r="BU646" s="359"/>
      <c r="BV646" s="284"/>
    </row>
    <row r="647" spans="2:74" x14ac:dyDescent="0.25">
      <c r="B647" s="284"/>
      <c r="D647" s="355"/>
      <c r="E647" s="356"/>
      <c r="F647" s="357"/>
      <c r="G647" s="358"/>
      <c r="H647" s="359"/>
      <c r="I647" s="284"/>
      <c r="J647" s="287"/>
      <c r="K647" s="355"/>
      <c r="M647" s="359"/>
      <c r="N647" s="284"/>
      <c r="O647" s="355"/>
      <c r="P647" s="360"/>
      <c r="Q647" s="359"/>
      <c r="R647" s="284"/>
      <c r="S647" s="355"/>
      <c r="U647" s="359"/>
      <c r="V647" s="284"/>
      <c r="W647" s="355"/>
      <c r="Y647" s="359"/>
      <c r="Z647" s="284"/>
      <c r="AA647" s="355"/>
      <c r="AC647" s="359"/>
      <c r="AD647" s="284"/>
      <c r="AE647" s="355"/>
      <c r="AG647" s="359"/>
      <c r="AH647" s="284"/>
      <c r="AI647" s="355"/>
      <c r="AK647" s="359"/>
      <c r="AL647" s="284"/>
      <c r="AM647" s="355"/>
      <c r="AO647" s="359"/>
      <c r="AP647" s="284"/>
      <c r="AQ647" s="355"/>
      <c r="AR647" s="360"/>
      <c r="AS647" s="359"/>
      <c r="AT647" s="284"/>
      <c r="AU647" s="355"/>
      <c r="AW647" s="359"/>
      <c r="AX647" s="284"/>
      <c r="AY647" s="355"/>
      <c r="BA647" s="359"/>
      <c r="BB647" s="284"/>
      <c r="BC647" s="355"/>
      <c r="BE647" s="359"/>
      <c r="BF647" s="284"/>
      <c r="BG647" s="355"/>
      <c r="BI647" s="359"/>
      <c r="BJ647" s="284"/>
      <c r="BK647" s="355"/>
      <c r="BM647" s="359"/>
      <c r="BN647" s="284"/>
      <c r="BO647" s="355"/>
      <c r="BQ647" s="359"/>
      <c r="BR647" s="284"/>
      <c r="BS647" s="355"/>
      <c r="BU647" s="359"/>
      <c r="BV647" s="284"/>
    </row>
    <row r="648" spans="2:74" x14ac:dyDescent="0.25">
      <c r="B648" s="284"/>
      <c r="D648" s="355"/>
      <c r="E648" s="356"/>
      <c r="F648" s="357"/>
      <c r="G648" s="358"/>
      <c r="H648" s="359"/>
      <c r="I648" s="284"/>
      <c r="J648" s="287"/>
      <c r="K648" s="355"/>
      <c r="M648" s="359"/>
      <c r="N648" s="284"/>
      <c r="O648" s="355"/>
      <c r="P648" s="360"/>
      <c r="Q648" s="359"/>
      <c r="R648" s="284"/>
      <c r="S648" s="355"/>
      <c r="U648" s="359"/>
      <c r="V648" s="284"/>
      <c r="W648" s="355"/>
      <c r="Y648" s="359"/>
      <c r="Z648" s="284"/>
      <c r="AA648" s="355"/>
      <c r="AC648" s="359"/>
      <c r="AD648" s="284"/>
      <c r="AE648" s="355"/>
      <c r="AG648" s="359"/>
      <c r="AH648" s="284"/>
      <c r="AI648" s="355"/>
      <c r="AK648" s="359"/>
      <c r="AL648" s="284"/>
      <c r="AM648" s="355"/>
      <c r="AO648" s="359"/>
      <c r="AP648" s="284"/>
      <c r="AQ648" s="355"/>
      <c r="AR648" s="360"/>
      <c r="AS648" s="359"/>
      <c r="AT648" s="284"/>
      <c r="AU648" s="355"/>
      <c r="AW648" s="359"/>
      <c r="AX648" s="284"/>
      <c r="AY648" s="355"/>
      <c r="BA648" s="359"/>
      <c r="BB648" s="284"/>
      <c r="BC648" s="355"/>
      <c r="BE648" s="359"/>
      <c r="BF648" s="284"/>
      <c r="BG648" s="355"/>
      <c r="BI648" s="359"/>
      <c r="BJ648" s="284"/>
      <c r="BK648" s="355"/>
      <c r="BM648" s="359"/>
      <c r="BN648" s="284"/>
      <c r="BO648" s="355"/>
      <c r="BQ648" s="359"/>
      <c r="BR648" s="284"/>
      <c r="BS648" s="355"/>
      <c r="BU648" s="359"/>
      <c r="BV648" s="284"/>
    </row>
    <row r="649" spans="2:74" x14ac:dyDescent="0.25">
      <c r="B649" s="284"/>
      <c r="D649" s="355"/>
      <c r="E649" s="356"/>
      <c r="F649" s="357"/>
      <c r="G649" s="358"/>
      <c r="H649" s="359"/>
      <c r="I649" s="284"/>
      <c r="J649" s="287"/>
      <c r="K649" s="355"/>
      <c r="M649" s="359"/>
      <c r="N649" s="284"/>
      <c r="O649" s="355"/>
      <c r="P649" s="360"/>
      <c r="Q649" s="359"/>
      <c r="R649" s="284"/>
      <c r="S649" s="355"/>
      <c r="U649" s="359"/>
      <c r="V649" s="284"/>
      <c r="W649" s="355"/>
      <c r="Y649" s="359"/>
      <c r="Z649" s="284"/>
      <c r="AA649" s="355"/>
      <c r="AC649" s="359"/>
      <c r="AD649" s="284"/>
      <c r="AE649" s="355"/>
      <c r="AG649" s="359"/>
      <c r="AH649" s="284"/>
      <c r="AI649" s="355"/>
      <c r="AK649" s="359"/>
      <c r="AL649" s="284"/>
      <c r="AM649" s="355"/>
      <c r="AO649" s="359"/>
      <c r="AP649" s="284"/>
      <c r="AQ649" s="355"/>
      <c r="AR649" s="360"/>
      <c r="AS649" s="359"/>
      <c r="AT649" s="284"/>
      <c r="AU649" s="355"/>
      <c r="AW649" s="359"/>
      <c r="AX649" s="284"/>
      <c r="AY649" s="355"/>
      <c r="BA649" s="359"/>
      <c r="BB649" s="284"/>
      <c r="BC649" s="355"/>
      <c r="BE649" s="359"/>
      <c r="BF649" s="284"/>
      <c r="BG649" s="355"/>
      <c r="BI649" s="359"/>
      <c r="BJ649" s="284"/>
      <c r="BK649" s="355"/>
      <c r="BM649" s="359"/>
      <c r="BN649" s="284"/>
      <c r="BO649" s="355"/>
      <c r="BQ649" s="359"/>
      <c r="BR649" s="284"/>
      <c r="BS649" s="355"/>
      <c r="BU649" s="359"/>
      <c r="BV649" s="284"/>
    </row>
    <row r="650" spans="2:74" x14ac:dyDescent="0.25">
      <c r="B650" s="284"/>
      <c r="D650" s="355"/>
      <c r="E650" s="356"/>
      <c r="F650" s="357"/>
      <c r="G650" s="358"/>
      <c r="H650" s="359"/>
      <c r="I650" s="284"/>
      <c r="J650" s="287"/>
      <c r="K650" s="355"/>
      <c r="M650" s="359"/>
      <c r="N650" s="284"/>
      <c r="O650" s="355"/>
      <c r="P650" s="360"/>
      <c r="Q650" s="359"/>
      <c r="R650" s="284"/>
      <c r="S650" s="355"/>
      <c r="U650" s="359"/>
      <c r="V650" s="284"/>
      <c r="W650" s="355"/>
      <c r="Y650" s="359"/>
      <c r="Z650" s="284"/>
      <c r="AA650" s="355"/>
      <c r="AC650" s="359"/>
      <c r="AD650" s="284"/>
      <c r="AE650" s="355"/>
      <c r="AG650" s="359"/>
      <c r="AH650" s="284"/>
      <c r="AI650" s="355"/>
      <c r="AK650" s="359"/>
      <c r="AL650" s="284"/>
      <c r="AM650" s="355"/>
      <c r="AO650" s="359"/>
      <c r="AP650" s="284"/>
      <c r="AQ650" s="355"/>
      <c r="AR650" s="360"/>
      <c r="AS650" s="359"/>
      <c r="AT650" s="284"/>
      <c r="AU650" s="355"/>
      <c r="AW650" s="359"/>
      <c r="AX650" s="284"/>
      <c r="AY650" s="355"/>
      <c r="BA650" s="359"/>
      <c r="BB650" s="284"/>
      <c r="BC650" s="355"/>
      <c r="BE650" s="359"/>
      <c r="BF650" s="284"/>
      <c r="BG650" s="355"/>
      <c r="BI650" s="359"/>
      <c r="BJ650" s="284"/>
      <c r="BK650" s="355"/>
      <c r="BM650" s="359"/>
      <c r="BN650" s="284"/>
      <c r="BO650" s="355"/>
      <c r="BQ650" s="359"/>
      <c r="BR650" s="284"/>
      <c r="BS650" s="355"/>
      <c r="BU650" s="359"/>
      <c r="BV650" s="284"/>
    </row>
    <row r="651" spans="2:74" x14ac:dyDescent="0.25">
      <c r="B651" s="284"/>
      <c r="D651" s="355"/>
      <c r="E651" s="356"/>
      <c r="F651" s="357"/>
      <c r="G651" s="358"/>
      <c r="H651" s="359"/>
      <c r="I651" s="284"/>
      <c r="J651" s="287"/>
      <c r="K651" s="355"/>
      <c r="M651" s="359"/>
      <c r="N651" s="284"/>
      <c r="O651" s="355"/>
      <c r="P651" s="360"/>
      <c r="Q651" s="359"/>
      <c r="R651" s="284"/>
      <c r="S651" s="355"/>
      <c r="U651" s="359"/>
      <c r="V651" s="284"/>
      <c r="W651" s="355"/>
      <c r="Y651" s="359"/>
      <c r="Z651" s="284"/>
      <c r="AA651" s="355"/>
      <c r="AC651" s="359"/>
      <c r="AD651" s="284"/>
      <c r="AE651" s="355"/>
      <c r="AG651" s="359"/>
      <c r="AH651" s="284"/>
      <c r="AI651" s="355"/>
      <c r="AK651" s="359"/>
      <c r="AL651" s="284"/>
      <c r="AM651" s="355"/>
      <c r="AO651" s="359"/>
      <c r="AP651" s="284"/>
      <c r="AQ651" s="355"/>
      <c r="AR651" s="360"/>
      <c r="AS651" s="359"/>
      <c r="AT651" s="284"/>
      <c r="AU651" s="355"/>
      <c r="AW651" s="359"/>
      <c r="AX651" s="284"/>
      <c r="AY651" s="355"/>
      <c r="BA651" s="359"/>
      <c r="BB651" s="284"/>
      <c r="BC651" s="355"/>
      <c r="BE651" s="359"/>
      <c r="BF651" s="284"/>
      <c r="BG651" s="355"/>
      <c r="BI651" s="359"/>
      <c r="BJ651" s="284"/>
      <c r="BK651" s="355"/>
      <c r="BM651" s="359"/>
      <c r="BN651" s="284"/>
      <c r="BO651" s="355"/>
      <c r="BQ651" s="359"/>
      <c r="BR651" s="284"/>
      <c r="BS651" s="355"/>
      <c r="BU651" s="359"/>
      <c r="BV651" s="284"/>
    </row>
    <row r="652" spans="2:74" x14ac:dyDescent="0.25">
      <c r="B652" s="284"/>
      <c r="D652" s="355"/>
      <c r="E652" s="356"/>
      <c r="F652" s="357"/>
      <c r="G652" s="358"/>
      <c r="H652" s="359"/>
      <c r="I652" s="284"/>
      <c r="J652" s="287"/>
      <c r="K652" s="355"/>
      <c r="M652" s="359"/>
      <c r="N652" s="284"/>
      <c r="O652" s="355"/>
      <c r="P652" s="360"/>
      <c r="Q652" s="359"/>
      <c r="R652" s="284"/>
      <c r="S652" s="355"/>
      <c r="U652" s="359"/>
      <c r="V652" s="284"/>
      <c r="W652" s="355"/>
      <c r="Y652" s="359"/>
      <c r="Z652" s="284"/>
      <c r="AA652" s="355"/>
      <c r="AC652" s="359"/>
      <c r="AD652" s="284"/>
      <c r="AE652" s="355"/>
      <c r="AG652" s="359"/>
      <c r="AH652" s="284"/>
      <c r="AI652" s="355"/>
      <c r="AK652" s="359"/>
      <c r="AL652" s="284"/>
      <c r="AM652" s="355"/>
      <c r="AO652" s="359"/>
      <c r="AP652" s="284"/>
      <c r="AQ652" s="355"/>
      <c r="AR652" s="360"/>
      <c r="AS652" s="359"/>
      <c r="AT652" s="284"/>
      <c r="AU652" s="355"/>
      <c r="AW652" s="359"/>
      <c r="AX652" s="284"/>
      <c r="AY652" s="355"/>
      <c r="BA652" s="359"/>
      <c r="BB652" s="284"/>
      <c r="BC652" s="355"/>
      <c r="BE652" s="359"/>
      <c r="BF652" s="284"/>
      <c r="BG652" s="355"/>
      <c r="BI652" s="359"/>
      <c r="BJ652" s="284"/>
      <c r="BK652" s="355"/>
      <c r="BM652" s="359"/>
      <c r="BN652" s="284"/>
      <c r="BO652" s="355"/>
      <c r="BQ652" s="359"/>
      <c r="BR652" s="284"/>
      <c r="BS652" s="355"/>
      <c r="BU652" s="359"/>
      <c r="BV652" s="284"/>
    </row>
    <row r="653" spans="2:74" x14ac:dyDescent="0.25">
      <c r="B653" s="284"/>
      <c r="D653" s="355"/>
      <c r="E653" s="356"/>
      <c r="F653" s="357"/>
      <c r="G653" s="358"/>
      <c r="H653" s="359"/>
      <c r="I653" s="284"/>
      <c r="J653" s="287"/>
      <c r="K653" s="355"/>
      <c r="M653" s="359"/>
      <c r="N653" s="284"/>
      <c r="O653" s="355"/>
      <c r="P653" s="360"/>
      <c r="Q653" s="359"/>
      <c r="R653" s="284"/>
      <c r="S653" s="355"/>
      <c r="U653" s="359"/>
      <c r="V653" s="284"/>
      <c r="W653" s="355"/>
      <c r="Y653" s="359"/>
      <c r="Z653" s="284"/>
      <c r="AA653" s="355"/>
      <c r="AC653" s="359"/>
      <c r="AD653" s="284"/>
      <c r="AE653" s="355"/>
      <c r="AG653" s="359"/>
      <c r="AH653" s="284"/>
      <c r="AI653" s="355"/>
      <c r="AK653" s="359"/>
      <c r="AL653" s="284"/>
      <c r="AM653" s="355"/>
      <c r="AO653" s="359"/>
      <c r="AP653" s="284"/>
      <c r="AQ653" s="355"/>
      <c r="AR653" s="360"/>
      <c r="AS653" s="359"/>
      <c r="AT653" s="284"/>
      <c r="AU653" s="355"/>
      <c r="AW653" s="359"/>
      <c r="AX653" s="284"/>
      <c r="AY653" s="355"/>
      <c r="BA653" s="359"/>
      <c r="BB653" s="284"/>
      <c r="BC653" s="355"/>
      <c r="BE653" s="359"/>
      <c r="BF653" s="284"/>
      <c r="BG653" s="355"/>
      <c r="BI653" s="359"/>
      <c r="BJ653" s="284"/>
      <c r="BK653" s="355"/>
      <c r="BM653" s="359"/>
      <c r="BN653" s="284"/>
      <c r="BO653" s="355"/>
      <c r="BQ653" s="359"/>
      <c r="BR653" s="284"/>
      <c r="BS653" s="355"/>
      <c r="BU653" s="359"/>
      <c r="BV653" s="284"/>
    </row>
    <row r="654" spans="2:74" x14ac:dyDescent="0.25">
      <c r="B654" s="284"/>
      <c r="D654" s="355"/>
      <c r="E654" s="356"/>
      <c r="F654" s="357"/>
      <c r="G654" s="358"/>
      <c r="H654" s="359"/>
      <c r="I654" s="284"/>
      <c r="J654" s="287"/>
      <c r="K654" s="355"/>
      <c r="M654" s="359"/>
      <c r="N654" s="284"/>
      <c r="O654" s="355"/>
      <c r="P654" s="360"/>
      <c r="Q654" s="359"/>
      <c r="R654" s="284"/>
      <c r="S654" s="355"/>
      <c r="U654" s="359"/>
      <c r="V654" s="284"/>
      <c r="W654" s="355"/>
      <c r="Y654" s="359"/>
      <c r="Z654" s="284"/>
      <c r="AA654" s="355"/>
      <c r="AC654" s="359"/>
      <c r="AD654" s="284"/>
      <c r="AE654" s="355"/>
      <c r="AG654" s="359"/>
      <c r="AH654" s="284"/>
      <c r="AI654" s="355"/>
      <c r="AK654" s="359"/>
      <c r="AL654" s="284"/>
      <c r="AM654" s="355"/>
      <c r="AO654" s="359"/>
      <c r="AP654" s="284"/>
      <c r="AQ654" s="355"/>
      <c r="AR654" s="360"/>
      <c r="AS654" s="359"/>
      <c r="AT654" s="284"/>
      <c r="AU654" s="355"/>
      <c r="AW654" s="359"/>
      <c r="AX654" s="284"/>
      <c r="AY654" s="355"/>
      <c r="BA654" s="359"/>
      <c r="BB654" s="284"/>
      <c r="BC654" s="355"/>
      <c r="BE654" s="359"/>
      <c r="BF654" s="284"/>
      <c r="BG654" s="355"/>
      <c r="BI654" s="359"/>
      <c r="BJ654" s="284"/>
      <c r="BK654" s="355"/>
      <c r="BM654" s="359"/>
      <c r="BN654" s="284"/>
      <c r="BO654" s="355"/>
      <c r="BQ654" s="359"/>
      <c r="BR654" s="284"/>
      <c r="BS654" s="355"/>
      <c r="BU654" s="359"/>
      <c r="BV654" s="284"/>
    </row>
    <row r="655" spans="2:74" x14ac:dyDescent="0.25">
      <c r="B655" s="284"/>
      <c r="D655" s="355"/>
      <c r="E655" s="356"/>
      <c r="F655" s="357"/>
      <c r="G655" s="358"/>
      <c r="H655" s="359"/>
      <c r="I655" s="284"/>
      <c r="J655" s="287"/>
      <c r="K655" s="355"/>
      <c r="M655" s="359"/>
      <c r="N655" s="284"/>
      <c r="O655" s="355"/>
      <c r="P655" s="360"/>
      <c r="Q655" s="359"/>
      <c r="R655" s="284"/>
      <c r="S655" s="355"/>
      <c r="U655" s="359"/>
      <c r="V655" s="284"/>
      <c r="W655" s="355"/>
      <c r="Y655" s="359"/>
      <c r="Z655" s="284"/>
      <c r="AA655" s="355"/>
      <c r="AC655" s="359"/>
      <c r="AD655" s="284"/>
      <c r="AE655" s="355"/>
      <c r="AG655" s="359"/>
      <c r="AH655" s="284"/>
      <c r="AI655" s="355"/>
      <c r="AK655" s="359"/>
      <c r="AL655" s="284"/>
      <c r="AM655" s="355"/>
      <c r="AO655" s="359"/>
      <c r="AP655" s="284"/>
      <c r="AQ655" s="355"/>
      <c r="AR655" s="360"/>
      <c r="AS655" s="359"/>
      <c r="AT655" s="284"/>
      <c r="AU655" s="355"/>
      <c r="AW655" s="359"/>
      <c r="AX655" s="284"/>
      <c r="AY655" s="355"/>
      <c r="BA655" s="359"/>
      <c r="BB655" s="284"/>
      <c r="BC655" s="355"/>
      <c r="BE655" s="359"/>
      <c r="BF655" s="284"/>
      <c r="BG655" s="355"/>
      <c r="BI655" s="359"/>
      <c r="BJ655" s="284"/>
      <c r="BK655" s="355"/>
      <c r="BM655" s="359"/>
      <c r="BN655" s="284"/>
      <c r="BO655" s="355"/>
      <c r="BQ655" s="359"/>
      <c r="BR655" s="284"/>
      <c r="BS655" s="355"/>
      <c r="BU655" s="359"/>
      <c r="BV655" s="284"/>
    </row>
    <row r="656" spans="2:74" x14ac:dyDescent="0.25">
      <c r="B656" s="284"/>
      <c r="D656" s="355"/>
      <c r="E656" s="356"/>
      <c r="F656" s="357"/>
      <c r="G656" s="358"/>
      <c r="H656" s="359"/>
      <c r="I656" s="284"/>
      <c r="J656" s="287"/>
      <c r="K656" s="355"/>
      <c r="M656" s="359"/>
      <c r="N656" s="284"/>
      <c r="O656" s="355"/>
      <c r="P656" s="360"/>
      <c r="Q656" s="359"/>
      <c r="R656" s="284"/>
      <c r="S656" s="355"/>
      <c r="U656" s="359"/>
      <c r="V656" s="284"/>
      <c r="W656" s="355"/>
      <c r="Y656" s="359"/>
      <c r="Z656" s="284"/>
      <c r="AA656" s="355"/>
      <c r="AC656" s="359"/>
      <c r="AD656" s="284"/>
      <c r="AE656" s="355"/>
      <c r="AG656" s="359"/>
      <c r="AH656" s="284"/>
      <c r="AI656" s="355"/>
      <c r="AK656" s="359"/>
      <c r="AL656" s="284"/>
      <c r="AM656" s="355"/>
      <c r="AO656" s="359"/>
      <c r="AP656" s="284"/>
      <c r="AQ656" s="355"/>
      <c r="AR656" s="360"/>
      <c r="AS656" s="359"/>
      <c r="AT656" s="284"/>
      <c r="AU656" s="355"/>
      <c r="AW656" s="359"/>
      <c r="AX656" s="284"/>
      <c r="AY656" s="355"/>
      <c r="BA656" s="359"/>
      <c r="BB656" s="284"/>
      <c r="BC656" s="355"/>
      <c r="BE656" s="359"/>
      <c r="BF656" s="284"/>
      <c r="BG656" s="355"/>
      <c r="BI656" s="359"/>
      <c r="BJ656" s="284"/>
      <c r="BK656" s="355"/>
      <c r="BM656" s="359"/>
      <c r="BN656" s="284"/>
      <c r="BO656" s="355"/>
      <c r="BQ656" s="359"/>
      <c r="BR656" s="284"/>
      <c r="BS656" s="355"/>
      <c r="BU656" s="359"/>
      <c r="BV656" s="284"/>
    </row>
    <row r="657" spans="2:74" x14ac:dyDescent="0.25">
      <c r="B657" s="284"/>
      <c r="D657" s="355"/>
      <c r="E657" s="356"/>
      <c r="F657" s="357"/>
      <c r="G657" s="358"/>
      <c r="H657" s="359"/>
      <c r="I657" s="284"/>
      <c r="J657" s="287"/>
      <c r="K657" s="355"/>
      <c r="M657" s="359"/>
      <c r="N657" s="284"/>
      <c r="O657" s="355"/>
      <c r="P657" s="360"/>
      <c r="Q657" s="359"/>
      <c r="R657" s="284"/>
      <c r="S657" s="355"/>
      <c r="U657" s="359"/>
      <c r="V657" s="284"/>
      <c r="W657" s="355"/>
      <c r="Y657" s="359"/>
      <c r="Z657" s="284"/>
      <c r="AA657" s="355"/>
      <c r="AC657" s="359"/>
      <c r="AD657" s="284"/>
      <c r="AE657" s="355"/>
      <c r="AG657" s="359"/>
      <c r="AH657" s="284"/>
      <c r="AI657" s="355"/>
      <c r="AK657" s="359"/>
      <c r="AL657" s="284"/>
      <c r="AM657" s="355"/>
      <c r="AO657" s="359"/>
      <c r="AP657" s="284"/>
      <c r="AQ657" s="355"/>
      <c r="AR657" s="360"/>
      <c r="AS657" s="359"/>
      <c r="AT657" s="284"/>
      <c r="AU657" s="355"/>
      <c r="AW657" s="359"/>
      <c r="AX657" s="284"/>
      <c r="AY657" s="355"/>
      <c r="BA657" s="359"/>
      <c r="BB657" s="284"/>
      <c r="BC657" s="355"/>
      <c r="BE657" s="359"/>
      <c r="BF657" s="284"/>
      <c r="BG657" s="355"/>
      <c r="BI657" s="359"/>
      <c r="BJ657" s="284"/>
      <c r="BK657" s="355"/>
      <c r="BM657" s="359"/>
      <c r="BN657" s="284"/>
      <c r="BO657" s="355"/>
      <c r="BQ657" s="359"/>
      <c r="BR657" s="284"/>
      <c r="BS657" s="355"/>
      <c r="BU657" s="359"/>
      <c r="BV657" s="284"/>
    </row>
    <row r="658" spans="2:74" x14ac:dyDescent="0.25">
      <c r="B658" s="284"/>
      <c r="D658" s="355"/>
      <c r="E658" s="356"/>
      <c r="F658" s="357"/>
      <c r="G658" s="358"/>
      <c r="H658" s="359"/>
      <c r="I658" s="284"/>
      <c r="J658" s="287"/>
      <c r="K658" s="355"/>
      <c r="M658" s="359"/>
      <c r="N658" s="284"/>
      <c r="O658" s="355"/>
      <c r="P658" s="360"/>
      <c r="Q658" s="359"/>
      <c r="R658" s="284"/>
      <c r="S658" s="355"/>
      <c r="U658" s="359"/>
      <c r="V658" s="284"/>
      <c r="W658" s="355"/>
      <c r="Y658" s="359"/>
      <c r="Z658" s="284"/>
      <c r="AA658" s="355"/>
      <c r="AC658" s="359"/>
      <c r="AD658" s="284"/>
      <c r="AE658" s="355"/>
      <c r="AG658" s="359"/>
      <c r="AH658" s="284"/>
      <c r="AI658" s="355"/>
      <c r="AK658" s="359"/>
      <c r="AL658" s="284"/>
      <c r="AM658" s="355"/>
      <c r="AO658" s="359"/>
      <c r="AP658" s="284"/>
      <c r="AQ658" s="355"/>
      <c r="AR658" s="360"/>
      <c r="AS658" s="359"/>
      <c r="AT658" s="284"/>
      <c r="AU658" s="355"/>
      <c r="AW658" s="359"/>
      <c r="AX658" s="284"/>
      <c r="AY658" s="355"/>
      <c r="BA658" s="359"/>
      <c r="BB658" s="284"/>
      <c r="BC658" s="355"/>
      <c r="BE658" s="359"/>
      <c r="BF658" s="284"/>
      <c r="BG658" s="355"/>
      <c r="BI658" s="359"/>
      <c r="BJ658" s="284"/>
      <c r="BK658" s="355"/>
      <c r="BM658" s="359"/>
      <c r="BN658" s="284"/>
      <c r="BO658" s="355"/>
      <c r="BQ658" s="359"/>
      <c r="BR658" s="284"/>
      <c r="BS658" s="355"/>
      <c r="BU658" s="359"/>
      <c r="BV658" s="284"/>
    </row>
    <row r="659" spans="2:74" x14ac:dyDescent="0.25">
      <c r="B659" s="284"/>
      <c r="D659" s="355"/>
      <c r="E659" s="356"/>
      <c r="F659" s="357"/>
      <c r="G659" s="358"/>
      <c r="H659" s="359"/>
      <c r="I659" s="284"/>
      <c r="J659" s="287"/>
      <c r="K659" s="355"/>
      <c r="M659" s="359"/>
      <c r="N659" s="284"/>
      <c r="O659" s="355"/>
      <c r="P659" s="360"/>
      <c r="Q659" s="359"/>
      <c r="R659" s="284"/>
      <c r="S659" s="355"/>
      <c r="U659" s="359"/>
      <c r="V659" s="284"/>
      <c r="W659" s="355"/>
      <c r="Y659" s="359"/>
      <c r="Z659" s="284"/>
      <c r="AA659" s="355"/>
      <c r="AC659" s="359"/>
      <c r="AD659" s="284"/>
      <c r="AE659" s="355"/>
      <c r="AG659" s="359"/>
      <c r="AH659" s="284"/>
      <c r="AI659" s="355"/>
      <c r="AK659" s="359"/>
      <c r="AL659" s="284"/>
      <c r="AM659" s="355"/>
      <c r="AO659" s="359"/>
      <c r="AP659" s="284"/>
      <c r="AQ659" s="355"/>
      <c r="AR659" s="360"/>
      <c r="AS659" s="359"/>
      <c r="AT659" s="284"/>
      <c r="AU659" s="355"/>
      <c r="AW659" s="359"/>
      <c r="AX659" s="284"/>
      <c r="AY659" s="355"/>
      <c r="BA659" s="359"/>
      <c r="BB659" s="284"/>
      <c r="BC659" s="355"/>
      <c r="BE659" s="359"/>
      <c r="BF659" s="284"/>
      <c r="BG659" s="355"/>
      <c r="BI659" s="359"/>
      <c r="BJ659" s="284"/>
      <c r="BK659" s="355"/>
      <c r="BM659" s="359"/>
      <c r="BN659" s="284"/>
      <c r="BO659" s="355"/>
      <c r="BQ659" s="359"/>
      <c r="BR659" s="284"/>
      <c r="BS659" s="355"/>
      <c r="BU659" s="359"/>
      <c r="BV659" s="284"/>
    </row>
    <row r="660" spans="2:74" x14ac:dyDescent="0.25">
      <c r="B660" s="284"/>
      <c r="D660" s="355"/>
      <c r="E660" s="356"/>
      <c r="F660" s="357"/>
      <c r="G660" s="358"/>
      <c r="H660" s="359"/>
      <c r="I660" s="284"/>
      <c r="J660" s="287"/>
      <c r="K660" s="355"/>
      <c r="M660" s="359"/>
      <c r="N660" s="284"/>
      <c r="O660" s="355"/>
      <c r="P660" s="360"/>
      <c r="Q660" s="359"/>
      <c r="R660" s="284"/>
      <c r="S660" s="355"/>
      <c r="U660" s="359"/>
      <c r="V660" s="284"/>
      <c r="W660" s="355"/>
      <c r="Y660" s="359"/>
      <c r="Z660" s="284"/>
      <c r="AA660" s="355"/>
      <c r="AC660" s="359"/>
      <c r="AD660" s="284"/>
      <c r="AE660" s="355"/>
      <c r="AG660" s="359"/>
      <c r="AH660" s="284"/>
      <c r="AI660" s="355"/>
      <c r="AK660" s="359"/>
      <c r="AL660" s="284"/>
      <c r="AM660" s="355"/>
      <c r="AO660" s="359"/>
      <c r="AP660" s="284"/>
      <c r="AQ660" s="355"/>
      <c r="AR660" s="360"/>
      <c r="AS660" s="359"/>
      <c r="AT660" s="284"/>
      <c r="AU660" s="355"/>
      <c r="AW660" s="359"/>
      <c r="AX660" s="284"/>
      <c r="AY660" s="355"/>
      <c r="BA660" s="359"/>
      <c r="BB660" s="284"/>
      <c r="BC660" s="355"/>
      <c r="BE660" s="359"/>
      <c r="BF660" s="284"/>
      <c r="BG660" s="355"/>
      <c r="BI660" s="359"/>
      <c r="BJ660" s="284"/>
      <c r="BK660" s="355"/>
      <c r="BM660" s="359"/>
      <c r="BN660" s="284"/>
      <c r="BO660" s="355"/>
      <c r="BQ660" s="359"/>
      <c r="BR660" s="284"/>
      <c r="BS660" s="355"/>
      <c r="BU660" s="359"/>
      <c r="BV660" s="284"/>
    </row>
    <row r="661" spans="2:74" x14ac:dyDescent="0.25">
      <c r="B661" s="284"/>
      <c r="D661" s="355"/>
      <c r="E661" s="356"/>
      <c r="F661" s="357"/>
      <c r="G661" s="358"/>
      <c r="H661" s="359"/>
      <c r="I661" s="284"/>
      <c r="J661" s="287"/>
      <c r="K661" s="355"/>
      <c r="M661" s="359"/>
      <c r="N661" s="284"/>
      <c r="O661" s="355"/>
      <c r="P661" s="360"/>
      <c r="Q661" s="359"/>
      <c r="R661" s="284"/>
      <c r="S661" s="355"/>
      <c r="U661" s="359"/>
      <c r="V661" s="284"/>
      <c r="W661" s="355"/>
      <c r="Y661" s="359"/>
      <c r="Z661" s="284"/>
      <c r="AA661" s="355"/>
      <c r="AC661" s="359"/>
      <c r="AD661" s="284"/>
      <c r="AE661" s="355"/>
      <c r="AG661" s="359"/>
      <c r="AH661" s="284"/>
      <c r="AI661" s="355"/>
      <c r="AK661" s="359"/>
      <c r="AL661" s="284"/>
      <c r="AM661" s="355"/>
      <c r="AO661" s="359"/>
      <c r="AP661" s="284"/>
      <c r="AQ661" s="355"/>
      <c r="AR661" s="360"/>
      <c r="AS661" s="359"/>
      <c r="AT661" s="284"/>
      <c r="AU661" s="355"/>
      <c r="AW661" s="359"/>
      <c r="AX661" s="284"/>
      <c r="AY661" s="355"/>
      <c r="BA661" s="359"/>
      <c r="BB661" s="284"/>
      <c r="BC661" s="355"/>
      <c r="BE661" s="359"/>
      <c r="BF661" s="284"/>
      <c r="BG661" s="355"/>
      <c r="BI661" s="359"/>
      <c r="BJ661" s="284"/>
      <c r="BK661" s="355"/>
      <c r="BM661" s="359"/>
      <c r="BN661" s="284"/>
      <c r="BO661" s="355"/>
      <c r="BQ661" s="359"/>
      <c r="BR661" s="284"/>
      <c r="BS661" s="355"/>
      <c r="BU661" s="359"/>
      <c r="BV661" s="284"/>
    </row>
    <row r="662" spans="2:74" x14ac:dyDescent="0.25">
      <c r="B662" s="284"/>
      <c r="D662" s="355"/>
      <c r="E662" s="356"/>
      <c r="F662" s="357"/>
      <c r="G662" s="358"/>
      <c r="H662" s="359"/>
      <c r="I662" s="284"/>
      <c r="J662" s="287"/>
      <c r="K662" s="355"/>
      <c r="M662" s="359"/>
      <c r="N662" s="284"/>
      <c r="O662" s="355"/>
      <c r="P662" s="360"/>
      <c r="Q662" s="359"/>
      <c r="R662" s="284"/>
      <c r="S662" s="355"/>
      <c r="U662" s="359"/>
      <c r="V662" s="284"/>
      <c r="W662" s="355"/>
      <c r="Y662" s="359"/>
      <c r="Z662" s="284"/>
      <c r="AA662" s="355"/>
      <c r="AC662" s="359"/>
      <c r="AD662" s="284"/>
      <c r="AE662" s="355"/>
      <c r="AG662" s="359"/>
      <c r="AH662" s="284"/>
      <c r="AI662" s="355"/>
      <c r="AK662" s="359"/>
      <c r="AL662" s="284"/>
      <c r="AM662" s="355"/>
      <c r="AO662" s="359"/>
      <c r="AP662" s="284"/>
      <c r="AQ662" s="355"/>
      <c r="AR662" s="360"/>
      <c r="AS662" s="359"/>
      <c r="AT662" s="284"/>
      <c r="AU662" s="355"/>
      <c r="AW662" s="359"/>
      <c r="AX662" s="284"/>
      <c r="AY662" s="355"/>
      <c r="BA662" s="359"/>
      <c r="BB662" s="284"/>
      <c r="BC662" s="355"/>
      <c r="BE662" s="359"/>
      <c r="BF662" s="284"/>
      <c r="BG662" s="355"/>
      <c r="BI662" s="359"/>
      <c r="BJ662" s="284"/>
      <c r="BK662" s="355"/>
      <c r="BM662" s="359"/>
      <c r="BN662" s="284"/>
      <c r="BO662" s="355"/>
      <c r="BQ662" s="359"/>
      <c r="BR662" s="284"/>
      <c r="BS662" s="355"/>
      <c r="BU662" s="359"/>
      <c r="BV662" s="284"/>
    </row>
    <row r="663" spans="2:74" x14ac:dyDescent="0.25">
      <c r="B663" s="284"/>
      <c r="D663" s="355"/>
      <c r="E663" s="356"/>
      <c r="F663" s="357"/>
      <c r="G663" s="358"/>
      <c r="H663" s="359"/>
      <c r="I663" s="284"/>
      <c r="J663" s="287"/>
      <c r="K663" s="355"/>
      <c r="M663" s="359"/>
      <c r="N663" s="284"/>
      <c r="O663" s="355"/>
      <c r="P663" s="360"/>
      <c r="Q663" s="359"/>
      <c r="R663" s="284"/>
      <c r="S663" s="355"/>
      <c r="U663" s="359"/>
      <c r="V663" s="284"/>
      <c r="W663" s="355"/>
      <c r="Y663" s="359"/>
      <c r="Z663" s="284"/>
      <c r="AA663" s="355"/>
      <c r="AC663" s="359"/>
      <c r="AD663" s="284"/>
      <c r="AE663" s="355"/>
      <c r="AG663" s="359"/>
      <c r="AH663" s="284"/>
      <c r="AI663" s="355"/>
      <c r="AK663" s="359"/>
      <c r="AL663" s="284"/>
      <c r="AM663" s="355"/>
      <c r="AO663" s="359"/>
      <c r="AP663" s="284"/>
      <c r="AQ663" s="355"/>
      <c r="AR663" s="360"/>
      <c r="AS663" s="359"/>
      <c r="AT663" s="284"/>
      <c r="AU663" s="355"/>
      <c r="AW663" s="359"/>
      <c r="AX663" s="284"/>
      <c r="AY663" s="355"/>
      <c r="BA663" s="359"/>
      <c r="BB663" s="284"/>
      <c r="BC663" s="355"/>
      <c r="BE663" s="359"/>
      <c r="BF663" s="284"/>
      <c r="BG663" s="355"/>
      <c r="BI663" s="359"/>
      <c r="BJ663" s="284"/>
      <c r="BK663" s="355"/>
      <c r="BM663" s="359"/>
      <c r="BN663" s="284"/>
      <c r="BO663" s="355"/>
      <c r="BQ663" s="359"/>
      <c r="BR663" s="284"/>
      <c r="BS663" s="355"/>
      <c r="BU663" s="359"/>
      <c r="BV663" s="284"/>
    </row>
    <row r="664" spans="2:74" x14ac:dyDescent="0.25">
      <c r="B664" s="284"/>
      <c r="D664" s="355"/>
      <c r="E664" s="356"/>
      <c r="F664" s="357"/>
      <c r="G664" s="358"/>
      <c r="H664" s="359"/>
      <c r="I664" s="284"/>
      <c r="J664" s="287"/>
      <c r="K664" s="355"/>
      <c r="M664" s="359"/>
      <c r="N664" s="284"/>
      <c r="O664" s="355"/>
      <c r="P664" s="360"/>
      <c r="Q664" s="359"/>
      <c r="R664" s="284"/>
      <c r="S664" s="355"/>
      <c r="U664" s="359"/>
      <c r="V664" s="284"/>
      <c r="W664" s="355"/>
      <c r="Y664" s="359"/>
      <c r="Z664" s="284"/>
      <c r="AA664" s="355"/>
      <c r="AC664" s="359"/>
      <c r="AD664" s="284"/>
      <c r="AE664" s="355"/>
      <c r="AG664" s="359"/>
      <c r="AH664" s="284"/>
      <c r="AI664" s="355"/>
      <c r="AK664" s="359"/>
      <c r="AL664" s="284"/>
      <c r="AM664" s="355"/>
      <c r="AO664" s="359"/>
      <c r="AP664" s="284"/>
      <c r="AQ664" s="355"/>
      <c r="AR664" s="360"/>
      <c r="AS664" s="359"/>
      <c r="AT664" s="284"/>
      <c r="AU664" s="355"/>
      <c r="AW664" s="359"/>
      <c r="AX664" s="284"/>
      <c r="AY664" s="355"/>
      <c r="BA664" s="359"/>
      <c r="BB664" s="284"/>
      <c r="BC664" s="355"/>
      <c r="BE664" s="359"/>
      <c r="BF664" s="284"/>
      <c r="BG664" s="355"/>
      <c r="BI664" s="359"/>
      <c r="BJ664" s="284"/>
      <c r="BK664" s="355"/>
      <c r="BM664" s="359"/>
      <c r="BN664" s="284"/>
      <c r="BO664" s="355"/>
      <c r="BQ664" s="359"/>
      <c r="BR664" s="284"/>
      <c r="BS664" s="355"/>
      <c r="BU664" s="359"/>
      <c r="BV664" s="284"/>
    </row>
    <row r="665" spans="2:74" x14ac:dyDescent="0.25">
      <c r="B665" s="284"/>
      <c r="D665" s="355"/>
      <c r="E665" s="356"/>
      <c r="F665" s="357"/>
      <c r="G665" s="358"/>
      <c r="H665" s="359"/>
      <c r="I665" s="284"/>
      <c r="J665" s="287"/>
      <c r="K665" s="355"/>
      <c r="M665" s="359"/>
      <c r="N665" s="284"/>
      <c r="O665" s="355"/>
      <c r="P665" s="360"/>
      <c r="Q665" s="359"/>
      <c r="R665" s="284"/>
      <c r="S665" s="355"/>
      <c r="U665" s="359"/>
      <c r="V665" s="284"/>
      <c r="W665" s="355"/>
      <c r="Y665" s="359"/>
      <c r="Z665" s="284"/>
      <c r="AA665" s="355"/>
      <c r="AC665" s="359"/>
      <c r="AD665" s="284"/>
      <c r="AE665" s="355"/>
      <c r="AG665" s="359"/>
      <c r="AH665" s="284"/>
      <c r="AI665" s="355"/>
      <c r="AK665" s="359"/>
      <c r="AL665" s="284"/>
      <c r="AM665" s="355"/>
      <c r="AO665" s="359"/>
      <c r="AP665" s="284"/>
      <c r="AQ665" s="355"/>
      <c r="AR665" s="360"/>
      <c r="AS665" s="359"/>
      <c r="AT665" s="284"/>
      <c r="AU665" s="355"/>
      <c r="AW665" s="359"/>
      <c r="AX665" s="284"/>
      <c r="AY665" s="355"/>
      <c r="BA665" s="359"/>
      <c r="BB665" s="284"/>
      <c r="BC665" s="355"/>
      <c r="BE665" s="359"/>
      <c r="BF665" s="284"/>
      <c r="BG665" s="355"/>
      <c r="BI665" s="359"/>
      <c r="BJ665" s="284"/>
      <c r="BK665" s="355"/>
      <c r="BM665" s="359"/>
      <c r="BN665" s="284"/>
      <c r="BO665" s="355"/>
      <c r="BQ665" s="359"/>
      <c r="BR665" s="284"/>
      <c r="BS665" s="355"/>
      <c r="BU665" s="359"/>
      <c r="BV665" s="284"/>
    </row>
    <row r="666" spans="2:74" x14ac:dyDescent="0.25">
      <c r="B666" s="284"/>
      <c r="D666" s="355"/>
      <c r="E666" s="356"/>
      <c r="F666" s="357"/>
      <c r="G666" s="358"/>
      <c r="H666" s="359"/>
      <c r="I666" s="284"/>
      <c r="J666" s="287"/>
      <c r="K666" s="355"/>
      <c r="M666" s="359"/>
      <c r="N666" s="284"/>
      <c r="O666" s="355"/>
      <c r="P666" s="360"/>
      <c r="Q666" s="359"/>
      <c r="R666" s="284"/>
      <c r="S666" s="355"/>
      <c r="U666" s="359"/>
      <c r="V666" s="284"/>
      <c r="W666" s="355"/>
      <c r="Y666" s="359"/>
      <c r="Z666" s="284"/>
      <c r="AA666" s="355"/>
      <c r="AC666" s="359"/>
      <c r="AD666" s="284"/>
      <c r="AE666" s="355"/>
      <c r="AG666" s="359"/>
      <c r="AH666" s="284"/>
      <c r="AI666" s="355"/>
      <c r="AK666" s="359"/>
      <c r="AL666" s="284"/>
      <c r="AM666" s="355"/>
      <c r="AO666" s="359"/>
      <c r="AP666" s="284"/>
      <c r="AQ666" s="355"/>
      <c r="AR666" s="360"/>
      <c r="AS666" s="359"/>
      <c r="AT666" s="284"/>
      <c r="AU666" s="355"/>
      <c r="AW666" s="359"/>
      <c r="AX666" s="284"/>
      <c r="AY666" s="355"/>
      <c r="BA666" s="359"/>
      <c r="BB666" s="284"/>
      <c r="BC666" s="355"/>
      <c r="BE666" s="359"/>
      <c r="BF666" s="284"/>
      <c r="BG666" s="355"/>
      <c r="BI666" s="359"/>
      <c r="BJ666" s="284"/>
      <c r="BK666" s="355"/>
      <c r="BM666" s="359"/>
      <c r="BN666" s="284"/>
      <c r="BO666" s="355"/>
      <c r="BQ666" s="359"/>
      <c r="BR666" s="284"/>
      <c r="BS666" s="355"/>
      <c r="BU666" s="359"/>
      <c r="BV666" s="284"/>
    </row>
    <row r="667" spans="2:74" x14ac:dyDescent="0.25">
      <c r="B667" s="284"/>
      <c r="D667" s="355"/>
      <c r="E667" s="356"/>
      <c r="F667" s="357"/>
      <c r="G667" s="358"/>
      <c r="H667" s="359"/>
      <c r="I667" s="284"/>
      <c r="J667" s="287"/>
      <c r="K667" s="355"/>
      <c r="M667" s="359"/>
      <c r="N667" s="284"/>
      <c r="O667" s="355"/>
      <c r="P667" s="360"/>
      <c r="Q667" s="359"/>
      <c r="R667" s="284"/>
      <c r="S667" s="355"/>
      <c r="U667" s="359"/>
      <c r="V667" s="284"/>
      <c r="W667" s="355"/>
      <c r="Y667" s="359"/>
      <c r="Z667" s="284"/>
      <c r="AA667" s="355"/>
      <c r="AC667" s="359"/>
      <c r="AD667" s="284"/>
      <c r="AE667" s="355"/>
      <c r="AG667" s="359"/>
      <c r="AH667" s="284"/>
      <c r="AI667" s="355"/>
      <c r="AK667" s="359"/>
      <c r="AL667" s="284"/>
      <c r="AM667" s="355"/>
      <c r="AO667" s="359"/>
      <c r="AP667" s="284"/>
      <c r="AQ667" s="355"/>
      <c r="AR667" s="360"/>
      <c r="AS667" s="359"/>
      <c r="AT667" s="284"/>
      <c r="AU667" s="355"/>
      <c r="AW667" s="359"/>
      <c r="AX667" s="284"/>
      <c r="AY667" s="355"/>
      <c r="BA667" s="359"/>
      <c r="BB667" s="284"/>
      <c r="BC667" s="355"/>
      <c r="BE667" s="359"/>
      <c r="BF667" s="284"/>
      <c r="BG667" s="355"/>
      <c r="BI667" s="359"/>
      <c r="BJ667" s="284"/>
      <c r="BK667" s="355"/>
      <c r="BM667" s="359"/>
      <c r="BN667" s="284"/>
      <c r="BO667" s="355"/>
      <c r="BQ667" s="359"/>
      <c r="BR667" s="284"/>
      <c r="BS667" s="355"/>
      <c r="BU667" s="359"/>
      <c r="BV667" s="284"/>
    </row>
    <row r="668" spans="2:74" x14ac:dyDescent="0.25">
      <c r="B668" s="284"/>
      <c r="D668" s="355"/>
      <c r="E668" s="356"/>
      <c r="F668" s="357"/>
      <c r="G668" s="358"/>
      <c r="H668" s="359"/>
      <c r="I668" s="284"/>
      <c r="J668" s="287"/>
      <c r="K668" s="355"/>
      <c r="M668" s="359"/>
      <c r="N668" s="284"/>
      <c r="O668" s="355"/>
      <c r="P668" s="360"/>
      <c r="Q668" s="359"/>
      <c r="R668" s="284"/>
      <c r="S668" s="355"/>
      <c r="U668" s="359"/>
      <c r="V668" s="284"/>
      <c r="W668" s="355"/>
      <c r="Y668" s="359"/>
      <c r="Z668" s="284"/>
      <c r="AA668" s="355"/>
      <c r="AC668" s="359"/>
      <c r="AD668" s="284"/>
      <c r="AE668" s="355"/>
      <c r="AG668" s="359"/>
      <c r="AH668" s="284"/>
      <c r="AI668" s="355"/>
      <c r="AK668" s="359"/>
      <c r="AL668" s="284"/>
      <c r="AM668" s="355"/>
      <c r="AO668" s="359"/>
      <c r="AP668" s="284"/>
      <c r="AQ668" s="355"/>
      <c r="AR668" s="360"/>
      <c r="AS668" s="359"/>
      <c r="AT668" s="284"/>
      <c r="AU668" s="355"/>
      <c r="AW668" s="359"/>
      <c r="AX668" s="284"/>
      <c r="AY668" s="355"/>
      <c r="BA668" s="359"/>
      <c r="BB668" s="284"/>
      <c r="BC668" s="355"/>
      <c r="BE668" s="359"/>
      <c r="BF668" s="284"/>
      <c r="BG668" s="355"/>
      <c r="BI668" s="359"/>
      <c r="BJ668" s="284"/>
      <c r="BK668" s="355"/>
      <c r="BM668" s="359"/>
      <c r="BN668" s="284"/>
      <c r="BO668" s="355"/>
      <c r="BQ668" s="359"/>
      <c r="BR668" s="284"/>
      <c r="BS668" s="355"/>
      <c r="BU668" s="359"/>
      <c r="BV668" s="284"/>
    </row>
    <row r="669" spans="2:74" x14ac:dyDescent="0.25">
      <c r="B669" s="284"/>
      <c r="D669" s="355"/>
      <c r="E669" s="356"/>
      <c r="F669" s="357"/>
      <c r="G669" s="358"/>
      <c r="H669" s="359"/>
      <c r="I669" s="284"/>
      <c r="J669" s="287"/>
      <c r="K669" s="355"/>
      <c r="M669" s="359"/>
      <c r="N669" s="284"/>
      <c r="O669" s="355"/>
      <c r="P669" s="360"/>
      <c r="Q669" s="359"/>
      <c r="R669" s="284"/>
      <c r="S669" s="355"/>
      <c r="U669" s="359"/>
      <c r="V669" s="284"/>
      <c r="W669" s="355"/>
      <c r="Y669" s="359"/>
      <c r="Z669" s="284"/>
      <c r="AA669" s="355"/>
      <c r="AC669" s="359"/>
      <c r="AD669" s="284"/>
      <c r="AE669" s="355"/>
      <c r="AG669" s="359"/>
      <c r="AH669" s="284"/>
      <c r="AI669" s="355"/>
      <c r="AK669" s="359"/>
      <c r="AL669" s="284"/>
      <c r="AM669" s="355"/>
      <c r="AO669" s="359"/>
      <c r="AP669" s="284"/>
      <c r="AQ669" s="355"/>
      <c r="AR669" s="360"/>
      <c r="AS669" s="359"/>
      <c r="AT669" s="284"/>
      <c r="AU669" s="355"/>
      <c r="AW669" s="359"/>
      <c r="AX669" s="284"/>
      <c r="AY669" s="355"/>
      <c r="BA669" s="359"/>
      <c r="BB669" s="284"/>
      <c r="BC669" s="355"/>
      <c r="BE669" s="359"/>
      <c r="BF669" s="284"/>
      <c r="BG669" s="355"/>
      <c r="BI669" s="359"/>
      <c r="BJ669" s="284"/>
      <c r="BK669" s="355"/>
      <c r="BM669" s="359"/>
      <c r="BN669" s="284"/>
      <c r="BO669" s="355"/>
      <c r="BQ669" s="359"/>
      <c r="BR669" s="284"/>
      <c r="BS669" s="355"/>
      <c r="BU669" s="359"/>
      <c r="BV669" s="284"/>
    </row>
    <row r="670" spans="2:74" x14ac:dyDescent="0.25">
      <c r="B670" s="284"/>
      <c r="D670" s="355"/>
      <c r="E670" s="356"/>
      <c r="F670" s="357"/>
      <c r="G670" s="358"/>
      <c r="H670" s="359"/>
      <c r="I670" s="284"/>
      <c r="J670" s="287"/>
      <c r="K670" s="355"/>
      <c r="M670" s="359"/>
      <c r="N670" s="284"/>
      <c r="O670" s="355"/>
      <c r="P670" s="360"/>
      <c r="Q670" s="359"/>
      <c r="R670" s="284"/>
      <c r="S670" s="355"/>
      <c r="U670" s="359"/>
      <c r="V670" s="284"/>
      <c r="W670" s="355"/>
      <c r="Y670" s="359"/>
      <c r="Z670" s="284"/>
      <c r="AA670" s="355"/>
      <c r="AC670" s="359"/>
      <c r="AD670" s="284"/>
      <c r="AE670" s="355"/>
      <c r="AG670" s="359"/>
      <c r="AH670" s="284"/>
      <c r="AI670" s="355"/>
      <c r="AK670" s="359"/>
      <c r="AL670" s="284"/>
      <c r="AM670" s="355"/>
      <c r="AO670" s="359"/>
      <c r="AP670" s="284"/>
      <c r="AQ670" s="355"/>
      <c r="AR670" s="360"/>
      <c r="AS670" s="359"/>
      <c r="AT670" s="284"/>
      <c r="AU670" s="355"/>
      <c r="AW670" s="359"/>
      <c r="AX670" s="284"/>
      <c r="AY670" s="355"/>
      <c r="BA670" s="359"/>
      <c r="BB670" s="284"/>
      <c r="BC670" s="355"/>
      <c r="BE670" s="359"/>
      <c r="BF670" s="284"/>
      <c r="BG670" s="355"/>
      <c r="BI670" s="359"/>
      <c r="BJ670" s="284"/>
      <c r="BK670" s="355"/>
      <c r="BM670" s="359"/>
      <c r="BN670" s="284"/>
      <c r="BO670" s="355"/>
      <c r="BQ670" s="359"/>
      <c r="BR670" s="284"/>
      <c r="BS670" s="355"/>
      <c r="BU670" s="359"/>
      <c r="BV670" s="284"/>
    </row>
    <row r="671" spans="2:74" x14ac:dyDescent="0.25">
      <c r="B671" s="284"/>
      <c r="D671" s="355"/>
      <c r="E671" s="356"/>
      <c r="F671" s="357"/>
      <c r="G671" s="358"/>
      <c r="H671" s="359"/>
      <c r="I671" s="284"/>
      <c r="J671" s="287"/>
      <c r="K671" s="355"/>
      <c r="M671" s="359"/>
      <c r="N671" s="284"/>
      <c r="O671" s="355"/>
      <c r="P671" s="360"/>
      <c r="Q671" s="359"/>
      <c r="R671" s="284"/>
      <c r="S671" s="355"/>
      <c r="U671" s="359"/>
      <c r="V671" s="284"/>
      <c r="W671" s="355"/>
      <c r="Y671" s="359"/>
      <c r="Z671" s="284"/>
      <c r="AA671" s="355"/>
      <c r="AC671" s="359"/>
      <c r="AD671" s="284"/>
      <c r="AE671" s="355"/>
      <c r="AG671" s="359"/>
      <c r="AH671" s="284"/>
      <c r="AI671" s="355"/>
      <c r="AK671" s="359"/>
      <c r="AL671" s="284"/>
      <c r="AM671" s="355"/>
      <c r="AO671" s="359"/>
      <c r="AP671" s="284"/>
      <c r="AQ671" s="355"/>
      <c r="AR671" s="360"/>
      <c r="AS671" s="359"/>
      <c r="AT671" s="284"/>
      <c r="AU671" s="355"/>
      <c r="AW671" s="359"/>
      <c r="AX671" s="284"/>
      <c r="AY671" s="355"/>
      <c r="BA671" s="359"/>
      <c r="BB671" s="284"/>
      <c r="BC671" s="355"/>
      <c r="BE671" s="359"/>
      <c r="BF671" s="284"/>
      <c r="BG671" s="355"/>
      <c r="BI671" s="359"/>
      <c r="BJ671" s="284"/>
      <c r="BK671" s="355"/>
      <c r="BM671" s="359"/>
      <c r="BN671" s="284"/>
      <c r="BO671" s="355"/>
      <c r="BQ671" s="359"/>
      <c r="BR671" s="284"/>
      <c r="BS671" s="355"/>
      <c r="BU671" s="359"/>
      <c r="BV671" s="284"/>
    </row>
    <row r="672" spans="2:74" x14ac:dyDescent="0.25">
      <c r="B672" s="284"/>
      <c r="D672" s="355"/>
      <c r="E672" s="356"/>
      <c r="F672" s="357"/>
      <c r="G672" s="358"/>
      <c r="H672" s="359"/>
      <c r="I672" s="284"/>
      <c r="J672" s="287"/>
      <c r="K672" s="355"/>
      <c r="M672" s="359"/>
      <c r="N672" s="284"/>
      <c r="O672" s="355"/>
      <c r="P672" s="360"/>
      <c r="Q672" s="359"/>
      <c r="R672" s="284"/>
      <c r="S672" s="355"/>
      <c r="U672" s="359"/>
      <c r="V672" s="284"/>
      <c r="W672" s="355"/>
      <c r="Y672" s="359"/>
      <c r="Z672" s="284"/>
      <c r="AA672" s="355"/>
      <c r="AC672" s="359"/>
      <c r="AD672" s="284"/>
      <c r="AE672" s="355"/>
      <c r="AG672" s="359"/>
      <c r="AH672" s="284"/>
      <c r="AI672" s="355"/>
      <c r="AK672" s="359"/>
      <c r="AL672" s="284"/>
      <c r="AM672" s="355"/>
      <c r="AO672" s="359"/>
      <c r="AP672" s="284"/>
      <c r="AQ672" s="355"/>
      <c r="AR672" s="360"/>
      <c r="AS672" s="359"/>
      <c r="AT672" s="284"/>
      <c r="AU672" s="355"/>
      <c r="AW672" s="359"/>
      <c r="AX672" s="284"/>
      <c r="AY672" s="355"/>
      <c r="BA672" s="359"/>
      <c r="BB672" s="284"/>
      <c r="BC672" s="355"/>
      <c r="BE672" s="359"/>
      <c r="BF672" s="284"/>
      <c r="BG672" s="355"/>
      <c r="BI672" s="359"/>
      <c r="BJ672" s="284"/>
      <c r="BK672" s="355"/>
      <c r="BM672" s="359"/>
      <c r="BN672" s="284"/>
      <c r="BO672" s="355"/>
      <c r="BQ672" s="359"/>
      <c r="BR672" s="284"/>
      <c r="BS672" s="355"/>
      <c r="BU672" s="359"/>
      <c r="BV672" s="284"/>
    </row>
    <row r="673" spans="2:74" x14ac:dyDescent="0.25">
      <c r="B673" s="284"/>
      <c r="D673" s="355"/>
      <c r="E673" s="356"/>
      <c r="F673" s="357"/>
      <c r="G673" s="358"/>
      <c r="H673" s="359"/>
      <c r="I673" s="284"/>
      <c r="J673" s="287"/>
      <c r="K673" s="355"/>
      <c r="M673" s="359"/>
      <c r="N673" s="284"/>
      <c r="O673" s="355"/>
      <c r="P673" s="360"/>
      <c r="Q673" s="359"/>
      <c r="R673" s="284"/>
      <c r="S673" s="355"/>
      <c r="U673" s="359"/>
      <c r="V673" s="284"/>
      <c r="W673" s="355"/>
      <c r="Y673" s="359"/>
      <c r="Z673" s="284"/>
      <c r="AA673" s="355"/>
      <c r="AC673" s="359"/>
      <c r="AD673" s="284"/>
      <c r="AE673" s="355"/>
      <c r="AG673" s="359"/>
      <c r="AH673" s="284"/>
      <c r="AI673" s="355"/>
      <c r="AK673" s="359"/>
      <c r="AL673" s="284"/>
      <c r="AM673" s="355"/>
      <c r="AO673" s="359"/>
      <c r="AP673" s="284"/>
      <c r="AQ673" s="355"/>
      <c r="AR673" s="360"/>
      <c r="AS673" s="359"/>
      <c r="AT673" s="284"/>
      <c r="AU673" s="355"/>
      <c r="AW673" s="359"/>
      <c r="AX673" s="284"/>
      <c r="AY673" s="355"/>
      <c r="BA673" s="359"/>
      <c r="BB673" s="284"/>
      <c r="BC673" s="355"/>
      <c r="BE673" s="359"/>
      <c r="BF673" s="284"/>
      <c r="BG673" s="355"/>
      <c r="BI673" s="359"/>
      <c r="BJ673" s="284"/>
      <c r="BK673" s="355"/>
      <c r="BM673" s="359"/>
      <c r="BN673" s="284"/>
      <c r="BO673" s="355"/>
      <c r="BQ673" s="359"/>
      <c r="BR673" s="284"/>
      <c r="BS673" s="355"/>
      <c r="BU673" s="359"/>
      <c r="BV673" s="284"/>
    </row>
    <row r="674" spans="2:74" x14ac:dyDescent="0.25">
      <c r="B674" s="284"/>
      <c r="D674" s="355"/>
      <c r="E674" s="356"/>
      <c r="F674" s="357"/>
      <c r="G674" s="358"/>
      <c r="H674" s="359"/>
      <c r="I674" s="284"/>
      <c r="J674" s="287"/>
      <c r="K674" s="355"/>
      <c r="M674" s="359"/>
      <c r="N674" s="284"/>
      <c r="O674" s="355"/>
      <c r="P674" s="360"/>
      <c r="Q674" s="359"/>
      <c r="R674" s="284"/>
      <c r="S674" s="355"/>
      <c r="U674" s="359"/>
      <c r="V674" s="284"/>
      <c r="W674" s="355"/>
      <c r="Y674" s="359"/>
      <c r="Z674" s="284"/>
      <c r="AA674" s="355"/>
      <c r="AC674" s="359"/>
      <c r="AD674" s="284"/>
      <c r="AE674" s="355"/>
      <c r="AG674" s="359"/>
      <c r="AH674" s="284"/>
      <c r="AI674" s="355"/>
      <c r="AK674" s="359"/>
      <c r="AL674" s="284"/>
      <c r="AM674" s="355"/>
      <c r="AO674" s="359"/>
      <c r="AP674" s="284"/>
      <c r="AQ674" s="355"/>
      <c r="AR674" s="360"/>
      <c r="AS674" s="359"/>
      <c r="AT674" s="284"/>
      <c r="AU674" s="355"/>
      <c r="AW674" s="359"/>
      <c r="AX674" s="284"/>
      <c r="AY674" s="355"/>
      <c r="BA674" s="359"/>
      <c r="BB674" s="284"/>
      <c r="BC674" s="355"/>
      <c r="BE674" s="359"/>
      <c r="BF674" s="284"/>
      <c r="BG674" s="355"/>
      <c r="BI674" s="359"/>
      <c r="BJ674" s="284"/>
      <c r="BK674" s="355"/>
      <c r="BM674" s="359"/>
      <c r="BN674" s="284"/>
      <c r="BO674" s="355"/>
      <c r="BQ674" s="359"/>
      <c r="BR674" s="284"/>
      <c r="BS674" s="355"/>
      <c r="BU674" s="359"/>
      <c r="BV674" s="284"/>
    </row>
    <row r="675" spans="2:74" x14ac:dyDescent="0.25">
      <c r="B675" s="284"/>
      <c r="D675" s="355"/>
      <c r="E675" s="356"/>
      <c r="F675" s="357"/>
      <c r="G675" s="358"/>
      <c r="H675" s="359"/>
      <c r="I675" s="284"/>
      <c r="J675" s="287"/>
      <c r="K675" s="355"/>
      <c r="M675" s="359"/>
      <c r="N675" s="284"/>
      <c r="O675" s="355"/>
      <c r="P675" s="360"/>
      <c r="Q675" s="359"/>
      <c r="R675" s="284"/>
      <c r="S675" s="355"/>
      <c r="U675" s="359"/>
      <c r="V675" s="284"/>
      <c r="W675" s="355"/>
      <c r="Y675" s="359"/>
      <c r="Z675" s="284"/>
      <c r="AA675" s="355"/>
      <c r="AC675" s="359"/>
      <c r="AD675" s="284"/>
      <c r="AE675" s="355"/>
      <c r="AG675" s="359"/>
      <c r="AH675" s="284"/>
      <c r="AI675" s="355"/>
      <c r="AK675" s="359"/>
      <c r="AL675" s="284"/>
      <c r="AM675" s="355"/>
      <c r="AO675" s="359"/>
      <c r="AP675" s="284"/>
      <c r="AQ675" s="355"/>
      <c r="AR675" s="360"/>
      <c r="AS675" s="359"/>
      <c r="AT675" s="284"/>
      <c r="AU675" s="355"/>
      <c r="AW675" s="359"/>
      <c r="AX675" s="284"/>
      <c r="AY675" s="355"/>
      <c r="BA675" s="359"/>
      <c r="BB675" s="284"/>
      <c r="BC675" s="355"/>
      <c r="BE675" s="359"/>
      <c r="BF675" s="284"/>
      <c r="BG675" s="355"/>
      <c r="BI675" s="359"/>
      <c r="BJ675" s="284"/>
      <c r="BK675" s="355"/>
      <c r="BM675" s="359"/>
      <c r="BN675" s="284"/>
      <c r="BO675" s="355"/>
      <c r="BQ675" s="359"/>
      <c r="BR675" s="284"/>
      <c r="BS675" s="355"/>
      <c r="BU675" s="359"/>
      <c r="BV675" s="284"/>
    </row>
    <row r="676" spans="2:74" x14ac:dyDescent="0.25">
      <c r="B676" s="284"/>
      <c r="D676" s="355"/>
      <c r="E676" s="356"/>
      <c r="F676" s="357"/>
      <c r="G676" s="358"/>
      <c r="H676" s="359"/>
      <c r="I676" s="284"/>
      <c r="J676" s="287"/>
      <c r="K676" s="355"/>
      <c r="M676" s="359"/>
      <c r="N676" s="284"/>
      <c r="O676" s="355"/>
      <c r="P676" s="360"/>
      <c r="Q676" s="359"/>
      <c r="R676" s="284"/>
      <c r="S676" s="355"/>
      <c r="U676" s="359"/>
      <c r="V676" s="284"/>
      <c r="W676" s="355"/>
      <c r="Y676" s="359"/>
      <c r="Z676" s="284"/>
      <c r="AA676" s="355"/>
      <c r="AC676" s="359"/>
      <c r="AD676" s="284"/>
      <c r="AE676" s="355"/>
      <c r="AG676" s="359"/>
      <c r="AH676" s="284"/>
      <c r="AI676" s="355"/>
      <c r="AK676" s="359"/>
      <c r="AL676" s="284"/>
      <c r="AM676" s="355"/>
      <c r="AO676" s="359"/>
      <c r="AP676" s="284"/>
      <c r="AQ676" s="355"/>
      <c r="AR676" s="360"/>
      <c r="AS676" s="359"/>
      <c r="AT676" s="284"/>
      <c r="AU676" s="355"/>
      <c r="AW676" s="359"/>
      <c r="AX676" s="284"/>
      <c r="AY676" s="355"/>
      <c r="BA676" s="359"/>
      <c r="BB676" s="284"/>
      <c r="BC676" s="355"/>
      <c r="BE676" s="359"/>
      <c r="BF676" s="284"/>
      <c r="BG676" s="355"/>
      <c r="BI676" s="359"/>
      <c r="BJ676" s="284"/>
      <c r="BK676" s="355"/>
      <c r="BM676" s="359"/>
      <c r="BN676" s="284"/>
      <c r="BO676" s="355"/>
      <c r="BQ676" s="359"/>
      <c r="BR676" s="284"/>
      <c r="BS676" s="355"/>
      <c r="BU676" s="359"/>
      <c r="BV676" s="284"/>
    </row>
    <row r="677" spans="2:74" x14ac:dyDescent="0.25">
      <c r="B677" s="284"/>
      <c r="D677" s="355"/>
      <c r="E677" s="356"/>
      <c r="F677" s="357"/>
      <c r="G677" s="358"/>
      <c r="H677" s="359"/>
      <c r="I677" s="284"/>
      <c r="J677" s="287"/>
      <c r="K677" s="355"/>
      <c r="M677" s="359"/>
      <c r="N677" s="284"/>
      <c r="O677" s="355"/>
      <c r="P677" s="360"/>
      <c r="Q677" s="359"/>
      <c r="R677" s="284"/>
      <c r="S677" s="355"/>
      <c r="U677" s="359"/>
      <c r="V677" s="284"/>
      <c r="W677" s="355"/>
      <c r="Y677" s="359"/>
      <c r="Z677" s="284"/>
      <c r="AA677" s="355"/>
      <c r="AC677" s="359"/>
      <c r="AD677" s="284"/>
      <c r="AE677" s="355"/>
      <c r="AG677" s="359"/>
      <c r="AH677" s="284"/>
      <c r="AI677" s="355"/>
      <c r="AK677" s="359"/>
      <c r="AL677" s="284"/>
      <c r="AM677" s="355"/>
      <c r="AO677" s="359"/>
      <c r="AP677" s="284"/>
      <c r="AQ677" s="355"/>
      <c r="AR677" s="360"/>
      <c r="AS677" s="359"/>
      <c r="AT677" s="284"/>
      <c r="AU677" s="355"/>
      <c r="AW677" s="359"/>
      <c r="AX677" s="284"/>
      <c r="AY677" s="355"/>
      <c r="BA677" s="359"/>
      <c r="BB677" s="284"/>
      <c r="BC677" s="355"/>
      <c r="BE677" s="359"/>
      <c r="BF677" s="284"/>
      <c r="BG677" s="355"/>
      <c r="BI677" s="359"/>
      <c r="BJ677" s="284"/>
      <c r="BK677" s="355"/>
      <c r="BM677" s="359"/>
      <c r="BN677" s="284"/>
      <c r="BO677" s="355"/>
      <c r="BQ677" s="359"/>
      <c r="BR677" s="284"/>
      <c r="BS677" s="355"/>
      <c r="BU677" s="359"/>
      <c r="BV677" s="284"/>
    </row>
    <row r="678" spans="2:74" x14ac:dyDescent="0.25">
      <c r="B678" s="284"/>
      <c r="D678" s="355"/>
      <c r="E678" s="356"/>
      <c r="F678" s="357"/>
      <c r="G678" s="358"/>
      <c r="H678" s="359"/>
      <c r="I678" s="284"/>
      <c r="J678" s="287"/>
      <c r="K678" s="355"/>
      <c r="M678" s="359"/>
      <c r="N678" s="284"/>
      <c r="O678" s="355"/>
      <c r="P678" s="360"/>
      <c r="Q678" s="359"/>
      <c r="R678" s="284"/>
      <c r="S678" s="355"/>
      <c r="U678" s="359"/>
      <c r="V678" s="284"/>
      <c r="W678" s="355"/>
      <c r="Y678" s="359"/>
      <c r="Z678" s="284"/>
      <c r="AA678" s="355"/>
      <c r="AC678" s="359"/>
      <c r="AD678" s="284"/>
      <c r="AE678" s="355"/>
      <c r="AG678" s="359"/>
      <c r="AH678" s="284"/>
      <c r="AI678" s="355"/>
      <c r="AK678" s="359"/>
      <c r="AL678" s="284"/>
      <c r="AM678" s="355"/>
      <c r="AO678" s="359"/>
      <c r="AP678" s="284"/>
      <c r="AQ678" s="355"/>
      <c r="AR678" s="360"/>
      <c r="AS678" s="359"/>
      <c r="AT678" s="284"/>
      <c r="AU678" s="355"/>
      <c r="AW678" s="359"/>
      <c r="AX678" s="284"/>
      <c r="AY678" s="355"/>
      <c r="BA678" s="359"/>
      <c r="BB678" s="284"/>
      <c r="BC678" s="355"/>
      <c r="BE678" s="359"/>
      <c r="BF678" s="284"/>
      <c r="BG678" s="355"/>
      <c r="BI678" s="359"/>
      <c r="BJ678" s="284"/>
      <c r="BK678" s="355"/>
      <c r="BM678" s="359"/>
      <c r="BN678" s="284"/>
      <c r="BO678" s="355"/>
      <c r="BQ678" s="359"/>
      <c r="BR678" s="284"/>
      <c r="BS678" s="355"/>
      <c r="BU678" s="359"/>
      <c r="BV678" s="284"/>
    </row>
    <row r="679" spans="2:74" x14ac:dyDescent="0.25">
      <c r="B679" s="284"/>
      <c r="D679" s="355"/>
      <c r="E679" s="356"/>
      <c r="F679" s="357"/>
      <c r="G679" s="358"/>
      <c r="H679" s="359"/>
      <c r="I679" s="284"/>
      <c r="J679" s="287"/>
      <c r="K679" s="355"/>
      <c r="M679" s="359"/>
      <c r="N679" s="284"/>
      <c r="O679" s="355"/>
      <c r="P679" s="360"/>
      <c r="Q679" s="359"/>
      <c r="R679" s="284"/>
      <c r="S679" s="355"/>
      <c r="U679" s="359"/>
      <c r="V679" s="284"/>
      <c r="W679" s="355"/>
      <c r="Y679" s="359"/>
      <c r="Z679" s="284"/>
      <c r="AA679" s="355"/>
      <c r="AC679" s="359"/>
      <c r="AD679" s="284"/>
      <c r="AE679" s="355"/>
      <c r="AG679" s="359"/>
      <c r="AH679" s="284"/>
      <c r="AI679" s="355"/>
      <c r="AK679" s="359"/>
      <c r="AL679" s="284"/>
      <c r="AM679" s="355"/>
      <c r="AO679" s="359"/>
      <c r="AP679" s="284"/>
      <c r="AQ679" s="355"/>
      <c r="AR679" s="360"/>
      <c r="AS679" s="359"/>
      <c r="AT679" s="284"/>
      <c r="AU679" s="355"/>
      <c r="AW679" s="359"/>
      <c r="AX679" s="284"/>
      <c r="AY679" s="355"/>
      <c r="BA679" s="359"/>
      <c r="BB679" s="284"/>
      <c r="BC679" s="355"/>
      <c r="BE679" s="359"/>
      <c r="BF679" s="284"/>
      <c r="BG679" s="355"/>
      <c r="BI679" s="359"/>
      <c r="BJ679" s="284"/>
      <c r="BK679" s="355"/>
      <c r="BM679" s="359"/>
      <c r="BN679" s="284"/>
      <c r="BO679" s="355"/>
      <c r="BQ679" s="359"/>
      <c r="BR679" s="284"/>
      <c r="BS679" s="355"/>
      <c r="BU679" s="359"/>
      <c r="BV679" s="284"/>
    </row>
    <row r="680" spans="2:74" x14ac:dyDescent="0.25">
      <c r="B680" s="284"/>
      <c r="D680" s="355"/>
      <c r="E680" s="356"/>
      <c r="F680" s="357"/>
      <c r="G680" s="358"/>
      <c r="H680" s="359"/>
      <c r="I680" s="284"/>
      <c r="J680" s="287"/>
      <c r="K680" s="355"/>
      <c r="M680" s="359"/>
      <c r="N680" s="284"/>
      <c r="O680" s="355"/>
      <c r="P680" s="360"/>
      <c r="Q680" s="359"/>
      <c r="R680" s="284"/>
      <c r="S680" s="355"/>
      <c r="U680" s="359"/>
      <c r="V680" s="284"/>
      <c r="W680" s="355"/>
      <c r="Y680" s="359"/>
      <c r="Z680" s="284"/>
      <c r="AA680" s="355"/>
      <c r="AC680" s="359"/>
      <c r="AD680" s="284"/>
      <c r="AE680" s="355"/>
      <c r="AG680" s="359"/>
      <c r="AH680" s="284"/>
      <c r="AI680" s="355"/>
      <c r="AK680" s="359"/>
      <c r="AL680" s="284"/>
      <c r="AM680" s="355"/>
      <c r="AO680" s="359"/>
      <c r="AP680" s="284"/>
      <c r="AQ680" s="355"/>
      <c r="AR680" s="360"/>
      <c r="AS680" s="359"/>
      <c r="AT680" s="284"/>
      <c r="AU680" s="355"/>
      <c r="AW680" s="359"/>
      <c r="AX680" s="284"/>
      <c r="AY680" s="355"/>
      <c r="BA680" s="359"/>
      <c r="BB680" s="284"/>
      <c r="BC680" s="355"/>
      <c r="BE680" s="359"/>
      <c r="BF680" s="284"/>
      <c r="BG680" s="355"/>
      <c r="BI680" s="359"/>
      <c r="BJ680" s="284"/>
      <c r="BK680" s="355"/>
      <c r="BM680" s="359"/>
      <c r="BN680" s="284"/>
      <c r="BO680" s="355"/>
      <c r="BQ680" s="359"/>
      <c r="BR680" s="284"/>
      <c r="BS680" s="355"/>
      <c r="BU680" s="359"/>
      <c r="BV680" s="284"/>
    </row>
    <row r="681" spans="2:74" x14ac:dyDescent="0.25">
      <c r="B681" s="284"/>
      <c r="D681" s="355"/>
      <c r="E681" s="356"/>
      <c r="F681" s="357"/>
      <c r="G681" s="358"/>
      <c r="H681" s="359"/>
      <c r="I681" s="284"/>
      <c r="J681" s="287"/>
      <c r="K681" s="355"/>
      <c r="M681" s="359"/>
      <c r="N681" s="284"/>
      <c r="O681" s="355"/>
      <c r="P681" s="360"/>
      <c r="Q681" s="359"/>
      <c r="R681" s="284"/>
      <c r="S681" s="355"/>
      <c r="U681" s="359"/>
      <c r="V681" s="284"/>
      <c r="W681" s="355"/>
      <c r="Y681" s="359"/>
      <c r="Z681" s="284"/>
      <c r="AA681" s="355"/>
      <c r="AC681" s="359"/>
      <c r="AD681" s="284"/>
      <c r="AE681" s="355"/>
      <c r="AG681" s="359"/>
      <c r="AH681" s="284"/>
      <c r="AI681" s="355"/>
      <c r="AK681" s="359"/>
      <c r="AL681" s="284"/>
      <c r="AM681" s="355"/>
      <c r="AO681" s="359"/>
      <c r="AP681" s="284"/>
      <c r="AQ681" s="355"/>
      <c r="AR681" s="360"/>
      <c r="AS681" s="359"/>
      <c r="AT681" s="284"/>
      <c r="AU681" s="355"/>
      <c r="AW681" s="359"/>
      <c r="AX681" s="284"/>
      <c r="AY681" s="355"/>
      <c r="BA681" s="359"/>
      <c r="BB681" s="284"/>
      <c r="BC681" s="355"/>
      <c r="BE681" s="359"/>
      <c r="BF681" s="284"/>
      <c r="BG681" s="355"/>
      <c r="BI681" s="359"/>
      <c r="BJ681" s="284"/>
      <c r="BK681" s="355"/>
      <c r="BM681" s="359"/>
      <c r="BN681" s="284"/>
      <c r="BO681" s="355"/>
      <c r="BQ681" s="359"/>
      <c r="BR681" s="284"/>
      <c r="BS681" s="355"/>
      <c r="BU681" s="359"/>
      <c r="BV681" s="284"/>
    </row>
    <row r="682" spans="2:74" x14ac:dyDescent="0.25">
      <c r="B682" s="284"/>
      <c r="D682" s="355"/>
      <c r="E682" s="356"/>
      <c r="F682" s="357"/>
      <c r="G682" s="358"/>
      <c r="H682" s="359"/>
      <c r="I682" s="284"/>
      <c r="J682" s="287"/>
      <c r="K682" s="355"/>
      <c r="M682" s="359"/>
      <c r="N682" s="284"/>
      <c r="O682" s="355"/>
      <c r="P682" s="360"/>
      <c r="Q682" s="359"/>
      <c r="R682" s="284"/>
      <c r="S682" s="355"/>
      <c r="U682" s="359"/>
      <c r="V682" s="284"/>
      <c r="W682" s="355"/>
      <c r="Y682" s="359"/>
      <c r="Z682" s="284"/>
      <c r="AA682" s="355"/>
      <c r="AC682" s="359"/>
      <c r="AD682" s="284"/>
      <c r="AE682" s="355"/>
      <c r="AG682" s="359"/>
      <c r="AH682" s="284"/>
      <c r="AI682" s="355"/>
      <c r="AK682" s="359"/>
      <c r="AL682" s="284"/>
      <c r="AM682" s="355"/>
      <c r="AO682" s="359"/>
      <c r="AP682" s="284"/>
      <c r="AQ682" s="355"/>
      <c r="AR682" s="360"/>
      <c r="AS682" s="359"/>
      <c r="AT682" s="284"/>
      <c r="AU682" s="355"/>
      <c r="AW682" s="359"/>
      <c r="AX682" s="284"/>
      <c r="AY682" s="355"/>
      <c r="BA682" s="359"/>
      <c r="BB682" s="284"/>
      <c r="BC682" s="355"/>
      <c r="BE682" s="359"/>
      <c r="BF682" s="284"/>
      <c r="BG682" s="355"/>
      <c r="BI682" s="359"/>
      <c r="BJ682" s="284"/>
      <c r="BK682" s="355"/>
      <c r="BM682" s="359"/>
      <c r="BN682" s="284"/>
      <c r="BO682" s="355"/>
      <c r="BQ682" s="359"/>
      <c r="BR682" s="284"/>
      <c r="BS682" s="355"/>
      <c r="BU682" s="359"/>
      <c r="BV682" s="284"/>
    </row>
    <row r="683" spans="2:74" x14ac:dyDescent="0.25">
      <c r="B683" s="284"/>
      <c r="D683" s="355"/>
      <c r="E683" s="356"/>
      <c r="F683" s="357"/>
      <c r="G683" s="358"/>
      <c r="H683" s="359"/>
      <c r="I683" s="284"/>
      <c r="J683" s="287"/>
      <c r="K683" s="355"/>
      <c r="M683" s="359"/>
      <c r="N683" s="284"/>
      <c r="O683" s="355"/>
      <c r="P683" s="360"/>
      <c r="Q683" s="359"/>
      <c r="R683" s="284"/>
      <c r="S683" s="355"/>
      <c r="U683" s="359"/>
      <c r="V683" s="284"/>
      <c r="W683" s="355"/>
      <c r="Y683" s="359"/>
      <c r="Z683" s="284"/>
      <c r="AA683" s="355"/>
      <c r="AC683" s="359"/>
      <c r="AD683" s="284"/>
      <c r="AE683" s="355"/>
      <c r="AG683" s="359"/>
      <c r="AH683" s="284"/>
      <c r="AI683" s="355"/>
      <c r="AK683" s="359"/>
      <c r="AL683" s="284"/>
      <c r="AM683" s="355"/>
      <c r="AO683" s="359"/>
      <c r="AP683" s="284"/>
      <c r="AQ683" s="355"/>
      <c r="AR683" s="360"/>
      <c r="AS683" s="359"/>
      <c r="AT683" s="284"/>
      <c r="AU683" s="355"/>
      <c r="AW683" s="359"/>
      <c r="AX683" s="284"/>
      <c r="AY683" s="355"/>
      <c r="BA683" s="359"/>
      <c r="BB683" s="284"/>
      <c r="BC683" s="355"/>
      <c r="BE683" s="359"/>
      <c r="BF683" s="284"/>
      <c r="BG683" s="355"/>
      <c r="BI683" s="359"/>
      <c r="BJ683" s="284"/>
      <c r="BK683" s="355"/>
      <c r="BM683" s="359"/>
      <c r="BN683" s="284"/>
      <c r="BO683" s="355"/>
      <c r="BQ683" s="359"/>
      <c r="BR683" s="284"/>
      <c r="BS683" s="355"/>
      <c r="BU683" s="359"/>
      <c r="BV683" s="284"/>
    </row>
    <row r="684" spans="2:74" x14ac:dyDescent="0.25">
      <c r="B684" s="284"/>
      <c r="D684" s="355"/>
      <c r="E684" s="356"/>
      <c r="F684" s="357"/>
      <c r="G684" s="358"/>
      <c r="H684" s="359"/>
      <c r="I684" s="284"/>
      <c r="J684" s="287"/>
      <c r="K684" s="355"/>
      <c r="M684" s="359"/>
      <c r="N684" s="284"/>
      <c r="O684" s="355"/>
      <c r="P684" s="360"/>
      <c r="Q684" s="359"/>
      <c r="R684" s="284"/>
      <c r="S684" s="355"/>
      <c r="U684" s="359"/>
      <c r="V684" s="284"/>
      <c r="W684" s="355"/>
      <c r="Y684" s="359"/>
      <c r="Z684" s="284"/>
      <c r="AA684" s="355"/>
      <c r="AC684" s="359"/>
      <c r="AD684" s="284"/>
      <c r="AE684" s="355"/>
      <c r="AG684" s="359"/>
      <c r="AH684" s="284"/>
      <c r="AI684" s="355"/>
      <c r="AK684" s="359"/>
      <c r="AL684" s="284"/>
      <c r="AM684" s="355"/>
      <c r="AO684" s="359"/>
      <c r="AP684" s="284"/>
      <c r="AQ684" s="355"/>
      <c r="AR684" s="360"/>
      <c r="AS684" s="359"/>
      <c r="AT684" s="284"/>
      <c r="AU684" s="355"/>
      <c r="AW684" s="359"/>
      <c r="AX684" s="284"/>
      <c r="AY684" s="355"/>
      <c r="BA684" s="359"/>
      <c r="BB684" s="284"/>
      <c r="BC684" s="355"/>
      <c r="BE684" s="359"/>
      <c r="BF684" s="284"/>
      <c r="BG684" s="355"/>
      <c r="BI684" s="359"/>
      <c r="BJ684" s="284"/>
      <c r="BK684" s="355"/>
      <c r="BM684" s="359"/>
      <c r="BN684" s="284"/>
      <c r="BO684" s="355"/>
      <c r="BQ684" s="359"/>
      <c r="BR684" s="284"/>
      <c r="BS684" s="355"/>
      <c r="BU684" s="359"/>
      <c r="BV684" s="284"/>
    </row>
    <row r="685" spans="2:74" x14ac:dyDescent="0.25">
      <c r="B685" s="284"/>
      <c r="D685" s="355"/>
      <c r="E685" s="356"/>
      <c r="F685" s="357"/>
      <c r="G685" s="358"/>
      <c r="H685" s="359"/>
      <c r="I685" s="284"/>
      <c r="J685" s="287"/>
      <c r="K685" s="355"/>
      <c r="M685" s="359"/>
      <c r="N685" s="284"/>
      <c r="O685" s="355"/>
      <c r="P685" s="360"/>
      <c r="Q685" s="359"/>
      <c r="R685" s="284"/>
      <c r="S685" s="355"/>
      <c r="U685" s="359"/>
      <c r="V685" s="284"/>
      <c r="W685" s="355"/>
      <c r="Y685" s="359"/>
      <c r="Z685" s="284"/>
      <c r="AA685" s="355"/>
      <c r="AC685" s="359"/>
      <c r="AD685" s="284"/>
      <c r="AE685" s="355"/>
      <c r="AG685" s="359"/>
      <c r="AH685" s="284"/>
      <c r="AI685" s="355"/>
      <c r="AK685" s="359"/>
      <c r="AL685" s="284"/>
      <c r="AM685" s="355"/>
      <c r="AO685" s="359"/>
      <c r="AP685" s="284"/>
      <c r="AQ685" s="355"/>
      <c r="AR685" s="360"/>
      <c r="AS685" s="359"/>
      <c r="AT685" s="284"/>
      <c r="AU685" s="355"/>
      <c r="AW685" s="359"/>
      <c r="AX685" s="284"/>
      <c r="AY685" s="355"/>
      <c r="BA685" s="359"/>
      <c r="BB685" s="284"/>
      <c r="BC685" s="355"/>
      <c r="BE685" s="359"/>
      <c r="BF685" s="284"/>
      <c r="BG685" s="355"/>
      <c r="BI685" s="359"/>
      <c r="BJ685" s="284"/>
      <c r="BK685" s="355"/>
      <c r="BM685" s="359"/>
      <c r="BN685" s="284"/>
      <c r="BO685" s="355"/>
      <c r="BQ685" s="359"/>
      <c r="BR685" s="284"/>
      <c r="BS685" s="355"/>
      <c r="BU685" s="359"/>
      <c r="BV685" s="284"/>
    </row>
    <row r="686" spans="2:74" x14ac:dyDescent="0.25">
      <c r="B686" s="284"/>
      <c r="D686" s="355"/>
      <c r="E686" s="356"/>
      <c r="F686" s="357"/>
      <c r="G686" s="358"/>
      <c r="H686" s="359"/>
      <c r="I686" s="284"/>
      <c r="J686" s="287"/>
      <c r="K686" s="355"/>
      <c r="M686" s="359"/>
      <c r="N686" s="284"/>
      <c r="O686" s="355"/>
      <c r="P686" s="360"/>
      <c r="Q686" s="359"/>
      <c r="R686" s="284"/>
      <c r="S686" s="355"/>
      <c r="U686" s="359"/>
      <c r="V686" s="284"/>
      <c r="W686" s="355"/>
      <c r="Y686" s="359"/>
      <c r="Z686" s="284"/>
      <c r="AA686" s="355"/>
      <c r="AC686" s="359"/>
      <c r="AD686" s="284"/>
      <c r="AE686" s="355"/>
      <c r="AG686" s="359"/>
      <c r="AH686" s="284"/>
      <c r="AI686" s="355"/>
      <c r="AK686" s="359"/>
      <c r="AL686" s="284"/>
      <c r="AM686" s="355"/>
      <c r="AO686" s="359"/>
      <c r="AP686" s="284"/>
      <c r="AQ686" s="355"/>
      <c r="AR686" s="360"/>
      <c r="AS686" s="359"/>
      <c r="AT686" s="284"/>
      <c r="AU686" s="355"/>
      <c r="AW686" s="359"/>
      <c r="AX686" s="284"/>
      <c r="AY686" s="355"/>
      <c r="BA686" s="359"/>
      <c r="BB686" s="284"/>
      <c r="BC686" s="355"/>
      <c r="BE686" s="359"/>
      <c r="BF686" s="284"/>
      <c r="BG686" s="355"/>
      <c r="BI686" s="359"/>
      <c r="BJ686" s="284"/>
      <c r="BK686" s="355"/>
      <c r="BM686" s="359"/>
      <c r="BN686" s="284"/>
      <c r="BO686" s="355"/>
      <c r="BQ686" s="359"/>
      <c r="BR686" s="284"/>
      <c r="BS686" s="355"/>
      <c r="BU686" s="359"/>
      <c r="BV686" s="284"/>
    </row>
    <row r="687" spans="2:74" x14ac:dyDescent="0.25">
      <c r="B687" s="284"/>
      <c r="D687" s="355"/>
      <c r="E687" s="356"/>
      <c r="F687" s="357"/>
      <c r="G687" s="358"/>
      <c r="H687" s="359"/>
      <c r="I687" s="284"/>
      <c r="J687" s="287"/>
      <c r="K687" s="355"/>
      <c r="M687" s="359"/>
      <c r="N687" s="284"/>
      <c r="O687" s="355"/>
      <c r="P687" s="360"/>
      <c r="Q687" s="359"/>
      <c r="R687" s="284"/>
      <c r="S687" s="355"/>
      <c r="U687" s="359"/>
      <c r="V687" s="284"/>
      <c r="W687" s="355"/>
      <c r="Y687" s="359"/>
      <c r="Z687" s="284"/>
      <c r="AA687" s="355"/>
      <c r="AC687" s="359"/>
      <c r="AD687" s="284"/>
      <c r="AE687" s="355"/>
      <c r="AG687" s="359"/>
      <c r="AH687" s="284"/>
      <c r="AI687" s="355"/>
      <c r="AK687" s="359"/>
      <c r="AL687" s="284"/>
      <c r="AM687" s="355"/>
      <c r="AO687" s="359"/>
      <c r="AP687" s="284"/>
      <c r="AQ687" s="355"/>
      <c r="AR687" s="360"/>
      <c r="AS687" s="359"/>
      <c r="AT687" s="284"/>
      <c r="AU687" s="355"/>
      <c r="AW687" s="359"/>
      <c r="AX687" s="284"/>
      <c r="AY687" s="355"/>
      <c r="BA687" s="359"/>
      <c r="BB687" s="284"/>
      <c r="BC687" s="355"/>
      <c r="BE687" s="359"/>
      <c r="BF687" s="284"/>
      <c r="BG687" s="355"/>
      <c r="BI687" s="359"/>
      <c r="BJ687" s="284"/>
      <c r="BK687" s="355"/>
      <c r="BM687" s="359"/>
      <c r="BN687" s="284"/>
      <c r="BO687" s="355"/>
      <c r="BQ687" s="359"/>
      <c r="BR687" s="284"/>
      <c r="BS687" s="355"/>
      <c r="BU687" s="359"/>
      <c r="BV687" s="284"/>
    </row>
    <row r="688" spans="2:74" x14ac:dyDescent="0.25">
      <c r="B688" s="284"/>
      <c r="D688" s="355"/>
      <c r="E688" s="356"/>
      <c r="F688" s="357"/>
      <c r="G688" s="358"/>
      <c r="H688" s="359"/>
      <c r="I688" s="284"/>
      <c r="J688" s="287"/>
      <c r="K688" s="355"/>
      <c r="M688" s="359"/>
      <c r="N688" s="284"/>
      <c r="O688" s="355"/>
      <c r="P688" s="360"/>
      <c r="Q688" s="359"/>
      <c r="R688" s="284"/>
      <c r="S688" s="355"/>
      <c r="U688" s="359"/>
      <c r="V688" s="284"/>
      <c r="W688" s="355"/>
      <c r="Y688" s="359"/>
      <c r="Z688" s="284"/>
      <c r="AA688" s="355"/>
      <c r="AC688" s="359"/>
      <c r="AD688" s="284"/>
      <c r="AE688" s="355"/>
      <c r="AG688" s="359"/>
      <c r="AH688" s="284"/>
      <c r="AI688" s="355"/>
      <c r="AK688" s="359"/>
      <c r="AL688" s="284"/>
      <c r="AM688" s="355"/>
      <c r="AO688" s="359"/>
      <c r="AP688" s="284"/>
      <c r="AQ688" s="355"/>
      <c r="AR688" s="360"/>
      <c r="AS688" s="359"/>
      <c r="AT688" s="284"/>
      <c r="AU688" s="355"/>
      <c r="AW688" s="359"/>
      <c r="AX688" s="284"/>
      <c r="AY688" s="355"/>
      <c r="BA688" s="359"/>
      <c r="BB688" s="284"/>
      <c r="BC688" s="355"/>
      <c r="BE688" s="359"/>
      <c r="BF688" s="284"/>
      <c r="BG688" s="355"/>
      <c r="BI688" s="359"/>
      <c r="BJ688" s="284"/>
      <c r="BK688" s="355"/>
      <c r="BM688" s="359"/>
      <c r="BN688" s="284"/>
      <c r="BO688" s="355"/>
      <c r="BQ688" s="359"/>
      <c r="BR688" s="284"/>
      <c r="BS688" s="355"/>
      <c r="BU688" s="359"/>
      <c r="BV688" s="284"/>
    </row>
    <row r="689" spans="2:74" x14ac:dyDescent="0.25">
      <c r="B689" s="284"/>
      <c r="D689" s="355"/>
      <c r="E689" s="356"/>
      <c r="F689" s="357"/>
      <c r="G689" s="358"/>
      <c r="H689" s="359"/>
      <c r="I689" s="284"/>
      <c r="J689" s="287"/>
      <c r="K689" s="355"/>
      <c r="M689" s="359"/>
      <c r="N689" s="284"/>
      <c r="O689" s="355"/>
      <c r="P689" s="360"/>
      <c r="Q689" s="359"/>
      <c r="R689" s="284"/>
      <c r="S689" s="355"/>
      <c r="U689" s="359"/>
      <c r="V689" s="284"/>
      <c r="W689" s="355"/>
      <c r="Y689" s="359"/>
      <c r="Z689" s="284"/>
      <c r="AA689" s="355"/>
      <c r="AC689" s="359"/>
      <c r="AD689" s="284"/>
      <c r="AE689" s="355"/>
      <c r="AG689" s="359"/>
      <c r="AH689" s="284"/>
      <c r="AI689" s="355"/>
      <c r="AK689" s="359"/>
      <c r="AL689" s="284"/>
      <c r="AM689" s="355"/>
      <c r="AO689" s="359"/>
      <c r="AP689" s="284"/>
      <c r="AQ689" s="355"/>
      <c r="AR689" s="360"/>
      <c r="AS689" s="359"/>
      <c r="AT689" s="284"/>
      <c r="AU689" s="355"/>
      <c r="AW689" s="359"/>
      <c r="AX689" s="284"/>
      <c r="AY689" s="355"/>
      <c r="BA689" s="359"/>
      <c r="BB689" s="284"/>
      <c r="BC689" s="355"/>
      <c r="BE689" s="359"/>
      <c r="BF689" s="284"/>
      <c r="BG689" s="355"/>
      <c r="BI689" s="359"/>
      <c r="BJ689" s="284"/>
      <c r="BK689" s="355"/>
      <c r="BM689" s="359"/>
      <c r="BN689" s="284"/>
      <c r="BO689" s="355"/>
      <c r="BQ689" s="359"/>
      <c r="BR689" s="284"/>
      <c r="BS689" s="355"/>
      <c r="BU689" s="359"/>
      <c r="BV689" s="284"/>
    </row>
    <row r="690" spans="2:74" x14ac:dyDescent="0.25">
      <c r="B690" s="284"/>
      <c r="D690" s="355"/>
      <c r="E690" s="356"/>
      <c r="F690" s="357"/>
      <c r="G690" s="358"/>
      <c r="H690" s="359"/>
      <c r="I690" s="284"/>
      <c r="J690" s="287"/>
      <c r="K690" s="355"/>
      <c r="M690" s="359"/>
      <c r="N690" s="284"/>
      <c r="O690" s="355"/>
      <c r="P690" s="360"/>
      <c r="Q690" s="359"/>
      <c r="R690" s="284"/>
      <c r="S690" s="355"/>
      <c r="U690" s="359"/>
      <c r="V690" s="284"/>
      <c r="W690" s="355"/>
      <c r="Y690" s="359"/>
      <c r="Z690" s="284"/>
      <c r="AA690" s="355"/>
      <c r="AC690" s="359"/>
      <c r="AD690" s="284"/>
      <c r="AE690" s="355"/>
      <c r="AG690" s="359"/>
      <c r="AH690" s="284"/>
      <c r="AI690" s="355"/>
      <c r="AK690" s="359"/>
      <c r="AL690" s="284"/>
      <c r="AM690" s="355"/>
      <c r="AO690" s="359"/>
      <c r="AP690" s="284"/>
      <c r="AQ690" s="355"/>
      <c r="AR690" s="360"/>
      <c r="AS690" s="359"/>
      <c r="AT690" s="284"/>
      <c r="AU690" s="355"/>
      <c r="AW690" s="359"/>
      <c r="AX690" s="284"/>
      <c r="AY690" s="355"/>
      <c r="BA690" s="359"/>
      <c r="BB690" s="284"/>
      <c r="BC690" s="355"/>
      <c r="BE690" s="359"/>
      <c r="BF690" s="284"/>
      <c r="BG690" s="355"/>
      <c r="BI690" s="359"/>
      <c r="BJ690" s="284"/>
      <c r="BK690" s="355"/>
      <c r="BM690" s="359"/>
      <c r="BN690" s="284"/>
      <c r="BO690" s="355"/>
      <c r="BQ690" s="359"/>
      <c r="BR690" s="284"/>
      <c r="BS690" s="355"/>
      <c r="BU690" s="359"/>
      <c r="BV690" s="284"/>
    </row>
    <row r="691" spans="2:74" x14ac:dyDescent="0.25">
      <c r="B691" s="284"/>
      <c r="D691" s="355"/>
      <c r="E691" s="356"/>
      <c r="F691" s="357"/>
      <c r="G691" s="358"/>
      <c r="H691" s="359"/>
      <c r="I691" s="284"/>
      <c r="J691" s="287"/>
      <c r="K691" s="355"/>
      <c r="M691" s="359"/>
      <c r="N691" s="284"/>
      <c r="O691" s="355"/>
      <c r="P691" s="360"/>
      <c r="Q691" s="359"/>
      <c r="R691" s="284"/>
      <c r="S691" s="355"/>
      <c r="U691" s="359"/>
      <c r="V691" s="284"/>
      <c r="W691" s="355"/>
      <c r="Y691" s="359"/>
      <c r="Z691" s="284"/>
      <c r="AA691" s="355"/>
      <c r="AC691" s="359"/>
      <c r="AD691" s="284"/>
      <c r="AE691" s="355"/>
      <c r="AG691" s="359"/>
      <c r="AH691" s="284"/>
      <c r="AI691" s="355"/>
      <c r="AK691" s="359"/>
      <c r="AL691" s="284"/>
      <c r="AM691" s="355"/>
      <c r="AO691" s="359"/>
      <c r="AP691" s="284"/>
      <c r="AQ691" s="355"/>
      <c r="AR691" s="360"/>
      <c r="AS691" s="359"/>
      <c r="AT691" s="284"/>
      <c r="AU691" s="355"/>
      <c r="AW691" s="359"/>
      <c r="AX691" s="284"/>
      <c r="AY691" s="355"/>
      <c r="BA691" s="359"/>
      <c r="BB691" s="284"/>
      <c r="BC691" s="355"/>
      <c r="BE691" s="359"/>
      <c r="BF691" s="284"/>
      <c r="BG691" s="355"/>
      <c r="BI691" s="359"/>
      <c r="BJ691" s="284"/>
      <c r="BK691" s="355"/>
      <c r="BM691" s="359"/>
      <c r="BN691" s="284"/>
      <c r="BO691" s="355"/>
      <c r="BQ691" s="359"/>
      <c r="BR691" s="284"/>
      <c r="BS691" s="355"/>
      <c r="BU691" s="359"/>
      <c r="BV691" s="284"/>
    </row>
    <row r="692" spans="2:74" x14ac:dyDescent="0.25">
      <c r="B692" s="284"/>
      <c r="D692" s="355"/>
      <c r="E692" s="356"/>
      <c r="F692" s="357"/>
      <c r="G692" s="358"/>
      <c r="H692" s="359"/>
      <c r="I692" s="284"/>
      <c r="J692" s="287"/>
      <c r="K692" s="355"/>
      <c r="M692" s="359"/>
      <c r="N692" s="284"/>
      <c r="O692" s="355"/>
      <c r="P692" s="360"/>
      <c r="Q692" s="359"/>
      <c r="R692" s="284"/>
      <c r="S692" s="355"/>
      <c r="U692" s="359"/>
      <c r="V692" s="284"/>
      <c r="W692" s="355"/>
      <c r="Y692" s="359"/>
      <c r="Z692" s="284"/>
      <c r="AA692" s="355"/>
      <c r="AC692" s="359"/>
      <c r="AD692" s="284"/>
      <c r="AE692" s="355"/>
      <c r="AG692" s="359"/>
      <c r="AH692" s="284"/>
      <c r="AI692" s="355"/>
      <c r="AK692" s="359"/>
      <c r="AL692" s="284"/>
      <c r="AM692" s="355"/>
      <c r="AO692" s="359"/>
      <c r="AP692" s="284"/>
      <c r="AQ692" s="355"/>
      <c r="AR692" s="360"/>
      <c r="AS692" s="359"/>
      <c r="AT692" s="284"/>
      <c r="AU692" s="355"/>
      <c r="AW692" s="359"/>
      <c r="AX692" s="284"/>
      <c r="AY692" s="355"/>
      <c r="BA692" s="359"/>
      <c r="BB692" s="284"/>
      <c r="BC692" s="355"/>
      <c r="BE692" s="359"/>
      <c r="BF692" s="284"/>
      <c r="BG692" s="355"/>
      <c r="BI692" s="359"/>
      <c r="BJ692" s="284"/>
      <c r="BK692" s="355"/>
      <c r="BM692" s="359"/>
      <c r="BN692" s="284"/>
      <c r="BO692" s="355"/>
      <c r="BQ692" s="359"/>
      <c r="BR692" s="284"/>
      <c r="BS692" s="355"/>
      <c r="BU692" s="359"/>
      <c r="BV692" s="284"/>
    </row>
    <row r="693" spans="2:74" x14ac:dyDescent="0.25">
      <c r="B693" s="284"/>
      <c r="D693" s="355"/>
      <c r="E693" s="356"/>
      <c r="F693" s="357"/>
      <c r="G693" s="358"/>
      <c r="H693" s="359"/>
      <c r="I693" s="284"/>
      <c r="J693" s="287"/>
      <c r="K693" s="355"/>
      <c r="M693" s="359"/>
      <c r="N693" s="284"/>
      <c r="O693" s="355"/>
      <c r="P693" s="360"/>
      <c r="Q693" s="359"/>
      <c r="R693" s="284"/>
      <c r="S693" s="355"/>
      <c r="U693" s="359"/>
      <c r="V693" s="284"/>
      <c r="W693" s="355"/>
      <c r="Y693" s="359"/>
      <c r="Z693" s="284"/>
      <c r="AA693" s="355"/>
      <c r="AC693" s="359"/>
      <c r="AD693" s="284"/>
      <c r="AE693" s="355"/>
      <c r="AG693" s="359"/>
      <c r="AH693" s="284"/>
      <c r="AI693" s="355"/>
      <c r="AK693" s="359"/>
      <c r="AL693" s="284"/>
      <c r="AM693" s="355"/>
      <c r="AO693" s="359"/>
      <c r="AP693" s="284"/>
      <c r="AQ693" s="355"/>
      <c r="AR693" s="360"/>
      <c r="AS693" s="359"/>
      <c r="AT693" s="284"/>
      <c r="AU693" s="355"/>
      <c r="AW693" s="359"/>
      <c r="AX693" s="284"/>
      <c r="AY693" s="355"/>
      <c r="BA693" s="359"/>
      <c r="BB693" s="284"/>
      <c r="BC693" s="355"/>
      <c r="BE693" s="359"/>
      <c r="BF693" s="284"/>
      <c r="BG693" s="355"/>
      <c r="BI693" s="359"/>
      <c r="BJ693" s="284"/>
      <c r="BK693" s="355"/>
      <c r="BM693" s="359"/>
      <c r="BN693" s="284"/>
      <c r="BO693" s="355"/>
      <c r="BQ693" s="359"/>
      <c r="BR693" s="284"/>
      <c r="BS693" s="355"/>
      <c r="BU693" s="359"/>
      <c r="BV693" s="284"/>
    </row>
    <row r="694" spans="2:74" x14ac:dyDescent="0.25">
      <c r="B694" s="284"/>
      <c r="D694" s="355"/>
      <c r="E694" s="356"/>
      <c r="F694" s="357"/>
      <c r="G694" s="358"/>
      <c r="H694" s="359"/>
      <c r="I694" s="284"/>
      <c r="J694" s="287"/>
      <c r="K694" s="355"/>
      <c r="M694" s="359"/>
      <c r="N694" s="284"/>
      <c r="O694" s="355"/>
      <c r="P694" s="360"/>
      <c r="Q694" s="359"/>
      <c r="R694" s="284"/>
      <c r="S694" s="355"/>
      <c r="U694" s="359"/>
      <c r="V694" s="284"/>
      <c r="W694" s="355"/>
      <c r="Y694" s="359"/>
      <c r="Z694" s="284"/>
      <c r="AA694" s="355"/>
      <c r="AC694" s="359"/>
      <c r="AD694" s="284"/>
      <c r="AE694" s="355"/>
      <c r="AG694" s="359"/>
      <c r="AH694" s="284"/>
      <c r="AI694" s="355"/>
      <c r="AK694" s="359"/>
      <c r="AL694" s="284"/>
      <c r="AM694" s="355"/>
      <c r="AO694" s="359"/>
      <c r="AP694" s="284"/>
      <c r="AQ694" s="355"/>
      <c r="AR694" s="360"/>
      <c r="AS694" s="359"/>
      <c r="AT694" s="284"/>
      <c r="AU694" s="355"/>
      <c r="AW694" s="359"/>
      <c r="AX694" s="284"/>
      <c r="AY694" s="355"/>
      <c r="BA694" s="359"/>
      <c r="BB694" s="284"/>
      <c r="BC694" s="355"/>
      <c r="BE694" s="359"/>
      <c r="BF694" s="284"/>
      <c r="BG694" s="355"/>
      <c r="BI694" s="359"/>
      <c r="BJ694" s="284"/>
      <c r="BK694" s="355"/>
      <c r="BM694" s="359"/>
      <c r="BN694" s="284"/>
      <c r="BO694" s="355"/>
      <c r="BQ694" s="359"/>
      <c r="BR694" s="284"/>
      <c r="BS694" s="355"/>
      <c r="BU694" s="359"/>
      <c r="BV694" s="284"/>
    </row>
    <row r="695" spans="2:74" x14ac:dyDescent="0.25">
      <c r="B695" s="284"/>
      <c r="D695" s="355"/>
      <c r="E695" s="356"/>
      <c r="F695" s="357"/>
      <c r="G695" s="358"/>
      <c r="H695" s="359"/>
      <c r="I695" s="284"/>
      <c r="J695" s="287"/>
      <c r="K695" s="355"/>
      <c r="M695" s="359"/>
      <c r="N695" s="284"/>
      <c r="O695" s="355"/>
      <c r="P695" s="360"/>
      <c r="Q695" s="359"/>
      <c r="R695" s="284"/>
      <c r="S695" s="355"/>
      <c r="U695" s="359"/>
      <c r="V695" s="284"/>
      <c r="W695" s="355"/>
      <c r="Y695" s="359"/>
      <c r="Z695" s="284"/>
      <c r="AA695" s="355"/>
      <c r="AC695" s="359"/>
      <c r="AD695" s="284"/>
      <c r="AE695" s="355"/>
      <c r="AG695" s="359"/>
      <c r="AH695" s="284"/>
      <c r="AI695" s="355"/>
      <c r="AK695" s="359"/>
      <c r="AL695" s="284"/>
      <c r="AM695" s="355"/>
      <c r="AO695" s="359"/>
      <c r="AP695" s="284"/>
      <c r="AQ695" s="355"/>
      <c r="AR695" s="360"/>
      <c r="AS695" s="359"/>
      <c r="AT695" s="284"/>
      <c r="AU695" s="355"/>
      <c r="AW695" s="359"/>
      <c r="AX695" s="284"/>
      <c r="AY695" s="355"/>
      <c r="BA695" s="359"/>
      <c r="BB695" s="284"/>
      <c r="BC695" s="355"/>
      <c r="BE695" s="359"/>
      <c r="BF695" s="284"/>
      <c r="BG695" s="355"/>
      <c r="BI695" s="359"/>
      <c r="BJ695" s="284"/>
      <c r="BK695" s="355"/>
      <c r="BM695" s="359"/>
      <c r="BN695" s="284"/>
      <c r="BO695" s="355"/>
      <c r="BQ695" s="359"/>
      <c r="BR695" s="284"/>
      <c r="BS695" s="355"/>
      <c r="BU695" s="359"/>
      <c r="BV695" s="284"/>
    </row>
    <row r="696" spans="2:74" x14ac:dyDescent="0.25">
      <c r="B696" s="284"/>
      <c r="D696" s="355"/>
      <c r="E696" s="356"/>
      <c r="F696" s="357"/>
      <c r="G696" s="358"/>
      <c r="H696" s="359"/>
      <c r="I696" s="284"/>
      <c r="J696" s="287"/>
      <c r="K696" s="355"/>
      <c r="M696" s="359"/>
      <c r="N696" s="284"/>
      <c r="O696" s="355"/>
      <c r="P696" s="360"/>
      <c r="Q696" s="359"/>
      <c r="R696" s="284"/>
      <c r="S696" s="355"/>
      <c r="U696" s="359"/>
      <c r="V696" s="284"/>
      <c r="W696" s="355"/>
      <c r="Y696" s="359"/>
      <c r="Z696" s="284"/>
      <c r="AA696" s="355"/>
      <c r="AC696" s="359"/>
      <c r="AD696" s="284"/>
      <c r="AE696" s="355"/>
      <c r="AG696" s="359"/>
      <c r="AH696" s="284"/>
      <c r="AI696" s="355"/>
      <c r="AK696" s="359"/>
      <c r="AL696" s="284"/>
      <c r="AM696" s="355"/>
      <c r="AO696" s="359"/>
      <c r="AP696" s="284"/>
      <c r="AQ696" s="355"/>
      <c r="AR696" s="360"/>
      <c r="AS696" s="359"/>
      <c r="AT696" s="284"/>
      <c r="AU696" s="355"/>
      <c r="AW696" s="359"/>
      <c r="AX696" s="284"/>
      <c r="AY696" s="355"/>
      <c r="BA696" s="359"/>
      <c r="BB696" s="284"/>
      <c r="BC696" s="355"/>
      <c r="BE696" s="359"/>
      <c r="BF696" s="284"/>
      <c r="BG696" s="355"/>
      <c r="BI696" s="359"/>
      <c r="BJ696" s="284"/>
      <c r="BK696" s="355"/>
      <c r="BM696" s="359"/>
      <c r="BN696" s="284"/>
      <c r="BO696" s="355"/>
      <c r="BQ696" s="359"/>
      <c r="BR696" s="284"/>
      <c r="BS696" s="355"/>
      <c r="BU696" s="359"/>
      <c r="BV696" s="284"/>
    </row>
    <row r="697" spans="2:74" x14ac:dyDescent="0.25">
      <c r="B697" s="284"/>
      <c r="D697" s="355"/>
      <c r="E697" s="356"/>
      <c r="F697" s="357"/>
      <c r="G697" s="358"/>
      <c r="H697" s="359"/>
      <c r="I697" s="284"/>
      <c r="J697" s="287"/>
      <c r="K697" s="355"/>
      <c r="M697" s="359"/>
      <c r="N697" s="284"/>
      <c r="O697" s="355"/>
      <c r="P697" s="360"/>
      <c r="Q697" s="359"/>
      <c r="R697" s="284"/>
      <c r="S697" s="355"/>
      <c r="U697" s="359"/>
      <c r="V697" s="284"/>
      <c r="W697" s="355"/>
      <c r="Y697" s="359"/>
      <c r="Z697" s="284"/>
      <c r="AA697" s="355"/>
      <c r="AC697" s="359"/>
      <c r="AD697" s="284"/>
      <c r="AE697" s="355"/>
      <c r="AG697" s="359"/>
      <c r="AH697" s="284"/>
      <c r="AI697" s="355"/>
      <c r="AK697" s="359"/>
      <c r="AL697" s="284"/>
      <c r="AM697" s="355"/>
      <c r="AO697" s="359"/>
      <c r="AP697" s="284"/>
      <c r="AQ697" s="355"/>
      <c r="AR697" s="360"/>
      <c r="AS697" s="359"/>
      <c r="AT697" s="284"/>
      <c r="AU697" s="355"/>
      <c r="AW697" s="359"/>
      <c r="AX697" s="284"/>
      <c r="AY697" s="355"/>
      <c r="BA697" s="359"/>
      <c r="BB697" s="284"/>
      <c r="BC697" s="355"/>
      <c r="BE697" s="359"/>
      <c r="BF697" s="284"/>
      <c r="BG697" s="355"/>
      <c r="BI697" s="359"/>
      <c r="BJ697" s="284"/>
      <c r="BK697" s="355"/>
      <c r="BM697" s="359"/>
      <c r="BN697" s="284"/>
      <c r="BO697" s="355"/>
      <c r="BQ697" s="359"/>
      <c r="BR697" s="284"/>
      <c r="BS697" s="355"/>
      <c r="BU697" s="359"/>
      <c r="BV697" s="284"/>
    </row>
    <row r="698" spans="2:74" x14ac:dyDescent="0.25">
      <c r="B698" s="284"/>
      <c r="D698" s="355"/>
      <c r="E698" s="356"/>
      <c r="F698" s="357"/>
      <c r="G698" s="358"/>
      <c r="H698" s="359"/>
      <c r="I698" s="284"/>
      <c r="J698" s="287"/>
      <c r="K698" s="355"/>
      <c r="M698" s="359"/>
      <c r="N698" s="284"/>
      <c r="O698" s="355"/>
      <c r="P698" s="360"/>
      <c r="Q698" s="359"/>
      <c r="R698" s="284"/>
      <c r="S698" s="355"/>
      <c r="U698" s="359"/>
      <c r="V698" s="284"/>
      <c r="W698" s="355"/>
      <c r="Y698" s="359"/>
      <c r="Z698" s="284"/>
      <c r="AA698" s="355"/>
      <c r="AC698" s="359"/>
      <c r="AD698" s="284"/>
      <c r="AE698" s="355"/>
      <c r="AG698" s="359"/>
      <c r="AH698" s="284"/>
      <c r="AI698" s="355"/>
      <c r="AK698" s="359"/>
      <c r="AL698" s="284"/>
      <c r="AM698" s="355"/>
      <c r="AO698" s="359"/>
      <c r="AP698" s="284"/>
      <c r="AQ698" s="355"/>
      <c r="AR698" s="360"/>
      <c r="AS698" s="359"/>
      <c r="AT698" s="284"/>
      <c r="AU698" s="355"/>
      <c r="AW698" s="359"/>
      <c r="AX698" s="284"/>
      <c r="AY698" s="355"/>
      <c r="BA698" s="359"/>
      <c r="BB698" s="284"/>
      <c r="BC698" s="355"/>
      <c r="BE698" s="359"/>
      <c r="BF698" s="284"/>
      <c r="BG698" s="355"/>
      <c r="BI698" s="359"/>
      <c r="BJ698" s="284"/>
      <c r="BK698" s="355"/>
      <c r="BM698" s="359"/>
      <c r="BN698" s="284"/>
      <c r="BO698" s="355"/>
      <c r="BQ698" s="359"/>
      <c r="BR698" s="284"/>
      <c r="BS698" s="355"/>
      <c r="BU698" s="359"/>
      <c r="BV698" s="284"/>
    </row>
    <row r="699" spans="2:74" x14ac:dyDescent="0.25">
      <c r="B699" s="284"/>
      <c r="D699" s="355"/>
      <c r="E699" s="356"/>
      <c r="F699" s="357"/>
      <c r="G699" s="358"/>
      <c r="H699" s="359"/>
      <c r="I699" s="284"/>
      <c r="J699" s="287"/>
      <c r="K699" s="355"/>
      <c r="M699" s="359"/>
      <c r="N699" s="284"/>
      <c r="O699" s="355"/>
      <c r="P699" s="360"/>
      <c r="Q699" s="359"/>
      <c r="R699" s="284"/>
      <c r="S699" s="355"/>
      <c r="U699" s="359"/>
      <c r="V699" s="284"/>
      <c r="W699" s="355"/>
      <c r="Y699" s="359"/>
      <c r="Z699" s="284"/>
      <c r="AA699" s="355"/>
      <c r="AC699" s="359"/>
      <c r="AD699" s="284"/>
      <c r="AE699" s="355"/>
      <c r="AG699" s="359"/>
      <c r="AH699" s="284"/>
      <c r="AI699" s="355"/>
      <c r="AK699" s="359"/>
      <c r="AL699" s="284"/>
      <c r="AM699" s="355"/>
      <c r="AO699" s="359"/>
      <c r="AP699" s="284"/>
      <c r="AQ699" s="355"/>
      <c r="AR699" s="360"/>
      <c r="AS699" s="359"/>
      <c r="AT699" s="284"/>
      <c r="AU699" s="355"/>
      <c r="AW699" s="359"/>
      <c r="AX699" s="284"/>
      <c r="AY699" s="355"/>
      <c r="BA699" s="359"/>
      <c r="BB699" s="284"/>
      <c r="BC699" s="355"/>
      <c r="BE699" s="359"/>
      <c r="BF699" s="284"/>
      <c r="BG699" s="355"/>
      <c r="BI699" s="359"/>
      <c r="BJ699" s="284"/>
      <c r="BK699" s="355"/>
      <c r="BM699" s="359"/>
      <c r="BN699" s="284"/>
      <c r="BO699" s="355"/>
      <c r="BQ699" s="359"/>
      <c r="BR699" s="284"/>
      <c r="BS699" s="355"/>
      <c r="BU699" s="359"/>
      <c r="BV699" s="284"/>
    </row>
    <row r="700" spans="2:74" x14ac:dyDescent="0.25">
      <c r="B700" s="284"/>
      <c r="D700" s="355"/>
      <c r="E700" s="356"/>
      <c r="F700" s="357"/>
      <c r="G700" s="358"/>
      <c r="H700" s="359"/>
      <c r="I700" s="284"/>
      <c r="J700" s="287"/>
      <c r="K700" s="355"/>
      <c r="M700" s="359"/>
      <c r="N700" s="284"/>
      <c r="O700" s="355"/>
      <c r="P700" s="360"/>
      <c r="Q700" s="359"/>
      <c r="R700" s="284"/>
      <c r="S700" s="355"/>
      <c r="U700" s="359"/>
      <c r="V700" s="284"/>
      <c r="W700" s="355"/>
      <c r="Y700" s="359"/>
      <c r="Z700" s="284"/>
      <c r="AA700" s="355"/>
      <c r="AC700" s="359"/>
      <c r="AD700" s="284"/>
      <c r="AE700" s="355"/>
      <c r="AG700" s="359"/>
      <c r="AH700" s="284"/>
      <c r="AI700" s="355"/>
      <c r="AK700" s="359"/>
      <c r="AL700" s="284"/>
      <c r="AM700" s="355"/>
      <c r="AO700" s="359"/>
      <c r="AP700" s="284"/>
      <c r="AQ700" s="355"/>
      <c r="AR700" s="360"/>
      <c r="AS700" s="359"/>
      <c r="AT700" s="284"/>
      <c r="AU700" s="355"/>
      <c r="AW700" s="359"/>
      <c r="AX700" s="284"/>
      <c r="AY700" s="355"/>
      <c r="BA700" s="359"/>
      <c r="BB700" s="284"/>
      <c r="BC700" s="355"/>
      <c r="BE700" s="359"/>
      <c r="BF700" s="284"/>
      <c r="BG700" s="355"/>
      <c r="BI700" s="359"/>
      <c r="BJ700" s="284"/>
      <c r="BK700" s="355"/>
      <c r="BM700" s="359"/>
      <c r="BN700" s="284"/>
      <c r="BO700" s="355"/>
      <c r="BQ700" s="359"/>
      <c r="BR700" s="284"/>
      <c r="BS700" s="355"/>
      <c r="BU700" s="359"/>
      <c r="BV700" s="284"/>
    </row>
    <row r="701" spans="2:74" x14ac:dyDescent="0.25">
      <c r="B701" s="284"/>
      <c r="D701" s="355"/>
      <c r="E701" s="356"/>
      <c r="F701" s="357"/>
      <c r="G701" s="358"/>
      <c r="H701" s="359"/>
      <c r="I701" s="284"/>
      <c r="J701" s="287"/>
      <c r="K701" s="355"/>
      <c r="M701" s="359"/>
      <c r="N701" s="284"/>
      <c r="O701" s="355"/>
      <c r="P701" s="360"/>
      <c r="Q701" s="359"/>
      <c r="R701" s="284"/>
      <c r="S701" s="355"/>
      <c r="U701" s="359"/>
      <c r="V701" s="284"/>
      <c r="W701" s="355"/>
      <c r="Y701" s="359"/>
      <c r="Z701" s="284"/>
      <c r="AA701" s="355"/>
      <c r="AC701" s="359"/>
      <c r="AD701" s="284"/>
      <c r="AE701" s="355"/>
      <c r="AG701" s="359"/>
      <c r="AH701" s="284"/>
      <c r="AI701" s="355"/>
      <c r="AK701" s="359"/>
      <c r="AL701" s="284"/>
      <c r="AM701" s="355"/>
      <c r="AO701" s="359"/>
      <c r="AP701" s="284"/>
      <c r="AQ701" s="355"/>
      <c r="AR701" s="360"/>
      <c r="AS701" s="359"/>
      <c r="AT701" s="284"/>
      <c r="AU701" s="355"/>
      <c r="AW701" s="359"/>
      <c r="AX701" s="284"/>
      <c r="AY701" s="355"/>
      <c r="BA701" s="359"/>
      <c r="BB701" s="284"/>
      <c r="BC701" s="355"/>
      <c r="BE701" s="359"/>
      <c r="BF701" s="284"/>
      <c r="BG701" s="355"/>
      <c r="BI701" s="359"/>
      <c r="BJ701" s="284"/>
      <c r="BK701" s="355"/>
      <c r="BM701" s="359"/>
      <c r="BN701" s="284"/>
      <c r="BO701" s="355"/>
      <c r="BQ701" s="359"/>
      <c r="BR701" s="284"/>
      <c r="BS701" s="355"/>
      <c r="BU701" s="359"/>
      <c r="BV701" s="284"/>
    </row>
    <row r="702" spans="2:74" x14ac:dyDescent="0.25">
      <c r="B702" s="284"/>
      <c r="D702" s="355"/>
      <c r="E702" s="356"/>
      <c r="F702" s="357"/>
      <c r="G702" s="358"/>
      <c r="H702" s="359"/>
      <c r="I702" s="284"/>
      <c r="J702" s="287"/>
      <c r="K702" s="355"/>
      <c r="M702" s="359"/>
      <c r="N702" s="284"/>
      <c r="O702" s="355"/>
      <c r="P702" s="360"/>
      <c r="Q702" s="359"/>
      <c r="R702" s="284"/>
      <c r="S702" s="355"/>
      <c r="U702" s="359"/>
      <c r="V702" s="284"/>
      <c r="W702" s="355"/>
      <c r="Y702" s="359"/>
      <c r="Z702" s="284"/>
      <c r="AA702" s="355"/>
      <c r="AC702" s="359"/>
      <c r="AD702" s="284"/>
      <c r="AE702" s="355"/>
      <c r="AG702" s="359"/>
      <c r="AH702" s="284"/>
      <c r="AI702" s="355"/>
      <c r="AK702" s="359"/>
      <c r="AL702" s="284"/>
      <c r="AM702" s="355"/>
      <c r="AO702" s="359"/>
      <c r="AP702" s="284"/>
      <c r="AQ702" s="355"/>
      <c r="AR702" s="360"/>
      <c r="AS702" s="359"/>
      <c r="AT702" s="284"/>
      <c r="AU702" s="355"/>
      <c r="AW702" s="359"/>
      <c r="AX702" s="284"/>
      <c r="AY702" s="355"/>
      <c r="BA702" s="359"/>
      <c r="BB702" s="284"/>
      <c r="BC702" s="355"/>
      <c r="BE702" s="359"/>
      <c r="BF702" s="284"/>
      <c r="BG702" s="355"/>
      <c r="BI702" s="359"/>
      <c r="BJ702" s="284"/>
      <c r="BK702" s="355"/>
      <c r="BM702" s="359"/>
      <c r="BN702" s="284"/>
      <c r="BO702" s="355"/>
      <c r="BQ702" s="359"/>
      <c r="BR702" s="284"/>
      <c r="BS702" s="355"/>
      <c r="BU702" s="359"/>
      <c r="BV702" s="284"/>
    </row>
    <row r="703" spans="2:74" x14ac:dyDescent="0.25">
      <c r="B703" s="284"/>
      <c r="D703" s="355"/>
      <c r="E703" s="356"/>
      <c r="F703" s="357"/>
      <c r="G703" s="358"/>
      <c r="H703" s="359"/>
      <c r="I703" s="284"/>
      <c r="J703" s="287"/>
      <c r="K703" s="355"/>
      <c r="M703" s="359"/>
      <c r="N703" s="284"/>
      <c r="O703" s="355"/>
      <c r="P703" s="360"/>
      <c r="Q703" s="359"/>
      <c r="R703" s="284"/>
      <c r="S703" s="355"/>
      <c r="U703" s="359"/>
      <c r="V703" s="284"/>
      <c r="W703" s="355"/>
      <c r="Y703" s="359"/>
      <c r="Z703" s="284"/>
      <c r="AA703" s="355"/>
      <c r="AC703" s="359"/>
      <c r="AD703" s="284"/>
      <c r="AE703" s="355"/>
      <c r="AG703" s="359"/>
      <c r="AH703" s="284"/>
      <c r="AI703" s="355"/>
      <c r="AK703" s="359"/>
      <c r="AL703" s="284"/>
      <c r="AM703" s="355"/>
      <c r="AO703" s="359"/>
      <c r="AP703" s="284"/>
      <c r="AQ703" s="355"/>
      <c r="AR703" s="360"/>
      <c r="AS703" s="359"/>
      <c r="AT703" s="284"/>
      <c r="AU703" s="355"/>
      <c r="AW703" s="359"/>
      <c r="AX703" s="284"/>
      <c r="AY703" s="355"/>
      <c r="BA703" s="359"/>
      <c r="BB703" s="284"/>
      <c r="BC703" s="355"/>
      <c r="BE703" s="359"/>
      <c r="BF703" s="284"/>
      <c r="BG703" s="355"/>
      <c r="BI703" s="359"/>
      <c r="BJ703" s="284"/>
      <c r="BK703" s="355"/>
      <c r="BM703" s="359"/>
      <c r="BN703" s="284"/>
      <c r="BO703" s="355"/>
      <c r="BQ703" s="359"/>
      <c r="BR703" s="284"/>
      <c r="BS703" s="355"/>
      <c r="BU703" s="359"/>
      <c r="BV703" s="284"/>
    </row>
    <row r="704" spans="2:74" x14ac:dyDescent="0.25">
      <c r="B704" s="284"/>
      <c r="D704" s="355"/>
      <c r="E704" s="356"/>
      <c r="F704" s="357"/>
      <c r="G704" s="358"/>
      <c r="H704" s="359"/>
      <c r="I704" s="284"/>
      <c r="J704" s="287"/>
      <c r="K704" s="355"/>
      <c r="M704" s="359"/>
      <c r="N704" s="284"/>
      <c r="O704" s="355"/>
      <c r="P704" s="360"/>
      <c r="Q704" s="359"/>
      <c r="R704" s="284"/>
      <c r="S704" s="355"/>
      <c r="U704" s="359"/>
      <c r="V704" s="284"/>
      <c r="W704" s="355"/>
      <c r="Y704" s="359"/>
      <c r="Z704" s="284"/>
      <c r="AA704" s="355"/>
      <c r="AC704" s="359"/>
      <c r="AD704" s="284"/>
      <c r="AE704" s="355"/>
      <c r="AG704" s="359"/>
      <c r="AH704" s="284"/>
      <c r="AI704" s="355"/>
      <c r="AK704" s="359"/>
      <c r="AL704" s="284"/>
      <c r="AM704" s="355"/>
      <c r="AO704" s="359"/>
      <c r="AP704" s="284"/>
      <c r="AQ704" s="355"/>
      <c r="AR704" s="360"/>
      <c r="AS704" s="359"/>
      <c r="AT704" s="284"/>
      <c r="AU704" s="355"/>
      <c r="AW704" s="359"/>
      <c r="AX704" s="284"/>
      <c r="AY704" s="355"/>
      <c r="BA704" s="359"/>
      <c r="BB704" s="284"/>
      <c r="BC704" s="355"/>
      <c r="BE704" s="359"/>
      <c r="BF704" s="284"/>
      <c r="BG704" s="355"/>
      <c r="BI704" s="359"/>
      <c r="BJ704" s="284"/>
      <c r="BK704" s="355"/>
      <c r="BM704" s="359"/>
      <c r="BN704" s="284"/>
      <c r="BO704" s="355"/>
      <c r="BQ704" s="359"/>
      <c r="BR704" s="284"/>
      <c r="BS704" s="355"/>
      <c r="BU704" s="359"/>
      <c r="BV704" s="284"/>
    </row>
    <row r="705" spans="2:74" x14ac:dyDescent="0.25">
      <c r="B705" s="284"/>
      <c r="D705" s="355"/>
      <c r="E705" s="356"/>
      <c r="F705" s="357"/>
      <c r="G705" s="358"/>
      <c r="H705" s="359"/>
      <c r="I705" s="284"/>
      <c r="J705" s="287"/>
      <c r="K705" s="355"/>
      <c r="M705" s="359"/>
      <c r="N705" s="284"/>
      <c r="O705" s="355"/>
      <c r="P705" s="360"/>
      <c r="Q705" s="359"/>
      <c r="R705" s="284"/>
      <c r="S705" s="355"/>
      <c r="U705" s="359"/>
      <c r="V705" s="284"/>
      <c r="W705" s="355"/>
      <c r="Y705" s="359"/>
      <c r="Z705" s="284"/>
      <c r="AA705" s="355"/>
      <c r="AC705" s="359"/>
      <c r="AD705" s="284"/>
      <c r="AE705" s="355"/>
      <c r="AG705" s="359"/>
      <c r="AH705" s="284"/>
      <c r="AI705" s="355"/>
      <c r="AK705" s="359"/>
      <c r="AL705" s="284"/>
      <c r="AM705" s="355"/>
      <c r="AO705" s="359"/>
      <c r="AP705" s="284"/>
      <c r="AQ705" s="355"/>
      <c r="AR705" s="360"/>
      <c r="AS705" s="359"/>
      <c r="AT705" s="284"/>
      <c r="AU705" s="355"/>
      <c r="AW705" s="359"/>
      <c r="AX705" s="284"/>
      <c r="AY705" s="355"/>
      <c r="BA705" s="359"/>
      <c r="BB705" s="284"/>
      <c r="BC705" s="355"/>
      <c r="BE705" s="359"/>
      <c r="BF705" s="284"/>
      <c r="BG705" s="355"/>
      <c r="BI705" s="359"/>
      <c r="BJ705" s="284"/>
      <c r="BK705" s="355"/>
      <c r="BM705" s="359"/>
      <c r="BN705" s="284"/>
      <c r="BO705" s="355"/>
      <c r="BQ705" s="359"/>
      <c r="BR705" s="284"/>
      <c r="BS705" s="355"/>
      <c r="BU705" s="359"/>
      <c r="BV705" s="284"/>
    </row>
    <row r="706" spans="2:74" x14ac:dyDescent="0.25">
      <c r="B706" s="284"/>
      <c r="D706" s="355"/>
      <c r="E706" s="356"/>
      <c r="F706" s="357"/>
      <c r="G706" s="358"/>
      <c r="H706" s="359"/>
      <c r="I706" s="284"/>
      <c r="J706" s="287"/>
      <c r="K706" s="355"/>
      <c r="M706" s="359"/>
      <c r="N706" s="284"/>
      <c r="O706" s="355"/>
      <c r="P706" s="360"/>
      <c r="Q706" s="359"/>
      <c r="R706" s="284"/>
      <c r="S706" s="355"/>
      <c r="U706" s="359"/>
      <c r="V706" s="284"/>
      <c r="W706" s="355"/>
      <c r="Y706" s="359"/>
      <c r="Z706" s="284"/>
      <c r="AA706" s="355"/>
      <c r="AC706" s="359"/>
      <c r="AD706" s="284"/>
      <c r="AE706" s="355"/>
      <c r="AG706" s="359"/>
      <c r="AH706" s="284"/>
      <c r="AI706" s="355"/>
      <c r="AK706" s="359"/>
      <c r="AL706" s="284"/>
      <c r="AM706" s="355"/>
      <c r="AO706" s="359"/>
      <c r="AP706" s="284"/>
      <c r="AQ706" s="355"/>
      <c r="AR706" s="360"/>
      <c r="AS706" s="359"/>
      <c r="AT706" s="284"/>
      <c r="AU706" s="355"/>
      <c r="AW706" s="359"/>
      <c r="AX706" s="284"/>
      <c r="AY706" s="355"/>
      <c r="BA706" s="359"/>
      <c r="BB706" s="284"/>
      <c r="BC706" s="355"/>
      <c r="BE706" s="359"/>
      <c r="BF706" s="284"/>
      <c r="BG706" s="355"/>
      <c r="BI706" s="359"/>
      <c r="BJ706" s="284"/>
      <c r="BK706" s="355"/>
      <c r="BM706" s="359"/>
      <c r="BN706" s="284"/>
      <c r="BO706" s="355"/>
      <c r="BQ706" s="359"/>
      <c r="BR706" s="284"/>
      <c r="BS706" s="355"/>
      <c r="BU706" s="359"/>
      <c r="BV706" s="284"/>
    </row>
    <row r="707" spans="2:74" x14ac:dyDescent="0.25">
      <c r="B707" s="284"/>
      <c r="D707" s="355"/>
      <c r="E707" s="356"/>
      <c r="F707" s="357"/>
      <c r="G707" s="358"/>
      <c r="H707" s="359"/>
      <c r="I707" s="284"/>
      <c r="J707" s="287"/>
      <c r="K707" s="355"/>
      <c r="M707" s="359"/>
      <c r="N707" s="284"/>
      <c r="O707" s="355"/>
      <c r="P707" s="360"/>
      <c r="Q707" s="359"/>
      <c r="R707" s="284"/>
      <c r="S707" s="355"/>
      <c r="U707" s="359"/>
      <c r="V707" s="284"/>
      <c r="W707" s="355"/>
      <c r="Y707" s="359"/>
      <c r="Z707" s="284"/>
      <c r="AA707" s="355"/>
      <c r="AC707" s="359"/>
      <c r="AD707" s="284"/>
      <c r="AE707" s="355"/>
      <c r="AG707" s="359"/>
      <c r="AH707" s="284"/>
      <c r="AI707" s="355"/>
      <c r="AK707" s="359"/>
      <c r="AL707" s="284"/>
      <c r="AM707" s="355"/>
      <c r="AO707" s="359"/>
      <c r="AP707" s="284"/>
      <c r="AQ707" s="355"/>
      <c r="AR707" s="360"/>
      <c r="AS707" s="359"/>
      <c r="AT707" s="284"/>
      <c r="AU707" s="355"/>
      <c r="AW707" s="359"/>
      <c r="AX707" s="284"/>
      <c r="AY707" s="355"/>
      <c r="BA707" s="359"/>
      <c r="BB707" s="284"/>
      <c r="BC707" s="355"/>
      <c r="BE707" s="359"/>
      <c r="BF707" s="284"/>
      <c r="BG707" s="355"/>
      <c r="BI707" s="359"/>
      <c r="BJ707" s="284"/>
      <c r="BK707" s="355"/>
      <c r="BM707" s="359"/>
      <c r="BN707" s="284"/>
      <c r="BO707" s="355"/>
      <c r="BQ707" s="359"/>
      <c r="BR707" s="284"/>
      <c r="BS707" s="355"/>
      <c r="BU707" s="359"/>
      <c r="BV707" s="284"/>
    </row>
    <row r="708" spans="2:74" x14ac:dyDescent="0.25">
      <c r="B708" s="284"/>
      <c r="D708" s="355"/>
      <c r="E708" s="356"/>
      <c r="F708" s="357"/>
      <c r="G708" s="358"/>
      <c r="H708" s="359"/>
      <c r="I708" s="284"/>
      <c r="J708" s="287"/>
      <c r="K708" s="355"/>
      <c r="M708" s="359"/>
      <c r="N708" s="284"/>
      <c r="O708" s="355"/>
      <c r="P708" s="360"/>
      <c r="Q708" s="359"/>
      <c r="R708" s="284"/>
      <c r="S708" s="355"/>
      <c r="U708" s="359"/>
      <c r="V708" s="284"/>
      <c r="W708" s="355"/>
      <c r="Y708" s="359"/>
      <c r="Z708" s="284"/>
      <c r="AA708" s="355"/>
      <c r="AC708" s="359"/>
      <c r="AD708" s="284"/>
      <c r="AE708" s="355"/>
      <c r="AG708" s="359"/>
      <c r="AH708" s="284"/>
      <c r="AI708" s="355"/>
      <c r="AK708" s="359"/>
      <c r="AL708" s="284"/>
      <c r="AM708" s="355"/>
      <c r="AO708" s="359"/>
      <c r="AP708" s="284"/>
      <c r="AQ708" s="355"/>
      <c r="AR708" s="360"/>
      <c r="AS708" s="359"/>
      <c r="AT708" s="284"/>
      <c r="AU708" s="355"/>
      <c r="AW708" s="359"/>
      <c r="AX708" s="284"/>
      <c r="AY708" s="355"/>
      <c r="BA708" s="359"/>
      <c r="BB708" s="284"/>
      <c r="BC708" s="355"/>
      <c r="BE708" s="359"/>
      <c r="BF708" s="284"/>
      <c r="BG708" s="355"/>
      <c r="BI708" s="359"/>
      <c r="BJ708" s="284"/>
      <c r="BK708" s="355"/>
      <c r="BM708" s="359"/>
      <c r="BN708" s="284"/>
      <c r="BO708" s="355"/>
      <c r="BQ708" s="359"/>
      <c r="BR708" s="284"/>
      <c r="BS708" s="355"/>
      <c r="BU708" s="359"/>
      <c r="BV708" s="284"/>
    </row>
    <row r="709" spans="2:74" x14ac:dyDescent="0.25">
      <c r="B709" s="284"/>
      <c r="D709" s="355"/>
      <c r="E709" s="356"/>
      <c r="F709" s="357"/>
      <c r="G709" s="358"/>
      <c r="H709" s="359"/>
      <c r="I709" s="284"/>
      <c r="J709" s="287"/>
      <c r="K709" s="355"/>
      <c r="M709" s="359"/>
      <c r="N709" s="284"/>
      <c r="O709" s="355"/>
      <c r="P709" s="360"/>
      <c r="Q709" s="359"/>
      <c r="R709" s="284"/>
      <c r="S709" s="355"/>
      <c r="U709" s="359"/>
      <c r="V709" s="284"/>
      <c r="W709" s="355"/>
      <c r="Y709" s="359"/>
      <c r="Z709" s="284"/>
      <c r="AA709" s="355"/>
      <c r="AC709" s="359"/>
      <c r="AD709" s="284"/>
      <c r="AE709" s="355"/>
      <c r="AG709" s="359"/>
      <c r="AH709" s="284"/>
      <c r="AI709" s="355"/>
      <c r="AK709" s="359"/>
      <c r="AL709" s="284"/>
      <c r="AM709" s="355"/>
      <c r="AO709" s="359"/>
      <c r="AP709" s="284"/>
      <c r="AQ709" s="355"/>
      <c r="AR709" s="360"/>
      <c r="AS709" s="359"/>
      <c r="AT709" s="284"/>
      <c r="AU709" s="355"/>
      <c r="AW709" s="359"/>
      <c r="AX709" s="284"/>
      <c r="AY709" s="355"/>
      <c r="BA709" s="359"/>
      <c r="BB709" s="284"/>
      <c r="BC709" s="355"/>
      <c r="BE709" s="359"/>
      <c r="BF709" s="284"/>
      <c r="BG709" s="355"/>
      <c r="BI709" s="359"/>
      <c r="BJ709" s="284"/>
      <c r="BK709" s="355"/>
      <c r="BM709" s="359"/>
      <c r="BN709" s="284"/>
      <c r="BO709" s="355"/>
      <c r="BQ709" s="359"/>
      <c r="BR709" s="284"/>
      <c r="BS709" s="355"/>
      <c r="BU709" s="359"/>
      <c r="BV709" s="284"/>
    </row>
    <row r="710" spans="2:74" x14ac:dyDescent="0.25">
      <c r="B710" s="284"/>
      <c r="D710" s="355"/>
      <c r="E710" s="356"/>
      <c r="F710" s="357"/>
      <c r="G710" s="358"/>
      <c r="H710" s="359"/>
      <c r="I710" s="284"/>
      <c r="J710" s="287"/>
      <c r="K710" s="355"/>
      <c r="M710" s="359"/>
      <c r="N710" s="284"/>
      <c r="O710" s="355"/>
      <c r="P710" s="360"/>
      <c r="Q710" s="359"/>
      <c r="R710" s="284"/>
      <c r="S710" s="355"/>
      <c r="U710" s="359"/>
      <c r="V710" s="284"/>
      <c r="W710" s="355"/>
      <c r="Y710" s="359"/>
      <c r="Z710" s="284"/>
      <c r="AA710" s="355"/>
      <c r="AC710" s="359"/>
      <c r="AD710" s="284"/>
      <c r="AE710" s="355"/>
      <c r="AG710" s="359"/>
      <c r="AH710" s="284"/>
      <c r="AI710" s="355"/>
      <c r="AK710" s="359"/>
      <c r="AL710" s="284"/>
      <c r="AM710" s="355"/>
      <c r="AO710" s="359"/>
      <c r="AP710" s="284"/>
      <c r="AQ710" s="355"/>
      <c r="AR710" s="360"/>
      <c r="AS710" s="359"/>
      <c r="AT710" s="284"/>
      <c r="AU710" s="355"/>
      <c r="AW710" s="359"/>
      <c r="AX710" s="284"/>
      <c r="AY710" s="355"/>
      <c r="BA710" s="359"/>
      <c r="BB710" s="284"/>
      <c r="BC710" s="355"/>
      <c r="BE710" s="359"/>
      <c r="BF710" s="284"/>
      <c r="BG710" s="355"/>
      <c r="BI710" s="359"/>
      <c r="BJ710" s="284"/>
      <c r="BK710" s="355"/>
      <c r="BM710" s="359"/>
      <c r="BN710" s="284"/>
      <c r="BO710" s="355"/>
      <c r="BQ710" s="359"/>
      <c r="BR710" s="284"/>
      <c r="BS710" s="355"/>
      <c r="BU710" s="359"/>
      <c r="BV710" s="284"/>
    </row>
    <row r="711" spans="2:74" x14ac:dyDescent="0.25">
      <c r="B711" s="284"/>
      <c r="D711" s="355"/>
      <c r="E711" s="356"/>
      <c r="F711" s="357"/>
      <c r="G711" s="358"/>
      <c r="H711" s="359"/>
      <c r="I711" s="284"/>
      <c r="J711" s="287"/>
      <c r="K711" s="355"/>
      <c r="M711" s="359"/>
      <c r="N711" s="284"/>
      <c r="O711" s="355"/>
      <c r="P711" s="360"/>
      <c r="Q711" s="359"/>
      <c r="R711" s="284"/>
      <c r="S711" s="355"/>
      <c r="U711" s="359"/>
      <c r="V711" s="284"/>
      <c r="W711" s="355"/>
      <c r="Y711" s="359"/>
      <c r="Z711" s="284"/>
      <c r="AA711" s="355"/>
      <c r="AC711" s="359"/>
      <c r="AD711" s="284"/>
      <c r="AE711" s="355"/>
      <c r="AG711" s="359"/>
      <c r="AH711" s="284"/>
      <c r="AI711" s="355"/>
      <c r="AK711" s="359"/>
      <c r="AL711" s="284"/>
      <c r="AM711" s="355"/>
      <c r="AO711" s="359"/>
      <c r="AP711" s="284"/>
      <c r="AQ711" s="355"/>
      <c r="AR711" s="360"/>
      <c r="AS711" s="359"/>
      <c r="AT711" s="284"/>
      <c r="AU711" s="355"/>
      <c r="AW711" s="359"/>
      <c r="AX711" s="284"/>
      <c r="AY711" s="355"/>
      <c r="BA711" s="359"/>
      <c r="BB711" s="284"/>
      <c r="BC711" s="355"/>
      <c r="BE711" s="359"/>
      <c r="BF711" s="284"/>
      <c r="BG711" s="355"/>
      <c r="BI711" s="359"/>
      <c r="BJ711" s="284"/>
      <c r="BK711" s="355"/>
      <c r="BM711" s="359"/>
      <c r="BN711" s="284"/>
      <c r="BO711" s="355"/>
      <c r="BQ711" s="359"/>
      <c r="BR711" s="284"/>
      <c r="BS711" s="355"/>
      <c r="BU711" s="359"/>
      <c r="BV711" s="284"/>
    </row>
    <row r="712" spans="2:74" x14ac:dyDescent="0.25">
      <c r="B712" s="284"/>
      <c r="D712" s="355"/>
      <c r="E712" s="356"/>
      <c r="F712" s="357"/>
      <c r="G712" s="358"/>
      <c r="H712" s="359"/>
      <c r="I712" s="284"/>
      <c r="J712" s="287"/>
      <c r="K712" s="355"/>
      <c r="M712" s="359"/>
      <c r="N712" s="284"/>
      <c r="O712" s="355"/>
      <c r="P712" s="360"/>
      <c r="Q712" s="359"/>
      <c r="R712" s="284"/>
      <c r="S712" s="355"/>
      <c r="U712" s="359"/>
      <c r="V712" s="284"/>
      <c r="W712" s="355"/>
      <c r="Y712" s="359"/>
      <c r="Z712" s="284"/>
      <c r="AA712" s="355"/>
      <c r="AC712" s="359"/>
      <c r="AD712" s="284"/>
      <c r="AE712" s="355"/>
      <c r="AG712" s="359"/>
      <c r="AH712" s="284"/>
      <c r="AI712" s="355"/>
      <c r="AK712" s="359"/>
      <c r="AL712" s="284"/>
      <c r="AM712" s="355"/>
      <c r="AO712" s="359"/>
      <c r="AP712" s="284"/>
      <c r="AQ712" s="355"/>
      <c r="AR712" s="360"/>
      <c r="AS712" s="359"/>
      <c r="AT712" s="284"/>
      <c r="AU712" s="355"/>
      <c r="AW712" s="359"/>
      <c r="AX712" s="284"/>
      <c r="AY712" s="355"/>
      <c r="BA712" s="359"/>
      <c r="BB712" s="284"/>
      <c r="BC712" s="355"/>
      <c r="BE712" s="359"/>
      <c r="BF712" s="284"/>
      <c r="BG712" s="355"/>
      <c r="BI712" s="359"/>
      <c r="BJ712" s="284"/>
      <c r="BK712" s="355"/>
      <c r="BM712" s="359"/>
      <c r="BN712" s="284"/>
      <c r="BO712" s="355"/>
      <c r="BQ712" s="359"/>
      <c r="BR712" s="284"/>
      <c r="BS712" s="355"/>
      <c r="BU712" s="359"/>
      <c r="BV712" s="284"/>
    </row>
    <row r="713" spans="2:74" x14ac:dyDescent="0.25">
      <c r="B713" s="284"/>
      <c r="D713" s="355"/>
      <c r="E713" s="356"/>
      <c r="F713" s="357"/>
      <c r="G713" s="358"/>
      <c r="H713" s="359"/>
      <c r="I713" s="284"/>
      <c r="J713" s="287"/>
      <c r="K713" s="355"/>
      <c r="M713" s="359"/>
      <c r="N713" s="284"/>
      <c r="O713" s="355"/>
      <c r="P713" s="360"/>
      <c r="Q713" s="359"/>
      <c r="R713" s="284"/>
      <c r="S713" s="355"/>
      <c r="U713" s="359"/>
      <c r="V713" s="284"/>
      <c r="W713" s="355"/>
      <c r="Y713" s="359"/>
      <c r="Z713" s="284"/>
      <c r="AA713" s="355"/>
      <c r="AC713" s="359"/>
      <c r="AD713" s="284"/>
      <c r="AE713" s="355"/>
      <c r="AG713" s="359"/>
      <c r="AH713" s="284"/>
      <c r="AI713" s="355"/>
      <c r="AK713" s="359"/>
      <c r="AL713" s="284"/>
      <c r="AM713" s="355"/>
      <c r="AO713" s="359"/>
      <c r="AP713" s="284"/>
      <c r="AQ713" s="355"/>
      <c r="AR713" s="360"/>
      <c r="AS713" s="359"/>
      <c r="AT713" s="284"/>
      <c r="AU713" s="355"/>
      <c r="AW713" s="359"/>
      <c r="AX713" s="284"/>
      <c r="AY713" s="355"/>
      <c r="BA713" s="359"/>
      <c r="BB713" s="284"/>
      <c r="BC713" s="355"/>
      <c r="BE713" s="359"/>
      <c r="BF713" s="284"/>
      <c r="BG713" s="355"/>
      <c r="BI713" s="359"/>
      <c r="BJ713" s="284"/>
      <c r="BK713" s="355"/>
      <c r="BM713" s="359"/>
      <c r="BN713" s="284"/>
      <c r="BO713" s="355"/>
      <c r="BQ713" s="359"/>
      <c r="BR713" s="284"/>
      <c r="BS713" s="355"/>
      <c r="BU713" s="359"/>
      <c r="BV713" s="284"/>
    </row>
    <row r="714" spans="2:74" x14ac:dyDescent="0.25">
      <c r="B714" s="284"/>
      <c r="D714" s="355"/>
      <c r="E714" s="356"/>
      <c r="F714" s="357"/>
      <c r="G714" s="358"/>
      <c r="H714" s="359"/>
      <c r="I714" s="284"/>
      <c r="J714" s="287"/>
      <c r="K714" s="355"/>
      <c r="M714" s="359"/>
      <c r="N714" s="284"/>
      <c r="O714" s="355"/>
      <c r="P714" s="360"/>
      <c r="Q714" s="359"/>
      <c r="R714" s="284"/>
      <c r="S714" s="355"/>
      <c r="U714" s="359"/>
      <c r="V714" s="284"/>
      <c r="W714" s="355"/>
      <c r="Y714" s="359"/>
      <c r="Z714" s="284"/>
      <c r="AA714" s="355"/>
      <c r="AC714" s="359"/>
      <c r="AD714" s="284"/>
      <c r="AE714" s="355"/>
      <c r="AG714" s="359"/>
      <c r="AH714" s="284"/>
      <c r="AI714" s="355"/>
      <c r="AK714" s="359"/>
      <c r="AL714" s="284"/>
      <c r="AM714" s="355"/>
      <c r="AO714" s="359"/>
      <c r="AP714" s="284"/>
      <c r="AQ714" s="355"/>
      <c r="AR714" s="360"/>
      <c r="AS714" s="359"/>
      <c r="AT714" s="284"/>
      <c r="AU714" s="355"/>
      <c r="AW714" s="359"/>
      <c r="AX714" s="284"/>
      <c r="AY714" s="355"/>
      <c r="BA714" s="359"/>
      <c r="BB714" s="284"/>
      <c r="BC714" s="355"/>
      <c r="BE714" s="359"/>
      <c r="BF714" s="284"/>
      <c r="BG714" s="355"/>
      <c r="BI714" s="359"/>
      <c r="BJ714" s="284"/>
      <c r="BK714" s="355"/>
      <c r="BM714" s="359"/>
      <c r="BN714" s="284"/>
      <c r="BO714" s="355"/>
      <c r="BQ714" s="359"/>
      <c r="BR714" s="284"/>
      <c r="BS714" s="355"/>
      <c r="BU714" s="359"/>
      <c r="BV714" s="284"/>
    </row>
    <row r="715" spans="2:74" x14ac:dyDescent="0.25">
      <c r="B715" s="284"/>
      <c r="D715" s="355"/>
      <c r="E715" s="356"/>
      <c r="F715" s="357"/>
      <c r="G715" s="358"/>
      <c r="H715" s="359"/>
      <c r="I715" s="284"/>
      <c r="J715" s="287"/>
      <c r="K715" s="355"/>
      <c r="M715" s="359"/>
      <c r="N715" s="284"/>
      <c r="O715" s="355"/>
      <c r="P715" s="360"/>
      <c r="Q715" s="359"/>
      <c r="R715" s="284"/>
      <c r="S715" s="355"/>
      <c r="U715" s="359"/>
      <c r="V715" s="284"/>
      <c r="W715" s="355"/>
      <c r="Y715" s="359"/>
      <c r="Z715" s="284"/>
      <c r="AA715" s="355"/>
      <c r="AC715" s="359"/>
      <c r="AD715" s="284"/>
      <c r="AE715" s="355"/>
      <c r="AG715" s="359"/>
      <c r="AH715" s="284"/>
      <c r="AI715" s="355"/>
      <c r="AK715" s="359"/>
      <c r="AL715" s="284"/>
      <c r="AM715" s="355"/>
      <c r="AO715" s="359"/>
      <c r="AP715" s="284"/>
      <c r="AQ715" s="355"/>
      <c r="AR715" s="360"/>
      <c r="AS715" s="359"/>
      <c r="AT715" s="284"/>
      <c r="AU715" s="355"/>
      <c r="AW715" s="359"/>
      <c r="AX715" s="284"/>
      <c r="AY715" s="355"/>
      <c r="BA715" s="359"/>
      <c r="BB715" s="284"/>
      <c r="BC715" s="355"/>
      <c r="BE715" s="359"/>
      <c r="BF715" s="284"/>
      <c r="BG715" s="355"/>
      <c r="BI715" s="359"/>
      <c r="BJ715" s="284"/>
      <c r="BK715" s="355"/>
      <c r="BM715" s="359"/>
      <c r="BN715" s="284"/>
      <c r="BO715" s="355"/>
      <c r="BQ715" s="359"/>
      <c r="BR715" s="284"/>
      <c r="BS715" s="355"/>
      <c r="BU715" s="359"/>
      <c r="BV715" s="284"/>
    </row>
    <row r="716" spans="2:74" x14ac:dyDescent="0.25">
      <c r="B716" s="284"/>
      <c r="D716" s="355"/>
      <c r="E716" s="356"/>
      <c r="F716" s="357"/>
      <c r="G716" s="358"/>
      <c r="H716" s="359"/>
      <c r="I716" s="284"/>
      <c r="J716" s="287"/>
      <c r="K716" s="355"/>
      <c r="M716" s="359"/>
      <c r="N716" s="284"/>
      <c r="O716" s="355"/>
      <c r="P716" s="360"/>
      <c r="Q716" s="359"/>
      <c r="R716" s="284"/>
      <c r="S716" s="355"/>
      <c r="U716" s="359"/>
      <c r="V716" s="284"/>
      <c r="W716" s="355"/>
      <c r="Y716" s="359"/>
      <c r="Z716" s="284"/>
      <c r="AA716" s="355"/>
      <c r="AC716" s="359"/>
      <c r="AD716" s="284"/>
      <c r="AE716" s="355"/>
      <c r="AG716" s="359"/>
      <c r="AH716" s="284"/>
      <c r="AI716" s="355"/>
      <c r="AK716" s="359"/>
      <c r="AL716" s="284"/>
      <c r="AM716" s="355"/>
      <c r="AO716" s="359"/>
      <c r="AP716" s="284"/>
      <c r="AQ716" s="355"/>
      <c r="AR716" s="360"/>
      <c r="AS716" s="359"/>
      <c r="AT716" s="284"/>
      <c r="AU716" s="355"/>
      <c r="AW716" s="359"/>
      <c r="AX716" s="284"/>
      <c r="AY716" s="355"/>
      <c r="BA716" s="359"/>
      <c r="BB716" s="284"/>
      <c r="BC716" s="355"/>
      <c r="BE716" s="359"/>
      <c r="BF716" s="284"/>
      <c r="BG716" s="355"/>
      <c r="BI716" s="359"/>
      <c r="BJ716" s="284"/>
      <c r="BK716" s="355"/>
      <c r="BM716" s="359"/>
      <c r="BN716" s="284"/>
      <c r="BO716" s="355"/>
      <c r="BQ716" s="359"/>
      <c r="BR716" s="284"/>
      <c r="BS716" s="355"/>
      <c r="BU716" s="359"/>
      <c r="BV716" s="284"/>
    </row>
    <row r="717" spans="2:74" x14ac:dyDescent="0.25">
      <c r="B717" s="284"/>
      <c r="D717" s="355"/>
      <c r="E717" s="356"/>
      <c r="F717" s="357"/>
      <c r="G717" s="358"/>
      <c r="H717" s="359"/>
      <c r="I717" s="284"/>
      <c r="J717" s="287"/>
      <c r="K717" s="355"/>
      <c r="M717" s="359"/>
      <c r="N717" s="284"/>
      <c r="O717" s="355"/>
      <c r="P717" s="360"/>
      <c r="Q717" s="359"/>
      <c r="R717" s="284"/>
      <c r="S717" s="355"/>
      <c r="U717" s="359"/>
      <c r="V717" s="284"/>
      <c r="W717" s="355"/>
      <c r="Y717" s="359"/>
      <c r="Z717" s="284"/>
      <c r="AA717" s="355"/>
      <c r="AC717" s="359"/>
      <c r="AD717" s="284"/>
      <c r="AE717" s="355"/>
      <c r="AG717" s="359"/>
      <c r="AH717" s="284"/>
      <c r="AI717" s="355"/>
      <c r="AK717" s="359"/>
      <c r="AL717" s="284"/>
      <c r="AM717" s="355"/>
      <c r="AO717" s="359"/>
      <c r="AP717" s="284"/>
      <c r="AQ717" s="355"/>
      <c r="AR717" s="360"/>
      <c r="AS717" s="359"/>
      <c r="AT717" s="284"/>
      <c r="AU717" s="355"/>
      <c r="AW717" s="359"/>
      <c r="AX717" s="284"/>
      <c r="AY717" s="355"/>
      <c r="BA717" s="359"/>
      <c r="BB717" s="284"/>
      <c r="BC717" s="355"/>
      <c r="BE717" s="359"/>
      <c r="BF717" s="284"/>
      <c r="BG717" s="355"/>
      <c r="BI717" s="359"/>
      <c r="BJ717" s="284"/>
      <c r="BK717" s="355"/>
      <c r="BM717" s="359"/>
      <c r="BN717" s="284"/>
      <c r="BO717" s="355"/>
      <c r="BQ717" s="359"/>
      <c r="BR717" s="284"/>
      <c r="BS717" s="355"/>
      <c r="BU717" s="359"/>
      <c r="BV717" s="284"/>
    </row>
    <row r="718" spans="2:74" x14ac:dyDescent="0.25">
      <c r="B718" s="284"/>
      <c r="D718" s="355"/>
      <c r="E718" s="356"/>
      <c r="F718" s="357"/>
      <c r="G718" s="358"/>
      <c r="H718" s="359"/>
      <c r="I718" s="284"/>
      <c r="J718" s="287"/>
      <c r="K718" s="355"/>
      <c r="M718" s="359"/>
      <c r="N718" s="284"/>
      <c r="O718" s="355"/>
      <c r="P718" s="360"/>
      <c r="Q718" s="359"/>
      <c r="R718" s="284"/>
      <c r="S718" s="355"/>
      <c r="U718" s="359"/>
      <c r="V718" s="284"/>
      <c r="W718" s="355"/>
      <c r="Y718" s="359"/>
      <c r="Z718" s="284"/>
      <c r="AA718" s="355"/>
      <c r="AC718" s="359"/>
      <c r="AD718" s="284"/>
      <c r="AE718" s="355"/>
      <c r="AG718" s="359"/>
      <c r="AH718" s="284"/>
      <c r="AI718" s="355"/>
      <c r="AK718" s="359"/>
      <c r="AL718" s="284"/>
      <c r="AM718" s="355"/>
      <c r="AO718" s="359"/>
      <c r="AP718" s="284"/>
      <c r="AQ718" s="355"/>
      <c r="AR718" s="360"/>
      <c r="AS718" s="359"/>
      <c r="AT718" s="284"/>
      <c r="AU718" s="355"/>
      <c r="AW718" s="359"/>
      <c r="AX718" s="284"/>
      <c r="AY718" s="355"/>
      <c r="BA718" s="359"/>
      <c r="BB718" s="284"/>
      <c r="BC718" s="355"/>
      <c r="BE718" s="359"/>
      <c r="BF718" s="284"/>
      <c r="BG718" s="355"/>
      <c r="BI718" s="359"/>
      <c r="BJ718" s="284"/>
      <c r="BK718" s="355"/>
      <c r="BM718" s="359"/>
      <c r="BN718" s="284"/>
      <c r="BO718" s="355"/>
      <c r="BQ718" s="359"/>
      <c r="BR718" s="284"/>
      <c r="BS718" s="355"/>
      <c r="BU718" s="359"/>
      <c r="BV718" s="284"/>
    </row>
    <row r="719" spans="2:74" x14ac:dyDescent="0.25">
      <c r="B719" s="284"/>
      <c r="D719" s="355"/>
      <c r="E719" s="356"/>
      <c r="F719" s="357"/>
      <c r="G719" s="358"/>
      <c r="H719" s="359"/>
      <c r="I719" s="284"/>
      <c r="J719" s="287"/>
      <c r="K719" s="355"/>
      <c r="M719" s="359"/>
      <c r="N719" s="284"/>
      <c r="O719" s="355"/>
      <c r="P719" s="360"/>
      <c r="Q719" s="359"/>
      <c r="R719" s="284"/>
      <c r="S719" s="355"/>
      <c r="U719" s="359"/>
      <c r="V719" s="284"/>
      <c r="W719" s="355"/>
      <c r="Y719" s="359"/>
      <c r="Z719" s="284"/>
      <c r="AA719" s="355"/>
      <c r="AC719" s="359"/>
      <c r="AD719" s="284"/>
      <c r="AE719" s="355"/>
      <c r="AG719" s="359"/>
      <c r="AH719" s="284"/>
      <c r="AI719" s="355"/>
      <c r="AK719" s="359"/>
      <c r="AL719" s="284"/>
      <c r="AM719" s="355"/>
      <c r="AO719" s="359"/>
      <c r="AP719" s="284"/>
      <c r="AQ719" s="355"/>
      <c r="AR719" s="360"/>
      <c r="AS719" s="359"/>
      <c r="AT719" s="284"/>
      <c r="AU719" s="355"/>
      <c r="AW719" s="359"/>
      <c r="AX719" s="284"/>
      <c r="AY719" s="355"/>
      <c r="BA719" s="359"/>
      <c r="BB719" s="284"/>
      <c r="BC719" s="355"/>
      <c r="BE719" s="359"/>
      <c r="BF719" s="284"/>
      <c r="BG719" s="355"/>
      <c r="BI719" s="359"/>
      <c r="BJ719" s="284"/>
      <c r="BK719" s="355"/>
      <c r="BM719" s="359"/>
      <c r="BN719" s="284"/>
      <c r="BO719" s="355"/>
      <c r="BQ719" s="359"/>
      <c r="BR719" s="284"/>
      <c r="BS719" s="355"/>
      <c r="BU719" s="359"/>
      <c r="BV719" s="284"/>
    </row>
    <row r="720" spans="2:74" x14ac:dyDescent="0.25">
      <c r="B720" s="284"/>
      <c r="D720" s="355"/>
      <c r="E720" s="356"/>
      <c r="F720" s="357"/>
      <c r="G720" s="358"/>
      <c r="H720" s="359"/>
      <c r="I720" s="284"/>
      <c r="J720" s="287"/>
      <c r="K720" s="355"/>
      <c r="M720" s="359"/>
      <c r="N720" s="284"/>
      <c r="O720" s="355"/>
      <c r="P720" s="360"/>
      <c r="Q720" s="359"/>
      <c r="R720" s="284"/>
      <c r="S720" s="355"/>
      <c r="U720" s="359"/>
      <c r="V720" s="284"/>
      <c r="W720" s="355"/>
      <c r="Y720" s="359"/>
      <c r="Z720" s="284"/>
      <c r="AA720" s="355"/>
      <c r="AC720" s="359"/>
      <c r="AD720" s="284"/>
      <c r="AE720" s="355"/>
      <c r="AG720" s="359"/>
      <c r="AH720" s="284"/>
      <c r="AI720" s="355"/>
      <c r="AK720" s="359"/>
      <c r="AL720" s="284"/>
      <c r="AM720" s="355"/>
      <c r="AO720" s="359"/>
      <c r="AP720" s="284"/>
      <c r="AQ720" s="355"/>
      <c r="AR720" s="360"/>
      <c r="AS720" s="359"/>
      <c r="AT720" s="284"/>
      <c r="AU720" s="355"/>
      <c r="AW720" s="359"/>
      <c r="AX720" s="284"/>
      <c r="AY720" s="355"/>
      <c r="BA720" s="359"/>
      <c r="BB720" s="284"/>
      <c r="BC720" s="355"/>
      <c r="BE720" s="359"/>
      <c r="BF720" s="284"/>
      <c r="BG720" s="355"/>
      <c r="BI720" s="359"/>
      <c r="BJ720" s="284"/>
      <c r="BK720" s="355"/>
      <c r="BM720" s="359"/>
      <c r="BN720" s="284"/>
      <c r="BO720" s="355"/>
      <c r="BQ720" s="359"/>
      <c r="BR720" s="284"/>
      <c r="BS720" s="355"/>
      <c r="BU720" s="359"/>
      <c r="BV720" s="284"/>
    </row>
    <row r="721" spans="2:74" x14ac:dyDescent="0.25">
      <c r="B721" s="284"/>
      <c r="D721" s="355"/>
      <c r="E721" s="356"/>
      <c r="F721" s="357"/>
      <c r="G721" s="358"/>
      <c r="H721" s="359"/>
      <c r="I721" s="284"/>
      <c r="J721" s="287"/>
      <c r="K721" s="355"/>
      <c r="M721" s="359"/>
      <c r="N721" s="284"/>
      <c r="O721" s="355"/>
      <c r="P721" s="360"/>
      <c r="Q721" s="359"/>
      <c r="R721" s="284"/>
      <c r="S721" s="355"/>
      <c r="U721" s="359"/>
      <c r="V721" s="284"/>
      <c r="W721" s="355"/>
      <c r="Y721" s="359"/>
      <c r="Z721" s="284"/>
      <c r="AA721" s="355"/>
      <c r="AC721" s="359"/>
      <c r="AD721" s="284"/>
      <c r="AE721" s="355"/>
      <c r="AG721" s="359"/>
      <c r="AH721" s="284"/>
      <c r="AI721" s="355"/>
      <c r="AK721" s="359"/>
      <c r="AL721" s="284"/>
      <c r="AM721" s="355"/>
      <c r="AO721" s="359"/>
      <c r="AP721" s="284"/>
      <c r="AQ721" s="355"/>
      <c r="AR721" s="360"/>
      <c r="AS721" s="359"/>
      <c r="AT721" s="284"/>
      <c r="AU721" s="355"/>
      <c r="AW721" s="359"/>
      <c r="AX721" s="284"/>
      <c r="AY721" s="355"/>
      <c r="BA721" s="359"/>
      <c r="BB721" s="284"/>
      <c r="BC721" s="355"/>
      <c r="BE721" s="359"/>
      <c r="BF721" s="284"/>
      <c r="BG721" s="355"/>
      <c r="BI721" s="359"/>
      <c r="BJ721" s="284"/>
      <c r="BK721" s="355"/>
      <c r="BM721" s="359"/>
      <c r="BN721" s="284"/>
      <c r="BO721" s="355"/>
      <c r="BQ721" s="359"/>
      <c r="BR721" s="284"/>
      <c r="BS721" s="355"/>
      <c r="BU721" s="359"/>
      <c r="BV721" s="284"/>
    </row>
    <row r="722" spans="2:74" x14ac:dyDescent="0.25">
      <c r="B722" s="284"/>
      <c r="D722" s="355"/>
      <c r="E722" s="356"/>
      <c r="F722" s="357"/>
      <c r="G722" s="358"/>
      <c r="H722" s="359"/>
      <c r="I722" s="284"/>
      <c r="J722" s="287"/>
      <c r="K722" s="355"/>
      <c r="M722" s="359"/>
      <c r="N722" s="284"/>
      <c r="O722" s="355"/>
      <c r="P722" s="360"/>
      <c r="Q722" s="359"/>
      <c r="R722" s="284"/>
      <c r="S722" s="355"/>
      <c r="U722" s="359"/>
      <c r="V722" s="284"/>
      <c r="W722" s="355"/>
      <c r="Y722" s="359"/>
      <c r="Z722" s="284"/>
      <c r="AA722" s="355"/>
      <c r="AC722" s="359"/>
      <c r="AD722" s="284"/>
      <c r="AE722" s="355"/>
      <c r="AG722" s="359"/>
      <c r="AH722" s="284"/>
      <c r="AI722" s="355"/>
      <c r="AK722" s="359"/>
      <c r="AL722" s="284"/>
      <c r="AM722" s="355"/>
      <c r="AO722" s="359"/>
      <c r="AP722" s="284"/>
      <c r="AQ722" s="355"/>
      <c r="AR722" s="360"/>
      <c r="AS722" s="359"/>
      <c r="AT722" s="284"/>
      <c r="AU722" s="355"/>
      <c r="AW722" s="359"/>
      <c r="AX722" s="284"/>
      <c r="AY722" s="355"/>
      <c r="BA722" s="359"/>
      <c r="BB722" s="284"/>
      <c r="BC722" s="355"/>
      <c r="BE722" s="359"/>
      <c r="BF722" s="284"/>
      <c r="BG722" s="355"/>
      <c r="BI722" s="359"/>
      <c r="BJ722" s="284"/>
      <c r="BK722" s="355"/>
      <c r="BM722" s="359"/>
      <c r="BN722" s="284"/>
      <c r="BO722" s="355"/>
      <c r="BQ722" s="359"/>
      <c r="BR722" s="284"/>
      <c r="BS722" s="355"/>
      <c r="BU722" s="359"/>
      <c r="BV722" s="284"/>
    </row>
    <row r="723" spans="2:74" x14ac:dyDescent="0.25">
      <c r="B723" s="284"/>
      <c r="D723" s="355"/>
      <c r="E723" s="356"/>
      <c r="F723" s="357"/>
      <c r="G723" s="358"/>
      <c r="H723" s="359"/>
      <c r="I723" s="284"/>
      <c r="J723" s="287"/>
      <c r="K723" s="355"/>
      <c r="M723" s="359"/>
      <c r="N723" s="284"/>
      <c r="O723" s="355"/>
      <c r="P723" s="360"/>
      <c r="Q723" s="359"/>
      <c r="R723" s="284"/>
      <c r="S723" s="355"/>
      <c r="U723" s="359"/>
      <c r="V723" s="284"/>
      <c r="W723" s="355"/>
      <c r="Y723" s="359"/>
      <c r="Z723" s="284"/>
      <c r="AA723" s="355"/>
      <c r="AC723" s="359"/>
      <c r="AD723" s="284"/>
      <c r="AE723" s="355"/>
      <c r="AG723" s="359"/>
      <c r="AH723" s="284"/>
      <c r="AI723" s="355"/>
      <c r="AK723" s="359"/>
      <c r="AL723" s="284"/>
      <c r="AM723" s="355"/>
      <c r="AO723" s="359"/>
      <c r="AP723" s="284"/>
      <c r="AQ723" s="355"/>
      <c r="AR723" s="360"/>
      <c r="AS723" s="359"/>
      <c r="AT723" s="284"/>
      <c r="AU723" s="355"/>
      <c r="AW723" s="359"/>
      <c r="AX723" s="284"/>
      <c r="AY723" s="355"/>
      <c r="BA723" s="359"/>
      <c r="BB723" s="284"/>
      <c r="BC723" s="355"/>
      <c r="BE723" s="359"/>
      <c r="BF723" s="284"/>
      <c r="BG723" s="355"/>
      <c r="BI723" s="359"/>
      <c r="BJ723" s="284"/>
      <c r="BK723" s="355"/>
      <c r="BM723" s="359"/>
      <c r="BN723" s="284"/>
      <c r="BO723" s="355"/>
      <c r="BQ723" s="359"/>
      <c r="BR723" s="284"/>
      <c r="BS723" s="355"/>
      <c r="BU723" s="359"/>
      <c r="BV723" s="284"/>
    </row>
    <row r="724" spans="2:74" x14ac:dyDescent="0.25">
      <c r="B724" s="284"/>
      <c r="D724" s="355"/>
      <c r="E724" s="356"/>
      <c r="F724" s="357"/>
      <c r="G724" s="358"/>
      <c r="H724" s="359"/>
      <c r="I724" s="284"/>
      <c r="J724" s="287"/>
      <c r="K724" s="355"/>
      <c r="M724" s="359"/>
      <c r="N724" s="284"/>
      <c r="O724" s="355"/>
      <c r="P724" s="360"/>
      <c r="Q724" s="359"/>
      <c r="R724" s="284"/>
      <c r="S724" s="355"/>
      <c r="U724" s="359"/>
      <c r="V724" s="284"/>
      <c r="W724" s="355"/>
      <c r="Y724" s="359"/>
      <c r="Z724" s="284"/>
      <c r="AA724" s="355"/>
      <c r="AC724" s="359"/>
      <c r="AD724" s="284"/>
      <c r="AE724" s="355"/>
      <c r="AG724" s="359"/>
      <c r="AH724" s="284"/>
      <c r="AI724" s="355"/>
      <c r="AK724" s="359"/>
      <c r="AL724" s="284"/>
      <c r="AM724" s="355"/>
      <c r="AO724" s="359"/>
      <c r="AP724" s="284"/>
      <c r="AQ724" s="355"/>
      <c r="AR724" s="360"/>
      <c r="AS724" s="359"/>
      <c r="AT724" s="284"/>
      <c r="AU724" s="355"/>
      <c r="AW724" s="359"/>
      <c r="AX724" s="284"/>
      <c r="AY724" s="355"/>
      <c r="BA724" s="359"/>
      <c r="BB724" s="284"/>
      <c r="BC724" s="355"/>
      <c r="BE724" s="359"/>
      <c r="BF724" s="284"/>
      <c r="BG724" s="355"/>
      <c r="BI724" s="359"/>
      <c r="BJ724" s="284"/>
      <c r="BK724" s="355"/>
      <c r="BM724" s="359"/>
      <c r="BN724" s="284"/>
      <c r="BO724" s="355"/>
      <c r="BQ724" s="359"/>
      <c r="BR724" s="284"/>
      <c r="BS724" s="355"/>
      <c r="BU724" s="359"/>
      <c r="BV724" s="284"/>
    </row>
    <row r="725" spans="2:74" x14ac:dyDescent="0.25">
      <c r="B725" s="284"/>
      <c r="D725" s="355"/>
      <c r="E725" s="356"/>
      <c r="F725" s="357"/>
      <c r="G725" s="358"/>
      <c r="H725" s="359"/>
      <c r="I725" s="284"/>
      <c r="J725" s="287"/>
      <c r="K725" s="355"/>
      <c r="M725" s="359"/>
      <c r="N725" s="284"/>
      <c r="O725" s="355"/>
      <c r="P725" s="360"/>
      <c r="Q725" s="359"/>
      <c r="R725" s="284"/>
      <c r="S725" s="355"/>
      <c r="U725" s="359"/>
      <c r="V725" s="284"/>
      <c r="W725" s="355"/>
      <c r="Y725" s="359"/>
      <c r="Z725" s="284"/>
      <c r="AA725" s="355"/>
      <c r="AC725" s="359"/>
      <c r="AD725" s="284"/>
      <c r="AE725" s="355"/>
      <c r="AG725" s="359"/>
      <c r="AH725" s="284"/>
      <c r="AI725" s="355"/>
      <c r="AK725" s="359"/>
      <c r="AL725" s="284"/>
      <c r="AM725" s="355"/>
      <c r="AO725" s="359"/>
      <c r="AP725" s="284"/>
      <c r="AQ725" s="355"/>
      <c r="AR725" s="360"/>
      <c r="AS725" s="359"/>
      <c r="AT725" s="284"/>
      <c r="AU725" s="355"/>
      <c r="AW725" s="359"/>
      <c r="AX725" s="284"/>
      <c r="AY725" s="355"/>
      <c r="BA725" s="359"/>
      <c r="BB725" s="284"/>
      <c r="BC725" s="355"/>
      <c r="BE725" s="359"/>
      <c r="BF725" s="284"/>
      <c r="BG725" s="355"/>
      <c r="BI725" s="359"/>
      <c r="BJ725" s="284"/>
      <c r="BK725" s="355"/>
      <c r="BM725" s="359"/>
      <c r="BN725" s="284"/>
      <c r="BO725" s="355"/>
      <c r="BQ725" s="359"/>
      <c r="BR725" s="284"/>
      <c r="BS725" s="355"/>
      <c r="BU725" s="359"/>
      <c r="BV725" s="284"/>
    </row>
    <row r="726" spans="2:74" x14ac:dyDescent="0.25">
      <c r="B726" s="284"/>
      <c r="D726" s="355"/>
      <c r="E726" s="356"/>
      <c r="F726" s="357"/>
      <c r="G726" s="358"/>
      <c r="H726" s="359"/>
      <c r="I726" s="284"/>
      <c r="J726" s="287"/>
      <c r="K726" s="355"/>
      <c r="M726" s="359"/>
      <c r="N726" s="284"/>
      <c r="O726" s="355"/>
      <c r="P726" s="360"/>
      <c r="Q726" s="359"/>
      <c r="R726" s="284"/>
      <c r="S726" s="355"/>
      <c r="U726" s="359"/>
      <c r="V726" s="284"/>
      <c r="W726" s="355"/>
      <c r="Y726" s="359"/>
      <c r="Z726" s="284"/>
      <c r="AA726" s="355"/>
      <c r="AC726" s="359"/>
      <c r="AD726" s="284"/>
      <c r="AE726" s="355"/>
      <c r="AG726" s="359"/>
      <c r="AH726" s="284"/>
      <c r="AI726" s="355"/>
      <c r="AK726" s="359"/>
      <c r="AL726" s="284"/>
      <c r="AM726" s="355"/>
      <c r="AO726" s="359"/>
      <c r="AP726" s="284"/>
      <c r="AQ726" s="355"/>
      <c r="AR726" s="360"/>
      <c r="AS726" s="359"/>
      <c r="AT726" s="284"/>
      <c r="AU726" s="355"/>
      <c r="AW726" s="359"/>
      <c r="AX726" s="284"/>
      <c r="AY726" s="355"/>
      <c r="BA726" s="359"/>
      <c r="BB726" s="284"/>
      <c r="BC726" s="355"/>
      <c r="BE726" s="359"/>
      <c r="BF726" s="284"/>
      <c r="BG726" s="355"/>
      <c r="BI726" s="359"/>
      <c r="BJ726" s="284"/>
      <c r="BK726" s="355"/>
      <c r="BM726" s="359"/>
      <c r="BN726" s="284"/>
      <c r="BO726" s="355"/>
      <c r="BQ726" s="359"/>
      <c r="BR726" s="284"/>
      <c r="BS726" s="355"/>
      <c r="BU726" s="359"/>
      <c r="BV726" s="284"/>
    </row>
    <row r="727" spans="2:74" x14ac:dyDescent="0.25">
      <c r="B727" s="284"/>
      <c r="D727" s="355"/>
      <c r="E727" s="356"/>
      <c r="F727" s="357"/>
      <c r="G727" s="358"/>
      <c r="H727" s="359"/>
      <c r="I727" s="284"/>
      <c r="J727" s="287"/>
      <c r="K727" s="355"/>
      <c r="M727" s="359"/>
      <c r="N727" s="284"/>
      <c r="O727" s="355"/>
      <c r="P727" s="360"/>
      <c r="Q727" s="359"/>
      <c r="R727" s="284"/>
      <c r="S727" s="355"/>
      <c r="U727" s="359"/>
      <c r="V727" s="284"/>
      <c r="W727" s="355"/>
      <c r="Y727" s="359"/>
      <c r="Z727" s="284"/>
      <c r="AA727" s="355"/>
      <c r="AC727" s="359"/>
      <c r="AD727" s="284"/>
      <c r="AE727" s="355"/>
      <c r="AG727" s="359"/>
      <c r="AH727" s="284"/>
      <c r="AI727" s="355"/>
      <c r="AK727" s="359"/>
      <c r="AL727" s="284"/>
      <c r="AM727" s="355"/>
      <c r="AO727" s="359"/>
      <c r="AP727" s="284"/>
      <c r="AQ727" s="355"/>
      <c r="AR727" s="360"/>
      <c r="AS727" s="359"/>
      <c r="AT727" s="284"/>
      <c r="AU727" s="355"/>
      <c r="AW727" s="359"/>
      <c r="AX727" s="284"/>
      <c r="AY727" s="355"/>
      <c r="BA727" s="359"/>
      <c r="BB727" s="284"/>
      <c r="BC727" s="355"/>
      <c r="BE727" s="359"/>
      <c r="BF727" s="284"/>
      <c r="BG727" s="355"/>
      <c r="BI727" s="359"/>
      <c r="BJ727" s="284"/>
      <c r="BK727" s="355"/>
      <c r="BM727" s="359"/>
      <c r="BN727" s="284"/>
      <c r="BO727" s="355"/>
      <c r="BQ727" s="359"/>
      <c r="BR727" s="284"/>
      <c r="BS727" s="355"/>
      <c r="BU727" s="359"/>
      <c r="BV727" s="284"/>
    </row>
    <row r="728" spans="2:74" x14ac:dyDescent="0.25">
      <c r="B728" s="284"/>
      <c r="D728" s="355"/>
      <c r="E728" s="356"/>
      <c r="F728" s="357"/>
      <c r="G728" s="358"/>
      <c r="H728" s="359"/>
      <c r="I728" s="284"/>
      <c r="J728" s="287"/>
      <c r="K728" s="355"/>
      <c r="M728" s="359"/>
      <c r="N728" s="284"/>
      <c r="O728" s="355"/>
      <c r="P728" s="360"/>
      <c r="Q728" s="359"/>
      <c r="R728" s="284"/>
      <c r="S728" s="355"/>
      <c r="U728" s="359"/>
      <c r="V728" s="284"/>
      <c r="W728" s="355"/>
      <c r="Y728" s="359"/>
      <c r="Z728" s="284"/>
      <c r="AA728" s="355"/>
      <c r="AC728" s="359"/>
      <c r="AD728" s="284"/>
      <c r="AE728" s="355"/>
      <c r="AG728" s="359"/>
      <c r="AH728" s="284"/>
      <c r="AI728" s="355"/>
      <c r="AK728" s="359"/>
      <c r="AL728" s="284"/>
      <c r="AM728" s="355"/>
      <c r="AO728" s="359"/>
      <c r="AP728" s="284"/>
      <c r="AQ728" s="355"/>
      <c r="AR728" s="360"/>
      <c r="AS728" s="359"/>
      <c r="AT728" s="284"/>
      <c r="AU728" s="355"/>
      <c r="AW728" s="359"/>
      <c r="AX728" s="284"/>
      <c r="AY728" s="355"/>
      <c r="BA728" s="359"/>
      <c r="BB728" s="284"/>
      <c r="BC728" s="355"/>
      <c r="BE728" s="359"/>
      <c r="BF728" s="284"/>
      <c r="BG728" s="355"/>
      <c r="BI728" s="359"/>
      <c r="BJ728" s="284"/>
      <c r="BK728" s="355"/>
      <c r="BM728" s="359"/>
      <c r="BN728" s="284"/>
      <c r="BO728" s="355"/>
      <c r="BQ728" s="359"/>
      <c r="BR728" s="284"/>
      <c r="BS728" s="355"/>
      <c r="BU728" s="359"/>
      <c r="BV728" s="284"/>
    </row>
    <row r="729" spans="2:74" x14ac:dyDescent="0.25">
      <c r="B729" s="284"/>
      <c r="D729" s="355"/>
      <c r="E729" s="356"/>
      <c r="F729" s="357"/>
      <c r="G729" s="358"/>
      <c r="H729" s="359"/>
      <c r="I729" s="284"/>
      <c r="J729" s="287"/>
      <c r="K729" s="355"/>
      <c r="M729" s="359"/>
      <c r="N729" s="284"/>
      <c r="O729" s="355"/>
      <c r="P729" s="360"/>
      <c r="Q729" s="359"/>
      <c r="R729" s="284"/>
      <c r="S729" s="355"/>
      <c r="U729" s="359"/>
      <c r="V729" s="284"/>
      <c r="W729" s="355"/>
      <c r="Y729" s="359"/>
      <c r="Z729" s="284"/>
      <c r="AA729" s="355"/>
      <c r="AC729" s="359"/>
      <c r="AD729" s="284"/>
      <c r="AE729" s="355"/>
      <c r="AG729" s="359"/>
      <c r="AH729" s="284"/>
      <c r="AI729" s="355"/>
      <c r="AK729" s="359"/>
      <c r="AL729" s="284"/>
      <c r="AM729" s="355"/>
      <c r="AO729" s="359"/>
      <c r="AP729" s="284"/>
      <c r="AQ729" s="355"/>
      <c r="AR729" s="360"/>
      <c r="AS729" s="359"/>
      <c r="AT729" s="284"/>
      <c r="AU729" s="355"/>
      <c r="AW729" s="359"/>
      <c r="AX729" s="284"/>
      <c r="AY729" s="355"/>
      <c r="BA729" s="359"/>
      <c r="BB729" s="284"/>
      <c r="BC729" s="355"/>
      <c r="BE729" s="359"/>
      <c r="BF729" s="284"/>
      <c r="BG729" s="355"/>
      <c r="BI729" s="359"/>
      <c r="BJ729" s="284"/>
      <c r="BK729" s="355"/>
      <c r="BM729" s="359"/>
      <c r="BN729" s="284"/>
      <c r="BO729" s="355"/>
      <c r="BQ729" s="359"/>
      <c r="BR729" s="284"/>
      <c r="BS729" s="355"/>
      <c r="BU729" s="359"/>
      <c r="BV729" s="284"/>
    </row>
    <row r="730" spans="2:74" x14ac:dyDescent="0.25">
      <c r="B730" s="284"/>
      <c r="D730" s="355"/>
      <c r="E730" s="356"/>
      <c r="F730" s="357"/>
      <c r="G730" s="358"/>
      <c r="H730" s="359"/>
      <c r="I730" s="284"/>
      <c r="J730" s="287"/>
      <c r="K730" s="355"/>
      <c r="M730" s="359"/>
      <c r="N730" s="284"/>
      <c r="O730" s="355"/>
      <c r="P730" s="360"/>
      <c r="Q730" s="359"/>
      <c r="R730" s="284"/>
      <c r="S730" s="355"/>
      <c r="U730" s="359"/>
      <c r="V730" s="284"/>
      <c r="W730" s="355"/>
      <c r="Y730" s="359"/>
      <c r="Z730" s="284"/>
      <c r="AA730" s="355"/>
      <c r="AC730" s="359"/>
      <c r="AD730" s="284"/>
      <c r="AE730" s="355"/>
      <c r="AG730" s="359"/>
      <c r="AH730" s="284"/>
      <c r="AI730" s="355"/>
      <c r="AK730" s="359"/>
      <c r="AL730" s="284"/>
      <c r="AM730" s="355"/>
      <c r="AO730" s="359"/>
      <c r="AP730" s="284"/>
      <c r="AQ730" s="355"/>
      <c r="AR730" s="360"/>
      <c r="AS730" s="359"/>
      <c r="AT730" s="284"/>
      <c r="AU730" s="355"/>
      <c r="AW730" s="359"/>
      <c r="AX730" s="284"/>
      <c r="AY730" s="355"/>
      <c r="BA730" s="359"/>
      <c r="BB730" s="284"/>
      <c r="BC730" s="355"/>
      <c r="BE730" s="359"/>
      <c r="BF730" s="284"/>
      <c r="BG730" s="355"/>
      <c r="BI730" s="359"/>
      <c r="BJ730" s="284"/>
      <c r="BK730" s="355"/>
      <c r="BM730" s="359"/>
      <c r="BN730" s="284"/>
      <c r="BO730" s="355"/>
      <c r="BQ730" s="359"/>
      <c r="BR730" s="284"/>
      <c r="BS730" s="355"/>
      <c r="BU730" s="359"/>
      <c r="BV730" s="284"/>
    </row>
    <row r="731" spans="2:74" x14ac:dyDescent="0.25">
      <c r="B731" s="284"/>
      <c r="D731" s="355"/>
      <c r="E731" s="356"/>
      <c r="F731" s="357"/>
      <c r="G731" s="358"/>
      <c r="H731" s="359"/>
      <c r="I731" s="284"/>
      <c r="J731" s="287"/>
      <c r="K731" s="355"/>
      <c r="M731" s="359"/>
      <c r="N731" s="284"/>
      <c r="O731" s="355"/>
      <c r="P731" s="360"/>
      <c r="Q731" s="359"/>
      <c r="R731" s="284"/>
      <c r="S731" s="355"/>
      <c r="U731" s="359"/>
      <c r="V731" s="284"/>
      <c r="W731" s="355"/>
      <c r="Y731" s="359"/>
      <c r="Z731" s="284"/>
      <c r="AA731" s="355"/>
      <c r="AC731" s="359"/>
      <c r="AD731" s="284"/>
      <c r="AE731" s="355"/>
      <c r="AG731" s="359"/>
      <c r="AH731" s="284"/>
      <c r="AI731" s="355"/>
      <c r="AK731" s="359"/>
      <c r="AL731" s="284"/>
      <c r="AM731" s="355"/>
      <c r="AO731" s="359"/>
      <c r="AP731" s="284"/>
      <c r="AQ731" s="355"/>
      <c r="AR731" s="360"/>
      <c r="AS731" s="359"/>
      <c r="AT731" s="284"/>
      <c r="AU731" s="355"/>
      <c r="AW731" s="359"/>
      <c r="AX731" s="284"/>
      <c r="AY731" s="355"/>
      <c r="BA731" s="359"/>
      <c r="BB731" s="284"/>
      <c r="BC731" s="355"/>
      <c r="BE731" s="359"/>
      <c r="BF731" s="284"/>
      <c r="BG731" s="355"/>
      <c r="BI731" s="359"/>
      <c r="BJ731" s="284"/>
      <c r="BK731" s="355"/>
      <c r="BM731" s="359"/>
      <c r="BN731" s="284"/>
      <c r="BO731" s="355"/>
      <c r="BQ731" s="359"/>
      <c r="BR731" s="284"/>
      <c r="BS731" s="355"/>
      <c r="BU731" s="359"/>
      <c r="BV731" s="284"/>
    </row>
    <row r="732" spans="2:74" x14ac:dyDescent="0.25">
      <c r="B732" s="284"/>
      <c r="D732" s="355"/>
      <c r="E732" s="356"/>
      <c r="F732" s="357"/>
      <c r="G732" s="358"/>
      <c r="H732" s="359"/>
      <c r="I732" s="284"/>
      <c r="J732" s="287"/>
      <c r="K732" s="355"/>
      <c r="M732" s="359"/>
      <c r="N732" s="284"/>
      <c r="O732" s="355"/>
      <c r="P732" s="360"/>
      <c r="Q732" s="359"/>
      <c r="R732" s="284"/>
      <c r="S732" s="355"/>
      <c r="U732" s="359"/>
      <c r="V732" s="284"/>
      <c r="W732" s="355"/>
      <c r="Y732" s="359"/>
      <c r="Z732" s="284"/>
      <c r="AA732" s="355"/>
      <c r="AC732" s="359"/>
      <c r="AD732" s="284"/>
      <c r="AE732" s="355"/>
      <c r="AG732" s="359"/>
      <c r="AH732" s="284"/>
      <c r="AI732" s="355"/>
      <c r="AK732" s="359"/>
      <c r="AL732" s="284"/>
      <c r="AM732" s="355"/>
      <c r="AO732" s="359"/>
      <c r="AP732" s="284"/>
      <c r="AQ732" s="355"/>
      <c r="AR732" s="360"/>
      <c r="AS732" s="359"/>
      <c r="AT732" s="284"/>
      <c r="AU732" s="355"/>
      <c r="AW732" s="359"/>
      <c r="AX732" s="284"/>
      <c r="AY732" s="355"/>
      <c r="BA732" s="359"/>
      <c r="BB732" s="284"/>
      <c r="BC732" s="355"/>
      <c r="BE732" s="359"/>
      <c r="BF732" s="284"/>
      <c r="BG732" s="355"/>
      <c r="BI732" s="359"/>
      <c r="BJ732" s="284"/>
      <c r="BK732" s="355"/>
      <c r="BM732" s="359"/>
      <c r="BN732" s="284"/>
      <c r="BO732" s="355"/>
      <c r="BQ732" s="359"/>
      <c r="BR732" s="284"/>
      <c r="BS732" s="355"/>
      <c r="BU732" s="359"/>
      <c r="BV732" s="284"/>
    </row>
    <row r="733" spans="2:74" x14ac:dyDescent="0.25">
      <c r="B733" s="284"/>
      <c r="D733" s="355"/>
      <c r="E733" s="356"/>
      <c r="F733" s="357"/>
      <c r="G733" s="358"/>
      <c r="H733" s="359"/>
      <c r="I733" s="284"/>
      <c r="J733" s="287"/>
      <c r="K733" s="355"/>
      <c r="M733" s="359"/>
      <c r="N733" s="284"/>
      <c r="O733" s="355"/>
      <c r="P733" s="360"/>
      <c r="Q733" s="359"/>
      <c r="R733" s="284"/>
      <c r="S733" s="355"/>
      <c r="U733" s="359"/>
      <c r="V733" s="284"/>
      <c r="W733" s="355"/>
      <c r="Y733" s="359"/>
      <c r="Z733" s="284"/>
      <c r="AA733" s="355"/>
      <c r="AC733" s="359"/>
      <c r="AD733" s="284"/>
      <c r="AE733" s="355"/>
      <c r="AG733" s="359"/>
      <c r="AH733" s="284"/>
      <c r="AI733" s="355"/>
      <c r="AK733" s="359"/>
      <c r="AL733" s="284"/>
      <c r="AM733" s="355"/>
      <c r="AO733" s="359"/>
      <c r="AP733" s="284"/>
      <c r="AQ733" s="355"/>
      <c r="AR733" s="360"/>
      <c r="AS733" s="359"/>
      <c r="AT733" s="284"/>
      <c r="AU733" s="355"/>
      <c r="AW733" s="359"/>
      <c r="AX733" s="284"/>
      <c r="AY733" s="355"/>
      <c r="BA733" s="359"/>
      <c r="BB733" s="284"/>
      <c r="BC733" s="355"/>
      <c r="BE733" s="359"/>
      <c r="BF733" s="284"/>
      <c r="BG733" s="355"/>
      <c r="BI733" s="359"/>
      <c r="BJ733" s="284"/>
      <c r="BK733" s="355"/>
      <c r="BM733" s="359"/>
      <c r="BN733" s="284"/>
      <c r="BO733" s="355"/>
      <c r="BQ733" s="359"/>
      <c r="BR733" s="284"/>
      <c r="BS733" s="355"/>
      <c r="BU733" s="359"/>
      <c r="BV733" s="284"/>
    </row>
    <row r="734" spans="2:74" x14ac:dyDescent="0.25">
      <c r="B734" s="284"/>
      <c r="D734" s="355"/>
      <c r="E734" s="356"/>
      <c r="F734" s="357"/>
      <c r="G734" s="358"/>
      <c r="H734" s="359"/>
      <c r="I734" s="284"/>
      <c r="J734" s="287"/>
      <c r="K734" s="355"/>
      <c r="M734" s="359"/>
      <c r="N734" s="284"/>
      <c r="O734" s="355"/>
      <c r="P734" s="360"/>
      <c r="Q734" s="359"/>
      <c r="R734" s="284"/>
      <c r="S734" s="355"/>
      <c r="U734" s="359"/>
      <c r="V734" s="284"/>
      <c r="W734" s="355"/>
      <c r="Y734" s="359"/>
      <c r="Z734" s="284"/>
      <c r="AA734" s="355"/>
      <c r="AC734" s="359"/>
      <c r="AD734" s="284"/>
      <c r="AE734" s="355"/>
      <c r="AG734" s="359"/>
      <c r="AH734" s="284"/>
      <c r="AI734" s="355"/>
      <c r="AK734" s="359"/>
      <c r="AL734" s="284"/>
      <c r="AM734" s="355"/>
      <c r="AO734" s="359"/>
      <c r="AP734" s="284"/>
      <c r="AQ734" s="355"/>
      <c r="AR734" s="360"/>
      <c r="AS734" s="359"/>
      <c r="AT734" s="284"/>
      <c r="AU734" s="355"/>
      <c r="AW734" s="359"/>
      <c r="AX734" s="284"/>
      <c r="AY734" s="355"/>
      <c r="BA734" s="359"/>
      <c r="BB734" s="284"/>
      <c r="BC734" s="355"/>
      <c r="BE734" s="359"/>
      <c r="BF734" s="284"/>
      <c r="BG734" s="355"/>
      <c r="BI734" s="359"/>
      <c r="BJ734" s="284"/>
      <c r="BK734" s="355"/>
      <c r="BM734" s="359"/>
      <c r="BN734" s="284"/>
      <c r="BO734" s="355"/>
      <c r="BQ734" s="359"/>
      <c r="BR734" s="284"/>
      <c r="BS734" s="355"/>
      <c r="BU734" s="359"/>
      <c r="BV734" s="284"/>
    </row>
    <row r="735" spans="2:74" x14ac:dyDescent="0.25">
      <c r="B735" s="284"/>
      <c r="D735" s="355"/>
      <c r="E735" s="356"/>
      <c r="F735" s="357"/>
      <c r="G735" s="358"/>
      <c r="H735" s="359"/>
      <c r="I735" s="284"/>
      <c r="J735" s="287"/>
      <c r="K735" s="355"/>
      <c r="M735" s="359"/>
      <c r="N735" s="284"/>
      <c r="O735" s="355"/>
      <c r="P735" s="360"/>
      <c r="Q735" s="359"/>
      <c r="R735" s="284"/>
      <c r="S735" s="355"/>
      <c r="U735" s="359"/>
      <c r="V735" s="284"/>
      <c r="W735" s="355"/>
      <c r="Y735" s="359"/>
      <c r="Z735" s="284"/>
      <c r="AA735" s="355"/>
      <c r="AC735" s="359"/>
      <c r="AD735" s="284"/>
      <c r="AE735" s="355"/>
      <c r="AG735" s="359"/>
      <c r="AH735" s="284"/>
      <c r="AI735" s="355"/>
      <c r="AK735" s="359"/>
      <c r="AL735" s="284"/>
      <c r="AM735" s="355"/>
      <c r="AO735" s="359"/>
      <c r="AP735" s="284"/>
      <c r="AQ735" s="355"/>
      <c r="AR735" s="360"/>
      <c r="AS735" s="359"/>
      <c r="AT735" s="284"/>
      <c r="AU735" s="355"/>
      <c r="AW735" s="359"/>
      <c r="AX735" s="284"/>
      <c r="AY735" s="355"/>
      <c r="BA735" s="359"/>
      <c r="BB735" s="284"/>
      <c r="BC735" s="355"/>
      <c r="BE735" s="359"/>
      <c r="BF735" s="284"/>
      <c r="BG735" s="355"/>
      <c r="BI735" s="359"/>
      <c r="BJ735" s="284"/>
      <c r="BK735" s="355"/>
      <c r="BM735" s="359"/>
      <c r="BN735" s="284"/>
      <c r="BO735" s="355"/>
      <c r="BQ735" s="359"/>
      <c r="BR735" s="284"/>
      <c r="BS735" s="355"/>
      <c r="BU735" s="359"/>
      <c r="BV735" s="284"/>
    </row>
    <row r="736" spans="2:74" x14ac:dyDescent="0.25">
      <c r="B736" s="284"/>
      <c r="D736" s="355"/>
      <c r="E736" s="356"/>
      <c r="F736" s="357"/>
      <c r="G736" s="358"/>
      <c r="H736" s="359"/>
      <c r="I736" s="284"/>
      <c r="J736" s="287"/>
      <c r="K736" s="355"/>
      <c r="M736" s="359"/>
      <c r="N736" s="284"/>
      <c r="O736" s="355"/>
      <c r="P736" s="360"/>
      <c r="Q736" s="359"/>
      <c r="R736" s="284"/>
      <c r="S736" s="355"/>
      <c r="U736" s="359"/>
      <c r="V736" s="284"/>
      <c r="W736" s="355"/>
      <c r="Y736" s="359"/>
      <c r="Z736" s="284"/>
      <c r="AA736" s="355"/>
      <c r="AC736" s="359"/>
      <c r="AD736" s="284"/>
      <c r="AE736" s="355"/>
      <c r="AG736" s="359"/>
      <c r="AH736" s="284"/>
      <c r="AI736" s="355"/>
      <c r="AK736" s="359"/>
      <c r="AL736" s="284"/>
      <c r="AM736" s="355"/>
      <c r="AO736" s="359"/>
      <c r="AP736" s="284"/>
      <c r="AQ736" s="355"/>
      <c r="AR736" s="360"/>
      <c r="AS736" s="359"/>
      <c r="AT736" s="284"/>
      <c r="AU736" s="355"/>
      <c r="AW736" s="359"/>
      <c r="AX736" s="284"/>
      <c r="AY736" s="355"/>
      <c r="BA736" s="359"/>
      <c r="BB736" s="284"/>
      <c r="BC736" s="355"/>
      <c r="BE736" s="359"/>
      <c r="BF736" s="284"/>
      <c r="BG736" s="355"/>
      <c r="BI736" s="359"/>
      <c r="BJ736" s="284"/>
      <c r="BK736" s="355"/>
      <c r="BM736" s="359"/>
      <c r="BN736" s="284"/>
      <c r="BO736" s="355"/>
      <c r="BQ736" s="359"/>
      <c r="BR736" s="284"/>
      <c r="BS736" s="355"/>
      <c r="BU736" s="359"/>
      <c r="BV736" s="284"/>
    </row>
    <row r="737" spans="2:74" x14ac:dyDescent="0.25">
      <c r="B737" s="284"/>
      <c r="D737" s="355"/>
      <c r="E737" s="356"/>
      <c r="F737" s="357"/>
      <c r="G737" s="358"/>
      <c r="H737" s="359"/>
      <c r="I737" s="284"/>
      <c r="J737" s="287"/>
      <c r="K737" s="355"/>
      <c r="M737" s="359"/>
      <c r="N737" s="284"/>
      <c r="O737" s="355"/>
      <c r="P737" s="360"/>
      <c r="Q737" s="359"/>
      <c r="R737" s="284"/>
      <c r="S737" s="355"/>
      <c r="U737" s="359"/>
      <c r="V737" s="284"/>
      <c r="W737" s="355"/>
      <c r="Y737" s="359"/>
      <c r="Z737" s="284"/>
      <c r="AA737" s="355"/>
      <c r="AC737" s="359"/>
      <c r="AD737" s="284"/>
      <c r="AE737" s="355"/>
      <c r="AG737" s="359"/>
      <c r="AH737" s="284"/>
      <c r="AI737" s="355"/>
      <c r="AK737" s="359"/>
      <c r="AL737" s="284"/>
      <c r="AM737" s="355"/>
      <c r="AO737" s="359"/>
      <c r="AP737" s="284"/>
      <c r="AQ737" s="355"/>
      <c r="AR737" s="360"/>
      <c r="AS737" s="359"/>
      <c r="AT737" s="284"/>
      <c r="AU737" s="355"/>
      <c r="AW737" s="359"/>
      <c r="AX737" s="284"/>
      <c r="AY737" s="355"/>
      <c r="BA737" s="359"/>
      <c r="BB737" s="284"/>
      <c r="BC737" s="355"/>
      <c r="BE737" s="359"/>
      <c r="BF737" s="284"/>
      <c r="BG737" s="355"/>
      <c r="BI737" s="359"/>
      <c r="BJ737" s="284"/>
      <c r="BK737" s="355"/>
      <c r="BM737" s="359"/>
      <c r="BN737" s="284"/>
      <c r="BO737" s="355"/>
      <c r="BQ737" s="359"/>
      <c r="BR737" s="284"/>
      <c r="BS737" s="355"/>
      <c r="BU737" s="359"/>
      <c r="BV737" s="284"/>
    </row>
    <row r="738" spans="2:74" x14ac:dyDescent="0.25">
      <c r="B738" s="284"/>
      <c r="D738" s="355"/>
      <c r="E738" s="356"/>
      <c r="F738" s="357"/>
      <c r="G738" s="358"/>
      <c r="H738" s="359"/>
      <c r="I738" s="284"/>
      <c r="J738" s="287"/>
      <c r="K738" s="355"/>
      <c r="M738" s="359"/>
      <c r="N738" s="284"/>
      <c r="O738" s="355"/>
      <c r="P738" s="360"/>
      <c r="Q738" s="359"/>
      <c r="R738" s="284"/>
      <c r="S738" s="355"/>
      <c r="U738" s="359"/>
      <c r="V738" s="284"/>
      <c r="W738" s="355"/>
      <c r="Y738" s="359"/>
      <c r="Z738" s="284"/>
      <c r="AA738" s="355"/>
      <c r="AC738" s="359"/>
      <c r="AD738" s="284"/>
      <c r="AE738" s="355"/>
      <c r="AG738" s="359"/>
      <c r="AH738" s="284"/>
      <c r="AI738" s="355"/>
      <c r="AK738" s="359"/>
      <c r="AL738" s="284"/>
      <c r="AM738" s="355"/>
      <c r="AO738" s="359"/>
      <c r="AP738" s="284"/>
      <c r="AQ738" s="355"/>
      <c r="AR738" s="360"/>
      <c r="AS738" s="359"/>
      <c r="AT738" s="284"/>
      <c r="AU738" s="355"/>
      <c r="AW738" s="359"/>
      <c r="AX738" s="284"/>
      <c r="AY738" s="355"/>
      <c r="BA738" s="359"/>
      <c r="BB738" s="284"/>
      <c r="BC738" s="355"/>
      <c r="BE738" s="359"/>
      <c r="BF738" s="284"/>
      <c r="BG738" s="355"/>
      <c r="BI738" s="359"/>
      <c r="BJ738" s="284"/>
      <c r="BK738" s="355"/>
      <c r="BM738" s="359"/>
      <c r="BN738" s="284"/>
      <c r="BO738" s="355"/>
      <c r="BQ738" s="359"/>
      <c r="BR738" s="284"/>
      <c r="BS738" s="355"/>
      <c r="BU738" s="359"/>
      <c r="BV738" s="284"/>
    </row>
    <row r="739" spans="2:74" x14ac:dyDescent="0.25">
      <c r="B739" s="284"/>
      <c r="D739" s="355"/>
      <c r="E739" s="356"/>
      <c r="F739" s="357"/>
      <c r="G739" s="358"/>
      <c r="H739" s="359"/>
      <c r="I739" s="284"/>
      <c r="J739" s="287"/>
      <c r="K739" s="355"/>
      <c r="M739" s="359"/>
      <c r="N739" s="284"/>
      <c r="O739" s="355"/>
      <c r="P739" s="360"/>
      <c r="Q739" s="359"/>
      <c r="R739" s="284"/>
      <c r="S739" s="355"/>
      <c r="U739" s="359"/>
      <c r="V739" s="284"/>
      <c r="W739" s="355"/>
      <c r="Y739" s="359"/>
      <c r="Z739" s="284"/>
      <c r="AA739" s="355"/>
      <c r="AC739" s="359"/>
      <c r="AD739" s="284"/>
      <c r="AE739" s="355"/>
      <c r="AG739" s="359"/>
      <c r="AH739" s="284"/>
      <c r="AI739" s="355"/>
      <c r="AK739" s="359"/>
      <c r="AL739" s="284"/>
      <c r="AM739" s="355"/>
      <c r="AO739" s="359"/>
      <c r="AP739" s="284"/>
      <c r="AQ739" s="355"/>
      <c r="AR739" s="360"/>
      <c r="AS739" s="359"/>
      <c r="AT739" s="284"/>
      <c r="AU739" s="355"/>
      <c r="AW739" s="359"/>
      <c r="AX739" s="284"/>
      <c r="AY739" s="355"/>
      <c r="BA739" s="359"/>
      <c r="BB739" s="284"/>
      <c r="BC739" s="355"/>
      <c r="BE739" s="359"/>
      <c r="BF739" s="284"/>
      <c r="BG739" s="355"/>
      <c r="BI739" s="359"/>
      <c r="BJ739" s="284"/>
      <c r="BK739" s="355"/>
      <c r="BM739" s="359"/>
      <c r="BN739" s="284"/>
      <c r="BO739" s="355"/>
      <c r="BQ739" s="359"/>
      <c r="BR739" s="284"/>
      <c r="BS739" s="355"/>
      <c r="BU739" s="359"/>
      <c r="BV739" s="284"/>
    </row>
    <row r="740" spans="2:74" x14ac:dyDescent="0.25">
      <c r="B740" s="284"/>
      <c r="D740" s="355"/>
      <c r="E740" s="356"/>
      <c r="F740" s="357"/>
      <c r="G740" s="358"/>
      <c r="H740" s="359"/>
      <c r="I740" s="284"/>
      <c r="J740" s="287"/>
      <c r="K740" s="355"/>
      <c r="M740" s="359"/>
      <c r="N740" s="284"/>
      <c r="O740" s="355"/>
      <c r="P740" s="360"/>
      <c r="Q740" s="359"/>
      <c r="R740" s="284"/>
      <c r="S740" s="355"/>
      <c r="U740" s="359"/>
      <c r="V740" s="284"/>
      <c r="W740" s="355"/>
      <c r="Y740" s="359"/>
      <c r="Z740" s="284"/>
      <c r="AA740" s="355"/>
      <c r="AC740" s="359"/>
      <c r="AD740" s="284"/>
      <c r="AE740" s="355"/>
      <c r="AG740" s="359"/>
      <c r="AH740" s="284"/>
      <c r="AI740" s="355"/>
      <c r="AK740" s="359"/>
      <c r="AL740" s="284"/>
      <c r="AM740" s="355"/>
      <c r="AO740" s="359"/>
      <c r="AP740" s="284"/>
      <c r="AQ740" s="355"/>
      <c r="AR740" s="360"/>
      <c r="AS740" s="359"/>
      <c r="AT740" s="284"/>
      <c r="AU740" s="355"/>
      <c r="AW740" s="359"/>
      <c r="AX740" s="284"/>
      <c r="AY740" s="355"/>
      <c r="BA740" s="359"/>
      <c r="BB740" s="284"/>
      <c r="BC740" s="355"/>
      <c r="BE740" s="359"/>
      <c r="BF740" s="284"/>
      <c r="BG740" s="355"/>
      <c r="BI740" s="359"/>
      <c r="BJ740" s="284"/>
      <c r="BK740" s="355"/>
      <c r="BM740" s="359"/>
      <c r="BN740" s="284"/>
      <c r="BO740" s="355"/>
      <c r="BQ740" s="359"/>
      <c r="BR740" s="284"/>
      <c r="BS740" s="355"/>
      <c r="BU740" s="359"/>
      <c r="BV740" s="284"/>
    </row>
    <row r="741" spans="2:74" x14ac:dyDescent="0.25">
      <c r="B741" s="284"/>
      <c r="D741" s="355"/>
      <c r="E741" s="356"/>
      <c r="F741" s="357"/>
      <c r="G741" s="358"/>
      <c r="H741" s="359"/>
      <c r="I741" s="284"/>
      <c r="J741" s="287"/>
      <c r="K741" s="355"/>
      <c r="M741" s="359"/>
      <c r="N741" s="284"/>
      <c r="O741" s="355"/>
      <c r="P741" s="360"/>
      <c r="Q741" s="359"/>
      <c r="R741" s="284"/>
      <c r="S741" s="355"/>
      <c r="U741" s="359"/>
      <c r="V741" s="284"/>
      <c r="W741" s="355"/>
      <c r="Y741" s="359"/>
      <c r="Z741" s="284"/>
      <c r="AA741" s="355"/>
      <c r="AC741" s="359"/>
      <c r="AD741" s="284"/>
      <c r="AE741" s="355"/>
      <c r="AG741" s="359"/>
      <c r="AH741" s="284"/>
      <c r="AI741" s="355"/>
      <c r="AK741" s="359"/>
      <c r="AL741" s="284"/>
      <c r="AM741" s="355"/>
      <c r="AO741" s="359"/>
      <c r="AP741" s="284"/>
      <c r="AQ741" s="355"/>
      <c r="AR741" s="360"/>
      <c r="AS741" s="359"/>
      <c r="AT741" s="284"/>
      <c r="AU741" s="355"/>
      <c r="AW741" s="359"/>
      <c r="AX741" s="284"/>
      <c r="AY741" s="355"/>
      <c r="BA741" s="359"/>
      <c r="BB741" s="284"/>
      <c r="BC741" s="355"/>
      <c r="BE741" s="359"/>
      <c r="BF741" s="284"/>
      <c r="BG741" s="355"/>
      <c r="BI741" s="359"/>
      <c r="BJ741" s="284"/>
      <c r="BK741" s="355"/>
      <c r="BM741" s="359"/>
      <c r="BN741" s="284"/>
      <c r="BO741" s="355"/>
      <c r="BQ741" s="359"/>
      <c r="BR741" s="284"/>
      <c r="BS741" s="355"/>
      <c r="BU741" s="359"/>
      <c r="BV741" s="284"/>
    </row>
    <row r="742" spans="2:74" x14ac:dyDescent="0.25">
      <c r="B742" s="284"/>
      <c r="D742" s="355"/>
      <c r="E742" s="356"/>
      <c r="F742" s="357"/>
      <c r="G742" s="358"/>
      <c r="H742" s="359"/>
      <c r="I742" s="284"/>
      <c r="J742" s="287"/>
      <c r="K742" s="355"/>
      <c r="M742" s="359"/>
      <c r="N742" s="284"/>
      <c r="O742" s="355"/>
      <c r="P742" s="360"/>
      <c r="Q742" s="359"/>
      <c r="R742" s="284"/>
      <c r="S742" s="355"/>
      <c r="U742" s="359"/>
      <c r="V742" s="284"/>
      <c r="W742" s="355"/>
      <c r="Y742" s="359"/>
      <c r="Z742" s="284"/>
      <c r="AA742" s="355"/>
      <c r="AC742" s="359"/>
      <c r="AD742" s="284"/>
      <c r="AE742" s="355"/>
      <c r="AG742" s="359"/>
      <c r="AH742" s="284"/>
      <c r="AI742" s="355"/>
      <c r="AK742" s="359"/>
      <c r="AL742" s="284"/>
      <c r="AM742" s="355"/>
      <c r="AO742" s="359"/>
      <c r="AP742" s="284"/>
      <c r="AQ742" s="355"/>
      <c r="AR742" s="360"/>
      <c r="AS742" s="359"/>
      <c r="AT742" s="284"/>
      <c r="AU742" s="355"/>
      <c r="AW742" s="359"/>
      <c r="AX742" s="284"/>
      <c r="AY742" s="355"/>
      <c r="BA742" s="359"/>
      <c r="BB742" s="284"/>
      <c r="BC742" s="355"/>
      <c r="BE742" s="359"/>
      <c r="BF742" s="284"/>
      <c r="BG742" s="355"/>
      <c r="BI742" s="359"/>
      <c r="BJ742" s="284"/>
      <c r="BK742" s="355"/>
      <c r="BM742" s="359"/>
      <c r="BN742" s="284"/>
      <c r="BO742" s="355"/>
      <c r="BQ742" s="359"/>
      <c r="BR742" s="284"/>
      <c r="BS742" s="355"/>
      <c r="BU742" s="359"/>
      <c r="BV742" s="284"/>
    </row>
    <row r="743" spans="2:74" x14ac:dyDescent="0.25">
      <c r="B743" s="284"/>
      <c r="D743" s="355"/>
      <c r="E743" s="356"/>
      <c r="F743" s="357"/>
      <c r="G743" s="358"/>
      <c r="H743" s="359"/>
      <c r="I743" s="284"/>
      <c r="J743" s="287"/>
      <c r="K743" s="355"/>
      <c r="M743" s="359"/>
      <c r="N743" s="284"/>
      <c r="O743" s="355"/>
      <c r="P743" s="360"/>
      <c r="Q743" s="359"/>
      <c r="R743" s="284"/>
      <c r="S743" s="355"/>
      <c r="U743" s="359"/>
      <c r="V743" s="284"/>
      <c r="W743" s="355"/>
      <c r="Y743" s="359"/>
      <c r="Z743" s="284"/>
      <c r="AA743" s="355"/>
      <c r="AC743" s="359"/>
      <c r="AD743" s="284"/>
      <c r="AE743" s="355"/>
      <c r="AG743" s="359"/>
      <c r="AH743" s="284"/>
      <c r="AI743" s="355"/>
      <c r="AK743" s="359"/>
      <c r="AL743" s="284"/>
      <c r="AM743" s="355"/>
      <c r="AO743" s="359"/>
      <c r="AP743" s="284"/>
      <c r="AQ743" s="355"/>
      <c r="AR743" s="360"/>
      <c r="AS743" s="359"/>
      <c r="AT743" s="284"/>
      <c r="AU743" s="355"/>
      <c r="AW743" s="359"/>
      <c r="AX743" s="284"/>
      <c r="AY743" s="355"/>
      <c r="BA743" s="359"/>
      <c r="BB743" s="284"/>
      <c r="BC743" s="355"/>
      <c r="BE743" s="359"/>
      <c r="BF743" s="284"/>
      <c r="BG743" s="355"/>
      <c r="BI743" s="359"/>
      <c r="BJ743" s="284"/>
      <c r="BK743" s="355"/>
      <c r="BM743" s="359"/>
      <c r="BN743" s="284"/>
      <c r="BO743" s="355"/>
      <c r="BQ743" s="359"/>
      <c r="BR743" s="284"/>
      <c r="BS743" s="355"/>
      <c r="BU743" s="359"/>
      <c r="BV743" s="284"/>
    </row>
    <row r="744" spans="2:74" x14ac:dyDescent="0.25">
      <c r="B744" s="284"/>
      <c r="D744" s="355"/>
      <c r="E744" s="356"/>
      <c r="F744" s="357"/>
      <c r="G744" s="358"/>
      <c r="H744" s="359"/>
      <c r="I744" s="284"/>
      <c r="J744" s="287"/>
      <c r="K744" s="355"/>
      <c r="M744" s="359"/>
      <c r="N744" s="284"/>
      <c r="O744" s="355"/>
      <c r="P744" s="360"/>
      <c r="Q744" s="359"/>
      <c r="R744" s="284"/>
      <c r="S744" s="355"/>
      <c r="U744" s="359"/>
      <c r="V744" s="284"/>
      <c r="W744" s="355"/>
      <c r="Y744" s="359"/>
      <c r="Z744" s="284"/>
      <c r="AA744" s="355"/>
      <c r="AC744" s="359"/>
      <c r="AD744" s="284"/>
      <c r="AE744" s="355"/>
      <c r="AG744" s="359"/>
      <c r="AH744" s="284"/>
      <c r="AI744" s="355"/>
      <c r="AK744" s="359"/>
      <c r="AL744" s="284"/>
      <c r="AM744" s="355"/>
      <c r="AO744" s="359"/>
      <c r="AP744" s="284"/>
      <c r="AQ744" s="355"/>
      <c r="AR744" s="360"/>
      <c r="AS744" s="359"/>
      <c r="AT744" s="284"/>
      <c r="AU744" s="355"/>
      <c r="AW744" s="359"/>
      <c r="AX744" s="284"/>
      <c r="AY744" s="355"/>
      <c r="BA744" s="359"/>
      <c r="BB744" s="284"/>
      <c r="BC744" s="355"/>
      <c r="BE744" s="359"/>
      <c r="BF744" s="284"/>
      <c r="BG744" s="355"/>
      <c r="BI744" s="359"/>
      <c r="BJ744" s="284"/>
      <c r="BK744" s="355"/>
      <c r="BM744" s="359"/>
      <c r="BN744" s="284"/>
      <c r="BO744" s="355"/>
      <c r="BQ744" s="359"/>
      <c r="BR744" s="284"/>
      <c r="BS744" s="355"/>
      <c r="BU744" s="359"/>
      <c r="BV744" s="284"/>
    </row>
    <row r="745" spans="2:74" x14ac:dyDescent="0.25">
      <c r="B745" s="284"/>
      <c r="D745" s="355"/>
      <c r="E745" s="356"/>
      <c r="F745" s="357"/>
      <c r="G745" s="358"/>
      <c r="H745" s="359"/>
      <c r="I745" s="284"/>
      <c r="J745" s="287"/>
      <c r="K745" s="355"/>
      <c r="M745" s="359"/>
      <c r="N745" s="284"/>
      <c r="O745" s="355"/>
      <c r="P745" s="360"/>
      <c r="Q745" s="359"/>
      <c r="R745" s="284"/>
      <c r="S745" s="355"/>
      <c r="U745" s="359"/>
      <c r="V745" s="284"/>
      <c r="W745" s="355"/>
      <c r="Y745" s="359"/>
      <c r="Z745" s="284"/>
      <c r="AA745" s="355"/>
      <c r="AC745" s="359"/>
      <c r="AD745" s="284"/>
      <c r="AE745" s="355"/>
      <c r="AG745" s="359"/>
      <c r="AH745" s="284"/>
      <c r="AI745" s="355"/>
      <c r="AK745" s="359"/>
      <c r="AL745" s="284"/>
      <c r="AM745" s="355"/>
      <c r="AO745" s="359"/>
      <c r="AP745" s="284"/>
      <c r="AQ745" s="355"/>
      <c r="AR745" s="360"/>
      <c r="AS745" s="359"/>
      <c r="AT745" s="284"/>
      <c r="AU745" s="355"/>
      <c r="AW745" s="359"/>
      <c r="AX745" s="284"/>
      <c r="AY745" s="355"/>
      <c r="BA745" s="359"/>
      <c r="BB745" s="284"/>
      <c r="BC745" s="355"/>
      <c r="BE745" s="359"/>
      <c r="BF745" s="284"/>
      <c r="BG745" s="355"/>
      <c r="BI745" s="359"/>
      <c r="BJ745" s="284"/>
      <c r="BK745" s="355"/>
      <c r="BM745" s="359"/>
      <c r="BN745" s="284"/>
      <c r="BO745" s="355"/>
      <c r="BQ745" s="359"/>
      <c r="BR745" s="284"/>
      <c r="BS745" s="355"/>
      <c r="BU745" s="359"/>
      <c r="BV745" s="284"/>
    </row>
    <row r="746" spans="2:74" x14ac:dyDescent="0.25">
      <c r="B746" s="284"/>
      <c r="D746" s="355"/>
      <c r="E746" s="356"/>
      <c r="F746" s="357"/>
      <c r="G746" s="358"/>
      <c r="H746" s="359"/>
      <c r="I746" s="284"/>
      <c r="J746" s="287"/>
      <c r="K746" s="355"/>
      <c r="M746" s="359"/>
      <c r="N746" s="284"/>
      <c r="O746" s="355"/>
      <c r="P746" s="360"/>
      <c r="Q746" s="359"/>
      <c r="R746" s="284"/>
      <c r="S746" s="355"/>
      <c r="U746" s="359"/>
      <c r="V746" s="284"/>
      <c r="W746" s="355"/>
      <c r="Y746" s="359"/>
      <c r="Z746" s="284"/>
      <c r="AA746" s="355"/>
      <c r="AC746" s="359"/>
      <c r="AD746" s="284"/>
      <c r="AE746" s="355"/>
      <c r="AG746" s="359"/>
      <c r="AH746" s="284"/>
      <c r="AI746" s="355"/>
      <c r="AK746" s="359"/>
      <c r="AL746" s="284"/>
      <c r="AM746" s="355"/>
      <c r="AO746" s="359"/>
      <c r="AP746" s="284"/>
      <c r="AQ746" s="355"/>
      <c r="AR746" s="360"/>
      <c r="AS746" s="359"/>
      <c r="AT746" s="284"/>
      <c r="AU746" s="355"/>
      <c r="AW746" s="359"/>
      <c r="AX746" s="284"/>
      <c r="AY746" s="355"/>
      <c r="BA746" s="359"/>
      <c r="BB746" s="284"/>
      <c r="BC746" s="355"/>
      <c r="BE746" s="359"/>
      <c r="BF746" s="284"/>
      <c r="BG746" s="355"/>
      <c r="BI746" s="359"/>
      <c r="BJ746" s="284"/>
      <c r="BK746" s="355"/>
      <c r="BM746" s="359"/>
      <c r="BN746" s="284"/>
      <c r="BO746" s="355"/>
      <c r="BQ746" s="359"/>
      <c r="BR746" s="284"/>
      <c r="BS746" s="355"/>
      <c r="BU746" s="359"/>
      <c r="BV746" s="284"/>
    </row>
    <row r="747" spans="2:74" x14ac:dyDescent="0.25">
      <c r="B747" s="284"/>
      <c r="D747" s="355"/>
      <c r="E747" s="356"/>
      <c r="F747" s="357"/>
      <c r="G747" s="358"/>
      <c r="H747" s="359"/>
      <c r="I747" s="284"/>
      <c r="J747" s="287"/>
      <c r="K747" s="355"/>
      <c r="M747" s="359"/>
      <c r="N747" s="284"/>
      <c r="O747" s="355"/>
      <c r="P747" s="360"/>
      <c r="Q747" s="359"/>
      <c r="R747" s="284"/>
      <c r="S747" s="355"/>
      <c r="U747" s="359"/>
      <c r="V747" s="284"/>
      <c r="W747" s="355"/>
      <c r="Y747" s="359"/>
      <c r="Z747" s="284"/>
      <c r="AA747" s="355"/>
      <c r="AC747" s="359"/>
      <c r="AD747" s="284"/>
      <c r="AE747" s="355"/>
      <c r="AG747" s="359"/>
      <c r="AH747" s="284"/>
      <c r="AI747" s="355"/>
      <c r="AK747" s="359"/>
      <c r="AL747" s="284"/>
      <c r="AM747" s="355"/>
      <c r="AO747" s="359"/>
      <c r="AP747" s="284"/>
      <c r="AQ747" s="355"/>
      <c r="AR747" s="360"/>
      <c r="AS747" s="359"/>
      <c r="AT747" s="284"/>
      <c r="AU747" s="355"/>
      <c r="AW747" s="359"/>
      <c r="AX747" s="284"/>
      <c r="AY747" s="355"/>
      <c r="BA747" s="359"/>
      <c r="BB747" s="284"/>
      <c r="BC747" s="355"/>
      <c r="BE747" s="359"/>
      <c r="BF747" s="284"/>
      <c r="BG747" s="355"/>
      <c r="BI747" s="359"/>
      <c r="BJ747" s="284"/>
      <c r="BK747" s="355"/>
      <c r="BM747" s="359"/>
      <c r="BN747" s="284"/>
      <c r="BO747" s="355"/>
      <c r="BQ747" s="359"/>
      <c r="BR747" s="284"/>
      <c r="BS747" s="355"/>
      <c r="BU747" s="359"/>
      <c r="BV747" s="284"/>
    </row>
    <row r="748" spans="2:74" x14ac:dyDescent="0.25">
      <c r="B748" s="284"/>
      <c r="D748" s="355"/>
      <c r="E748" s="356"/>
      <c r="F748" s="357"/>
      <c r="G748" s="358"/>
      <c r="H748" s="359"/>
      <c r="I748" s="284"/>
      <c r="J748" s="287"/>
      <c r="K748" s="355"/>
      <c r="M748" s="359"/>
      <c r="N748" s="284"/>
      <c r="O748" s="355"/>
      <c r="P748" s="360"/>
      <c r="Q748" s="359"/>
      <c r="R748" s="284"/>
      <c r="S748" s="355"/>
      <c r="U748" s="359"/>
      <c r="V748" s="284"/>
      <c r="W748" s="355"/>
      <c r="Y748" s="359"/>
      <c r="Z748" s="284"/>
      <c r="AA748" s="355"/>
      <c r="AC748" s="359"/>
      <c r="AD748" s="284"/>
      <c r="AE748" s="355"/>
      <c r="AG748" s="359"/>
      <c r="AH748" s="284"/>
      <c r="AI748" s="355"/>
      <c r="AK748" s="359"/>
      <c r="AL748" s="284"/>
      <c r="AM748" s="355"/>
      <c r="AO748" s="359"/>
      <c r="AP748" s="284"/>
      <c r="AQ748" s="355"/>
      <c r="AR748" s="360"/>
      <c r="AS748" s="359"/>
      <c r="AT748" s="284"/>
      <c r="AU748" s="355"/>
      <c r="AW748" s="359"/>
      <c r="AX748" s="284"/>
      <c r="AY748" s="355"/>
      <c r="BA748" s="359"/>
      <c r="BB748" s="284"/>
      <c r="BC748" s="355"/>
      <c r="BE748" s="359"/>
      <c r="BF748" s="284"/>
      <c r="BG748" s="355"/>
      <c r="BI748" s="359"/>
      <c r="BJ748" s="284"/>
      <c r="BK748" s="355"/>
      <c r="BM748" s="359"/>
      <c r="BN748" s="284"/>
      <c r="BO748" s="355"/>
      <c r="BQ748" s="359"/>
      <c r="BR748" s="284"/>
      <c r="BS748" s="355"/>
      <c r="BU748" s="359"/>
      <c r="BV748" s="284"/>
    </row>
    <row r="749" spans="2:74" x14ac:dyDescent="0.25">
      <c r="B749" s="284"/>
      <c r="D749" s="355"/>
      <c r="E749" s="356"/>
      <c r="F749" s="357"/>
      <c r="G749" s="358"/>
      <c r="H749" s="359"/>
      <c r="I749" s="284"/>
      <c r="J749" s="287"/>
      <c r="K749" s="355"/>
      <c r="M749" s="359"/>
      <c r="N749" s="284"/>
      <c r="O749" s="355"/>
      <c r="P749" s="360"/>
      <c r="Q749" s="359"/>
      <c r="R749" s="284"/>
      <c r="S749" s="355"/>
      <c r="U749" s="359"/>
      <c r="V749" s="284"/>
      <c r="W749" s="355"/>
      <c r="Y749" s="359"/>
      <c r="Z749" s="284"/>
      <c r="AA749" s="355"/>
      <c r="AC749" s="359"/>
      <c r="AD749" s="284"/>
      <c r="AE749" s="355"/>
      <c r="AG749" s="359"/>
      <c r="AH749" s="284"/>
      <c r="AI749" s="355"/>
      <c r="AK749" s="359"/>
      <c r="AL749" s="284"/>
      <c r="AM749" s="355"/>
      <c r="AO749" s="359"/>
      <c r="AP749" s="284"/>
      <c r="AQ749" s="355"/>
      <c r="AR749" s="360"/>
      <c r="AS749" s="359"/>
      <c r="AT749" s="284"/>
      <c r="AU749" s="355"/>
      <c r="AW749" s="359"/>
      <c r="AX749" s="284"/>
      <c r="AY749" s="355"/>
      <c r="BA749" s="359"/>
      <c r="BB749" s="284"/>
      <c r="BC749" s="355"/>
      <c r="BE749" s="359"/>
      <c r="BF749" s="284"/>
      <c r="BG749" s="355"/>
      <c r="BI749" s="359"/>
      <c r="BJ749" s="284"/>
      <c r="BK749" s="355"/>
      <c r="BM749" s="359"/>
      <c r="BN749" s="284"/>
      <c r="BO749" s="355"/>
      <c r="BQ749" s="359"/>
      <c r="BR749" s="284"/>
      <c r="BS749" s="355"/>
      <c r="BU749" s="359"/>
      <c r="BV749" s="284"/>
    </row>
    <row r="750" spans="2:74" x14ac:dyDescent="0.25">
      <c r="B750" s="284"/>
      <c r="D750" s="355"/>
      <c r="E750" s="356"/>
      <c r="F750" s="357"/>
      <c r="G750" s="358"/>
      <c r="H750" s="359"/>
      <c r="I750" s="284"/>
      <c r="J750" s="287"/>
      <c r="K750" s="355"/>
      <c r="M750" s="359"/>
      <c r="N750" s="284"/>
      <c r="O750" s="355"/>
      <c r="P750" s="360"/>
      <c r="Q750" s="359"/>
      <c r="R750" s="284"/>
      <c r="S750" s="355"/>
      <c r="U750" s="359"/>
      <c r="V750" s="284"/>
      <c r="W750" s="355"/>
      <c r="Y750" s="359"/>
      <c r="Z750" s="284"/>
      <c r="AA750" s="355"/>
      <c r="AC750" s="359"/>
      <c r="AD750" s="284"/>
      <c r="AE750" s="355"/>
      <c r="AG750" s="359"/>
      <c r="AH750" s="284"/>
      <c r="AI750" s="355"/>
      <c r="AK750" s="359"/>
      <c r="AL750" s="284"/>
      <c r="AM750" s="355"/>
      <c r="AO750" s="359"/>
      <c r="AP750" s="284"/>
      <c r="AQ750" s="355"/>
      <c r="AR750" s="360"/>
      <c r="AS750" s="359"/>
      <c r="AT750" s="284"/>
      <c r="AU750" s="355"/>
      <c r="AW750" s="359"/>
      <c r="AX750" s="284"/>
      <c r="AY750" s="355"/>
      <c r="BA750" s="359"/>
      <c r="BB750" s="284"/>
      <c r="BC750" s="355"/>
      <c r="BE750" s="359"/>
      <c r="BF750" s="284"/>
      <c r="BG750" s="355"/>
      <c r="BI750" s="359"/>
      <c r="BJ750" s="284"/>
      <c r="BK750" s="355"/>
      <c r="BM750" s="359"/>
      <c r="BN750" s="284"/>
      <c r="BO750" s="355"/>
      <c r="BQ750" s="359"/>
      <c r="BR750" s="284"/>
      <c r="BS750" s="355"/>
      <c r="BU750" s="359"/>
      <c r="BV750" s="284"/>
    </row>
    <row r="751" spans="2:74" x14ac:dyDescent="0.25">
      <c r="B751" s="284"/>
      <c r="D751" s="355"/>
      <c r="E751" s="356"/>
      <c r="F751" s="357"/>
      <c r="G751" s="358"/>
      <c r="H751" s="359"/>
      <c r="I751" s="284"/>
      <c r="J751" s="287"/>
      <c r="K751" s="355"/>
      <c r="M751" s="359"/>
      <c r="N751" s="284"/>
      <c r="O751" s="355"/>
      <c r="P751" s="360"/>
      <c r="Q751" s="359"/>
      <c r="R751" s="284"/>
      <c r="S751" s="355"/>
      <c r="U751" s="359"/>
      <c r="V751" s="284"/>
      <c r="W751" s="355"/>
      <c r="Y751" s="359"/>
      <c r="Z751" s="284"/>
      <c r="AA751" s="355"/>
      <c r="AC751" s="359"/>
      <c r="AD751" s="284"/>
      <c r="AE751" s="355"/>
      <c r="AG751" s="359"/>
      <c r="AH751" s="284"/>
      <c r="AI751" s="355"/>
      <c r="AK751" s="359"/>
      <c r="AL751" s="284"/>
      <c r="AM751" s="355"/>
      <c r="AO751" s="359"/>
      <c r="AP751" s="284"/>
      <c r="AQ751" s="355"/>
      <c r="AR751" s="360"/>
      <c r="AS751" s="359"/>
      <c r="AT751" s="284"/>
      <c r="AU751" s="355"/>
      <c r="AW751" s="359"/>
      <c r="AX751" s="284"/>
      <c r="AY751" s="355"/>
      <c r="BA751" s="359"/>
      <c r="BB751" s="284"/>
      <c r="BC751" s="355"/>
      <c r="BE751" s="359"/>
      <c r="BF751" s="284"/>
      <c r="BG751" s="355"/>
      <c r="BI751" s="359"/>
      <c r="BJ751" s="284"/>
      <c r="BK751" s="355"/>
      <c r="BM751" s="359"/>
      <c r="BN751" s="284"/>
      <c r="BO751" s="355"/>
      <c r="BQ751" s="359"/>
      <c r="BR751" s="284"/>
      <c r="BS751" s="355"/>
      <c r="BU751" s="359"/>
      <c r="BV751" s="284"/>
    </row>
    <row r="752" spans="2:74" x14ac:dyDescent="0.25">
      <c r="B752" s="284"/>
      <c r="D752" s="355"/>
      <c r="E752" s="356"/>
      <c r="F752" s="357"/>
      <c r="G752" s="358"/>
      <c r="H752" s="359"/>
      <c r="I752" s="284"/>
      <c r="J752" s="287"/>
      <c r="K752" s="355"/>
      <c r="M752" s="359"/>
      <c r="N752" s="284"/>
      <c r="O752" s="355"/>
      <c r="P752" s="360"/>
      <c r="Q752" s="359"/>
      <c r="R752" s="284"/>
      <c r="S752" s="355"/>
      <c r="U752" s="359"/>
      <c r="V752" s="284"/>
      <c r="W752" s="355"/>
      <c r="Y752" s="359"/>
      <c r="Z752" s="284"/>
      <c r="AA752" s="355"/>
      <c r="AC752" s="359"/>
      <c r="AD752" s="284"/>
      <c r="AE752" s="355"/>
      <c r="AG752" s="359"/>
      <c r="AH752" s="284"/>
      <c r="AI752" s="355"/>
      <c r="AK752" s="359"/>
      <c r="AL752" s="284"/>
      <c r="AM752" s="355"/>
      <c r="AO752" s="359"/>
      <c r="AP752" s="284"/>
      <c r="AQ752" s="355"/>
      <c r="AR752" s="360"/>
      <c r="AS752" s="359"/>
      <c r="AT752" s="284"/>
      <c r="AU752" s="355"/>
      <c r="AW752" s="359"/>
      <c r="AX752" s="284"/>
      <c r="AY752" s="355"/>
      <c r="BA752" s="359"/>
      <c r="BB752" s="284"/>
      <c r="BC752" s="355"/>
      <c r="BE752" s="359"/>
      <c r="BF752" s="284"/>
      <c r="BG752" s="355"/>
      <c r="BI752" s="359"/>
      <c r="BJ752" s="284"/>
      <c r="BK752" s="355"/>
      <c r="BM752" s="359"/>
      <c r="BN752" s="284"/>
      <c r="BO752" s="355"/>
      <c r="BQ752" s="359"/>
      <c r="BR752" s="284"/>
      <c r="BS752" s="355"/>
      <c r="BU752" s="359"/>
      <c r="BV752" s="284"/>
    </row>
    <row r="753" spans="2:74" x14ac:dyDescent="0.25">
      <c r="B753" s="284"/>
      <c r="D753" s="355"/>
      <c r="E753" s="356"/>
      <c r="F753" s="357"/>
      <c r="G753" s="358"/>
      <c r="H753" s="359"/>
      <c r="I753" s="284"/>
      <c r="J753" s="287"/>
      <c r="K753" s="355"/>
      <c r="M753" s="359"/>
      <c r="N753" s="284"/>
      <c r="O753" s="355"/>
      <c r="P753" s="360"/>
      <c r="Q753" s="359"/>
      <c r="R753" s="284"/>
      <c r="S753" s="355"/>
      <c r="U753" s="359"/>
      <c r="V753" s="284"/>
      <c r="W753" s="355"/>
      <c r="Y753" s="359"/>
      <c r="Z753" s="284"/>
      <c r="AA753" s="355"/>
      <c r="AC753" s="359"/>
      <c r="AD753" s="284"/>
      <c r="AE753" s="355"/>
      <c r="AG753" s="359"/>
      <c r="AH753" s="284"/>
      <c r="AI753" s="355"/>
      <c r="AK753" s="359"/>
      <c r="AL753" s="284"/>
      <c r="AM753" s="355"/>
      <c r="AO753" s="359"/>
      <c r="AP753" s="284"/>
      <c r="AQ753" s="355"/>
      <c r="AR753" s="360"/>
      <c r="AS753" s="359"/>
      <c r="AT753" s="284"/>
      <c r="AU753" s="355"/>
      <c r="AW753" s="359"/>
      <c r="AX753" s="284"/>
      <c r="AY753" s="355"/>
      <c r="BA753" s="359"/>
      <c r="BB753" s="284"/>
      <c r="BC753" s="355"/>
      <c r="BE753" s="359"/>
      <c r="BF753" s="284"/>
      <c r="BG753" s="355"/>
      <c r="BI753" s="359"/>
      <c r="BJ753" s="284"/>
      <c r="BK753" s="355"/>
      <c r="BM753" s="359"/>
      <c r="BN753" s="284"/>
      <c r="BO753" s="355"/>
      <c r="BQ753" s="359"/>
      <c r="BR753" s="284"/>
      <c r="BS753" s="355"/>
      <c r="BU753" s="359"/>
      <c r="BV753" s="284"/>
    </row>
    <row r="754" spans="2:74" x14ac:dyDescent="0.25">
      <c r="B754" s="284"/>
      <c r="D754" s="355"/>
      <c r="E754" s="356"/>
      <c r="F754" s="357"/>
      <c r="G754" s="358"/>
      <c r="H754" s="359"/>
      <c r="I754" s="284"/>
      <c r="J754" s="287"/>
      <c r="K754" s="355"/>
      <c r="M754" s="359"/>
      <c r="N754" s="284"/>
      <c r="O754" s="355"/>
      <c r="P754" s="360"/>
      <c r="Q754" s="359"/>
      <c r="R754" s="284"/>
      <c r="S754" s="355"/>
      <c r="U754" s="359"/>
      <c r="V754" s="284"/>
      <c r="W754" s="355"/>
      <c r="Y754" s="359"/>
      <c r="Z754" s="284"/>
      <c r="AA754" s="355"/>
      <c r="AC754" s="359"/>
      <c r="AD754" s="284"/>
      <c r="AE754" s="355"/>
      <c r="AG754" s="359"/>
      <c r="AH754" s="284"/>
      <c r="AI754" s="355"/>
      <c r="AK754" s="359"/>
      <c r="AL754" s="284"/>
      <c r="AM754" s="355"/>
      <c r="AO754" s="359"/>
      <c r="AP754" s="284"/>
      <c r="AQ754" s="355"/>
      <c r="AR754" s="360"/>
      <c r="AS754" s="359"/>
      <c r="AT754" s="284"/>
      <c r="AU754" s="355"/>
      <c r="AW754" s="359"/>
      <c r="AX754" s="284"/>
      <c r="AY754" s="355"/>
      <c r="BA754" s="359"/>
      <c r="BB754" s="284"/>
      <c r="BC754" s="355"/>
      <c r="BE754" s="359"/>
      <c r="BF754" s="284"/>
      <c r="BG754" s="355"/>
      <c r="BI754" s="359"/>
      <c r="BJ754" s="284"/>
      <c r="BK754" s="355"/>
      <c r="BM754" s="359"/>
      <c r="BN754" s="284"/>
      <c r="BO754" s="355"/>
      <c r="BQ754" s="359"/>
      <c r="BR754" s="284"/>
      <c r="BS754" s="355"/>
      <c r="BU754" s="359"/>
      <c r="BV754" s="284"/>
    </row>
    <row r="755" spans="2:74" x14ac:dyDescent="0.25">
      <c r="B755" s="284"/>
      <c r="D755" s="355"/>
      <c r="E755" s="356"/>
      <c r="F755" s="357"/>
      <c r="G755" s="358"/>
      <c r="H755" s="359"/>
      <c r="I755" s="284"/>
      <c r="J755" s="287"/>
      <c r="K755" s="355"/>
      <c r="M755" s="359"/>
      <c r="N755" s="284"/>
      <c r="O755" s="355"/>
      <c r="P755" s="360"/>
      <c r="Q755" s="359"/>
      <c r="R755" s="284"/>
      <c r="S755" s="355"/>
      <c r="U755" s="359"/>
      <c r="V755" s="284"/>
      <c r="W755" s="355"/>
      <c r="Y755" s="359"/>
      <c r="Z755" s="284"/>
      <c r="AA755" s="355"/>
      <c r="AC755" s="359"/>
      <c r="AD755" s="284"/>
      <c r="AE755" s="355"/>
      <c r="AG755" s="359"/>
      <c r="AH755" s="284"/>
      <c r="AI755" s="355"/>
      <c r="AK755" s="359"/>
      <c r="AL755" s="284"/>
      <c r="AM755" s="355"/>
      <c r="AO755" s="359"/>
      <c r="AP755" s="284"/>
      <c r="AQ755" s="355"/>
      <c r="AR755" s="360"/>
      <c r="AS755" s="359"/>
      <c r="AT755" s="284"/>
      <c r="AU755" s="355"/>
      <c r="AW755" s="359"/>
      <c r="AX755" s="284"/>
      <c r="AY755" s="355"/>
      <c r="BA755" s="359"/>
      <c r="BB755" s="284"/>
      <c r="BC755" s="355"/>
      <c r="BE755" s="359"/>
      <c r="BF755" s="284"/>
      <c r="BG755" s="355"/>
      <c r="BI755" s="359"/>
      <c r="BJ755" s="284"/>
      <c r="BK755" s="355"/>
      <c r="BM755" s="359"/>
      <c r="BN755" s="284"/>
      <c r="BO755" s="355"/>
      <c r="BQ755" s="359"/>
      <c r="BR755" s="284"/>
      <c r="BS755" s="355"/>
      <c r="BU755" s="359"/>
      <c r="BV755" s="284"/>
    </row>
    <row r="756" spans="2:74" x14ac:dyDescent="0.25">
      <c r="B756" s="284"/>
      <c r="D756" s="355"/>
      <c r="E756" s="356"/>
      <c r="F756" s="357"/>
      <c r="G756" s="358"/>
      <c r="H756" s="359"/>
      <c r="I756" s="284"/>
      <c r="J756" s="287"/>
      <c r="K756" s="355"/>
      <c r="M756" s="359"/>
      <c r="N756" s="284"/>
      <c r="O756" s="355"/>
      <c r="P756" s="360"/>
      <c r="Q756" s="359"/>
      <c r="R756" s="284"/>
      <c r="S756" s="355"/>
      <c r="U756" s="359"/>
      <c r="V756" s="284"/>
      <c r="W756" s="355"/>
      <c r="Y756" s="359"/>
      <c r="Z756" s="284"/>
      <c r="AA756" s="355"/>
      <c r="AC756" s="359"/>
      <c r="AD756" s="284"/>
      <c r="AE756" s="355"/>
      <c r="AG756" s="359"/>
      <c r="AH756" s="284"/>
      <c r="AI756" s="355"/>
      <c r="AK756" s="359"/>
      <c r="AL756" s="284"/>
      <c r="AM756" s="355"/>
      <c r="AO756" s="359"/>
      <c r="AP756" s="284"/>
      <c r="AQ756" s="355"/>
      <c r="AR756" s="360"/>
      <c r="AS756" s="359"/>
      <c r="AT756" s="284"/>
      <c r="AU756" s="355"/>
      <c r="AW756" s="359"/>
      <c r="AX756" s="284"/>
      <c r="AY756" s="355"/>
      <c r="BA756" s="359"/>
      <c r="BB756" s="284"/>
      <c r="BC756" s="355"/>
      <c r="BE756" s="359"/>
      <c r="BF756" s="284"/>
      <c r="BG756" s="355"/>
      <c r="BI756" s="359"/>
      <c r="BJ756" s="284"/>
      <c r="BK756" s="355"/>
      <c r="BM756" s="359"/>
      <c r="BN756" s="284"/>
      <c r="BO756" s="355"/>
      <c r="BQ756" s="359"/>
      <c r="BR756" s="284"/>
      <c r="BS756" s="355"/>
      <c r="BU756" s="359"/>
      <c r="BV756" s="284"/>
    </row>
    <row r="757" spans="2:74" x14ac:dyDescent="0.25">
      <c r="B757" s="284"/>
      <c r="D757" s="355"/>
      <c r="E757" s="356"/>
      <c r="F757" s="357"/>
      <c r="G757" s="358"/>
      <c r="H757" s="359"/>
      <c r="I757" s="284"/>
      <c r="J757" s="287"/>
      <c r="K757" s="355"/>
      <c r="M757" s="359"/>
      <c r="N757" s="284"/>
      <c r="O757" s="355"/>
      <c r="P757" s="360"/>
      <c r="Q757" s="359"/>
      <c r="R757" s="284"/>
      <c r="S757" s="355"/>
      <c r="U757" s="359"/>
      <c r="V757" s="284"/>
      <c r="W757" s="355"/>
      <c r="Y757" s="359"/>
      <c r="Z757" s="284"/>
      <c r="AA757" s="355"/>
      <c r="AC757" s="359"/>
      <c r="AD757" s="284"/>
      <c r="AE757" s="355"/>
      <c r="AG757" s="359"/>
      <c r="AH757" s="284"/>
      <c r="AI757" s="355"/>
      <c r="AK757" s="359"/>
      <c r="AL757" s="284"/>
      <c r="AM757" s="355"/>
      <c r="AO757" s="359"/>
      <c r="AP757" s="284"/>
      <c r="AQ757" s="355"/>
      <c r="AR757" s="360"/>
      <c r="AS757" s="359"/>
      <c r="AT757" s="284"/>
      <c r="AU757" s="355"/>
      <c r="AW757" s="359"/>
      <c r="AX757" s="284"/>
      <c r="AY757" s="355"/>
      <c r="BA757" s="359"/>
      <c r="BB757" s="284"/>
      <c r="BC757" s="355"/>
      <c r="BE757" s="359"/>
      <c r="BF757" s="284"/>
      <c r="BG757" s="355"/>
      <c r="BI757" s="359"/>
      <c r="BJ757" s="284"/>
      <c r="BK757" s="355"/>
      <c r="BM757" s="359"/>
      <c r="BN757" s="284"/>
      <c r="BO757" s="355"/>
      <c r="BQ757" s="359"/>
      <c r="BR757" s="284"/>
      <c r="BS757" s="355"/>
      <c r="BU757" s="359"/>
      <c r="BV757" s="284"/>
    </row>
    <row r="758" spans="2:74" x14ac:dyDescent="0.25">
      <c r="B758" s="284"/>
      <c r="D758" s="355"/>
      <c r="E758" s="356"/>
      <c r="F758" s="357"/>
      <c r="G758" s="358"/>
      <c r="H758" s="359"/>
      <c r="I758" s="284"/>
      <c r="J758" s="287"/>
      <c r="K758" s="355"/>
      <c r="M758" s="359"/>
      <c r="N758" s="284"/>
      <c r="O758" s="355"/>
      <c r="P758" s="360"/>
      <c r="Q758" s="359"/>
      <c r="R758" s="284"/>
      <c r="S758" s="355"/>
      <c r="U758" s="359"/>
      <c r="V758" s="284"/>
      <c r="W758" s="355"/>
      <c r="Y758" s="359"/>
      <c r="Z758" s="284"/>
      <c r="AA758" s="355"/>
      <c r="AC758" s="359"/>
      <c r="AD758" s="284"/>
      <c r="AE758" s="355"/>
      <c r="AG758" s="359"/>
      <c r="AH758" s="284"/>
      <c r="AI758" s="355"/>
      <c r="AK758" s="359"/>
      <c r="AL758" s="284"/>
      <c r="AM758" s="355"/>
      <c r="AO758" s="359"/>
      <c r="AP758" s="284"/>
      <c r="AQ758" s="355"/>
      <c r="AR758" s="360"/>
      <c r="AS758" s="359"/>
      <c r="AT758" s="284"/>
      <c r="AU758" s="355"/>
      <c r="AW758" s="359"/>
      <c r="AX758" s="284"/>
      <c r="AY758" s="355"/>
      <c r="BA758" s="359"/>
      <c r="BB758" s="284"/>
      <c r="BC758" s="355"/>
      <c r="BE758" s="359"/>
      <c r="BF758" s="284"/>
      <c r="BG758" s="355"/>
      <c r="BI758" s="359"/>
      <c r="BJ758" s="284"/>
      <c r="BK758" s="355"/>
      <c r="BM758" s="359"/>
      <c r="BN758" s="284"/>
      <c r="BO758" s="355"/>
      <c r="BQ758" s="359"/>
      <c r="BR758" s="284"/>
      <c r="BS758" s="355"/>
      <c r="BU758" s="359"/>
      <c r="BV758" s="284"/>
    </row>
    <row r="759" spans="2:74" x14ac:dyDescent="0.25">
      <c r="B759" s="284"/>
      <c r="D759" s="355"/>
      <c r="E759" s="356"/>
      <c r="F759" s="357"/>
      <c r="G759" s="358"/>
      <c r="H759" s="359"/>
      <c r="I759" s="284"/>
      <c r="J759" s="287"/>
      <c r="K759" s="355"/>
      <c r="M759" s="359"/>
      <c r="N759" s="284"/>
      <c r="O759" s="355"/>
      <c r="P759" s="360"/>
      <c r="Q759" s="359"/>
      <c r="R759" s="284"/>
      <c r="S759" s="355"/>
      <c r="U759" s="359"/>
      <c r="V759" s="284"/>
      <c r="W759" s="355"/>
      <c r="Y759" s="359"/>
      <c r="Z759" s="284"/>
      <c r="AA759" s="355"/>
      <c r="AC759" s="359"/>
      <c r="AD759" s="284"/>
      <c r="AE759" s="355"/>
      <c r="AG759" s="359"/>
      <c r="AH759" s="284"/>
      <c r="AI759" s="355"/>
      <c r="AK759" s="359"/>
      <c r="AL759" s="284"/>
      <c r="AM759" s="355"/>
      <c r="AO759" s="359"/>
      <c r="AP759" s="284"/>
      <c r="AQ759" s="355"/>
      <c r="AR759" s="360"/>
      <c r="AS759" s="359"/>
      <c r="AT759" s="284"/>
      <c r="AU759" s="355"/>
      <c r="AW759" s="359"/>
      <c r="AX759" s="284"/>
      <c r="AY759" s="355"/>
      <c r="BA759" s="359"/>
      <c r="BB759" s="284"/>
      <c r="BC759" s="355"/>
      <c r="BE759" s="359"/>
      <c r="BF759" s="284"/>
      <c r="BG759" s="355"/>
      <c r="BI759" s="359"/>
      <c r="BJ759" s="284"/>
      <c r="BK759" s="355"/>
      <c r="BM759" s="359"/>
      <c r="BN759" s="284"/>
      <c r="BO759" s="355"/>
      <c r="BQ759" s="359"/>
      <c r="BR759" s="284"/>
      <c r="BS759" s="355"/>
      <c r="BU759" s="359"/>
      <c r="BV759" s="284"/>
    </row>
    <row r="760" spans="2:74" x14ac:dyDescent="0.25">
      <c r="B760" s="284"/>
      <c r="D760" s="355"/>
      <c r="E760" s="356"/>
      <c r="F760" s="357"/>
      <c r="G760" s="358"/>
      <c r="H760" s="359"/>
      <c r="I760" s="284"/>
      <c r="J760" s="287"/>
      <c r="K760" s="355"/>
      <c r="M760" s="359"/>
      <c r="N760" s="284"/>
      <c r="O760" s="355"/>
      <c r="P760" s="360"/>
      <c r="Q760" s="359"/>
      <c r="R760" s="284"/>
      <c r="S760" s="355"/>
      <c r="U760" s="359"/>
      <c r="V760" s="284"/>
      <c r="W760" s="355"/>
      <c r="Y760" s="359"/>
      <c r="Z760" s="284"/>
      <c r="AA760" s="355"/>
      <c r="AC760" s="359"/>
      <c r="AD760" s="284"/>
      <c r="AE760" s="355"/>
      <c r="AG760" s="359"/>
      <c r="AH760" s="284"/>
      <c r="AI760" s="355"/>
      <c r="AK760" s="359"/>
      <c r="AL760" s="284"/>
      <c r="AM760" s="355"/>
      <c r="AO760" s="359"/>
      <c r="AP760" s="284"/>
      <c r="AQ760" s="355"/>
      <c r="AR760" s="360"/>
      <c r="AS760" s="359"/>
      <c r="AT760" s="284"/>
      <c r="AU760" s="355"/>
      <c r="AW760" s="359"/>
      <c r="AX760" s="284"/>
      <c r="AY760" s="355"/>
      <c r="BA760" s="359"/>
      <c r="BB760" s="284"/>
      <c r="BC760" s="355"/>
      <c r="BE760" s="359"/>
      <c r="BF760" s="284"/>
      <c r="BG760" s="355"/>
      <c r="BI760" s="359"/>
      <c r="BJ760" s="284"/>
      <c r="BK760" s="355"/>
      <c r="BM760" s="359"/>
      <c r="BN760" s="284"/>
      <c r="BO760" s="355"/>
      <c r="BQ760" s="359"/>
      <c r="BR760" s="284"/>
      <c r="BS760" s="355"/>
      <c r="BU760" s="359"/>
      <c r="BV760" s="284"/>
    </row>
    <row r="761" spans="2:74" x14ac:dyDescent="0.25">
      <c r="B761" s="284"/>
      <c r="D761" s="355"/>
      <c r="E761" s="356"/>
      <c r="F761" s="357"/>
      <c r="G761" s="358"/>
      <c r="H761" s="359"/>
      <c r="I761" s="284"/>
      <c r="J761" s="287"/>
      <c r="K761" s="355"/>
      <c r="M761" s="359"/>
      <c r="N761" s="284"/>
      <c r="O761" s="355"/>
      <c r="P761" s="360"/>
      <c r="Q761" s="359"/>
      <c r="R761" s="284"/>
      <c r="S761" s="355"/>
      <c r="U761" s="359"/>
      <c r="V761" s="284"/>
      <c r="W761" s="355"/>
      <c r="Y761" s="359"/>
      <c r="Z761" s="284"/>
      <c r="AA761" s="355"/>
      <c r="AC761" s="359"/>
      <c r="AD761" s="284"/>
      <c r="AE761" s="355"/>
      <c r="AG761" s="359"/>
      <c r="AH761" s="284"/>
      <c r="AI761" s="355"/>
      <c r="AK761" s="359"/>
      <c r="AL761" s="284"/>
      <c r="AM761" s="355"/>
      <c r="AO761" s="359"/>
      <c r="AP761" s="284"/>
      <c r="AQ761" s="355"/>
      <c r="AR761" s="360"/>
      <c r="AS761" s="359"/>
      <c r="AT761" s="284"/>
      <c r="AU761" s="355"/>
      <c r="AW761" s="359"/>
      <c r="AX761" s="284"/>
      <c r="AY761" s="355"/>
      <c r="BA761" s="359"/>
      <c r="BB761" s="284"/>
      <c r="BC761" s="355"/>
      <c r="BE761" s="359"/>
      <c r="BF761" s="284"/>
      <c r="BG761" s="355"/>
      <c r="BI761" s="359"/>
      <c r="BJ761" s="284"/>
      <c r="BK761" s="355"/>
      <c r="BM761" s="359"/>
      <c r="BN761" s="284"/>
      <c r="BO761" s="355"/>
      <c r="BQ761" s="359"/>
      <c r="BR761" s="284"/>
      <c r="BS761" s="355"/>
      <c r="BU761" s="359"/>
      <c r="BV761" s="284"/>
    </row>
    <row r="762" spans="2:74" x14ac:dyDescent="0.25">
      <c r="B762" s="284"/>
      <c r="D762" s="355"/>
      <c r="E762" s="356"/>
      <c r="F762" s="357"/>
      <c r="G762" s="358"/>
      <c r="H762" s="359"/>
      <c r="I762" s="284"/>
      <c r="J762" s="287"/>
      <c r="K762" s="355"/>
      <c r="M762" s="359"/>
      <c r="N762" s="284"/>
      <c r="O762" s="355"/>
      <c r="P762" s="360"/>
      <c r="Q762" s="359"/>
      <c r="R762" s="284"/>
      <c r="S762" s="355"/>
      <c r="U762" s="359"/>
      <c r="V762" s="284"/>
      <c r="W762" s="355"/>
      <c r="Y762" s="359"/>
      <c r="Z762" s="284"/>
      <c r="AA762" s="355"/>
      <c r="AC762" s="359"/>
      <c r="AD762" s="284"/>
      <c r="AE762" s="355"/>
      <c r="AG762" s="359"/>
      <c r="AH762" s="284"/>
      <c r="AI762" s="355"/>
      <c r="AK762" s="359"/>
      <c r="AL762" s="284"/>
      <c r="AM762" s="355"/>
      <c r="AO762" s="359"/>
      <c r="AP762" s="284"/>
      <c r="AQ762" s="355"/>
      <c r="AR762" s="360"/>
      <c r="AS762" s="359"/>
      <c r="AT762" s="284"/>
      <c r="AU762" s="355"/>
      <c r="AW762" s="359"/>
      <c r="AX762" s="284"/>
      <c r="AY762" s="355"/>
      <c r="BA762" s="359"/>
      <c r="BB762" s="284"/>
      <c r="BC762" s="355"/>
      <c r="BE762" s="359"/>
      <c r="BF762" s="284"/>
      <c r="BG762" s="355"/>
      <c r="BI762" s="359"/>
      <c r="BJ762" s="284"/>
      <c r="BK762" s="355"/>
      <c r="BM762" s="359"/>
      <c r="BN762" s="284"/>
      <c r="BO762" s="355"/>
      <c r="BQ762" s="359"/>
      <c r="BR762" s="284"/>
      <c r="BS762" s="355"/>
      <c r="BU762" s="359"/>
      <c r="BV762" s="284"/>
    </row>
    <row r="763" spans="2:74" x14ac:dyDescent="0.25">
      <c r="B763" s="284"/>
      <c r="D763" s="355"/>
      <c r="E763" s="356"/>
      <c r="F763" s="357"/>
      <c r="G763" s="358"/>
      <c r="H763" s="359"/>
      <c r="I763" s="284"/>
      <c r="J763" s="287"/>
      <c r="K763" s="355"/>
      <c r="M763" s="359"/>
      <c r="N763" s="284"/>
      <c r="O763" s="355"/>
      <c r="P763" s="360"/>
      <c r="Q763" s="359"/>
      <c r="R763" s="284"/>
      <c r="S763" s="355"/>
      <c r="U763" s="359"/>
      <c r="V763" s="284"/>
      <c r="W763" s="355"/>
      <c r="Y763" s="359"/>
      <c r="Z763" s="284"/>
      <c r="AA763" s="355"/>
      <c r="AC763" s="359"/>
      <c r="AD763" s="284"/>
      <c r="AE763" s="355"/>
      <c r="AG763" s="359"/>
      <c r="AH763" s="284"/>
      <c r="AI763" s="355"/>
      <c r="AK763" s="359"/>
      <c r="AL763" s="284"/>
      <c r="AM763" s="355"/>
      <c r="AO763" s="359"/>
      <c r="AP763" s="284"/>
      <c r="AQ763" s="355"/>
      <c r="AR763" s="360"/>
      <c r="AS763" s="359"/>
      <c r="AT763" s="284"/>
      <c r="AU763" s="355"/>
      <c r="AW763" s="359"/>
      <c r="AX763" s="284"/>
      <c r="AY763" s="355"/>
      <c r="BA763" s="359"/>
      <c r="BB763" s="284"/>
      <c r="BC763" s="355"/>
      <c r="BE763" s="359"/>
      <c r="BF763" s="284"/>
      <c r="BG763" s="355"/>
      <c r="BI763" s="359"/>
      <c r="BJ763" s="284"/>
      <c r="BK763" s="355"/>
      <c r="BM763" s="359"/>
      <c r="BN763" s="284"/>
      <c r="BO763" s="355"/>
      <c r="BQ763" s="359"/>
      <c r="BR763" s="284"/>
      <c r="BS763" s="355"/>
      <c r="BU763" s="359"/>
      <c r="BV763" s="284"/>
    </row>
    <row r="764" spans="2:74" x14ac:dyDescent="0.25">
      <c r="B764" s="284"/>
      <c r="D764" s="355"/>
      <c r="E764" s="356"/>
      <c r="F764" s="357"/>
      <c r="G764" s="358"/>
      <c r="H764" s="359"/>
      <c r="I764" s="284"/>
      <c r="J764" s="287"/>
      <c r="K764" s="355"/>
      <c r="M764" s="359"/>
      <c r="N764" s="284"/>
      <c r="O764" s="355"/>
      <c r="P764" s="360"/>
      <c r="Q764" s="359"/>
      <c r="R764" s="284"/>
      <c r="S764" s="355"/>
      <c r="U764" s="359"/>
      <c r="V764" s="284"/>
      <c r="W764" s="355"/>
      <c r="Y764" s="359"/>
      <c r="Z764" s="284"/>
      <c r="AA764" s="355"/>
      <c r="AC764" s="359"/>
      <c r="AD764" s="284"/>
      <c r="AE764" s="355"/>
      <c r="AG764" s="359"/>
      <c r="AH764" s="284"/>
      <c r="AI764" s="355"/>
      <c r="AK764" s="359"/>
      <c r="AL764" s="284"/>
      <c r="AM764" s="355"/>
      <c r="AO764" s="359"/>
      <c r="AP764" s="284"/>
      <c r="AQ764" s="355"/>
      <c r="AR764" s="360"/>
      <c r="AS764" s="359"/>
      <c r="AT764" s="284"/>
      <c r="AU764" s="355"/>
      <c r="AW764" s="359"/>
      <c r="AX764" s="284"/>
      <c r="AY764" s="355"/>
      <c r="BA764" s="359"/>
      <c r="BB764" s="284"/>
      <c r="BC764" s="355"/>
      <c r="BE764" s="359"/>
      <c r="BF764" s="284"/>
      <c r="BG764" s="355"/>
      <c r="BI764" s="359"/>
      <c r="BJ764" s="284"/>
      <c r="BK764" s="355"/>
      <c r="BM764" s="359"/>
      <c r="BN764" s="284"/>
      <c r="BO764" s="355"/>
      <c r="BQ764" s="359"/>
      <c r="BR764" s="284"/>
      <c r="BS764" s="355"/>
      <c r="BU764" s="359"/>
      <c r="BV764" s="284"/>
    </row>
    <row r="765" spans="2:74" x14ac:dyDescent="0.25">
      <c r="B765" s="284"/>
      <c r="D765" s="355"/>
      <c r="E765" s="356"/>
      <c r="F765" s="357"/>
      <c r="G765" s="358"/>
      <c r="H765" s="359"/>
      <c r="I765" s="284"/>
      <c r="J765" s="287"/>
      <c r="K765" s="355"/>
      <c r="M765" s="359"/>
      <c r="N765" s="284"/>
      <c r="O765" s="355"/>
      <c r="P765" s="360"/>
      <c r="Q765" s="359"/>
      <c r="R765" s="284"/>
      <c r="S765" s="355"/>
      <c r="U765" s="359"/>
      <c r="V765" s="284"/>
      <c r="W765" s="355"/>
      <c r="Y765" s="359"/>
      <c r="Z765" s="284"/>
      <c r="AA765" s="355"/>
      <c r="AC765" s="359"/>
      <c r="AD765" s="284"/>
      <c r="AE765" s="355"/>
      <c r="AG765" s="359"/>
      <c r="AH765" s="284"/>
      <c r="AI765" s="355"/>
      <c r="AK765" s="359"/>
      <c r="AL765" s="284"/>
      <c r="AM765" s="355"/>
      <c r="AO765" s="359"/>
      <c r="AP765" s="284"/>
      <c r="AQ765" s="355"/>
      <c r="AR765" s="360"/>
      <c r="AS765" s="359"/>
      <c r="AT765" s="284"/>
      <c r="AU765" s="355"/>
      <c r="AW765" s="359"/>
      <c r="AX765" s="284"/>
      <c r="AY765" s="355"/>
      <c r="BA765" s="359"/>
      <c r="BB765" s="284"/>
      <c r="BC765" s="355"/>
      <c r="BE765" s="359"/>
      <c r="BF765" s="284"/>
      <c r="BG765" s="355"/>
      <c r="BI765" s="359"/>
      <c r="BJ765" s="284"/>
      <c r="BK765" s="355"/>
      <c r="BM765" s="359"/>
      <c r="BN765" s="284"/>
      <c r="BO765" s="355"/>
      <c r="BQ765" s="359"/>
      <c r="BR765" s="284"/>
      <c r="BS765" s="355"/>
      <c r="BU765" s="359"/>
      <c r="BV765" s="284"/>
    </row>
    <row r="766" spans="2:74" x14ac:dyDescent="0.25">
      <c r="B766" s="284"/>
      <c r="D766" s="355"/>
      <c r="E766" s="356"/>
      <c r="F766" s="357"/>
      <c r="G766" s="358"/>
      <c r="H766" s="359"/>
      <c r="I766" s="284"/>
      <c r="J766" s="287"/>
      <c r="K766" s="355"/>
      <c r="M766" s="359"/>
      <c r="N766" s="284"/>
      <c r="O766" s="355"/>
      <c r="P766" s="360"/>
      <c r="Q766" s="359"/>
      <c r="R766" s="284"/>
      <c r="S766" s="355"/>
      <c r="U766" s="359"/>
      <c r="V766" s="284"/>
      <c r="W766" s="355"/>
      <c r="Y766" s="359"/>
      <c r="Z766" s="284"/>
      <c r="AA766" s="355"/>
      <c r="AC766" s="359"/>
      <c r="AD766" s="284"/>
      <c r="AE766" s="355"/>
      <c r="AG766" s="359"/>
      <c r="AH766" s="284"/>
      <c r="AI766" s="355"/>
      <c r="AK766" s="359"/>
      <c r="AL766" s="284"/>
      <c r="AM766" s="355"/>
      <c r="AO766" s="359"/>
      <c r="AP766" s="284"/>
      <c r="AQ766" s="355"/>
      <c r="AR766" s="360"/>
      <c r="AS766" s="359"/>
      <c r="AT766" s="284"/>
      <c r="AU766" s="355"/>
      <c r="AW766" s="359"/>
      <c r="AX766" s="284"/>
      <c r="AY766" s="355"/>
      <c r="BA766" s="359"/>
      <c r="BB766" s="284"/>
      <c r="BC766" s="355"/>
      <c r="BE766" s="359"/>
      <c r="BF766" s="284"/>
      <c r="BG766" s="355"/>
      <c r="BI766" s="359"/>
      <c r="BJ766" s="284"/>
      <c r="BK766" s="355"/>
      <c r="BM766" s="359"/>
      <c r="BN766" s="284"/>
      <c r="BO766" s="355"/>
      <c r="BQ766" s="359"/>
      <c r="BR766" s="284"/>
      <c r="BS766" s="355"/>
      <c r="BU766" s="359"/>
      <c r="BV766" s="284"/>
    </row>
    <row r="767" spans="2:74" x14ac:dyDescent="0.25">
      <c r="B767" s="284"/>
      <c r="D767" s="355"/>
      <c r="E767" s="356"/>
      <c r="F767" s="357"/>
      <c r="G767" s="358"/>
      <c r="H767" s="359"/>
      <c r="I767" s="284"/>
      <c r="J767" s="287"/>
      <c r="K767" s="355"/>
      <c r="M767" s="359"/>
      <c r="N767" s="284"/>
      <c r="O767" s="355"/>
      <c r="P767" s="360"/>
      <c r="Q767" s="359"/>
      <c r="R767" s="284"/>
      <c r="S767" s="355"/>
      <c r="U767" s="359"/>
      <c r="V767" s="284"/>
      <c r="W767" s="355"/>
      <c r="Y767" s="359"/>
      <c r="Z767" s="284"/>
      <c r="AA767" s="355"/>
      <c r="AC767" s="359"/>
      <c r="AD767" s="284"/>
      <c r="AE767" s="355"/>
      <c r="AG767" s="359"/>
      <c r="AH767" s="284"/>
      <c r="AI767" s="355"/>
      <c r="AK767" s="359"/>
      <c r="AL767" s="284"/>
      <c r="AM767" s="355"/>
      <c r="AO767" s="359"/>
      <c r="AP767" s="284"/>
      <c r="AQ767" s="355"/>
      <c r="AR767" s="360"/>
      <c r="AS767" s="359"/>
      <c r="AT767" s="284"/>
      <c r="AU767" s="355"/>
      <c r="AW767" s="359"/>
      <c r="AX767" s="284"/>
      <c r="AY767" s="355"/>
      <c r="BA767" s="359"/>
      <c r="BB767" s="284"/>
      <c r="BC767" s="355"/>
      <c r="BE767" s="359"/>
      <c r="BF767" s="284"/>
      <c r="BG767" s="355"/>
      <c r="BI767" s="359"/>
      <c r="BJ767" s="284"/>
      <c r="BK767" s="355"/>
      <c r="BM767" s="359"/>
      <c r="BN767" s="284"/>
      <c r="BO767" s="355"/>
      <c r="BQ767" s="359"/>
      <c r="BR767" s="284"/>
      <c r="BS767" s="355"/>
      <c r="BU767" s="359"/>
      <c r="BV767" s="284"/>
    </row>
    <row r="768" spans="2:74" x14ac:dyDescent="0.25">
      <c r="B768" s="284"/>
      <c r="D768" s="355"/>
      <c r="E768" s="356"/>
      <c r="F768" s="357"/>
      <c r="G768" s="358"/>
      <c r="H768" s="359"/>
      <c r="I768" s="284"/>
      <c r="J768" s="287"/>
      <c r="K768" s="355"/>
      <c r="M768" s="359"/>
      <c r="N768" s="284"/>
      <c r="O768" s="355"/>
      <c r="P768" s="360"/>
      <c r="Q768" s="359"/>
      <c r="R768" s="284"/>
      <c r="S768" s="355"/>
      <c r="U768" s="359"/>
      <c r="V768" s="284"/>
      <c r="W768" s="355"/>
      <c r="Y768" s="359"/>
      <c r="Z768" s="284"/>
      <c r="AA768" s="355"/>
      <c r="AC768" s="359"/>
      <c r="AD768" s="284"/>
      <c r="AE768" s="355"/>
      <c r="AG768" s="359"/>
      <c r="AH768" s="284"/>
      <c r="AI768" s="355"/>
      <c r="AK768" s="359"/>
      <c r="AL768" s="284"/>
      <c r="AM768" s="355"/>
      <c r="AO768" s="359"/>
      <c r="AP768" s="284"/>
      <c r="AQ768" s="355"/>
      <c r="AR768" s="360"/>
      <c r="AS768" s="359"/>
      <c r="AT768" s="284"/>
      <c r="AU768" s="355"/>
      <c r="AW768" s="359"/>
      <c r="AX768" s="284"/>
      <c r="AY768" s="355"/>
      <c r="BA768" s="359"/>
      <c r="BB768" s="284"/>
      <c r="BC768" s="355"/>
      <c r="BE768" s="359"/>
      <c r="BF768" s="284"/>
      <c r="BG768" s="355"/>
      <c r="BI768" s="359"/>
      <c r="BJ768" s="284"/>
      <c r="BK768" s="355"/>
      <c r="BM768" s="359"/>
      <c r="BN768" s="284"/>
      <c r="BO768" s="355"/>
      <c r="BQ768" s="359"/>
      <c r="BR768" s="284"/>
      <c r="BS768" s="355"/>
      <c r="BU768" s="359"/>
      <c r="BV768" s="284"/>
    </row>
    <row r="769" spans="2:74" x14ac:dyDescent="0.25">
      <c r="B769" s="284"/>
      <c r="D769" s="355"/>
      <c r="E769" s="356"/>
      <c r="F769" s="357"/>
      <c r="G769" s="358"/>
      <c r="H769" s="359"/>
      <c r="I769" s="284"/>
      <c r="J769" s="287"/>
      <c r="K769" s="355"/>
      <c r="M769" s="359"/>
      <c r="N769" s="284"/>
      <c r="O769" s="355"/>
      <c r="P769" s="360"/>
      <c r="Q769" s="359"/>
      <c r="R769" s="284"/>
      <c r="S769" s="355"/>
      <c r="U769" s="359"/>
      <c r="V769" s="284"/>
      <c r="W769" s="355"/>
      <c r="Y769" s="359"/>
      <c r="Z769" s="284"/>
      <c r="AA769" s="355"/>
      <c r="AC769" s="359"/>
      <c r="AD769" s="284"/>
      <c r="AE769" s="355"/>
      <c r="AG769" s="359"/>
      <c r="AH769" s="284"/>
      <c r="AI769" s="355"/>
      <c r="AK769" s="359"/>
      <c r="AL769" s="284"/>
      <c r="AM769" s="355"/>
      <c r="AO769" s="359"/>
      <c r="AP769" s="284"/>
      <c r="AQ769" s="355"/>
      <c r="AR769" s="360"/>
      <c r="AS769" s="359"/>
      <c r="AT769" s="284"/>
      <c r="AU769" s="355"/>
      <c r="AW769" s="359"/>
      <c r="AX769" s="284"/>
      <c r="AY769" s="355"/>
      <c r="BA769" s="359"/>
      <c r="BB769" s="284"/>
      <c r="BC769" s="355"/>
      <c r="BE769" s="359"/>
      <c r="BF769" s="284"/>
      <c r="BG769" s="355"/>
      <c r="BI769" s="359"/>
      <c r="BJ769" s="284"/>
      <c r="BK769" s="355"/>
      <c r="BM769" s="359"/>
      <c r="BN769" s="284"/>
      <c r="BO769" s="355"/>
      <c r="BQ769" s="359"/>
      <c r="BR769" s="284"/>
      <c r="BS769" s="355"/>
      <c r="BU769" s="359"/>
      <c r="BV769" s="284"/>
    </row>
    <row r="770" spans="2:74" x14ac:dyDescent="0.25">
      <c r="B770" s="284"/>
      <c r="D770" s="355"/>
      <c r="E770" s="356"/>
      <c r="F770" s="357"/>
      <c r="G770" s="358"/>
      <c r="H770" s="359"/>
      <c r="I770" s="284"/>
      <c r="J770" s="287"/>
      <c r="K770" s="355"/>
      <c r="M770" s="359"/>
      <c r="N770" s="284"/>
      <c r="O770" s="355"/>
      <c r="P770" s="360"/>
      <c r="Q770" s="359"/>
      <c r="R770" s="284"/>
      <c r="S770" s="355"/>
      <c r="U770" s="359"/>
      <c r="V770" s="284"/>
      <c r="W770" s="355"/>
      <c r="Y770" s="359"/>
      <c r="Z770" s="284"/>
      <c r="AA770" s="355"/>
      <c r="AC770" s="359"/>
      <c r="AD770" s="284"/>
      <c r="AE770" s="355"/>
      <c r="AG770" s="359"/>
      <c r="AH770" s="284"/>
      <c r="AI770" s="355"/>
      <c r="AK770" s="359"/>
      <c r="AL770" s="284"/>
      <c r="AM770" s="355"/>
      <c r="AO770" s="359"/>
      <c r="AP770" s="284"/>
      <c r="AQ770" s="355"/>
      <c r="AR770" s="360"/>
      <c r="AS770" s="359"/>
      <c r="AT770" s="284"/>
      <c r="AU770" s="355"/>
      <c r="AW770" s="359"/>
      <c r="AX770" s="284"/>
      <c r="AY770" s="355"/>
      <c r="BA770" s="359"/>
      <c r="BB770" s="284"/>
      <c r="BC770" s="355"/>
      <c r="BE770" s="359"/>
      <c r="BF770" s="284"/>
      <c r="BG770" s="355"/>
      <c r="BI770" s="359"/>
      <c r="BJ770" s="284"/>
      <c r="BK770" s="355"/>
      <c r="BM770" s="359"/>
      <c r="BN770" s="284"/>
      <c r="BO770" s="355"/>
      <c r="BQ770" s="359"/>
      <c r="BR770" s="284"/>
      <c r="BS770" s="355"/>
      <c r="BU770" s="359"/>
      <c r="BV770" s="284"/>
    </row>
    <row r="771" spans="2:74" x14ac:dyDescent="0.25">
      <c r="B771" s="284"/>
      <c r="D771" s="355"/>
      <c r="E771" s="356"/>
      <c r="F771" s="357"/>
      <c r="G771" s="358"/>
      <c r="H771" s="359"/>
      <c r="I771" s="284"/>
      <c r="J771" s="287"/>
      <c r="K771" s="355"/>
      <c r="M771" s="359"/>
      <c r="N771" s="284"/>
      <c r="O771" s="355"/>
      <c r="P771" s="360"/>
      <c r="Q771" s="359"/>
      <c r="R771" s="284"/>
      <c r="S771" s="355"/>
      <c r="U771" s="359"/>
      <c r="V771" s="284"/>
      <c r="W771" s="355"/>
      <c r="Y771" s="359"/>
      <c r="Z771" s="284"/>
      <c r="AA771" s="355"/>
      <c r="AC771" s="359"/>
      <c r="AD771" s="284"/>
      <c r="AE771" s="355"/>
      <c r="AG771" s="359"/>
      <c r="AH771" s="284"/>
      <c r="AI771" s="355"/>
      <c r="AK771" s="359"/>
      <c r="AL771" s="284"/>
      <c r="AM771" s="355"/>
      <c r="AO771" s="359"/>
      <c r="AP771" s="284"/>
      <c r="AQ771" s="355"/>
      <c r="AR771" s="360"/>
      <c r="AS771" s="359"/>
      <c r="AT771" s="284"/>
      <c r="AU771" s="355"/>
      <c r="AW771" s="359"/>
      <c r="AX771" s="284"/>
      <c r="AY771" s="355"/>
      <c r="BA771" s="359"/>
      <c r="BB771" s="284"/>
      <c r="BC771" s="355"/>
      <c r="BE771" s="359"/>
      <c r="BF771" s="284"/>
      <c r="BG771" s="355"/>
      <c r="BI771" s="359"/>
      <c r="BJ771" s="284"/>
      <c r="BK771" s="355"/>
      <c r="BM771" s="359"/>
      <c r="BN771" s="284"/>
      <c r="BO771" s="355"/>
      <c r="BQ771" s="359"/>
      <c r="BR771" s="284"/>
      <c r="BS771" s="355"/>
      <c r="BU771" s="359"/>
      <c r="BV771" s="284"/>
    </row>
    <row r="772" spans="2:74" x14ac:dyDescent="0.25">
      <c r="B772" s="284"/>
      <c r="D772" s="355"/>
      <c r="E772" s="356"/>
      <c r="F772" s="357"/>
      <c r="G772" s="358"/>
      <c r="H772" s="359"/>
      <c r="I772" s="284"/>
      <c r="J772" s="287"/>
      <c r="K772" s="355"/>
      <c r="M772" s="359"/>
      <c r="N772" s="284"/>
      <c r="O772" s="355"/>
      <c r="P772" s="360"/>
      <c r="Q772" s="359"/>
      <c r="R772" s="284"/>
      <c r="S772" s="355"/>
      <c r="U772" s="359"/>
      <c r="V772" s="284"/>
      <c r="W772" s="355"/>
      <c r="Y772" s="359"/>
      <c r="Z772" s="284"/>
      <c r="AA772" s="355"/>
      <c r="AC772" s="359"/>
      <c r="AD772" s="284"/>
      <c r="AE772" s="355"/>
      <c r="AG772" s="359"/>
      <c r="AH772" s="284"/>
      <c r="AI772" s="355"/>
      <c r="AK772" s="359"/>
      <c r="AL772" s="284"/>
      <c r="AM772" s="355"/>
      <c r="AO772" s="359"/>
      <c r="AP772" s="284"/>
      <c r="AQ772" s="355"/>
      <c r="AR772" s="360"/>
      <c r="AS772" s="359"/>
      <c r="AT772" s="284"/>
      <c r="AU772" s="355"/>
      <c r="AW772" s="359"/>
      <c r="AX772" s="284"/>
      <c r="AY772" s="355"/>
      <c r="BA772" s="359"/>
      <c r="BB772" s="284"/>
      <c r="BC772" s="355"/>
      <c r="BE772" s="359"/>
      <c r="BF772" s="284"/>
      <c r="BG772" s="355"/>
      <c r="BI772" s="359"/>
      <c r="BJ772" s="284"/>
      <c r="BK772" s="355"/>
      <c r="BM772" s="359"/>
      <c r="BN772" s="284"/>
      <c r="BO772" s="355"/>
      <c r="BQ772" s="359"/>
      <c r="BR772" s="284"/>
      <c r="BS772" s="355"/>
      <c r="BU772" s="359"/>
      <c r="BV772" s="284"/>
    </row>
    <row r="773" spans="2:74" x14ac:dyDescent="0.25">
      <c r="B773" s="284"/>
      <c r="D773" s="355"/>
      <c r="E773" s="356"/>
      <c r="F773" s="357"/>
      <c r="G773" s="358"/>
      <c r="H773" s="359"/>
      <c r="I773" s="284"/>
      <c r="J773" s="287"/>
      <c r="K773" s="355"/>
      <c r="M773" s="359"/>
      <c r="N773" s="284"/>
      <c r="O773" s="355"/>
      <c r="P773" s="360"/>
      <c r="Q773" s="359"/>
      <c r="R773" s="284"/>
      <c r="S773" s="355"/>
      <c r="U773" s="359"/>
      <c r="V773" s="284"/>
      <c r="W773" s="355"/>
      <c r="Y773" s="359"/>
      <c r="Z773" s="284"/>
      <c r="AA773" s="355"/>
      <c r="AC773" s="359"/>
      <c r="AD773" s="284"/>
      <c r="AE773" s="355"/>
      <c r="AG773" s="359"/>
      <c r="AH773" s="284"/>
      <c r="AI773" s="355"/>
      <c r="AK773" s="359"/>
      <c r="AL773" s="284"/>
      <c r="AM773" s="355"/>
      <c r="AO773" s="359"/>
      <c r="AP773" s="284"/>
      <c r="AQ773" s="355"/>
      <c r="AR773" s="360"/>
      <c r="AS773" s="359"/>
      <c r="AT773" s="284"/>
      <c r="AU773" s="355"/>
      <c r="AW773" s="359"/>
      <c r="AX773" s="284"/>
      <c r="AY773" s="355"/>
      <c r="BA773" s="359"/>
      <c r="BB773" s="284"/>
      <c r="BC773" s="355"/>
      <c r="BE773" s="359"/>
      <c r="BF773" s="284"/>
      <c r="BG773" s="355"/>
      <c r="BI773" s="359"/>
      <c r="BJ773" s="284"/>
      <c r="BK773" s="355"/>
      <c r="BM773" s="359"/>
      <c r="BN773" s="284"/>
      <c r="BO773" s="355"/>
      <c r="BQ773" s="359"/>
      <c r="BR773" s="284"/>
      <c r="BS773" s="355"/>
      <c r="BU773" s="359"/>
      <c r="BV773" s="284"/>
    </row>
    <row r="774" spans="2:74" x14ac:dyDescent="0.25">
      <c r="B774" s="284"/>
      <c r="D774" s="355"/>
      <c r="E774" s="356"/>
      <c r="F774" s="357"/>
      <c r="G774" s="358"/>
      <c r="H774" s="359"/>
      <c r="I774" s="284"/>
      <c r="J774" s="287"/>
      <c r="K774" s="355"/>
      <c r="M774" s="359"/>
      <c r="N774" s="284"/>
      <c r="O774" s="355"/>
      <c r="P774" s="360"/>
      <c r="Q774" s="359"/>
      <c r="R774" s="284"/>
      <c r="S774" s="355"/>
      <c r="U774" s="359"/>
      <c r="V774" s="284"/>
      <c r="W774" s="355"/>
      <c r="Y774" s="359"/>
      <c r="Z774" s="284"/>
      <c r="AA774" s="355"/>
      <c r="AC774" s="359"/>
      <c r="AD774" s="284"/>
      <c r="AE774" s="355"/>
      <c r="AG774" s="359"/>
      <c r="AH774" s="284"/>
      <c r="AI774" s="355"/>
      <c r="AK774" s="359"/>
      <c r="AL774" s="284"/>
      <c r="AM774" s="355"/>
      <c r="AO774" s="359"/>
      <c r="AP774" s="284"/>
      <c r="AQ774" s="355"/>
      <c r="AR774" s="360"/>
      <c r="AS774" s="359"/>
      <c r="AT774" s="284"/>
      <c r="AU774" s="355"/>
      <c r="AW774" s="359"/>
      <c r="AX774" s="284"/>
      <c r="AY774" s="355"/>
      <c r="BA774" s="359"/>
      <c r="BB774" s="284"/>
      <c r="BC774" s="355"/>
      <c r="BE774" s="359"/>
      <c r="BF774" s="284"/>
      <c r="BG774" s="355"/>
      <c r="BI774" s="359"/>
      <c r="BJ774" s="284"/>
      <c r="BK774" s="355"/>
      <c r="BM774" s="359"/>
      <c r="BN774" s="284"/>
      <c r="BO774" s="355"/>
      <c r="BQ774" s="359"/>
      <c r="BR774" s="284"/>
      <c r="BS774" s="355"/>
      <c r="BU774" s="359"/>
      <c r="BV774" s="284"/>
    </row>
    <row r="775" spans="2:74" x14ac:dyDescent="0.25">
      <c r="B775" s="284"/>
      <c r="D775" s="355"/>
      <c r="E775" s="356"/>
      <c r="F775" s="357"/>
      <c r="G775" s="358"/>
      <c r="H775" s="359"/>
      <c r="I775" s="284"/>
      <c r="J775" s="287"/>
      <c r="K775" s="355"/>
      <c r="M775" s="359"/>
      <c r="N775" s="284"/>
      <c r="O775" s="355"/>
      <c r="P775" s="360"/>
      <c r="Q775" s="359"/>
      <c r="R775" s="284"/>
      <c r="S775" s="355"/>
      <c r="U775" s="359"/>
      <c r="V775" s="284"/>
      <c r="W775" s="355"/>
      <c r="Y775" s="359"/>
      <c r="Z775" s="284"/>
      <c r="AA775" s="355"/>
      <c r="AC775" s="359"/>
      <c r="AD775" s="284"/>
      <c r="AE775" s="355"/>
      <c r="AG775" s="359"/>
      <c r="AH775" s="284"/>
      <c r="AI775" s="355"/>
      <c r="AK775" s="359"/>
      <c r="AL775" s="284"/>
      <c r="AM775" s="355"/>
      <c r="AO775" s="359"/>
      <c r="AP775" s="284"/>
      <c r="AQ775" s="355"/>
      <c r="AR775" s="360"/>
      <c r="AS775" s="359"/>
      <c r="AT775" s="284"/>
      <c r="AU775" s="355"/>
      <c r="AW775" s="359"/>
      <c r="AX775" s="284"/>
      <c r="AY775" s="355"/>
      <c r="BA775" s="359"/>
      <c r="BB775" s="284"/>
      <c r="BC775" s="355"/>
      <c r="BE775" s="359"/>
      <c r="BF775" s="284"/>
      <c r="BG775" s="355"/>
      <c r="BI775" s="359"/>
      <c r="BJ775" s="284"/>
      <c r="BK775" s="355"/>
      <c r="BM775" s="359"/>
      <c r="BN775" s="284"/>
      <c r="BO775" s="355"/>
      <c r="BQ775" s="359"/>
      <c r="BR775" s="284"/>
      <c r="BS775" s="355"/>
      <c r="BU775" s="359"/>
      <c r="BV775" s="284"/>
    </row>
    <row r="776" spans="2:74" x14ac:dyDescent="0.25">
      <c r="B776" s="284"/>
      <c r="D776" s="355"/>
      <c r="E776" s="356"/>
      <c r="F776" s="357"/>
      <c r="G776" s="358"/>
      <c r="H776" s="359"/>
      <c r="I776" s="284"/>
      <c r="J776" s="287"/>
      <c r="K776" s="355"/>
      <c r="M776" s="359"/>
      <c r="N776" s="284"/>
      <c r="O776" s="355"/>
      <c r="P776" s="360"/>
      <c r="Q776" s="359"/>
      <c r="R776" s="284"/>
      <c r="S776" s="355"/>
      <c r="U776" s="359"/>
      <c r="V776" s="284"/>
      <c r="W776" s="355"/>
      <c r="Y776" s="359"/>
      <c r="Z776" s="284"/>
      <c r="AA776" s="355"/>
      <c r="AC776" s="359"/>
      <c r="AD776" s="284"/>
      <c r="AE776" s="355"/>
      <c r="AG776" s="359"/>
      <c r="AH776" s="284"/>
      <c r="AI776" s="355"/>
      <c r="AK776" s="359"/>
      <c r="AL776" s="284"/>
      <c r="AM776" s="355"/>
      <c r="AO776" s="359"/>
      <c r="AP776" s="284"/>
      <c r="AQ776" s="355"/>
      <c r="AR776" s="360"/>
      <c r="AS776" s="359"/>
      <c r="AT776" s="284"/>
      <c r="AU776" s="355"/>
      <c r="AW776" s="359"/>
      <c r="AX776" s="284"/>
      <c r="AY776" s="355"/>
      <c r="BA776" s="359"/>
      <c r="BB776" s="284"/>
      <c r="BC776" s="355"/>
      <c r="BE776" s="359"/>
      <c r="BF776" s="284"/>
      <c r="BG776" s="355"/>
      <c r="BI776" s="359"/>
      <c r="BJ776" s="284"/>
      <c r="BK776" s="355"/>
      <c r="BM776" s="359"/>
      <c r="BN776" s="284"/>
      <c r="BO776" s="355"/>
      <c r="BQ776" s="359"/>
      <c r="BR776" s="284"/>
      <c r="BS776" s="355"/>
      <c r="BU776" s="359"/>
      <c r="BV776" s="284"/>
    </row>
    <row r="777" spans="2:74" x14ac:dyDescent="0.25">
      <c r="B777" s="284"/>
      <c r="D777" s="355"/>
      <c r="E777" s="356"/>
      <c r="F777" s="357"/>
      <c r="G777" s="358"/>
      <c r="H777" s="359"/>
      <c r="I777" s="284"/>
      <c r="J777" s="287"/>
      <c r="K777" s="355"/>
      <c r="M777" s="359"/>
      <c r="N777" s="284"/>
      <c r="O777" s="355"/>
      <c r="P777" s="360"/>
      <c r="Q777" s="359"/>
      <c r="R777" s="284"/>
      <c r="S777" s="355"/>
      <c r="U777" s="359"/>
      <c r="V777" s="284"/>
      <c r="W777" s="355"/>
      <c r="Y777" s="359"/>
      <c r="Z777" s="284"/>
      <c r="AA777" s="355"/>
      <c r="AC777" s="359"/>
      <c r="AD777" s="284"/>
      <c r="AE777" s="355"/>
      <c r="AG777" s="359"/>
      <c r="AH777" s="284"/>
      <c r="AI777" s="355"/>
      <c r="AK777" s="359"/>
      <c r="AL777" s="284"/>
      <c r="AM777" s="355"/>
      <c r="AO777" s="359"/>
      <c r="AP777" s="284"/>
      <c r="AQ777" s="355"/>
      <c r="AR777" s="360"/>
      <c r="AS777" s="359"/>
      <c r="AT777" s="284"/>
      <c r="AU777" s="355"/>
      <c r="AW777" s="359"/>
      <c r="AX777" s="284"/>
      <c r="AY777" s="355"/>
      <c r="BA777" s="359"/>
      <c r="BB777" s="284"/>
      <c r="BC777" s="355"/>
      <c r="BE777" s="359"/>
      <c r="BF777" s="284"/>
      <c r="BG777" s="355"/>
      <c r="BI777" s="359"/>
      <c r="BJ777" s="284"/>
      <c r="BK777" s="355"/>
      <c r="BM777" s="359"/>
      <c r="BN777" s="284"/>
      <c r="BO777" s="355"/>
      <c r="BQ777" s="359"/>
      <c r="BR777" s="284"/>
      <c r="BS777" s="355"/>
      <c r="BU777" s="359"/>
      <c r="BV777" s="284"/>
    </row>
    <row r="778" spans="2:74" x14ac:dyDescent="0.25">
      <c r="B778" s="284"/>
      <c r="D778" s="355"/>
      <c r="E778" s="356"/>
      <c r="F778" s="357"/>
      <c r="G778" s="358"/>
      <c r="H778" s="359"/>
      <c r="I778" s="284"/>
      <c r="J778" s="287"/>
      <c r="K778" s="355"/>
      <c r="M778" s="359"/>
      <c r="N778" s="284"/>
      <c r="O778" s="355"/>
      <c r="P778" s="360"/>
      <c r="Q778" s="359"/>
      <c r="R778" s="284"/>
      <c r="S778" s="355"/>
      <c r="U778" s="359"/>
      <c r="V778" s="284"/>
      <c r="W778" s="355"/>
      <c r="Y778" s="359"/>
      <c r="Z778" s="284"/>
      <c r="AA778" s="355"/>
      <c r="AC778" s="359"/>
      <c r="AD778" s="284"/>
      <c r="AE778" s="355"/>
      <c r="AG778" s="359"/>
      <c r="AH778" s="284"/>
      <c r="AI778" s="355"/>
      <c r="AK778" s="359"/>
      <c r="AL778" s="284"/>
      <c r="AM778" s="355"/>
      <c r="AO778" s="359"/>
      <c r="AP778" s="284"/>
      <c r="AQ778" s="355"/>
      <c r="AR778" s="360"/>
      <c r="AS778" s="359"/>
      <c r="AT778" s="284"/>
      <c r="AU778" s="355"/>
      <c r="AW778" s="359"/>
      <c r="AX778" s="284"/>
      <c r="AY778" s="355"/>
      <c r="BA778" s="359"/>
      <c r="BB778" s="284"/>
      <c r="BC778" s="355"/>
      <c r="BE778" s="359"/>
      <c r="BF778" s="284"/>
      <c r="BG778" s="355"/>
      <c r="BI778" s="359"/>
      <c r="BJ778" s="284"/>
      <c r="BK778" s="355"/>
      <c r="BM778" s="359"/>
      <c r="BN778" s="284"/>
      <c r="BO778" s="355"/>
      <c r="BQ778" s="359"/>
      <c r="BR778" s="284"/>
      <c r="BS778" s="355"/>
      <c r="BU778" s="359"/>
      <c r="BV778" s="284"/>
    </row>
    <row r="779" spans="2:74" x14ac:dyDescent="0.25">
      <c r="B779" s="284"/>
      <c r="D779" s="355"/>
      <c r="E779" s="356"/>
      <c r="F779" s="357"/>
      <c r="G779" s="358"/>
      <c r="H779" s="359"/>
      <c r="I779" s="284"/>
      <c r="J779" s="287"/>
      <c r="K779" s="355"/>
      <c r="M779" s="359"/>
      <c r="N779" s="284"/>
      <c r="O779" s="355"/>
      <c r="P779" s="360"/>
      <c r="Q779" s="359"/>
      <c r="R779" s="284"/>
      <c r="S779" s="355"/>
      <c r="U779" s="359"/>
      <c r="V779" s="284"/>
      <c r="W779" s="355"/>
      <c r="Y779" s="359"/>
      <c r="Z779" s="284"/>
      <c r="AA779" s="355"/>
      <c r="AC779" s="359"/>
      <c r="AD779" s="284"/>
      <c r="AE779" s="355"/>
      <c r="AG779" s="359"/>
      <c r="AH779" s="284"/>
      <c r="AI779" s="355"/>
      <c r="AK779" s="359"/>
      <c r="AL779" s="284"/>
      <c r="AM779" s="355"/>
      <c r="AO779" s="359"/>
      <c r="AP779" s="284"/>
      <c r="AQ779" s="355"/>
      <c r="AR779" s="360"/>
      <c r="AS779" s="359"/>
      <c r="AT779" s="284"/>
      <c r="AU779" s="355"/>
      <c r="AW779" s="359"/>
      <c r="AX779" s="284"/>
      <c r="AY779" s="355"/>
      <c r="BA779" s="359"/>
      <c r="BB779" s="284"/>
      <c r="BC779" s="355"/>
      <c r="BE779" s="359"/>
      <c r="BF779" s="284"/>
      <c r="BG779" s="355"/>
      <c r="BI779" s="359"/>
      <c r="BJ779" s="284"/>
      <c r="BK779" s="355"/>
      <c r="BM779" s="359"/>
      <c r="BN779" s="284"/>
      <c r="BO779" s="355"/>
      <c r="BQ779" s="359"/>
      <c r="BR779" s="284"/>
      <c r="BS779" s="355"/>
      <c r="BU779" s="359"/>
      <c r="BV779" s="284"/>
    </row>
    <row r="780" spans="2:74" x14ac:dyDescent="0.25">
      <c r="B780" s="284"/>
      <c r="D780" s="355"/>
      <c r="E780" s="356"/>
      <c r="F780" s="357"/>
      <c r="G780" s="358"/>
      <c r="H780" s="359"/>
      <c r="I780" s="284"/>
      <c r="J780" s="287"/>
      <c r="K780" s="355"/>
      <c r="M780" s="359"/>
      <c r="N780" s="284"/>
      <c r="O780" s="355"/>
      <c r="P780" s="360"/>
      <c r="Q780" s="359"/>
      <c r="R780" s="284"/>
      <c r="S780" s="355"/>
      <c r="U780" s="359"/>
      <c r="V780" s="284"/>
      <c r="W780" s="355"/>
      <c r="Y780" s="359"/>
      <c r="Z780" s="284"/>
      <c r="AA780" s="355"/>
      <c r="AC780" s="359"/>
      <c r="AD780" s="284"/>
      <c r="AE780" s="355"/>
      <c r="AG780" s="359"/>
      <c r="AH780" s="284"/>
      <c r="AI780" s="355"/>
      <c r="AK780" s="359"/>
      <c r="AL780" s="284"/>
      <c r="AM780" s="355"/>
      <c r="AO780" s="359"/>
      <c r="AP780" s="284"/>
      <c r="AQ780" s="355"/>
      <c r="AR780" s="360"/>
      <c r="AS780" s="359"/>
      <c r="AT780" s="284"/>
      <c r="AU780" s="355"/>
      <c r="AW780" s="359"/>
      <c r="AX780" s="284"/>
      <c r="AY780" s="355"/>
      <c r="BA780" s="359"/>
      <c r="BB780" s="284"/>
      <c r="BC780" s="355"/>
      <c r="BE780" s="359"/>
      <c r="BF780" s="284"/>
      <c r="BG780" s="355"/>
      <c r="BI780" s="359"/>
      <c r="BJ780" s="284"/>
      <c r="BK780" s="355"/>
      <c r="BM780" s="359"/>
      <c r="BN780" s="284"/>
      <c r="BO780" s="355"/>
      <c r="BQ780" s="359"/>
      <c r="BR780" s="284"/>
      <c r="BS780" s="355"/>
      <c r="BU780" s="359"/>
      <c r="BV780" s="284"/>
    </row>
    <row r="781" spans="2:74" x14ac:dyDescent="0.25">
      <c r="B781" s="284"/>
      <c r="D781" s="355"/>
      <c r="E781" s="356"/>
      <c r="F781" s="357"/>
      <c r="G781" s="358"/>
      <c r="H781" s="359"/>
      <c r="I781" s="284"/>
      <c r="J781" s="287"/>
      <c r="K781" s="355"/>
      <c r="M781" s="359"/>
      <c r="N781" s="284"/>
      <c r="O781" s="355"/>
      <c r="P781" s="360"/>
      <c r="Q781" s="359"/>
      <c r="R781" s="284"/>
      <c r="S781" s="355"/>
      <c r="U781" s="359"/>
      <c r="V781" s="284"/>
      <c r="W781" s="355"/>
      <c r="Y781" s="359"/>
      <c r="Z781" s="284"/>
      <c r="AA781" s="355"/>
      <c r="AC781" s="359"/>
      <c r="AD781" s="284"/>
      <c r="AE781" s="355"/>
      <c r="AG781" s="359"/>
      <c r="AH781" s="284"/>
      <c r="AI781" s="355"/>
      <c r="AK781" s="359"/>
      <c r="AL781" s="284"/>
      <c r="AM781" s="355"/>
      <c r="AO781" s="359"/>
      <c r="AP781" s="284"/>
      <c r="AQ781" s="355"/>
      <c r="AR781" s="360"/>
      <c r="AS781" s="359"/>
      <c r="AT781" s="284"/>
      <c r="AU781" s="355"/>
      <c r="AW781" s="359"/>
      <c r="AX781" s="284"/>
      <c r="AY781" s="355"/>
      <c r="BA781" s="359"/>
      <c r="BB781" s="284"/>
      <c r="BC781" s="355"/>
      <c r="BE781" s="359"/>
      <c r="BF781" s="284"/>
      <c r="BG781" s="355"/>
      <c r="BI781" s="359"/>
      <c r="BJ781" s="284"/>
      <c r="BK781" s="355"/>
      <c r="BM781" s="359"/>
      <c r="BN781" s="284"/>
      <c r="BO781" s="355"/>
      <c r="BQ781" s="359"/>
      <c r="BR781" s="284"/>
      <c r="BS781" s="355"/>
      <c r="BU781" s="359"/>
      <c r="BV781" s="284"/>
    </row>
    <row r="782" spans="2:74" x14ac:dyDescent="0.25">
      <c r="B782" s="284"/>
      <c r="D782" s="355"/>
      <c r="E782" s="356"/>
      <c r="F782" s="357"/>
      <c r="G782" s="358"/>
      <c r="H782" s="359"/>
      <c r="I782" s="284"/>
      <c r="J782" s="287"/>
      <c r="K782" s="355"/>
      <c r="M782" s="359"/>
      <c r="N782" s="284"/>
      <c r="O782" s="355"/>
      <c r="P782" s="360"/>
      <c r="Q782" s="359"/>
      <c r="R782" s="284"/>
      <c r="S782" s="355"/>
      <c r="U782" s="359"/>
      <c r="V782" s="284"/>
      <c r="W782" s="355"/>
      <c r="Y782" s="359"/>
      <c r="Z782" s="284"/>
      <c r="AA782" s="355"/>
      <c r="AC782" s="359"/>
      <c r="AD782" s="284"/>
      <c r="AE782" s="355"/>
      <c r="AG782" s="359"/>
      <c r="AH782" s="284"/>
      <c r="AI782" s="355"/>
      <c r="AK782" s="359"/>
      <c r="AL782" s="284"/>
      <c r="AM782" s="355"/>
      <c r="AO782" s="359"/>
      <c r="AP782" s="284"/>
      <c r="AQ782" s="355"/>
      <c r="AR782" s="360"/>
      <c r="AS782" s="359"/>
      <c r="AT782" s="284"/>
      <c r="AU782" s="355"/>
      <c r="AW782" s="359"/>
      <c r="AX782" s="284"/>
      <c r="AY782" s="355"/>
      <c r="BA782" s="359"/>
      <c r="BB782" s="284"/>
      <c r="BC782" s="355"/>
      <c r="BE782" s="359"/>
      <c r="BF782" s="284"/>
      <c r="BG782" s="355"/>
      <c r="BI782" s="359"/>
      <c r="BJ782" s="284"/>
      <c r="BK782" s="355"/>
      <c r="BM782" s="359"/>
      <c r="BN782" s="284"/>
      <c r="BO782" s="355"/>
      <c r="BQ782" s="359"/>
      <c r="BR782" s="284"/>
      <c r="BS782" s="355"/>
      <c r="BU782" s="359"/>
      <c r="BV782" s="284"/>
    </row>
    <row r="783" spans="2:74" x14ac:dyDescent="0.25">
      <c r="B783" s="284"/>
      <c r="D783" s="355"/>
      <c r="E783" s="356"/>
      <c r="F783" s="357"/>
      <c r="G783" s="358"/>
      <c r="H783" s="359"/>
      <c r="I783" s="284"/>
      <c r="J783" s="287"/>
      <c r="K783" s="355"/>
      <c r="M783" s="359"/>
      <c r="N783" s="284"/>
      <c r="O783" s="355"/>
      <c r="P783" s="360"/>
      <c r="Q783" s="359"/>
      <c r="R783" s="284"/>
      <c r="S783" s="355"/>
      <c r="U783" s="359"/>
      <c r="V783" s="284"/>
      <c r="W783" s="355"/>
      <c r="Y783" s="359"/>
      <c r="Z783" s="284"/>
      <c r="AA783" s="355"/>
      <c r="AC783" s="359"/>
      <c r="AD783" s="284"/>
      <c r="AE783" s="355"/>
      <c r="AG783" s="359"/>
      <c r="AH783" s="284"/>
      <c r="AI783" s="355"/>
      <c r="AK783" s="359"/>
      <c r="AL783" s="284"/>
      <c r="AM783" s="355"/>
      <c r="AO783" s="359"/>
      <c r="AP783" s="284"/>
      <c r="AQ783" s="355"/>
      <c r="AR783" s="360"/>
      <c r="AS783" s="359"/>
      <c r="AT783" s="284"/>
      <c r="AU783" s="355"/>
      <c r="AW783" s="359"/>
      <c r="AX783" s="284"/>
      <c r="AY783" s="355"/>
      <c r="BA783" s="359"/>
      <c r="BB783" s="284"/>
      <c r="BC783" s="355"/>
      <c r="BE783" s="359"/>
      <c r="BF783" s="284"/>
      <c r="BG783" s="355"/>
      <c r="BI783" s="359"/>
      <c r="BJ783" s="284"/>
      <c r="BK783" s="355"/>
      <c r="BM783" s="359"/>
      <c r="BN783" s="284"/>
      <c r="BO783" s="355"/>
      <c r="BQ783" s="359"/>
      <c r="BR783" s="284"/>
      <c r="BS783" s="355"/>
      <c r="BU783" s="359"/>
      <c r="BV783" s="284"/>
    </row>
    <row r="784" spans="2:74" x14ac:dyDescent="0.25">
      <c r="B784" s="284"/>
      <c r="D784" s="355"/>
      <c r="E784" s="356"/>
      <c r="F784" s="357"/>
      <c r="G784" s="358"/>
      <c r="H784" s="359"/>
      <c r="I784" s="284"/>
      <c r="J784" s="287"/>
      <c r="K784" s="355"/>
      <c r="M784" s="359"/>
      <c r="N784" s="284"/>
      <c r="O784" s="355"/>
      <c r="P784" s="360"/>
      <c r="Q784" s="359"/>
      <c r="R784" s="284"/>
      <c r="S784" s="355"/>
      <c r="U784" s="359"/>
      <c r="V784" s="284"/>
      <c r="W784" s="355"/>
      <c r="Y784" s="359"/>
      <c r="Z784" s="284"/>
      <c r="AA784" s="355"/>
      <c r="AC784" s="359"/>
      <c r="AD784" s="284"/>
      <c r="AE784" s="355"/>
      <c r="AG784" s="359"/>
      <c r="AH784" s="284"/>
      <c r="AI784" s="355"/>
      <c r="AK784" s="359"/>
      <c r="AL784" s="284"/>
      <c r="AM784" s="355"/>
      <c r="AO784" s="359"/>
      <c r="AP784" s="284"/>
      <c r="AQ784" s="355"/>
      <c r="AR784" s="360"/>
      <c r="AS784" s="359"/>
      <c r="AT784" s="284"/>
      <c r="AU784" s="355"/>
      <c r="AW784" s="359"/>
      <c r="AX784" s="284"/>
      <c r="AY784" s="355"/>
      <c r="BA784" s="359"/>
      <c r="BB784" s="284"/>
      <c r="BC784" s="355"/>
      <c r="BE784" s="359"/>
      <c r="BF784" s="284"/>
      <c r="BG784" s="355"/>
      <c r="BI784" s="359"/>
      <c r="BJ784" s="284"/>
      <c r="BK784" s="355"/>
      <c r="BM784" s="359"/>
      <c r="BN784" s="284"/>
      <c r="BO784" s="355"/>
      <c r="BQ784" s="359"/>
      <c r="BR784" s="284"/>
      <c r="BS784" s="355"/>
      <c r="BU784" s="359"/>
      <c r="BV784" s="284"/>
    </row>
    <row r="785" spans="2:74" x14ac:dyDescent="0.25">
      <c r="B785" s="284"/>
      <c r="D785" s="355"/>
      <c r="E785" s="356"/>
      <c r="F785" s="357"/>
      <c r="G785" s="358"/>
      <c r="H785" s="359"/>
      <c r="I785" s="284"/>
      <c r="J785" s="287"/>
      <c r="K785" s="355"/>
      <c r="M785" s="359"/>
      <c r="N785" s="284"/>
      <c r="O785" s="355"/>
      <c r="P785" s="360"/>
      <c r="Q785" s="359"/>
      <c r="R785" s="284"/>
      <c r="S785" s="355"/>
      <c r="U785" s="359"/>
      <c r="V785" s="284"/>
      <c r="W785" s="355"/>
      <c r="Y785" s="359"/>
      <c r="Z785" s="284"/>
      <c r="AA785" s="355"/>
      <c r="AC785" s="359"/>
      <c r="AD785" s="284"/>
      <c r="AE785" s="355"/>
      <c r="AG785" s="359"/>
      <c r="AH785" s="284"/>
      <c r="AI785" s="355"/>
      <c r="AK785" s="359"/>
      <c r="AL785" s="284"/>
      <c r="AM785" s="355"/>
      <c r="AO785" s="359"/>
      <c r="AP785" s="284"/>
      <c r="AQ785" s="355"/>
      <c r="AR785" s="360"/>
      <c r="AS785" s="359"/>
      <c r="AT785" s="284"/>
      <c r="AU785" s="355"/>
      <c r="AW785" s="359"/>
      <c r="AX785" s="284"/>
      <c r="AY785" s="355"/>
      <c r="BA785" s="359"/>
      <c r="BB785" s="284"/>
      <c r="BC785" s="355"/>
      <c r="BE785" s="359"/>
      <c r="BF785" s="284"/>
      <c r="BG785" s="355"/>
      <c r="BI785" s="359"/>
      <c r="BJ785" s="284"/>
      <c r="BK785" s="355"/>
      <c r="BM785" s="359"/>
      <c r="BN785" s="284"/>
      <c r="BO785" s="355"/>
      <c r="BQ785" s="359"/>
      <c r="BR785" s="284"/>
      <c r="BS785" s="355"/>
      <c r="BU785" s="359"/>
      <c r="BV785" s="284"/>
    </row>
    <row r="786" spans="2:74" x14ac:dyDescent="0.25">
      <c r="B786" s="284"/>
      <c r="D786" s="355"/>
      <c r="E786" s="356"/>
      <c r="F786" s="357"/>
      <c r="G786" s="358"/>
      <c r="H786" s="359"/>
      <c r="I786" s="284"/>
      <c r="J786" s="287"/>
      <c r="K786" s="355"/>
      <c r="M786" s="359"/>
      <c r="N786" s="284"/>
      <c r="O786" s="355"/>
      <c r="P786" s="360"/>
      <c r="Q786" s="359"/>
      <c r="R786" s="284"/>
      <c r="S786" s="355"/>
      <c r="U786" s="359"/>
      <c r="V786" s="284"/>
      <c r="W786" s="355"/>
      <c r="Y786" s="359"/>
      <c r="Z786" s="284"/>
      <c r="AA786" s="355"/>
      <c r="AC786" s="359"/>
      <c r="AD786" s="284"/>
      <c r="AE786" s="355"/>
      <c r="AG786" s="359"/>
      <c r="AH786" s="284"/>
      <c r="AI786" s="355"/>
      <c r="AK786" s="359"/>
      <c r="AL786" s="284"/>
      <c r="AM786" s="355"/>
      <c r="AO786" s="359"/>
      <c r="AP786" s="284"/>
      <c r="AQ786" s="355"/>
      <c r="AR786" s="360"/>
      <c r="AS786" s="359"/>
      <c r="AT786" s="284"/>
      <c r="AU786" s="355"/>
      <c r="AW786" s="359"/>
      <c r="AX786" s="284"/>
      <c r="AY786" s="355"/>
      <c r="BA786" s="359"/>
      <c r="BB786" s="284"/>
      <c r="BC786" s="355"/>
      <c r="BE786" s="359"/>
      <c r="BF786" s="284"/>
      <c r="BG786" s="355"/>
      <c r="BI786" s="359"/>
      <c r="BJ786" s="284"/>
      <c r="BK786" s="355"/>
      <c r="BM786" s="359"/>
      <c r="BN786" s="284"/>
      <c r="BO786" s="355"/>
      <c r="BQ786" s="359"/>
      <c r="BR786" s="284"/>
      <c r="BS786" s="355"/>
      <c r="BU786" s="359"/>
      <c r="BV786" s="284"/>
    </row>
    <row r="787" spans="2:74" x14ac:dyDescent="0.25">
      <c r="B787" s="284"/>
      <c r="D787" s="355"/>
      <c r="E787" s="356"/>
      <c r="F787" s="357"/>
      <c r="G787" s="358"/>
      <c r="H787" s="359"/>
      <c r="I787" s="284"/>
      <c r="J787" s="287"/>
      <c r="K787" s="355"/>
      <c r="M787" s="359"/>
      <c r="N787" s="284"/>
      <c r="O787" s="355"/>
      <c r="P787" s="360"/>
      <c r="Q787" s="359"/>
      <c r="R787" s="284"/>
      <c r="S787" s="355"/>
      <c r="U787" s="359"/>
      <c r="V787" s="284"/>
      <c r="W787" s="355"/>
      <c r="Y787" s="359"/>
      <c r="Z787" s="284"/>
      <c r="AA787" s="355"/>
      <c r="AC787" s="359"/>
      <c r="AD787" s="284"/>
      <c r="AE787" s="355"/>
      <c r="AG787" s="359"/>
      <c r="AH787" s="284"/>
      <c r="AI787" s="355"/>
      <c r="AK787" s="359"/>
      <c r="AL787" s="284"/>
      <c r="AM787" s="355"/>
      <c r="AO787" s="359"/>
      <c r="AP787" s="284"/>
      <c r="AQ787" s="355"/>
      <c r="AR787" s="360"/>
      <c r="AS787" s="359"/>
      <c r="AT787" s="284"/>
      <c r="AU787" s="355"/>
      <c r="AW787" s="359"/>
      <c r="AX787" s="284"/>
      <c r="AY787" s="355"/>
      <c r="BA787" s="359"/>
      <c r="BB787" s="284"/>
      <c r="BC787" s="355"/>
      <c r="BE787" s="359"/>
      <c r="BF787" s="284"/>
      <c r="BG787" s="355"/>
      <c r="BI787" s="359"/>
      <c r="BJ787" s="284"/>
      <c r="BK787" s="355"/>
      <c r="BM787" s="359"/>
      <c r="BN787" s="284"/>
      <c r="BO787" s="355"/>
      <c r="BQ787" s="359"/>
      <c r="BR787" s="284"/>
      <c r="BS787" s="355"/>
      <c r="BU787" s="359"/>
      <c r="BV787" s="284"/>
    </row>
    <row r="788" spans="2:74" x14ac:dyDescent="0.25">
      <c r="B788" s="284"/>
      <c r="D788" s="355"/>
      <c r="E788" s="356"/>
      <c r="F788" s="357"/>
      <c r="G788" s="358"/>
      <c r="H788" s="359"/>
      <c r="I788" s="284"/>
      <c r="J788" s="287"/>
      <c r="K788" s="355"/>
      <c r="M788" s="359"/>
      <c r="N788" s="284"/>
      <c r="O788" s="355"/>
      <c r="P788" s="360"/>
      <c r="Q788" s="359"/>
      <c r="R788" s="284"/>
      <c r="S788" s="355"/>
      <c r="U788" s="359"/>
      <c r="V788" s="284"/>
      <c r="W788" s="355"/>
      <c r="Y788" s="359"/>
      <c r="Z788" s="284"/>
      <c r="AA788" s="355"/>
      <c r="AC788" s="359"/>
      <c r="AD788" s="284"/>
      <c r="AE788" s="355"/>
      <c r="AG788" s="359"/>
      <c r="AH788" s="284"/>
      <c r="AI788" s="355"/>
      <c r="AK788" s="359"/>
      <c r="AL788" s="284"/>
      <c r="AM788" s="355"/>
      <c r="AO788" s="359"/>
      <c r="AP788" s="284"/>
      <c r="AQ788" s="355"/>
      <c r="AR788" s="360"/>
      <c r="AS788" s="359"/>
      <c r="AT788" s="284"/>
      <c r="AU788" s="355"/>
      <c r="AW788" s="359"/>
      <c r="AX788" s="284"/>
      <c r="AY788" s="355"/>
      <c r="BA788" s="359"/>
      <c r="BB788" s="284"/>
      <c r="BC788" s="355"/>
      <c r="BE788" s="359"/>
      <c r="BF788" s="284"/>
      <c r="BG788" s="355"/>
      <c r="BI788" s="359"/>
      <c r="BJ788" s="284"/>
      <c r="BK788" s="355"/>
      <c r="BM788" s="359"/>
      <c r="BN788" s="284"/>
      <c r="BO788" s="355"/>
      <c r="BQ788" s="359"/>
      <c r="BR788" s="284"/>
      <c r="BS788" s="355"/>
      <c r="BU788" s="359"/>
      <c r="BV788" s="284"/>
    </row>
    <row r="789" spans="2:74" x14ac:dyDescent="0.25">
      <c r="B789" s="284"/>
      <c r="D789" s="355"/>
      <c r="E789" s="356"/>
      <c r="F789" s="357"/>
      <c r="G789" s="358"/>
      <c r="H789" s="359"/>
      <c r="I789" s="284"/>
      <c r="J789" s="287"/>
      <c r="K789" s="355"/>
      <c r="M789" s="359"/>
      <c r="N789" s="284"/>
      <c r="O789" s="355"/>
      <c r="P789" s="360"/>
      <c r="Q789" s="359"/>
      <c r="R789" s="284"/>
      <c r="S789" s="355"/>
      <c r="U789" s="359"/>
      <c r="V789" s="284"/>
      <c r="W789" s="355"/>
      <c r="Y789" s="359"/>
      <c r="Z789" s="284"/>
      <c r="AA789" s="355"/>
      <c r="AC789" s="359"/>
      <c r="AD789" s="284"/>
      <c r="AE789" s="355"/>
      <c r="AG789" s="359"/>
      <c r="AH789" s="284"/>
      <c r="AI789" s="355"/>
      <c r="AK789" s="359"/>
      <c r="AL789" s="284"/>
      <c r="AM789" s="355"/>
      <c r="AO789" s="359"/>
      <c r="AP789" s="284"/>
      <c r="AQ789" s="355"/>
      <c r="AR789" s="360"/>
      <c r="AS789" s="359"/>
      <c r="AT789" s="284"/>
      <c r="AU789" s="355"/>
      <c r="AW789" s="359"/>
      <c r="AX789" s="284"/>
      <c r="AY789" s="355"/>
      <c r="BA789" s="359"/>
      <c r="BB789" s="284"/>
      <c r="BC789" s="355"/>
      <c r="BE789" s="359"/>
      <c r="BF789" s="284"/>
      <c r="BG789" s="355"/>
      <c r="BI789" s="359"/>
      <c r="BJ789" s="284"/>
      <c r="BK789" s="355"/>
      <c r="BM789" s="359"/>
      <c r="BN789" s="284"/>
      <c r="BO789" s="355"/>
      <c r="BQ789" s="359"/>
      <c r="BR789" s="284"/>
      <c r="BS789" s="355"/>
      <c r="BU789" s="359"/>
      <c r="BV789" s="284"/>
    </row>
    <row r="790" spans="2:74" x14ac:dyDescent="0.25">
      <c r="B790" s="284"/>
      <c r="D790" s="355"/>
      <c r="E790" s="356"/>
      <c r="F790" s="357"/>
      <c r="G790" s="358"/>
      <c r="H790" s="359"/>
      <c r="I790" s="284"/>
      <c r="J790" s="287"/>
      <c r="K790" s="355"/>
      <c r="M790" s="359"/>
      <c r="N790" s="284"/>
      <c r="O790" s="355"/>
      <c r="P790" s="360"/>
      <c r="Q790" s="359"/>
      <c r="R790" s="284"/>
      <c r="S790" s="355"/>
      <c r="U790" s="359"/>
      <c r="V790" s="284"/>
      <c r="W790" s="355"/>
      <c r="Y790" s="359"/>
      <c r="Z790" s="284"/>
      <c r="AA790" s="355"/>
      <c r="AC790" s="359"/>
      <c r="AD790" s="284"/>
      <c r="AE790" s="355"/>
      <c r="AG790" s="359"/>
      <c r="AH790" s="284"/>
      <c r="AI790" s="355"/>
      <c r="AK790" s="359"/>
      <c r="AL790" s="284"/>
      <c r="AM790" s="355"/>
      <c r="AO790" s="359"/>
      <c r="AP790" s="284"/>
      <c r="AQ790" s="355"/>
      <c r="AR790" s="360"/>
      <c r="AS790" s="359"/>
      <c r="AT790" s="284"/>
      <c r="AU790" s="355"/>
      <c r="AW790" s="359"/>
      <c r="AX790" s="284"/>
      <c r="AY790" s="355"/>
      <c r="BA790" s="359"/>
      <c r="BB790" s="284"/>
      <c r="BC790" s="355"/>
      <c r="BE790" s="359"/>
      <c r="BF790" s="284"/>
      <c r="BG790" s="355"/>
      <c r="BI790" s="359"/>
      <c r="BJ790" s="284"/>
      <c r="BK790" s="355"/>
      <c r="BM790" s="359"/>
      <c r="BN790" s="284"/>
      <c r="BO790" s="355"/>
      <c r="BQ790" s="359"/>
      <c r="BR790" s="284"/>
      <c r="BS790" s="355"/>
      <c r="BU790" s="359"/>
      <c r="BV790" s="284"/>
    </row>
    <row r="791" spans="2:74" x14ac:dyDescent="0.25">
      <c r="B791" s="284"/>
      <c r="D791" s="355"/>
      <c r="E791" s="356"/>
      <c r="F791" s="357"/>
      <c r="G791" s="358"/>
      <c r="H791" s="359"/>
      <c r="I791" s="284"/>
      <c r="J791" s="287"/>
      <c r="K791" s="355"/>
      <c r="M791" s="359"/>
      <c r="N791" s="284"/>
      <c r="O791" s="355"/>
      <c r="P791" s="360"/>
      <c r="Q791" s="359"/>
      <c r="R791" s="284"/>
      <c r="S791" s="355"/>
      <c r="U791" s="359"/>
      <c r="V791" s="284"/>
      <c r="W791" s="355"/>
      <c r="Y791" s="359"/>
      <c r="Z791" s="284"/>
      <c r="AA791" s="355"/>
      <c r="AC791" s="359"/>
      <c r="AD791" s="284"/>
      <c r="AE791" s="355"/>
      <c r="AG791" s="359"/>
      <c r="AH791" s="284"/>
      <c r="AI791" s="355"/>
      <c r="AK791" s="359"/>
      <c r="AL791" s="284"/>
      <c r="AM791" s="355"/>
      <c r="AO791" s="359"/>
      <c r="AP791" s="284"/>
      <c r="AQ791" s="355"/>
      <c r="AR791" s="360"/>
      <c r="AS791" s="359"/>
      <c r="AT791" s="284"/>
      <c r="AU791" s="355"/>
      <c r="AW791" s="359"/>
      <c r="AX791" s="284"/>
      <c r="AY791" s="355"/>
      <c r="BA791" s="359"/>
      <c r="BB791" s="284"/>
      <c r="BC791" s="355"/>
      <c r="BE791" s="359"/>
      <c r="BF791" s="284"/>
      <c r="BG791" s="355"/>
      <c r="BI791" s="359"/>
      <c r="BJ791" s="284"/>
      <c r="BK791" s="355"/>
      <c r="BM791" s="359"/>
      <c r="BN791" s="284"/>
      <c r="BO791" s="355"/>
      <c r="BQ791" s="359"/>
      <c r="BR791" s="284"/>
      <c r="BS791" s="355"/>
      <c r="BU791" s="359"/>
      <c r="BV791" s="284"/>
    </row>
    <row r="792" spans="2:74" x14ac:dyDescent="0.25">
      <c r="B792" s="284"/>
      <c r="D792" s="355"/>
      <c r="E792" s="356"/>
      <c r="F792" s="357"/>
      <c r="G792" s="358"/>
      <c r="H792" s="359"/>
      <c r="I792" s="284"/>
      <c r="J792" s="287"/>
      <c r="K792" s="355"/>
      <c r="M792" s="359"/>
      <c r="N792" s="284"/>
      <c r="O792" s="355"/>
      <c r="P792" s="360"/>
      <c r="Q792" s="359"/>
      <c r="R792" s="284"/>
      <c r="S792" s="355"/>
      <c r="U792" s="359"/>
      <c r="V792" s="284"/>
      <c r="W792" s="355"/>
      <c r="Y792" s="359"/>
      <c r="Z792" s="284"/>
      <c r="AA792" s="355"/>
      <c r="AC792" s="359"/>
      <c r="AD792" s="284"/>
      <c r="AE792" s="355"/>
      <c r="AG792" s="359"/>
      <c r="AH792" s="284"/>
      <c r="AI792" s="355"/>
      <c r="AK792" s="359"/>
      <c r="AL792" s="284"/>
      <c r="AM792" s="355"/>
      <c r="AO792" s="359"/>
      <c r="AP792" s="284"/>
      <c r="AQ792" s="355"/>
      <c r="AR792" s="360"/>
      <c r="AS792" s="359"/>
      <c r="AT792" s="284"/>
      <c r="AU792" s="355"/>
      <c r="AW792" s="359"/>
      <c r="AX792" s="284"/>
      <c r="AY792" s="355"/>
      <c r="BA792" s="359"/>
      <c r="BB792" s="284"/>
      <c r="BC792" s="355"/>
      <c r="BE792" s="359"/>
      <c r="BF792" s="284"/>
      <c r="BG792" s="355"/>
      <c r="BI792" s="359"/>
      <c r="BJ792" s="284"/>
      <c r="BK792" s="355"/>
      <c r="BM792" s="359"/>
      <c r="BN792" s="284"/>
      <c r="BO792" s="355"/>
      <c r="BQ792" s="359"/>
      <c r="BR792" s="284"/>
      <c r="BS792" s="355"/>
      <c r="BU792" s="359"/>
      <c r="BV792" s="284"/>
    </row>
    <row r="793" spans="2:74" x14ac:dyDescent="0.25">
      <c r="B793" s="284"/>
      <c r="D793" s="355"/>
      <c r="E793" s="356"/>
      <c r="F793" s="357"/>
      <c r="G793" s="358"/>
      <c r="H793" s="359"/>
      <c r="I793" s="284"/>
      <c r="J793" s="287"/>
      <c r="K793" s="355"/>
      <c r="M793" s="359"/>
      <c r="N793" s="284"/>
      <c r="O793" s="355"/>
      <c r="P793" s="360"/>
      <c r="Q793" s="359"/>
      <c r="R793" s="284"/>
      <c r="S793" s="355"/>
      <c r="U793" s="359"/>
      <c r="V793" s="284"/>
      <c r="W793" s="355"/>
      <c r="Y793" s="359"/>
      <c r="Z793" s="284"/>
      <c r="AA793" s="355"/>
      <c r="AC793" s="359"/>
      <c r="AD793" s="284"/>
      <c r="AE793" s="355"/>
      <c r="AG793" s="359"/>
      <c r="AH793" s="284"/>
      <c r="AI793" s="355"/>
      <c r="AK793" s="359"/>
      <c r="AL793" s="284"/>
      <c r="AM793" s="355"/>
      <c r="AO793" s="359"/>
      <c r="AP793" s="284"/>
      <c r="AQ793" s="355"/>
      <c r="AR793" s="360"/>
      <c r="AS793" s="359"/>
      <c r="AT793" s="284"/>
      <c r="AU793" s="355"/>
      <c r="AW793" s="359"/>
      <c r="AX793" s="284"/>
      <c r="AY793" s="355"/>
      <c r="BA793" s="359"/>
      <c r="BB793" s="284"/>
      <c r="BC793" s="355"/>
      <c r="BE793" s="359"/>
      <c r="BF793" s="284"/>
      <c r="BG793" s="355"/>
      <c r="BI793" s="359"/>
      <c r="BJ793" s="284"/>
      <c r="BK793" s="355"/>
      <c r="BM793" s="359"/>
      <c r="BN793" s="284"/>
      <c r="BO793" s="355"/>
      <c r="BQ793" s="359"/>
      <c r="BR793" s="284"/>
      <c r="BS793" s="355"/>
      <c r="BU793" s="359"/>
      <c r="BV793" s="284"/>
    </row>
    <row r="794" spans="2:74" x14ac:dyDescent="0.25">
      <c r="B794" s="284"/>
      <c r="D794" s="355"/>
      <c r="E794" s="356"/>
      <c r="F794" s="357"/>
      <c r="G794" s="358"/>
      <c r="H794" s="359"/>
      <c r="I794" s="284"/>
      <c r="J794" s="287"/>
      <c r="K794" s="355"/>
      <c r="M794" s="359"/>
      <c r="N794" s="284"/>
      <c r="O794" s="355"/>
      <c r="P794" s="360"/>
      <c r="Q794" s="359"/>
      <c r="R794" s="284"/>
      <c r="S794" s="355"/>
      <c r="U794" s="359"/>
      <c r="V794" s="284"/>
      <c r="W794" s="355"/>
      <c r="Y794" s="359"/>
      <c r="Z794" s="284"/>
      <c r="AA794" s="355"/>
      <c r="AC794" s="359"/>
      <c r="AD794" s="284"/>
      <c r="AE794" s="355"/>
      <c r="AG794" s="359"/>
      <c r="AH794" s="284"/>
      <c r="AI794" s="355"/>
      <c r="AK794" s="359"/>
      <c r="AL794" s="284"/>
      <c r="AM794" s="355"/>
      <c r="AO794" s="359"/>
      <c r="AP794" s="284"/>
      <c r="AQ794" s="355"/>
      <c r="AR794" s="360"/>
      <c r="AS794" s="359"/>
      <c r="AT794" s="284"/>
      <c r="AU794" s="355"/>
      <c r="AW794" s="359"/>
      <c r="AX794" s="284"/>
      <c r="AY794" s="355"/>
      <c r="BA794" s="359"/>
      <c r="BB794" s="284"/>
      <c r="BC794" s="355"/>
      <c r="BE794" s="359"/>
      <c r="BF794" s="284"/>
      <c r="BG794" s="355"/>
      <c r="BI794" s="359"/>
      <c r="BJ794" s="284"/>
      <c r="BK794" s="355"/>
      <c r="BM794" s="359"/>
      <c r="BN794" s="284"/>
      <c r="BO794" s="355"/>
      <c r="BQ794" s="359"/>
      <c r="BR794" s="284"/>
      <c r="BS794" s="355"/>
      <c r="BU794" s="359"/>
      <c r="BV794" s="284"/>
    </row>
    <row r="795" spans="2:74" x14ac:dyDescent="0.25">
      <c r="B795" s="284"/>
      <c r="D795" s="355"/>
      <c r="E795" s="356"/>
      <c r="F795" s="357"/>
      <c r="G795" s="358"/>
      <c r="H795" s="359"/>
      <c r="I795" s="284"/>
      <c r="J795" s="287"/>
      <c r="K795" s="355"/>
      <c r="M795" s="359"/>
      <c r="N795" s="284"/>
      <c r="O795" s="355"/>
      <c r="P795" s="360"/>
      <c r="Q795" s="359"/>
      <c r="R795" s="284"/>
      <c r="S795" s="355"/>
      <c r="U795" s="359"/>
      <c r="V795" s="284"/>
      <c r="W795" s="355"/>
      <c r="Y795" s="359"/>
      <c r="Z795" s="284"/>
      <c r="AA795" s="355"/>
      <c r="AC795" s="359"/>
      <c r="AD795" s="284"/>
      <c r="AE795" s="355"/>
      <c r="AG795" s="359"/>
      <c r="AH795" s="284"/>
      <c r="AI795" s="355"/>
      <c r="AK795" s="359"/>
      <c r="AL795" s="284"/>
      <c r="AM795" s="355"/>
      <c r="AO795" s="359"/>
      <c r="AP795" s="284"/>
      <c r="AQ795" s="355"/>
      <c r="AR795" s="360"/>
      <c r="AS795" s="359"/>
      <c r="AT795" s="284"/>
      <c r="AU795" s="355"/>
      <c r="AW795" s="359"/>
      <c r="AX795" s="284"/>
      <c r="AY795" s="355"/>
      <c r="BA795" s="359"/>
      <c r="BB795" s="284"/>
      <c r="BC795" s="355"/>
      <c r="BE795" s="359"/>
      <c r="BF795" s="284"/>
      <c r="BG795" s="355"/>
      <c r="BI795" s="359"/>
      <c r="BJ795" s="284"/>
      <c r="BK795" s="355"/>
      <c r="BM795" s="359"/>
      <c r="BN795" s="284"/>
      <c r="BO795" s="355"/>
      <c r="BQ795" s="359"/>
      <c r="BR795" s="284"/>
      <c r="BS795" s="355"/>
      <c r="BU795" s="359"/>
      <c r="BV795" s="284"/>
    </row>
    <row r="796" spans="2:74" x14ac:dyDescent="0.25">
      <c r="B796" s="284"/>
      <c r="D796" s="355"/>
      <c r="E796" s="356"/>
      <c r="F796" s="357"/>
      <c r="G796" s="358"/>
      <c r="H796" s="359"/>
      <c r="I796" s="284"/>
      <c r="J796" s="287"/>
      <c r="K796" s="355"/>
      <c r="M796" s="359"/>
      <c r="N796" s="284"/>
      <c r="O796" s="355"/>
      <c r="P796" s="360"/>
      <c r="Q796" s="359"/>
      <c r="R796" s="284"/>
      <c r="S796" s="355"/>
      <c r="U796" s="359"/>
      <c r="V796" s="284"/>
      <c r="W796" s="355"/>
      <c r="Y796" s="359"/>
      <c r="Z796" s="284"/>
      <c r="AA796" s="355"/>
      <c r="AC796" s="359"/>
      <c r="AD796" s="284"/>
      <c r="AE796" s="355"/>
      <c r="AG796" s="359"/>
      <c r="AH796" s="284"/>
      <c r="AI796" s="355"/>
      <c r="AK796" s="359"/>
      <c r="AL796" s="284"/>
      <c r="AM796" s="355"/>
      <c r="AO796" s="359"/>
      <c r="AP796" s="284"/>
      <c r="AQ796" s="355"/>
      <c r="AR796" s="360"/>
      <c r="AS796" s="359"/>
      <c r="AT796" s="284"/>
      <c r="AU796" s="355"/>
      <c r="AW796" s="359"/>
      <c r="AX796" s="284"/>
      <c r="AY796" s="355"/>
      <c r="BA796" s="359"/>
      <c r="BB796" s="284"/>
      <c r="BC796" s="355"/>
      <c r="BE796" s="359"/>
      <c r="BF796" s="284"/>
      <c r="BG796" s="355"/>
      <c r="BI796" s="359"/>
      <c r="BJ796" s="284"/>
      <c r="BK796" s="355"/>
      <c r="BM796" s="359"/>
      <c r="BN796" s="284"/>
      <c r="BO796" s="355"/>
      <c r="BQ796" s="359"/>
      <c r="BR796" s="284"/>
      <c r="BS796" s="355"/>
      <c r="BU796" s="359"/>
      <c r="BV796" s="284"/>
    </row>
    <row r="797" spans="2:74" x14ac:dyDescent="0.25">
      <c r="B797" s="284"/>
      <c r="D797" s="355"/>
      <c r="E797" s="356"/>
      <c r="F797" s="357"/>
      <c r="G797" s="358"/>
      <c r="H797" s="359"/>
      <c r="I797" s="284"/>
      <c r="J797" s="287"/>
      <c r="K797" s="355"/>
      <c r="M797" s="359"/>
      <c r="N797" s="284"/>
      <c r="O797" s="355"/>
      <c r="P797" s="360"/>
      <c r="Q797" s="359"/>
      <c r="R797" s="284"/>
      <c r="S797" s="355"/>
      <c r="U797" s="359"/>
      <c r="V797" s="284"/>
      <c r="W797" s="355"/>
      <c r="Y797" s="359"/>
      <c r="Z797" s="284"/>
      <c r="AA797" s="355"/>
      <c r="AC797" s="359"/>
      <c r="AD797" s="284"/>
      <c r="AE797" s="355"/>
      <c r="AG797" s="359"/>
      <c r="AH797" s="284"/>
      <c r="AI797" s="355"/>
      <c r="AK797" s="359"/>
      <c r="AL797" s="284"/>
      <c r="AM797" s="355"/>
      <c r="AO797" s="359"/>
      <c r="AP797" s="284"/>
      <c r="AQ797" s="355"/>
      <c r="AR797" s="360"/>
      <c r="AS797" s="359"/>
      <c r="AT797" s="284"/>
      <c r="AU797" s="355"/>
      <c r="AW797" s="359"/>
      <c r="AX797" s="284"/>
      <c r="AY797" s="355"/>
      <c r="BA797" s="359"/>
      <c r="BB797" s="284"/>
      <c r="BC797" s="355"/>
      <c r="BE797" s="359"/>
      <c r="BF797" s="284"/>
      <c r="BG797" s="355"/>
      <c r="BI797" s="359"/>
      <c r="BJ797" s="284"/>
      <c r="BK797" s="355"/>
      <c r="BM797" s="359"/>
      <c r="BN797" s="284"/>
      <c r="BO797" s="355"/>
      <c r="BQ797" s="359"/>
      <c r="BR797" s="284"/>
      <c r="BS797" s="355"/>
      <c r="BU797" s="359"/>
      <c r="BV797" s="284"/>
    </row>
    <row r="798" spans="2:74" x14ac:dyDescent="0.25">
      <c r="B798" s="284"/>
      <c r="D798" s="355"/>
      <c r="E798" s="356"/>
      <c r="F798" s="357"/>
      <c r="G798" s="358"/>
      <c r="H798" s="359"/>
      <c r="I798" s="284"/>
      <c r="J798" s="287"/>
      <c r="K798" s="355"/>
      <c r="M798" s="359"/>
      <c r="N798" s="284"/>
      <c r="O798" s="355"/>
      <c r="P798" s="360"/>
      <c r="Q798" s="359"/>
      <c r="R798" s="284"/>
      <c r="S798" s="355"/>
      <c r="U798" s="359"/>
      <c r="V798" s="284"/>
      <c r="W798" s="355"/>
      <c r="Y798" s="359"/>
      <c r="Z798" s="284"/>
      <c r="AA798" s="355"/>
      <c r="AC798" s="359"/>
      <c r="AD798" s="284"/>
      <c r="AE798" s="355"/>
      <c r="AG798" s="359"/>
      <c r="AH798" s="284"/>
      <c r="AI798" s="355"/>
      <c r="AK798" s="359"/>
      <c r="AL798" s="284"/>
      <c r="AM798" s="355"/>
      <c r="AO798" s="359"/>
      <c r="AP798" s="284"/>
      <c r="AQ798" s="355"/>
      <c r="AR798" s="360"/>
      <c r="AS798" s="359"/>
      <c r="AT798" s="284"/>
      <c r="AU798" s="355"/>
      <c r="AW798" s="359"/>
      <c r="AX798" s="284"/>
      <c r="AY798" s="355"/>
      <c r="BA798" s="359"/>
      <c r="BB798" s="284"/>
      <c r="BC798" s="355"/>
      <c r="BE798" s="359"/>
      <c r="BF798" s="284"/>
      <c r="BG798" s="355"/>
      <c r="BI798" s="359"/>
      <c r="BJ798" s="284"/>
      <c r="BK798" s="355"/>
      <c r="BM798" s="359"/>
      <c r="BN798" s="284"/>
      <c r="BO798" s="355"/>
      <c r="BQ798" s="359"/>
      <c r="BR798" s="284"/>
      <c r="BS798" s="355"/>
      <c r="BU798" s="359"/>
      <c r="BV798" s="284"/>
    </row>
    <row r="799" spans="2:74" x14ac:dyDescent="0.25">
      <c r="B799" s="284"/>
      <c r="D799" s="355"/>
      <c r="E799" s="356"/>
      <c r="F799" s="357"/>
      <c r="G799" s="358"/>
      <c r="H799" s="359"/>
      <c r="I799" s="284"/>
      <c r="J799" s="287"/>
      <c r="K799" s="355"/>
      <c r="M799" s="359"/>
      <c r="N799" s="284"/>
      <c r="O799" s="355"/>
      <c r="P799" s="360"/>
      <c r="Q799" s="359"/>
      <c r="R799" s="284"/>
      <c r="S799" s="355"/>
      <c r="U799" s="359"/>
      <c r="V799" s="284"/>
      <c r="W799" s="355"/>
      <c r="Y799" s="359"/>
      <c r="Z799" s="284"/>
      <c r="AA799" s="355"/>
      <c r="AC799" s="359"/>
      <c r="AD799" s="284"/>
      <c r="AE799" s="355"/>
      <c r="AG799" s="359"/>
      <c r="AH799" s="284"/>
      <c r="AI799" s="355"/>
      <c r="AK799" s="359"/>
      <c r="AL799" s="284"/>
      <c r="AM799" s="355"/>
      <c r="AO799" s="359"/>
      <c r="AP799" s="284"/>
      <c r="AQ799" s="355"/>
      <c r="AR799" s="360"/>
      <c r="AS799" s="359"/>
      <c r="AT799" s="284"/>
      <c r="AU799" s="355"/>
      <c r="AW799" s="359"/>
      <c r="AX799" s="284"/>
      <c r="AY799" s="355"/>
      <c r="BA799" s="359"/>
      <c r="BB799" s="284"/>
      <c r="BC799" s="355"/>
      <c r="BE799" s="359"/>
      <c r="BF799" s="284"/>
      <c r="BG799" s="355"/>
      <c r="BI799" s="359"/>
      <c r="BJ799" s="284"/>
      <c r="BK799" s="355"/>
      <c r="BM799" s="359"/>
      <c r="BN799" s="284"/>
      <c r="BO799" s="355"/>
      <c r="BQ799" s="359"/>
      <c r="BR799" s="284"/>
      <c r="BS799" s="355"/>
      <c r="BU799" s="359"/>
      <c r="BV799" s="284"/>
    </row>
    <row r="800" spans="2:74" x14ac:dyDescent="0.25">
      <c r="B800" s="284"/>
      <c r="D800" s="355"/>
      <c r="E800" s="356"/>
      <c r="F800" s="357"/>
      <c r="G800" s="358"/>
      <c r="H800" s="359"/>
      <c r="I800" s="284"/>
      <c r="J800" s="287"/>
      <c r="K800" s="355"/>
      <c r="M800" s="359"/>
      <c r="N800" s="284"/>
      <c r="O800" s="355"/>
      <c r="P800" s="360"/>
      <c r="Q800" s="359"/>
      <c r="R800" s="284"/>
      <c r="S800" s="355"/>
      <c r="U800" s="359"/>
      <c r="V800" s="284"/>
      <c r="W800" s="355"/>
      <c r="Y800" s="359"/>
      <c r="Z800" s="284"/>
      <c r="AA800" s="355"/>
      <c r="AC800" s="359"/>
      <c r="AD800" s="284"/>
      <c r="AE800" s="355"/>
      <c r="AG800" s="359"/>
      <c r="AH800" s="284"/>
      <c r="AI800" s="355"/>
      <c r="AK800" s="359"/>
      <c r="AL800" s="284"/>
      <c r="AM800" s="355"/>
      <c r="AO800" s="359"/>
      <c r="AP800" s="284"/>
      <c r="AQ800" s="355"/>
      <c r="AR800" s="360"/>
      <c r="AS800" s="359"/>
      <c r="AT800" s="284"/>
      <c r="AU800" s="355"/>
      <c r="AW800" s="359"/>
      <c r="AX800" s="284"/>
      <c r="AY800" s="355"/>
      <c r="BA800" s="359"/>
      <c r="BB800" s="284"/>
      <c r="BC800" s="355"/>
      <c r="BE800" s="359"/>
      <c r="BF800" s="284"/>
      <c r="BG800" s="355"/>
      <c r="BI800" s="359"/>
      <c r="BJ800" s="284"/>
      <c r="BK800" s="355"/>
      <c r="BM800" s="359"/>
      <c r="BN800" s="284"/>
      <c r="BO800" s="355"/>
      <c r="BQ800" s="359"/>
      <c r="BR800" s="284"/>
      <c r="BS800" s="355"/>
      <c r="BU800" s="359"/>
      <c r="BV800" s="284"/>
    </row>
    <row r="801" spans="2:74" x14ac:dyDescent="0.25">
      <c r="B801" s="284"/>
      <c r="D801" s="355"/>
      <c r="E801" s="356"/>
      <c r="F801" s="357"/>
      <c r="G801" s="358"/>
      <c r="H801" s="359"/>
      <c r="I801" s="284"/>
      <c r="J801" s="287"/>
      <c r="K801" s="355"/>
      <c r="M801" s="359"/>
      <c r="N801" s="284"/>
      <c r="O801" s="355"/>
      <c r="P801" s="360"/>
      <c r="Q801" s="359"/>
      <c r="R801" s="284"/>
      <c r="S801" s="355"/>
      <c r="U801" s="359"/>
      <c r="V801" s="284"/>
      <c r="W801" s="355"/>
      <c r="Y801" s="359"/>
      <c r="Z801" s="284"/>
      <c r="AA801" s="355"/>
      <c r="AC801" s="359"/>
      <c r="AD801" s="284"/>
      <c r="AE801" s="355"/>
      <c r="AG801" s="359"/>
      <c r="AH801" s="284"/>
      <c r="AI801" s="355"/>
      <c r="AK801" s="359"/>
      <c r="AL801" s="284"/>
      <c r="AM801" s="355"/>
      <c r="AO801" s="359"/>
      <c r="AP801" s="284"/>
      <c r="AQ801" s="355"/>
      <c r="AR801" s="360"/>
      <c r="AS801" s="359"/>
      <c r="AT801" s="284"/>
      <c r="AU801" s="355"/>
      <c r="AW801" s="359"/>
      <c r="AX801" s="284"/>
      <c r="AY801" s="355"/>
      <c r="BA801" s="359"/>
      <c r="BB801" s="284"/>
      <c r="BC801" s="355"/>
      <c r="BE801" s="359"/>
      <c r="BF801" s="284"/>
      <c r="BG801" s="355"/>
      <c r="BI801" s="359"/>
      <c r="BJ801" s="284"/>
      <c r="BK801" s="355"/>
      <c r="BM801" s="359"/>
      <c r="BN801" s="284"/>
      <c r="BO801" s="355"/>
      <c r="BQ801" s="359"/>
      <c r="BR801" s="284"/>
      <c r="BS801" s="355"/>
      <c r="BU801" s="359"/>
      <c r="BV801" s="284"/>
    </row>
    <row r="802" spans="2:74" x14ac:dyDescent="0.25">
      <c r="B802" s="284"/>
      <c r="D802" s="355"/>
      <c r="E802" s="356"/>
      <c r="F802" s="357"/>
      <c r="G802" s="358"/>
      <c r="H802" s="359"/>
      <c r="I802" s="284"/>
      <c r="J802" s="287"/>
      <c r="K802" s="355"/>
      <c r="M802" s="359"/>
      <c r="N802" s="284"/>
      <c r="O802" s="355"/>
      <c r="P802" s="360"/>
      <c r="Q802" s="359"/>
      <c r="R802" s="284"/>
      <c r="S802" s="355"/>
      <c r="U802" s="359"/>
      <c r="V802" s="284"/>
      <c r="W802" s="355"/>
      <c r="Y802" s="359"/>
      <c r="Z802" s="284"/>
      <c r="AA802" s="355"/>
      <c r="AC802" s="359"/>
      <c r="AD802" s="284"/>
      <c r="AE802" s="355"/>
      <c r="AG802" s="359"/>
      <c r="AH802" s="284"/>
      <c r="AI802" s="355"/>
      <c r="AK802" s="359"/>
      <c r="AL802" s="284"/>
      <c r="AM802" s="355"/>
      <c r="AO802" s="359"/>
      <c r="AP802" s="284"/>
      <c r="AQ802" s="355"/>
      <c r="AR802" s="360"/>
      <c r="AS802" s="359"/>
      <c r="AT802" s="284"/>
      <c r="AU802" s="355"/>
      <c r="AW802" s="359"/>
      <c r="AX802" s="284"/>
      <c r="AY802" s="355"/>
      <c r="BA802" s="359"/>
      <c r="BB802" s="284"/>
      <c r="BC802" s="355"/>
      <c r="BE802" s="359"/>
      <c r="BF802" s="284"/>
      <c r="BG802" s="355"/>
      <c r="BI802" s="359"/>
      <c r="BJ802" s="284"/>
      <c r="BK802" s="355"/>
      <c r="BM802" s="359"/>
      <c r="BN802" s="284"/>
      <c r="BO802" s="355"/>
      <c r="BQ802" s="359"/>
      <c r="BR802" s="284"/>
      <c r="BS802" s="355"/>
      <c r="BU802" s="359"/>
      <c r="BV802" s="284"/>
    </row>
    <row r="803" spans="2:74" x14ac:dyDescent="0.25">
      <c r="B803" s="284"/>
      <c r="D803" s="355"/>
      <c r="E803" s="356"/>
      <c r="F803" s="357"/>
      <c r="G803" s="358"/>
      <c r="H803" s="359"/>
      <c r="I803" s="284"/>
      <c r="J803" s="287"/>
      <c r="K803" s="355"/>
      <c r="M803" s="359"/>
      <c r="N803" s="284"/>
      <c r="O803" s="355"/>
      <c r="P803" s="360"/>
      <c r="Q803" s="359"/>
      <c r="R803" s="284"/>
      <c r="S803" s="355"/>
      <c r="U803" s="359"/>
      <c r="V803" s="284"/>
      <c r="W803" s="355"/>
      <c r="Y803" s="359"/>
      <c r="Z803" s="284"/>
      <c r="AA803" s="355"/>
      <c r="AC803" s="359"/>
      <c r="AD803" s="284"/>
      <c r="AE803" s="355"/>
      <c r="AG803" s="359"/>
      <c r="AH803" s="284"/>
      <c r="AI803" s="355"/>
      <c r="AK803" s="359"/>
      <c r="AL803" s="284"/>
      <c r="AM803" s="355"/>
      <c r="AO803" s="359"/>
      <c r="AP803" s="284"/>
      <c r="AQ803" s="355"/>
      <c r="AR803" s="360"/>
      <c r="AS803" s="359"/>
      <c r="AT803" s="284"/>
      <c r="AU803" s="355"/>
      <c r="AW803" s="359"/>
      <c r="AX803" s="284"/>
      <c r="AY803" s="355"/>
      <c r="BA803" s="359"/>
      <c r="BB803" s="284"/>
      <c r="BC803" s="355"/>
      <c r="BE803" s="359"/>
      <c r="BF803" s="284"/>
      <c r="BG803" s="355"/>
      <c r="BI803" s="359"/>
      <c r="BJ803" s="284"/>
      <c r="BK803" s="355"/>
      <c r="BM803" s="359"/>
      <c r="BN803" s="284"/>
      <c r="BO803" s="355"/>
      <c r="BQ803" s="359"/>
      <c r="BR803" s="284"/>
      <c r="BS803" s="355"/>
      <c r="BU803" s="359"/>
      <c r="BV803" s="284"/>
    </row>
    <row r="804" spans="2:74" x14ac:dyDescent="0.25">
      <c r="B804" s="284"/>
      <c r="D804" s="355"/>
      <c r="E804" s="356"/>
      <c r="F804" s="357"/>
      <c r="G804" s="358"/>
      <c r="H804" s="359"/>
      <c r="I804" s="284"/>
      <c r="J804" s="287"/>
      <c r="K804" s="355"/>
      <c r="M804" s="359"/>
      <c r="N804" s="284"/>
      <c r="O804" s="355"/>
      <c r="P804" s="360"/>
      <c r="Q804" s="359"/>
      <c r="R804" s="284"/>
      <c r="S804" s="355"/>
      <c r="U804" s="359"/>
      <c r="V804" s="284"/>
      <c r="W804" s="355"/>
      <c r="Y804" s="359"/>
      <c r="Z804" s="284"/>
      <c r="AA804" s="355"/>
      <c r="AC804" s="359"/>
      <c r="AD804" s="284"/>
      <c r="AE804" s="355"/>
      <c r="AG804" s="359"/>
      <c r="AH804" s="284"/>
      <c r="AI804" s="355"/>
      <c r="AK804" s="359"/>
      <c r="AL804" s="284"/>
      <c r="AM804" s="355"/>
      <c r="AO804" s="359"/>
      <c r="AP804" s="284"/>
      <c r="AQ804" s="355"/>
      <c r="AR804" s="360"/>
      <c r="AS804" s="359"/>
      <c r="AT804" s="284"/>
      <c r="AU804" s="355"/>
      <c r="AW804" s="359"/>
      <c r="AX804" s="284"/>
      <c r="AY804" s="355"/>
      <c r="BA804" s="359"/>
      <c r="BB804" s="284"/>
      <c r="BC804" s="355"/>
      <c r="BE804" s="359"/>
      <c r="BF804" s="284"/>
      <c r="BG804" s="355"/>
      <c r="BI804" s="359"/>
      <c r="BJ804" s="284"/>
      <c r="BK804" s="355"/>
      <c r="BM804" s="359"/>
      <c r="BN804" s="284"/>
      <c r="BO804" s="355"/>
      <c r="BQ804" s="359"/>
      <c r="BR804" s="284"/>
      <c r="BS804" s="355"/>
      <c r="BU804" s="359"/>
      <c r="BV804" s="284"/>
    </row>
    <row r="805" spans="2:74" x14ac:dyDescent="0.25">
      <c r="B805" s="284"/>
      <c r="D805" s="355"/>
      <c r="E805" s="356"/>
      <c r="F805" s="357"/>
      <c r="G805" s="358"/>
      <c r="H805" s="359"/>
      <c r="I805" s="284"/>
      <c r="J805" s="287"/>
      <c r="K805" s="355"/>
      <c r="M805" s="359"/>
      <c r="N805" s="284"/>
      <c r="O805" s="355"/>
      <c r="P805" s="360"/>
      <c r="Q805" s="359"/>
      <c r="R805" s="284"/>
      <c r="S805" s="355"/>
      <c r="U805" s="359"/>
      <c r="V805" s="284"/>
      <c r="W805" s="355"/>
      <c r="Y805" s="359"/>
      <c r="Z805" s="284"/>
      <c r="AA805" s="355"/>
      <c r="AC805" s="359"/>
      <c r="AD805" s="284"/>
      <c r="AE805" s="355"/>
      <c r="AG805" s="359"/>
      <c r="AH805" s="284"/>
      <c r="AI805" s="355"/>
      <c r="AK805" s="359"/>
      <c r="AL805" s="284"/>
      <c r="AM805" s="355"/>
      <c r="AO805" s="359"/>
      <c r="AP805" s="284"/>
      <c r="AQ805" s="355"/>
      <c r="AR805" s="360"/>
      <c r="AS805" s="359"/>
      <c r="AT805" s="284"/>
      <c r="AU805" s="355"/>
      <c r="AW805" s="359"/>
      <c r="AX805" s="284"/>
      <c r="AY805" s="355"/>
      <c r="BA805" s="359"/>
      <c r="BB805" s="284"/>
      <c r="BC805" s="355"/>
      <c r="BE805" s="359"/>
      <c r="BF805" s="284"/>
      <c r="BG805" s="355"/>
      <c r="BI805" s="359"/>
      <c r="BJ805" s="284"/>
      <c r="BK805" s="355"/>
      <c r="BM805" s="359"/>
      <c r="BN805" s="284"/>
      <c r="BO805" s="355"/>
      <c r="BQ805" s="359"/>
      <c r="BR805" s="284"/>
      <c r="BS805" s="355"/>
      <c r="BU805" s="359"/>
      <c r="BV805" s="284"/>
    </row>
    <row r="806" spans="2:74" x14ac:dyDescent="0.25">
      <c r="B806" s="284"/>
      <c r="D806" s="355"/>
      <c r="E806" s="356"/>
      <c r="F806" s="357"/>
      <c r="G806" s="358"/>
      <c r="H806" s="359"/>
      <c r="I806" s="284"/>
      <c r="J806" s="287"/>
      <c r="K806" s="355"/>
      <c r="M806" s="359"/>
      <c r="N806" s="284"/>
      <c r="O806" s="355"/>
      <c r="P806" s="360"/>
      <c r="Q806" s="359"/>
      <c r="R806" s="284"/>
      <c r="S806" s="355"/>
      <c r="U806" s="359"/>
      <c r="V806" s="284"/>
      <c r="W806" s="355"/>
      <c r="Y806" s="359"/>
      <c r="Z806" s="284"/>
      <c r="AA806" s="355"/>
      <c r="AC806" s="359"/>
      <c r="AD806" s="284"/>
      <c r="AE806" s="355"/>
      <c r="AG806" s="359"/>
      <c r="AH806" s="284"/>
      <c r="AI806" s="355"/>
      <c r="AK806" s="359"/>
      <c r="AL806" s="284"/>
      <c r="AM806" s="355"/>
      <c r="AO806" s="359"/>
      <c r="AP806" s="284"/>
      <c r="AQ806" s="355"/>
      <c r="AR806" s="360"/>
      <c r="AS806" s="359"/>
      <c r="AT806" s="284"/>
      <c r="AU806" s="355"/>
      <c r="AW806" s="359"/>
      <c r="AX806" s="284"/>
      <c r="AY806" s="355"/>
      <c r="BA806" s="359"/>
      <c r="BB806" s="284"/>
      <c r="BC806" s="355"/>
      <c r="BE806" s="359"/>
      <c r="BF806" s="284"/>
      <c r="BG806" s="355"/>
      <c r="BI806" s="359"/>
      <c r="BJ806" s="284"/>
      <c r="BK806" s="355"/>
      <c r="BM806" s="359"/>
      <c r="BN806" s="284"/>
      <c r="BO806" s="355"/>
      <c r="BQ806" s="359"/>
      <c r="BR806" s="284"/>
      <c r="BS806" s="355"/>
      <c r="BU806" s="359"/>
      <c r="BV806" s="284"/>
    </row>
    <row r="807" spans="2:74" x14ac:dyDescent="0.25">
      <c r="B807" s="284"/>
      <c r="D807" s="355"/>
      <c r="E807" s="356"/>
      <c r="F807" s="357"/>
      <c r="G807" s="358"/>
      <c r="H807" s="359"/>
      <c r="I807" s="284"/>
      <c r="J807" s="287"/>
      <c r="K807" s="355"/>
      <c r="M807" s="359"/>
      <c r="N807" s="284"/>
      <c r="O807" s="355"/>
      <c r="P807" s="360"/>
      <c r="Q807" s="359"/>
      <c r="R807" s="284"/>
      <c r="S807" s="355"/>
      <c r="U807" s="359"/>
      <c r="V807" s="284"/>
      <c r="W807" s="355"/>
      <c r="Y807" s="359"/>
      <c r="Z807" s="284"/>
      <c r="AA807" s="355"/>
      <c r="AC807" s="359"/>
      <c r="AD807" s="284"/>
      <c r="AE807" s="355"/>
      <c r="AG807" s="359"/>
      <c r="AH807" s="284"/>
      <c r="AI807" s="355"/>
      <c r="AK807" s="359"/>
      <c r="AL807" s="284"/>
      <c r="AM807" s="355"/>
      <c r="AO807" s="359"/>
      <c r="AP807" s="284"/>
      <c r="AQ807" s="355"/>
      <c r="AR807" s="360"/>
      <c r="AS807" s="359"/>
      <c r="AT807" s="284"/>
      <c r="AU807" s="355"/>
      <c r="AW807" s="359"/>
      <c r="AX807" s="284"/>
      <c r="AY807" s="355"/>
      <c r="BA807" s="359"/>
      <c r="BB807" s="284"/>
      <c r="BC807" s="355"/>
      <c r="BE807" s="359"/>
      <c r="BF807" s="284"/>
      <c r="BG807" s="355"/>
      <c r="BI807" s="359"/>
      <c r="BJ807" s="284"/>
      <c r="BK807" s="355"/>
      <c r="BM807" s="359"/>
      <c r="BN807" s="284"/>
      <c r="BO807" s="355"/>
      <c r="BQ807" s="359"/>
      <c r="BR807" s="284"/>
      <c r="BS807" s="355"/>
      <c r="BU807" s="359"/>
      <c r="BV807" s="284"/>
    </row>
    <row r="808" spans="2:74" x14ac:dyDescent="0.25">
      <c r="B808" s="284"/>
      <c r="D808" s="355"/>
      <c r="E808" s="356"/>
      <c r="F808" s="357"/>
      <c r="G808" s="358"/>
      <c r="H808" s="359"/>
      <c r="I808" s="284"/>
      <c r="J808" s="287"/>
      <c r="K808" s="355"/>
      <c r="M808" s="359"/>
      <c r="N808" s="284"/>
      <c r="O808" s="355"/>
      <c r="P808" s="360"/>
      <c r="Q808" s="359"/>
      <c r="R808" s="284"/>
      <c r="S808" s="355"/>
      <c r="U808" s="359"/>
      <c r="V808" s="284"/>
      <c r="W808" s="355"/>
      <c r="Y808" s="359"/>
      <c r="Z808" s="284"/>
      <c r="AA808" s="355"/>
      <c r="AC808" s="359"/>
      <c r="AD808" s="284"/>
      <c r="AE808" s="355"/>
      <c r="AG808" s="359"/>
      <c r="AH808" s="284"/>
      <c r="AI808" s="355"/>
      <c r="AK808" s="359"/>
      <c r="AL808" s="284"/>
      <c r="AM808" s="355"/>
      <c r="AO808" s="359"/>
      <c r="AP808" s="284"/>
      <c r="AQ808" s="355"/>
      <c r="AR808" s="360"/>
      <c r="AS808" s="359"/>
      <c r="AT808" s="284"/>
      <c r="AU808" s="355"/>
      <c r="AW808" s="359"/>
      <c r="AX808" s="284"/>
      <c r="AY808" s="355"/>
      <c r="BA808" s="359"/>
      <c r="BB808" s="284"/>
      <c r="BC808" s="355"/>
      <c r="BE808" s="359"/>
      <c r="BF808" s="284"/>
      <c r="BG808" s="355"/>
      <c r="BI808" s="359"/>
      <c r="BJ808" s="284"/>
      <c r="BK808" s="355"/>
      <c r="BM808" s="359"/>
      <c r="BN808" s="284"/>
      <c r="BO808" s="355"/>
      <c r="BQ808" s="359"/>
      <c r="BR808" s="284"/>
      <c r="BS808" s="355"/>
      <c r="BU808" s="359"/>
      <c r="BV808" s="284"/>
    </row>
    <row r="809" spans="2:74" x14ac:dyDescent="0.25">
      <c r="B809" s="284"/>
      <c r="D809" s="355"/>
      <c r="E809" s="356"/>
      <c r="F809" s="357"/>
      <c r="G809" s="358"/>
      <c r="H809" s="359"/>
      <c r="I809" s="284"/>
      <c r="J809" s="287"/>
      <c r="K809" s="355"/>
      <c r="M809" s="359"/>
      <c r="N809" s="284"/>
      <c r="O809" s="355"/>
      <c r="P809" s="360"/>
      <c r="Q809" s="359"/>
      <c r="R809" s="284"/>
      <c r="S809" s="355"/>
      <c r="U809" s="359"/>
      <c r="V809" s="284"/>
      <c r="W809" s="355"/>
      <c r="Y809" s="359"/>
      <c r="Z809" s="284"/>
      <c r="AA809" s="355"/>
      <c r="AC809" s="359"/>
      <c r="AD809" s="284"/>
      <c r="AE809" s="355"/>
      <c r="AG809" s="359"/>
      <c r="AH809" s="284"/>
      <c r="AI809" s="355"/>
      <c r="AK809" s="359"/>
      <c r="AL809" s="284"/>
      <c r="AM809" s="355"/>
      <c r="AO809" s="359"/>
      <c r="AP809" s="284"/>
      <c r="AQ809" s="355"/>
      <c r="AR809" s="360"/>
      <c r="AS809" s="359"/>
      <c r="AT809" s="284"/>
      <c r="AU809" s="355"/>
      <c r="AW809" s="359"/>
      <c r="AX809" s="284"/>
      <c r="AY809" s="355"/>
      <c r="BA809" s="359"/>
      <c r="BB809" s="284"/>
      <c r="BC809" s="355"/>
      <c r="BE809" s="359"/>
      <c r="BF809" s="284"/>
      <c r="BG809" s="355"/>
      <c r="BI809" s="359"/>
      <c r="BJ809" s="284"/>
      <c r="BK809" s="355"/>
      <c r="BM809" s="359"/>
      <c r="BN809" s="284"/>
      <c r="BO809" s="355"/>
      <c r="BQ809" s="359"/>
      <c r="BR809" s="284"/>
      <c r="BS809" s="355"/>
      <c r="BU809" s="359"/>
      <c r="BV809" s="284"/>
    </row>
    <row r="810" spans="2:74" x14ac:dyDescent="0.25">
      <c r="B810" s="284"/>
      <c r="D810" s="355"/>
      <c r="E810" s="356"/>
      <c r="F810" s="357"/>
      <c r="G810" s="358"/>
      <c r="H810" s="359"/>
      <c r="I810" s="284"/>
      <c r="J810" s="287"/>
      <c r="K810" s="355"/>
      <c r="M810" s="359"/>
      <c r="N810" s="284"/>
      <c r="O810" s="355"/>
      <c r="P810" s="360"/>
      <c r="Q810" s="359"/>
      <c r="R810" s="284"/>
      <c r="S810" s="355"/>
      <c r="U810" s="359"/>
      <c r="V810" s="284"/>
      <c r="W810" s="355"/>
      <c r="Y810" s="359"/>
      <c r="Z810" s="284"/>
      <c r="AA810" s="355"/>
      <c r="AC810" s="359"/>
      <c r="AD810" s="284"/>
      <c r="AE810" s="355"/>
      <c r="AG810" s="359"/>
      <c r="AH810" s="284"/>
      <c r="AI810" s="355"/>
      <c r="AK810" s="359"/>
      <c r="AL810" s="284"/>
      <c r="AM810" s="355"/>
      <c r="AO810" s="359"/>
      <c r="AP810" s="284"/>
      <c r="AQ810" s="355"/>
      <c r="AR810" s="360"/>
      <c r="AS810" s="359"/>
      <c r="AT810" s="284"/>
      <c r="AU810" s="355"/>
      <c r="AW810" s="359"/>
      <c r="AX810" s="284"/>
      <c r="AY810" s="355"/>
      <c r="BA810" s="359"/>
      <c r="BB810" s="284"/>
      <c r="BC810" s="355"/>
      <c r="BE810" s="359"/>
      <c r="BF810" s="284"/>
      <c r="BG810" s="355"/>
      <c r="BI810" s="359"/>
      <c r="BJ810" s="284"/>
      <c r="BK810" s="355"/>
      <c r="BM810" s="359"/>
      <c r="BN810" s="284"/>
      <c r="BO810" s="355"/>
      <c r="BQ810" s="359"/>
      <c r="BR810" s="284"/>
      <c r="BS810" s="355"/>
      <c r="BU810" s="359"/>
      <c r="BV810" s="284"/>
    </row>
    <row r="811" spans="2:74" x14ac:dyDescent="0.25">
      <c r="B811" s="284"/>
      <c r="D811" s="355"/>
      <c r="E811" s="356"/>
      <c r="F811" s="357"/>
      <c r="G811" s="358"/>
      <c r="H811" s="359"/>
      <c r="I811" s="284"/>
      <c r="J811" s="287"/>
      <c r="K811" s="355"/>
      <c r="M811" s="359"/>
      <c r="N811" s="284"/>
      <c r="O811" s="355"/>
      <c r="P811" s="360"/>
      <c r="Q811" s="359"/>
      <c r="R811" s="284"/>
      <c r="S811" s="355"/>
      <c r="U811" s="359"/>
      <c r="V811" s="284"/>
      <c r="W811" s="355"/>
      <c r="Y811" s="359"/>
      <c r="Z811" s="284"/>
      <c r="AA811" s="355"/>
      <c r="AC811" s="359"/>
      <c r="AD811" s="284"/>
      <c r="AE811" s="355"/>
      <c r="AG811" s="359"/>
      <c r="AH811" s="284"/>
      <c r="AI811" s="355"/>
      <c r="AK811" s="359"/>
      <c r="AL811" s="284"/>
      <c r="AM811" s="355"/>
      <c r="AO811" s="359"/>
      <c r="AP811" s="284"/>
      <c r="AQ811" s="355"/>
      <c r="AR811" s="360"/>
      <c r="AS811" s="359"/>
      <c r="AT811" s="284"/>
      <c r="AU811" s="355"/>
      <c r="AW811" s="359"/>
      <c r="AX811" s="284"/>
      <c r="AY811" s="355"/>
      <c r="BA811" s="359"/>
      <c r="BB811" s="284"/>
      <c r="BC811" s="355"/>
      <c r="BE811" s="359"/>
      <c r="BF811" s="284"/>
      <c r="BG811" s="355"/>
      <c r="BI811" s="359"/>
      <c r="BJ811" s="284"/>
      <c r="BK811" s="355"/>
      <c r="BM811" s="359"/>
      <c r="BN811" s="284"/>
      <c r="BO811" s="355"/>
      <c r="BQ811" s="359"/>
      <c r="BR811" s="284"/>
      <c r="BS811" s="355"/>
      <c r="BU811" s="359"/>
      <c r="BV811" s="284"/>
    </row>
    <row r="812" spans="2:74" x14ac:dyDescent="0.25">
      <c r="B812" s="284"/>
      <c r="D812" s="355"/>
      <c r="E812" s="356"/>
      <c r="F812" s="357"/>
      <c r="G812" s="358"/>
      <c r="H812" s="359"/>
      <c r="I812" s="284"/>
      <c r="J812" s="287"/>
      <c r="K812" s="355"/>
      <c r="M812" s="359"/>
      <c r="N812" s="284"/>
      <c r="O812" s="355"/>
      <c r="P812" s="360"/>
      <c r="Q812" s="359"/>
      <c r="R812" s="284"/>
      <c r="S812" s="355"/>
      <c r="U812" s="359"/>
      <c r="V812" s="284"/>
      <c r="W812" s="355"/>
      <c r="Y812" s="359"/>
      <c r="Z812" s="284"/>
      <c r="AA812" s="355"/>
      <c r="AC812" s="359"/>
      <c r="AD812" s="284"/>
      <c r="AE812" s="355"/>
      <c r="AG812" s="359"/>
      <c r="AH812" s="284"/>
      <c r="AI812" s="355"/>
      <c r="AK812" s="359"/>
      <c r="AL812" s="284"/>
      <c r="AM812" s="355"/>
      <c r="AO812" s="359"/>
      <c r="AP812" s="284"/>
      <c r="AQ812" s="355"/>
      <c r="AR812" s="360"/>
      <c r="AS812" s="359"/>
      <c r="AT812" s="284"/>
      <c r="AU812" s="355"/>
      <c r="AW812" s="359"/>
      <c r="AX812" s="284"/>
      <c r="AY812" s="355"/>
      <c r="BA812" s="359"/>
      <c r="BB812" s="284"/>
      <c r="BC812" s="355"/>
      <c r="BE812" s="359"/>
      <c r="BF812" s="284"/>
      <c r="BG812" s="355"/>
      <c r="BI812" s="359"/>
      <c r="BJ812" s="284"/>
      <c r="BK812" s="355"/>
      <c r="BM812" s="359"/>
      <c r="BN812" s="284"/>
      <c r="BO812" s="355"/>
      <c r="BQ812" s="359"/>
      <c r="BR812" s="284"/>
      <c r="BS812" s="355"/>
      <c r="BU812" s="359"/>
      <c r="BV812" s="284"/>
    </row>
    <row r="813" spans="2:74" x14ac:dyDescent="0.25">
      <c r="B813" s="284"/>
      <c r="D813" s="355"/>
      <c r="E813" s="356"/>
      <c r="F813" s="357"/>
      <c r="G813" s="358"/>
      <c r="H813" s="359"/>
      <c r="I813" s="284"/>
      <c r="J813" s="287"/>
      <c r="K813" s="355"/>
      <c r="M813" s="359"/>
      <c r="N813" s="284"/>
      <c r="O813" s="355"/>
      <c r="P813" s="360"/>
      <c r="Q813" s="359"/>
      <c r="R813" s="284"/>
      <c r="S813" s="355"/>
      <c r="U813" s="359"/>
      <c r="V813" s="284"/>
      <c r="W813" s="355"/>
      <c r="Y813" s="359"/>
      <c r="Z813" s="284"/>
      <c r="AA813" s="355"/>
      <c r="AC813" s="359"/>
      <c r="AD813" s="284"/>
      <c r="AE813" s="355"/>
      <c r="AG813" s="359"/>
      <c r="AH813" s="284"/>
      <c r="AI813" s="355"/>
      <c r="AK813" s="359"/>
      <c r="AL813" s="284"/>
      <c r="AM813" s="355"/>
      <c r="AO813" s="359"/>
      <c r="AP813" s="284"/>
      <c r="AQ813" s="355"/>
      <c r="AR813" s="360"/>
      <c r="AS813" s="359"/>
      <c r="AT813" s="284"/>
      <c r="AU813" s="355"/>
      <c r="AW813" s="359"/>
      <c r="AX813" s="284"/>
      <c r="AY813" s="355"/>
      <c r="BA813" s="359"/>
      <c r="BB813" s="284"/>
      <c r="BC813" s="355"/>
      <c r="BE813" s="359"/>
      <c r="BF813" s="284"/>
      <c r="BG813" s="355"/>
      <c r="BI813" s="359"/>
      <c r="BJ813" s="284"/>
      <c r="BK813" s="355"/>
      <c r="BM813" s="359"/>
      <c r="BN813" s="284"/>
      <c r="BO813" s="355"/>
      <c r="BQ813" s="359"/>
      <c r="BR813" s="284"/>
      <c r="BS813" s="355"/>
      <c r="BU813" s="359"/>
      <c r="BV813" s="284"/>
    </row>
    <row r="814" spans="2:74" x14ac:dyDescent="0.25">
      <c r="B814" s="284"/>
      <c r="D814" s="355"/>
      <c r="E814" s="356"/>
      <c r="F814" s="357"/>
      <c r="G814" s="358"/>
      <c r="H814" s="359"/>
      <c r="I814" s="284"/>
      <c r="J814" s="287"/>
      <c r="K814" s="355"/>
      <c r="M814" s="359"/>
      <c r="N814" s="284"/>
      <c r="O814" s="355"/>
      <c r="P814" s="360"/>
      <c r="Q814" s="359"/>
      <c r="R814" s="284"/>
      <c r="S814" s="355"/>
      <c r="U814" s="359"/>
      <c r="V814" s="284"/>
      <c r="W814" s="355"/>
      <c r="Y814" s="359"/>
      <c r="Z814" s="284"/>
      <c r="AA814" s="355"/>
      <c r="AC814" s="359"/>
      <c r="AD814" s="284"/>
      <c r="AE814" s="355"/>
      <c r="AG814" s="359"/>
      <c r="AH814" s="284"/>
      <c r="AI814" s="355"/>
      <c r="AK814" s="359"/>
      <c r="AL814" s="284"/>
      <c r="AM814" s="355"/>
      <c r="AO814" s="359"/>
      <c r="AP814" s="284"/>
      <c r="AQ814" s="355"/>
      <c r="AR814" s="360"/>
      <c r="AS814" s="359"/>
      <c r="AT814" s="284"/>
      <c r="AU814" s="355"/>
      <c r="AW814" s="359"/>
      <c r="AX814" s="284"/>
      <c r="AY814" s="355"/>
      <c r="BA814" s="359"/>
      <c r="BB814" s="284"/>
      <c r="BC814" s="355"/>
      <c r="BE814" s="359"/>
      <c r="BF814" s="284"/>
      <c r="BG814" s="355"/>
      <c r="BI814" s="359"/>
      <c r="BJ814" s="284"/>
      <c r="BK814" s="355"/>
      <c r="BM814" s="359"/>
      <c r="BN814" s="284"/>
      <c r="BO814" s="355"/>
      <c r="BQ814" s="359"/>
      <c r="BR814" s="284"/>
      <c r="BS814" s="355"/>
      <c r="BU814" s="359"/>
      <c r="BV814" s="284"/>
    </row>
    <row r="815" spans="2:74" x14ac:dyDescent="0.25">
      <c r="B815" s="284"/>
      <c r="D815" s="355"/>
      <c r="E815" s="356"/>
      <c r="F815" s="357"/>
      <c r="G815" s="358"/>
      <c r="H815" s="359"/>
      <c r="I815" s="284"/>
      <c r="J815" s="287"/>
      <c r="K815" s="355"/>
      <c r="M815" s="359"/>
      <c r="N815" s="284"/>
      <c r="O815" s="355"/>
      <c r="P815" s="360"/>
      <c r="Q815" s="359"/>
      <c r="R815" s="284"/>
      <c r="S815" s="355"/>
      <c r="U815" s="359"/>
      <c r="V815" s="284"/>
      <c r="W815" s="355"/>
      <c r="Y815" s="359"/>
      <c r="Z815" s="284"/>
      <c r="AA815" s="355"/>
      <c r="AC815" s="359"/>
      <c r="AD815" s="284"/>
      <c r="AE815" s="355"/>
      <c r="AG815" s="359"/>
      <c r="AH815" s="284"/>
      <c r="AI815" s="355"/>
      <c r="AK815" s="359"/>
      <c r="AL815" s="284"/>
      <c r="AM815" s="355"/>
      <c r="AO815" s="359"/>
      <c r="AP815" s="284"/>
      <c r="AQ815" s="355"/>
      <c r="AR815" s="360"/>
      <c r="AS815" s="359"/>
      <c r="AT815" s="284"/>
      <c r="AU815" s="355"/>
      <c r="AW815" s="359"/>
      <c r="AX815" s="284"/>
      <c r="AY815" s="355"/>
      <c r="BA815" s="359"/>
      <c r="BB815" s="284"/>
      <c r="BC815" s="355"/>
      <c r="BE815" s="359"/>
      <c r="BF815" s="284"/>
      <c r="BG815" s="355"/>
      <c r="BI815" s="359"/>
      <c r="BJ815" s="284"/>
      <c r="BK815" s="355"/>
      <c r="BM815" s="359"/>
      <c r="BN815" s="284"/>
      <c r="BO815" s="355"/>
      <c r="BQ815" s="359"/>
      <c r="BR815" s="284"/>
      <c r="BS815" s="355"/>
      <c r="BU815" s="359"/>
      <c r="BV815" s="284"/>
    </row>
    <row r="816" spans="2:74" x14ac:dyDescent="0.25">
      <c r="B816" s="284"/>
      <c r="D816" s="355"/>
      <c r="E816" s="356"/>
      <c r="F816" s="357"/>
      <c r="G816" s="358"/>
      <c r="H816" s="359"/>
      <c r="I816" s="284"/>
      <c r="J816" s="287"/>
      <c r="K816" s="355"/>
      <c r="M816" s="359"/>
      <c r="N816" s="284"/>
      <c r="O816" s="355"/>
      <c r="P816" s="360"/>
      <c r="Q816" s="359"/>
      <c r="R816" s="284"/>
      <c r="S816" s="355"/>
      <c r="U816" s="359"/>
      <c r="V816" s="284"/>
      <c r="W816" s="355"/>
      <c r="Y816" s="359"/>
      <c r="Z816" s="284"/>
      <c r="AA816" s="355"/>
      <c r="AC816" s="359"/>
      <c r="AD816" s="284"/>
      <c r="AE816" s="355"/>
      <c r="AG816" s="359"/>
      <c r="AH816" s="284"/>
      <c r="AI816" s="355"/>
      <c r="AK816" s="359"/>
      <c r="AL816" s="284"/>
      <c r="AM816" s="355"/>
      <c r="AO816" s="359"/>
      <c r="AP816" s="284"/>
      <c r="AQ816" s="355"/>
      <c r="AR816" s="360"/>
      <c r="AS816" s="359"/>
      <c r="AT816" s="284"/>
      <c r="AU816" s="355"/>
      <c r="AW816" s="359"/>
      <c r="AX816" s="284"/>
      <c r="AY816" s="355"/>
      <c r="BA816" s="359"/>
      <c r="BB816" s="284"/>
      <c r="BC816" s="355"/>
      <c r="BE816" s="359"/>
      <c r="BF816" s="284"/>
      <c r="BG816" s="355"/>
      <c r="BI816" s="359"/>
      <c r="BJ816" s="284"/>
      <c r="BK816" s="355"/>
      <c r="BM816" s="359"/>
      <c r="BN816" s="284"/>
      <c r="BO816" s="355"/>
      <c r="BQ816" s="359"/>
      <c r="BR816" s="284"/>
      <c r="BS816" s="355"/>
      <c r="BU816" s="359"/>
      <c r="BV816" s="284"/>
    </row>
    <row r="817" spans="2:74" x14ac:dyDescent="0.25">
      <c r="B817" s="284"/>
      <c r="D817" s="355"/>
      <c r="E817" s="356"/>
      <c r="F817" s="357"/>
      <c r="G817" s="358"/>
      <c r="H817" s="359"/>
      <c r="I817" s="284"/>
      <c r="J817" s="287"/>
      <c r="K817" s="355"/>
      <c r="M817" s="359"/>
      <c r="N817" s="284"/>
      <c r="O817" s="355"/>
      <c r="P817" s="360"/>
      <c r="Q817" s="359"/>
      <c r="R817" s="284"/>
      <c r="S817" s="355"/>
      <c r="U817" s="359"/>
      <c r="V817" s="284"/>
      <c r="W817" s="355"/>
      <c r="Y817" s="359"/>
      <c r="Z817" s="284"/>
      <c r="AA817" s="355"/>
      <c r="AC817" s="359"/>
      <c r="AD817" s="284"/>
      <c r="AE817" s="355"/>
      <c r="AG817" s="359"/>
      <c r="AH817" s="284"/>
      <c r="AI817" s="355"/>
      <c r="AK817" s="359"/>
      <c r="AL817" s="284"/>
      <c r="AM817" s="355"/>
      <c r="AO817" s="359"/>
      <c r="AP817" s="284"/>
      <c r="AQ817" s="355"/>
      <c r="AR817" s="360"/>
      <c r="AS817" s="359"/>
      <c r="AT817" s="284"/>
      <c r="AU817" s="355"/>
      <c r="AW817" s="359"/>
      <c r="AX817" s="284"/>
      <c r="AY817" s="355"/>
      <c r="BA817" s="359"/>
      <c r="BB817" s="284"/>
      <c r="BC817" s="355"/>
      <c r="BE817" s="359"/>
      <c r="BF817" s="284"/>
      <c r="BG817" s="355"/>
      <c r="BI817" s="359"/>
      <c r="BJ817" s="284"/>
      <c r="BK817" s="355"/>
      <c r="BM817" s="359"/>
      <c r="BN817" s="284"/>
      <c r="BO817" s="355"/>
      <c r="BQ817" s="359"/>
      <c r="BR817" s="284"/>
      <c r="BS817" s="355"/>
      <c r="BU817" s="359"/>
      <c r="BV817" s="284"/>
    </row>
    <row r="818" spans="2:74" x14ac:dyDescent="0.25">
      <c r="B818" s="284"/>
      <c r="D818" s="355"/>
      <c r="E818" s="356"/>
      <c r="F818" s="357"/>
      <c r="G818" s="358"/>
      <c r="H818" s="359"/>
      <c r="I818" s="284"/>
      <c r="J818" s="287"/>
      <c r="K818" s="355"/>
      <c r="M818" s="359"/>
      <c r="N818" s="284"/>
      <c r="O818" s="355"/>
      <c r="P818" s="360"/>
      <c r="Q818" s="359"/>
      <c r="R818" s="284"/>
      <c r="S818" s="355"/>
      <c r="U818" s="359"/>
      <c r="V818" s="284"/>
      <c r="W818" s="355"/>
      <c r="Y818" s="359"/>
      <c r="Z818" s="284"/>
      <c r="AA818" s="355"/>
      <c r="AC818" s="359"/>
      <c r="AD818" s="284"/>
      <c r="AE818" s="355"/>
      <c r="AG818" s="359"/>
      <c r="AH818" s="284"/>
      <c r="AI818" s="355"/>
      <c r="AK818" s="359"/>
      <c r="AL818" s="284"/>
      <c r="AM818" s="355"/>
      <c r="AO818" s="359"/>
      <c r="AP818" s="284"/>
      <c r="AQ818" s="355"/>
      <c r="AR818" s="360"/>
      <c r="AS818" s="359"/>
      <c r="AT818" s="284"/>
      <c r="AU818" s="355"/>
      <c r="AW818" s="359"/>
      <c r="AX818" s="284"/>
      <c r="AY818" s="355"/>
      <c r="BA818" s="359"/>
      <c r="BB818" s="284"/>
      <c r="BC818" s="355"/>
      <c r="BE818" s="359"/>
      <c r="BF818" s="284"/>
      <c r="BG818" s="355"/>
      <c r="BI818" s="359"/>
      <c r="BJ818" s="284"/>
      <c r="BK818" s="355"/>
      <c r="BM818" s="359"/>
      <c r="BN818" s="284"/>
      <c r="BO818" s="355"/>
      <c r="BQ818" s="359"/>
      <c r="BR818" s="284"/>
      <c r="BS818" s="355"/>
      <c r="BU818" s="359"/>
      <c r="BV818" s="284"/>
    </row>
    <row r="819" spans="2:74" x14ac:dyDescent="0.25">
      <c r="B819" s="284"/>
      <c r="D819" s="355"/>
      <c r="E819" s="356"/>
      <c r="F819" s="357"/>
      <c r="G819" s="358"/>
      <c r="H819" s="359"/>
      <c r="I819" s="284"/>
      <c r="J819" s="287"/>
      <c r="K819" s="355"/>
      <c r="M819" s="359"/>
      <c r="N819" s="284"/>
      <c r="O819" s="355"/>
      <c r="P819" s="360"/>
      <c r="Q819" s="359"/>
      <c r="R819" s="284"/>
      <c r="S819" s="355"/>
      <c r="U819" s="359"/>
      <c r="V819" s="284"/>
      <c r="W819" s="355"/>
      <c r="Y819" s="359"/>
      <c r="Z819" s="284"/>
      <c r="AA819" s="355"/>
      <c r="AC819" s="359"/>
      <c r="AD819" s="284"/>
      <c r="AE819" s="355"/>
      <c r="AG819" s="359"/>
      <c r="AH819" s="284"/>
      <c r="AI819" s="355"/>
      <c r="AK819" s="359"/>
      <c r="AL819" s="284"/>
      <c r="AM819" s="355"/>
      <c r="AO819" s="359"/>
      <c r="AP819" s="284"/>
      <c r="AQ819" s="355"/>
      <c r="AR819" s="360"/>
      <c r="AS819" s="359"/>
      <c r="AT819" s="284"/>
      <c r="AU819" s="355"/>
      <c r="AW819" s="359"/>
      <c r="AX819" s="284"/>
      <c r="AY819" s="355"/>
      <c r="BA819" s="359"/>
      <c r="BB819" s="284"/>
      <c r="BC819" s="355"/>
      <c r="BE819" s="359"/>
      <c r="BF819" s="284"/>
      <c r="BG819" s="355"/>
      <c r="BI819" s="359"/>
      <c r="BJ819" s="284"/>
      <c r="BK819" s="355"/>
      <c r="BM819" s="359"/>
      <c r="BN819" s="284"/>
      <c r="BO819" s="355"/>
      <c r="BQ819" s="359"/>
      <c r="BR819" s="284"/>
      <c r="BS819" s="355"/>
      <c r="BU819" s="359"/>
      <c r="BV819" s="284"/>
    </row>
    <row r="820" spans="2:74" x14ac:dyDescent="0.25">
      <c r="B820" s="284"/>
      <c r="D820" s="355"/>
      <c r="E820" s="356"/>
      <c r="F820" s="357"/>
      <c r="G820" s="358"/>
      <c r="H820" s="359"/>
      <c r="I820" s="284"/>
      <c r="J820" s="287"/>
      <c r="K820" s="355"/>
      <c r="M820" s="359"/>
      <c r="N820" s="284"/>
      <c r="O820" s="355"/>
      <c r="P820" s="360"/>
      <c r="Q820" s="359"/>
      <c r="R820" s="284"/>
      <c r="S820" s="355"/>
      <c r="U820" s="359"/>
      <c r="V820" s="284"/>
      <c r="W820" s="355"/>
      <c r="Y820" s="359"/>
      <c r="Z820" s="284"/>
      <c r="AA820" s="355"/>
      <c r="AC820" s="359"/>
      <c r="AD820" s="284"/>
      <c r="AE820" s="355"/>
      <c r="AG820" s="359"/>
      <c r="AH820" s="284"/>
      <c r="AI820" s="355"/>
      <c r="AK820" s="359"/>
      <c r="AL820" s="284"/>
      <c r="AM820" s="355"/>
      <c r="AO820" s="359"/>
      <c r="AP820" s="284"/>
      <c r="AQ820" s="355"/>
      <c r="AR820" s="360"/>
      <c r="AS820" s="359"/>
      <c r="AT820" s="284"/>
      <c r="AU820" s="355"/>
      <c r="AW820" s="359"/>
      <c r="AX820" s="284"/>
      <c r="AY820" s="355"/>
      <c r="BA820" s="359"/>
      <c r="BB820" s="284"/>
      <c r="BC820" s="355"/>
      <c r="BE820" s="359"/>
      <c r="BF820" s="284"/>
      <c r="BG820" s="355"/>
      <c r="BI820" s="359"/>
      <c r="BJ820" s="284"/>
      <c r="BK820" s="355"/>
      <c r="BM820" s="359"/>
      <c r="BN820" s="284"/>
      <c r="BO820" s="355"/>
      <c r="BQ820" s="359"/>
      <c r="BR820" s="284"/>
      <c r="BS820" s="355"/>
      <c r="BU820" s="359"/>
      <c r="BV820" s="284"/>
    </row>
    <row r="821" spans="2:74" x14ac:dyDescent="0.25">
      <c r="B821" s="284"/>
      <c r="D821" s="355"/>
      <c r="E821" s="356"/>
      <c r="F821" s="357"/>
      <c r="G821" s="358"/>
      <c r="H821" s="359"/>
      <c r="I821" s="284"/>
      <c r="J821" s="287"/>
      <c r="K821" s="355"/>
      <c r="M821" s="359"/>
      <c r="N821" s="284"/>
      <c r="O821" s="355"/>
      <c r="P821" s="360"/>
      <c r="Q821" s="359"/>
      <c r="R821" s="284"/>
      <c r="S821" s="355"/>
      <c r="U821" s="359"/>
      <c r="V821" s="284"/>
      <c r="W821" s="355"/>
      <c r="Y821" s="359"/>
      <c r="Z821" s="284"/>
      <c r="AA821" s="355"/>
      <c r="AC821" s="359"/>
      <c r="AD821" s="284"/>
      <c r="AE821" s="355"/>
      <c r="AG821" s="359"/>
      <c r="AH821" s="284"/>
      <c r="AI821" s="355"/>
      <c r="AK821" s="359"/>
      <c r="AL821" s="284"/>
      <c r="AM821" s="355"/>
      <c r="AO821" s="359"/>
      <c r="AP821" s="284"/>
      <c r="AQ821" s="355"/>
      <c r="AR821" s="360"/>
      <c r="AS821" s="359"/>
      <c r="AT821" s="284"/>
      <c r="AU821" s="355"/>
      <c r="AW821" s="359"/>
      <c r="AX821" s="284"/>
      <c r="AY821" s="355"/>
      <c r="BA821" s="359"/>
      <c r="BB821" s="284"/>
      <c r="BC821" s="355"/>
      <c r="BE821" s="359"/>
      <c r="BF821" s="284"/>
      <c r="BG821" s="355"/>
      <c r="BI821" s="359"/>
      <c r="BJ821" s="284"/>
      <c r="BK821" s="355"/>
      <c r="BM821" s="359"/>
      <c r="BN821" s="284"/>
      <c r="BO821" s="355"/>
      <c r="BQ821" s="359"/>
      <c r="BR821" s="284"/>
      <c r="BS821" s="355"/>
      <c r="BU821" s="359"/>
      <c r="BV821" s="284"/>
    </row>
    <row r="822" spans="2:74" x14ac:dyDescent="0.25">
      <c r="B822" s="284"/>
      <c r="D822" s="355"/>
      <c r="E822" s="356"/>
      <c r="F822" s="357"/>
      <c r="G822" s="358"/>
      <c r="H822" s="359"/>
      <c r="I822" s="284"/>
      <c r="J822" s="287"/>
      <c r="K822" s="355"/>
      <c r="M822" s="359"/>
      <c r="N822" s="284"/>
      <c r="O822" s="355"/>
      <c r="P822" s="360"/>
      <c r="Q822" s="359"/>
      <c r="R822" s="284"/>
      <c r="S822" s="355"/>
      <c r="U822" s="359"/>
      <c r="V822" s="284"/>
      <c r="W822" s="355"/>
      <c r="Y822" s="359"/>
      <c r="Z822" s="284"/>
      <c r="AA822" s="355"/>
      <c r="AC822" s="359"/>
      <c r="AD822" s="284"/>
      <c r="AE822" s="355"/>
      <c r="AG822" s="359"/>
      <c r="AH822" s="284"/>
      <c r="AI822" s="355"/>
      <c r="AK822" s="359"/>
      <c r="AL822" s="284"/>
      <c r="AM822" s="355"/>
      <c r="AO822" s="359"/>
      <c r="AP822" s="284"/>
      <c r="AQ822" s="355"/>
      <c r="AR822" s="360"/>
      <c r="AS822" s="359"/>
      <c r="AT822" s="284"/>
      <c r="AU822" s="355"/>
      <c r="AW822" s="359"/>
      <c r="AX822" s="284"/>
      <c r="AY822" s="355"/>
      <c r="BA822" s="359"/>
      <c r="BB822" s="284"/>
      <c r="BC822" s="355"/>
      <c r="BE822" s="359"/>
      <c r="BF822" s="284"/>
      <c r="BG822" s="355"/>
      <c r="BI822" s="359"/>
      <c r="BJ822" s="284"/>
      <c r="BK822" s="355"/>
      <c r="BM822" s="359"/>
      <c r="BN822" s="284"/>
      <c r="BO822" s="355"/>
      <c r="BQ822" s="359"/>
      <c r="BR822" s="284"/>
      <c r="BS822" s="355"/>
      <c r="BU822" s="359"/>
      <c r="BV822" s="284"/>
    </row>
    <row r="823" spans="2:74" x14ac:dyDescent="0.25">
      <c r="B823" s="284"/>
      <c r="D823" s="355"/>
      <c r="E823" s="356"/>
      <c r="F823" s="357"/>
      <c r="G823" s="358"/>
      <c r="H823" s="359"/>
      <c r="I823" s="284"/>
      <c r="J823" s="287"/>
      <c r="K823" s="355"/>
      <c r="M823" s="359"/>
      <c r="N823" s="284"/>
      <c r="O823" s="355"/>
      <c r="P823" s="360"/>
      <c r="Q823" s="359"/>
      <c r="R823" s="284"/>
      <c r="S823" s="355"/>
      <c r="U823" s="359"/>
      <c r="V823" s="284"/>
      <c r="W823" s="355"/>
      <c r="Y823" s="359"/>
      <c r="Z823" s="284"/>
      <c r="AA823" s="355"/>
      <c r="AC823" s="359"/>
      <c r="AD823" s="284"/>
      <c r="AE823" s="355"/>
      <c r="AG823" s="359"/>
      <c r="AH823" s="284"/>
      <c r="AI823" s="355"/>
      <c r="AK823" s="359"/>
      <c r="AL823" s="284"/>
      <c r="AM823" s="355"/>
      <c r="AO823" s="359"/>
      <c r="AP823" s="284"/>
      <c r="AQ823" s="355"/>
      <c r="AR823" s="360"/>
      <c r="AS823" s="359"/>
      <c r="AT823" s="284"/>
      <c r="AU823" s="355"/>
      <c r="AW823" s="359"/>
      <c r="AX823" s="284"/>
      <c r="AY823" s="355"/>
      <c r="BA823" s="359"/>
      <c r="BB823" s="284"/>
      <c r="BC823" s="355"/>
      <c r="BE823" s="359"/>
      <c r="BF823" s="284"/>
      <c r="BG823" s="355"/>
      <c r="BI823" s="359"/>
      <c r="BJ823" s="284"/>
      <c r="BK823" s="355"/>
      <c r="BM823" s="359"/>
      <c r="BN823" s="284"/>
      <c r="BO823" s="355"/>
      <c r="BQ823" s="359"/>
      <c r="BR823" s="284"/>
      <c r="BS823" s="355"/>
      <c r="BU823" s="359"/>
      <c r="BV823" s="284"/>
    </row>
    <row r="824" spans="2:74" x14ac:dyDescent="0.25">
      <c r="B824" s="284"/>
      <c r="D824" s="355"/>
      <c r="E824" s="356"/>
      <c r="F824" s="357"/>
      <c r="G824" s="358"/>
      <c r="H824" s="359"/>
      <c r="I824" s="284"/>
      <c r="J824" s="287"/>
      <c r="K824" s="355"/>
      <c r="M824" s="359"/>
      <c r="N824" s="284"/>
      <c r="O824" s="355"/>
      <c r="P824" s="360"/>
      <c r="Q824" s="359"/>
      <c r="R824" s="284"/>
      <c r="S824" s="355"/>
      <c r="U824" s="359"/>
      <c r="V824" s="284"/>
      <c r="W824" s="355"/>
      <c r="Y824" s="359"/>
      <c r="Z824" s="284"/>
      <c r="AA824" s="355"/>
      <c r="AC824" s="359"/>
      <c r="AD824" s="284"/>
      <c r="AE824" s="355"/>
      <c r="AG824" s="359"/>
      <c r="AH824" s="284"/>
      <c r="AI824" s="355"/>
      <c r="AK824" s="359"/>
      <c r="AL824" s="284"/>
      <c r="AM824" s="355"/>
      <c r="AO824" s="359"/>
      <c r="AP824" s="284"/>
      <c r="AQ824" s="355"/>
      <c r="AR824" s="360"/>
      <c r="AS824" s="359"/>
      <c r="AT824" s="284"/>
      <c r="AU824" s="355"/>
      <c r="AW824" s="359"/>
      <c r="AX824" s="284"/>
      <c r="AY824" s="355"/>
      <c r="BA824" s="359"/>
      <c r="BB824" s="284"/>
      <c r="BC824" s="355"/>
      <c r="BE824" s="359"/>
      <c r="BF824" s="284"/>
      <c r="BG824" s="355"/>
      <c r="BI824" s="359"/>
      <c r="BJ824" s="284"/>
      <c r="BK824" s="355"/>
      <c r="BM824" s="359"/>
      <c r="BN824" s="284"/>
      <c r="BO824" s="355"/>
      <c r="BQ824" s="359"/>
      <c r="BR824" s="284"/>
      <c r="BS824" s="355"/>
      <c r="BU824" s="359"/>
      <c r="BV824" s="284"/>
    </row>
    <row r="825" spans="2:74" x14ac:dyDescent="0.25">
      <c r="B825" s="284"/>
      <c r="D825" s="355"/>
      <c r="E825" s="356"/>
      <c r="F825" s="357"/>
      <c r="G825" s="358"/>
      <c r="H825" s="359"/>
      <c r="I825" s="284"/>
      <c r="J825" s="287"/>
      <c r="K825" s="355"/>
      <c r="M825" s="359"/>
      <c r="N825" s="284"/>
      <c r="O825" s="355"/>
      <c r="P825" s="360"/>
      <c r="Q825" s="359"/>
      <c r="R825" s="284"/>
      <c r="S825" s="355"/>
      <c r="U825" s="359"/>
      <c r="V825" s="284"/>
      <c r="W825" s="355"/>
      <c r="Y825" s="359"/>
      <c r="Z825" s="284"/>
      <c r="AA825" s="355"/>
      <c r="AC825" s="359"/>
      <c r="AD825" s="284"/>
      <c r="AE825" s="355"/>
      <c r="AG825" s="359"/>
      <c r="AH825" s="284"/>
      <c r="AI825" s="355"/>
      <c r="AK825" s="359"/>
      <c r="AL825" s="284"/>
      <c r="AM825" s="355"/>
      <c r="AO825" s="359"/>
      <c r="AP825" s="284"/>
      <c r="AQ825" s="355"/>
      <c r="AR825" s="360"/>
      <c r="AS825" s="359"/>
      <c r="AT825" s="284"/>
      <c r="AU825" s="355"/>
      <c r="AW825" s="359"/>
      <c r="AX825" s="284"/>
      <c r="AY825" s="355"/>
      <c r="BA825" s="359"/>
      <c r="BB825" s="284"/>
      <c r="BC825" s="355"/>
      <c r="BE825" s="359"/>
      <c r="BF825" s="284"/>
      <c r="BG825" s="355"/>
      <c r="BI825" s="359"/>
      <c r="BJ825" s="284"/>
      <c r="BK825" s="355"/>
      <c r="BM825" s="359"/>
      <c r="BN825" s="284"/>
      <c r="BO825" s="355"/>
      <c r="BQ825" s="359"/>
      <c r="BR825" s="284"/>
      <c r="BS825" s="355"/>
      <c r="BU825" s="359"/>
      <c r="BV825" s="284"/>
    </row>
    <row r="826" spans="2:74" x14ac:dyDescent="0.25">
      <c r="B826" s="284"/>
      <c r="D826" s="355"/>
      <c r="E826" s="356"/>
      <c r="F826" s="357"/>
      <c r="G826" s="358"/>
      <c r="H826" s="359"/>
      <c r="I826" s="284"/>
      <c r="J826" s="287"/>
      <c r="K826" s="355"/>
      <c r="M826" s="359"/>
      <c r="N826" s="284"/>
      <c r="O826" s="355"/>
      <c r="P826" s="360"/>
      <c r="Q826" s="359"/>
      <c r="R826" s="284"/>
      <c r="S826" s="355"/>
      <c r="U826" s="359"/>
      <c r="V826" s="284"/>
      <c r="W826" s="355"/>
      <c r="Y826" s="359"/>
      <c r="Z826" s="284"/>
      <c r="AA826" s="355"/>
      <c r="AC826" s="359"/>
      <c r="AD826" s="284"/>
      <c r="AE826" s="355"/>
      <c r="AG826" s="359"/>
      <c r="AH826" s="284"/>
      <c r="AI826" s="355"/>
      <c r="AK826" s="359"/>
      <c r="AL826" s="284"/>
      <c r="AM826" s="355"/>
      <c r="AO826" s="359"/>
      <c r="AP826" s="284"/>
      <c r="AQ826" s="355"/>
      <c r="AR826" s="360"/>
      <c r="AS826" s="359"/>
      <c r="AT826" s="284"/>
      <c r="AU826" s="355"/>
      <c r="AW826" s="359"/>
      <c r="AX826" s="284"/>
      <c r="AY826" s="355"/>
      <c r="BA826" s="359"/>
      <c r="BB826" s="284"/>
      <c r="BC826" s="355"/>
      <c r="BE826" s="359"/>
      <c r="BF826" s="284"/>
      <c r="BG826" s="355"/>
      <c r="BI826" s="359"/>
      <c r="BJ826" s="284"/>
      <c r="BK826" s="355"/>
      <c r="BM826" s="359"/>
      <c r="BN826" s="284"/>
      <c r="BO826" s="355"/>
      <c r="BQ826" s="359"/>
      <c r="BR826" s="284"/>
      <c r="BS826" s="355"/>
      <c r="BU826" s="359"/>
      <c r="BV826" s="284"/>
    </row>
    <row r="827" spans="2:74" x14ac:dyDescent="0.25">
      <c r="B827" s="284"/>
      <c r="D827" s="355"/>
      <c r="E827" s="356"/>
      <c r="F827" s="357"/>
      <c r="G827" s="358"/>
      <c r="H827" s="359"/>
      <c r="I827" s="284"/>
      <c r="J827" s="287"/>
      <c r="K827" s="355"/>
      <c r="M827" s="359"/>
      <c r="N827" s="284"/>
      <c r="O827" s="355"/>
      <c r="P827" s="360"/>
      <c r="Q827" s="359"/>
      <c r="R827" s="284"/>
      <c r="S827" s="355"/>
      <c r="U827" s="359"/>
      <c r="V827" s="284"/>
      <c r="W827" s="355"/>
      <c r="Y827" s="359"/>
      <c r="Z827" s="284"/>
      <c r="AA827" s="355"/>
      <c r="AC827" s="359"/>
      <c r="AD827" s="284"/>
      <c r="AE827" s="355"/>
      <c r="AG827" s="359"/>
      <c r="AH827" s="284"/>
      <c r="AI827" s="355"/>
      <c r="AK827" s="359"/>
      <c r="AL827" s="284"/>
      <c r="AM827" s="355"/>
      <c r="AO827" s="359"/>
      <c r="AP827" s="284"/>
      <c r="AQ827" s="355"/>
      <c r="AR827" s="360"/>
      <c r="AS827" s="359"/>
      <c r="AT827" s="284"/>
      <c r="AU827" s="355"/>
      <c r="AW827" s="359"/>
      <c r="AX827" s="284"/>
      <c r="AY827" s="355"/>
      <c r="BA827" s="359"/>
      <c r="BB827" s="284"/>
      <c r="BC827" s="355"/>
      <c r="BE827" s="359"/>
      <c r="BF827" s="284"/>
      <c r="BG827" s="355"/>
      <c r="BI827" s="359"/>
      <c r="BJ827" s="284"/>
      <c r="BK827" s="355"/>
      <c r="BM827" s="359"/>
      <c r="BN827" s="284"/>
      <c r="BO827" s="355"/>
      <c r="BQ827" s="359"/>
      <c r="BR827" s="284"/>
      <c r="BS827" s="355"/>
      <c r="BU827" s="359"/>
      <c r="BV827" s="284"/>
    </row>
    <row r="828" spans="2:74" x14ac:dyDescent="0.25">
      <c r="B828" s="284"/>
      <c r="D828" s="355"/>
      <c r="E828" s="356"/>
      <c r="F828" s="357"/>
      <c r="G828" s="358"/>
      <c r="H828" s="359"/>
      <c r="I828" s="284"/>
      <c r="J828" s="287"/>
      <c r="K828" s="355"/>
      <c r="M828" s="359"/>
      <c r="N828" s="284"/>
      <c r="O828" s="355"/>
      <c r="P828" s="360"/>
      <c r="Q828" s="359"/>
      <c r="R828" s="284"/>
      <c r="S828" s="355"/>
      <c r="U828" s="359"/>
      <c r="V828" s="284"/>
      <c r="W828" s="355"/>
      <c r="Y828" s="359"/>
      <c r="Z828" s="284"/>
      <c r="AA828" s="355"/>
      <c r="AC828" s="359"/>
      <c r="AD828" s="284"/>
      <c r="AE828" s="355"/>
      <c r="AG828" s="359"/>
      <c r="AH828" s="284"/>
      <c r="AI828" s="355"/>
      <c r="AK828" s="359"/>
      <c r="AL828" s="284"/>
      <c r="AM828" s="355"/>
      <c r="AO828" s="359"/>
      <c r="AP828" s="284"/>
      <c r="AQ828" s="355"/>
      <c r="AR828" s="360"/>
      <c r="AS828" s="359"/>
      <c r="AT828" s="284"/>
      <c r="AU828" s="355"/>
      <c r="AW828" s="359"/>
      <c r="AX828" s="284"/>
      <c r="AY828" s="355"/>
      <c r="BA828" s="359"/>
      <c r="BB828" s="284"/>
      <c r="BC828" s="355"/>
      <c r="BE828" s="359"/>
      <c r="BF828" s="284"/>
      <c r="BG828" s="355"/>
      <c r="BI828" s="359"/>
      <c r="BJ828" s="284"/>
      <c r="BK828" s="355"/>
      <c r="BM828" s="359"/>
      <c r="BN828" s="284"/>
      <c r="BO828" s="355"/>
      <c r="BQ828" s="359"/>
      <c r="BR828" s="284"/>
      <c r="BS828" s="355"/>
      <c r="BU828" s="359"/>
      <c r="BV828" s="284"/>
    </row>
    <row r="829" spans="2:74" x14ac:dyDescent="0.25">
      <c r="B829" s="284"/>
      <c r="D829" s="355"/>
      <c r="E829" s="356"/>
      <c r="F829" s="357"/>
      <c r="G829" s="358"/>
      <c r="H829" s="359"/>
      <c r="I829" s="284"/>
      <c r="J829" s="287"/>
      <c r="K829" s="355"/>
      <c r="M829" s="359"/>
      <c r="N829" s="284"/>
      <c r="O829" s="355"/>
      <c r="P829" s="360"/>
      <c r="Q829" s="359"/>
      <c r="R829" s="284"/>
      <c r="S829" s="355"/>
      <c r="U829" s="359"/>
      <c r="V829" s="284"/>
      <c r="W829" s="355"/>
      <c r="Y829" s="359"/>
      <c r="Z829" s="284"/>
      <c r="AA829" s="355"/>
      <c r="AC829" s="359"/>
      <c r="AD829" s="284"/>
      <c r="AE829" s="355"/>
      <c r="AG829" s="359"/>
      <c r="AH829" s="284"/>
      <c r="AI829" s="355"/>
      <c r="AK829" s="359"/>
      <c r="AL829" s="284"/>
      <c r="AM829" s="355"/>
      <c r="AO829" s="359"/>
      <c r="AP829" s="284"/>
      <c r="AQ829" s="355"/>
      <c r="AR829" s="360"/>
      <c r="AS829" s="359"/>
      <c r="AT829" s="284"/>
      <c r="AU829" s="355"/>
      <c r="AW829" s="359"/>
      <c r="AX829" s="284"/>
      <c r="AY829" s="355"/>
      <c r="BA829" s="359"/>
      <c r="BB829" s="284"/>
      <c r="BC829" s="355"/>
      <c r="BE829" s="359"/>
      <c r="BF829" s="284"/>
      <c r="BG829" s="355"/>
      <c r="BI829" s="359"/>
      <c r="BJ829" s="284"/>
      <c r="BK829" s="355"/>
      <c r="BM829" s="359"/>
      <c r="BN829" s="284"/>
      <c r="BO829" s="355"/>
      <c r="BQ829" s="359"/>
      <c r="BR829" s="284"/>
      <c r="BS829" s="355"/>
      <c r="BU829" s="359"/>
      <c r="BV829" s="284"/>
    </row>
    <row r="830" spans="2:74" x14ac:dyDescent="0.25">
      <c r="B830" s="284"/>
      <c r="D830" s="355"/>
      <c r="E830" s="356"/>
      <c r="F830" s="357"/>
      <c r="G830" s="358"/>
      <c r="H830" s="359"/>
      <c r="I830" s="284"/>
      <c r="J830" s="287"/>
      <c r="K830" s="355"/>
      <c r="M830" s="359"/>
      <c r="N830" s="284"/>
      <c r="O830" s="355"/>
      <c r="P830" s="360"/>
      <c r="Q830" s="359"/>
      <c r="R830" s="284"/>
      <c r="S830" s="355"/>
      <c r="U830" s="359"/>
      <c r="V830" s="284"/>
      <c r="W830" s="355"/>
      <c r="Y830" s="359"/>
      <c r="Z830" s="284"/>
      <c r="AA830" s="355"/>
      <c r="AC830" s="359"/>
      <c r="AD830" s="284"/>
      <c r="AE830" s="355"/>
      <c r="AG830" s="359"/>
      <c r="AH830" s="284"/>
      <c r="AI830" s="355"/>
      <c r="AK830" s="359"/>
      <c r="AL830" s="284"/>
      <c r="AM830" s="355"/>
      <c r="AO830" s="359"/>
      <c r="AP830" s="284"/>
      <c r="AQ830" s="355"/>
      <c r="AR830" s="360"/>
      <c r="AS830" s="359"/>
      <c r="AT830" s="284"/>
      <c r="AU830" s="355"/>
      <c r="AW830" s="359"/>
      <c r="AX830" s="284"/>
      <c r="AY830" s="355"/>
      <c r="BA830" s="359"/>
      <c r="BB830" s="284"/>
      <c r="BC830" s="355"/>
      <c r="BE830" s="359"/>
      <c r="BF830" s="284"/>
      <c r="BG830" s="355"/>
      <c r="BI830" s="359"/>
      <c r="BJ830" s="284"/>
      <c r="BK830" s="355"/>
      <c r="BM830" s="359"/>
      <c r="BN830" s="284"/>
      <c r="BO830" s="355"/>
      <c r="BQ830" s="359"/>
      <c r="BR830" s="284"/>
      <c r="BS830" s="355"/>
      <c r="BU830" s="359"/>
      <c r="BV830" s="284"/>
    </row>
    <row r="831" spans="2:74" x14ac:dyDescent="0.25">
      <c r="B831" s="284"/>
      <c r="D831" s="355"/>
      <c r="E831" s="356"/>
      <c r="F831" s="357"/>
      <c r="G831" s="358"/>
      <c r="H831" s="359"/>
      <c r="I831" s="284"/>
      <c r="J831" s="287"/>
      <c r="K831" s="355"/>
      <c r="M831" s="359"/>
      <c r="N831" s="284"/>
      <c r="O831" s="355"/>
      <c r="P831" s="360"/>
      <c r="Q831" s="359"/>
      <c r="R831" s="284"/>
      <c r="S831" s="355"/>
      <c r="U831" s="359"/>
      <c r="V831" s="284"/>
      <c r="W831" s="355"/>
      <c r="Y831" s="359"/>
      <c r="Z831" s="284"/>
      <c r="AA831" s="355"/>
      <c r="AC831" s="359"/>
      <c r="AD831" s="284"/>
      <c r="AE831" s="355"/>
      <c r="AG831" s="359"/>
      <c r="AH831" s="284"/>
      <c r="AI831" s="355"/>
      <c r="AK831" s="359"/>
      <c r="AL831" s="284"/>
      <c r="AM831" s="355"/>
      <c r="AO831" s="359"/>
      <c r="AP831" s="284"/>
      <c r="AQ831" s="355"/>
      <c r="AR831" s="360"/>
      <c r="AS831" s="359"/>
      <c r="AT831" s="284"/>
      <c r="AU831" s="355"/>
      <c r="AW831" s="359"/>
      <c r="AX831" s="284"/>
      <c r="AY831" s="355"/>
      <c r="BA831" s="359"/>
      <c r="BB831" s="284"/>
      <c r="BC831" s="355"/>
      <c r="BE831" s="359"/>
      <c r="BF831" s="284"/>
      <c r="BG831" s="355"/>
      <c r="BI831" s="359"/>
      <c r="BJ831" s="284"/>
      <c r="BK831" s="355"/>
      <c r="BM831" s="359"/>
      <c r="BN831" s="284"/>
      <c r="BO831" s="355"/>
      <c r="BQ831" s="359"/>
      <c r="BR831" s="284"/>
      <c r="BS831" s="355"/>
      <c r="BU831" s="359"/>
      <c r="BV831" s="284"/>
    </row>
    <row r="832" spans="2:74" x14ac:dyDescent="0.25">
      <c r="B832" s="284"/>
      <c r="D832" s="355"/>
      <c r="E832" s="356"/>
      <c r="F832" s="357"/>
      <c r="G832" s="358"/>
      <c r="H832" s="359"/>
      <c r="I832" s="284"/>
      <c r="J832" s="287"/>
      <c r="K832" s="355"/>
      <c r="M832" s="359"/>
      <c r="N832" s="284"/>
      <c r="O832" s="355"/>
      <c r="P832" s="360"/>
      <c r="Q832" s="359"/>
      <c r="R832" s="284"/>
      <c r="S832" s="355"/>
      <c r="U832" s="359"/>
      <c r="V832" s="284"/>
      <c r="W832" s="355"/>
      <c r="Y832" s="359"/>
      <c r="Z832" s="284"/>
      <c r="AA832" s="355"/>
      <c r="AC832" s="359"/>
      <c r="AD832" s="284"/>
      <c r="AE832" s="355"/>
      <c r="AG832" s="359"/>
      <c r="AH832" s="284"/>
      <c r="AI832" s="355"/>
      <c r="AK832" s="359"/>
      <c r="AL832" s="284"/>
      <c r="AM832" s="355"/>
      <c r="AO832" s="359"/>
      <c r="AP832" s="284"/>
      <c r="AQ832" s="355"/>
      <c r="AR832" s="360"/>
      <c r="AS832" s="359"/>
      <c r="AT832" s="284"/>
      <c r="AU832" s="355"/>
      <c r="AW832" s="359"/>
      <c r="AX832" s="284"/>
      <c r="AY832" s="355"/>
      <c r="BA832" s="359"/>
      <c r="BB832" s="284"/>
      <c r="BC832" s="355"/>
      <c r="BE832" s="359"/>
      <c r="BF832" s="284"/>
      <c r="BG832" s="355"/>
      <c r="BI832" s="359"/>
      <c r="BJ832" s="284"/>
      <c r="BK832" s="355"/>
      <c r="BM832" s="359"/>
      <c r="BN832" s="284"/>
      <c r="BO832" s="355"/>
      <c r="BQ832" s="359"/>
      <c r="BR832" s="284"/>
      <c r="BS832" s="355"/>
      <c r="BU832" s="359"/>
      <c r="BV832" s="284"/>
    </row>
    <row r="833" spans="2:74" x14ac:dyDescent="0.25">
      <c r="B833" s="284"/>
      <c r="D833" s="355"/>
      <c r="E833" s="356"/>
      <c r="F833" s="357"/>
      <c r="G833" s="358"/>
      <c r="H833" s="359"/>
      <c r="I833" s="284"/>
      <c r="J833" s="287"/>
      <c r="K833" s="355"/>
      <c r="M833" s="359"/>
      <c r="N833" s="284"/>
      <c r="O833" s="355"/>
      <c r="P833" s="360"/>
      <c r="Q833" s="359"/>
      <c r="R833" s="284"/>
      <c r="S833" s="355"/>
      <c r="U833" s="359"/>
      <c r="V833" s="284"/>
      <c r="W833" s="355"/>
      <c r="Y833" s="359"/>
      <c r="Z833" s="284"/>
      <c r="AA833" s="355"/>
      <c r="AC833" s="359"/>
      <c r="AD833" s="284"/>
      <c r="AE833" s="355"/>
      <c r="AG833" s="359"/>
      <c r="AH833" s="284"/>
      <c r="AI833" s="355"/>
      <c r="AK833" s="359"/>
      <c r="AL833" s="284"/>
      <c r="AM833" s="355"/>
      <c r="AO833" s="359"/>
      <c r="AP833" s="284"/>
      <c r="AQ833" s="355"/>
      <c r="AR833" s="360"/>
      <c r="AS833" s="359"/>
      <c r="AT833" s="284"/>
      <c r="AU833" s="355"/>
      <c r="AW833" s="359"/>
      <c r="AX833" s="284"/>
      <c r="AY833" s="355"/>
      <c r="BA833" s="359"/>
      <c r="BB833" s="284"/>
      <c r="BC833" s="355"/>
      <c r="BE833" s="359"/>
      <c r="BF833" s="284"/>
      <c r="BG833" s="355"/>
      <c r="BI833" s="359"/>
      <c r="BJ833" s="284"/>
      <c r="BK833" s="355"/>
      <c r="BM833" s="359"/>
      <c r="BN833" s="284"/>
      <c r="BO833" s="355"/>
      <c r="BQ833" s="359"/>
      <c r="BR833" s="284"/>
      <c r="BS833" s="355"/>
      <c r="BU833" s="359"/>
      <c r="BV833" s="284"/>
    </row>
    <row r="834" spans="2:74" x14ac:dyDescent="0.25">
      <c r="B834" s="284"/>
      <c r="D834" s="355"/>
      <c r="E834" s="356"/>
      <c r="F834" s="357"/>
      <c r="G834" s="358"/>
      <c r="H834" s="359"/>
      <c r="I834" s="284"/>
      <c r="J834" s="287"/>
      <c r="K834" s="355"/>
      <c r="M834" s="359"/>
      <c r="N834" s="284"/>
      <c r="O834" s="355"/>
      <c r="P834" s="360"/>
      <c r="Q834" s="359"/>
      <c r="R834" s="284"/>
      <c r="S834" s="355"/>
      <c r="U834" s="359"/>
      <c r="V834" s="284"/>
      <c r="W834" s="355"/>
      <c r="Y834" s="359"/>
      <c r="Z834" s="284"/>
      <c r="AA834" s="355"/>
      <c r="AC834" s="359"/>
      <c r="AD834" s="284"/>
      <c r="AE834" s="355"/>
      <c r="AG834" s="359"/>
      <c r="AH834" s="284"/>
      <c r="AI834" s="355"/>
      <c r="AK834" s="359"/>
      <c r="AL834" s="284"/>
      <c r="AM834" s="355"/>
      <c r="AO834" s="359"/>
      <c r="AP834" s="284"/>
      <c r="AQ834" s="355"/>
      <c r="AR834" s="360"/>
      <c r="AS834" s="359"/>
      <c r="AT834" s="284"/>
      <c r="AU834" s="355"/>
      <c r="AW834" s="359"/>
      <c r="AX834" s="284"/>
      <c r="AY834" s="355"/>
      <c r="BA834" s="359"/>
      <c r="BB834" s="284"/>
      <c r="BC834" s="355"/>
      <c r="BE834" s="359"/>
      <c r="BF834" s="284"/>
      <c r="BG834" s="355"/>
      <c r="BI834" s="359"/>
      <c r="BJ834" s="284"/>
      <c r="BK834" s="355"/>
      <c r="BM834" s="359"/>
      <c r="BN834" s="284"/>
      <c r="BO834" s="355"/>
      <c r="BQ834" s="359"/>
      <c r="BR834" s="284"/>
      <c r="BS834" s="355"/>
      <c r="BU834" s="359"/>
      <c r="BV834" s="284"/>
    </row>
    <row r="835" spans="2:74" x14ac:dyDescent="0.25">
      <c r="B835" s="284"/>
      <c r="D835" s="355"/>
      <c r="E835" s="356"/>
      <c r="F835" s="357"/>
      <c r="G835" s="358"/>
      <c r="H835" s="359"/>
      <c r="I835" s="284"/>
      <c r="J835" s="287"/>
      <c r="K835" s="355"/>
      <c r="M835" s="359"/>
      <c r="N835" s="284"/>
      <c r="O835" s="355"/>
      <c r="P835" s="360"/>
      <c r="Q835" s="359"/>
      <c r="R835" s="284"/>
      <c r="S835" s="355"/>
      <c r="U835" s="359"/>
      <c r="V835" s="284"/>
      <c r="W835" s="355"/>
      <c r="Y835" s="359"/>
      <c r="Z835" s="284"/>
      <c r="AA835" s="355"/>
      <c r="AC835" s="359"/>
      <c r="AD835" s="284"/>
      <c r="AE835" s="355"/>
      <c r="AG835" s="359"/>
      <c r="AH835" s="284"/>
      <c r="AI835" s="355"/>
      <c r="AK835" s="359"/>
      <c r="AL835" s="284"/>
      <c r="AM835" s="355"/>
      <c r="AO835" s="359"/>
      <c r="AP835" s="284"/>
      <c r="AQ835" s="355"/>
      <c r="AR835" s="360"/>
      <c r="AS835" s="359"/>
      <c r="AT835" s="284"/>
      <c r="AU835" s="355"/>
      <c r="AW835" s="359"/>
      <c r="AX835" s="284"/>
      <c r="AY835" s="355"/>
      <c r="BA835" s="359"/>
      <c r="BB835" s="284"/>
      <c r="BC835" s="355"/>
      <c r="BE835" s="359"/>
      <c r="BF835" s="284"/>
      <c r="BG835" s="355"/>
      <c r="BI835" s="359"/>
      <c r="BJ835" s="284"/>
      <c r="BK835" s="355"/>
      <c r="BM835" s="359"/>
      <c r="BN835" s="284"/>
      <c r="BO835" s="355"/>
      <c r="BQ835" s="359"/>
      <c r="BR835" s="284"/>
      <c r="BS835" s="355"/>
      <c r="BU835" s="359"/>
      <c r="BV835" s="284"/>
    </row>
    <row r="836" spans="2:74" x14ac:dyDescent="0.25">
      <c r="B836" s="284"/>
      <c r="D836" s="355"/>
      <c r="E836" s="356"/>
      <c r="F836" s="357"/>
      <c r="G836" s="358"/>
      <c r="H836" s="359"/>
      <c r="I836" s="284"/>
      <c r="J836" s="287"/>
      <c r="K836" s="355"/>
      <c r="M836" s="359"/>
      <c r="N836" s="284"/>
      <c r="O836" s="355"/>
      <c r="P836" s="360"/>
      <c r="Q836" s="359"/>
      <c r="R836" s="284"/>
      <c r="S836" s="355"/>
      <c r="U836" s="359"/>
      <c r="V836" s="284"/>
      <c r="W836" s="355"/>
      <c r="Y836" s="359"/>
      <c r="Z836" s="284"/>
      <c r="AA836" s="355"/>
      <c r="AC836" s="359"/>
      <c r="AD836" s="284"/>
      <c r="AE836" s="355"/>
      <c r="AG836" s="359"/>
      <c r="AH836" s="284"/>
      <c r="AI836" s="355"/>
      <c r="AK836" s="359"/>
      <c r="AL836" s="284"/>
      <c r="AM836" s="355"/>
      <c r="AO836" s="359"/>
      <c r="AP836" s="284"/>
      <c r="AQ836" s="355"/>
      <c r="AR836" s="360"/>
      <c r="AS836" s="359"/>
      <c r="AT836" s="284"/>
      <c r="AU836" s="355"/>
      <c r="AW836" s="359"/>
      <c r="AX836" s="284"/>
      <c r="AY836" s="355"/>
      <c r="BA836" s="359"/>
      <c r="BB836" s="284"/>
      <c r="BC836" s="355"/>
      <c r="BE836" s="359"/>
      <c r="BF836" s="284"/>
      <c r="BG836" s="355"/>
      <c r="BI836" s="359"/>
      <c r="BJ836" s="284"/>
      <c r="BK836" s="355"/>
      <c r="BM836" s="359"/>
      <c r="BN836" s="284"/>
      <c r="BO836" s="355"/>
      <c r="BQ836" s="359"/>
      <c r="BR836" s="284"/>
      <c r="BS836" s="355"/>
      <c r="BU836" s="359"/>
      <c r="BV836" s="284"/>
    </row>
    <row r="837" spans="2:74" x14ac:dyDescent="0.25">
      <c r="B837" s="284"/>
      <c r="D837" s="355"/>
      <c r="E837" s="356"/>
      <c r="F837" s="357"/>
      <c r="G837" s="358"/>
      <c r="H837" s="359"/>
      <c r="I837" s="284"/>
      <c r="J837" s="287"/>
      <c r="K837" s="355"/>
      <c r="M837" s="359"/>
      <c r="N837" s="284"/>
      <c r="O837" s="355"/>
      <c r="P837" s="360"/>
      <c r="Q837" s="359"/>
      <c r="R837" s="284"/>
      <c r="S837" s="355"/>
      <c r="U837" s="359"/>
      <c r="V837" s="284"/>
      <c r="W837" s="355"/>
      <c r="Y837" s="359"/>
      <c r="Z837" s="284"/>
      <c r="AA837" s="355"/>
      <c r="AC837" s="359"/>
      <c r="AD837" s="284"/>
      <c r="AE837" s="355"/>
      <c r="AG837" s="359"/>
      <c r="AH837" s="284"/>
      <c r="AI837" s="355"/>
      <c r="AK837" s="359"/>
      <c r="AL837" s="284"/>
      <c r="AM837" s="355"/>
      <c r="AO837" s="359"/>
      <c r="AP837" s="284"/>
      <c r="AQ837" s="355"/>
      <c r="AR837" s="360"/>
      <c r="AS837" s="359"/>
      <c r="AT837" s="284"/>
      <c r="AU837" s="355"/>
      <c r="AW837" s="359"/>
      <c r="AX837" s="284"/>
      <c r="AY837" s="355"/>
      <c r="BA837" s="359"/>
      <c r="BB837" s="284"/>
      <c r="BC837" s="355"/>
      <c r="BE837" s="359"/>
      <c r="BF837" s="284"/>
      <c r="BG837" s="355"/>
      <c r="BI837" s="359"/>
      <c r="BJ837" s="284"/>
      <c r="BK837" s="355"/>
      <c r="BM837" s="359"/>
      <c r="BN837" s="284"/>
      <c r="BO837" s="355"/>
      <c r="BQ837" s="359"/>
      <c r="BR837" s="284"/>
      <c r="BS837" s="355"/>
      <c r="BU837" s="359"/>
      <c r="BV837" s="284"/>
    </row>
    <row r="838" spans="2:74" x14ac:dyDescent="0.25">
      <c r="B838" s="284"/>
      <c r="D838" s="355"/>
      <c r="E838" s="356"/>
      <c r="F838" s="357"/>
      <c r="G838" s="358"/>
      <c r="H838" s="359"/>
      <c r="I838" s="284"/>
      <c r="J838" s="287"/>
      <c r="K838" s="355"/>
      <c r="M838" s="359"/>
      <c r="N838" s="284"/>
      <c r="O838" s="355"/>
      <c r="P838" s="360"/>
      <c r="Q838" s="359"/>
      <c r="R838" s="284"/>
      <c r="S838" s="355"/>
      <c r="U838" s="359"/>
      <c r="V838" s="284"/>
      <c r="W838" s="355"/>
      <c r="Y838" s="359"/>
      <c r="Z838" s="284"/>
      <c r="AA838" s="355"/>
      <c r="AC838" s="359"/>
      <c r="AD838" s="284"/>
      <c r="AE838" s="355"/>
      <c r="AG838" s="359"/>
      <c r="AH838" s="284"/>
      <c r="AI838" s="355"/>
      <c r="AK838" s="359"/>
      <c r="AL838" s="284"/>
      <c r="AM838" s="355"/>
      <c r="AO838" s="359"/>
      <c r="AP838" s="284"/>
      <c r="AQ838" s="355"/>
      <c r="AR838" s="360"/>
      <c r="AS838" s="359"/>
      <c r="AT838" s="284"/>
      <c r="AU838" s="355"/>
      <c r="AW838" s="359"/>
      <c r="AX838" s="284"/>
      <c r="AY838" s="355"/>
      <c r="BA838" s="359"/>
      <c r="BB838" s="284"/>
      <c r="BC838" s="355"/>
      <c r="BE838" s="359"/>
      <c r="BF838" s="284"/>
      <c r="BG838" s="355"/>
      <c r="BI838" s="359"/>
      <c r="BJ838" s="284"/>
      <c r="BK838" s="355"/>
      <c r="BM838" s="359"/>
      <c r="BN838" s="284"/>
      <c r="BO838" s="355"/>
      <c r="BQ838" s="359"/>
      <c r="BR838" s="284"/>
      <c r="BS838" s="355"/>
      <c r="BU838" s="359"/>
      <c r="BV838" s="284"/>
    </row>
    <row r="839" spans="2:74" x14ac:dyDescent="0.25">
      <c r="B839" s="284"/>
      <c r="D839" s="355"/>
      <c r="E839" s="356"/>
      <c r="F839" s="357"/>
      <c r="G839" s="358"/>
      <c r="H839" s="359"/>
      <c r="I839" s="284"/>
      <c r="J839" s="287"/>
      <c r="K839" s="355"/>
      <c r="M839" s="359"/>
      <c r="N839" s="284"/>
      <c r="O839" s="355"/>
      <c r="P839" s="360"/>
      <c r="Q839" s="359"/>
      <c r="R839" s="284"/>
      <c r="S839" s="355"/>
      <c r="U839" s="359"/>
      <c r="V839" s="284"/>
      <c r="W839" s="355"/>
      <c r="Y839" s="359"/>
      <c r="Z839" s="284"/>
      <c r="AA839" s="355"/>
      <c r="AC839" s="359"/>
      <c r="AD839" s="284"/>
      <c r="AE839" s="355"/>
      <c r="AG839" s="359"/>
      <c r="AH839" s="284"/>
      <c r="AI839" s="355"/>
      <c r="AK839" s="359"/>
      <c r="AL839" s="284"/>
      <c r="AM839" s="355"/>
      <c r="AO839" s="359"/>
      <c r="AP839" s="284"/>
      <c r="AQ839" s="355"/>
      <c r="AR839" s="360"/>
      <c r="AS839" s="359"/>
      <c r="AT839" s="284"/>
      <c r="AU839" s="355"/>
      <c r="AW839" s="359"/>
      <c r="AX839" s="284"/>
      <c r="AY839" s="355"/>
      <c r="BA839" s="359"/>
      <c r="BB839" s="284"/>
      <c r="BC839" s="355"/>
      <c r="BE839" s="359"/>
      <c r="BF839" s="284"/>
      <c r="BG839" s="355"/>
      <c r="BI839" s="359"/>
      <c r="BJ839" s="284"/>
      <c r="BK839" s="355"/>
      <c r="BM839" s="359"/>
      <c r="BN839" s="284"/>
      <c r="BO839" s="355"/>
      <c r="BQ839" s="359"/>
      <c r="BR839" s="284"/>
      <c r="BS839" s="355"/>
      <c r="BU839" s="359"/>
      <c r="BV839" s="284"/>
    </row>
    <row r="840" spans="2:74" x14ac:dyDescent="0.25">
      <c r="B840" s="284"/>
      <c r="D840" s="355"/>
      <c r="E840" s="356"/>
      <c r="F840" s="357"/>
      <c r="G840" s="358"/>
      <c r="H840" s="359"/>
      <c r="I840" s="284"/>
      <c r="J840" s="287"/>
      <c r="K840" s="355"/>
      <c r="M840" s="359"/>
      <c r="N840" s="284"/>
      <c r="O840" s="355"/>
      <c r="P840" s="360"/>
      <c r="Q840" s="359"/>
      <c r="R840" s="284"/>
      <c r="S840" s="355"/>
      <c r="U840" s="359"/>
      <c r="V840" s="284"/>
      <c r="W840" s="355"/>
      <c r="Y840" s="359"/>
      <c r="Z840" s="284"/>
      <c r="AA840" s="355"/>
      <c r="AC840" s="359"/>
      <c r="AD840" s="284"/>
      <c r="AE840" s="355"/>
      <c r="AG840" s="359"/>
      <c r="AH840" s="284"/>
      <c r="AI840" s="355"/>
      <c r="AK840" s="359"/>
      <c r="AL840" s="284"/>
      <c r="AM840" s="355"/>
      <c r="AO840" s="359"/>
      <c r="AP840" s="284"/>
      <c r="AQ840" s="355"/>
      <c r="AR840" s="360"/>
      <c r="AS840" s="359"/>
      <c r="AT840" s="284"/>
      <c r="AU840" s="355"/>
      <c r="AW840" s="359"/>
      <c r="AX840" s="284"/>
      <c r="AY840" s="355"/>
      <c r="BA840" s="359"/>
      <c r="BB840" s="284"/>
      <c r="BC840" s="355"/>
      <c r="BE840" s="359"/>
      <c r="BF840" s="284"/>
      <c r="BG840" s="355"/>
      <c r="BI840" s="359"/>
      <c r="BJ840" s="284"/>
      <c r="BK840" s="355"/>
      <c r="BM840" s="359"/>
      <c r="BN840" s="284"/>
      <c r="BO840" s="355"/>
      <c r="BQ840" s="359"/>
      <c r="BR840" s="284"/>
      <c r="BS840" s="355"/>
      <c r="BU840" s="359"/>
      <c r="BV840" s="284"/>
    </row>
    <row r="841" spans="2:74" x14ac:dyDescent="0.25">
      <c r="B841" s="284"/>
      <c r="D841" s="355"/>
      <c r="E841" s="356"/>
      <c r="F841" s="357"/>
      <c r="G841" s="358"/>
      <c r="H841" s="359"/>
      <c r="I841" s="284"/>
      <c r="J841" s="287"/>
      <c r="K841" s="355"/>
      <c r="M841" s="359"/>
      <c r="N841" s="284"/>
      <c r="O841" s="355"/>
      <c r="P841" s="360"/>
      <c r="Q841" s="359"/>
      <c r="R841" s="284"/>
      <c r="S841" s="355"/>
      <c r="U841" s="359"/>
      <c r="V841" s="284"/>
      <c r="W841" s="355"/>
      <c r="Y841" s="359"/>
      <c r="Z841" s="284"/>
      <c r="AA841" s="355"/>
      <c r="AC841" s="359"/>
      <c r="AD841" s="284"/>
      <c r="AE841" s="355"/>
      <c r="AG841" s="359"/>
      <c r="AH841" s="284"/>
      <c r="AI841" s="355"/>
      <c r="AK841" s="359"/>
      <c r="AL841" s="284"/>
      <c r="AM841" s="355"/>
      <c r="AO841" s="359"/>
      <c r="AP841" s="284"/>
      <c r="AQ841" s="355"/>
      <c r="AR841" s="360"/>
      <c r="AS841" s="359"/>
      <c r="AT841" s="284"/>
      <c r="AU841" s="355"/>
      <c r="AW841" s="359"/>
      <c r="AX841" s="284"/>
      <c r="AY841" s="355"/>
      <c r="BA841" s="359"/>
      <c r="BB841" s="284"/>
      <c r="BC841" s="355"/>
      <c r="BE841" s="359"/>
      <c r="BF841" s="284"/>
      <c r="BG841" s="355"/>
      <c r="BI841" s="359"/>
      <c r="BJ841" s="284"/>
      <c r="BK841" s="355"/>
      <c r="BM841" s="359"/>
      <c r="BN841" s="284"/>
      <c r="BO841" s="355"/>
      <c r="BQ841" s="359"/>
      <c r="BR841" s="284"/>
      <c r="BS841" s="355"/>
      <c r="BU841" s="359"/>
      <c r="BV841" s="284"/>
    </row>
    <row r="842" spans="2:74" x14ac:dyDescent="0.25">
      <c r="B842" s="284"/>
      <c r="D842" s="355"/>
      <c r="E842" s="356"/>
      <c r="F842" s="357"/>
      <c r="G842" s="358"/>
      <c r="H842" s="359"/>
      <c r="I842" s="284"/>
      <c r="J842" s="287"/>
      <c r="K842" s="355"/>
      <c r="M842" s="359"/>
      <c r="N842" s="284"/>
      <c r="O842" s="355"/>
      <c r="P842" s="360"/>
      <c r="Q842" s="359"/>
      <c r="R842" s="284"/>
      <c r="S842" s="355"/>
      <c r="U842" s="359"/>
      <c r="V842" s="284"/>
      <c r="W842" s="355"/>
      <c r="Y842" s="359"/>
      <c r="Z842" s="284"/>
      <c r="AA842" s="355"/>
      <c r="AC842" s="359"/>
      <c r="AD842" s="284"/>
      <c r="AE842" s="355"/>
      <c r="AG842" s="359"/>
      <c r="AH842" s="284"/>
      <c r="AI842" s="355"/>
      <c r="AK842" s="359"/>
      <c r="AL842" s="284"/>
      <c r="AM842" s="355"/>
      <c r="AO842" s="359"/>
      <c r="AP842" s="284"/>
      <c r="AQ842" s="355"/>
      <c r="AR842" s="360"/>
      <c r="AS842" s="359"/>
      <c r="AT842" s="284"/>
      <c r="AU842" s="355"/>
      <c r="AW842" s="359"/>
      <c r="AX842" s="284"/>
      <c r="AY842" s="355"/>
      <c r="BA842" s="359"/>
      <c r="BB842" s="284"/>
      <c r="BC842" s="355"/>
      <c r="BE842" s="359"/>
      <c r="BF842" s="284"/>
      <c r="BG842" s="355"/>
      <c r="BI842" s="359"/>
      <c r="BJ842" s="284"/>
      <c r="BK842" s="355"/>
      <c r="BM842" s="359"/>
      <c r="BN842" s="284"/>
      <c r="BO842" s="355"/>
      <c r="BQ842" s="359"/>
      <c r="BR842" s="284"/>
      <c r="BS842" s="355"/>
      <c r="BU842" s="359"/>
      <c r="BV842" s="284"/>
    </row>
    <row r="843" spans="2:74" x14ac:dyDescent="0.25">
      <c r="B843" s="284"/>
      <c r="D843" s="355"/>
      <c r="E843" s="356"/>
      <c r="F843" s="357"/>
      <c r="G843" s="358"/>
      <c r="H843" s="359"/>
      <c r="I843" s="284"/>
      <c r="J843" s="287"/>
      <c r="K843" s="355"/>
      <c r="M843" s="359"/>
      <c r="N843" s="284"/>
      <c r="O843" s="355"/>
      <c r="P843" s="360"/>
      <c r="Q843" s="359"/>
      <c r="R843" s="284"/>
      <c r="S843" s="355"/>
      <c r="U843" s="359"/>
      <c r="V843" s="284"/>
      <c r="W843" s="355"/>
      <c r="Y843" s="359"/>
      <c r="Z843" s="284"/>
      <c r="AA843" s="355"/>
      <c r="AC843" s="359"/>
      <c r="AD843" s="284"/>
      <c r="AE843" s="355"/>
      <c r="AG843" s="359"/>
      <c r="AH843" s="284"/>
      <c r="AI843" s="355"/>
      <c r="AK843" s="359"/>
      <c r="AL843" s="284"/>
      <c r="AM843" s="355"/>
      <c r="AO843" s="359"/>
      <c r="AP843" s="284"/>
      <c r="AQ843" s="355"/>
      <c r="AR843" s="360"/>
      <c r="AS843" s="359"/>
      <c r="AT843" s="284"/>
      <c r="AU843" s="355"/>
      <c r="AW843" s="359"/>
      <c r="AX843" s="284"/>
      <c r="AY843" s="355"/>
      <c r="BA843" s="359"/>
      <c r="BB843" s="284"/>
      <c r="BC843" s="355"/>
      <c r="BE843" s="359"/>
      <c r="BF843" s="284"/>
      <c r="BG843" s="355"/>
      <c r="BI843" s="359"/>
      <c r="BJ843" s="284"/>
      <c r="BK843" s="355"/>
      <c r="BM843" s="359"/>
      <c r="BN843" s="284"/>
      <c r="BO843" s="355"/>
      <c r="BQ843" s="359"/>
      <c r="BR843" s="284"/>
      <c r="BS843" s="355"/>
      <c r="BU843" s="359"/>
      <c r="BV843" s="284"/>
    </row>
    <row r="844" spans="2:74" x14ac:dyDescent="0.25">
      <c r="B844" s="284"/>
      <c r="D844" s="355"/>
      <c r="E844" s="356"/>
      <c r="F844" s="357"/>
      <c r="G844" s="358"/>
      <c r="H844" s="359"/>
      <c r="I844" s="284"/>
      <c r="J844" s="287"/>
      <c r="K844" s="355"/>
      <c r="M844" s="359"/>
      <c r="N844" s="284"/>
      <c r="O844" s="355"/>
      <c r="P844" s="360"/>
      <c r="Q844" s="359"/>
      <c r="R844" s="284"/>
      <c r="S844" s="355"/>
      <c r="U844" s="359"/>
      <c r="V844" s="284"/>
      <c r="W844" s="355"/>
      <c r="Y844" s="359"/>
      <c r="Z844" s="284"/>
      <c r="AA844" s="355"/>
      <c r="AC844" s="359"/>
      <c r="AD844" s="284"/>
      <c r="AE844" s="355"/>
      <c r="AG844" s="359"/>
      <c r="AH844" s="284"/>
      <c r="AI844" s="355"/>
      <c r="AK844" s="359"/>
      <c r="AL844" s="284"/>
      <c r="AM844" s="355"/>
      <c r="AO844" s="359"/>
      <c r="AP844" s="284"/>
      <c r="AQ844" s="355"/>
      <c r="AR844" s="360"/>
      <c r="AS844" s="359"/>
      <c r="AT844" s="284"/>
      <c r="AU844" s="355"/>
      <c r="AW844" s="359"/>
      <c r="AX844" s="284"/>
      <c r="AY844" s="355"/>
      <c r="BA844" s="359"/>
      <c r="BB844" s="284"/>
      <c r="BC844" s="355"/>
      <c r="BE844" s="359"/>
      <c r="BF844" s="284"/>
      <c r="BG844" s="355"/>
      <c r="BI844" s="359"/>
      <c r="BJ844" s="284"/>
      <c r="BK844" s="355"/>
      <c r="BM844" s="359"/>
      <c r="BN844" s="284"/>
      <c r="BO844" s="355"/>
      <c r="BQ844" s="359"/>
      <c r="BR844" s="284"/>
      <c r="BS844" s="355"/>
      <c r="BU844" s="359"/>
      <c r="BV844" s="284"/>
    </row>
    <row r="845" spans="2:74" x14ac:dyDescent="0.25">
      <c r="B845" s="284"/>
      <c r="D845" s="355"/>
      <c r="E845" s="356"/>
      <c r="F845" s="357"/>
      <c r="G845" s="358"/>
      <c r="H845" s="359"/>
      <c r="I845" s="284"/>
      <c r="J845" s="287"/>
      <c r="K845" s="355"/>
      <c r="M845" s="359"/>
      <c r="N845" s="284"/>
      <c r="O845" s="355"/>
      <c r="P845" s="360"/>
      <c r="Q845" s="359"/>
      <c r="R845" s="284"/>
      <c r="S845" s="355"/>
      <c r="U845" s="359"/>
      <c r="V845" s="284"/>
      <c r="W845" s="355"/>
      <c r="Y845" s="359"/>
      <c r="Z845" s="284"/>
      <c r="AA845" s="355"/>
      <c r="AC845" s="359"/>
      <c r="AD845" s="284"/>
      <c r="AE845" s="355"/>
      <c r="AG845" s="359"/>
      <c r="AH845" s="284"/>
      <c r="AI845" s="355"/>
      <c r="AK845" s="359"/>
      <c r="AL845" s="284"/>
      <c r="AM845" s="355"/>
      <c r="AO845" s="359"/>
      <c r="AP845" s="284"/>
      <c r="AQ845" s="355"/>
      <c r="AR845" s="360"/>
      <c r="AS845" s="359"/>
      <c r="AT845" s="284"/>
      <c r="AU845" s="355"/>
      <c r="AW845" s="359"/>
      <c r="AX845" s="284"/>
      <c r="AY845" s="355"/>
      <c r="BA845" s="359"/>
      <c r="BB845" s="284"/>
      <c r="BC845" s="355"/>
      <c r="BE845" s="359"/>
      <c r="BF845" s="284"/>
      <c r="BG845" s="355"/>
      <c r="BI845" s="359"/>
      <c r="BJ845" s="284"/>
      <c r="BK845" s="355"/>
      <c r="BM845" s="359"/>
      <c r="BN845" s="284"/>
      <c r="BO845" s="355"/>
      <c r="BQ845" s="359"/>
      <c r="BR845" s="284"/>
      <c r="BS845" s="355"/>
      <c r="BU845" s="359"/>
      <c r="BV845" s="284"/>
    </row>
    <row r="846" spans="2:74" x14ac:dyDescent="0.25">
      <c r="B846" s="284"/>
      <c r="D846" s="355"/>
      <c r="E846" s="356"/>
      <c r="F846" s="357"/>
      <c r="G846" s="358"/>
      <c r="H846" s="359"/>
      <c r="I846" s="284"/>
      <c r="J846" s="287"/>
      <c r="K846" s="355"/>
      <c r="M846" s="359"/>
      <c r="N846" s="284"/>
      <c r="O846" s="355"/>
      <c r="P846" s="360"/>
      <c r="Q846" s="359"/>
      <c r="R846" s="284"/>
      <c r="S846" s="355"/>
      <c r="U846" s="359"/>
      <c r="V846" s="284"/>
      <c r="W846" s="355"/>
      <c r="Y846" s="359"/>
      <c r="Z846" s="284"/>
      <c r="AA846" s="355"/>
      <c r="AC846" s="359"/>
      <c r="AD846" s="284"/>
      <c r="AE846" s="355"/>
      <c r="AG846" s="359"/>
      <c r="AH846" s="284"/>
      <c r="AI846" s="355"/>
      <c r="AK846" s="359"/>
      <c r="AL846" s="284"/>
      <c r="AM846" s="355"/>
      <c r="AO846" s="359"/>
      <c r="AP846" s="284"/>
      <c r="AQ846" s="355"/>
      <c r="AR846" s="360"/>
      <c r="AS846" s="359"/>
      <c r="AT846" s="284"/>
      <c r="AU846" s="355"/>
      <c r="AW846" s="359"/>
      <c r="AX846" s="284"/>
      <c r="AY846" s="355"/>
      <c r="BA846" s="359"/>
      <c r="BB846" s="284"/>
      <c r="BC846" s="355"/>
      <c r="BE846" s="359"/>
      <c r="BF846" s="284"/>
      <c r="BG846" s="355"/>
      <c r="BI846" s="359"/>
      <c r="BJ846" s="284"/>
      <c r="BK846" s="355"/>
      <c r="BM846" s="359"/>
      <c r="BN846" s="284"/>
      <c r="BO846" s="355"/>
      <c r="BQ846" s="359"/>
      <c r="BR846" s="284"/>
      <c r="BS846" s="355"/>
      <c r="BU846" s="359"/>
      <c r="BV846" s="284"/>
    </row>
    <row r="847" spans="2:74" x14ac:dyDescent="0.25">
      <c r="B847" s="284"/>
      <c r="D847" s="355"/>
      <c r="E847" s="356"/>
      <c r="F847" s="357"/>
      <c r="G847" s="358"/>
      <c r="H847" s="359"/>
      <c r="I847" s="284"/>
      <c r="J847" s="287"/>
      <c r="K847" s="355"/>
      <c r="M847" s="359"/>
      <c r="N847" s="284"/>
      <c r="O847" s="355"/>
      <c r="P847" s="360"/>
      <c r="Q847" s="359"/>
      <c r="R847" s="284"/>
      <c r="S847" s="355"/>
      <c r="U847" s="359"/>
      <c r="V847" s="284"/>
      <c r="W847" s="355"/>
      <c r="Y847" s="359"/>
      <c r="Z847" s="284"/>
      <c r="AA847" s="355"/>
      <c r="AC847" s="359"/>
      <c r="AD847" s="284"/>
      <c r="AE847" s="355"/>
      <c r="AG847" s="359"/>
      <c r="AH847" s="284"/>
      <c r="AI847" s="355"/>
      <c r="AK847" s="359"/>
      <c r="AL847" s="284"/>
      <c r="AM847" s="355"/>
      <c r="AO847" s="359"/>
      <c r="AP847" s="284"/>
      <c r="AQ847" s="355"/>
      <c r="AR847" s="360"/>
      <c r="AS847" s="359"/>
      <c r="AT847" s="284"/>
      <c r="AU847" s="355"/>
      <c r="AW847" s="359"/>
      <c r="AX847" s="284"/>
      <c r="AY847" s="355"/>
      <c r="BA847" s="359"/>
      <c r="BB847" s="284"/>
      <c r="BC847" s="355"/>
      <c r="BE847" s="359"/>
      <c r="BF847" s="284"/>
      <c r="BG847" s="355"/>
      <c r="BI847" s="359"/>
      <c r="BJ847" s="284"/>
      <c r="BK847" s="355"/>
      <c r="BM847" s="359"/>
      <c r="BN847" s="284"/>
      <c r="BO847" s="355"/>
      <c r="BQ847" s="359"/>
      <c r="BR847" s="284"/>
      <c r="BS847" s="355"/>
      <c r="BU847" s="359"/>
      <c r="BV847" s="284"/>
    </row>
    <row r="848" spans="2:74" x14ac:dyDescent="0.25">
      <c r="B848" s="284"/>
      <c r="D848" s="355"/>
      <c r="E848" s="356"/>
      <c r="F848" s="357"/>
      <c r="G848" s="358"/>
      <c r="H848" s="359"/>
      <c r="I848" s="284"/>
      <c r="J848" s="287"/>
      <c r="K848" s="355"/>
      <c r="M848" s="359"/>
      <c r="N848" s="284"/>
      <c r="O848" s="355"/>
      <c r="P848" s="360"/>
      <c r="Q848" s="359"/>
      <c r="R848" s="284"/>
      <c r="S848" s="355"/>
      <c r="U848" s="359"/>
      <c r="V848" s="284"/>
      <c r="W848" s="355"/>
      <c r="Y848" s="359"/>
      <c r="Z848" s="284"/>
      <c r="AA848" s="355"/>
      <c r="AC848" s="359"/>
      <c r="AD848" s="284"/>
      <c r="AE848" s="355"/>
      <c r="AG848" s="359"/>
      <c r="AH848" s="284"/>
      <c r="AI848" s="355"/>
      <c r="AK848" s="359"/>
      <c r="AL848" s="284"/>
      <c r="AM848" s="355"/>
      <c r="AO848" s="359"/>
      <c r="AP848" s="284"/>
      <c r="AQ848" s="355"/>
      <c r="AR848" s="360"/>
      <c r="AS848" s="359"/>
      <c r="AT848" s="284"/>
      <c r="AU848" s="355"/>
      <c r="AW848" s="359"/>
      <c r="AX848" s="284"/>
      <c r="AY848" s="355"/>
      <c r="BA848" s="359"/>
      <c r="BB848" s="284"/>
      <c r="BC848" s="355"/>
      <c r="BE848" s="359"/>
      <c r="BF848" s="284"/>
      <c r="BG848" s="355"/>
      <c r="BI848" s="359"/>
      <c r="BJ848" s="284"/>
      <c r="BK848" s="355"/>
      <c r="BM848" s="359"/>
      <c r="BN848" s="284"/>
      <c r="BO848" s="355"/>
      <c r="BQ848" s="359"/>
      <c r="BR848" s="284"/>
      <c r="BS848" s="355"/>
      <c r="BU848" s="359"/>
      <c r="BV848" s="284"/>
    </row>
    <row r="849" spans="2:74" x14ac:dyDescent="0.25">
      <c r="B849" s="284"/>
      <c r="D849" s="355"/>
      <c r="E849" s="356"/>
      <c r="F849" s="357"/>
      <c r="G849" s="358"/>
      <c r="H849" s="359"/>
      <c r="I849" s="284"/>
      <c r="J849" s="287"/>
      <c r="K849" s="355"/>
      <c r="M849" s="359"/>
      <c r="N849" s="284"/>
      <c r="O849" s="355"/>
      <c r="P849" s="360"/>
      <c r="Q849" s="359"/>
      <c r="R849" s="284"/>
      <c r="S849" s="355"/>
      <c r="U849" s="359"/>
      <c r="V849" s="284"/>
      <c r="W849" s="355"/>
      <c r="Y849" s="359"/>
      <c r="Z849" s="284"/>
      <c r="AA849" s="355"/>
      <c r="AC849" s="359"/>
      <c r="AD849" s="284"/>
      <c r="AE849" s="355"/>
      <c r="AG849" s="359"/>
      <c r="AH849" s="284"/>
      <c r="AI849" s="355"/>
      <c r="AK849" s="359"/>
      <c r="AL849" s="284"/>
      <c r="AM849" s="355"/>
      <c r="AO849" s="359"/>
      <c r="AP849" s="284"/>
      <c r="AQ849" s="355"/>
      <c r="AR849" s="360"/>
      <c r="AS849" s="359"/>
      <c r="AT849" s="284"/>
      <c r="AU849" s="355"/>
      <c r="AW849" s="359"/>
      <c r="AX849" s="284"/>
      <c r="AY849" s="355"/>
      <c r="BA849" s="359"/>
      <c r="BB849" s="284"/>
      <c r="BC849" s="355"/>
      <c r="BE849" s="359"/>
      <c r="BF849" s="284"/>
      <c r="BG849" s="355"/>
      <c r="BI849" s="359"/>
      <c r="BJ849" s="284"/>
      <c r="BK849" s="355"/>
      <c r="BM849" s="359"/>
      <c r="BN849" s="284"/>
      <c r="BO849" s="355"/>
      <c r="BQ849" s="359"/>
      <c r="BR849" s="284"/>
      <c r="BS849" s="355"/>
      <c r="BU849" s="359"/>
      <c r="BV849" s="284"/>
    </row>
    <row r="850" spans="2:74" x14ac:dyDescent="0.25">
      <c r="B850" s="284"/>
      <c r="D850" s="355"/>
      <c r="E850" s="356"/>
      <c r="F850" s="357"/>
      <c r="G850" s="358"/>
      <c r="H850" s="359"/>
      <c r="I850" s="284"/>
      <c r="J850" s="287"/>
      <c r="K850" s="355"/>
      <c r="M850" s="359"/>
      <c r="N850" s="284"/>
      <c r="O850" s="355"/>
      <c r="P850" s="360"/>
      <c r="Q850" s="359"/>
      <c r="R850" s="284"/>
      <c r="S850" s="355"/>
      <c r="U850" s="359"/>
      <c r="V850" s="284"/>
      <c r="W850" s="355"/>
      <c r="Y850" s="359"/>
      <c r="Z850" s="284"/>
      <c r="AA850" s="355"/>
      <c r="AC850" s="359"/>
      <c r="AD850" s="284"/>
      <c r="AE850" s="355"/>
      <c r="AG850" s="359"/>
      <c r="AH850" s="284"/>
      <c r="AI850" s="355"/>
      <c r="AK850" s="359"/>
      <c r="AL850" s="284"/>
      <c r="AM850" s="355"/>
      <c r="AO850" s="359"/>
      <c r="AP850" s="284"/>
      <c r="AQ850" s="355"/>
      <c r="AR850" s="360"/>
      <c r="AS850" s="359"/>
      <c r="AT850" s="284"/>
      <c r="AU850" s="355"/>
      <c r="AW850" s="359"/>
      <c r="AX850" s="284"/>
      <c r="AY850" s="355"/>
      <c r="BA850" s="359"/>
      <c r="BB850" s="284"/>
      <c r="BC850" s="355"/>
      <c r="BE850" s="359"/>
      <c r="BF850" s="284"/>
      <c r="BG850" s="355"/>
      <c r="BI850" s="359"/>
      <c r="BJ850" s="284"/>
      <c r="BK850" s="355"/>
      <c r="BM850" s="359"/>
      <c r="BN850" s="284"/>
      <c r="BO850" s="355"/>
      <c r="BQ850" s="359"/>
      <c r="BR850" s="284"/>
      <c r="BS850" s="355"/>
      <c r="BU850" s="359"/>
      <c r="BV850" s="284"/>
    </row>
    <row r="851" spans="2:74" x14ac:dyDescent="0.25">
      <c r="B851" s="284"/>
      <c r="D851" s="355"/>
      <c r="E851" s="356"/>
      <c r="F851" s="357"/>
      <c r="G851" s="358"/>
      <c r="H851" s="359"/>
      <c r="I851" s="284"/>
      <c r="J851" s="287"/>
      <c r="K851" s="355"/>
      <c r="M851" s="359"/>
      <c r="N851" s="284"/>
      <c r="O851" s="355"/>
      <c r="P851" s="360"/>
      <c r="Q851" s="359"/>
      <c r="R851" s="284"/>
      <c r="S851" s="355"/>
      <c r="U851" s="359"/>
      <c r="V851" s="284"/>
      <c r="W851" s="355"/>
      <c r="Y851" s="359"/>
      <c r="Z851" s="284"/>
      <c r="AA851" s="355"/>
      <c r="AC851" s="359"/>
      <c r="AD851" s="284"/>
      <c r="AE851" s="355"/>
      <c r="AG851" s="359"/>
      <c r="AH851" s="284"/>
      <c r="AI851" s="355"/>
      <c r="AK851" s="359"/>
      <c r="AL851" s="284"/>
      <c r="AM851" s="355"/>
      <c r="AO851" s="359"/>
      <c r="AP851" s="284"/>
      <c r="AQ851" s="355"/>
      <c r="AR851" s="360"/>
      <c r="AS851" s="359"/>
      <c r="AT851" s="284"/>
      <c r="AU851" s="355"/>
      <c r="AW851" s="359"/>
      <c r="AX851" s="284"/>
      <c r="AY851" s="355"/>
      <c r="BA851" s="359"/>
      <c r="BB851" s="284"/>
      <c r="BC851" s="355"/>
      <c r="BE851" s="359"/>
      <c r="BF851" s="284"/>
      <c r="BG851" s="355"/>
      <c r="BI851" s="359"/>
      <c r="BJ851" s="284"/>
      <c r="BK851" s="355"/>
      <c r="BM851" s="359"/>
      <c r="BN851" s="284"/>
      <c r="BO851" s="355"/>
      <c r="BQ851" s="359"/>
      <c r="BR851" s="284"/>
      <c r="BS851" s="355"/>
      <c r="BU851" s="359"/>
      <c r="BV851" s="284"/>
    </row>
    <row r="852" spans="2:74" x14ac:dyDescent="0.25">
      <c r="B852" s="284"/>
      <c r="D852" s="355"/>
      <c r="E852" s="356"/>
      <c r="F852" s="357"/>
      <c r="G852" s="358"/>
      <c r="H852" s="359"/>
      <c r="I852" s="284"/>
      <c r="J852" s="287"/>
      <c r="K852" s="355"/>
      <c r="M852" s="359"/>
      <c r="N852" s="284"/>
      <c r="O852" s="355"/>
      <c r="P852" s="360"/>
      <c r="Q852" s="359"/>
      <c r="R852" s="284"/>
      <c r="S852" s="355"/>
      <c r="U852" s="359"/>
      <c r="V852" s="284"/>
      <c r="W852" s="355"/>
      <c r="Y852" s="359"/>
      <c r="Z852" s="284"/>
      <c r="AA852" s="355"/>
      <c r="AC852" s="359"/>
      <c r="AD852" s="284"/>
      <c r="AE852" s="355"/>
      <c r="AG852" s="359"/>
      <c r="AH852" s="284"/>
      <c r="AI852" s="355"/>
      <c r="AK852" s="359"/>
      <c r="AL852" s="284"/>
      <c r="AM852" s="355"/>
      <c r="AO852" s="359"/>
      <c r="AP852" s="284"/>
      <c r="AQ852" s="355"/>
      <c r="AR852" s="360"/>
      <c r="AS852" s="359"/>
      <c r="AT852" s="284"/>
      <c r="AU852" s="355"/>
      <c r="AW852" s="359"/>
      <c r="AX852" s="284"/>
      <c r="AY852" s="355"/>
      <c r="BA852" s="359"/>
      <c r="BB852" s="284"/>
      <c r="BC852" s="355"/>
      <c r="BE852" s="359"/>
      <c r="BF852" s="284"/>
      <c r="BG852" s="355"/>
      <c r="BI852" s="359"/>
      <c r="BJ852" s="284"/>
      <c r="BK852" s="355"/>
      <c r="BM852" s="359"/>
      <c r="BN852" s="284"/>
      <c r="BO852" s="355"/>
      <c r="BQ852" s="359"/>
      <c r="BR852" s="284"/>
      <c r="BS852" s="355"/>
      <c r="BU852" s="359"/>
      <c r="BV852" s="284"/>
    </row>
    <row r="853" spans="2:74" x14ac:dyDescent="0.25">
      <c r="B853" s="284"/>
      <c r="D853" s="355"/>
      <c r="E853" s="356"/>
      <c r="F853" s="357"/>
      <c r="G853" s="358"/>
      <c r="H853" s="359"/>
      <c r="I853" s="284"/>
      <c r="J853" s="287"/>
      <c r="K853" s="355"/>
      <c r="M853" s="359"/>
      <c r="N853" s="284"/>
      <c r="O853" s="355"/>
      <c r="P853" s="360"/>
      <c r="Q853" s="359"/>
      <c r="R853" s="284"/>
      <c r="S853" s="355"/>
      <c r="U853" s="359"/>
      <c r="V853" s="284"/>
      <c r="W853" s="355"/>
      <c r="Y853" s="359"/>
      <c r="Z853" s="284"/>
      <c r="AA853" s="355"/>
      <c r="AC853" s="359"/>
      <c r="AD853" s="284"/>
      <c r="AE853" s="355"/>
      <c r="AG853" s="359"/>
      <c r="AH853" s="284"/>
      <c r="AI853" s="355"/>
      <c r="AK853" s="359"/>
      <c r="AL853" s="284"/>
      <c r="AM853" s="355"/>
      <c r="AO853" s="359"/>
      <c r="AP853" s="284"/>
      <c r="AQ853" s="355"/>
      <c r="AR853" s="360"/>
      <c r="AS853" s="359"/>
      <c r="AT853" s="284"/>
      <c r="AU853" s="355"/>
      <c r="AW853" s="359"/>
      <c r="AX853" s="284"/>
      <c r="AY853" s="355"/>
      <c r="BA853" s="359"/>
      <c r="BB853" s="284"/>
      <c r="BC853" s="355"/>
      <c r="BE853" s="359"/>
      <c r="BF853" s="284"/>
      <c r="BG853" s="355"/>
      <c r="BI853" s="359"/>
      <c r="BJ853" s="284"/>
      <c r="BK853" s="355"/>
      <c r="BM853" s="359"/>
      <c r="BN853" s="284"/>
      <c r="BO853" s="355"/>
      <c r="BQ853" s="359"/>
      <c r="BR853" s="284"/>
      <c r="BS853" s="355"/>
      <c r="BU853" s="359"/>
      <c r="BV853" s="284"/>
    </row>
    <row r="854" spans="2:74" x14ac:dyDescent="0.25">
      <c r="B854" s="284"/>
      <c r="D854" s="355"/>
      <c r="E854" s="356"/>
      <c r="F854" s="357"/>
      <c r="G854" s="358"/>
      <c r="H854" s="359"/>
      <c r="I854" s="284"/>
      <c r="J854" s="287"/>
      <c r="K854" s="355"/>
      <c r="M854" s="359"/>
      <c r="N854" s="284"/>
      <c r="O854" s="355"/>
      <c r="P854" s="360"/>
      <c r="Q854" s="359"/>
      <c r="R854" s="284"/>
      <c r="S854" s="355"/>
      <c r="U854" s="359"/>
      <c r="V854" s="284"/>
      <c r="W854" s="355"/>
      <c r="Y854" s="359"/>
      <c r="Z854" s="284"/>
      <c r="AA854" s="355"/>
      <c r="AC854" s="359"/>
      <c r="AD854" s="284"/>
      <c r="AE854" s="355"/>
      <c r="AG854" s="359"/>
      <c r="AH854" s="284"/>
      <c r="AI854" s="355"/>
      <c r="AK854" s="359"/>
      <c r="AL854" s="284"/>
      <c r="AM854" s="355"/>
      <c r="AO854" s="359"/>
      <c r="AP854" s="284"/>
      <c r="AQ854" s="355"/>
      <c r="AR854" s="360"/>
      <c r="AS854" s="359"/>
      <c r="AT854" s="284"/>
      <c r="AU854" s="355"/>
      <c r="AW854" s="359"/>
      <c r="AX854" s="284"/>
      <c r="AY854" s="355"/>
      <c r="BA854" s="359"/>
      <c r="BB854" s="284"/>
      <c r="BC854" s="355"/>
      <c r="BE854" s="359"/>
      <c r="BF854" s="284"/>
      <c r="BG854" s="355"/>
      <c r="BI854" s="359"/>
      <c r="BJ854" s="284"/>
      <c r="BK854" s="355"/>
      <c r="BM854" s="359"/>
      <c r="BN854" s="284"/>
      <c r="BO854" s="355"/>
      <c r="BQ854" s="359"/>
      <c r="BR854" s="284"/>
      <c r="BS854" s="355"/>
      <c r="BU854" s="359"/>
      <c r="BV854" s="284"/>
    </row>
    <row r="855" spans="2:74" x14ac:dyDescent="0.25">
      <c r="B855" s="284"/>
      <c r="D855" s="355"/>
      <c r="E855" s="356"/>
      <c r="F855" s="357"/>
      <c r="G855" s="358"/>
      <c r="H855" s="359"/>
      <c r="I855" s="284"/>
      <c r="J855" s="287"/>
      <c r="K855" s="355"/>
      <c r="M855" s="359"/>
      <c r="N855" s="284"/>
      <c r="O855" s="355"/>
      <c r="P855" s="360"/>
      <c r="Q855" s="359"/>
      <c r="R855" s="284"/>
      <c r="S855" s="355"/>
      <c r="U855" s="359"/>
      <c r="V855" s="284"/>
      <c r="W855" s="355"/>
      <c r="Y855" s="359"/>
      <c r="Z855" s="284"/>
      <c r="AA855" s="355"/>
      <c r="AC855" s="359"/>
      <c r="AD855" s="284"/>
      <c r="AE855" s="355"/>
      <c r="AG855" s="359"/>
      <c r="AH855" s="284"/>
      <c r="AI855" s="355"/>
      <c r="AK855" s="359"/>
      <c r="AL855" s="284"/>
      <c r="AM855" s="355"/>
      <c r="AO855" s="359"/>
      <c r="AP855" s="284"/>
      <c r="AQ855" s="355"/>
      <c r="AR855" s="360"/>
      <c r="AS855" s="359"/>
      <c r="AT855" s="284"/>
      <c r="AU855" s="355"/>
      <c r="AW855" s="359"/>
      <c r="AX855" s="284"/>
      <c r="AY855" s="355"/>
      <c r="BA855" s="359"/>
      <c r="BB855" s="284"/>
      <c r="BC855" s="355"/>
      <c r="BE855" s="359"/>
      <c r="BF855" s="284"/>
      <c r="BG855" s="355"/>
      <c r="BI855" s="359"/>
      <c r="BJ855" s="284"/>
      <c r="BK855" s="355"/>
      <c r="BM855" s="359"/>
      <c r="BN855" s="284"/>
      <c r="BO855" s="355"/>
      <c r="BQ855" s="359"/>
      <c r="BR855" s="284"/>
      <c r="BS855" s="355"/>
      <c r="BU855" s="359"/>
      <c r="BV855" s="284"/>
    </row>
    <row r="856" spans="2:74" x14ac:dyDescent="0.25">
      <c r="B856" s="284"/>
      <c r="D856" s="355"/>
      <c r="E856" s="356"/>
      <c r="F856" s="357"/>
      <c r="G856" s="358"/>
      <c r="H856" s="359"/>
      <c r="I856" s="284"/>
      <c r="J856" s="287"/>
      <c r="K856" s="355"/>
      <c r="M856" s="359"/>
      <c r="N856" s="284"/>
      <c r="O856" s="355"/>
      <c r="P856" s="360"/>
      <c r="Q856" s="359"/>
      <c r="R856" s="284"/>
      <c r="S856" s="355"/>
      <c r="U856" s="359"/>
      <c r="V856" s="284"/>
      <c r="W856" s="355"/>
      <c r="Y856" s="359"/>
      <c r="Z856" s="284"/>
      <c r="AA856" s="355"/>
      <c r="AC856" s="359"/>
      <c r="AD856" s="284"/>
      <c r="AE856" s="355"/>
      <c r="AG856" s="359"/>
      <c r="AH856" s="284"/>
      <c r="AI856" s="355"/>
      <c r="AK856" s="359"/>
      <c r="AL856" s="284"/>
      <c r="AM856" s="355"/>
      <c r="AO856" s="359"/>
      <c r="AP856" s="284"/>
      <c r="AQ856" s="355"/>
      <c r="AR856" s="360"/>
      <c r="AS856" s="359"/>
      <c r="AT856" s="284"/>
      <c r="AU856" s="355"/>
      <c r="AW856" s="359"/>
      <c r="AX856" s="284"/>
      <c r="AY856" s="355"/>
      <c r="BA856" s="359"/>
      <c r="BB856" s="284"/>
      <c r="BC856" s="355"/>
      <c r="BE856" s="359"/>
      <c r="BF856" s="284"/>
      <c r="BG856" s="355"/>
      <c r="BI856" s="359"/>
      <c r="BJ856" s="284"/>
      <c r="BK856" s="355"/>
      <c r="BM856" s="359"/>
      <c r="BN856" s="284"/>
      <c r="BO856" s="355"/>
      <c r="BQ856" s="359"/>
      <c r="BR856" s="284"/>
      <c r="BS856" s="355"/>
      <c r="BU856" s="359"/>
      <c r="BV856" s="284"/>
    </row>
    <row r="857" spans="2:74" x14ac:dyDescent="0.25">
      <c r="B857" s="284"/>
      <c r="D857" s="355"/>
      <c r="E857" s="356"/>
      <c r="F857" s="357"/>
      <c r="G857" s="358"/>
      <c r="H857" s="359"/>
      <c r="I857" s="284"/>
      <c r="J857" s="287"/>
      <c r="K857" s="355"/>
      <c r="M857" s="359"/>
      <c r="N857" s="284"/>
      <c r="O857" s="355"/>
      <c r="P857" s="360"/>
      <c r="Q857" s="359"/>
      <c r="R857" s="284"/>
      <c r="S857" s="355"/>
      <c r="U857" s="359"/>
      <c r="V857" s="284"/>
      <c r="W857" s="355"/>
      <c r="Y857" s="359"/>
      <c r="Z857" s="284"/>
      <c r="AA857" s="355"/>
      <c r="AC857" s="359"/>
      <c r="AD857" s="284"/>
      <c r="AE857" s="355"/>
      <c r="AG857" s="359"/>
      <c r="AH857" s="284"/>
      <c r="AI857" s="355"/>
      <c r="AK857" s="359"/>
      <c r="AL857" s="284"/>
      <c r="AM857" s="355"/>
      <c r="AO857" s="359"/>
      <c r="AP857" s="284"/>
      <c r="AQ857" s="355"/>
      <c r="AR857" s="360"/>
      <c r="AS857" s="359"/>
      <c r="AT857" s="284"/>
      <c r="AU857" s="355"/>
      <c r="AW857" s="359"/>
      <c r="AX857" s="284"/>
      <c r="AY857" s="355"/>
      <c r="BA857" s="359"/>
      <c r="BB857" s="284"/>
      <c r="BC857" s="355"/>
      <c r="BE857" s="359"/>
      <c r="BF857" s="284"/>
      <c r="BG857" s="355"/>
      <c r="BI857" s="359"/>
      <c r="BJ857" s="284"/>
      <c r="BK857" s="355"/>
      <c r="BM857" s="359"/>
      <c r="BN857" s="284"/>
      <c r="BO857" s="355"/>
      <c r="BQ857" s="359"/>
      <c r="BR857" s="284"/>
      <c r="BS857" s="355"/>
      <c r="BU857" s="359"/>
      <c r="BV857" s="284"/>
    </row>
    <row r="858" spans="2:74" x14ac:dyDescent="0.25">
      <c r="B858" s="284"/>
      <c r="D858" s="355"/>
      <c r="E858" s="356"/>
      <c r="F858" s="357"/>
      <c r="G858" s="358"/>
      <c r="H858" s="359"/>
      <c r="I858" s="284"/>
      <c r="J858" s="287"/>
      <c r="K858" s="355"/>
      <c r="M858" s="359"/>
      <c r="N858" s="284"/>
      <c r="O858" s="355"/>
      <c r="P858" s="360"/>
      <c r="Q858" s="359"/>
      <c r="R858" s="284"/>
      <c r="S858" s="355"/>
      <c r="U858" s="359"/>
      <c r="V858" s="284"/>
      <c r="W858" s="355"/>
      <c r="Y858" s="359"/>
      <c r="Z858" s="284"/>
      <c r="AA858" s="355"/>
      <c r="AC858" s="359"/>
      <c r="AD858" s="284"/>
      <c r="AE858" s="355"/>
      <c r="AG858" s="359"/>
      <c r="AH858" s="284"/>
      <c r="AI858" s="355"/>
      <c r="AK858" s="359"/>
      <c r="AL858" s="284"/>
      <c r="AM858" s="355"/>
      <c r="AO858" s="359"/>
      <c r="AP858" s="284"/>
      <c r="AQ858" s="355"/>
      <c r="AR858" s="360"/>
      <c r="AS858" s="359"/>
      <c r="AT858" s="284"/>
      <c r="AU858" s="355"/>
      <c r="AW858" s="359"/>
      <c r="AX858" s="284"/>
      <c r="AY858" s="355"/>
      <c r="BA858" s="359"/>
      <c r="BB858" s="284"/>
      <c r="BC858" s="355"/>
      <c r="BE858" s="359"/>
      <c r="BF858" s="284"/>
      <c r="BG858" s="355"/>
      <c r="BI858" s="359"/>
      <c r="BJ858" s="284"/>
      <c r="BK858" s="355"/>
      <c r="BM858" s="359"/>
      <c r="BN858" s="284"/>
      <c r="BO858" s="355"/>
      <c r="BQ858" s="359"/>
      <c r="BR858" s="284"/>
      <c r="BS858" s="355"/>
      <c r="BU858" s="359"/>
      <c r="BV858" s="284"/>
    </row>
    <row r="859" spans="2:74" x14ac:dyDescent="0.25">
      <c r="B859" s="284"/>
      <c r="D859" s="355"/>
      <c r="E859" s="356"/>
      <c r="F859" s="357"/>
      <c r="G859" s="358"/>
      <c r="H859" s="359"/>
      <c r="I859" s="284"/>
      <c r="J859" s="287"/>
      <c r="K859" s="355"/>
      <c r="M859" s="359"/>
      <c r="N859" s="284"/>
      <c r="O859" s="355"/>
      <c r="P859" s="360"/>
      <c r="Q859" s="359"/>
      <c r="R859" s="284"/>
      <c r="S859" s="355"/>
      <c r="U859" s="359"/>
      <c r="V859" s="284"/>
      <c r="W859" s="355"/>
      <c r="Y859" s="359"/>
      <c r="Z859" s="284"/>
      <c r="AA859" s="355"/>
      <c r="AC859" s="359"/>
      <c r="AD859" s="284"/>
      <c r="AE859" s="355"/>
      <c r="AG859" s="359"/>
      <c r="AH859" s="284"/>
      <c r="AI859" s="355"/>
      <c r="AK859" s="359"/>
      <c r="AL859" s="284"/>
      <c r="AM859" s="355"/>
      <c r="AO859" s="359"/>
      <c r="AP859" s="284"/>
      <c r="AQ859" s="355"/>
      <c r="AR859" s="360"/>
      <c r="AS859" s="359"/>
      <c r="AT859" s="284"/>
      <c r="AU859" s="355"/>
      <c r="AW859" s="359"/>
      <c r="AX859" s="284"/>
      <c r="AY859" s="355"/>
      <c r="BA859" s="359"/>
      <c r="BB859" s="284"/>
      <c r="BC859" s="355"/>
      <c r="BE859" s="359"/>
      <c r="BF859" s="284"/>
      <c r="BG859" s="355"/>
      <c r="BI859" s="359"/>
      <c r="BJ859" s="284"/>
      <c r="BK859" s="355"/>
      <c r="BM859" s="359"/>
      <c r="BN859" s="284"/>
      <c r="BO859" s="355"/>
      <c r="BQ859" s="359"/>
      <c r="BR859" s="284"/>
      <c r="BS859" s="355"/>
      <c r="BU859" s="359"/>
      <c r="BV859" s="284"/>
    </row>
    <row r="860" spans="2:74" x14ac:dyDescent="0.25">
      <c r="B860" s="284"/>
      <c r="D860" s="355"/>
      <c r="E860" s="356"/>
      <c r="F860" s="357"/>
      <c r="G860" s="358"/>
      <c r="H860" s="359"/>
      <c r="I860" s="284"/>
      <c r="J860" s="287"/>
      <c r="K860" s="355"/>
      <c r="M860" s="359"/>
      <c r="N860" s="284"/>
      <c r="O860" s="355"/>
      <c r="P860" s="360"/>
      <c r="Q860" s="359"/>
      <c r="R860" s="284"/>
      <c r="S860" s="355"/>
      <c r="U860" s="359"/>
      <c r="V860" s="284"/>
      <c r="W860" s="355"/>
      <c r="Y860" s="359"/>
      <c r="Z860" s="284"/>
      <c r="AA860" s="355"/>
      <c r="AC860" s="359"/>
      <c r="AD860" s="284"/>
      <c r="AE860" s="355"/>
      <c r="AG860" s="359"/>
      <c r="AH860" s="284"/>
      <c r="AI860" s="355"/>
      <c r="AK860" s="359"/>
      <c r="AL860" s="284"/>
      <c r="AM860" s="355"/>
      <c r="AO860" s="359"/>
      <c r="AP860" s="284"/>
      <c r="AQ860" s="355"/>
      <c r="AR860" s="360"/>
      <c r="AS860" s="359"/>
      <c r="AT860" s="284"/>
      <c r="AU860" s="355"/>
      <c r="AW860" s="359"/>
      <c r="AX860" s="284"/>
      <c r="AY860" s="355"/>
      <c r="BA860" s="359"/>
      <c r="BB860" s="284"/>
      <c r="BC860" s="355"/>
      <c r="BE860" s="359"/>
      <c r="BF860" s="284"/>
      <c r="BG860" s="355"/>
      <c r="BI860" s="359"/>
      <c r="BJ860" s="284"/>
      <c r="BK860" s="355"/>
      <c r="BM860" s="359"/>
      <c r="BN860" s="284"/>
      <c r="BO860" s="355"/>
      <c r="BQ860" s="359"/>
      <c r="BR860" s="284"/>
      <c r="BS860" s="355"/>
      <c r="BU860" s="359"/>
      <c r="BV860" s="284"/>
    </row>
    <row r="861" spans="2:74" x14ac:dyDescent="0.25">
      <c r="B861" s="284"/>
      <c r="D861" s="355"/>
      <c r="E861" s="356"/>
      <c r="F861" s="357"/>
      <c r="G861" s="358"/>
      <c r="H861" s="359"/>
      <c r="I861" s="284"/>
      <c r="J861" s="287"/>
      <c r="K861" s="355"/>
      <c r="M861" s="359"/>
      <c r="N861" s="284"/>
      <c r="O861" s="355"/>
      <c r="P861" s="360"/>
      <c r="Q861" s="359"/>
      <c r="R861" s="284"/>
      <c r="S861" s="355"/>
      <c r="U861" s="359"/>
      <c r="V861" s="284"/>
      <c r="W861" s="355"/>
      <c r="Y861" s="359"/>
      <c r="Z861" s="284"/>
      <c r="AA861" s="355"/>
      <c r="AC861" s="359"/>
      <c r="AD861" s="284"/>
      <c r="AE861" s="355"/>
      <c r="AG861" s="359"/>
      <c r="AH861" s="284"/>
      <c r="AI861" s="355"/>
      <c r="AK861" s="359"/>
      <c r="AL861" s="284"/>
      <c r="AM861" s="355"/>
      <c r="AO861" s="359"/>
      <c r="AP861" s="284"/>
      <c r="AQ861" s="355"/>
      <c r="AR861" s="360"/>
      <c r="AS861" s="359"/>
      <c r="AT861" s="284"/>
      <c r="AU861" s="355"/>
      <c r="AW861" s="359"/>
      <c r="AX861" s="284"/>
      <c r="AY861" s="355"/>
      <c r="BA861" s="359"/>
      <c r="BB861" s="284"/>
      <c r="BC861" s="355"/>
      <c r="BE861" s="359"/>
      <c r="BF861" s="284"/>
      <c r="BG861" s="355"/>
      <c r="BI861" s="359"/>
      <c r="BJ861" s="284"/>
      <c r="BK861" s="355"/>
      <c r="BM861" s="359"/>
      <c r="BN861" s="284"/>
      <c r="BO861" s="355"/>
      <c r="BQ861" s="359"/>
      <c r="BR861" s="284"/>
      <c r="BS861" s="355"/>
      <c r="BU861" s="359"/>
      <c r="BV861" s="284"/>
    </row>
    <row r="862" spans="2:74" x14ac:dyDescent="0.25">
      <c r="B862" s="284"/>
      <c r="D862" s="355"/>
      <c r="E862" s="356"/>
      <c r="F862" s="357"/>
      <c r="G862" s="358"/>
      <c r="H862" s="359"/>
      <c r="I862" s="284"/>
      <c r="J862" s="287"/>
      <c r="K862" s="355"/>
      <c r="M862" s="359"/>
      <c r="N862" s="284"/>
      <c r="O862" s="355"/>
      <c r="P862" s="360"/>
      <c r="Q862" s="359"/>
      <c r="R862" s="284"/>
      <c r="S862" s="355"/>
      <c r="U862" s="359"/>
      <c r="V862" s="284"/>
      <c r="W862" s="355"/>
      <c r="Y862" s="359"/>
      <c r="Z862" s="284"/>
      <c r="AA862" s="355"/>
      <c r="AC862" s="359"/>
      <c r="AD862" s="284"/>
      <c r="AE862" s="355"/>
      <c r="AG862" s="359"/>
      <c r="AH862" s="284"/>
      <c r="AI862" s="355"/>
      <c r="AK862" s="359"/>
      <c r="AL862" s="284"/>
      <c r="AM862" s="355"/>
      <c r="AO862" s="359"/>
      <c r="AP862" s="284"/>
      <c r="AQ862" s="355"/>
      <c r="AR862" s="360"/>
      <c r="AS862" s="359"/>
      <c r="AT862" s="284"/>
      <c r="AU862" s="355"/>
      <c r="AW862" s="359"/>
      <c r="AX862" s="284"/>
      <c r="AY862" s="355"/>
      <c r="BA862" s="359"/>
      <c r="BB862" s="284"/>
      <c r="BC862" s="355"/>
      <c r="BE862" s="359"/>
      <c r="BF862" s="284"/>
      <c r="BG862" s="355"/>
      <c r="BI862" s="359"/>
      <c r="BJ862" s="284"/>
      <c r="BK862" s="355"/>
      <c r="BM862" s="359"/>
      <c r="BN862" s="284"/>
      <c r="BO862" s="355"/>
      <c r="BQ862" s="359"/>
      <c r="BR862" s="284"/>
      <c r="BS862" s="355"/>
      <c r="BU862" s="359"/>
      <c r="BV862" s="284"/>
    </row>
    <row r="863" spans="2:74" x14ac:dyDescent="0.25">
      <c r="B863" s="284"/>
      <c r="D863" s="355"/>
      <c r="E863" s="356"/>
      <c r="F863" s="357"/>
      <c r="G863" s="358"/>
      <c r="H863" s="359"/>
      <c r="I863" s="284"/>
      <c r="J863" s="287"/>
      <c r="K863" s="355"/>
      <c r="M863" s="359"/>
      <c r="N863" s="284"/>
      <c r="O863" s="355"/>
      <c r="P863" s="360"/>
      <c r="Q863" s="359"/>
      <c r="R863" s="284"/>
      <c r="S863" s="355"/>
      <c r="U863" s="359"/>
      <c r="V863" s="284"/>
      <c r="W863" s="355"/>
      <c r="Y863" s="359"/>
      <c r="Z863" s="284"/>
      <c r="AA863" s="355"/>
      <c r="AC863" s="359"/>
      <c r="AD863" s="284"/>
      <c r="AE863" s="355"/>
      <c r="AG863" s="359"/>
      <c r="AH863" s="284"/>
      <c r="AI863" s="355"/>
      <c r="AK863" s="359"/>
      <c r="AL863" s="284"/>
      <c r="AM863" s="355"/>
      <c r="AO863" s="359"/>
      <c r="AP863" s="284"/>
      <c r="AQ863" s="355"/>
      <c r="AR863" s="360"/>
      <c r="AS863" s="359"/>
      <c r="AT863" s="284"/>
      <c r="AU863" s="355"/>
      <c r="AW863" s="359"/>
      <c r="AX863" s="284"/>
      <c r="AY863" s="355"/>
      <c r="BA863" s="359"/>
      <c r="BB863" s="284"/>
      <c r="BC863" s="355"/>
      <c r="BE863" s="359"/>
      <c r="BF863" s="284"/>
      <c r="BG863" s="355"/>
      <c r="BI863" s="359"/>
      <c r="BJ863" s="284"/>
      <c r="BK863" s="355"/>
      <c r="BM863" s="359"/>
      <c r="BN863" s="284"/>
      <c r="BO863" s="355"/>
      <c r="BQ863" s="359"/>
      <c r="BR863" s="284"/>
      <c r="BS863" s="355"/>
      <c r="BU863" s="359"/>
      <c r="BV863" s="284"/>
    </row>
    <row r="864" spans="2:74" x14ac:dyDescent="0.25">
      <c r="B864" s="284"/>
      <c r="D864" s="355"/>
      <c r="E864" s="356"/>
      <c r="F864" s="357"/>
      <c r="G864" s="358"/>
      <c r="H864" s="359"/>
      <c r="I864" s="284"/>
      <c r="J864" s="287"/>
      <c r="K864" s="355"/>
      <c r="M864" s="359"/>
      <c r="N864" s="284"/>
      <c r="O864" s="355"/>
      <c r="P864" s="360"/>
      <c r="Q864" s="359"/>
      <c r="R864" s="284"/>
      <c r="S864" s="355"/>
      <c r="U864" s="359"/>
      <c r="V864" s="284"/>
      <c r="W864" s="355"/>
      <c r="Y864" s="359"/>
      <c r="Z864" s="284"/>
      <c r="AA864" s="355"/>
      <c r="AC864" s="359"/>
      <c r="AD864" s="284"/>
      <c r="AE864" s="355"/>
      <c r="AG864" s="359"/>
      <c r="AH864" s="284"/>
      <c r="AI864" s="355"/>
      <c r="AK864" s="359"/>
      <c r="AL864" s="284"/>
      <c r="AM864" s="355"/>
      <c r="AO864" s="359"/>
      <c r="AP864" s="284"/>
      <c r="AQ864" s="355"/>
      <c r="AR864" s="360"/>
      <c r="AS864" s="359"/>
      <c r="AT864" s="284"/>
      <c r="AU864" s="355"/>
      <c r="AW864" s="359"/>
      <c r="AX864" s="284"/>
      <c r="AY864" s="355"/>
      <c r="BA864" s="359"/>
      <c r="BB864" s="284"/>
      <c r="BC864" s="355"/>
      <c r="BE864" s="359"/>
      <c r="BF864" s="284"/>
      <c r="BG864" s="355"/>
      <c r="BI864" s="359"/>
      <c r="BJ864" s="284"/>
      <c r="BK864" s="355"/>
      <c r="BM864" s="359"/>
      <c r="BN864" s="284"/>
      <c r="BO864" s="355"/>
      <c r="BQ864" s="359"/>
      <c r="BR864" s="284"/>
      <c r="BS864" s="355"/>
      <c r="BU864" s="359"/>
      <c r="BV864" s="284"/>
    </row>
    <row r="865" spans="2:74" x14ac:dyDescent="0.25">
      <c r="B865" s="284"/>
      <c r="D865" s="355"/>
      <c r="E865" s="356"/>
      <c r="F865" s="357"/>
      <c r="G865" s="358"/>
      <c r="H865" s="359"/>
      <c r="I865" s="284"/>
      <c r="J865" s="287"/>
      <c r="K865" s="355"/>
      <c r="M865" s="359"/>
      <c r="N865" s="284"/>
      <c r="O865" s="355"/>
      <c r="P865" s="360"/>
      <c r="Q865" s="359"/>
      <c r="R865" s="284"/>
      <c r="S865" s="355"/>
      <c r="U865" s="359"/>
      <c r="V865" s="284"/>
      <c r="W865" s="355"/>
      <c r="Y865" s="359"/>
      <c r="Z865" s="284"/>
      <c r="AA865" s="355"/>
      <c r="AC865" s="359"/>
      <c r="AD865" s="284"/>
      <c r="AE865" s="355"/>
      <c r="AG865" s="359"/>
      <c r="AH865" s="284"/>
      <c r="AI865" s="355"/>
      <c r="AK865" s="359"/>
      <c r="AL865" s="284"/>
      <c r="AM865" s="355"/>
      <c r="AO865" s="359"/>
      <c r="AP865" s="284"/>
      <c r="AQ865" s="355"/>
      <c r="AR865" s="360"/>
      <c r="AS865" s="359"/>
      <c r="AT865" s="284"/>
      <c r="AU865" s="355"/>
      <c r="AW865" s="359"/>
      <c r="AX865" s="284"/>
      <c r="AY865" s="355"/>
      <c r="BA865" s="359"/>
      <c r="BB865" s="284"/>
      <c r="BC865" s="355"/>
      <c r="BE865" s="359"/>
      <c r="BF865" s="284"/>
      <c r="BG865" s="355"/>
      <c r="BI865" s="359"/>
      <c r="BJ865" s="284"/>
      <c r="BK865" s="355"/>
      <c r="BM865" s="359"/>
      <c r="BN865" s="284"/>
      <c r="BO865" s="355"/>
      <c r="BQ865" s="359"/>
      <c r="BR865" s="284"/>
      <c r="BS865" s="355"/>
      <c r="BU865" s="359"/>
      <c r="BV865" s="284"/>
    </row>
    <row r="866" spans="2:74" x14ac:dyDescent="0.25">
      <c r="B866" s="284"/>
      <c r="D866" s="355"/>
      <c r="E866" s="356"/>
      <c r="F866" s="357"/>
      <c r="G866" s="358"/>
      <c r="H866" s="359"/>
      <c r="I866" s="284"/>
      <c r="J866" s="287"/>
      <c r="K866" s="355"/>
      <c r="M866" s="359"/>
      <c r="N866" s="284"/>
      <c r="O866" s="355"/>
      <c r="P866" s="360"/>
      <c r="Q866" s="359"/>
      <c r="R866" s="284"/>
      <c r="S866" s="355"/>
      <c r="U866" s="359"/>
      <c r="V866" s="284"/>
      <c r="W866" s="355"/>
      <c r="Y866" s="359"/>
      <c r="Z866" s="284"/>
      <c r="AA866" s="355"/>
      <c r="AC866" s="359"/>
      <c r="AD866" s="284"/>
      <c r="AE866" s="355"/>
      <c r="AG866" s="359"/>
      <c r="AH866" s="284"/>
      <c r="AI866" s="355"/>
      <c r="AK866" s="359"/>
      <c r="AL866" s="284"/>
      <c r="AM866" s="355"/>
      <c r="AO866" s="359"/>
      <c r="AP866" s="284"/>
      <c r="AQ866" s="355"/>
      <c r="AR866" s="360"/>
      <c r="AS866" s="359"/>
      <c r="AT866" s="284"/>
      <c r="AU866" s="355"/>
      <c r="AW866" s="359"/>
      <c r="AX866" s="284"/>
      <c r="AY866" s="355"/>
      <c r="BA866" s="359"/>
      <c r="BB866" s="284"/>
      <c r="BC866" s="355"/>
      <c r="BE866" s="359"/>
      <c r="BF866" s="284"/>
      <c r="BG866" s="355"/>
      <c r="BI866" s="359"/>
      <c r="BJ866" s="284"/>
      <c r="BK866" s="355"/>
      <c r="BM866" s="359"/>
      <c r="BN866" s="284"/>
      <c r="BO866" s="355"/>
      <c r="BQ866" s="359"/>
      <c r="BR866" s="284"/>
      <c r="BS866" s="355"/>
      <c r="BU866" s="359"/>
      <c r="BV866" s="284"/>
    </row>
    <row r="867" spans="2:74" x14ac:dyDescent="0.25">
      <c r="B867" s="284"/>
      <c r="D867" s="355"/>
      <c r="E867" s="356"/>
      <c r="F867" s="357"/>
      <c r="G867" s="358"/>
      <c r="H867" s="359"/>
      <c r="I867" s="284"/>
      <c r="J867" s="287"/>
      <c r="K867" s="355"/>
      <c r="M867" s="359"/>
      <c r="N867" s="284"/>
      <c r="O867" s="355"/>
      <c r="P867" s="360"/>
      <c r="Q867" s="359"/>
      <c r="R867" s="284"/>
      <c r="S867" s="355"/>
      <c r="U867" s="359"/>
      <c r="V867" s="284"/>
      <c r="W867" s="355"/>
      <c r="Y867" s="359"/>
      <c r="Z867" s="284"/>
      <c r="AA867" s="355"/>
      <c r="AC867" s="359"/>
      <c r="AD867" s="284"/>
      <c r="AE867" s="355"/>
      <c r="AG867" s="359"/>
      <c r="AH867" s="284"/>
      <c r="AI867" s="355"/>
      <c r="AK867" s="359"/>
      <c r="AL867" s="284"/>
      <c r="AM867" s="355"/>
      <c r="AO867" s="359"/>
      <c r="AP867" s="284"/>
      <c r="AQ867" s="355"/>
      <c r="AR867" s="360"/>
      <c r="AS867" s="359"/>
      <c r="AT867" s="284"/>
      <c r="AU867" s="355"/>
      <c r="AW867" s="359"/>
      <c r="AX867" s="284"/>
      <c r="AY867" s="355"/>
      <c r="BA867" s="359"/>
      <c r="BB867" s="284"/>
      <c r="BC867" s="355"/>
      <c r="BE867" s="359"/>
      <c r="BF867" s="284"/>
      <c r="BG867" s="355"/>
      <c r="BI867" s="359"/>
      <c r="BJ867" s="284"/>
      <c r="BK867" s="355"/>
      <c r="BM867" s="359"/>
      <c r="BN867" s="284"/>
      <c r="BO867" s="355"/>
      <c r="BQ867" s="359"/>
      <c r="BR867" s="284"/>
      <c r="BS867" s="355"/>
      <c r="BU867" s="359"/>
      <c r="BV867" s="284"/>
    </row>
    <row r="868" spans="2:74" x14ac:dyDescent="0.25">
      <c r="B868" s="284"/>
      <c r="D868" s="355"/>
      <c r="E868" s="356"/>
      <c r="F868" s="357"/>
      <c r="G868" s="358"/>
      <c r="H868" s="359"/>
      <c r="I868" s="284"/>
      <c r="J868" s="287"/>
      <c r="K868" s="355"/>
      <c r="M868" s="359"/>
      <c r="N868" s="284"/>
      <c r="O868" s="355"/>
      <c r="P868" s="360"/>
      <c r="Q868" s="359"/>
      <c r="R868" s="284"/>
      <c r="S868" s="355"/>
      <c r="U868" s="359"/>
      <c r="V868" s="284"/>
      <c r="W868" s="355"/>
      <c r="Y868" s="359"/>
      <c r="Z868" s="284"/>
      <c r="AA868" s="355"/>
      <c r="AC868" s="359"/>
      <c r="AD868" s="284"/>
      <c r="AE868" s="355"/>
      <c r="AG868" s="359"/>
      <c r="AH868" s="284"/>
      <c r="AI868" s="355"/>
      <c r="AK868" s="359"/>
      <c r="AL868" s="284"/>
      <c r="AM868" s="355"/>
      <c r="AO868" s="359"/>
      <c r="AP868" s="284"/>
      <c r="AQ868" s="355"/>
      <c r="AR868" s="360"/>
      <c r="AS868" s="359"/>
      <c r="AT868" s="284"/>
      <c r="AU868" s="355"/>
      <c r="AW868" s="359"/>
      <c r="AX868" s="284"/>
      <c r="AY868" s="355"/>
      <c r="BA868" s="359"/>
      <c r="BB868" s="284"/>
      <c r="BC868" s="355"/>
      <c r="BE868" s="359"/>
      <c r="BF868" s="284"/>
      <c r="BG868" s="355"/>
      <c r="BI868" s="359"/>
      <c r="BJ868" s="284"/>
      <c r="BK868" s="355"/>
      <c r="BM868" s="359"/>
      <c r="BN868" s="284"/>
      <c r="BO868" s="355"/>
      <c r="BQ868" s="359"/>
      <c r="BR868" s="284"/>
      <c r="BS868" s="355"/>
      <c r="BU868" s="359"/>
      <c r="BV868" s="284"/>
    </row>
    <row r="869" spans="2:74" x14ac:dyDescent="0.25">
      <c r="B869" s="284"/>
      <c r="D869" s="355"/>
      <c r="E869" s="356"/>
      <c r="F869" s="357"/>
      <c r="G869" s="358"/>
      <c r="H869" s="359"/>
      <c r="I869" s="284"/>
      <c r="J869" s="287"/>
      <c r="K869" s="355"/>
      <c r="M869" s="359"/>
      <c r="N869" s="284"/>
      <c r="O869" s="355"/>
      <c r="P869" s="360"/>
      <c r="Q869" s="359"/>
      <c r="R869" s="284"/>
      <c r="S869" s="355"/>
      <c r="U869" s="359"/>
      <c r="V869" s="284"/>
      <c r="W869" s="355"/>
      <c r="Y869" s="359"/>
      <c r="Z869" s="284"/>
      <c r="AA869" s="355"/>
      <c r="AC869" s="359"/>
      <c r="AD869" s="284"/>
      <c r="AE869" s="355"/>
      <c r="AG869" s="359"/>
      <c r="AH869" s="284"/>
      <c r="AI869" s="355"/>
      <c r="AK869" s="359"/>
      <c r="AL869" s="284"/>
      <c r="AM869" s="355"/>
      <c r="AO869" s="359"/>
      <c r="AP869" s="284"/>
      <c r="AQ869" s="355"/>
      <c r="AR869" s="360"/>
      <c r="AS869" s="359"/>
      <c r="AT869" s="284"/>
      <c r="AU869" s="355"/>
      <c r="AW869" s="359"/>
      <c r="AX869" s="284"/>
      <c r="AY869" s="355"/>
      <c r="BA869" s="359"/>
      <c r="BB869" s="284"/>
      <c r="BC869" s="355"/>
      <c r="BE869" s="359"/>
      <c r="BF869" s="284"/>
      <c r="BG869" s="355"/>
      <c r="BI869" s="359"/>
      <c r="BJ869" s="284"/>
      <c r="BK869" s="355"/>
      <c r="BM869" s="359"/>
      <c r="BN869" s="284"/>
      <c r="BO869" s="355"/>
      <c r="BQ869" s="359"/>
      <c r="BR869" s="284"/>
      <c r="BS869" s="355"/>
      <c r="BU869" s="359"/>
      <c r="BV869" s="284"/>
    </row>
    <row r="870" spans="2:74" x14ac:dyDescent="0.25">
      <c r="B870" s="284"/>
      <c r="D870" s="355"/>
      <c r="E870" s="356"/>
      <c r="F870" s="357"/>
      <c r="G870" s="358"/>
      <c r="H870" s="359"/>
      <c r="I870" s="284"/>
      <c r="J870" s="287"/>
      <c r="K870" s="355"/>
      <c r="M870" s="359"/>
      <c r="N870" s="284"/>
      <c r="O870" s="355"/>
      <c r="P870" s="360"/>
      <c r="Q870" s="359"/>
      <c r="R870" s="284"/>
      <c r="S870" s="355"/>
      <c r="U870" s="359"/>
      <c r="V870" s="284"/>
      <c r="W870" s="355"/>
      <c r="Y870" s="359"/>
      <c r="Z870" s="284"/>
      <c r="AA870" s="355"/>
      <c r="AC870" s="359"/>
      <c r="AD870" s="284"/>
      <c r="AE870" s="355"/>
      <c r="AG870" s="359"/>
      <c r="AH870" s="284"/>
      <c r="AI870" s="355"/>
      <c r="AK870" s="359"/>
      <c r="AL870" s="284"/>
      <c r="AM870" s="355"/>
      <c r="AO870" s="359"/>
      <c r="AP870" s="284"/>
      <c r="AQ870" s="355"/>
      <c r="AR870" s="360"/>
      <c r="AS870" s="359"/>
      <c r="AT870" s="284"/>
      <c r="AU870" s="355"/>
      <c r="AW870" s="359"/>
      <c r="AX870" s="284"/>
      <c r="AY870" s="355"/>
      <c r="BA870" s="359"/>
      <c r="BB870" s="284"/>
      <c r="BC870" s="355"/>
      <c r="BE870" s="359"/>
      <c r="BF870" s="284"/>
      <c r="BG870" s="355"/>
      <c r="BI870" s="359"/>
      <c r="BJ870" s="284"/>
      <c r="BK870" s="355"/>
      <c r="BM870" s="359"/>
      <c r="BN870" s="284"/>
      <c r="BO870" s="355"/>
      <c r="BQ870" s="359"/>
      <c r="BR870" s="284"/>
      <c r="BS870" s="355"/>
      <c r="BU870" s="359"/>
      <c r="BV870" s="284"/>
    </row>
    <row r="871" spans="2:74" x14ac:dyDescent="0.25">
      <c r="B871" s="284"/>
      <c r="D871" s="355"/>
      <c r="E871" s="356"/>
      <c r="F871" s="357"/>
      <c r="G871" s="358"/>
      <c r="H871" s="359"/>
      <c r="I871" s="284"/>
      <c r="J871" s="287"/>
      <c r="K871" s="355"/>
      <c r="M871" s="359"/>
      <c r="N871" s="284"/>
      <c r="O871" s="355"/>
      <c r="P871" s="360"/>
      <c r="Q871" s="359"/>
      <c r="R871" s="284"/>
      <c r="S871" s="355"/>
      <c r="U871" s="359"/>
      <c r="V871" s="284"/>
      <c r="W871" s="355"/>
      <c r="Y871" s="359"/>
      <c r="Z871" s="284"/>
      <c r="AA871" s="355"/>
      <c r="AC871" s="359"/>
      <c r="AD871" s="284"/>
      <c r="AE871" s="355"/>
      <c r="AG871" s="359"/>
      <c r="AH871" s="284"/>
      <c r="AI871" s="355"/>
      <c r="AK871" s="359"/>
      <c r="AL871" s="284"/>
      <c r="AM871" s="355"/>
      <c r="AO871" s="359"/>
      <c r="AP871" s="284"/>
      <c r="AQ871" s="355"/>
      <c r="AR871" s="360"/>
      <c r="AS871" s="359"/>
      <c r="AT871" s="284"/>
      <c r="AU871" s="355"/>
      <c r="AW871" s="359"/>
      <c r="AX871" s="284"/>
      <c r="AY871" s="355"/>
      <c r="BA871" s="359"/>
      <c r="BB871" s="284"/>
      <c r="BC871" s="355"/>
      <c r="BE871" s="359"/>
      <c r="BF871" s="284"/>
      <c r="BG871" s="355"/>
      <c r="BI871" s="359"/>
      <c r="BJ871" s="284"/>
      <c r="BK871" s="355"/>
      <c r="BM871" s="359"/>
      <c r="BN871" s="284"/>
      <c r="BO871" s="355"/>
      <c r="BQ871" s="359"/>
      <c r="BR871" s="284"/>
      <c r="BS871" s="355"/>
      <c r="BU871" s="359"/>
      <c r="BV871" s="284"/>
    </row>
    <row r="872" spans="2:74" x14ac:dyDescent="0.25">
      <c r="B872" s="284"/>
      <c r="D872" s="355"/>
      <c r="E872" s="356"/>
      <c r="F872" s="357"/>
      <c r="G872" s="358"/>
      <c r="H872" s="359"/>
      <c r="I872" s="284"/>
      <c r="J872" s="287"/>
      <c r="K872" s="355"/>
      <c r="M872" s="359"/>
      <c r="N872" s="284"/>
      <c r="O872" s="355"/>
      <c r="P872" s="360"/>
      <c r="Q872" s="359"/>
      <c r="R872" s="284"/>
      <c r="S872" s="355"/>
      <c r="U872" s="359"/>
      <c r="V872" s="284"/>
      <c r="W872" s="355"/>
      <c r="Y872" s="359"/>
      <c r="Z872" s="284"/>
      <c r="AA872" s="355"/>
      <c r="AC872" s="359"/>
      <c r="AD872" s="284"/>
      <c r="AE872" s="355"/>
      <c r="AG872" s="359"/>
      <c r="AH872" s="284"/>
      <c r="AI872" s="355"/>
      <c r="AK872" s="359"/>
      <c r="AL872" s="284"/>
      <c r="AM872" s="355"/>
      <c r="AO872" s="359"/>
      <c r="AP872" s="284"/>
      <c r="AQ872" s="355"/>
      <c r="AR872" s="360"/>
      <c r="AS872" s="359"/>
      <c r="AT872" s="284"/>
      <c r="AU872" s="355"/>
      <c r="AW872" s="359"/>
      <c r="AX872" s="284"/>
      <c r="AY872" s="355"/>
      <c r="BA872" s="359"/>
      <c r="BB872" s="284"/>
      <c r="BC872" s="355"/>
      <c r="BE872" s="359"/>
      <c r="BF872" s="284"/>
      <c r="BG872" s="355"/>
      <c r="BI872" s="359"/>
      <c r="BJ872" s="284"/>
      <c r="BK872" s="355"/>
      <c r="BM872" s="359"/>
      <c r="BN872" s="284"/>
      <c r="BO872" s="355"/>
      <c r="BQ872" s="359"/>
      <c r="BR872" s="284"/>
      <c r="BS872" s="355"/>
      <c r="BU872" s="359"/>
      <c r="BV872" s="284"/>
    </row>
    <row r="873" spans="2:74" x14ac:dyDescent="0.25">
      <c r="B873" s="284"/>
      <c r="D873" s="355"/>
      <c r="E873" s="356"/>
      <c r="F873" s="357"/>
      <c r="G873" s="358"/>
      <c r="H873" s="359"/>
      <c r="I873" s="284"/>
      <c r="J873" s="287"/>
      <c r="K873" s="355"/>
      <c r="M873" s="359"/>
      <c r="N873" s="284"/>
      <c r="O873" s="355"/>
      <c r="P873" s="360"/>
      <c r="Q873" s="359"/>
      <c r="R873" s="284"/>
      <c r="S873" s="355"/>
      <c r="U873" s="359"/>
      <c r="V873" s="284"/>
      <c r="W873" s="355"/>
      <c r="Y873" s="359"/>
      <c r="Z873" s="284"/>
      <c r="AA873" s="355"/>
      <c r="AC873" s="359"/>
      <c r="AD873" s="284"/>
      <c r="AE873" s="355"/>
      <c r="AG873" s="359"/>
      <c r="AH873" s="284"/>
      <c r="AI873" s="355"/>
      <c r="AK873" s="359"/>
      <c r="AL873" s="284"/>
      <c r="AM873" s="355"/>
      <c r="AO873" s="359"/>
      <c r="AP873" s="284"/>
      <c r="AQ873" s="355"/>
      <c r="AR873" s="360"/>
      <c r="AS873" s="359"/>
      <c r="AT873" s="284"/>
      <c r="AU873" s="355"/>
      <c r="AW873" s="359"/>
      <c r="AX873" s="284"/>
      <c r="AY873" s="355"/>
      <c r="BA873" s="359"/>
      <c r="BB873" s="284"/>
      <c r="BC873" s="355"/>
      <c r="BE873" s="359"/>
      <c r="BF873" s="284"/>
      <c r="BG873" s="355"/>
      <c r="BI873" s="359"/>
      <c r="BJ873" s="284"/>
      <c r="BK873" s="355"/>
      <c r="BM873" s="359"/>
      <c r="BN873" s="284"/>
      <c r="BO873" s="355"/>
      <c r="BQ873" s="359"/>
      <c r="BR873" s="284"/>
      <c r="BS873" s="355"/>
      <c r="BU873" s="359"/>
      <c r="BV873" s="284"/>
    </row>
    <row r="874" spans="2:74" x14ac:dyDescent="0.25">
      <c r="B874" s="284"/>
      <c r="D874" s="355"/>
      <c r="E874" s="356"/>
      <c r="F874" s="357"/>
      <c r="G874" s="358"/>
      <c r="H874" s="359"/>
      <c r="I874" s="284"/>
      <c r="J874" s="287"/>
      <c r="K874" s="355"/>
      <c r="M874" s="359"/>
      <c r="N874" s="284"/>
      <c r="O874" s="355"/>
      <c r="P874" s="360"/>
      <c r="Q874" s="359"/>
      <c r="R874" s="284"/>
      <c r="S874" s="355"/>
      <c r="U874" s="359"/>
      <c r="V874" s="284"/>
      <c r="W874" s="355"/>
      <c r="Y874" s="359"/>
      <c r="Z874" s="284"/>
      <c r="AA874" s="355"/>
      <c r="AC874" s="359"/>
      <c r="AD874" s="284"/>
      <c r="AE874" s="355"/>
      <c r="AG874" s="359"/>
      <c r="AH874" s="284"/>
      <c r="AI874" s="355"/>
      <c r="AK874" s="359"/>
      <c r="AL874" s="284"/>
      <c r="AM874" s="355"/>
      <c r="AO874" s="359"/>
      <c r="AP874" s="284"/>
      <c r="AQ874" s="355"/>
      <c r="AR874" s="360"/>
      <c r="AS874" s="359"/>
      <c r="AT874" s="284"/>
      <c r="AU874" s="355"/>
      <c r="AW874" s="359"/>
      <c r="AX874" s="284"/>
      <c r="AY874" s="355"/>
      <c r="BA874" s="359"/>
      <c r="BB874" s="284"/>
      <c r="BC874" s="355"/>
      <c r="BE874" s="359"/>
      <c r="BF874" s="284"/>
      <c r="BG874" s="355"/>
      <c r="BI874" s="359"/>
      <c r="BJ874" s="284"/>
      <c r="BK874" s="355"/>
      <c r="BM874" s="359"/>
      <c r="BN874" s="284"/>
      <c r="BO874" s="355"/>
      <c r="BQ874" s="359"/>
      <c r="BR874" s="284"/>
      <c r="BS874" s="355"/>
      <c r="BU874" s="359"/>
      <c r="BV874" s="284"/>
    </row>
    <row r="875" spans="2:74" x14ac:dyDescent="0.25">
      <c r="B875" s="284"/>
      <c r="D875" s="355"/>
      <c r="E875" s="356"/>
      <c r="F875" s="357"/>
      <c r="G875" s="358"/>
      <c r="H875" s="359"/>
      <c r="I875" s="284"/>
      <c r="J875" s="287"/>
      <c r="K875" s="355"/>
      <c r="M875" s="359"/>
      <c r="N875" s="284"/>
      <c r="O875" s="355"/>
      <c r="P875" s="360"/>
      <c r="Q875" s="359"/>
      <c r="R875" s="284"/>
      <c r="S875" s="355"/>
      <c r="U875" s="359"/>
      <c r="V875" s="284"/>
      <c r="W875" s="355"/>
      <c r="Y875" s="359"/>
      <c r="Z875" s="284"/>
      <c r="AA875" s="355"/>
      <c r="AC875" s="359"/>
      <c r="AD875" s="284"/>
      <c r="AE875" s="355"/>
      <c r="AG875" s="359"/>
      <c r="AH875" s="284"/>
      <c r="AI875" s="355"/>
      <c r="AK875" s="359"/>
      <c r="AL875" s="284"/>
      <c r="AM875" s="355"/>
      <c r="AO875" s="359"/>
      <c r="AP875" s="284"/>
      <c r="AQ875" s="355"/>
      <c r="AR875" s="360"/>
      <c r="AS875" s="359"/>
      <c r="AT875" s="284"/>
      <c r="AU875" s="355"/>
      <c r="AW875" s="359"/>
      <c r="AX875" s="284"/>
      <c r="AY875" s="355"/>
      <c r="BA875" s="359"/>
      <c r="BB875" s="284"/>
      <c r="BC875" s="355"/>
      <c r="BE875" s="359"/>
      <c r="BF875" s="284"/>
      <c r="BG875" s="355"/>
      <c r="BI875" s="359"/>
      <c r="BJ875" s="284"/>
      <c r="BK875" s="355"/>
      <c r="BM875" s="359"/>
      <c r="BN875" s="284"/>
      <c r="BO875" s="355"/>
      <c r="BQ875" s="359"/>
      <c r="BR875" s="284"/>
      <c r="BS875" s="355"/>
      <c r="BU875" s="359"/>
      <c r="BV875" s="284"/>
    </row>
    <row r="876" spans="2:74" x14ac:dyDescent="0.25">
      <c r="B876" s="284"/>
      <c r="D876" s="355"/>
      <c r="E876" s="356"/>
      <c r="F876" s="357"/>
      <c r="G876" s="358"/>
      <c r="H876" s="359"/>
      <c r="I876" s="284"/>
      <c r="J876" s="287"/>
      <c r="K876" s="355"/>
      <c r="M876" s="359"/>
      <c r="N876" s="284"/>
      <c r="O876" s="355"/>
      <c r="P876" s="360"/>
      <c r="Q876" s="359"/>
      <c r="R876" s="284"/>
      <c r="S876" s="355"/>
      <c r="U876" s="359"/>
      <c r="V876" s="284"/>
      <c r="W876" s="355"/>
      <c r="Y876" s="359"/>
      <c r="Z876" s="284"/>
      <c r="AA876" s="355"/>
      <c r="AC876" s="359"/>
      <c r="AD876" s="284"/>
      <c r="AE876" s="355"/>
      <c r="AG876" s="359"/>
      <c r="AH876" s="284"/>
      <c r="AI876" s="355"/>
      <c r="AK876" s="359"/>
      <c r="AL876" s="284"/>
      <c r="AM876" s="355"/>
      <c r="AO876" s="359"/>
      <c r="AP876" s="284"/>
      <c r="AQ876" s="355"/>
      <c r="AR876" s="360"/>
      <c r="AS876" s="359"/>
      <c r="AT876" s="284"/>
      <c r="AU876" s="355"/>
      <c r="AW876" s="359"/>
      <c r="AX876" s="284"/>
      <c r="AY876" s="355"/>
      <c r="BA876" s="359"/>
      <c r="BB876" s="284"/>
      <c r="BC876" s="355"/>
      <c r="BE876" s="359"/>
      <c r="BF876" s="284"/>
      <c r="BG876" s="355"/>
      <c r="BI876" s="359"/>
      <c r="BJ876" s="284"/>
      <c r="BK876" s="355"/>
      <c r="BM876" s="359"/>
      <c r="BN876" s="284"/>
      <c r="BO876" s="355"/>
      <c r="BQ876" s="359"/>
      <c r="BR876" s="284"/>
      <c r="BS876" s="355"/>
      <c r="BU876" s="359"/>
      <c r="BV876" s="284"/>
    </row>
    <row r="877" spans="2:74" x14ac:dyDescent="0.25">
      <c r="B877" s="284"/>
      <c r="D877" s="355"/>
      <c r="E877" s="356"/>
      <c r="F877" s="357"/>
      <c r="G877" s="358"/>
      <c r="H877" s="359"/>
      <c r="I877" s="284"/>
      <c r="J877" s="287"/>
      <c r="K877" s="355"/>
      <c r="M877" s="359"/>
      <c r="N877" s="284"/>
      <c r="O877" s="355"/>
      <c r="P877" s="360"/>
      <c r="Q877" s="359"/>
      <c r="R877" s="284"/>
      <c r="S877" s="355"/>
      <c r="U877" s="359"/>
      <c r="V877" s="284"/>
      <c r="W877" s="355"/>
      <c r="Y877" s="359"/>
      <c r="Z877" s="284"/>
      <c r="AA877" s="355"/>
      <c r="AC877" s="359"/>
      <c r="AD877" s="284"/>
      <c r="AE877" s="355"/>
      <c r="AG877" s="359"/>
      <c r="AH877" s="284"/>
      <c r="AI877" s="355"/>
      <c r="AK877" s="359"/>
      <c r="AL877" s="284"/>
      <c r="AM877" s="355"/>
      <c r="AO877" s="359"/>
      <c r="AP877" s="284"/>
      <c r="AQ877" s="355"/>
      <c r="AR877" s="360"/>
      <c r="AS877" s="359"/>
      <c r="AT877" s="284"/>
      <c r="AU877" s="355"/>
      <c r="AW877" s="359"/>
      <c r="AX877" s="284"/>
      <c r="AY877" s="355"/>
      <c r="BA877" s="359"/>
      <c r="BB877" s="284"/>
      <c r="BC877" s="355"/>
      <c r="BE877" s="359"/>
      <c r="BF877" s="284"/>
      <c r="BG877" s="355"/>
      <c r="BI877" s="359"/>
      <c r="BJ877" s="284"/>
      <c r="BK877" s="355"/>
      <c r="BM877" s="359"/>
      <c r="BN877" s="284"/>
      <c r="BO877" s="355"/>
      <c r="BQ877" s="359"/>
      <c r="BR877" s="284"/>
      <c r="BS877" s="355"/>
      <c r="BU877" s="359"/>
      <c r="BV877" s="284"/>
    </row>
    <row r="878" spans="2:74" x14ac:dyDescent="0.25">
      <c r="B878" s="284"/>
      <c r="D878" s="355"/>
      <c r="E878" s="356"/>
      <c r="F878" s="357"/>
      <c r="G878" s="358"/>
      <c r="H878" s="359"/>
      <c r="I878" s="284"/>
      <c r="J878" s="287"/>
      <c r="K878" s="355"/>
      <c r="M878" s="359"/>
      <c r="N878" s="284"/>
      <c r="O878" s="355"/>
      <c r="P878" s="360"/>
      <c r="Q878" s="359"/>
      <c r="R878" s="284"/>
      <c r="S878" s="355"/>
      <c r="U878" s="359"/>
      <c r="V878" s="284"/>
      <c r="W878" s="355"/>
      <c r="Y878" s="359"/>
      <c r="Z878" s="284"/>
      <c r="AA878" s="355"/>
      <c r="AC878" s="359"/>
      <c r="AD878" s="284"/>
      <c r="AE878" s="355"/>
      <c r="AG878" s="359"/>
      <c r="AH878" s="284"/>
      <c r="AI878" s="355"/>
      <c r="AK878" s="359"/>
      <c r="AL878" s="284"/>
      <c r="AM878" s="355"/>
      <c r="AO878" s="359"/>
      <c r="AP878" s="284"/>
      <c r="AQ878" s="355"/>
      <c r="AR878" s="360"/>
      <c r="AS878" s="359"/>
      <c r="AT878" s="284"/>
      <c r="AU878" s="355"/>
      <c r="AW878" s="359"/>
      <c r="AX878" s="284"/>
      <c r="AY878" s="355"/>
      <c r="BA878" s="359"/>
      <c r="BB878" s="284"/>
      <c r="BC878" s="355"/>
      <c r="BE878" s="359"/>
      <c r="BF878" s="284"/>
      <c r="BG878" s="355"/>
      <c r="BI878" s="359"/>
      <c r="BJ878" s="284"/>
      <c r="BK878" s="355"/>
      <c r="BM878" s="359"/>
      <c r="BN878" s="284"/>
      <c r="BO878" s="355"/>
      <c r="BQ878" s="359"/>
      <c r="BR878" s="284"/>
      <c r="BS878" s="355"/>
      <c r="BU878" s="359"/>
      <c r="BV878" s="284"/>
    </row>
    <row r="879" spans="2:74" x14ac:dyDescent="0.25">
      <c r="B879" s="284"/>
      <c r="D879" s="355"/>
      <c r="E879" s="356"/>
      <c r="F879" s="357"/>
      <c r="G879" s="358"/>
      <c r="H879" s="359"/>
      <c r="I879" s="284"/>
      <c r="J879" s="287"/>
      <c r="K879" s="355"/>
      <c r="M879" s="359"/>
      <c r="N879" s="284"/>
      <c r="O879" s="355"/>
      <c r="P879" s="360"/>
      <c r="Q879" s="359"/>
      <c r="R879" s="284"/>
      <c r="S879" s="355"/>
      <c r="U879" s="359"/>
      <c r="V879" s="284"/>
      <c r="W879" s="355"/>
      <c r="Y879" s="359"/>
      <c r="Z879" s="284"/>
      <c r="AA879" s="355"/>
      <c r="AC879" s="359"/>
      <c r="AD879" s="284"/>
      <c r="AE879" s="355"/>
      <c r="AG879" s="359"/>
      <c r="AH879" s="284"/>
      <c r="AI879" s="355"/>
      <c r="AK879" s="359"/>
      <c r="AL879" s="284"/>
      <c r="AM879" s="355"/>
      <c r="AO879" s="359"/>
      <c r="AP879" s="284"/>
      <c r="AQ879" s="355"/>
      <c r="AR879" s="360"/>
      <c r="AS879" s="359"/>
      <c r="AT879" s="284"/>
      <c r="AU879" s="355"/>
      <c r="AW879" s="359"/>
      <c r="AX879" s="284"/>
      <c r="AY879" s="355"/>
      <c r="BA879" s="359"/>
      <c r="BB879" s="284"/>
      <c r="BC879" s="355"/>
      <c r="BE879" s="359"/>
      <c r="BF879" s="284"/>
      <c r="BG879" s="355"/>
      <c r="BI879" s="359"/>
      <c r="BJ879" s="284"/>
      <c r="BK879" s="355"/>
      <c r="BM879" s="359"/>
      <c r="BN879" s="284"/>
      <c r="BO879" s="355"/>
      <c r="BQ879" s="359"/>
      <c r="BR879" s="284"/>
      <c r="BS879" s="355"/>
      <c r="BU879" s="359"/>
      <c r="BV879" s="284"/>
    </row>
    <row r="880" spans="2:74" x14ac:dyDescent="0.25">
      <c r="B880" s="284"/>
      <c r="D880" s="355"/>
      <c r="E880" s="356"/>
      <c r="F880" s="357"/>
      <c r="G880" s="358"/>
      <c r="H880" s="359"/>
      <c r="I880" s="284"/>
      <c r="J880" s="287"/>
      <c r="K880" s="355"/>
      <c r="M880" s="359"/>
      <c r="N880" s="284"/>
      <c r="O880" s="355"/>
      <c r="P880" s="360"/>
      <c r="Q880" s="359"/>
      <c r="R880" s="284"/>
      <c r="S880" s="355"/>
      <c r="U880" s="359"/>
      <c r="V880" s="284"/>
      <c r="W880" s="355"/>
      <c r="Y880" s="359"/>
      <c r="Z880" s="284"/>
      <c r="AA880" s="355"/>
      <c r="AC880" s="359"/>
      <c r="AD880" s="284"/>
      <c r="AE880" s="355"/>
      <c r="AG880" s="359"/>
      <c r="AH880" s="284"/>
      <c r="AI880" s="355"/>
      <c r="AK880" s="359"/>
      <c r="AL880" s="284"/>
      <c r="AM880" s="355"/>
      <c r="AO880" s="359"/>
      <c r="AP880" s="284"/>
      <c r="AQ880" s="355"/>
      <c r="AR880" s="360"/>
      <c r="AS880" s="359"/>
      <c r="AT880" s="284"/>
      <c r="AU880" s="355"/>
      <c r="AW880" s="359"/>
      <c r="AX880" s="284"/>
      <c r="AY880" s="355"/>
      <c r="BA880" s="359"/>
      <c r="BB880" s="284"/>
      <c r="BC880" s="355"/>
      <c r="BE880" s="359"/>
      <c r="BF880" s="284"/>
      <c r="BG880" s="355"/>
      <c r="BI880" s="359"/>
      <c r="BJ880" s="284"/>
      <c r="BK880" s="355"/>
      <c r="BM880" s="359"/>
      <c r="BN880" s="284"/>
      <c r="BO880" s="355"/>
      <c r="BQ880" s="359"/>
      <c r="BR880" s="284"/>
      <c r="BS880" s="355"/>
      <c r="BU880" s="359"/>
      <c r="BV880" s="284"/>
    </row>
    <row r="881" spans="2:74" x14ac:dyDescent="0.25">
      <c r="B881" s="284"/>
      <c r="D881" s="355"/>
      <c r="E881" s="356"/>
      <c r="F881" s="357"/>
      <c r="G881" s="358"/>
      <c r="H881" s="359"/>
      <c r="I881" s="284"/>
      <c r="J881" s="287"/>
      <c r="K881" s="355"/>
      <c r="M881" s="359"/>
      <c r="N881" s="284"/>
      <c r="O881" s="355"/>
      <c r="P881" s="360"/>
      <c r="Q881" s="359"/>
      <c r="R881" s="284"/>
      <c r="S881" s="355"/>
      <c r="U881" s="359"/>
      <c r="V881" s="284"/>
      <c r="W881" s="355"/>
      <c r="Y881" s="359"/>
      <c r="Z881" s="284"/>
      <c r="AA881" s="355"/>
      <c r="AC881" s="359"/>
      <c r="AD881" s="284"/>
      <c r="AE881" s="355"/>
      <c r="AG881" s="359"/>
      <c r="AH881" s="284"/>
      <c r="AI881" s="355"/>
      <c r="AK881" s="359"/>
      <c r="AL881" s="284"/>
      <c r="AM881" s="355"/>
      <c r="AO881" s="359"/>
      <c r="AP881" s="284"/>
      <c r="AQ881" s="355"/>
      <c r="AR881" s="360"/>
      <c r="AS881" s="359"/>
      <c r="AT881" s="284"/>
      <c r="AU881" s="355"/>
      <c r="AW881" s="359"/>
      <c r="AX881" s="284"/>
      <c r="AY881" s="355"/>
      <c r="BA881" s="359"/>
      <c r="BB881" s="284"/>
      <c r="BC881" s="355"/>
      <c r="BE881" s="359"/>
      <c r="BF881" s="284"/>
      <c r="BG881" s="355"/>
      <c r="BI881" s="359"/>
      <c r="BJ881" s="284"/>
      <c r="BK881" s="355"/>
      <c r="BM881" s="359"/>
      <c r="BN881" s="284"/>
      <c r="BO881" s="355"/>
      <c r="BQ881" s="359"/>
      <c r="BR881" s="284"/>
      <c r="BS881" s="355"/>
      <c r="BU881" s="359"/>
      <c r="BV881" s="284"/>
    </row>
    <row r="882" spans="2:74" x14ac:dyDescent="0.25">
      <c r="B882" s="284"/>
      <c r="D882" s="355"/>
      <c r="E882" s="356"/>
      <c r="F882" s="357"/>
      <c r="G882" s="358"/>
      <c r="H882" s="359"/>
      <c r="I882" s="284"/>
      <c r="J882" s="287"/>
      <c r="K882" s="355"/>
      <c r="M882" s="359"/>
      <c r="N882" s="284"/>
      <c r="O882" s="355"/>
      <c r="P882" s="360"/>
      <c r="Q882" s="359"/>
      <c r="R882" s="284"/>
      <c r="S882" s="355"/>
      <c r="U882" s="359"/>
      <c r="V882" s="284"/>
      <c r="W882" s="355"/>
      <c r="Y882" s="359"/>
      <c r="Z882" s="284"/>
      <c r="AA882" s="355"/>
      <c r="AC882" s="359"/>
      <c r="AD882" s="284"/>
      <c r="AE882" s="355"/>
      <c r="AG882" s="359"/>
      <c r="AH882" s="284"/>
      <c r="AI882" s="355"/>
      <c r="AK882" s="359"/>
      <c r="AL882" s="284"/>
      <c r="AM882" s="355"/>
      <c r="AO882" s="359"/>
      <c r="AP882" s="284"/>
      <c r="AQ882" s="355"/>
      <c r="AR882" s="360"/>
      <c r="AS882" s="359"/>
      <c r="AT882" s="284"/>
      <c r="AU882" s="355"/>
      <c r="AW882" s="359"/>
      <c r="AX882" s="284"/>
      <c r="AY882" s="355"/>
      <c r="BA882" s="359"/>
      <c r="BB882" s="284"/>
      <c r="BC882" s="355"/>
      <c r="BE882" s="359"/>
      <c r="BF882" s="284"/>
      <c r="BG882" s="355"/>
      <c r="BI882" s="359"/>
      <c r="BJ882" s="284"/>
      <c r="BK882" s="355"/>
      <c r="BM882" s="359"/>
      <c r="BN882" s="284"/>
      <c r="BO882" s="355"/>
      <c r="BQ882" s="359"/>
      <c r="BR882" s="284"/>
      <c r="BS882" s="355"/>
      <c r="BU882" s="359"/>
      <c r="BV882" s="284"/>
    </row>
    <row r="883" spans="2:74" x14ac:dyDescent="0.25">
      <c r="B883" s="284"/>
      <c r="D883" s="355"/>
      <c r="E883" s="356"/>
      <c r="F883" s="357"/>
      <c r="G883" s="358"/>
      <c r="H883" s="359"/>
      <c r="I883" s="284"/>
      <c r="J883" s="287"/>
      <c r="K883" s="355"/>
      <c r="M883" s="359"/>
      <c r="N883" s="284"/>
      <c r="O883" s="355"/>
      <c r="P883" s="360"/>
      <c r="Q883" s="359"/>
      <c r="R883" s="284"/>
      <c r="S883" s="355"/>
      <c r="U883" s="359"/>
      <c r="V883" s="284"/>
      <c r="W883" s="355"/>
      <c r="Y883" s="359"/>
      <c r="Z883" s="284"/>
      <c r="AA883" s="355"/>
      <c r="AC883" s="359"/>
      <c r="AD883" s="284"/>
      <c r="AE883" s="355"/>
      <c r="AG883" s="359"/>
      <c r="AH883" s="284"/>
      <c r="AI883" s="355"/>
      <c r="AK883" s="359"/>
      <c r="AL883" s="284"/>
      <c r="AM883" s="355"/>
      <c r="AO883" s="359"/>
      <c r="AP883" s="284"/>
      <c r="AQ883" s="355"/>
      <c r="AR883" s="360"/>
      <c r="AS883" s="359"/>
      <c r="AT883" s="284"/>
      <c r="AU883" s="355"/>
      <c r="AW883" s="359"/>
      <c r="AX883" s="284"/>
      <c r="AY883" s="355"/>
      <c r="BA883" s="359"/>
      <c r="BB883" s="284"/>
      <c r="BC883" s="355"/>
      <c r="BE883" s="359"/>
      <c r="BF883" s="284"/>
      <c r="BG883" s="355"/>
      <c r="BI883" s="359"/>
      <c r="BJ883" s="284"/>
      <c r="BK883" s="355"/>
      <c r="BM883" s="359"/>
      <c r="BN883" s="284"/>
      <c r="BO883" s="355"/>
      <c r="BQ883" s="359"/>
      <c r="BR883" s="284"/>
      <c r="BS883" s="355"/>
      <c r="BU883" s="359"/>
      <c r="BV883" s="284"/>
    </row>
    <row r="884" spans="2:74" x14ac:dyDescent="0.25">
      <c r="B884" s="284"/>
      <c r="D884" s="355"/>
      <c r="E884" s="356"/>
      <c r="F884" s="357"/>
      <c r="G884" s="358"/>
      <c r="H884" s="359"/>
      <c r="I884" s="284"/>
      <c r="J884" s="287"/>
      <c r="K884" s="355"/>
      <c r="M884" s="359"/>
      <c r="N884" s="284"/>
      <c r="O884" s="355"/>
      <c r="P884" s="360"/>
      <c r="Q884" s="359"/>
      <c r="R884" s="284"/>
      <c r="S884" s="355"/>
      <c r="U884" s="359"/>
      <c r="V884" s="284"/>
      <c r="W884" s="355"/>
      <c r="Y884" s="359"/>
      <c r="Z884" s="284"/>
      <c r="AA884" s="355"/>
      <c r="AC884" s="359"/>
      <c r="AD884" s="284"/>
      <c r="AE884" s="355"/>
      <c r="AG884" s="359"/>
      <c r="AH884" s="284"/>
      <c r="AI884" s="355"/>
      <c r="AK884" s="359"/>
      <c r="AL884" s="284"/>
      <c r="AM884" s="355"/>
      <c r="AO884" s="359"/>
      <c r="AP884" s="284"/>
      <c r="AQ884" s="355"/>
      <c r="AR884" s="360"/>
      <c r="AS884" s="359"/>
      <c r="AT884" s="284"/>
      <c r="AU884" s="355"/>
      <c r="AW884" s="359"/>
      <c r="AX884" s="284"/>
      <c r="AY884" s="355"/>
      <c r="BA884" s="359"/>
      <c r="BB884" s="284"/>
      <c r="BC884" s="355"/>
      <c r="BE884" s="359"/>
      <c r="BF884" s="284"/>
      <c r="BG884" s="355"/>
      <c r="BI884" s="359"/>
      <c r="BJ884" s="284"/>
      <c r="BK884" s="355"/>
      <c r="BM884" s="359"/>
      <c r="BN884" s="284"/>
      <c r="BO884" s="355"/>
      <c r="BQ884" s="359"/>
      <c r="BR884" s="284"/>
      <c r="BS884" s="355"/>
      <c r="BU884" s="359"/>
      <c r="BV884" s="284"/>
    </row>
    <row r="885" spans="2:74" x14ac:dyDescent="0.25">
      <c r="B885" s="284"/>
      <c r="D885" s="355"/>
      <c r="E885" s="356"/>
      <c r="F885" s="357"/>
      <c r="G885" s="358"/>
      <c r="H885" s="359"/>
      <c r="I885" s="284"/>
      <c r="J885" s="287"/>
      <c r="K885" s="355"/>
      <c r="M885" s="359"/>
      <c r="N885" s="284"/>
      <c r="O885" s="355"/>
      <c r="P885" s="360"/>
      <c r="Q885" s="359"/>
      <c r="R885" s="284"/>
      <c r="S885" s="355"/>
      <c r="U885" s="359"/>
      <c r="V885" s="284"/>
      <c r="W885" s="355"/>
      <c r="Y885" s="359"/>
      <c r="Z885" s="284"/>
      <c r="AA885" s="355"/>
      <c r="AC885" s="359"/>
      <c r="AD885" s="284"/>
      <c r="AE885" s="355"/>
      <c r="AG885" s="359"/>
      <c r="AH885" s="284"/>
      <c r="AI885" s="355"/>
      <c r="AK885" s="359"/>
      <c r="AL885" s="284"/>
      <c r="AM885" s="355"/>
      <c r="AO885" s="359"/>
      <c r="AP885" s="284"/>
      <c r="AQ885" s="355"/>
      <c r="AR885" s="360"/>
      <c r="AS885" s="359"/>
      <c r="AT885" s="284"/>
      <c r="AU885" s="355"/>
      <c r="AW885" s="359"/>
      <c r="AX885" s="284"/>
      <c r="AY885" s="355"/>
      <c r="BA885" s="359"/>
      <c r="BB885" s="284"/>
      <c r="BC885" s="355"/>
      <c r="BE885" s="359"/>
      <c r="BF885" s="284"/>
      <c r="BG885" s="355"/>
      <c r="BI885" s="359"/>
      <c r="BJ885" s="284"/>
      <c r="BK885" s="355"/>
      <c r="BM885" s="359"/>
      <c r="BN885" s="284"/>
      <c r="BO885" s="355"/>
      <c r="BQ885" s="359"/>
      <c r="BR885" s="284"/>
      <c r="BS885" s="355"/>
      <c r="BU885" s="359"/>
      <c r="BV885" s="284"/>
    </row>
    <row r="886" spans="2:74" x14ac:dyDescent="0.25">
      <c r="B886" s="284"/>
      <c r="D886" s="355"/>
      <c r="E886" s="356"/>
      <c r="F886" s="357"/>
      <c r="G886" s="358"/>
      <c r="H886" s="359"/>
      <c r="I886" s="284"/>
      <c r="J886" s="287"/>
      <c r="K886" s="355"/>
      <c r="M886" s="359"/>
      <c r="N886" s="284"/>
      <c r="O886" s="355"/>
      <c r="P886" s="360"/>
      <c r="Q886" s="359"/>
      <c r="R886" s="284"/>
      <c r="S886" s="355"/>
      <c r="U886" s="359"/>
      <c r="V886" s="284"/>
      <c r="W886" s="355"/>
      <c r="Y886" s="359"/>
      <c r="Z886" s="284"/>
      <c r="AA886" s="355"/>
      <c r="AC886" s="359"/>
      <c r="AD886" s="284"/>
      <c r="AE886" s="355"/>
      <c r="AG886" s="359"/>
      <c r="AH886" s="284"/>
      <c r="AI886" s="355"/>
      <c r="AK886" s="359"/>
      <c r="AL886" s="284"/>
      <c r="AM886" s="355"/>
      <c r="AO886" s="359"/>
      <c r="AP886" s="284"/>
      <c r="AQ886" s="355"/>
      <c r="AR886" s="360"/>
      <c r="AS886" s="359"/>
      <c r="AT886" s="284"/>
      <c r="AU886" s="355"/>
      <c r="AW886" s="359"/>
      <c r="AX886" s="284"/>
      <c r="AY886" s="355"/>
      <c r="BA886" s="359"/>
      <c r="BB886" s="284"/>
      <c r="BC886" s="355"/>
      <c r="BE886" s="359"/>
      <c r="BF886" s="284"/>
      <c r="BG886" s="355"/>
      <c r="BI886" s="359"/>
      <c r="BJ886" s="284"/>
      <c r="BK886" s="355"/>
      <c r="BM886" s="359"/>
      <c r="BN886" s="284"/>
      <c r="BO886" s="355"/>
      <c r="BQ886" s="359"/>
      <c r="BR886" s="284"/>
      <c r="BS886" s="355"/>
      <c r="BU886" s="359"/>
      <c r="BV886" s="284"/>
    </row>
    <row r="887" spans="2:74" x14ac:dyDescent="0.25">
      <c r="B887" s="284"/>
      <c r="D887" s="355"/>
      <c r="E887" s="356"/>
      <c r="F887" s="357"/>
      <c r="G887" s="358"/>
      <c r="H887" s="359"/>
      <c r="I887" s="284"/>
      <c r="J887" s="287"/>
      <c r="K887" s="355"/>
      <c r="M887" s="359"/>
      <c r="N887" s="284"/>
      <c r="O887" s="355"/>
      <c r="P887" s="360"/>
      <c r="Q887" s="359"/>
      <c r="R887" s="284"/>
      <c r="S887" s="355"/>
      <c r="U887" s="359"/>
      <c r="V887" s="284"/>
      <c r="W887" s="355"/>
      <c r="Y887" s="359"/>
      <c r="Z887" s="284"/>
      <c r="AA887" s="355"/>
      <c r="AC887" s="359"/>
      <c r="AD887" s="284"/>
      <c r="AE887" s="355"/>
      <c r="AG887" s="359"/>
      <c r="AH887" s="284"/>
      <c r="AI887" s="355"/>
      <c r="AK887" s="359"/>
      <c r="AL887" s="284"/>
      <c r="AM887" s="355"/>
      <c r="AO887" s="359"/>
      <c r="AP887" s="284"/>
      <c r="AQ887" s="355"/>
      <c r="AR887" s="360"/>
      <c r="AS887" s="359"/>
      <c r="AT887" s="284"/>
      <c r="AU887" s="355"/>
      <c r="AW887" s="359"/>
      <c r="AX887" s="284"/>
      <c r="AY887" s="355"/>
      <c r="BA887" s="359"/>
      <c r="BB887" s="284"/>
      <c r="BC887" s="355"/>
      <c r="BE887" s="359"/>
      <c r="BF887" s="284"/>
      <c r="BG887" s="355"/>
      <c r="BI887" s="359"/>
      <c r="BJ887" s="284"/>
      <c r="BK887" s="355"/>
      <c r="BM887" s="359"/>
      <c r="BN887" s="284"/>
      <c r="BO887" s="355"/>
      <c r="BQ887" s="359"/>
      <c r="BR887" s="284"/>
      <c r="BS887" s="355"/>
      <c r="BU887" s="359"/>
      <c r="BV887" s="284"/>
    </row>
    <row r="888" spans="2:74" x14ac:dyDescent="0.25">
      <c r="B888" s="284"/>
      <c r="D888" s="355"/>
      <c r="E888" s="356"/>
      <c r="F888" s="357"/>
      <c r="G888" s="358"/>
      <c r="H888" s="359"/>
      <c r="I888" s="284"/>
      <c r="J888" s="287"/>
      <c r="K888" s="355"/>
      <c r="M888" s="359"/>
      <c r="N888" s="284"/>
      <c r="O888" s="355"/>
      <c r="P888" s="360"/>
      <c r="Q888" s="359"/>
      <c r="R888" s="284"/>
      <c r="S888" s="355"/>
      <c r="U888" s="359"/>
      <c r="V888" s="284"/>
      <c r="W888" s="355"/>
      <c r="Y888" s="359"/>
      <c r="Z888" s="284"/>
      <c r="AA888" s="355"/>
      <c r="AC888" s="359"/>
      <c r="AD888" s="284"/>
      <c r="AE888" s="355"/>
      <c r="AG888" s="359"/>
      <c r="AH888" s="284"/>
      <c r="AI888" s="355"/>
      <c r="AK888" s="359"/>
      <c r="AL888" s="284"/>
      <c r="AM888" s="355"/>
      <c r="AO888" s="359"/>
      <c r="AP888" s="284"/>
      <c r="AQ888" s="355"/>
      <c r="AR888" s="360"/>
      <c r="AS888" s="359"/>
      <c r="AT888" s="284"/>
      <c r="AU888" s="355"/>
      <c r="AW888" s="359"/>
      <c r="AX888" s="284"/>
      <c r="AY888" s="355"/>
      <c r="BA888" s="359"/>
      <c r="BB888" s="284"/>
      <c r="BC888" s="355"/>
      <c r="BE888" s="359"/>
      <c r="BF888" s="284"/>
      <c r="BG888" s="355"/>
      <c r="BI888" s="359"/>
      <c r="BJ888" s="284"/>
      <c r="BK888" s="355"/>
      <c r="BM888" s="359"/>
      <c r="BN888" s="284"/>
      <c r="BO888" s="355"/>
      <c r="BQ888" s="359"/>
      <c r="BR888" s="284"/>
      <c r="BS888" s="355"/>
      <c r="BU888" s="359"/>
      <c r="BV888" s="284"/>
    </row>
    <row r="889" spans="2:74" x14ac:dyDescent="0.25">
      <c r="B889" s="284"/>
      <c r="D889" s="355"/>
      <c r="E889" s="356"/>
      <c r="F889" s="357"/>
      <c r="G889" s="358"/>
      <c r="H889" s="359"/>
      <c r="I889" s="284"/>
      <c r="J889" s="287"/>
      <c r="K889" s="355"/>
      <c r="M889" s="359"/>
      <c r="N889" s="284"/>
      <c r="O889" s="355"/>
      <c r="P889" s="360"/>
      <c r="Q889" s="359"/>
      <c r="R889" s="284"/>
      <c r="S889" s="355"/>
      <c r="U889" s="359"/>
      <c r="V889" s="284"/>
      <c r="W889" s="355"/>
      <c r="Y889" s="359"/>
      <c r="Z889" s="284"/>
      <c r="AA889" s="355"/>
      <c r="AC889" s="359"/>
      <c r="AD889" s="284"/>
      <c r="AE889" s="355"/>
      <c r="AG889" s="359"/>
      <c r="AH889" s="284"/>
      <c r="AI889" s="355"/>
      <c r="AK889" s="359"/>
      <c r="AL889" s="284"/>
      <c r="AM889" s="355"/>
      <c r="AO889" s="359"/>
      <c r="AP889" s="284"/>
      <c r="AQ889" s="355"/>
      <c r="AR889" s="360"/>
      <c r="AS889" s="359"/>
      <c r="AT889" s="284"/>
      <c r="AU889" s="355"/>
      <c r="AW889" s="359"/>
      <c r="AX889" s="284"/>
      <c r="AY889" s="355"/>
      <c r="BA889" s="359"/>
      <c r="BB889" s="284"/>
      <c r="BC889" s="355"/>
      <c r="BE889" s="359"/>
      <c r="BF889" s="284"/>
      <c r="BG889" s="355"/>
      <c r="BI889" s="359"/>
      <c r="BJ889" s="284"/>
      <c r="BK889" s="355"/>
      <c r="BM889" s="359"/>
      <c r="BN889" s="284"/>
      <c r="BO889" s="355"/>
      <c r="BQ889" s="359"/>
      <c r="BR889" s="284"/>
      <c r="BS889" s="355"/>
      <c r="BU889" s="359"/>
      <c r="BV889" s="284"/>
    </row>
    <row r="890" spans="2:74" x14ac:dyDescent="0.25">
      <c r="B890" s="284"/>
      <c r="D890" s="355"/>
      <c r="E890" s="356"/>
      <c r="F890" s="357"/>
      <c r="G890" s="358"/>
      <c r="H890" s="359"/>
      <c r="I890" s="284"/>
      <c r="J890" s="287"/>
      <c r="K890" s="355"/>
      <c r="M890" s="359"/>
      <c r="N890" s="284"/>
      <c r="O890" s="355"/>
      <c r="P890" s="360"/>
      <c r="Q890" s="359"/>
      <c r="R890" s="284"/>
      <c r="S890" s="355"/>
      <c r="U890" s="359"/>
      <c r="V890" s="284"/>
      <c r="W890" s="355"/>
      <c r="Y890" s="359"/>
      <c r="Z890" s="284"/>
      <c r="AA890" s="355"/>
      <c r="AC890" s="359"/>
      <c r="AD890" s="284"/>
      <c r="AE890" s="355"/>
      <c r="AG890" s="359"/>
      <c r="AH890" s="284"/>
      <c r="AI890" s="355"/>
      <c r="AK890" s="359"/>
      <c r="AL890" s="284"/>
      <c r="AM890" s="355"/>
      <c r="AO890" s="359"/>
      <c r="AP890" s="284"/>
      <c r="AQ890" s="355"/>
      <c r="AR890" s="360"/>
      <c r="AS890" s="359"/>
      <c r="AT890" s="284"/>
      <c r="AU890" s="355"/>
      <c r="AW890" s="359"/>
      <c r="AX890" s="284"/>
      <c r="AY890" s="355"/>
      <c r="BA890" s="359"/>
      <c r="BB890" s="284"/>
      <c r="BC890" s="355"/>
      <c r="BE890" s="359"/>
      <c r="BF890" s="284"/>
      <c r="BG890" s="355"/>
      <c r="BI890" s="359"/>
      <c r="BJ890" s="284"/>
      <c r="BK890" s="355"/>
      <c r="BM890" s="359"/>
      <c r="BN890" s="284"/>
      <c r="BO890" s="355"/>
      <c r="BQ890" s="359"/>
      <c r="BR890" s="284"/>
      <c r="BS890" s="355"/>
      <c r="BU890" s="359"/>
      <c r="BV890" s="284"/>
    </row>
    <row r="891" spans="2:74" x14ac:dyDescent="0.25">
      <c r="B891" s="284"/>
      <c r="D891" s="355"/>
      <c r="E891" s="356"/>
      <c r="F891" s="357"/>
      <c r="G891" s="358"/>
      <c r="H891" s="359"/>
      <c r="I891" s="284"/>
      <c r="J891" s="287"/>
      <c r="K891" s="355"/>
      <c r="M891" s="359"/>
      <c r="N891" s="284"/>
      <c r="O891" s="355"/>
      <c r="P891" s="360"/>
      <c r="Q891" s="359"/>
      <c r="R891" s="284"/>
      <c r="S891" s="355"/>
      <c r="U891" s="359"/>
      <c r="V891" s="284"/>
      <c r="W891" s="355"/>
      <c r="Y891" s="359"/>
      <c r="Z891" s="284"/>
      <c r="AA891" s="355"/>
      <c r="AC891" s="359"/>
      <c r="AD891" s="284"/>
      <c r="AE891" s="355"/>
      <c r="AG891" s="359"/>
      <c r="AH891" s="284"/>
      <c r="AI891" s="355"/>
      <c r="AK891" s="359"/>
      <c r="AL891" s="284"/>
      <c r="AM891" s="355"/>
      <c r="AO891" s="359"/>
      <c r="AP891" s="284"/>
      <c r="AQ891" s="355"/>
      <c r="AR891" s="360"/>
      <c r="AS891" s="359"/>
      <c r="AT891" s="284"/>
      <c r="AU891" s="355"/>
      <c r="AW891" s="359"/>
      <c r="AX891" s="284"/>
      <c r="AY891" s="355"/>
      <c r="BA891" s="359"/>
      <c r="BB891" s="284"/>
      <c r="BC891" s="355"/>
      <c r="BE891" s="359"/>
      <c r="BF891" s="284"/>
      <c r="BG891" s="355"/>
      <c r="BI891" s="359"/>
      <c r="BJ891" s="284"/>
      <c r="BK891" s="355"/>
      <c r="BM891" s="359"/>
      <c r="BN891" s="284"/>
      <c r="BO891" s="355"/>
      <c r="BQ891" s="359"/>
      <c r="BR891" s="284"/>
      <c r="BS891" s="355"/>
      <c r="BU891" s="359"/>
      <c r="BV891" s="284"/>
    </row>
    <row r="892" spans="2:74" x14ac:dyDescent="0.25">
      <c r="B892" s="284"/>
      <c r="D892" s="355"/>
      <c r="E892" s="356"/>
      <c r="F892" s="357"/>
      <c r="G892" s="358"/>
      <c r="H892" s="359"/>
      <c r="I892" s="284"/>
      <c r="J892" s="287"/>
      <c r="K892" s="355"/>
      <c r="M892" s="359"/>
      <c r="N892" s="284"/>
      <c r="O892" s="355"/>
      <c r="P892" s="360"/>
      <c r="Q892" s="359"/>
      <c r="R892" s="284"/>
      <c r="S892" s="355"/>
      <c r="U892" s="359"/>
      <c r="V892" s="284"/>
      <c r="W892" s="355"/>
      <c r="Y892" s="359"/>
      <c r="Z892" s="284"/>
      <c r="AA892" s="355"/>
      <c r="AC892" s="359"/>
      <c r="AD892" s="284"/>
      <c r="AE892" s="355"/>
      <c r="AG892" s="359"/>
      <c r="AH892" s="284"/>
      <c r="AI892" s="355"/>
      <c r="AK892" s="359"/>
      <c r="AL892" s="284"/>
      <c r="AM892" s="355"/>
      <c r="AO892" s="359"/>
      <c r="AP892" s="284"/>
      <c r="AQ892" s="355"/>
      <c r="AR892" s="360"/>
      <c r="AS892" s="359"/>
      <c r="AT892" s="284"/>
      <c r="AU892" s="355"/>
      <c r="AW892" s="359"/>
      <c r="AX892" s="284"/>
      <c r="AY892" s="355"/>
      <c r="BA892" s="359"/>
      <c r="BB892" s="284"/>
      <c r="BC892" s="355"/>
      <c r="BE892" s="359"/>
      <c r="BF892" s="284"/>
      <c r="BG892" s="355"/>
      <c r="BI892" s="359"/>
      <c r="BJ892" s="284"/>
      <c r="BK892" s="355"/>
      <c r="BM892" s="359"/>
      <c r="BN892" s="284"/>
      <c r="BO892" s="355"/>
      <c r="BQ892" s="359"/>
      <c r="BR892" s="284"/>
      <c r="BS892" s="355"/>
      <c r="BU892" s="359"/>
      <c r="BV892" s="284"/>
    </row>
    <row r="893" spans="2:74" x14ac:dyDescent="0.25">
      <c r="B893" s="284"/>
      <c r="D893" s="355"/>
      <c r="E893" s="356"/>
      <c r="F893" s="357"/>
      <c r="G893" s="358"/>
      <c r="H893" s="359"/>
      <c r="I893" s="284"/>
      <c r="J893" s="287"/>
      <c r="K893" s="355"/>
      <c r="M893" s="359"/>
      <c r="N893" s="284"/>
      <c r="O893" s="355"/>
      <c r="P893" s="360"/>
      <c r="Q893" s="359"/>
      <c r="R893" s="284"/>
      <c r="S893" s="355"/>
      <c r="U893" s="359"/>
      <c r="V893" s="284"/>
      <c r="W893" s="355"/>
      <c r="Y893" s="359"/>
      <c r="Z893" s="284"/>
      <c r="AA893" s="355"/>
      <c r="AC893" s="359"/>
      <c r="AD893" s="284"/>
      <c r="AE893" s="355"/>
      <c r="AG893" s="359"/>
      <c r="AH893" s="284"/>
      <c r="AI893" s="355"/>
      <c r="AK893" s="359"/>
      <c r="AL893" s="284"/>
      <c r="AM893" s="355"/>
      <c r="AO893" s="359"/>
      <c r="AP893" s="284"/>
      <c r="AQ893" s="355"/>
      <c r="AR893" s="360"/>
      <c r="AS893" s="359"/>
      <c r="AT893" s="284"/>
      <c r="AU893" s="355"/>
      <c r="AW893" s="359"/>
      <c r="AX893" s="284"/>
      <c r="AY893" s="355"/>
      <c r="BA893" s="359"/>
      <c r="BB893" s="284"/>
      <c r="BC893" s="355"/>
      <c r="BE893" s="359"/>
      <c r="BF893" s="284"/>
      <c r="BG893" s="355"/>
      <c r="BI893" s="359"/>
      <c r="BJ893" s="284"/>
      <c r="BK893" s="355"/>
      <c r="BM893" s="359"/>
      <c r="BN893" s="284"/>
      <c r="BO893" s="355"/>
      <c r="BQ893" s="359"/>
      <c r="BR893" s="284"/>
      <c r="BS893" s="355"/>
      <c r="BU893" s="359"/>
      <c r="BV893" s="284"/>
    </row>
    <row r="894" spans="2:74" x14ac:dyDescent="0.25">
      <c r="B894" s="284"/>
      <c r="D894" s="355"/>
      <c r="E894" s="356"/>
      <c r="F894" s="357"/>
      <c r="G894" s="358"/>
      <c r="H894" s="359"/>
      <c r="I894" s="284"/>
      <c r="J894" s="287"/>
      <c r="K894" s="355"/>
      <c r="M894" s="359"/>
      <c r="N894" s="284"/>
      <c r="O894" s="355"/>
      <c r="P894" s="360"/>
      <c r="Q894" s="359"/>
      <c r="R894" s="284"/>
      <c r="S894" s="355"/>
      <c r="U894" s="359"/>
      <c r="V894" s="284"/>
      <c r="W894" s="355"/>
      <c r="Y894" s="359"/>
      <c r="Z894" s="284"/>
      <c r="AA894" s="355"/>
      <c r="AC894" s="359"/>
      <c r="AD894" s="284"/>
      <c r="AE894" s="355"/>
      <c r="AG894" s="359"/>
      <c r="AH894" s="284"/>
      <c r="AI894" s="355"/>
      <c r="AK894" s="359"/>
      <c r="AL894" s="284"/>
      <c r="AM894" s="355"/>
      <c r="AO894" s="359"/>
      <c r="AP894" s="284"/>
      <c r="AQ894" s="355"/>
      <c r="AR894" s="360"/>
      <c r="AS894" s="359"/>
      <c r="AT894" s="284"/>
      <c r="AU894" s="355"/>
      <c r="AW894" s="359"/>
      <c r="AX894" s="284"/>
      <c r="AY894" s="355"/>
      <c r="BA894" s="359"/>
      <c r="BB894" s="284"/>
      <c r="BC894" s="355"/>
      <c r="BE894" s="359"/>
      <c r="BF894" s="284"/>
      <c r="BG894" s="355"/>
      <c r="BI894" s="359"/>
      <c r="BJ894" s="284"/>
      <c r="BK894" s="355"/>
      <c r="BM894" s="359"/>
      <c r="BN894" s="284"/>
      <c r="BO894" s="355"/>
      <c r="BQ894" s="359"/>
      <c r="BR894" s="284"/>
      <c r="BS894" s="355"/>
      <c r="BU894" s="359"/>
      <c r="BV894" s="284"/>
    </row>
    <row r="895" spans="2:74" x14ac:dyDescent="0.25">
      <c r="B895" s="284"/>
      <c r="D895" s="355"/>
      <c r="E895" s="356"/>
      <c r="F895" s="357"/>
      <c r="G895" s="358"/>
      <c r="H895" s="359"/>
      <c r="I895" s="284"/>
      <c r="J895" s="287"/>
      <c r="K895" s="355"/>
      <c r="M895" s="359"/>
      <c r="N895" s="284"/>
      <c r="O895" s="355"/>
      <c r="P895" s="360"/>
      <c r="Q895" s="359"/>
      <c r="R895" s="284"/>
      <c r="S895" s="355"/>
      <c r="U895" s="359"/>
      <c r="V895" s="284"/>
      <c r="W895" s="355"/>
      <c r="Y895" s="359"/>
      <c r="Z895" s="284"/>
      <c r="AA895" s="355"/>
      <c r="AC895" s="359"/>
      <c r="AD895" s="284"/>
      <c r="AE895" s="355"/>
      <c r="AG895" s="359"/>
      <c r="AH895" s="284"/>
      <c r="AI895" s="355"/>
      <c r="AK895" s="359"/>
      <c r="AL895" s="284"/>
      <c r="AM895" s="355"/>
      <c r="AO895" s="359"/>
      <c r="AP895" s="284"/>
      <c r="AQ895" s="355"/>
      <c r="AR895" s="360"/>
      <c r="AS895" s="359"/>
      <c r="AT895" s="284"/>
      <c r="AU895" s="355"/>
      <c r="AW895" s="359"/>
      <c r="AX895" s="284"/>
      <c r="AY895" s="355"/>
      <c r="BA895" s="359"/>
      <c r="BB895" s="284"/>
      <c r="BC895" s="355"/>
      <c r="BE895" s="359"/>
      <c r="BF895" s="284"/>
      <c r="BG895" s="355"/>
      <c r="BI895" s="359"/>
      <c r="BJ895" s="284"/>
      <c r="BK895" s="355"/>
      <c r="BM895" s="359"/>
      <c r="BN895" s="284"/>
      <c r="BO895" s="355"/>
      <c r="BQ895" s="359"/>
      <c r="BR895" s="284"/>
      <c r="BS895" s="355"/>
      <c r="BU895" s="359"/>
      <c r="BV895" s="284"/>
    </row>
    <row r="896" spans="2:74" x14ac:dyDescent="0.25">
      <c r="B896" s="284"/>
      <c r="D896" s="355"/>
      <c r="E896" s="356"/>
      <c r="F896" s="357"/>
      <c r="G896" s="358"/>
      <c r="H896" s="359"/>
      <c r="I896" s="284"/>
      <c r="J896" s="287"/>
      <c r="K896" s="355"/>
      <c r="M896" s="359"/>
      <c r="N896" s="284"/>
      <c r="O896" s="355"/>
      <c r="P896" s="360"/>
      <c r="Q896" s="359"/>
      <c r="R896" s="284"/>
      <c r="S896" s="355"/>
      <c r="U896" s="359"/>
      <c r="V896" s="284"/>
      <c r="W896" s="355"/>
      <c r="Y896" s="359"/>
      <c r="Z896" s="284"/>
      <c r="AA896" s="355"/>
      <c r="AC896" s="359"/>
      <c r="AD896" s="284"/>
      <c r="AE896" s="355"/>
      <c r="AG896" s="359"/>
      <c r="AH896" s="284"/>
      <c r="AI896" s="355"/>
      <c r="AK896" s="359"/>
      <c r="AL896" s="284"/>
      <c r="AM896" s="355"/>
      <c r="AO896" s="359"/>
      <c r="AP896" s="284"/>
      <c r="AQ896" s="355"/>
      <c r="AR896" s="360"/>
      <c r="AS896" s="359"/>
      <c r="AT896" s="284"/>
      <c r="AU896" s="355"/>
      <c r="AW896" s="359"/>
      <c r="AX896" s="284"/>
      <c r="AY896" s="355"/>
      <c r="BA896" s="359"/>
      <c r="BB896" s="284"/>
      <c r="BC896" s="355"/>
      <c r="BE896" s="359"/>
      <c r="BF896" s="284"/>
      <c r="BG896" s="355"/>
      <c r="BI896" s="359"/>
      <c r="BJ896" s="284"/>
      <c r="BK896" s="355"/>
      <c r="BM896" s="359"/>
      <c r="BN896" s="284"/>
      <c r="BO896" s="355"/>
      <c r="BQ896" s="359"/>
      <c r="BR896" s="284"/>
      <c r="BS896" s="355"/>
      <c r="BU896" s="359"/>
      <c r="BV896" s="284"/>
    </row>
    <row r="897" spans="2:74" x14ac:dyDescent="0.25">
      <c r="B897" s="284"/>
      <c r="D897" s="355"/>
      <c r="E897" s="356"/>
      <c r="F897" s="357"/>
      <c r="G897" s="358"/>
      <c r="H897" s="359"/>
      <c r="I897" s="284"/>
      <c r="J897" s="287"/>
      <c r="K897" s="355"/>
      <c r="M897" s="359"/>
      <c r="N897" s="284"/>
      <c r="O897" s="355"/>
      <c r="P897" s="360"/>
      <c r="Q897" s="359"/>
      <c r="R897" s="284"/>
      <c r="S897" s="355"/>
      <c r="U897" s="359"/>
      <c r="V897" s="284"/>
      <c r="W897" s="355"/>
      <c r="Y897" s="359"/>
      <c r="Z897" s="284"/>
      <c r="AA897" s="355"/>
      <c r="AC897" s="359"/>
      <c r="AD897" s="284"/>
      <c r="AE897" s="355"/>
      <c r="AG897" s="359"/>
      <c r="AH897" s="284"/>
      <c r="AI897" s="355"/>
      <c r="AK897" s="359"/>
      <c r="AL897" s="284"/>
      <c r="AM897" s="355"/>
      <c r="AO897" s="359"/>
      <c r="AP897" s="284"/>
      <c r="AQ897" s="355"/>
      <c r="AR897" s="360"/>
      <c r="AS897" s="359"/>
      <c r="AT897" s="284"/>
      <c r="AU897" s="355"/>
      <c r="AW897" s="359"/>
      <c r="AX897" s="284"/>
      <c r="AY897" s="355"/>
      <c r="BA897" s="359"/>
      <c r="BB897" s="284"/>
      <c r="BC897" s="355"/>
      <c r="BE897" s="359"/>
      <c r="BF897" s="284"/>
      <c r="BG897" s="355"/>
      <c r="BI897" s="359"/>
      <c r="BJ897" s="284"/>
      <c r="BK897" s="355"/>
      <c r="BM897" s="359"/>
      <c r="BN897" s="284"/>
      <c r="BO897" s="355"/>
      <c r="BQ897" s="359"/>
      <c r="BR897" s="284"/>
      <c r="BS897" s="355"/>
      <c r="BU897" s="359"/>
      <c r="BV897" s="284"/>
    </row>
    <row r="898" spans="2:74" x14ac:dyDescent="0.25">
      <c r="B898" s="284"/>
      <c r="D898" s="355"/>
      <c r="E898" s="356"/>
      <c r="F898" s="357"/>
      <c r="G898" s="358"/>
      <c r="H898" s="359"/>
      <c r="I898" s="284"/>
      <c r="J898" s="287"/>
      <c r="K898" s="355"/>
      <c r="M898" s="359"/>
      <c r="N898" s="284"/>
      <c r="O898" s="355"/>
      <c r="P898" s="360"/>
      <c r="Q898" s="359"/>
      <c r="R898" s="284"/>
      <c r="S898" s="355"/>
      <c r="U898" s="359"/>
      <c r="V898" s="284"/>
      <c r="W898" s="355"/>
      <c r="Y898" s="359"/>
      <c r="Z898" s="284"/>
      <c r="AA898" s="355"/>
      <c r="AC898" s="359"/>
      <c r="AD898" s="284"/>
      <c r="AE898" s="355"/>
      <c r="AG898" s="359"/>
      <c r="AH898" s="284"/>
      <c r="AI898" s="355"/>
      <c r="AK898" s="359"/>
      <c r="AL898" s="284"/>
      <c r="AM898" s="355"/>
      <c r="AO898" s="359"/>
      <c r="AP898" s="284"/>
      <c r="AQ898" s="355"/>
      <c r="AR898" s="360"/>
      <c r="AS898" s="359"/>
      <c r="AT898" s="284"/>
      <c r="AU898" s="355"/>
      <c r="AW898" s="359"/>
      <c r="AX898" s="284"/>
      <c r="AY898" s="355"/>
      <c r="BA898" s="359"/>
      <c r="BB898" s="284"/>
      <c r="BC898" s="355"/>
      <c r="BE898" s="359"/>
      <c r="BF898" s="284"/>
      <c r="BG898" s="355"/>
      <c r="BI898" s="359"/>
      <c r="BJ898" s="284"/>
      <c r="BK898" s="355"/>
      <c r="BM898" s="359"/>
      <c r="BN898" s="284"/>
      <c r="BO898" s="355"/>
      <c r="BQ898" s="359"/>
      <c r="BR898" s="284"/>
      <c r="BS898" s="355"/>
      <c r="BU898" s="359"/>
      <c r="BV898" s="284"/>
    </row>
    <row r="899" spans="2:74" x14ac:dyDescent="0.25">
      <c r="B899" s="284"/>
      <c r="D899" s="355"/>
      <c r="E899" s="356"/>
      <c r="F899" s="357"/>
      <c r="G899" s="358"/>
      <c r="H899" s="359"/>
      <c r="I899" s="284"/>
      <c r="J899" s="287"/>
      <c r="K899" s="355"/>
      <c r="M899" s="359"/>
      <c r="N899" s="284"/>
      <c r="O899" s="355"/>
      <c r="P899" s="360"/>
      <c r="Q899" s="359"/>
      <c r="R899" s="284"/>
      <c r="S899" s="355"/>
      <c r="U899" s="359"/>
      <c r="V899" s="284"/>
      <c r="W899" s="355"/>
      <c r="Y899" s="359"/>
      <c r="Z899" s="284"/>
      <c r="AA899" s="355"/>
      <c r="AC899" s="359"/>
      <c r="AD899" s="284"/>
      <c r="AE899" s="355"/>
      <c r="AG899" s="359"/>
      <c r="AH899" s="284"/>
      <c r="AI899" s="355"/>
      <c r="AK899" s="359"/>
      <c r="AL899" s="284"/>
      <c r="AM899" s="355"/>
      <c r="AO899" s="359"/>
      <c r="AP899" s="284"/>
      <c r="AQ899" s="355"/>
      <c r="AR899" s="360"/>
      <c r="AS899" s="359"/>
      <c r="AT899" s="284"/>
      <c r="AU899" s="355"/>
      <c r="AW899" s="359"/>
      <c r="AX899" s="284"/>
      <c r="AY899" s="355"/>
      <c r="BA899" s="359"/>
      <c r="BB899" s="284"/>
      <c r="BC899" s="355"/>
      <c r="BE899" s="359"/>
      <c r="BF899" s="284"/>
      <c r="BG899" s="355"/>
      <c r="BI899" s="359"/>
      <c r="BJ899" s="284"/>
      <c r="BK899" s="355"/>
      <c r="BM899" s="359"/>
      <c r="BN899" s="284"/>
      <c r="BO899" s="355"/>
      <c r="BQ899" s="359"/>
      <c r="BR899" s="284"/>
      <c r="BS899" s="355"/>
      <c r="BU899" s="359"/>
      <c r="BV899" s="284"/>
    </row>
    <row r="900" spans="2:74" x14ac:dyDescent="0.25">
      <c r="B900" s="284"/>
      <c r="D900" s="355"/>
      <c r="E900" s="356"/>
      <c r="F900" s="357"/>
      <c r="G900" s="358"/>
      <c r="H900" s="359"/>
      <c r="I900" s="284"/>
      <c r="J900" s="287"/>
      <c r="K900" s="355"/>
      <c r="M900" s="359"/>
      <c r="N900" s="284"/>
      <c r="O900" s="355"/>
      <c r="P900" s="360"/>
      <c r="Q900" s="359"/>
      <c r="R900" s="284"/>
      <c r="S900" s="355"/>
      <c r="U900" s="359"/>
      <c r="V900" s="284"/>
      <c r="W900" s="355"/>
      <c r="Y900" s="359"/>
      <c r="Z900" s="284"/>
      <c r="AA900" s="355"/>
      <c r="AC900" s="359"/>
      <c r="AD900" s="284"/>
      <c r="AE900" s="355"/>
      <c r="AG900" s="359"/>
      <c r="AH900" s="284"/>
      <c r="AI900" s="355"/>
      <c r="AK900" s="359"/>
      <c r="AL900" s="284"/>
      <c r="AM900" s="355"/>
      <c r="AO900" s="359"/>
      <c r="AP900" s="284"/>
      <c r="AQ900" s="355"/>
      <c r="AR900" s="360"/>
      <c r="AS900" s="359"/>
      <c r="AT900" s="284"/>
      <c r="AU900" s="355"/>
      <c r="AW900" s="359"/>
      <c r="AX900" s="284"/>
      <c r="AY900" s="355"/>
      <c r="BA900" s="359"/>
      <c r="BB900" s="284"/>
      <c r="BC900" s="355"/>
      <c r="BE900" s="359"/>
      <c r="BF900" s="284"/>
      <c r="BG900" s="355"/>
      <c r="BI900" s="359"/>
      <c r="BJ900" s="284"/>
      <c r="BK900" s="355"/>
      <c r="BM900" s="359"/>
      <c r="BN900" s="284"/>
      <c r="BO900" s="355"/>
      <c r="BQ900" s="359"/>
      <c r="BR900" s="284"/>
      <c r="BS900" s="355"/>
      <c r="BU900" s="359"/>
      <c r="BV900" s="284"/>
    </row>
    <row r="901" spans="2:74" x14ac:dyDescent="0.25">
      <c r="B901" s="284"/>
      <c r="D901" s="355"/>
      <c r="E901" s="356"/>
      <c r="F901" s="357"/>
      <c r="G901" s="358"/>
      <c r="H901" s="359"/>
      <c r="I901" s="284"/>
      <c r="J901" s="287"/>
      <c r="K901" s="355"/>
      <c r="M901" s="359"/>
      <c r="N901" s="284"/>
      <c r="O901" s="355"/>
      <c r="P901" s="360"/>
      <c r="Q901" s="359"/>
      <c r="R901" s="284"/>
      <c r="S901" s="355"/>
      <c r="U901" s="359"/>
      <c r="V901" s="284"/>
      <c r="W901" s="355"/>
      <c r="Y901" s="359"/>
      <c r="Z901" s="284"/>
      <c r="AA901" s="355"/>
      <c r="AC901" s="359"/>
      <c r="AD901" s="284"/>
      <c r="AE901" s="355"/>
      <c r="AG901" s="359"/>
      <c r="AH901" s="284"/>
      <c r="AI901" s="355"/>
      <c r="AK901" s="359"/>
      <c r="AL901" s="284"/>
      <c r="AM901" s="355"/>
      <c r="AO901" s="359"/>
      <c r="AP901" s="284"/>
      <c r="AQ901" s="355"/>
      <c r="AR901" s="360"/>
      <c r="AS901" s="359"/>
      <c r="AT901" s="284"/>
      <c r="AU901" s="355"/>
      <c r="AW901" s="359"/>
      <c r="AX901" s="284"/>
      <c r="AY901" s="355"/>
      <c r="BA901" s="359"/>
      <c r="BB901" s="284"/>
      <c r="BC901" s="355"/>
      <c r="BE901" s="359"/>
      <c r="BF901" s="284"/>
      <c r="BG901" s="355"/>
      <c r="BI901" s="359"/>
      <c r="BJ901" s="284"/>
      <c r="BK901" s="355"/>
      <c r="BM901" s="359"/>
      <c r="BN901" s="284"/>
      <c r="BO901" s="355"/>
      <c r="BQ901" s="359"/>
      <c r="BR901" s="284"/>
      <c r="BS901" s="355"/>
      <c r="BU901" s="359"/>
      <c r="BV901" s="284"/>
    </row>
    <row r="902" spans="2:74" x14ac:dyDescent="0.25">
      <c r="B902" s="284"/>
      <c r="D902" s="355"/>
      <c r="E902" s="356"/>
      <c r="F902" s="357"/>
      <c r="G902" s="358"/>
      <c r="H902" s="359"/>
      <c r="I902" s="284"/>
      <c r="J902" s="287"/>
      <c r="K902" s="355"/>
      <c r="M902" s="359"/>
      <c r="N902" s="284"/>
      <c r="O902" s="355"/>
      <c r="P902" s="360"/>
      <c r="Q902" s="359"/>
      <c r="R902" s="284"/>
      <c r="S902" s="355"/>
      <c r="U902" s="359"/>
      <c r="V902" s="284"/>
      <c r="W902" s="355"/>
      <c r="Y902" s="359"/>
      <c r="Z902" s="284"/>
      <c r="AA902" s="355"/>
      <c r="AC902" s="359"/>
      <c r="AD902" s="284"/>
      <c r="AE902" s="355"/>
      <c r="AG902" s="359"/>
      <c r="AH902" s="284"/>
      <c r="AI902" s="355"/>
      <c r="AK902" s="359"/>
      <c r="AL902" s="284"/>
      <c r="AM902" s="355"/>
      <c r="AO902" s="359"/>
      <c r="AP902" s="284"/>
      <c r="AQ902" s="355"/>
      <c r="AR902" s="360"/>
      <c r="AS902" s="359"/>
      <c r="AT902" s="284"/>
      <c r="AU902" s="355"/>
      <c r="AW902" s="359"/>
      <c r="AX902" s="284"/>
      <c r="AY902" s="355"/>
      <c r="BA902" s="359"/>
      <c r="BB902" s="284"/>
      <c r="BC902" s="355"/>
      <c r="BE902" s="359"/>
      <c r="BF902" s="284"/>
      <c r="BG902" s="355"/>
      <c r="BI902" s="359"/>
      <c r="BJ902" s="284"/>
      <c r="BK902" s="355"/>
      <c r="BM902" s="359"/>
      <c r="BN902" s="284"/>
      <c r="BO902" s="355"/>
      <c r="BQ902" s="359"/>
      <c r="BR902" s="284"/>
      <c r="BS902" s="355"/>
      <c r="BU902" s="359"/>
      <c r="BV902" s="284"/>
    </row>
    <row r="903" spans="2:74" x14ac:dyDescent="0.25">
      <c r="B903" s="284"/>
      <c r="D903" s="355"/>
      <c r="E903" s="356"/>
      <c r="F903" s="357"/>
      <c r="G903" s="358"/>
      <c r="H903" s="359"/>
      <c r="I903" s="284"/>
      <c r="J903" s="287"/>
      <c r="K903" s="355"/>
      <c r="M903" s="359"/>
      <c r="N903" s="284"/>
      <c r="O903" s="355"/>
      <c r="P903" s="360"/>
      <c r="Q903" s="359"/>
      <c r="R903" s="284"/>
      <c r="S903" s="355"/>
      <c r="U903" s="359"/>
      <c r="V903" s="284"/>
      <c r="W903" s="355"/>
      <c r="Y903" s="359"/>
      <c r="Z903" s="284"/>
      <c r="AA903" s="355"/>
      <c r="AC903" s="359"/>
      <c r="AD903" s="284"/>
      <c r="AE903" s="355"/>
      <c r="AG903" s="359"/>
      <c r="AH903" s="284"/>
      <c r="AI903" s="355"/>
      <c r="AK903" s="359"/>
      <c r="AL903" s="284"/>
      <c r="AM903" s="355"/>
      <c r="AO903" s="359"/>
      <c r="AP903" s="284"/>
      <c r="AQ903" s="355"/>
      <c r="AR903" s="360"/>
      <c r="AS903" s="359"/>
      <c r="AT903" s="284"/>
      <c r="AU903" s="355"/>
      <c r="AW903" s="359"/>
      <c r="AX903" s="284"/>
      <c r="AY903" s="355"/>
      <c r="BA903" s="359"/>
      <c r="BB903" s="284"/>
      <c r="BC903" s="355"/>
      <c r="BE903" s="359"/>
      <c r="BF903" s="284"/>
      <c r="BG903" s="355"/>
      <c r="BI903" s="359"/>
      <c r="BJ903" s="284"/>
      <c r="BK903" s="355"/>
      <c r="BM903" s="359"/>
      <c r="BN903" s="284"/>
      <c r="BO903" s="355"/>
      <c r="BQ903" s="359"/>
      <c r="BR903" s="284"/>
      <c r="BS903" s="355"/>
      <c r="BU903" s="359"/>
      <c r="BV903" s="284"/>
    </row>
    <row r="904" spans="2:74" x14ac:dyDescent="0.25">
      <c r="B904" s="284"/>
      <c r="D904" s="355"/>
      <c r="E904" s="356"/>
      <c r="F904" s="357"/>
      <c r="G904" s="358"/>
      <c r="H904" s="359"/>
      <c r="I904" s="284"/>
      <c r="J904" s="287"/>
      <c r="K904" s="355"/>
      <c r="M904" s="359"/>
      <c r="N904" s="284"/>
      <c r="O904" s="355"/>
      <c r="P904" s="360"/>
      <c r="Q904" s="359"/>
      <c r="R904" s="284"/>
      <c r="S904" s="355"/>
      <c r="U904" s="359"/>
      <c r="V904" s="284"/>
      <c r="W904" s="355"/>
      <c r="Y904" s="359"/>
      <c r="Z904" s="284"/>
      <c r="AA904" s="355"/>
      <c r="AC904" s="359"/>
      <c r="AD904" s="284"/>
      <c r="AE904" s="355"/>
      <c r="AG904" s="359"/>
      <c r="AH904" s="284"/>
      <c r="AI904" s="355"/>
      <c r="AK904" s="359"/>
      <c r="AL904" s="284"/>
      <c r="AM904" s="355"/>
      <c r="AO904" s="359"/>
      <c r="AP904" s="284"/>
      <c r="AQ904" s="355"/>
      <c r="AR904" s="360"/>
      <c r="AS904" s="359"/>
      <c r="AT904" s="284"/>
      <c r="AU904" s="355"/>
      <c r="AW904" s="359"/>
      <c r="AX904" s="284"/>
      <c r="AY904" s="355"/>
      <c r="BA904" s="359"/>
      <c r="BB904" s="284"/>
      <c r="BC904" s="355"/>
      <c r="BE904" s="359"/>
      <c r="BF904" s="284"/>
      <c r="BG904" s="355"/>
      <c r="BI904" s="359"/>
      <c r="BJ904" s="284"/>
      <c r="BK904" s="355"/>
      <c r="BM904" s="359"/>
      <c r="BN904" s="284"/>
      <c r="BO904" s="355"/>
      <c r="BQ904" s="359"/>
      <c r="BR904" s="284"/>
      <c r="BS904" s="355"/>
      <c r="BU904" s="359"/>
      <c r="BV904" s="284"/>
    </row>
    <row r="905" spans="2:74" x14ac:dyDescent="0.25">
      <c r="B905" s="284"/>
      <c r="D905" s="355"/>
      <c r="E905" s="356"/>
      <c r="F905" s="357"/>
      <c r="G905" s="358"/>
      <c r="H905" s="359"/>
      <c r="I905" s="284"/>
      <c r="J905" s="287"/>
      <c r="K905" s="355"/>
      <c r="M905" s="359"/>
      <c r="N905" s="284"/>
      <c r="O905" s="355"/>
      <c r="P905" s="360"/>
      <c r="Q905" s="359"/>
      <c r="R905" s="284"/>
      <c r="S905" s="355"/>
      <c r="U905" s="359"/>
      <c r="V905" s="284"/>
      <c r="W905" s="355"/>
      <c r="Y905" s="359"/>
      <c r="Z905" s="284"/>
      <c r="AA905" s="355"/>
      <c r="AC905" s="359"/>
      <c r="AD905" s="284"/>
      <c r="AE905" s="355"/>
      <c r="AG905" s="359"/>
      <c r="AH905" s="284"/>
      <c r="AI905" s="355"/>
      <c r="AK905" s="359"/>
      <c r="AL905" s="284"/>
      <c r="AM905" s="355"/>
      <c r="AO905" s="359"/>
      <c r="AP905" s="284"/>
      <c r="AQ905" s="355"/>
      <c r="AR905" s="360"/>
      <c r="AS905" s="359"/>
      <c r="AT905" s="284"/>
      <c r="AU905" s="355"/>
      <c r="AW905" s="359"/>
      <c r="AX905" s="284"/>
      <c r="AY905" s="355"/>
      <c r="BA905" s="359"/>
      <c r="BB905" s="284"/>
      <c r="BC905" s="355"/>
      <c r="BE905" s="359"/>
      <c r="BF905" s="284"/>
      <c r="BG905" s="355"/>
      <c r="BI905" s="359"/>
      <c r="BJ905" s="284"/>
      <c r="BK905" s="355"/>
      <c r="BM905" s="359"/>
      <c r="BN905" s="284"/>
      <c r="BO905" s="355"/>
      <c r="BQ905" s="359"/>
      <c r="BR905" s="284"/>
      <c r="BS905" s="355"/>
      <c r="BU905" s="359"/>
      <c r="BV905" s="284"/>
    </row>
    <row r="906" spans="2:74" x14ac:dyDescent="0.25">
      <c r="B906" s="284"/>
      <c r="D906" s="355"/>
      <c r="E906" s="356"/>
      <c r="F906" s="357"/>
      <c r="G906" s="358"/>
      <c r="H906" s="359"/>
      <c r="I906" s="284"/>
      <c r="J906" s="287"/>
      <c r="K906" s="355"/>
      <c r="M906" s="359"/>
      <c r="N906" s="284"/>
      <c r="O906" s="355"/>
      <c r="P906" s="360"/>
      <c r="Q906" s="359"/>
      <c r="R906" s="284"/>
      <c r="S906" s="355"/>
      <c r="U906" s="359"/>
      <c r="V906" s="284"/>
      <c r="W906" s="355"/>
      <c r="Y906" s="359"/>
      <c r="Z906" s="284"/>
      <c r="AA906" s="355"/>
      <c r="AC906" s="359"/>
      <c r="AD906" s="284"/>
      <c r="AE906" s="355"/>
      <c r="AG906" s="359"/>
      <c r="AH906" s="284"/>
      <c r="AI906" s="355"/>
      <c r="AK906" s="359"/>
      <c r="AL906" s="284"/>
      <c r="AM906" s="355"/>
      <c r="AO906" s="359"/>
      <c r="AP906" s="284"/>
      <c r="AQ906" s="355"/>
      <c r="AR906" s="360"/>
      <c r="AS906" s="359"/>
      <c r="AT906" s="284"/>
      <c r="AU906" s="355"/>
      <c r="AW906" s="359"/>
      <c r="AX906" s="284"/>
      <c r="AY906" s="355"/>
      <c r="BA906" s="359"/>
      <c r="BB906" s="284"/>
      <c r="BC906" s="355"/>
      <c r="BE906" s="359"/>
      <c r="BF906" s="284"/>
      <c r="BG906" s="355"/>
      <c r="BI906" s="359"/>
      <c r="BJ906" s="284"/>
      <c r="BK906" s="355"/>
      <c r="BM906" s="359"/>
      <c r="BN906" s="284"/>
      <c r="BO906" s="355"/>
      <c r="BQ906" s="359"/>
      <c r="BR906" s="284"/>
      <c r="BS906" s="355"/>
      <c r="BU906" s="359"/>
      <c r="BV906" s="284"/>
    </row>
    <row r="907" spans="2:74" x14ac:dyDescent="0.25">
      <c r="B907" s="284"/>
      <c r="D907" s="355"/>
      <c r="E907" s="356"/>
      <c r="F907" s="357"/>
      <c r="G907" s="358"/>
      <c r="H907" s="359"/>
      <c r="I907" s="284"/>
      <c r="J907" s="287"/>
      <c r="K907" s="355"/>
      <c r="M907" s="359"/>
      <c r="N907" s="284"/>
      <c r="O907" s="355"/>
      <c r="P907" s="360"/>
      <c r="Q907" s="359"/>
      <c r="R907" s="284"/>
      <c r="S907" s="355"/>
      <c r="U907" s="359"/>
      <c r="V907" s="284"/>
      <c r="W907" s="355"/>
      <c r="Y907" s="359"/>
      <c r="Z907" s="284"/>
      <c r="AA907" s="355"/>
      <c r="AC907" s="359"/>
      <c r="AD907" s="284"/>
      <c r="AE907" s="355"/>
      <c r="AG907" s="359"/>
      <c r="AH907" s="284"/>
      <c r="AI907" s="355"/>
      <c r="AK907" s="359"/>
      <c r="AL907" s="284"/>
      <c r="AM907" s="355"/>
      <c r="AO907" s="359"/>
      <c r="AP907" s="284"/>
      <c r="AQ907" s="355"/>
      <c r="AR907" s="360"/>
      <c r="AS907" s="359"/>
      <c r="AT907" s="284"/>
      <c r="AU907" s="355"/>
      <c r="AW907" s="359"/>
      <c r="AX907" s="284"/>
      <c r="AY907" s="355"/>
      <c r="BA907" s="359"/>
      <c r="BB907" s="284"/>
      <c r="BC907" s="355"/>
      <c r="BE907" s="359"/>
      <c r="BF907" s="284"/>
      <c r="BG907" s="355"/>
      <c r="BI907" s="359"/>
      <c r="BJ907" s="284"/>
      <c r="BK907" s="355"/>
      <c r="BM907" s="359"/>
      <c r="BN907" s="284"/>
      <c r="BO907" s="355"/>
      <c r="BQ907" s="359"/>
      <c r="BR907" s="284"/>
      <c r="BS907" s="355"/>
      <c r="BU907" s="359"/>
      <c r="BV907" s="284"/>
    </row>
    <row r="908" spans="2:74" x14ac:dyDescent="0.25">
      <c r="B908" s="284"/>
      <c r="D908" s="355"/>
      <c r="E908" s="356"/>
      <c r="F908" s="357"/>
      <c r="G908" s="358"/>
      <c r="H908" s="359"/>
      <c r="I908" s="284"/>
      <c r="J908" s="287"/>
      <c r="K908" s="355"/>
      <c r="M908" s="359"/>
      <c r="N908" s="284"/>
      <c r="O908" s="355"/>
      <c r="P908" s="360"/>
      <c r="Q908" s="359"/>
      <c r="R908" s="284"/>
      <c r="S908" s="355"/>
      <c r="U908" s="359"/>
      <c r="V908" s="284"/>
      <c r="W908" s="355"/>
      <c r="Y908" s="359"/>
      <c r="Z908" s="284"/>
      <c r="AA908" s="355"/>
      <c r="AC908" s="359"/>
      <c r="AD908" s="284"/>
      <c r="AE908" s="355"/>
      <c r="AG908" s="359"/>
      <c r="AH908" s="284"/>
      <c r="AI908" s="355"/>
      <c r="AK908" s="359"/>
      <c r="AL908" s="284"/>
      <c r="AM908" s="355"/>
      <c r="AO908" s="359"/>
      <c r="AP908" s="284"/>
      <c r="AQ908" s="355"/>
      <c r="AR908" s="360"/>
      <c r="AS908" s="359"/>
      <c r="AT908" s="284"/>
      <c r="AU908" s="355"/>
      <c r="AW908" s="359"/>
      <c r="AX908" s="284"/>
      <c r="AY908" s="355"/>
      <c r="BA908" s="359"/>
      <c r="BB908" s="284"/>
      <c r="BC908" s="355"/>
      <c r="BE908" s="359"/>
      <c r="BF908" s="284"/>
      <c r="BG908" s="355"/>
      <c r="BI908" s="359"/>
      <c r="BJ908" s="284"/>
      <c r="BK908" s="355"/>
      <c r="BM908" s="359"/>
      <c r="BN908" s="284"/>
      <c r="BO908" s="355"/>
      <c r="BQ908" s="359"/>
      <c r="BR908" s="284"/>
      <c r="BS908" s="355"/>
      <c r="BU908" s="359"/>
      <c r="BV908" s="284"/>
    </row>
    <row r="909" spans="2:74" x14ac:dyDescent="0.25">
      <c r="B909" s="284"/>
      <c r="D909" s="355"/>
      <c r="E909" s="356"/>
      <c r="F909" s="357"/>
      <c r="G909" s="358"/>
      <c r="H909" s="359"/>
      <c r="I909" s="284"/>
      <c r="J909" s="287"/>
      <c r="K909" s="355"/>
      <c r="M909" s="359"/>
      <c r="N909" s="284"/>
      <c r="O909" s="355"/>
      <c r="P909" s="360"/>
      <c r="Q909" s="359"/>
      <c r="R909" s="284"/>
      <c r="S909" s="355"/>
      <c r="U909" s="359"/>
      <c r="V909" s="284"/>
      <c r="W909" s="355"/>
      <c r="Y909" s="359"/>
      <c r="Z909" s="284"/>
      <c r="AA909" s="355"/>
      <c r="AC909" s="359"/>
      <c r="AD909" s="284"/>
      <c r="AE909" s="355"/>
      <c r="AG909" s="359"/>
      <c r="AH909" s="284"/>
      <c r="AI909" s="355"/>
      <c r="AK909" s="359"/>
      <c r="AL909" s="284"/>
      <c r="AM909" s="355"/>
      <c r="AO909" s="359"/>
      <c r="AP909" s="284"/>
      <c r="AQ909" s="355"/>
      <c r="AR909" s="360"/>
      <c r="AS909" s="359"/>
      <c r="AT909" s="284"/>
      <c r="AU909" s="355"/>
      <c r="AW909" s="359"/>
      <c r="AX909" s="284"/>
      <c r="AY909" s="355"/>
      <c r="BA909" s="359"/>
      <c r="BB909" s="284"/>
      <c r="BC909" s="355"/>
      <c r="BE909" s="359"/>
      <c r="BF909" s="284"/>
      <c r="BG909" s="355"/>
      <c r="BI909" s="359"/>
      <c r="BJ909" s="284"/>
      <c r="BK909" s="355"/>
      <c r="BM909" s="359"/>
      <c r="BN909" s="284"/>
      <c r="BO909" s="355"/>
      <c r="BQ909" s="359"/>
      <c r="BR909" s="284"/>
      <c r="BS909" s="355"/>
      <c r="BU909" s="359"/>
      <c r="BV909" s="284"/>
    </row>
    <row r="910" spans="2:74" x14ac:dyDescent="0.25">
      <c r="B910" s="284"/>
      <c r="D910" s="355"/>
      <c r="E910" s="356"/>
      <c r="F910" s="357"/>
      <c r="G910" s="358"/>
      <c r="H910" s="359"/>
      <c r="I910" s="284"/>
      <c r="J910" s="287"/>
      <c r="K910" s="355"/>
      <c r="M910" s="359"/>
      <c r="N910" s="284"/>
      <c r="O910" s="355"/>
      <c r="P910" s="360"/>
      <c r="Q910" s="359"/>
      <c r="R910" s="284"/>
      <c r="S910" s="355"/>
      <c r="U910" s="359"/>
      <c r="V910" s="284"/>
      <c r="W910" s="355"/>
      <c r="Y910" s="359"/>
      <c r="Z910" s="284"/>
      <c r="AA910" s="355"/>
      <c r="AC910" s="359"/>
      <c r="AD910" s="284"/>
      <c r="AE910" s="355"/>
      <c r="AG910" s="359"/>
      <c r="AH910" s="284"/>
      <c r="AI910" s="355"/>
      <c r="AK910" s="359"/>
      <c r="AL910" s="284"/>
      <c r="AM910" s="355"/>
      <c r="AO910" s="359"/>
      <c r="AP910" s="284"/>
      <c r="AQ910" s="355"/>
      <c r="AR910" s="360"/>
      <c r="AS910" s="359"/>
      <c r="AT910" s="284"/>
      <c r="AU910" s="355"/>
      <c r="AW910" s="359"/>
      <c r="AX910" s="284"/>
      <c r="AY910" s="355"/>
      <c r="BA910" s="359"/>
      <c r="BB910" s="284"/>
      <c r="BC910" s="355"/>
      <c r="BE910" s="359"/>
      <c r="BF910" s="284"/>
      <c r="BG910" s="355"/>
      <c r="BI910" s="359"/>
      <c r="BJ910" s="284"/>
      <c r="BK910" s="355"/>
      <c r="BM910" s="359"/>
      <c r="BN910" s="284"/>
      <c r="BO910" s="355"/>
      <c r="BQ910" s="359"/>
      <c r="BR910" s="284"/>
      <c r="BS910" s="355"/>
      <c r="BU910" s="359"/>
      <c r="BV910" s="284"/>
    </row>
    <row r="911" spans="2:74" x14ac:dyDescent="0.25">
      <c r="B911" s="284"/>
      <c r="D911" s="355"/>
      <c r="E911" s="356"/>
      <c r="F911" s="357"/>
      <c r="G911" s="358"/>
      <c r="H911" s="359"/>
      <c r="I911" s="284"/>
      <c r="J911" s="287"/>
      <c r="K911" s="355"/>
      <c r="M911" s="359"/>
      <c r="N911" s="284"/>
      <c r="O911" s="355"/>
      <c r="P911" s="360"/>
      <c r="Q911" s="359"/>
      <c r="R911" s="284"/>
      <c r="S911" s="355"/>
      <c r="U911" s="359"/>
      <c r="V911" s="284"/>
      <c r="W911" s="355"/>
      <c r="Y911" s="359"/>
      <c r="Z911" s="284"/>
      <c r="AA911" s="355"/>
      <c r="AC911" s="359"/>
      <c r="AD911" s="284"/>
      <c r="AE911" s="355"/>
      <c r="AG911" s="359"/>
      <c r="AH911" s="284"/>
      <c r="AI911" s="355"/>
      <c r="AK911" s="359"/>
      <c r="AL911" s="284"/>
      <c r="AM911" s="355"/>
      <c r="AO911" s="359"/>
      <c r="AP911" s="284"/>
      <c r="AQ911" s="355"/>
      <c r="AR911" s="360"/>
      <c r="AS911" s="359"/>
      <c r="AT911" s="284"/>
      <c r="AU911" s="355"/>
      <c r="AW911" s="359"/>
      <c r="AX911" s="284"/>
      <c r="AY911" s="355"/>
      <c r="BA911" s="359"/>
      <c r="BB911" s="284"/>
      <c r="BC911" s="355"/>
      <c r="BE911" s="359"/>
      <c r="BF911" s="284"/>
      <c r="BG911" s="355"/>
      <c r="BI911" s="359"/>
      <c r="BJ911" s="284"/>
      <c r="BK911" s="355"/>
      <c r="BM911" s="359"/>
      <c r="BN911" s="284"/>
      <c r="BO911" s="355"/>
      <c r="BQ911" s="359"/>
      <c r="BR911" s="284"/>
      <c r="BS911" s="355"/>
      <c r="BU911" s="359"/>
      <c r="BV911" s="284"/>
    </row>
    <row r="912" spans="2:74" x14ac:dyDescent="0.25">
      <c r="B912" s="284"/>
      <c r="D912" s="355"/>
      <c r="E912" s="356"/>
      <c r="F912" s="357"/>
      <c r="G912" s="358"/>
      <c r="H912" s="359"/>
      <c r="I912" s="284"/>
      <c r="J912" s="287"/>
      <c r="K912" s="355"/>
      <c r="M912" s="359"/>
      <c r="N912" s="284"/>
      <c r="O912" s="355"/>
      <c r="P912" s="360"/>
      <c r="Q912" s="359"/>
      <c r="R912" s="284"/>
      <c r="S912" s="355"/>
      <c r="U912" s="359"/>
      <c r="V912" s="284"/>
      <c r="W912" s="355"/>
      <c r="Y912" s="359"/>
      <c r="Z912" s="284"/>
      <c r="AA912" s="355"/>
      <c r="AC912" s="359"/>
      <c r="AD912" s="284"/>
      <c r="AE912" s="355"/>
      <c r="AG912" s="359"/>
      <c r="AH912" s="284"/>
      <c r="AI912" s="355"/>
      <c r="AK912" s="359"/>
      <c r="AL912" s="284"/>
      <c r="AM912" s="355"/>
      <c r="AO912" s="359"/>
      <c r="AP912" s="284"/>
      <c r="AQ912" s="355"/>
      <c r="AR912" s="360"/>
      <c r="AS912" s="359"/>
      <c r="AT912" s="284"/>
      <c r="AU912" s="355"/>
      <c r="AW912" s="359"/>
      <c r="AX912" s="284"/>
      <c r="AY912" s="355"/>
      <c r="BA912" s="359"/>
      <c r="BB912" s="284"/>
      <c r="BC912" s="355"/>
      <c r="BE912" s="359"/>
      <c r="BF912" s="284"/>
      <c r="BG912" s="355"/>
      <c r="BI912" s="359"/>
      <c r="BJ912" s="284"/>
      <c r="BK912" s="355"/>
      <c r="BM912" s="359"/>
      <c r="BN912" s="284"/>
      <c r="BO912" s="355"/>
      <c r="BQ912" s="359"/>
      <c r="BR912" s="284"/>
      <c r="BS912" s="355"/>
      <c r="BU912" s="359"/>
      <c r="BV912" s="284"/>
    </row>
    <row r="913" spans="2:74" x14ac:dyDescent="0.25">
      <c r="B913" s="284"/>
      <c r="D913" s="355"/>
      <c r="E913" s="356"/>
      <c r="F913" s="357"/>
      <c r="G913" s="358"/>
      <c r="H913" s="359"/>
      <c r="I913" s="284"/>
      <c r="J913" s="287"/>
      <c r="K913" s="355"/>
      <c r="M913" s="359"/>
      <c r="N913" s="284"/>
      <c r="O913" s="355"/>
      <c r="P913" s="360"/>
      <c r="Q913" s="359"/>
      <c r="R913" s="284"/>
      <c r="S913" s="355"/>
      <c r="U913" s="359"/>
      <c r="V913" s="284"/>
      <c r="W913" s="355"/>
      <c r="Y913" s="359"/>
      <c r="Z913" s="284"/>
      <c r="AA913" s="355"/>
      <c r="AC913" s="359"/>
      <c r="AD913" s="284"/>
      <c r="AE913" s="355"/>
      <c r="AG913" s="359"/>
      <c r="AH913" s="284"/>
      <c r="AI913" s="355"/>
      <c r="AK913" s="359"/>
      <c r="AL913" s="284"/>
      <c r="AM913" s="355"/>
      <c r="AO913" s="359"/>
      <c r="AP913" s="284"/>
      <c r="AQ913" s="355"/>
      <c r="AR913" s="360"/>
      <c r="AS913" s="359"/>
      <c r="AT913" s="284"/>
      <c r="AU913" s="355"/>
      <c r="AW913" s="359"/>
      <c r="AX913" s="284"/>
      <c r="AY913" s="355"/>
      <c r="BA913" s="359"/>
      <c r="BB913" s="284"/>
      <c r="BC913" s="355"/>
      <c r="BE913" s="359"/>
      <c r="BF913" s="284"/>
      <c r="BG913" s="355"/>
      <c r="BI913" s="359"/>
      <c r="BJ913" s="284"/>
      <c r="BK913" s="355"/>
      <c r="BM913" s="359"/>
      <c r="BN913" s="284"/>
      <c r="BO913" s="355"/>
      <c r="BQ913" s="359"/>
      <c r="BR913" s="284"/>
      <c r="BS913" s="355"/>
      <c r="BU913" s="359"/>
      <c r="BV913" s="284"/>
    </row>
    <row r="914" spans="2:74" x14ac:dyDescent="0.25">
      <c r="B914" s="284"/>
      <c r="D914" s="355"/>
      <c r="E914" s="356"/>
      <c r="F914" s="357"/>
      <c r="G914" s="358"/>
      <c r="H914" s="359"/>
      <c r="I914" s="284"/>
      <c r="J914" s="287"/>
      <c r="K914" s="355"/>
      <c r="M914" s="359"/>
      <c r="N914" s="284"/>
      <c r="O914" s="355"/>
      <c r="P914" s="360"/>
      <c r="Q914" s="359"/>
      <c r="R914" s="284"/>
      <c r="S914" s="355"/>
      <c r="U914" s="359"/>
      <c r="V914" s="284"/>
      <c r="W914" s="355"/>
      <c r="Y914" s="359"/>
      <c r="Z914" s="284"/>
      <c r="AA914" s="355"/>
      <c r="AC914" s="359"/>
      <c r="AD914" s="284"/>
      <c r="AE914" s="355"/>
      <c r="AG914" s="359"/>
      <c r="AH914" s="284"/>
      <c r="AI914" s="355"/>
      <c r="AK914" s="359"/>
      <c r="AL914" s="284"/>
      <c r="AM914" s="355"/>
      <c r="AO914" s="359"/>
      <c r="AP914" s="284"/>
      <c r="AQ914" s="355"/>
      <c r="AR914" s="360"/>
      <c r="AS914" s="359"/>
      <c r="AT914" s="284"/>
      <c r="AU914" s="355"/>
      <c r="AW914" s="359"/>
      <c r="AX914" s="284"/>
      <c r="AY914" s="355"/>
      <c r="BA914" s="359"/>
      <c r="BB914" s="284"/>
      <c r="BC914" s="355"/>
      <c r="BE914" s="359"/>
      <c r="BF914" s="284"/>
      <c r="BG914" s="355"/>
      <c r="BI914" s="359"/>
      <c r="BJ914" s="284"/>
      <c r="BK914" s="355"/>
      <c r="BM914" s="359"/>
      <c r="BN914" s="284"/>
      <c r="BO914" s="355"/>
      <c r="BQ914" s="359"/>
      <c r="BR914" s="284"/>
      <c r="BS914" s="355"/>
      <c r="BU914" s="359"/>
      <c r="BV914" s="284"/>
    </row>
    <row r="915" spans="2:74" x14ac:dyDescent="0.25">
      <c r="B915" s="284"/>
      <c r="D915" s="355"/>
      <c r="E915" s="356"/>
      <c r="F915" s="357"/>
      <c r="G915" s="358"/>
      <c r="H915" s="359"/>
      <c r="I915" s="284"/>
      <c r="J915" s="287"/>
      <c r="K915" s="355"/>
      <c r="M915" s="359"/>
      <c r="N915" s="284"/>
      <c r="O915" s="355"/>
      <c r="P915" s="360"/>
      <c r="Q915" s="359"/>
      <c r="R915" s="284"/>
      <c r="S915" s="355"/>
      <c r="U915" s="359"/>
      <c r="V915" s="284"/>
      <c r="W915" s="355"/>
      <c r="Y915" s="359"/>
      <c r="Z915" s="284"/>
      <c r="AA915" s="355"/>
      <c r="AC915" s="359"/>
      <c r="AD915" s="284"/>
      <c r="AE915" s="355"/>
      <c r="AG915" s="359"/>
      <c r="AH915" s="284"/>
      <c r="AI915" s="355"/>
      <c r="AK915" s="359"/>
      <c r="AL915" s="284"/>
      <c r="AM915" s="355"/>
      <c r="AO915" s="359"/>
      <c r="AP915" s="284"/>
      <c r="AQ915" s="355"/>
      <c r="AR915" s="360"/>
      <c r="AS915" s="359"/>
      <c r="AT915" s="284"/>
      <c r="AU915" s="355"/>
      <c r="AW915" s="359"/>
      <c r="AX915" s="284"/>
      <c r="AY915" s="355"/>
      <c r="BA915" s="359"/>
      <c r="BB915" s="284"/>
      <c r="BC915" s="355"/>
      <c r="BE915" s="359"/>
      <c r="BF915" s="284"/>
      <c r="BG915" s="355"/>
      <c r="BI915" s="359"/>
      <c r="BJ915" s="284"/>
      <c r="BK915" s="355"/>
      <c r="BM915" s="359"/>
      <c r="BN915" s="284"/>
      <c r="BO915" s="355"/>
      <c r="BQ915" s="359"/>
      <c r="BR915" s="284"/>
      <c r="BS915" s="355"/>
      <c r="BU915" s="359"/>
      <c r="BV915" s="284"/>
    </row>
    <row r="916" spans="2:74" x14ac:dyDescent="0.25">
      <c r="B916" s="284"/>
      <c r="D916" s="355"/>
      <c r="E916" s="356"/>
      <c r="F916" s="357"/>
      <c r="G916" s="358"/>
      <c r="H916" s="359"/>
      <c r="I916" s="284"/>
      <c r="J916" s="287"/>
      <c r="K916" s="355"/>
      <c r="M916" s="359"/>
      <c r="N916" s="284"/>
      <c r="O916" s="355"/>
      <c r="P916" s="360"/>
      <c r="Q916" s="359"/>
      <c r="R916" s="284"/>
      <c r="S916" s="355"/>
      <c r="U916" s="359"/>
      <c r="V916" s="284"/>
      <c r="W916" s="355"/>
      <c r="Y916" s="359"/>
      <c r="Z916" s="284"/>
      <c r="AA916" s="355"/>
      <c r="AC916" s="359"/>
      <c r="AD916" s="284"/>
      <c r="AE916" s="355"/>
      <c r="AG916" s="359"/>
      <c r="AH916" s="284"/>
      <c r="AI916" s="355"/>
      <c r="AK916" s="359"/>
      <c r="AL916" s="284"/>
      <c r="AM916" s="355"/>
      <c r="AO916" s="359"/>
      <c r="AP916" s="284"/>
      <c r="AQ916" s="355"/>
      <c r="AR916" s="360"/>
      <c r="AS916" s="359"/>
      <c r="AT916" s="284"/>
      <c r="AU916" s="355"/>
      <c r="AW916" s="359"/>
      <c r="AX916" s="284"/>
      <c r="AY916" s="355"/>
      <c r="BA916" s="359"/>
      <c r="BB916" s="284"/>
      <c r="BC916" s="355"/>
      <c r="BE916" s="359"/>
      <c r="BF916" s="284"/>
      <c r="BG916" s="355"/>
      <c r="BI916" s="359"/>
      <c r="BJ916" s="284"/>
      <c r="BK916" s="355"/>
      <c r="BM916" s="359"/>
      <c r="BN916" s="284"/>
      <c r="BO916" s="355"/>
      <c r="BQ916" s="359"/>
      <c r="BR916" s="284"/>
      <c r="BS916" s="355"/>
      <c r="BU916" s="359"/>
      <c r="BV916" s="284"/>
    </row>
    <row r="917" spans="2:74" x14ac:dyDescent="0.25">
      <c r="B917" s="284"/>
      <c r="D917" s="355"/>
      <c r="E917" s="356"/>
      <c r="F917" s="357"/>
      <c r="G917" s="358"/>
      <c r="H917" s="359"/>
      <c r="I917" s="284"/>
      <c r="J917" s="287"/>
      <c r="K917" s="355"/>
      <c r="M917" s="359"/>
      <c r="N917" s="284"/>
      <c r="O917" s="355"/>
      <c r="P917" s="360"/>
      <c r="Q917" s="359"/>
      <c r="R917" s="284"/>
      <c r="S917" s="355"/>
      <c r="U917" s="359"/>
      <c r="V917" s="284"/>
      <c r="W917" s="355"/>
      <c r="Y917" s="359"/>
      <c r="Z917" s="284"/>
      <c r="AA917" s="355"/>
      <c r="AC917" s="359"/>
      <c r="AD917" s="284"/>
      <c r="AE917" s="355"/>
      <c r="AG917" s="359"/>
      <c r="AH917" s="284"/>
      <c r="AI917" s="355"/>
      <c r="AK917" s="359"/>
      <c r="AL917" s="284"/>
      <c r="AM917" s="355"/>
      <c r="AO917" s="359"/>
      <c r="AP917" s="284"/>
      <c r="AQ917" s="355"/>
      <c r="AR917" s="360"/>
      <c r="AS917" s="359"/>
      <c r="AT917" s="284"/>
      <c r="AU917" s="355"/>
      <c r="AW917" s="359"/>
      <c r="AX917" s="284"/>
      <c r="AY917" s="355"/>
      <c r="BA917" s="359"/>
      <c r="BB917" s="284"/>
      <c r="BC917" s="355"/>
      <c r="BE917" s="359"/>
      <c r="BF917" s="284"/>
      <c r="BG917" s="355"/>
      <c r="BI917" s="359"/>
      <c r="BJ917" s="284"/>
      <c r="BK917" s="355"/>
      <c r="BM917" s="359"/>
      <c r="BN917" s="284"/>
      <c r="BO917" s="355"/>
      <c r="BQ917" s="359"/>
      <c r="BR917" s="284"/>
      <c r="BS917" s="355"/>
      <c r="BU917" s="359"/>
      <c r="BV917" s="284"/>
    </row>
    <row r="918" spans="2:74" x14ac:dyDescent="0.25">
      <c r="B918" s="284"/>
      <c r="D918" s="355"/>
      <c r="E918" s="356"/>
      <c r="F918" s="357"/>
      <c r="G918" s="358"/>
      <c r="H918" s="359"/>
      <c r="I918" s="284"/>
      <c r="J918" s="287"/>
      <c r="K918" s="355"/>
      <c r="M918" s="359"/>
      <c r="N918" s="284"/>
      <c r="O918" s="355"/>
      <c r="P918" s="360"/>
      <c r="Q918" s="359"/>
      <c r="R918" s="284"/>
      <c r="S918" s="355"/>
      <c r="U918" s="359"/>
      <c r="V918" s="284"/>
      <c r="W918" s="355"/>
      <c r="Y918" s="359"/>
      <c r="Z918" s="284"/>
      <c r="AA918" s="355"/>
      <c r="AC918" s="359"/>
      <c r="AD918" s="284"/>
      <c r="AE918" s="355"/>
      <c r="AG918" s="359"/>
      <c r="AH918" s="284"/>
      <c r="AI918" s="355"/>
      <c r="AK918" s="359"/>
      <c r="AL918" s="284"/>
      <c r="AM918" s="355"/>
      <c r="AO918" s="359"/>
      <c r="AP918" s="284"/>
      <c r="AQ918" s="355"/>
      <c r="AR918" s="360"/>
      <c r="AS918" s="359"/>
      <c r="AT918" s="284"/>
      <c r="AU918" s="355"/>
      <c r="AW918" s="359"/>
      <c r="AX918" s="284"/>
      <c r="AY918" s="355"/>
      <c r="BA918" s="359"/>
      <c r="BB918" s="284"/>
      <c r="BC918" s="355"/>
      <c r="BE918" s="359"/>
      <c r="BF918" s="284"/>
      <c r="BG918" s="355"/>
      <c r="BI918" s="359"/>
      <c r="BJ918" s="284"/>
      <c r="BK918" s="355"/>
      <c r="BM918" s="359"/>
      <c r="BN918" s="284"/>
      <c r="BO918" s="355"/>
      <c r="BQ918" s="359"/>
      <c r="BR918" s="284"/>
      <c r="BS918" s="355"/>
      <c r="BU918" s="359"/>
      <c r="BV918" s="284"/>
    </row>
    <row r="919" spans="2:74" x14ac:dyDescent="0.25">
      <c r="B919" s="284"/>
      <c r="D919" s="355"/>
      <c r="E919" s="356"/>
      <c r="F919" s="357"/>
      <c r="G919" s="358"/>
      <c r="H919" s="359"/>
      <c r="I919" s="284"/>
      <c r="J919" s="287"/>
      <c r="K919" s="355"/>
      <c r="M919" s="359"/>
      <c r="N919" s="284"/>
      <c r="O919" s="355"/>
      <c r="P919" s="360"/>
      <c r="Q919" s="359"/>
      <c r="R919" s="284"/>
      <c r="S919" s="355"/>
      <c r="U919" s="359"/>
      <c r="V919" s="284"/>
      <c r="W919" s="355"/>
      <c r="Y919" s="359"/>
      <c r="Z919" s="284"/>
      <c r="AA919" s="355"/>
      <c r="AC919" s="359"/>
      <c r="AD919" s="284"/>
      <c r="AE919" s="355"/>
      <c r="AG919" s="359"/>
      <c r="AH919" s="284"/>
      <c r="AI919" s="355"/>
      <c r="AK919" s="359"/>
      <c r="AL919" s="284"/>
      <c r="AM919" s="355"/>
      <c r="AO919" s="359"/>
      <c r="AP919" s="284"/>
      <c r="AQ919" s="355"/>
      <c r="AR919" s="360"/>
      <c r="AS919" s="359"/>
      <c r="AT919" s="284"/>
      <c r="AU919" s="355"/>
      <c r="AW919" s="359"/>
      <c r="AX919" s="284"/>
      <c r="AY919" s="355"/>
      <c r="BA919" s="359"/>
      <c r="BB919" s="284"/>
      <c r="BC919" s="355"/>
      <c r="BE919" s="359"/>
      <c r="BF919" s="284"/>
      <c r="BG919" s="355"/>
      <c r="BI919" s="359"/>
      <c r="BJ919" s="284"/>
      <c r="BK919" s="355"/>
      <c r="BM919" s="359"/>
      <c r="BN919" s="284"/>
      <c r="BO919" s="355"/>
      <c r="BQ919" s="359"/>
      <c r="BR919" s="284"/>
      <c r="BS919" s="355"/>
      <c r="BU919" s="359"/>
      <c r="BV919" s="284"/>
    </row>
    <row r="920" spans="2:74" x14ac:dyDescent="0.25">
      <c r="B920" s="284"/>
      <c r="D920" s="355"/>
      <c r="E920" s="356"/>
      <c r="F920" s="357"/>
      <c r="G920" s="358"/>
      <c r="H920" s="359"/>
      <c r="I920" s="284"/>
      <c r="J920" s="287"/>
      <c r="K920" s="355"/>
      <c r="M920" s="359"/>
      <c r="N920" s="284"/>
      <c r="O920" s="355"/>
      <c r="P920" s="360"/>
      <c r="Q920" s="359"/>
      <c r="R920" s="284"/>
      <c r="S920" s="355"/>
      <c r="U920" s="359"/>
      <c r="V920" s="284"/>
      <c r="W920" s="355"/>
      <c r="Y920" s="359"/>
      <c r="Z920" s="284"/>
      <c r="AA920" s="355"/>
      <c r="AC920" s="359"/>
      <c r="AD920" s="284"/>
      <c r="AE920" s="355"/>
      <c r="AG920" s="359"/>
      <c r="AH920" s="284"/>
      <c r="AI920" s="355"/>
      <c r="AK920" s="359"/>
      <c r="AL920" s="284"/>
      <c r="AM920" s="355"/>
      <c r="AO920" s="359"/>
      <c r="AP920" s="284"/>
      <c r="AQ920" s="355"/>
      <c r="AR920" s="360"/>
      <c r="AS920" s="359"/>
      <c r="AT920" s="284"/>
      <c r="AU920" s="355"/>
      <c r="AW920" s="359"/>
      <c r="AX920" s="284"/>
      <c r="AY920" s="355"/>
      <c r="BA920" s="359"/>
      <c r="BB920" s="284"/>
      <c r="BC920" s="355"/>
      <c r="BE920" s="359"/>
      <c r="BF920" s="284"/>
      <c r="BG920" s="355"/>
      <c r="BI920" s="359"/>
      <c r="BJ920" s="284"/>
      <c r="BK920" s="355"/>
      <c r="BM920" s="359"/>
      <c r="BN920" s="284"/>
      <c r="BO920" s="355"/>
      <c r="BQ920" s="359"/>
      <c r="BR920" s="284"/>
      <c r="BS920" s="355"/>
      <c r="BU920" s="359"/>
      <c r="BV920" s="284"/>
    </row>
    <row r="921" spans="2:74" x14ac:dyDescent="0.25">
      <c r="B921" s="284"/>
      <c r="D921" s="355"/>
      <c r="E921" s="356"/>
      <c r="F921" s="357"/>
      <c r="G921" s="358"/>
      <c r="H921" s="359"/>
      <c r="I921" s="284"/>
      <c r="J921" s="287"/>
      <c r="K921" s="355"/>
      <c r="M921" s="359"/>
      <c r="N921" s="284"/>
      <c r="O921" s="355"/>
      <c r="P921" s="360"/>
      <c r="Q921" s="359"/>
      <c r="R921" s="284"/>
      <c r="S921" s="355"/>
      <c r="U921" s="359"/>
      <c r="V921" s="284"/>
      <c r="W921" s="355"/>
      <c r="Y921" s="359"/>
      <c r="Z921" s="284"/>
      <c r="AA921" s="355"/>
      <c r="AC921" s="359"/>
      <c r="AD921" s="284"/>
      <c r="AE921" s="355"/>
      <c r="AG921" s="359"/>
      <c r="AH921" s="284"/>
      <c r="AI921" s="355"/>
      <c r="AK921" s="359"/>
      <c r="AL921" s="284"/>
      <c r="AM921" s="355"/>
      <c r="AO921" s="359"/>
      <c r="AP921" s="284"/>
      <c r="AQ921" s="355"/>
      <c r="AR921" s="360"/>
      <c r="AS921" s="359"/>
      <c r="AT921" s="284"/>
      <c r="AU921" s="355"/>
      <c r="AW921" s="359"/>
      <c r="AX921" s="284"/>
      <c r="AY921" s="355"/>
      <c r="BA921" s="359"/>
      <c r="BB921" s="284"/>
      <c r="BC921" s="355"/>
      <c r="BE921" s="359"/>
      <c r="BF921" s="284"/>
      <c r="BG921" s="355"/>
      <c r="BI921" s="359"/>
      <c r="BJ921" s="284"/>
      <c r="BK921" s="355"/>
      <c r="BM921" s="359"/>
      <c r="BN921" s="284"/>
      <c r="BO921" s="355"/>
      <c r="BQ921" s="359"/>
      <c r="BR921" s="284"/>
      <c r="BS921" s="355"/>
      <c r="BU921" s="359"/>
      <c r="BV921" s="284"/>
    </row>
    <row r="922" spans="2:74" x14ac:dyDescent="0.25">
      <c r="B922" s="284"/>
      <c r="D922" s="355"/>
      <c r="E922" s="356"/>
      <c r="F922" s="357"/>
      <c r="G922" s="358"/>
      <c r="H922" s="359"/>
      <c r="I922" s="284"/>
      <c r="J922" s="287"/>
      <c r="K922" s="355"/>
      <c r="M922" s="359"/>
      <c r="N922" s="284"/>
      <c r="O922" s="355"/>
      <c r="P922" s="360"/>
      <c r="Q922" s="359"/>
      <c r="R922" s="284"/>
      <c r="S922" s="355"/>
      <c r="U922" s="359"/>
      <c r="V922" s="284"/>
      <c r="W922" s="355"/>
      <c r="Y922" s="359"/>
      <c r="Z922" s="284"/>
      <c r="AA922" s="355"/>
      <c r="AC922" s="359"/>
      <c r="AD922" s="284"/>
      <c r="AE922" s="355"/>
      <c r="AG922" s="359"/>
      <c r="AH922" s="284"/>
      <c r="AI922" s="355"/>
      <c r="AK922" s="359"/>
      <c r="AL922" s="284"/>
      <c r="AM922" s="355"/>
      <c r="AO922" s="359"/>
      <c r="AP922" s="284"/>
      <c r="AQ922" s="355"/>
      <c r="AR922" s="360"/>
      <c r="AS922" s="359"/>
      <c r="AT922" s="284"/>
      <c r="AU922" s="355"/>
      <c r="AW922" s="359"/>
      <c r="AX922" s="284"/>
      <c r="AY922" s="355"/>
      <c r="BA922" s="359"/>
      <c r="BB922" s="284"/>
      <c r="BC922" s="355"/>
      <c r="BE922" s="359"/>
      <c r="BF922" s="284"/>
      <c r="BG922" s="355"/>
      <c r="BI922" s="359"/>
      <c r="BJ922" s="284"/>
      <c r="BK922" s="355"/>
      <c r="BM922" s="359"/>
      <c r="BN922" s="284"/>
      <c r="BO922" s="355"/>
      <c r="BQ922" s="359"/>
      <c r="BR922" s="284"/>
      <c r="BS922" s="355"/>
      <c r="BU922" s="359"/>
      <c r="BV922" s="284"/>
    </row>
    <row r="923" spans="2:74" x14ac:dyDescent="0.25">
      <c r="B923" s="284"/>
      <c r="D923" s="355"/>
      <c r="E923" s="356"/>
      <c r="F923" s="357"/>
      <c r="G923" s="358"/>
      <c r="H923" s="359"/>
      <c r="I923" s="284"/>
      <c r="J923" s="287"/>
      <c r="K923" s="355"/>
      <c r="M923" s="359"/>
      <c r="N923" s="284"/>
      <c r="O923" s="355"/>
      <c r="P923" s="360"/>
      <c r="Q923" s="359"/>
      <c r="R923" s="284"/>
      <c r="S923" s="355"/>
      <c r="U923" s="359"/>
      <c r="V923" s="284"/>
      <c r="W923" s="355"/>
      <c r="Y923" s="359"/>
      <c r="Z923" s="284"/>
      <c r="AA923" s="355"/>
      <c r="AC923" s="359"/>
      <c r="AD923" s="284"/>
      <c r="AE923" s="355"/>
      <c r="AG923" s="359"/>
      <c r="AH923" s="284"/>
      <c r="AI923" s="355"/>
      <c r="AK923" s="359"/>
      <c r="AL923" s="284"/>
      <c r="AM923" s="355"/>
      <c r="AO923" s="359"/>
      <c r="AP923" s="284"/>
      <c r="AQ923" s="355"/>
      <c r="AR923" s="360"/>
      <c r="AS923" s="359"/>
      <c r="AT923" s="284"/>
      <c r="AU923" s="355"/>
      <c r="AW923" s="359"/>
      <c r="AX923" s="284"/>
      <c r="AY923" s="355"/>
      <c r="BA923" s="359"/>
      <c r="BB923" s="284"/>
      <c r="BC923" s="355"/>
      <c r="BE923" s="359"/>
      <c r="BF923" s="284"/>
      <c r="BG923" s="355"/>
      <c r="BI923" s="359"/>
      <c r="BJ923" s="284"/>
      <c r="BK923" s="355"/>
      <c r="BM923" s="359"/>
      <c r="BN923" s="284"/>
      <c r="BO923" s="355"/>
      <c r="BQ923" s="359"/>
      <c r="BR923" s="284"/>
      <c r="BS923" s="355"/>
      <c r="BU923" s="359"/>
      <c r="BV923" s="284"/>
    </row>
    <row r="924" spans="2:74" x14ac:dyDescent="0.25">
      <c r="B924" s="284"/>
      <c r="D924" s="355"/>
      <c r="E924" s="356"/>
      <c r="F924" s="357"/>
      <c r="G924" s="358"/>
      <c r="H924" s="359"/>
      <c r="I924" s="284"/>
      <c r="J924" s="287"/>
      <c r="K924" s="355"/>
      <c r="M924" s="359"/>
      <c r="N924" s="284"/>
      <c r="O924" s="355"/>
      <c r="P924" s="360"/>
      <c r="Q924" s="359"/>
      <c r="R924" s="284"/>
      <c r="S924" s="355"/>
      <c r="U924" s="359"/>
      <c r="V924" s="284"/>
      <c r="W924" s="355"/>
      <c r="Y924" s="359"/>
      <c r="Z924" s="284"/>
      <c r="AA924" s="355"/>
      <c r="AC924" s="359"/>
      <c r="AD924" s="284"/>
      <c r="AE924" s="355"/>
      <c r="AG924" s="359"/>
      <c r="AH924" s="284"/>
      <c r="AI924" s="355"/>
      <c r="AK924" s="359"/>
      <c r="AL924" s="284"/>
      <c r="AM924" s="355"/>
      <c r="AO924" s="359"/>
      <c r="AP924" s="284"/>
      <c r="AQ924" s="355"/>
      <c r="AR924" s="360"/>
      <c r="AS924" s="359"/>
      <c r="AT924" s="284"/>
      <c r="AU924" s="355"/>
      <c r="AW924" s="359"/>
      <c r="AX924" s="284"/>
      <c r="AY924" s="355"/>
      <c r="BA924" s="359"/>
      <c r="BB924" s="284"/>
      <c r="BC924" s="355"/>
      <c r="BE924" s="359"/>
      <c r="BF924" s="284"/>
      <c r="BG924" s="355"/>
      <c r="BI924" s="359"/>
      <c r="BJ924" s="284"/>
      <c r="BK924" s="355"/>
      <c r="BM924" s="359"/>
      <c r="BN924" s="284"/>
      <c r="BO924" s="355"/>
      <c r="BQ924" s="359"/>
      <c r="BR924" s="284"/>
      <c r="BS924" s="355"/>
      <c r="BU924" s="359"/>
      <c r="BV924" s="284"/>
    </row>
    <row r="925" spans="2:74" x14ac:dyDescent="0.25">
      <c r="B925" s="284"/>
      <c r="D925" s="355"/>
      <c r="E925" s="356"/>
      <c r="F925" s="357"/>
      <c r="G925" s="358"/>
      <c r="H925" s="359"/>
      <c r="I925" s="284"/>
      <c r="J925" s="287"/>
      <c r="K925" s="355"/>
      <c r="M925" s="359"/>
      <c r="N925" s="284"/>
      <c r="O925" s="355"/>
      <c r="P925" s="360"/>
      <c r="Q925" s="359"/>
      <c r="R925" s="284"/>
      <c r="S925" s="355"/>
      <c r="U925" s="359"/>
      <c r="V925" s="284"/>
      <c r="W925" s="355"/>
      <c r="Y925" s="359"/>
      <c r="Z925" s="284"/>
      <c r="AA925" s="355"/>
      <c r="AC925" s="359"/>
      <c r="AD925" s="284"/>
      <c r="AE925" s="355"/>
      <c r="AG925" s="359"/>
      <c r="AH925" s="284"/>
      <c r="AI925" s="355"/>
      <c r="AK925" s="359"/>
      <c r="AL925" s="284"/>
      <c r="AM925" s="355"/>
      <c r="AO925" s="359"/>
      <c r="AP925" s="284"/>
      <c r="AQ925" s="355"/>
      <c r="AR925" s="360"/>
      <c r="AS925" s="359"/>
      <c r="AT925" s="284"/>
      <c r="AU925" s="355"/>
      <c r="AW925" s="359"/>
      <c r="AX925" s="284"/>
      <c r="AY925" s="355"/>
      <c r="BA925" s="359"/>
      <c r="BB925" s="284"/>
      <c r="BC925" s="355"/>
      <c r="BE925" s="359"/>
      <c r="BF925" s="284"/>
      <c r="BG925" s="355"/>
      <c r="BI925" s="359"/>
      <c r="BJ925" s="284"/>
      <c r="BK925" s="355"/>
      <c r="BM925" s="359"/>
      <c r="BN925" s="284"/>
      <c r="BO925" s="355"/>
      <c r="BQ925" s="359"/>
      <c r="BR925" s="284"/>
      <c r="BS925" s="355"/>
      <c r="BU925" s="359"/>
      <c r="BV925" s="284"/>
    </row>
    <row r="926" spans="2:74" x14ac:dyDescent="0.25">
      <c r="B926" s="284"/>
      <c r="D926" s="355"/>
      <c r="E926" s="356"/>
      <c r="F926" s="357"/>
      <c r="G926" s="358"/>
      <c r="H926" s="359"/>
      <c r="I926" s="284"/>
      <c r="J926" s="287"/>
      <c r="K926" s="355"/>
      <c r="M926" s="359"/>
      <c r="N926" s="284"/>
      <c r="O926" s="355"/>
      <c r="P926" s="360"/>
      <c r="Q926" s="359"/>
      <c r="R926" s="284"/>
      <c r="S926" s="355"/>
      <c r="U926" s="359"/>
      <c r="V926" s="284"/>
      <c r="W926" s="355"/>
      <c r="Y926" s="359"/>
      <c r="Z926" s="284"/>
      <c r="AA926" s="355"/>
      <c r="AC926" s="359"/>
      <c r="AD926" s="284"/>
      <c r="AE926" s="355"/>
      <c r="AG926" s="359"/>
      <c r="AH926" s="284"/>
      <c r="AI926" s="355"/>
      <c r="AK926" s="359"/>
      <c r="AL926" s="284"/>
      <c r="AM926" s="355"/>
      <c r="AO926" s="359"/>
      <c r="AP926" s="284"/>
      <c r="AQ926" s="355"/>
      <c r="AR926" s="360"/>
      <c r="AS926" s="359"/>
      <c r="AT926" s="284"/>
      <c r="AU926" s="355"/>
      <c r="AW926" s="359"/>
      <c r="AX926" s="284"/>
      <c r="AY926" s="355"/>
      <c r="BA926" s="359"/>
      <c r="BB926" s="284"/>
      <c r="BC926" s="355"/>
      <c r="BE926" s="359"/>
      <c r="BF926" s="284"/>
      <c r="BG926" s="355"/>
      <c r="BI926" s="359"/>
      <c r="BJ926" s="284"/>
      <c r="BK926" s="355"/>
      <c r="BM926" s="359"/>
      <c r="BN926" s="284"/>
      <c r="BO926" s="355"/>
      <c r="BQ926" s="359"/>
      <c r="BR926" s="284"/>
      <c r="BS926" s="355"/>
      <c r="BU926" s="359"/>
      <c r="BV926" s="284"/>
    </row>
    <row r="927" spans="2:74" x14ac:dyDescent="0.25">
      <c r="B927" s="284"/>
      <c r="D927" s="355"/>
      <c r="E927" s="356"/>
      <c r="F927" s="357"/>
      <c r="G927" s="358"/>
      <c r="H927" s="359"/>
      <c r="I927" s="284"/>
      <c r="J927" s="287"/>
      <c r="K927" s="355"/>
      <c r="M927" s="359"/>
      <c r="N927" s="284"/>
      <c r="O927" s="355"/>
      <c r="P927" s="360"/>
      <c r="Q927" s="359"/>
      <c r="R927" s="284"/>
      <c r="S927" s="355"/>
      <c r="U927" s="359"/>
      <c r="V927" s="284"/>
      <c r="W927" s="355"/>
      <c r="Y927" s="359"/>
      <c r="Z927" s="284"/>
      <c r="AA927" s="355"/>
      <c r="AC927" s="359"/>
      <c r="AD927" s="284"/>
      <c r="AE927" s="355"/>
      <c r="AG927" s="359"/>
      <c r="AH927" s="284"/>
      <c r="AI927" s="355"/>
      <c r="AK927" s="359"/>
      <c r="AL927" s="284"/>
      <c r="AM927" s="355"/>
      <c r="AO927" s="359"/>
      <c r="AP927" s="284"/>
      <c r="AQ927" s="355"/>
      <c r="AR927" s="360"/>
      <c r="AS927" s="359"/>
      <c r="AT927" s="284"/>
      <c r="AU927" s="355"/>
      <c r="AW927" s="359"/>
      <c r="AX927" s="284"/>
      <c r="AY927" s="355"/>
      <c r="BA927" s="359"/>
      <c r="BB927" s="284"/>
      <c r="BC927" s="355"/>
      <c r="BE927" s="359"/>
      <c r="BF927" s="284"/>
      <c r="BG927" s="355"/>
      <c r="BI927" s="359"/>
      <c r="BJ927" s="284"/>
      <c r="BK927" s="355"/>
      <c r="BM927" s="359"/>
      <c r="BN927" s="284"/>
      <c r="BO927" s="355"/>
      <c r="BQ927" s="359"/>
      <c r="BR927" s="284"/>
      <c r="BS927" s="355"/>
      <c r="BU927" s="359"/>
      <c r="BV927" s="284"/>
    </row>
    <row r="928" spans="2:74" x14ac:dyDescent="0.25">
      <c r="B928" s="284"/>
      <c r="D928" s="355"/>
      <c r="E928" s="356"/>
      <c r="F928" s="357"/>
      <c r="G928" s="358"/>
      <c r="H928" s="359"/>
      <c r="I928" s="284"/>
      <c r="J928" s="287"/>
      <c r="K928" s="355"/>
      <c r="M928" s="359"/>
      <c r="N928" s="284"/>
      <c r="O928" s="355"/>
      <c r="P928" s="360"/>
      <c r="Q928" s="359"/>
      <c r="R928" s="284"/>
      <c r="S928" s="355"/>
      <c r="U928" s="359"/>
      <c r="V928" s="284"/>
      <c r="W928" s="355"/>
      <c r="Y928" s="359"/>
      <c r="Z928" s="284"/>
      <c r="AA928" s="355"/>
      <c r="AC928" s="359"/>
      <c r="AD928" s="284"/>
      <c r="AE928" s="355"/>
      <c r="AG928" s="359"/>
      <c r="AH928" s="284"/>
      <c r="AI928" s="355"/>
      <c r="AK928" s="359"/>
      <c r="AL928" s="284"/>
      <c r="AM928" s="355"/>
      <c r="AO928" s="359"/>
      <c r="AP928" s="284"/>
      <c r="AQ928" s="355"/>
      <c r="AR928" s="360"/>
      <c r="AS928" s="359"/>
      <c r="AT928" s="284"/>
      <c r="AU928" s="355"/>
      <c r="AW928" s="359"/>
      <c r="AX928" s="284"/>
      <c r="AY928" s="355"/>
      <c r="BA928" s="359"/>
      <c r="BB928" s="284"/>
      <c r="BC928" s="355"/>
      <c r="BE928" s="359"/>
      <c r="BF928" s="284"/>
      <c r="BG928" s="355"/>
      <c r="BI928" s="359"/>
      <c r="BJ928" s="284"/>
      <c r="BK928" s="355"/>
      <c r="BM928" s="359"/>
      <c r="BN928" s="284"/>
      <c r="BO928" s="355"/>
      <c r="BQ928" s="359"/>
      <c r="BR928" s="284"/>
      <c r="BS928" s="355"/>
      <c r="BU928" s="359"/>
      <c r="BV928" s="284"/>
    </row>
    <row r="929" spans="2:74" x14ac:dyDescent="0.25">
      <c r="B929" s="284"/>
      <c r="D929" s="355"/>
      <c r="E929" s="356"/>
      <c r="F929" s="357"/>
      <c r="G929" s="358"/>
      <c r="H929" s="359"/>
      <c r="I929" s="284"/>
      <c r="J929" s="287"/>
      <c r="K929" s="355"/>
      <c r="M929" s="359"/>
      <c r="N929" s="284"/>
      <c r="O929" s="355"/>
      <c r="P929" s="360"/>
      <c r="Q929" s="359"/>
      <c r="R929" s="284"/>
      <c r="S929" s="355"/>
      <c r="U929" s="359"/>
      <c r="V929" s="284"/>
      <c r="W929" s="355"/>
      <c r="Y929" s="359"/>
      <c r="Z929" s="284"/>
      <c r="AA929" s="355"/>
      <c r="AC929" s="359"/>
      <c r="AD929" s="284"/>
      <c r="AE929" s="355"/>
      <c r="AG929" s="359"/>
      <c r="AH929" s="284"/>
      <c r="AI929" s="355"/>
      <c r="AK929" s="359"/>
      <c r="AL929" s="284"/>
      <c r="AM929" s="355"/>
      <c r="AO929" s="359"/>
      <c r="AP929" s="284"/>
      <c r="AQ929" s="355"/>
      <c r="AR929" s="360"/>
      <c r="AS929" s="359"/>
      <c r="AT929" s="284"/>
      <c r="AU929" s="355"/>
      <c r="AW929" s="359"/>
      <c r="AX929" s="284"/>
      <c r="AY929" s="355"/>
      <c r="BA929" s="359"/>
      <c r="BB929" s="284"/>
      <c r="BC929" s="355"/>
      <c r="BE929" s="359"/>
      <c r="BF929" s="284"/>
      <c r="BG929" s="355"/>
      <c r="BI929" s="359"/>
      <c r="BJ929" s="284"/>
      <c r="BK929" s="355"/>
      <c r="BM929" s="359"/>
      <c r="BN929" s="284"/>
      <c r="BO929" s="355"/>
      <c r="BQ929" s="359"/>
      <c r="BR929" s="284"/>
      <c r="BS929" s="355"/>
      <c r="BU929" s="359"/>
      <c r="BV929" s="284"/>
    </row>
    <row r="930" spans="2:74" x14ac:dyDescent="0.25">
      <c r="B930" s="284"/>
      <c r="D930" s="355"/>
      <c r="E930" s="356"/>
      <c r="F930" s="357"/>
      <c r="G930" s="358"/>
      <c r="H930" s="359"/>
      <c r="I930" s="284"/>
      <c r="J930" s="287"/>
      <c r="K930" s="355"/>
      <c r="M930" s="359"/>
      <c r="N930" s="284"/>
      <c r="O930" s="355"/>
      <c r="P930" s="360"/>
      <c r="Q930" s="359"/>
      <c r="R930" s="284"/>
      <c r="S930" s="355"/>
      <c r="U930" s="359"/>
      <c r="V930" s="284"/>
      <c r="W930" s="355"/>
      <c r="Y930" s="359"/>
      <c r="Z930" s="284"/>
      <c r="AA930" s="355"/>
      <c r="AC930" s="359"/>
      <c r="AD930" s="284"/>
      <c r="AE930" s="355"/>
      <c r="AG930" s="359"/>
      <c r="AH930" s="284"/>
      <c r="AI930" s="355"/>
      <c r="AK930" s="359"/>
      <c r="AL930" s="284"/>
      <c r="AM930" s="355"/>
      <c r="AO930" s="359"/>
      <c r="AP930" s="284"/>
      <c r="AQ930" s="355"/>
      <c r="AR930" s="360"/>
      <c r="AS930" s="359"/>
      <c r="AT930" s="284"/>
      <c r="AU930" s="355"/>
      <c r="AW930" s="359"/>
      <c r="AX930" s="284"/>
      <c r="AY930" s="355"/>
      <c r="BA930" s="359"/>
      <c r="BB930" s="284"/>
      <c r="BC930" s="355"/>
      <c r="BE930" s="359"/>
      <c r="BF930" s="284"/>
      <c r="BG930" s="355"/>
      <c r="BI930" s="359"/>
      <c r="BJ930" s="284"/>
      <c r="BK930" s="355"/>
      <c r="BM930" s="359"/>
      <c r="BN930" s="284"/>
      <c r="BO930" s="355"/>
      <c r="BQ930" s="359"/>
      <c r="BR930" s="284"/>
      <c r="BS930" s="355"/>
      <c r="BU930" s="359"/>
      <c r="BV930" s="284"/>
    </row>
    <row r="931" spans="2:74" x14ac:dyDescent="0.25">
      <c r="B931" s="284"/>
      <c r="D931" s="355"/>
      <c r="E931" s="356"/>
      <c r="F931" s="357"/>
      <c r="G931" s="358"/>
      <c r="H931" s="359"/>
      <c r="I931" s="284"/>
      <c r="J931" s="287"/>
      <c r="K931" s="355"/>
      <c r="M931" s="359"/>
      <c r="N931" s="284"/>
      <c r="O931" s="355"/>
      <c r="P931" s="360"/>
      <c r="Q931" s="359"/>
      <c r="R931" s="284"/>
      <c r="S931" s="355"/>
      <c r="U931" s="359"/>
      <c r="V931" s="284"/>
      <c r="W931" s="355"/>
      <c r="Y931" s="359"/>
      <c r="Z931" s="284"/>
      <c r="AA931" s="355"/>
      <c r="AC931" s="359"/>
      <c r="AD931" s="284"/>
      <c r="AE931" s="355"/>
      <c r="AG931" s="359"/>
      <c r="AH931" s="284"/>
      <c r="AI931" s="355"/>
      <c r="AK931" s="359"/>
      <c r="AL931" s="284"/>
      <c r="AM931" s="355"/>
      <c r="AO931" s="359"/>
      <c r="AP931" s="284"/>
      <c r="AQ931" s="355"/>
      <c r="AR931" s="360"/>
      <c r="AS931" s="359"/>
      <c r="AT931" s="284"/>
      <c r="AU931" s="355"/>
      <c r="AW931" s="359"/>
      <c r="AX931" s="284"/>
      <c r="AY931" s="355"/>
      <c r="BA931" s="359"/>
      <c r="BB931" s="284"/>
      <c r="BC931" s="355"/>
      <c r="BE931" s="359"/>
      <c r="BF931" s="284"/>
      <c r="BG931" s="355"/>
      <c r="BI931" s="359"/>
      <c r="BJ931" s="284"/>
      <c r="BK931" s="355"/>
      <c r="BM931" s="359"/>
      <c r="BN931" s="284"/>
      <c r="BO931" s="355"/>
      <c r="BQ931" s="359"/>
      <c r="BR931" s="284"/>
      <c r="BS931" s="355"/>
      <c r="BU931" s="359"/>
      <c r="BV931" s="284"/>
    </row>
    <row r="932" spans="2:74" x14ac:dyDescent="0.25">
      <c r="B932" s="284"/>
      <c r="D932" s="355"/>
      <c r="E932" s="356"/>
      <c r="F932" s="357"/>
      <c r="G932" s="358"/>
      <c r="H932" s="359"/>
      <c r="I932" s="284"/>
      <c r="J932" s="287"/>
      <c r="K932" s="355"/>
      <c r="M932" s="359"/>
      <c r="N932" s="284"/>
      <c r="O932" s="355"/>
      <c r="P932" s="360"/>
      <c r="Q932" s="359"/>
      <c r="R932" s="284"/>
      <c r="S932" s="355"/>
      <c r="U932" s="359"/>
      <c r="V932" s="284"/>
      <c r="W932" s="355"/>
      <c r="Y932" s="359"/>
      <c r="Z932" s="284"/>
      <c r="AA932" s="355"/>
      <c r="AC932" s="359"/>
      <c r="AD932" s="284"/>
      <c r="AE932" s="355"/>
      <c r="AG932" s="359"/>
      <c r="AH932" s="284"/>
      <c r="AI932" s="355"/>
      <c r="AK932" s="359"/>
      <c r="AL932" s="284"/>
      <c r="AM932" s="355"/>
      <c r="AO932" s="359"/>
      <c r="AP932" s="284"/>
      <c r="AQ932" s="355"/>
      <c r="AR932" s="360"/>
      <c r="AS932" s="359"/>
      <c r="AT932" s="284"/>
      <c r="AU932" s="355"/>
      <c r="AW932" s="359"/>
      <c r="AX932" s="284"/>
      <c r="AY932" s="355"/>
      <c r="BA932" s="359"/>
      <c r="BB932" s="284"/>
      <c r="BC932" s="355"/>
      <c r="BE932" s="359"/>
      <c r="BF932" s="284"/>
      <c r="BG932" s="355"/>
      <c r="BI932" s="359"/>
      <c r="BJ932" s="284"/>
      <c r="BK932" s="355"/>
      <c r="BM932" s="359"/>
      <c r="BN932" s="284"/>
      <c r="BO932" s="355"/>
      <c r="BQ932" s="359"/>
      <c r="BR932" s="284"/>
      <c r="BS932" s="355"/>
      <c r="BU932" s="359"/>
      <c r="BV932" s="284"/>
    </row>
    <row r="933" spans="2:74" x14ac:dyDescent="0.25">
      <c r="B933" s="284"/>
      <c r="D933" s="355"/>
      <c r="E933" s="356"/>
      <c r="F933" s="357"/>
      <c r="G933" s="358"/>
      <c r="H933" s="359"/>
      <c r="I933" s="284"/>
      <c r="J933" s="287"/>
      <c r="K933" s="355"/>
      <c r="M933" s="359"/>
      <c r="N933" s="284"/>
      <c r="O933" s="355"/>
      <c r="P933" s="360"/>
      <c r="Q933" s="359"/>
      <c r="R933" s="284"/>
      <c r="S933" s="355"/>
      <c r="U933" s="359"/>
      <c r="V933" s="284"/>
      <c r="W933" s="355"/>
      <c r="Y933" s="359"/>
      <c r="Z933" s="284"/>
      <c r="AA933" s="355"/>
      <c r="AC933" s="359"/>
      <c r="AD933" s="284"/>
      <c r="AE933" s="355"/>
      <c r="AG933" s="359"/>
      <c r="AH933" s="284"/>
      <c r="AI933" s="355"/>
      <c r="AK933" s="359"/>
      <c r="AL933" s="284"/>
      <c r="AM933" s="355"/>
      <c r="AO933" s="359"/>
      <c r="AP933" s="284"/>
      <c r="AQ933" s="355"/>
      <c r="AR933" s="360"/>
      <c r="AS933" s="359"/>
      <c r="AT933" s="284"/>
      <c r="AU933" s="355"/>
      <c r="AW933" s="359"/>
      <c r="AX933" s="284"/>
      <c r="AY933" s="355"/>
      <c r="BA933" s="359"/>
      <c r="BB933" s="284"/>
      <c r="BC933" s="355"/>
      <c r="BE933" s="359"/>
      <c r="BF933" s="284"/>
      <c r="BG933" s="355"/>
      <c r="BI933" s="359"/>
      <c r="BJ933" s="284"/>
      <c r="BK933" s="355"/>
      <c r="BM933" s="359"/>
      <c r="BN933" s="284"/>
      <c r="BO933" s="355"/>
      <c r="BQ933" s="359"/>
      <c r="BR933" s="284"/>
      <c r="BS933" s="355"/>
      <c r="BU933" s="359"/>
      <c r="BV933" s="284"/>
    </row>
    <row r="934" spans="2:74" x14ac:dyDescent="0.25">
      <c r="B934" s="284"/>
      <c r="D934" s="355"/>
      <c r="E934" s="356"/>
      <c r="F934" s="357"/>
      <c r="G934" s="358"/>
      <c r="H934" s="359"/>
      <c r="I934" s="284"/>
      <c r="J934" s="287"/>
      <c r="K934" s="355"/>
      <c r="M934" s="359"/>
      <c r="N934" s="284"/>
      <c r="O934" s="355"/>
      <c r="P934" s="360"/>
      <c r="Q934" s="359"/>
      <c r="R934" s="284"/>
      <c r="S934" s="355"/>
      <c r="U934" s="359"/>
      <c r="V934" s="284"/>
      <c r="W934" s="355"/>
      <c r="Y934" s="359"/>
      <c r="Z934" s="284"/>
      <c r="AA934" s="355"/>
      <c r="AC934" s="359"/>
      <c r="AD934" s="284"/>
      <c r="AE934" s="355"/>
      <c r="AG934" s="359"/>
      <c r="AH934" s="284"/>
      <c r="AI934" s="355"/>
      <c r="AK934" s="359"/>
      <c r="AL934" s="284"/>
      <c r="AM934" s="355"/>
      <c r="AO934" s="359"/>
      <c r="AP934" s="284"/>
      <c r="AQ934" s="355"/>
      <c r="AR934" s="360"/>
      <c r="AS934" s="359"/>
      <c r="AT934" s="284"/>
      <c r="AU934" s="355"/>
      <c r="AW934" s="359"/>
      <c r="AX934" s="284"/>
      <c r="AY934" s="355"/>
      <c r="BA934" s="359"/>
      <c r="BB934" s="284"/>
      <c r="BC934" s="355"/>
      <c r="BE934" s="359"/>
      <c r="BF934" s="284"/>
      <c r="BG934" s="355"/>
      <c r="BI934" s="359"/>
      <c r="BJ934" s="284"/>
      <c r="BK934" s="355"/>
      <c r="BM934" s="359"/>
      <c r="BN934" s="284"/>
      <c r="BO934" s="355"/>
      <c r="BQ934" s="359"/>
      <c r="BR934" s="284"/>
      <c r="BS934" s="355"/>
      <c r="BU934" s="359"/>
      <c r="BV934" s="284"/>
    </row>
    <row r="935" spans="2:74" x14ac:dyDescent="0.25">
      <c r="B935" s="284"/>
      <c r="D935" s="355"/>
      <c r="E935" s="356"/>
      <c r="F935" s="357"/>
      <c r="G935" s="358"/>
      <c r="H935" s="359"/>
      <c r="I935" s="284"/>
      <c r="J935" s="287"/>
      <c r="K935" s="355"/>
      <c r="M935" s="359"/>
      <c r="N935" s="284"/>
      <c r="O935" s="355"/>
      <c r="P935" s="360"/>
      <c r="Q935" s="359"/>
      <c r="R935" s="284"/>
      <c r="S935" s="355"/>
      <c r="U935" s="359"/>
      <c r="V935" s="284"/>
      <c r="W935" s="355"/>
      <c r="Y935" s="359"/>
      <c r="Z935" s="284"/>
      <c r="AA935" s="355"/>
      <c r="AC935" s="359"/>
      <c r="AD935" s="284"/>
      <c r="AE935" s="355"/>
      <c r="AG935" s="359"/>
      <c r="AH935" s="284"/>
      <c r="AI935" s="355"/>
      <c r="AK935" s="359"/>
      <c r="AL935" s="284"/>
      <c r="AM935" s="355"/>
      <c r="AO935" s="359"/>
      <c r="AP935" s="284"/>
      <c r="AQ935" s="355"/>
      <c r="AR935" s="360"/>
      <c r="AS935" s="359"/>
      <c r="AT935" s="284"/>
      <c r="AU935" s="355"/>
      <c r="AW935" s="359"/>
      <c r="AX935" s="284"/>
      <c r="AY935" s="355"/>
      <c r="BA935" s="359"/>
      <c r="BB935" s="284"/>
      <c r="BC935" s="355"/>
      <c r="BE935" s="359"/>
      <c r="BF935" s="284"/>
      <c r="BG935" s="355"/>
      <c r="BI935" s="359"/>
      <c r="BJ935" s="284"/>
      <c r="BK935" s="355"/>
      <c r="BM935" s="359"/>
      <c r="BN935" s="284"/>
      <c r="BO935" s="355"/>
      <c r="BQ935" s="359"/>
      <c r="BR935" s="284"/>
      <c r="BS935" s="355"/>
      <c r="BU935" s="359"/>
      <c r="BV935" s="284"/>
    </row>
    <row r="936" spans="2:74" x14ac:dyDescent="0.25">
      <c r="B936" s="284"/>
      <c r="D936" s="355"/>
      <c r="E936" s="356"/>
      <c r="F936" s="357"/>
      <c r="G936" s="358"/>
      <c r="H936" s="359"/>
      <c r="I936" s="284"/>
      <c r="J936" s="287"/>
      <c r="K936" s="355"/>
      <c r="M936" s="359"/>
      <c r="N936" s="284"/>
      <c r="O936" s="355"/>
      <c r="P936" s="360"/>
      <c r="Q936" s="359"/>
      <c r="R936" s="284"/>
      <c r="S936" s="355"/>
      <c r="U936" s="359"/>
      <c r="V936" s="284"/>
      <c r="W936" s="355"/>
      <c r="Y936" s="359"/>
      <c r="Z936" s="284"/>
      <c r="AA936" s="355"/>
      <c r="AC936" s="359"/>
      <c r="AD936" s="284"/>
      <c r="AE936" s="355"/>
      <c r="AG936" s="359"/>
      <c r="AH936" s="284"/>
      <c r="AI936" s="355"/>
      <c r="AK936" s="359"/>
      <c r="AL936" s="284"/>
      <c r="AM936" s="355"/>
      <c r="AO936" s="359"/>
      <c r="AP936" s="284"/>
      <c r="AQ936" s="355"/>
      <c r="AR936" s="360"/>
      <c r="AS936" s="359"/>
      <c r="AT936" s="284"/>
      <c r="AU936" s="355"/>
      <c r="AW936" s="359"/>
      <c r="AX936" s="284"/>
      <c r="AY936" s="355"/>
      <c r="BA936" s="359"/>
      <c r="BB936" s="284"/>
      <c r="BC936" s="355"/>
      <c r="BE936" s="359"/>
      <c r="BF936" s="284"/>
      <c r="BG936" s="355"/>
      <c r="BI936" s="359"/>
      <c r="BJ936" s="284"/>
      <c r="BK936" s="355"/>
      <c r="BM936" s="359"/>
      <c r="BN936" s="284"/>
      <c r="BO936" s="355"/>
      <c r="BQ936" s="359"/>
      <c r="BR936" s="284"/>
      <c r="BS936" s="355"/>
      <c r="BU936" s="359"/>
      <c r="BV936" s="284"/>
    </row>
    <row r="937" spans="2:74" x14ac:dyDescent="0.25">
      <c r="B937" s="284"/>
      <c r="D937" s="355"/>
      <c r="E937" s="356"/>
      <c r="F937" s="357"/>
      <c r="G937" s="358"/>
      <c r="H937" s="359"/>
      <c r="I937" s="284"/>
      <c r="J937" s="287"/>
      <c r="K937" s="355"/>
      <c r="M937" s="359"/>
      <c r="N937" s="284"/>
      <c r="O937" s="355"/>
      <c r="P937" s="360"/>
      <c r="Q937" s="359"/>
      <c r="R937" s="284"/>
      <c r="S937" s="355"/>
      <c r="U937" s="359"/>
      <c r="V937" s="284"/>
      <c r="W937" s="355"/>
      <c r="Y937" s="359"/>
      <c r="Z937" s="284"/>
      <c r="AA937" s="355"/>
      <c r="AC937" s="359"/>
      <c r="AD937" s="284"/>
      <c r="AE937" s="355"/>
      <c r="AG937" s="359"/>
      <c r="AH937" s="284"/>
      <c r="AI937" s="355"/>
      <c r="AK937" s="359"/>
      <c r="AL937" s="284"/>
      <c r="AM937" s="355"/>
      <c r="AO937" s="359"/>
      <c r="AP937" s="284"/>
      <c r="AQ937" s="355"/>
      <c r="AR937" s="360"/>
      <c r="AS937" s="359"/>
      <c r="AT937" s="284"/>
      <c r="AU937" s="355"/>
      <c r="AW937" s="359"/>
      <c r="AX937" s="284"/>
      <c r="AY937" s="355"/>
      <c r="BA937" s="359"/>
      <c r="BB937" s="284"/>
      <c r="BC937" s="355"/>
      <c r="BE937" s="359"/>
      <c r="BF937" s="284"/>
      <c r="BG937" s="355"/>
      <c r="BI937" s="359"/>
      <c r="BJ937" s="284"/>
      <c r="BK937" s="355"/>
      <c r="BM937" s="359"/>
      <c r="BN937" s="284"/>
      <c r="BO937" s="355"/>
      <c r="BQ937" s="359"/>
      <c r="BR937" s="284"/>
      <c r="BS937" s="355"/>
      <c r="BU937" s="359"/>
      <c r="BV937" s="284"/>
    </row>
    <row r="938" spans="2:74" x14ac:dyDescent="0.25">
      <c r="B938" s="284"/>
      <c r="D938" s="355"/>
      <c r="E938" s="356"/>
      <c r="F938" s="357"/>
      <c r="G938" s="358"/>
      <c r="H938" s="359"/>
      <c r="I938" s="284"/>
      <c r="J938" s="287"/>
      <c r="K938" s="355"/>
      <c r="M938" s="359"/>
      <c r="N938" s="284"/>
      <c r="O938" s="355"/>
      <c r="P938" s="360"/>
      <c r="Q938" s="359"/>
      <c r="R938" s="284"/>
      <c r="S938" s="355"/>
      <c r="U938" s="359"/>
      <c r="V938" s="284"/>
      <c r="W938" s="355"/>
      <c r="Y938" s="359"/>
      <c r="Z938" s="284"/>
      <c r="AA938" s="355"/>
      <c r="AC938" s="359"/>
      <c r="AD938" s="284"/>
      <c r="AE938" s="355"/>
      <c r="AG938" s="359"/>
      <c r="AH938" s="284"/>
      <c r="AI938" s="355"/>
      <c r="AK938" s="359"/>
      <c r="AL938" s="284"/>
      <c r="AM938" s="355"/>
      <c r="AO938" s="359"/>
      <c r="AP938" s="284"/>
      <c r="AQ938" s="355"/>
      <c r="AR938" s="360"/>
      <c r="AS938" s="359"/>
      <c r="AT938" s="284"/>
      <c r="AU938" s="355"/>
      <c r="AW938" s="359"/>
      <c r="AX938" s="284"/>
      <c r="AY938" s="355"/>
      <c r="BA938" s="359"/>
      <c r="BB938" s="284"/>
      <c r="BC938" s="355"/>
      <c r="BE938" s="359"/>
      <c r="BF938" s="284"/>
      <c r="BG938" s="355"/>
      <c r="BI938" s="359"/>
      <c r="BJ938" s="284"/>
      <c r="BK938" s="355"/>
      <c r="BM938" s="359"/>
      <c r="BN938" s="284"/>
      <c r="BO938" s="355"/>
      <c r="BQ938" s="359"/>
      <c r="BR938" s="284"/>
      <c r="BS938" s="355"/>
      <c r="BU938" s="359"/>
      <c r="BV938" s="284"/>
    </row>
    <row r="939" spans="2:74" x14ac:dyDescent="0.25">
      <c r="B939" s="284"/>
      <c r="D939" s="355"/>
      <c r="E939" s="356"/>
      <c r="F939" s="357"/>
      <c r="G939" s="358"/>
      <c r="H939" s="359"/>
      <c r="I939" s="284"/>
      <c r="J939" s="287"/>
      <c r="K939" s="355"/>
      <c r="M939" s="359"/>
      <c r="N939" s="284"/>
      <c r="O939" s="355"/>
      <c r="P939" s="360"/>
      <c r="Q939" s="359"/>
      <c r="R939" s="284"/>
      <c r="S939" s="355"/>
      <c r="U939" s="359"/>
      <c r="V939" s="284"/>
      <c r="W939" s="355"/>
      <c r="Y939" s="359"/>
      <c r="Z939" s="284"/>
      <c r="AA939" s="355"/>
      <c r="AC939" s="359"/>
      <c r="AD939" s="284"/>
      <c r="AE939" s="355"/>
      <c r="AG939" s="359"/>
      <c r="AH939" s="284"/>
      <c r="AI939" s="355"/>
      <c r="AK939" s="359"/>
      <c r="AL939" s="284"/>
      <c r="AM939" s="355"/>
      <c r="AO939" s="359"/>
      <c r="AP939" s="284"/>
      <c r="AQ939" s="355"/>
      <c r="AR939" s="360"/>
      <c r="AS939" s="359"/>
      <c r="AT939" s="284"/>
      <c r="AU939" s="355"/>
      <c r="AW939" s="359"/>
      <c r="AX939" s="284"/>
      <c r="AY939" s="355"/>
      <c r="BA939" s="359"/>
      <c r="BB939" s="284"/>
      <c r="BC939" s="355"/>
      <c r="BE939" s="359"/>
      <c r="BF939" s="284"/>
      <c r="BG939" s="355"/>
      <c r="BI939" s="359"/>
      <c r="BJ939" s="284"/>
      <c r="BK939" s="355"/>
      <c r="BM939" s="359"/>
      <c r="BN939" s="284"/>
      <c r="BO939" s="355"/>
      <c r="BQ939" s="359"/>
      <c r="BR939" s="284"/>
      <c r="BS939" s="355"/>
      <c r="BU939" s="359"/>
      <c r="BV939" s="284"/>
    </row>
    <row r="940" spans="2:74" x14ac:dyDescent="0.25">
      <c r="B940" s="284"/>
      <c r="D940" s="355"/>
      <c r="E940" s="356"/>
      <c r="F940" s="357"/>
      <c r="G940" s="358"/>
      <c r="H940" s="359"/>
      <c r="I940" s="284"/>
      <c r="J940" s="287"/>
      <c r="K940" s="355"/>
      <c r="M940" s="359"/>
      <c r="N940" s="284"/>
      <c r="O940" s="355"/>
      <c r="P940" s="360"/>
      <c r="Q940" s="359"/>
      <c r="R940" s="284"/>
      <c r="S940" s="355"/>
      <c r="U940" s="359"/>
      <c r="V940" s="284"/>
      <c r="W940" s="355"/>
      <c r="Y940" s="359"/>
      <c r="Z940" s="284"/>
      <c r="AA940" s="355"/>
      <c r="AC940" s="359"/>
      <c r="AD940" s="284"/>
      <c r="AE940" s="355"/>
      <c r="AG940" s="359"/>
      <c r="AH940" s="284"/>
      <c r="AI940" s="355"/>
      <c r="AK940" s="359"/>
      <c r="AL940" s="284"/>
      <c r="AM940" s="355"/>
      <c r="AO940" s="359"/>
      <c r="AP940" s="284"/>
      <c r="AQ940" s="355"/>
      <c r="AR940" s="360"/>
      <c r="AS940" s="359"/>
      <c r="AT940" s="284"/>
      <c r="AU940" s="355"/>
      <c r="AW940" s="359"/>
      <c r="AX940" s="284"/>
      <c r="AY940" s="355"/>
      <c r="BA940" s="359"/>
      <c r="BB940" s="284"/>
      <c r="BC940" s="355"/>
      <c r="BE940" s="359"/>
      <c r="BF940" s="284"/>
      <c r="BG940" s="355"/>
      <c r="BI940" s="359"/>
      <c r="BJ940" s="284"/>
      <c r="BK940" s="355"/>
      <c r="BM940" s="359"/>
      <c r="BN940" s="284"/>
      <c r="BO940" s="355"/>
      <c r="BQ940" s="359"/>
      <c r="BR940" s="284"/>
      <c r="BS940" s="355"/>
      <c r="BU940" s="359"/>
      <c r="BV940" s="284"/>
    </row>
    <row r="941" spans="2:74" x14ac:dyDescent="0.25">
      <c r="B941" s="284"/>
      <c r="D941" s="355"/>
      <c r="E941" s="356"/>
      <c r="F941" s="357"/>
      <c r="G941" s="358"/>
      <c r="H941" s="359"/>
      <c r="I941" s="284"/>
      <c r="J941" s="287"/>
      <c r="K941" s="355"/>
      <c r="M941" s="359"/>
      <c r="N941" s="284"/>
      <c r="O941" s="355"/>
      <c r="P941" s="360"/>
      <c r="Q941" s="359"/>
      <c r="R941" s="284"/>
      <c r="S941" s="355"/>
      <c r="U941" s="359"/>
      <c r="V941" s="284"/>
      <c r="W941" s="355"/>
      <c r="Y941" s="359"/>
      <c r="Z941" s="284"/>
      <c r="AA941" s="355"/>
      <c r="AC941" s="359"/>
      <c r="AD941" s="284"/>
      <c r="AE941" s="355"/>
      <c r="AG941" s="359"/>
      <c r="AH941" s="284"/>
      <c r="AI941" s="355"/>
      <c r="AK941" s="359"/>
      <c r="AL941" s="284"/>
      <c r="AM941" s="355"/>
      <c r="AO941" s="359"/>
      <c r="AP941" s="284"/>
      <c r="AQ941" s="355"/>
      <c r="AR941" s="360"/>
      <c r="AS941" s="359"/>
      <c r="AT941" s="284"/>
      <c r="AU941" s="355"/>
      <c r="AW941" s="359"/>
      <c r="AX941" s="284"/>
      <c r="AY941" s="355"/>
      <c r="BA941" s="359"/>
      <c r="BB941" s="284"/>
      <c r="BC941" s="355"/>
      <c r="BE941" s="359"/>
      <c r="BF941" s="284"/>
      <c r="BG941" s="355"/>
      <c r="BI941" s="359"/>
      <c r="BJ941" s="284"/>
      <c r="BK941" s="355"/>
      <c r="BM941" s="359"/>
      <c r="BN941" s="284"/>
      <c r="BO941" s="355"/>
      <c r="BQ941" s="359"/>
      <c r="BR941" s="284"/>
      <c r="BS941" s="355"/>
      <c r="BU941" s="359"/>
      <c r="BV941" s="284"/>
    </row>
    <row r="942" spans="2:74" x14ac:dyDescent="0.25">
      <c r="B942" s="284"/>
      <c r="D942" s="355"/>
      <c r="E942" s="356"/>
      <c r="F942" s="357"/>
      <c r="G942" s="358"/>
      <c r="H942" s="359"/>
      <c r="I942" s="284"/>
      <c r="J942" s="287"/>
      <c r="K942" s="355"/>
      <c r="M942" s="359"/>
      <c r="N942" s="284"/>
      <c r="O942" s="355"/>
      <c r="P942" s="360"/>
      <c r="Q942" s="359"/>
      <c r="R942" s="284"/>
      <c r="S942" s="355"/>
      <c r="U942" s="359"/>
      <c r="V942" s="284"/>
      <c r="W942" s="355"/>
      <c r="Y942" s="359"/>
      <c r="Z942" s="284"/>
      <c r="AA942" s="355"/>
      <c r="AC942" s="359"/>
      <c r="AD942" s="284"/>
      <c r="AE942" s="355"/>
      <c r="AG942" s="359"/>
      <c r="AH942" s="284"/>
      <c r="AI942" s="355"/>
      <c r="AK942" s="359"/>
      <c r="AL942" s="284"/>
      <c r="AM942" s="355"/>
      <c r="AO942" s="359"/>
      <c r="AP942" s="284"/>
      <c r="AQ942" s="355"/>
      <c r="AR942" s="360"/>
      <c r="AS942" s="359"/>
      <c r="AT942" s="284"/>
      <c r="AU942" s="355"/>
      <c r="AW942" s="359"/>
      <c r="AX942" s="284"/>
      <c r="AY942" s="355"/>
      <c r="BA942" s="359"/>
      <c r="BB942" s="284"/>
      <c r="BC942" s="355"/>
      <c r="BE942" s="359"/>
      <c r="BF942" s="284"/>
      <c r="BG942" s="355"/>
      <c r="BI942" s="359"/>
      <c r="BJ942" s="284"/>
      <c r="BK942" s="355"/>
      <c r="BM942" s="359"/>
      <c r="BN942" s="284"/>
      <c r="BO942" s="355"/>
      <c r="BQ942" s="359"/>
      <c r="BR942" s="284"/>
      <c r="BS942" s="355"/>
      <c r="BU942" s="359"/>
      <c r="BV942" s="284"/>
    </row>
    <row r="943" spans="2:74" x14ac:dyDescent="0.25">
      <c r="B943" s="284"/>
      <c r="D943" s="355"/>
      <c r="E943" s="356"/>
      <c r="F943" s="357"/>
      <c r="G943" s="358"/>
      <c r="H943" s="359"/>
      <c r="I943" s="284"/>
      <c r="J943" s="287"/>
      <c r="K943" s="355"/>
      <c r="M943" s="359"/>
      <c r="N943" s="284"/>
      <c r="O943" s="355"/>
      <c r="P943" s="360"/>
      <c r="Q943" s="359"/>
      <c r="R943" s="284"/>
      <c r="S943" s="355"/>
      <c r="U943" s="359"/>
      <c r="V943" s="284"/>
      <c r="W943" s="355"/>
      <c r="Y943" s="359"/>
      <c r="Z943" s="284"/>
      <c r="AA943" s="355"/>
      <c r="AC943" s="359"/>
      <c r="AD943" s="284"/>
      <c r="AE943" s="355"/>
      <c r="AG943" s="359"/>
      <c r="AH943" s="284"/>
      <c r="AI943" s="355"/>
      <c r="AK943" s="359"/>
      <c r="AL943" s="284"/>
      <c r="AM943" s="355"/>
      <c r="AO943" s="359"/>
      <c r="AP943" s="284"/>
      <c r="AQ943" s="355"/>
      <c r="AR943" s="360"/>
      <c r="AS943" s="359"/>
      <c r="AT943" s="284"/>
      <c r="AU943" s="355"/>
      <c r="AW943" s="359"/>
      <c r="AX943" s="284"/>
      <c r="AY943" s="355"/>
      <c r="BA943" s="359"/>
      <c r="BB943" s="284"/>
      <c r="BC943" s="355"/>
      <c r="BE943" s="359"/>
      <c r="BF943" s="284"/>
      <c r="BG943" s="355"/>
      <c r="BI943" s="359"/>
      <c r="BJ943" s="284"/>
      <c r="BK943" s="355"/>
      <c r="BM943" s="359"/>
      <c r="BN943" s="284"/>
      <c r="BO943" s="355"/>
      <c r="BQ943" s="359"/>
      <c r="BR943" s="284"/>
      <c r="BS943" s="355"/>
      <c r="BU943" s="359"/>
      <c r="BV943" s="284"/>
    </row>
    <row r="944" spans="2:74" x14ac:dyDescent="0.25">
      <c r="B944" s="284"/>
      <c r="D944" s="355"/>
      <c r="E944" s="356"/>
      <c r="F944" s="357"/>
      <c r="G944" s="358"/>
      <c r="H944" s="359"/>
      <c r="I944" s="284"/>
      <c r="J944" s="287"/>
      <c r="K944" s="355"/>
      <c r="M944" s="359"/>
      <c r="N944" s="284"/>
      <c r="O944" s="355"/>
      <c r="P944" s="360"/>
      <c r="Q944" s="359"/>
      <c r="R944" s="284"/>
      <c r="S944" s="355"/>
      <c r="U944" s="359"/>
      <c r="V944" s="284"/>
      <c r="W944" s="355"/>
      <c r="Y944" s="359"/>
      <c r="Z944" s="284"/>
      <c r="AA944" s="355"/>
      <c r="AC944" s="359"/>
      <c r="AD944" s="284"/>
      <c r="AE944" s="355"/>
      <c r="AG944" s="359"/>
      <c r="AH944" s="284"/>
      <c r="AI944" s="355"/>
      <c r="AK944" s="359"/>
      <c r="AL944" s="284"/>
      <c r="AM944" s="355"/>
      <c r="AO944" s="359"/>
      <c r="AP944" s="284"/>
      <c r="AQ944" s="355"/>
      <c r="AR944" s="360"/>
      <c r="AS944" s="359"/>
      <c r="AT944" s="284"/>
      <c r="AU944" s="355"/>
      <c r="AW944" s="359"/>
      <c r="AX944" s="284"/>
      <c r="AY944" s="355"/>
      <c r="BA944" s="359"/>
      <c r="BB944" s="284"/>
      <c r="BC944" s="355"/>
      <c r="BE944" s="359"/>
      <c r="BF944" s="284"/>
      <c r="BG944" s="355"/>
      <c r="BI944" s="359"/>
      <c r="BJ944" s="284"/>
      <c r="BK944" s="355"/>
      <c r="BM944" s="359"/>
      <c r="BN944" s="284"/>
      <c r="BO944" s="355"/>
      <c r="BQ944" s="359"/>
      <c r="BR944" s="284"/>
      <c r="BS944" s="355"/>
      <c r="BU944" s="359"/>
      <c r="BV944" s="284"/>
    </row>
    <row r="945" spans="2:74" x14ac:dyDescent="0.25">
      <c r="B945" s="284"/>
      <c r="D945" s="355"/>
      <c r="E945" s="356"/>
      <c r="F945" s="357"/>
      <c r="G945" s="358"/>
      <c r="H945" s="359"/>
      <c r="I945" s="284"/>
      <c r="J945" s="287"/>
      <c r="K945" s="355"/>
      <c r="M945" s="359"/>
      <c r="N945" s="284"/>
      <c r="O945" s="355"/>
      <c r="P945" s="360"/>
      <c r="Q945" s="359"/>
      <c r="R945" s="284"/>
      <c r="S945" s="355"/>
      <c r="U945" s="359"/>
      <c r="V945" s="284"/>
      <c r="W945" s="355"/>
      <c r="Y945" s="359"/>
      <c r="Z945" s="284"/>
      <c r="AA945" s="355"/>
      <c r="AC945" s="359"/>
      <c r="AD945" s="284"/>
      <c r="AE945" s="355"/>
      <c r="AG945" s="359"/>
      <c r="AH945" s="284"/>
      <c r="AI945" s="355"/>
      <c r="AK945" s="359"/>
      <c r="AL945" s="284"/>
      <c r="AM945" s="355"/>
      <c r="AO945" s="359"/>
      <c r="AP945" s="284"/>
      <c r="AQ945" s="355"/>
      <c r="AR945" s="360"/>
      <c r="AS945" s="359"/>
      <c r="AT945" s="284"/>
      <c r="AU945" s="355"/>
      <c r="AW945" s="359"/>
      <c r="AX945" s="284"/>
      <c r="AY945" s="355"/>
      <c r="BA945" s="359"/>
      <c r="BB945" s="284"/>
      <c r="BC945" s="355"/>
      <c r="BE945" s="359"/>
      <c r="BF945" s="284"/>
      <c r="BG945" s="355"/>
      <c r="BI945" s="359"/>
      <c r="BJ945" s="284"/>
      <c r="BK945" s="355"/>
      <c r="BM945" s="359"/>
      <c r="BN945" s="284"/>
      <c r="BO945" s="355"/>
      <c r="BQ945" s="359"/>
      <c r="BR945" s="284"/>
      <c r="BS945" s="355"/>
      <c r="BU945" s="359"/>
      <c r="BV945" s="284"/>
    </row>
    <row r="946" spans="2:74" x14ac:dyDescent="0.25">
      <c r="B946" s="284"/>
      <c r="D946" s="355"/>
      <c r="E946" s="356"/>
      <c r="F946" s="357"/>
      <c r="G946" s="358"/>
      <c r="H946" s="359"/>
      <c r="I946" s="284"/>
      <c r="J946" s="287"/>
      <c r="K946" s="355"/>
      <c r="M946" s="359"/>
      <c r="N946" s="284"/>
      <c r="O946" s="355"/>
      <c r="P946" s="360"/>
      <c r="Q946" s="359"/>
      <c r="R946" s="284"/>
      <c r="S946" s="355"/>
      <c r="U946" s="359"/>
      <c r="V946" s="284"/>
      <c r="W946" s="355"/>
      <c r="Y946" s="359"/>
      <c r="Z946" s="284"/>
      <c r="AA946" s="355"/>
      <c r="AC946" s="359"/>
      <c r="AD946" s="284"/>
      <c r="AE946" s="355"/>
      <c r="AG946" s="359"/>
      <c r="AH946" s="284"/>
      <c r="AI946" s="355"/>
      <c r="AK946" s="359"/>
      <c r="AL946" s="284"/>
      <c r="AM946" s="355"/>
      <c r="AO946" s="359"/>
      <c r="AP946" s="284"/>
      <c r="AQ946" s="355"/>
      <c r="AR946" s="360"/>
      <c r="AS946" s="359"/>
      <c r="AT946" s="284"/>
      <c r="AU946" s="355"/>
      <c r="AW946" s="359"/>
      <c r="AX946" s="284"/>
      <c r="AY946" s="355"/>
      <c r="BA946" s="359"/>
      <c r="BB946" s="284"/>
      <c r="BC946" s="355"/>
      <c r="BE946" s="359"/>
      <c r="BF946" s="284"/>
      <c r="BG946" s="355"/>
      <c r="BI946" s="359"/>
      <c r="BJ946" s="284"/>
      <c r="BK946" s="355"/>
      <c r="BM946" s="359"/>
      <c r="BN946" s="284"/>
      <c r="BO946" s="355"/>
      <c r="BQ946" s="359"/>
      <c r="BR946" s="284"/>
      <c r="BS946" s="355"/>
      <c r="BU946" s="359"/>
      <c r="BV946" s="284"/>
    </row>
    <row r="947" spans="2:74" x14ac:dyDescent="0.25">
      <c r="B947" s="284"/>
      <c r="D947" s="355"/>
      <c r="E947" s="356"/>
      <c r="F947" s="357"/>
      <c r="G947" s="358"/>
      <c r="H947" s="359"/>
      <c r="I947" s="284"/>
      <c r="J947" s="287"/>
      <c r="K947" s="355"/>
      <c r="M947" s="359"/>
      <c r="N947" s="284"/>
      <c r="O947" s="355"/>
      <c r="P947" s="360"/>
      <c r="Q947" s="359"/>
      <c r="R947" s="284"/>
      <c r="S947" s="355"/>
      <c r="U947" s="359"/>
      <c r="V947" s="284"/>
      <c r="W947" s="355"/>
      <c r="Y947" s="359"/>
      <c r="Z947" s="284"/>
      <c r="AA947" s="355"/>
      <c r="AC947" s="359"/>
      <c r="AD947" s="284"/>
      <c r="AE947" s="355"/>
      <c r="AG947" s="359"/>
      <c r="AH947" s="284"/>
      <c r="AI947" s="355"/>
      <c r="AK947" s="359"/>
      <c r="AL947" s="284"/>
      <c r="AM947" s="355"/>
      <c r="AO947" s="359"/>
      <c r="AP947" s="284"/>
      <c r="AQ947" s="355"/>
      <c r="AR947" s="360"/>
      <c r="AS947" s="359"/>
      <c r="AT947" s="284"/>
      <c r="AU947" s="355"/>
      <c r="AW947" s="359"/>
      <c r="AX947" s="284"/>
      <c r="AY947" s="355"/>
      <c r="BA947" s="359"/>
      <c r="BB947" s="284"/>
      <c r="BC947" s="355"/>
      <c r="BE947" s="359"/>
      <c r="BF947" s="284"/>
      <c r="BG947" s="355"/>
      <c r="BI947" s="359"/>
      <c r="BJ947" s="284"/>
      <c r="BK947" s="355"/>
      <c r="BM947" s="359"/>
      <c r="BN947" s="284"/>
      <c r="BO947" s="355"/>
      <c r="BQ947" s="359"/>
      <c r="BR947" s="284"/>
      <c r="BS947" s="355"/>
      <c r="BU947" s="359"/>
      <c r="BV947" s="284"/>
    </row>
    <row r="948" spans="2:74" x14ac:dyDescent="0.25">
      <c r="B948" s="284"/>
      <c r="D948" s="355"/>
      <c r="E948" s="356"/>
      <c r="F948" s="357"/>
      <c r="G948" s="358"/>
      <c r="H948" s="359"/>
      <c r="I948" s="284"/>
      <c r="J948" s="287"/>
      <c r="K948" s="355"/>
      <c r="M948" s="359"/>
      <c r="N948" s="284"/>
      <c r="O948" s="355"/>
      <c r="P948" s="360"/>
      <c r="Q948" s="359"/>
      <c r="R948" s="284"/>
      <c r="S948" s="355"/>
      <c r="U948" s="359"/>
      <c r="V948" s="284"/>
      <c r="W948" s="355"/>
      <c r="Y948" s="359"/>
      <c r="Z948" s="284"/>
      <c r="AA948" s="355"/>
      <c r="AC948" s="359"/>
      <c r="AD948" s="284"/>
      <c r="AE948" s="355"/>
      <c r="AG948" s="359"/>
      <c r="AH948" s="284"/>
      <c r="AI948" s="355"/>
      <c r="AK948" s="359"/>
      <c r="AL948" s="284"/>
      <c r="AM948" s="355"/>
      <c r="AO948" s="359"/>
      <c r="AP948" s="284"/>
      <c r="AQ948" s="355"/>
      <c r="AR948" s="360"/>
      <c r="AS948" s="359"/>
      <c r="AT948" s="284"/>
      <c r="AU948" s="355"/>
      <c r="AW948" s="359"/>
      <c r="AX948" s="284"/>
      <c r="AY948" s="355"/>
      <c r="BA948" s="359"/>
      <c r="BB948" s="284"/>
      <c r="BC948" s="355"/>
      <c r="BE948" s="359"/>
      <c r="BF948" s="284"/>
      <c r="BG948" s="355"/>
      <c r="BI948" s="359"/>
      <c r="BJ948" s="284"/>
      <c r="BK948" s="355"/>
      <c r="BM948" s="359"/>
      <c r="BN948" s="284"/>
      <c r="BO948" s="355"/>
      <c r="BQ948" s="359"/>
      <c r="BR948" s="284"/>
      <c r="BS948" s="355"/>
      <c r="BU948" s="359"/>
      <c r="BV948" s="284"/>
    </row>
    <row r="949" spans="2:74" x14ac:dyDescent="0.25">
      <c r="B949" s="284"/>
      <c r="D949" s="355"/>
      <c r="E949" s="356"/>
      <c r="F949" s="357"/>
      <c r="G949" s="358"/>
      <c r="H949" s="359"/>
      <c r="I949" s="284"/>
      <c r="J949" s="287"/>
      <c r="K949" s="355"/>
      <c r="M949" s="359"/>
      <c r="N949" s="284"/>
      <c r="O949" s="355"/>
      <c r="P949" s="360"/>
      <c r="Q949" s="359"/>
      <c r="R949" s="284"/>
      <c r="S949" s="355"/>
      <c r="U949" s="359"/>
      <c r="V949" s="284"/>
      <c r="W949" s="355"/>
      <c r="Y949" s="359"/>
      <c r="Z949" s="284"/>
      <c r="AA949" s="355"/>
      <c r="AC949" s="359"/>
      <c r="AD949" s="284"/>
      <c r="AE949" s="355"/>
      <c r="AG949" s="359"/>
      <c r="AH949" s="284"/>
      <c r="AI949" s="355"/>
      <c r="AK949" s="359"/>
      <c r="AL949" s="284"/>
      <c r="AM949" s="355"/>
      <c r="AO949" s="359"/>
      <c r="AP949" s="284"/>
      <c r="AQ949" s="355"/>
      <c r="AR949" s="360"/>
      <c r="AS949" s="359"/>
      <c r="AT949" s="284"/>
      <c r="AU949" s="355"/>
      <c r="AW949" s="359"/>
      <c r="AX949" s="284"/>
      <c r="AY949" s="355"/>
      <c r="BA949" s="359"/>
      <c r="BB949" s="284"/>
      <c r="BC949" s="355"/>
      <c r="BE949" s="359"/>
      <c r="BF949" s="284"/>
      <c r="BG949" s="355"/>
      <c r="BI949" s="359"/>
      <c r="BJ949" s="284"/>
      <c r="BK949" s="355"/>
      <c r="BM949" s="359"/>
      <c r="BN949" s="284"/>
      <c r="BO949" s="355"/>
      <c r="BQ949" s="359"/>
      <c r="BR949" s="284"/>
      <c r="BS949" s="355"/>
      <c r="BU949" s="359"/>
      <c r="BV949" s="284"/>
    </row>
    <row r="950" spans="2:74" x14ac:dyDescent="0.25">
      <c r="B950" s="284"/>
      <c r="D950" s="355"/>
      <c r="E950" s="356"/>
      <c r="F950" s="357"/>
      <c r="G950" s="358"/>
      <c r="H950" s="359"/>
      <c r="I950" s="284"/>
      <c r="J950" s="287"/>
      <c r="K950" s="355"/>
      <c r="M950" s="359"/>
      <c r="N950" s="284"/>
      <c r="O950" s="355"/>
      <c r="P950" s="360"/>
      <c r="Q950" s="359"/>
      <c r="R950" s="284"/>
      <c r="S950" s="355"/>
      <c r="U950" s="359"/>
      <c r="V950" s="284"/>
      <c r="W950" s="355"/>
      <c r="Y950" s="359"/>
      <c r="Z950" s="284"/>
      <c r="AA950" s="355"/>
      <c r="AC950" s="359"/>
      <c r="AD950" s="284"/>
      <c r="AE950" s="355"/>
      <c r="AG950" s="359"/>
      <c r="AH950" s="284"/>
      <c r="AI950" s="355"/>
      <c r="AK950" s="359"/>
      <c r="AL950" s="284"/>
      <c r="AM950" s="355"/>
      <c r="AO950" s="359"/>
      <c r="AP950" s="284"/>
      <c r="AQ950" s="355"/>
      <c r="AR950" s="360"/>
      <c r="AS950" s="359"/>
      <c r="AT950" s="284"/>
      <c r="AU950" s="355"/>
      <c r="AW950" s="359"/>
      <c r="AX950" s="284"/>
      <c r="AY950" s="355"/>
      <c r="BA950" s="359"/>
      <c r="BB950" s="284"/>
      <c r="BC950" s="355"/>
      <c r="BE950" s="359"/>
      <c r="BF950" s="284"/>
      <c r="BG950" s="355"/>
      <c r="BI950" s="359"/>
      <c r="BJ950" s="284"/>
      <c r="BK950" s="355"/>
      <c r="BM950" s="359"/>
      <c r="BN950" s="284"/>
      <c r="BO950" s="355"/>
      <c r="BQ950" s="359"/>
      <c r="BR950" s="284"/>
      <c r="BS950" s="355"/>
      <c r="BU950" s="359"/>
      <c r="BV950" s="284"/>
    </row>
    <row r="951" spans="2:74" x14ac:dyDescent="0.25">
      <c r="B951" s="284"/>
      <c r="D951" s="355"/>
      <c r="E951" s="356"/>
      <c r="F951" s="357"/>
      <c r="G951" s="358"/>
      <c r="H951" s="359"/>
      <c r="I951" s="284"/>
      <c r="J951" s="287"/>
      <c r="K951" s="355"/>
      <c r="M951" s="359"/>
      <c r="N951" s="284"/>
      <c r="O951" s="355"/>
      <c r="P951" s="360"/>
      <c r="Q951" s="359"/>
      <c r="R951" s="284"/>
      <c r="S951" s="355"/>
      <c r="U951" s="359"/>
      <c r="V951" s="284"/>
      <c r="W951" s="355"/>
      <c r="Y951" s="359"/>
      <c r="Z951" s="284"/>
      <c r="AA951" s="355"/>
      <c r="AC951" s="359"/>
      <c r="AD951" s="284"/>
      <c r="AE951" s="355"/>
      <c r="AG951" s="359"/>
      <c r="AH951" s="284"/>
      <c r="AI951" s="355"/>
      <c r="AK951" s="359"/>
      <c r="AL951" s="284"/>
      <c r="AM951" s="355"/>
      <c r="AO951" s="359"/>
      <c r="AP951" s="284"/>
      <c r="AQ951" s="355"/>
      <c r="AR951" s="360"/>
      <c r="AS951" s="359"/>
      <c r="AT951" s="284"/>
      <c r="AU951" s="355"/>
      <c r="AW951" s="359"/>
      <c r="AX951" s="284"/>
      <c r="AY951" s="355"/>
      <c r="BA951" s="359"/>
      <c r="BB951" s="284"/>
      <c r="BC951" s="355"/>
      <c r="BE951" s="359"/>
      <c r="BF951" s="284"/>
      <c r="BG951" s="355"/>
      <c r="BI951" s="359"/>
      <c r="BJ951" s="284"/>
      <c r="BK951" s="355"/>
      <c r="BM951" s="359"/>
      <c r="BN951" s="284"/>
      <c r="BO951" s="355"/>
      <c r="BQ951" s="359"/>
      <c r="BR951" s="284"/>
      <c r="BS951" s="355"/>
      <c r="BU951" s="359"/>
      <c r="BV951" s="284"/>
    </row>
    <row r="952" spans="2:74" x14ac:dyDescent="0.25">
      <c r="B952" s="284"/>
      <c r="D952" s="355"/>
      <c r="E952" s="356"/>
      <c r="F952" s="357"/>
      <c r="G952" s="358"/>
      <c r="H952" s="359"/>
      <c r="I952" s="284"/>
      <c r="J952" s="287"/>
      <c r="K952" s="355"/>
      <c r="M952" s="359"/>
      <c r="N952" s="284"/>
      <c r="O952" s="355"/>
      <c r="P952" s="360"/>
      <c r="Q952" s="359"/>
      <c r="R952" s="284"/>
      <c r="S952" s="355"/>
      <c r="U952" s="359"/>
      <c r="V952" s="284"/>
      <c r="W952" s="355"/>
      <c r="Y952" s="359"/>
      <c r="Z952" s="284"/>
      <c r="AA952" s="355"/>
      <c r="AC952" s="359"/>
      <c r="AD952" s="284"/>
      <c r="AE952" s="355"/>
      <c r="AG952" s="359"/>
      <c r="AH952" s="284"/>
      <c r="AI952" s="355"/>
      <c r="AK952" s="359"/>
      <c r="AL952" s="284"/>
      <c r="AM952" s="355"/>
      <c r="AO952" s="359"/>
      <c r="AP952" s="284"/>
      <c r="AQ952" s="355"/>
      <c r="AR952" s="360"/>
      <c r="AS952" s="359"/>
      <c r="AT952" s="284"/>
      <c r="AU952" s="355"/>
      <c r="AW952" s="359"/>
      <c r="AX952" s="284"/>
      <c r="AY952" s="355"/>
      <c r="BA952" s="359"/>
      <c r="BB952" s="284"/>
      <c r="BC952" s="355"/>
      <c r="BE952" s="359"/>
      <c r="BF952" s="284"/>
      <c r="BG952" s="355"/>
      <c r="BI952" s="359"/>
      <c r="BJ952" s="284"/>
      <c r="BK952" s="355"/>
      <c r="BM952" s="359"/>
      <c r="BN952" s="284"/>
      <c r="BO952" s="355"/>
      <c r="BQ952" s="359"/>
      <c r="BR952" s="284"/>
      <c r="BS952" s="355"/>
      <c r="BU952" s="359"/>
      <c r="BV952" s="284"/>
    </row>
    <row r="953" spans="2:74" x14ac:dyDescent="0.25">
      <c r="B953" s="284"/>
      <c r="D953" s="355"/>
      <c r="E953" s="356"/>
      <c r="F953" s="357"/>
      <c r="G953" s="358"/>
      <c r="H953" s="359"/>
      <c r="I953" s="284"/>
      <c r="J953" s="287"/>
      <c r="K953" s="355"/>
      <c r="M953" s="359"/>
      <c r="N953" s="284"/>
      <c r="O953" s="355"/>
      <c r="P953" s="360"/>
      <c r="Q953" s="359"/>
      <c r="R953" s="284"/>
      <c r="S953" s="355"/>
      <c r="U953" s="359"/>
      <c r="V953" s="284"/>
      <c r="W953" s="355"/>
      <c r="Y953" s="359"/>
      <c r="Z953" s="284"/>
      <c r="AA953" s="355"/>
      <c r="AC953" s="359"/>
      <c r="AD953" s="284"/>
      <c r="AE953" s="355"/>
      <c r="AG953" s="359"/>
      <c r="AH953" s="284"/>
      <c r="AI953" s="355"/>
      <c r="AK953" s="359"/>
      <c r="AL953" s="284"/>
      <c r="AM953" s="355"/>
      <c r="AO953" s="359"/>
      <c r="AP953" s="284"/>
      <c r="AQ953" s="355"/>
      <c r="AR953" s="360"/>
      <c r="AS953" s="359"/>
      <c r="AT953" s="284"/>
      <c r="AU953" s="355"/>
      <c r="AW953" s="359"/>
      <c r="AX953" s="284"/>
      <c r="AY953" s="355"/>
      <c r="BA953" s="359"/>
      <c r="BB953" s="284"/>
      <c r="BC953" s="355"/>
      <c r="BE953" s="359"/>
      <c r="BF953" s="284"/>
      <c r="BG953" s="355"/>
      <c r="BI953" s="359"/>
      <c r="BJ953" s="284"/>
      <c r="BK953" s="355"/>
      <c r="BM953" s="359"/>
      <c r="BN953" s="284"/>
      <c r="BO953" s="355"/>
      <c r="BQ953" s="359"/>
      <c r="BR953" s="284"/>
      <c r="BS953" s="355"/>
      <c r="BU953" s="359"/>
      <c r="BV953" s="284"/>
    </row>
    <row r="954" spans="2:74" x14ac:dyDescent="0.25">
      <c r="B954" s="284"/>
      <c r="D954" s="355"/>
      <c r="E954" s="356"/>
      <c r="F954" s="357"/>
      <c r="G954" s="358"/>
      <c r="H954" s="359"/>
      <c r="I954" s="284"/>
      <c r="J954" s="287"/>
      <c r="K954" s="355"/>
      <c r="M954" s="359"/>
      <c r="N954" s="284"/>
      <c r="O954" s="355"/>
      <c r="P954" s="360"/>
      <c r="Q954" s="359"/>
      <c r="R954" s="284"/>
      <c r="S954" s="355"/>
      <c r="U954" s="359"/>
      <c r="V954" s="284"/>
      <c r="W954" s="355"/>
      <c r="Y954" s="359"/>
      <c r="Z954" s="284"/>
      <c r="AA954" s="355"/>
      <c r="AC954" s="359"/>
      <c r="AD954" s="284"/>
      <c r="AE954" s="355"/>
      <c r="AG954" s="359"/>
      <c r="AH954" s="284"/>
      <c r="AI954" s="355"/>
      <c r="AK954" s="359"/>
      <c r="AL954" s="284"/>
      <c r="AM954" s="355"/>
      <c r="AO954" s="359"/>
      <c r="AP954" s="284"/>
      <c r="AQ954" s="355"/>
      <c r="AR954" s="360"/>
      <c r="AS954" s="359"/>
      <c r="AT954" s="284"/>
      <c r="AU954" s="355"/>
      <c r="AW954" s="359"/>
      <c r="AX954" s="284"/>
      <c r="AY954" s="355"/>
      <c r="BA954" s="359"/>
      <c r="BB954" s="284"/>
      <c r="BC954" s="355"/>
      <c r="BE954" s="359"/>
      <c r="BF954" s="284"/>
      <c r="BG954" s="355"/>
      <c r="BI954" s="359"/>
      <c r="BJ954" s="284"/>
      <c r="BK954" s="355"/>
      <c r="BM954" s="359"/>
      <c r="BN954" s="284"/>
      <c r="BO954" s="355"/>
      <c r="BQ954" s="359"/>
      <c r="BR954" s="284"/>
      <c r="BS954" s="355"/>
      <c r="BU954" s="359"/>
      <c r="BV954" s="284"/>
    </row>
    <row r="955" spans="2:74" x14ac:dyDescent="0.25">
      <c r="B955" s="284"/>
      <c r="D955" s="355"/>
      <c r="E955" s="356"/>
      <c r="F955" s="357"/>
      <c r="G955" s="358"/>
      <c r="H955" s="359"/>
      <c r="I955" s="284"/>
      <c r="J955" s="287"/>
      <c r="K955" s="355"/>
      <c r="M955" s="359"/>
      <c r="N955" s="284"/>
      <c r="O955" s="355"/>
      <c r="P955" s="360"/>
      <c r="Q955" s="359"/>
      <c r="R955" s="284"/>
      <c r="S955" s="355"/>
      <c r="U955" s="359"/>
      <c r="V955" s="284"/>
      <c r="W955" s="355"/>
      <c r="Y955" s="359"/>
      <c r="Z955" s="284"/>
      <c r="AA955" s="355"/>
      <c r="AC955" s="359"/>
      <c r="AD955" s="284"/>
      <c r="AE955" s="355"/>
      <c r="AG955" s="359"/>
      <c r="AH955" s="284"/>
      <c r="AI955" s="355"/>
      <c r="AK955" s="359"/>
      <c r="AL955" s="284"/>
      <c r="AM955" s="355"/>
      <c r="AO955" s="359"/>
      <c r="AP955" s="284"/>
      <c r="AQ955" s="355"/>
      <c r="AR955" s="360"/>
      <c r="AS955" s="359"/>
      <c r="AT955" s="284"/>
      <c r="AU955" s="355"/>
      <c r="AW955" s="359"/>
      <c r="AX955" s="284"/>
      <c r="AY955" s="355"/>
      <c r="BA955" s="359"/>
      <c r="BB955" s="284"/>
      <c r="BC955" s="355"/>
      <c r="BE955" s="359"/>
      <c r="BF955" s="284"/>
      <c r="BG955" s="355"/>
      <c r="BI955" s="359"/>
      <c r="BJ955" s="284"/>
      <c r="BK955" s="355"/>
      <c r="BM955" s="359"/>
      <c r="BN955" s="284"/>
      <c r="BO955" s="355"/>
      <c r="BQ955" s="359"/>
      <c r="BR955" s="284"/>
      <c r="BS955" s="355"/>
      <c r="BU955" s="359"/>
      <c r="BV955" s="284"/>
    </row>
    <row r="956" spans="2:74" x14ac:dyDescent="0.25">
      <c r="B956" s="284"/>
      <c r="D956" s="355"/>
      <c r="E956" s="356"/>
      <c r="F956" s="357"/>
      <c r="G956" s="358"/>
      <c r="H956" s="359"/>
      <c r="I956" s="284"/>
      <c r="J956" s="287"/>
      <c r="K956" s="355"/>
      <c r="M956" s="359"/>
      <c r="N956" s="284"/>
      <c r="O956" s="355"/>
      <c r="P956" s="360"/>
      <c r="Q956" s="359"/>
      <c r="R956" s="284"/>
      <c r="S956" s="355"/>
      <c r="U956" s="359"/>
      <c r="V956" s="284"/>
      <c r="W956" s="355"/>
      <c r="Y956" s="359"/>
      <c r="Z956" s="284"/>
      <c r="AA956" s="355"/>
      <c r="AC956" s="359"/>
      <c r="AD956" s="284"/>
      <c r="AE956" s="355"/>
      <c r="AG956" s="359"/>
      <c r="AH956" s="284"/>
      <c r="AI956" s="355"/>
      <c r="AK956" s="359"/>
      <c r="AL956" s="284"/>
      <c r="AM956" s="355"/>
      <c r="AO956" s="359"/>
      <c r="AP956" s="284"/>
      <c r="AQ956" s="355"/>
      <c r="AR956" s="360"/>
      <c r="AS956" s="359"/>
      <c r="AT956" s="284"/>
      <c r="AU956" s="355"/>
      <c r="AW956" s="359"/>
      <c r="AX956" s="284"/>
      <c r="AY956" s="355"/>
      <c r="BA956" s="359"/>
      <c r="BB956" s="284"/>
      <c r="BC956" s="355"/>
      <c r="BE956" s="359"/>
      <c r="BF956" s="284"/>
      <c r="BG956" s="355"/>
      <c r="BI956" s="359"/>
      <c r="BJ956" s="284"/>
      <c r="BK956" s="355"/>
      <c r="BM956" s="359"/>
      <c r="BN956" s="284"/>
      <c r="BO956" s="355"/>
      <c r="BQ956" s="359"/>
      <c r="BR956" s="284"/>
      <c r="BS956" s="355"/>
      <c r="BU956" s="359"/>
      <c r="BV956" s="284"/>
    </row>
    <row r="957" spans="2:74" x14ac:dyDescent="0.25">
      <c r="B957" s="284"/>
      <c r="D957" s="355"/>
      <c r="E957" s="356"/>
      <c r="F957" s="357"/>
      <c r="G957" s="358"/>
      <c r="H957" s="359"/>
      <c r="I957" s="284"/>
      <c r="J957" s="287"/>
      <c r="K957" s="355"/>
      <c r="M957" s="359"/>
      <c r="N957" s="284"/>
      <c r="O957" s="355"/>
      <c r="P957" s="360"/>
      <c r="Q957" s="359"/>
      <c r="R957" s="284"/>
      <c r="S957" s="355"/>
      <c r="U957" s="359"/>
      <c r="V957" s="284"/>
      <c r="W957" s="355"/>
      <c r="Y957" s="359"/>
      <c r="Z957" s="284"/>
      <c r="AA957" s="355"/>
      <c r="AC957" s="359"/>
      <c r="AD957" s="284"/>
      <c r="AE957" s="355"/>
      <c r="AG957" s="359"/>
      <c r="AH957" s="284"/>
      <c r="AI957" s="355"/>
      <c r="AK957" s="359"/>
      <c r="AL957" s="284"/>
      <c r="AM957" s="355"/>
      <c r="AO957" s="359"/>
      <c r="AP957" s="284"/>
      <c r="AQ957" s="355"/>
      <c r="AR957" s="360"/>
      <c r="AS957" s="359"/>
      <c r="AT957" s="284"/>
      <c r="AU957" s="355"/>
      <c r="AW957" s="359"/>
      <c r="AX957" s="284"/>
      <c r="AY957" s="355"/>
      <c r="BA957" s="359"/>
      <c r="BB957" s="284"/>
      <c r="BC957" s="355"/>
      <c r="BE957" s="359"/>
      <c r="BF957" s="284"/>
      <c r="BG957" s="355"/>
      <c r="BI957" s="359"/>
      <c r="BJ957" s="284"/>
      <c r="BK957" s="355"/>
      <c r="BM957" s="359"/>
      <c r="BN957" s="284"/>
      <c r="BO957" s="355"/>
      <c r="BQ957" s="359"/>
      <c r="BR957" s="284"/>
      <c r="BS957" s="355"/>
      <c r="BU957" s="359"/>
      <c r="BV957" s="284"/>
    </row>
    <row r="958" spans="2:74" x14ac:dyDescent="0.25">
      <c r="B958" s="284"/>
      <c r="D958" s="355"/>
      <c r="E958" s="356"/>
      <c r="F958" s="357"/>
      <c r="G958" s="358"/>
      <c r="H958" s="359"/>
      <c r="I958" s="284"/>
      <c r="J958" s="287"/>
      <c r="K958" s="355"/>
      <c r="M958" s="359"/>
      <c r="N958" s="284"/>
      <c r="O958" s="355"/>
      <c r="P958" s="360"/>
      <c r="Q958" s="359"/>
      <c r="R958" s="284"/>
      <c r="S958" s="355"/>
      <c r="U958" s="359"/>
      <c r="V958" s="284"/>
      <c r="W958" s="355"/>
      <c r="Y958" s="359"/>
      <c r="Z958" s="284"/>
      <c r="AA958" s="355"/>
      <c r="AC958" s="359"/>
      <c r="AD958" s="284"/>
      <c r="AE958" s="355"/>
      <c r="AG958" s="359"/>
      <c r="AH958" s="284"/>
      <c r="AI958" s="355"/>
      <c r="AK958" s="359"/>
      <c r="AL958" s="284"/>
      <c r="AM958" s="355"/>
      <c r="AO958" s="359"/>
      <c r="AP958" s="284"/>
      <c r="AQ958" s="355"/>
      <c r="AR958" s="360"/>
      <c r="AS958" s="359"/>
      <c r="AT958" s="284"/>
      <c r="AU958" s="355"/>
      <c r="AW958" s="359"/>
      <c r="AX958" s="284"/>
      <c r="AY958" s="355"/>
      <c r="BA958" s="359"/>
      <c r="BB958" s="284"/>
      <c r="BC958" s="355"/>
      <c r="BE958" s="359"/>
      <c r="BF958" s="284"/>
      <c r="BG958" s="355"/>
      <c r="BI958" s="359"/>
      <c r="BJ958" s="284"/>
      <c r="BK958" s="355"/>
      <c r="BM958" s="359"/>
      <c r="BN958" s="284"/>
      <c r="BO958" s="355"/>
      <c r="BQ958" s="359"/>
      <c r="BR958" s="284"/>
      <c r="BS958" s="355"/>
      <c r="BU958" s="359"/>
      <c r="BV958" s="284"/>
    </row>
    <row r="959" spans="2:74" x14ac:dyDescent="0.25">
      <c r="B959" s="284"/>
      <c r="D959" s="355"/>
      <c r="E959" s="356"/>
      <c r="F959" s="357"/>
      <c r="G959" s="358"/>
      <c r="H959" s="359"/>
      <c r="I959" s="284"/>
      <c r="J959" s="287"/>
      <c r="K959" s="355"/>
      <c r="M959" s="359"/>
      <c r="N959" s="284"/>
      <c r="O959" s="355"/>
      <c r="P959" s="360"/>
      <c r="Q959" s="359"/>
      <c r="R959" s="284"/>
      <c r="S959" s="355"/>
      <c r="U959" s="359"/>
      <c r="V959" s="284"/>
      <c r="W959" s="355"/>
      <c r="Y959" s="359"/>
      <c r="Z959" s="284"/>
      <c r="AA959" s="355"/>
      <c r="AC959" s="359"/>
      <c r="AD959" s="284"/>
      <c r="AE959" s="355"/>
      <c r="AG959" s="359"/>
      <c r="AH959" s="284"/>
      <c r="AI959" s="355"/>
      <c r="AK959" s="359"/>
      <c r="AL959" s="284"/>
      <c r="AM959" s="355"/>
      <c r="AO959" s="359"/>
      <c r="AP959" s="284"/>
      <c r="AQ959" s="355"/>
      <c r="AR959" s="360"/>
      <c r="AS959" s="359"/>
      <c r="AT959" s="284"/>
      <c r="AU959" s="355"/>
      <c r="AW959" s="359"/>
      <c r="AX959" s="284"/>
      <c r="AY959" s="355"/>
      <c r="BA959" s="359"/>
      <c r="BB959" s="284"/>
      <c r="BC959" s="355"/>
      <c r="BE959" s="359"/>
      <c r="BF959" s="284"/>
      <c r="BG959" s="355"/>
      <c r="BI959" s="359"/>
      <c r="BJ959" s="284"/>
      <c r="BK959" s="355"/>
      <c r="BM959" s="359"/>
      <c r="BN959" s="284"/>
      <c r="BO959" s="355"/>
      <c r="BQ959" s="359"/>
      <c r="BR959" s="284"/>
      <c r="BS959" s="355"/>
      <c r="BU959" s="359"/>
      <c r="BV959" s="284"/>
    </row>
    <row r="960" spans="2:74" x14ac:dyDescent="0.25">
      <c r="B960" s="284"/>
      <c r="D960" s="355"/>
      <c r="E960" s="356"/>
      <c r="F960" s="357"/>
      <c r="G960" s="358"/>
      <c r="H960" s="359"/>
      <c r="I960" s="284"/>
      <c r="J960" s="287"/>
      <c r="K960" s="355"/>
      <c r="M960" s="359"/>
      <c r="N960" s="284"/>
      <c r="O960" s="355"/>
      <c r="P960" s="360"/>
      <c r="Q960" s="359"/>
      <c r="R960" s="284"/>
      <c r="S960" s="355"/>
      <c r="U960" s="359"/>
      <c r="V960" s="284"/>
      <c r="W960" s="355"/>
      <c r="Y960" s="359"/>
      <c r="Z960" s="284"/>
      <c r="AA960" s="355"/>
      <c r="AC960" s="359"/>
      <c r="AD960" s="284"/>
      <c r="AE960" s="355"/>
      <c r="AG960" s="359"/>
      <c r="AH960" s="284"/>
      <c r="AI960" s="355"/>
      <c r="AK960" s="359"/>
      <c r="AL960" s="284"/>
      <c r="AM960" s="355"/>
      <c r="AO960" s="359"/>
      <c r="AP960" s="284"/>
      <c r="AQ960" s="355"/>
      <c r="AR960" s="360"/>
      <c r="AS960" s="359"/>
      <c r="AT960" s="284"/>
      <c r="AU960" s="355"/>
      <c r="AW960" s="359"/>
      <c r="AX960" s="284"/>
      <c r="AY960" s="355"/>
      <c r="BA960" s="359"/>
      <c r="BB960" s="284"/>
      <c r="BC960" s="355"/>
      <c r="BE960" s="359"/>
      <c r="BF960" s="284"/>
      <c r="BG960" s="355"/>
      <c r="BI960" s="359"/>
      <c r="BJ960" s="284"/>
      <c r="BK960" s="355"/>
      <c r="BM960" s="359"/>
      <c r="BN960" s="284"/>
      <c r="BO960" s="355"/>
      <c r="BQ960" s="359"/>
      <c r="BR960" s="284"/>
      <c r="BS960" s="355"/>
      <c r="BU960" s="359"/>
      <c r="BV960" s="284"/>
    </row>
    <row r="961" spans="2:74" x14ac:dyDescent="0.25">
      <c r="B961" s="284"/>
      <c r="D961" s="355"/>
      <c r="E961" s="356"/>
      <c r="F961" s="357"/>
      <c r="G961" s="358"/>
      <c r="H961" s="359"/>
      <c r="I961" s="284"/>
      <c r="J961" s="287"/>
      <c r="K961" s="355"/>
      <c r="M961" s="359"/>
      <c r="N961" s="284"/>
      <c r="O961" s="355"/>
      <c r="P961" s="360"/>
      <c r="Q961" s="359"/>
      <c r="R961" s="284"/>
      <c r="S961" s="355"/>
      <c r="U961" s="359"/>
      <c r="V961" s="284"/>
      <c r="W961" s="355"/>
      <c r="Y961" s="359"/>
      <c r="Z961" s="284"/>
      <c r="AA961" s="355"/>
      <c r="AC961" s="359"/>
      <c r="AD961" s="284"/>
      <c r="AE961" s="355"/>
      <c r="AG961" s="359"/>
      <c r="AH961" s="284"/>
      <c r="AI961" s="355"/>
      <c r="AK961" s="359"/>
      <c r="AL961" s="284"/>
      <c r="AM961" s="355"/>
      <c r="AO961" s="359"/>
      <c r="AP961" s="284"/>
      <c r="AQ961" s="355"/>
      <c r="AR961" s="360"/>
      <c r="AS961" s="359"/>
      <c r="AT961" s="284"/>
      <c r="AU961" s="355"/>
      <c r="AW961" s="359"/>
      <c r="AX961" s="284"/>
      <c r="AY961" s="355"/>
      <c r="BA961" s="359"/>
      <c r="BB961" s="284"/>
      <c r="BC961" s="355"/>
      <c r="BE961" s="359"/>
      <c r="BF961" s="284"/>
      <c r="BG961" s="355"/>
      <c r="BI961" s="359"/>
      <c r="BJ961" s="284"/>
      <c r="BK961" s="355"/>
      <c r="BM961" s="359"/>
      <c r="BN961" s="284"/>
      <c r="BO961" s="355"/>
      <c r="BQ961" s="359"/>
      <c r="BR961" s="284"/>
      <c r="BS961" s="355"/>
      <c r="BU961" s="359"/>
      <c r="BV961" s="284"/>
    </row>
    <row r="962" spans="2:74" x14ac:dyDescent="0.25">
      <c r="B962" s="284"/>
      <c r="D962" s="355"/>
      <c r="E962" s="356"/>
      <c r="F962" s="357"/>
      <c r="G962" s="358"/>
      <c r="H962" s="359"/>
      <c r="I962" s="284"/>
      <c r="J962" s="287"/>
      <c r="K962" s="355"/>
      <c r="M962" s="359"/>
      <c r="N962" s="284"/>
      <c r="O962" s="355"/>
      <c r="P962" s="360"/>
      <c r="Q962" s="359"/>
      <c r="R962" s="284"/>
      <c r="S962" s="355"/>
      <c r="U962" s="359"/>
      <c r="V962" s="284"/>
      <c r="W962" s="355"/>
      <c r="Y962" s="359"/>
      <c r="Z962" s="284"/>
      <c r="AA962" s="355"/>
      <c r="AC962" s="359"/>
      <c r="AD962" s="284"/>
      <c r="AE962" s="355"/>
      <c r="AG962" s="359"/>
      <c r="AH962" s="284"/>
      <c r="AI962" s="355"/>
      <c r="AK962" s="359"/>
      <c r="AL962" s="284"/>
      <c r="AM962" s="355"/>
      <c r="AO962" s="359"/>
      <c r="AP962" s="284"/>
      <c r="AQ962" s="355"/>
      <c r="AR962" s="360"/>
      <c r="AS962" s="359"/>
      <c r="AT962" s="284"/>
      <c r="AU962" s="355"/>
      <c r="AW962" s="359"/>
      <c r="AX962" s="284"/>
      <c r="AY962" s="355"/>
      <c r="BA962" s="359"/>
      <c r="BB962" s="284"/>
      <c r="BC962" s="355"/>
      <c r="BE962" s="359"/>
      <c r="BF962" s="284"/>
      <c r="BG962" s="355"/>
      <c r="BI962" s="359"/>
      <c r="BJ962" s="284"/>
      <c r="BK962" s="355"/>
      <c r="BM962" s="359"/>
      <c r="BN962" s="284"/>
      <c r="BO962" s="355"/>
      <c r="BQ962" s="359"/>
      <c r="BR962" s="284"/>
      <c r="BS962" s="355"/>
      <c r="BU962" s="359"/>
      <c r="BV962" s="284"/>
    </row>
    <row r="963" spans="2:74" x14ac:dyDescent="0.25">
      <c r="B963" s="284"/>
      <c r="D963" s="355"/>
      <c r="E963" s="356"/>
      <c r="F963" s="357"/>
      <c r="G963" s="358"/>
      <c r="H963" s="359"/>
      <c r="I963" s="284"/>
      <c r="J963" s="287"/>
      <c r="K963" s="355"/>
      <c r="M963" s="359"/>
      <c r="N963" s="284"/>
      <c r="O963" s="355"/>
      <c r="P963" s="360"/>
      <c r="Q963" s="359"/>
      <c r="R963" s="284"/>
      <c r="S963" s="355"/>
      <c r="U963" s="359"/>
      <c r="V963" s="284"/>
      <c r="W963" s="355"/>
      <c r="Y963" s="359"/>
      <c r="Z963" s="284"/>
      <c r="AA963" s="355"/>
      <c r="AC963" s="359"/>
      <c r="AD963" s="284"/>
      <c r="AE963" s="355"/>
      <c r="AG963" s="359"/>
      <c r="AH963" s="284"/>
      <c r="AI963" s="355"/>
      <c r="AK963" s="359"/>
      <c r="AL963" s="284"/>
      <c r="AM963" s="355"/>
      <c r="AO963" s="359"/>
      <c r="AP963" s="284"/>
      <c r="AQ963" s="355"/>
      <c r="AR963" s="360"/>
      <c r="AS963" s="359"/>
      <c r="AT963" s="284"/>
      <c r="AU963" s="355"/>
      <c r="AW963" s="359"/>
      <c r="AX963" s="284"/>
      <c r="AY963" s="355"/>
      <c r="BA963" s="359"/>
      <c r="BB963" s="284"/>
      <c r="BC963" s="355"/>
      <c r="BE963" s="359"/>
      <c r="BF963" s="284"/>
      <c r="BG963" s="355"/>
      <c r="BI963" s="359"/>
      <c r="BJ963" s="284"/>
      <c r="BK963" s="355"/>
      <c r="BM963" s="359"/>
      <c r="BN963" s="284"/>
      <c r="BO963" s="355"/>
      <c r="BQ963" s="359"/>
      <c r="BR963" s="284"/>
      <c r="BS963" s="355"/>
      <c r="BU963" s="359"/>
      <c r="BV963" s="284"/>
    </row>
    <row r="964" spans="2:74" x14ac:dyDescent="0.25">
      <c r="B964" s="284"/>
      <c r="D964" s="355"/>
      <c r="E964" s="356"/>
      <c r="F964" s="357"/>
      <c r="G964" s="358"/>
      <c r="H964" s="359"/>
      <c r="I964" s="284"/>
      <c r="J964" s="287"/>
      <c r="K964" s="355"/>
      <c r="M964" s="359"/>
      <c r="N964" s="284"/>
      <c r="O964" s="355"/>
      <c r="P964" s="360"/>
      <c r="Q964" s="359"/>
      <c r="R964" s="284"/>
      <c r="S964" s="355"/>
      <c r="U964" s="359"/>
      <c r="V964" s="284"/>
      <c r="W964" s="355"/>
      <c r="Y964" s="359"/>
      <c r="Z964" s="284"/>
      <c r="AA964" s="355"/>
      <c r="AC964" s="359"/>
      <c r="AD964" s="284"/>
      <c r="AE964" s="355"/>
      <c r="AG964" s="359"/>
      <c r="AH964" s="284"/>
      <c r="AI964" s="355"/>
      <c r="AK964" s="359"/>
      <c r="AL964" s="284"/>
      <c r="AM964" s="355"/>
      <c r="AO964" s="359"/>
      <c r="AP964" s="284"/>
      <c r="AQ964" s="355"/>
      <c r="AR964" s="360"/>
      <c r="AS964" s="359"/>
      <c r="AT964" s="284"/>
      <c r="AU964" s="355"/>
      <c r="AW964" s="359"/>
      <c r="AX964" s="284"/>
      <c r="AY964" s="355"/>
      <c r="BA964" s="359"/>
      <c r="BB964" s="284"/>
      <c r="BC964" s="355"/>
      <c r="BE964" s="359"/>
      <c r="BF964" s="284"/>
      <c r="BG964" s="355"/>
      <c r="BI964" s="359"/>
      <c r="BJ964" s="284"/>
      <c r="BK964" s="355"/>
      <c r="BM964" s="359"/>
      <c r="BN964" s="284"/>
      <c r="BO964" s="355"/>
      <c r="BQ964" s="359"/>
      <c r="BR964" s="284"/>
      <c r="BS964" s="355"/>
      <c r="BU964" s="359"/>
      <c r="BV964" s="284"/>
    </row>
    <row r="965" spans="2:74" x14ac:dyDescent="0.25">
      <c r="B965" s="284"/>
      <c r="D965" s="355"/>
      <c r="E965" s="356"/>
      <c r="F965" s="357"/>
      <c r="G965" s="358"/>
      <c r="H965" s="359"/>
      <c r="I965" s="284"/>
      <c r="J965" s="287"/>
      <c r="K965" s="355"/>
      <c r="M965" s="359"/>
      <c r="N965" s="284"/>
      <c r="O965" s="355"/>
      <c r="P965" s="360"/>
      <c r="Q965" s="359"/>
      <c r="R965" s="284"/>
      <c r="S965" s="355"/>
      <c r="U965" s="359"/>
      <c r="V965" s="284"/>
      <c r="W965" s="355"/>
      <c r="Y965" s="359"/>
      <c r="Z965" s="284"/>
      <c r="AA965" s="355"/>
      <c r="AC965" s="359"/>
      <c r="AD965" s="284"/>
      <c r="AE965" s="355"/>
      <c r="AG965" s="359"/>
      <c r="AH965" s="284"/>
      <c r="AI965" s="355"/>
      <c r="AK965" s="359"/>
      <c r="AL965" s="284"/>
      <c r="AM965" s="355"/>
      <c r="AO965" s="359"/>
      <c r="AP965" s="284"/>
      <c r="AQ965" s="355"/>
      <c r="AR965" s="360"/>
      <c r="AS965" s="359"/>
      <c r="AT965" s="284"/>
      <c r="AU965" s="355"/>
      <c r="AW965" s="359"/>
      <c r="AX965" s="284"/>
      <c r="AY965" s="355"/>
      <c r="BA965" s="359"/>
      <c r="BB965" s="284"/>
      <c r="BC965" s="355"/>
      <c r="BE965" s="359"/>
      <c r="BF965" s="284"/>
      <c r="BG965" s="355"/>
      <c r="BI965" s="359"/>
      <c r="BJ965" s="284"/>
      <c r="BK965" s="355"/>
      <c r="BM965" s="359"/>
      <c r="BN965" s="284"/>
      <c r="BO965" s="355"/>
      <c r="BQ965" s="359"/>
      <c r="BR965" s="284"/>
      <c r="BS965" s="355"/>
      <c r="BU965" s="359"/>
      <c r="BV965" s="284"/>
    </row>
    <row r="966" spans="2:74" x14ac:dyDescent="0.25">
      <c r="B966" s="284"/>
      <c r="D966" s="355"/>
      <c r="E966" s="356"/>
      <c r="F966" s="357"/>
      <c r="G966" s="358"/>
      <c r="H966" s="359"/>
      <c r="I966" s="284"/>
      <c r="J966" s="287"/>
      <c r="K966" s="355"/>
      <c r="M966" s="359"/>
      <c r="N966" s="284"/>
      <c r="O966" s="355"/>
      <c r="P966" s="360"/>
      <c r="Q966" s="359"/>
      <c r="R966" s="284"/>
      <c r="S966" s="355"/>
      <c r="U966" s="359"/>
      <c r="V966" s="284"/>
      <c r="W966" s="355"/>
      <c r="Y966" s="359"/>
      <c r="Z966" s="284"/>
      <c r="AA966" s="355"/>
      <c r="AC966" s="359"/>
      <c r="AD966" s="284"/>
      <c r="AE966" s="355"/>
      <c r="AG966" s="359"/>
      <c r="AH966" s="284"/>
      <c r="AI966" s="355"/>
      <c r="AK966" s="359"/>
      <c r="AL966" s="284"/>
      <c r="AM966" s="355"/>
      <c r="AO966" s="359"/>
      <c r="AP966" s="284"/>
      <c r="AQ966" s="355"/>
      <c r="AR966" s="360"/>
      <c r="AS966" s="359"/>
      <c r="AT966" s="284"/>
      <c r="AU966" s="355"/>
      <c r="AW966" s="359"/>
      <c r="AX966" s="284"/>
      <c r="AY966" s="355"/>
      <c r="BA966" s="359"/>
      <c r="BB966" s="284"/>
      <c r="BC966" s="355"/>
      <c r="BE966" s="359"/>
      <c r="BF966" s="284"/>
      <c r="BG966" s="355"/>
      <c r="BI966" s="359"/>
      <c r="BJ966" s="284"/>
      <c r="BK966" s="355"/>
      <c r="BM966" s="359"/>
      <c r="BN966" s="284"/>
      <c r="BO966" s="355"/>
      <c r="BQ966" s="359"/>
      <c r="BR966" s="284"/>
      <c r="BS966" s="355"/>
      <c r="BU966" s="359"/>
      <c r="BV966" s="284"/>
    </row>
    <row r="967" spans="2:74" x14ac:dyDescent="0.25">
      <c r="B967" s="284"/>
      <c r="D967" s="355"/>
      <c r="E967" s="356"/>
      <c r="F967" s="357"/>
      <c r="G967" s="358"/>
      <c r="H967" s="359"/>
      <c r="I967" s="284"/>
      <c r="J967" s="287"/>
      <c r="K967" s="355"/>
      <c r="M967" s="359"/>
      <c r="N967" s="284"/>
      <c r="O967" s="355"/>
      <c r="P967" s="360"/>
      <c r="Q967" s="359"/>
      <c r="R967" s="284"/>
      <c r="S967" s="355"/>
      <c r="U967" s="359"/>
      <c r="V967" s="284"/>
      <c r="W967" s="355"/>
      <c r="Y967" s="359"/>
      <c r="Z967" s="284"/>
      <c r="AA967" s="355"/>
      <c r="AC967" s="359"/>
      <c r="AD967" s="284"/>
      <c r="AE967" s="355"/>
      <c r="AG967" s="359"/>
      <c r="AH967" s="284"/>
      <c r="AI967" s="355"/>
      <c r="AK967" s="359"/>
      <c r="AL967" s="284"/>
      <c r="AM967" s="355"/>
      <c r="AO967" s="359"/>
      <c r="AP967" s="284"/>
      <c r="AQ967" s="355"/>
      <c r="AR967" s="360"/>
      <c r="AS967" s="359"/>
      <c r="AT967" s="284"/>
      <c r="AU967" s="355"/>
      <c r="AW967" s="359"/>
      <c r="AX967" s="284"/>
      <c r="AY967" s="355"/>
      <c r="BA967" s="359"/>
      <c r="BB967" s="284"/>
      <c r="BC967" s="355"/>
      <c r="BE967" s="359"/>
      <c r="BF967" s="284"/>
      <c r="BG967" s="355"/>
      <c r="BI967" s="359"/>
      <c r="BJ967" s="284"/>
      <c r="BK967" s="355"/>
      <c r="BM967" s="359"/>
      <c r="BN967" s="284"/>
      <c r="BO967" s="355"/>
      <c r="BQ967" s="359"/>
      <c r="BR967" s="284"/>
      <c r="BS967" s="355"/>
      <c r="BU967" s="359"/>
      <c r="BV967" s="284"/>
    </row>
    <row r="968" spans="2:74" x14ac:dyDescent="0.25">
      <c r="B968" s="284"/>
      <c r="D968" s="355"/>
      <c r="E968" s="356"/>
      <c r="F968" s="357"/>
      <c r="G968" s="358"/>
      <c r="H968" s="359"/>
      <c r="I968" s="284"/>
      <c r="J968" s="287"/>
      <c r="K968" s="355"/>
      <c r="M968" s="359"/>
      <c r="N968" s="284"/>
      <c r="O968" s="355"/>
      <c r="P968" s="360"/>
      <c r="Q968" s="359"/>
      <c r="R968" s="284"/>
      <c r="S968" s="355"/>
      <c r="U968" s="359"/>
      <c r="V968" s="284"/>
      <c r="W968" s="355"/>
      <c r="Y968" s="359"/>
      <c r="Z968" s="284"/>
      <c r="AA968" s="355"/>
      <c r="AC968" s="359"/>
      <c r="AD968" s="284"/>
      <c r="AE968" s="355"/>
      <c r="AG968" s="359"/>
      <c r="AH968" s="284"/>
      <c r="AI968" s="355"/>
      <c r="AK968" s="359"/>
      <c r="AL968" s="284"/>
      <c r="AM968" s="355"/>
      <c r="AO968" s="359"/>
      <c r="AP968" s="284"/>
      <c r="AQ968" s="355"/>
      <c r="AR968" s="360"/>
      <c r="AS968" s="359"/>
      <c r="AT968" s="284"/>
      <c r="AU968" s="355"/>
      <c r="AW968" s="359"/>
      <c r="AX968" s="284"/>
      <c r="AY968" s="355"/>
      <c r="BA968" s="359"/>
      <c r="BB968" s="284"/>
      <c r="BC968" s="355"/>
      <c r="BE968" s="359"/>
      <c r="BF968" s="284"/>
      <c r="BG968" s="355"/>
      <c r="BI968" s="359"/>
      <c r="BJ968" s="284"/>
      <c r="BK968" s="355"/>
      <c r="BM968" s="359"/>
      <c r="BN968" s="284"/>
      <c r="BO968" s="355"/>
      <c r="BQ968" s="359"/>
      <c r="BR968" s="284"/>
      <c r="BS968" s="355"/>
      <c r="BU968" s="359"/>
      <c r="BV968" s="284"/>
    </row>
    <row r="969" spans="2:74" x14ac:dyDescent="0.25">
      <c r="B969" s="284"/>
      <c r="D969" s="355"/>
      <c r="E969" s="356"/>
      <c r="F969" s="357"/>
      <c r="G969" s="358"/>
      <c r="H969" s="359"/>
      <c r="I969" s="284"/>
      <c r="J969" s="287"/>
      <c r="K969" s="355"/>
      <c r="M969" s="359"/>
      <c r="N969" s="284"/>
      <c r="O969" s="355"/>
      <c r="P969" s="360"/>
      <c r="Q969" s="359"/>
      <c r="R969" s="284"/>
      <c r="S969" s="355"/>
      <c r="U969" s="359"/>
      <c r="V969" s="284"/>
      <c r="W969" s="355"/>
      <c r="Y969" s="359"/>
      <c r="Z969" s="284"/>
      <c r="AA969" s="355"/>
      <c r="AC969" s="359"/>
      <c r="AD969" s="284"/>
      <c r="AE969" s="355"/>
      <c r="AG969" s="359"/>
      <c r="AH969" s="284"/>
      <c r="AI969" s="355"/>
      <c r="AK969" s="359"/>
      <c r="AL969" s="284"/>
      <c r="AM969" s="355"/>
      <c r="AO969" s="359"/>
      <c r="AP969" s="284"/>
      <c r="AQ969" s="355"/>
      <c r="AR969" s="360"/>
      <c r="AS969" s="359"/>
      <c r="AT969" s="284"/>
      <c r="AU969" s="355"/>
      <c r="AW969" s="359"/>
      <c r="AX969" s="284"/>
      <c r="AY969" s="355"/>
      <c r="BA969" s="359"/>
      <c r="BB969" s="284"/>
      <c r="BC969" s="355"/>
      <c r="BE969" s="359"/>
      <c r="BF969" s="284"/>
      <c r="BG969" s="355"/>
      <c r="BI969" s="359"/>
      <c r="BJ969" s="284"/>
      <c r="BK969" s="355"/>
      <c r="BM969" s="359"/>
      <c r="BN969" s="284"/>
      <c r="BO969" s="355"/>
      <c r="BQ969" s="359"/>
      <c r="BR969" s="284"/>
      <c r="BS969" s="355"/>
      <c r="BU969" s="359"/>
      <c r="BV969" s="284"/>
    </row>
    <row r="970" spans="2:74" x14ac:dyDescent="0.25">
      <c r="B970" s="284"/>
      <c r="D970" s="355"/>
      <c r="E970" s="356"/>
      <c r="F970" s="357"/>
      <c r="G970" s="358"/>
      <c r="H970" s="359"/>
      <c r="I970" s="284"/>
      <c r="J970" s="287"/>
      <c r="K970" s="355"/>
      <c r="M970" s="359"/>
      <c r="N970" s="284"/>
      <c r="O970" s="355"/>
      <c r="P970" s="360"/>
      <c r="Q970" s="359"/>
      <c r="R970" s="284"/>
      <c r="S970" s="355"/>
      <c r="U970" s="359"/>
      <c r="V970" s="284"/>
      <c r="W970" s="355"/>
      <c r="Y970" s="359"/>
      <c r="Z970" s="284"/>
      <c r="AA970" s="355"/>
      <c r="AC970" s="359"/>
      <c r="AD970" s="284"/>
      <c r="AE970" s="355"/>
      <c r="AG970" s="359"/>
      <c r="AH970" s="284"/>
      <c r="AI970" s="355"/>
      <c r="AK970" s="359"/>
      <c r="AL970" s="284"/>
      <c r="AM970" s="355"/>
      <c r="AO970" s="359"/>
      <c r="AP970" s="284"/>
      <c r="AQ970" s="355"/>
      <c r="AR970" s="360"/>
      <c r="AS970" s="359"/>
      <c r="AT970" s="284"/>
      <c r="AU970" s="355"/>
      <c r="AW970" s="359"/>
      <c r="AX970" s="284"/>
      <c r="AY970" s="355"/>
      <c r="BA970" s="359"/>
      <c r="BB970" s="284"/>
      <c r="BC970" s="355"/>
      <c r="BE970" s="359"/>
      <c r="BF970" s="284"/>
      <c r="BG970" s="355"/>
      <c r="BI970" s="359"/>
      <c r="BJ970" s="284"/>
      <c r="BK970" s="355"/>
      <c r="BM970" s="359"/>
      <c r="BN970" s="284"/>
      <c r="BO970" s="355"/>
      <c r="BQ970" s="359"/>
      <c r="BR970" s="284"/>
      <c r="BS970" s="355"/>
      <c r="BU970" s="359"/>
      <c r="BV970" s="284"/>
    </row>
    <row r="971" spans="2:74" x14ac:dyDescent="0.25">
      <c r="B971" s="284"/>
      <c r="D971" s="355"/>
      <c r="E971" s="356"/>
      <c r="F971" s="357"/>
      <c r="G971" s="358"/>
      <c r="H971" s="359"/>
      <c r="I971" s="284"/>
      <c r="J971" s="287"/>
      <c r="K971" s="355"/>
      <c r="M971" s="359"/>
      <c r="N971" s="284"/>
      <c r="O971" s="355"/>
      <c r="P971" s="360"/>
      <c r="Q971" s="359"/>
      <c r="R971" s="284"/>
      <c r="S971" s="355"/>
      <c r="U971" s="359"/>
      <c r="V971" s="284"/>
      <c r="W971" s="355"/>
      <c r="Y971" s="359"/>
      <c r="Z971" s="284"/>
      <c r="AA971" s="355"/>
      <c r="AC971" s="359"/>
      <c r="AD971" s="284"/>
      <c r="AE971" s="355"/>
      <c r="AG971" s="359"/>
      <c r="AH971" s="284"/>
      <c r="AI971" s="355"/>
      <c r="AK971" s="359"/>
      <c r="AL971" s="284"/>
      <c r="AM971" s="355"/>
      <c r="AO971" s="359"/>
      <c r="AP971" s="284"/>
      <c r="AQ971" s="355"/>
      <c r="AR971" s="360"/>
      <c r="AS971" s="359"/>
      <c r="AT971" s="284"/>
      <c r="AU971" s="355"/>
      <c r="AW971" s="359"/>
      <c r="AX971" s="284"/>
      <c r="AY971" s="355"/>
      <c r="BA971" s="359"/>
      <c r="BB971" s="284"/>
      <c r="BC971" s="355"/>
      <c r="BE971" s="359"/>
      <c r="BF971" s="284"/>
      <c r="BG971" s="355"/>
      <c r="BI971" s="359"/>
      <c r="BJ971" s="284"/>
      <c r="BK971" s="355"/>
      <c r="BM971" s="359"/>
      <c r="BN971" s="284"/>
      <c r="BO971" s="355"/>
      <c r="BQ971" s="359"/>
      <c r="BR971" s="284"/>
      <c r="BS971" s="355"/>
      <c r="BU971" s="359"/>
      <c r="BV971" s="284"/>
    </row>
    <row r="972" spans="2:74" x14ac:dyDescent="0.25">
      <c r="B972" s="284"/>
      <c r="D972" s="355"/>
      <c r="E972" s="356"/>
      <c r="F972" s="357"/>
      <c r="G972" s="358"/>
      <c r="H972" s="359"/>
      <c r="I972" s="284"/>
      <c r="J972" s="287"/>
      <c r="K972" s="355"/>
      <c r="M972" s="359"/>
      <c r="N972" s="284"/>
      <c r="O972" s="355"/>
      <c r="P972" s="360"/>
      <c r="Q972" s="359"/>
      <c r="R972" s="284"/>
      <c r="S972" s="355"/>
      <c r="U972" s="359"/>
      <c r="V972" s="284"/>
      <c r="W972" s="355"/>
      <c r="Y972" s="359"/>
      <c r="Z972" s="284"/>
      <c r="AA972" s="355"/>
      <c r="AC972" s="359"/>
      <c r="AD972" s="284"/>
      <c r="AE972" s="355"/>
      <c r="AG972" s="359"/>
      <c r="AH972" s="284"/>
      <c r="AI972" s="355"/>
      <c r="AK972" s="359"/>
      <c r="AL972" s="284"/>
      <c r="AM972" s="355"/>
      <c r="AO972" s="359"/>
      <c r="AP972" s="284"/>
      <c r="AQ972" s="355"/>
      <c r="AR972" s="360"/>
      <c r="AS972" s="359"/>
      <c r="AT972" s="284"/>
      <c r="AU972" s="355"/>
      <c r="AW972" s="359"/>
      <c r="AX972" s="284"/>
      <c r="AY972" s="355"/>
      <c r="BA972" s="359"/>
      <c r="BB972" s="284"/>
      <c r="BC972" s="355"/>
      <c r="BE972" s="359"/>
      <c r="BF972" s="284"/>
      <c r="BG972" s="355"/>
      <c r="BI972" s="359"/>
      <c r="BJ972" s="284"/>
      <c r="BK972" s="355"/>
      <c r="BM972" s="359"/>
      <c r="BN972" s="284"/>
      <c r="BO972" s="355"/>
      <c r="BQ972" s="359"/>
      <c r="BR972" s="284"/>
      <c r="BS972" s="355"/>
      <c r="BU972" s="359"/>
      <c r="BV972" s="284"/>
    </row>
    <row r="973" spans="2:74" x14ac:dyDescent="0.25">
      <c r="B973" s="284"/>
      <c r="D973" s="355"/>
      <c r="E973" s="356"/>
      <c r="F973" s="357"/>
      <c r="G973" s="358"/>
      <c r="H973" s="359"/>
      <c r="I973" s="284"/>
      <c r="J973" s="287"/>
      <c r="K973" s="355"/>
      <c r="M973" s="359"/>
      <c r="N973" s="284"/>
      <c r="O973" s="355"/>
      <c r="P973" s="360"/>
      <c r="Q973" s="359"/>
      <c r="R973" s="284"/>
      <c r="S973" s="355"/>
      <c r="U973" s="359"/>
      <c r="V973" s="284"/>
      <c r="W973" s="355"/>
      <c r="Y973" s="359"/>
      <c r="Z973" s="284"/>
      <c r="AA973" s="355"/>
      <c r="AC973" s="359"/>
      <c r="AD973" s="284"/>
      <c r="AE973" s="355"/>
      <c r="AG973" s="359"/>
      <c r="AH973" s="284"/>
      <c r="AI973" s="355"/>
      <c r="AK973" s="359"/>
      <c r="AL973" s="284"/>
      <c r="AM973" s="355"/>
      <c r="AO973" s="359"/>
      <c r="AP973" s="284"/>
      <c r="AQ973" s="355"/>
      <c r="AR973" s="360"/>
      <c r="AS973" s="359"/>
      <c r="AT973" s="284"/>
      <c r="AU973" s="355"/>
      <c r="AW973" s="359"/>
      <c r="AX973" s="284"/>
      <c r="AY973" s="355"/>
      <c r="BA973" s="359"/>
      <c r="BB973" s="284"/>
      <c r="BC973" s="355"/>
      <c r="BE973" s="359"/>
      <c r="BF973" s="284"/>
      <c r="BG973" s="355"/>
      <c r="BI973" s="359"/>
      <c r="BJ973" s="284"/>
      <c r="BK973" s="355"/>
      <c r="BM973" s="359"/>
      <c r="BN973" s="284"/>
      <c r="BO973" s="355"/>
      <c r="BQ973" s="359"/>
      <c r="BR973" s="284"/>
      <c r="BS973" s="355"/>
      <c r="BU973" s="359"/>
      <c r="BV973" s="284"/>
    </row>
    <row r="974" spans="2:74" x14ac:dyDescent="0.25">
      <c r="B974" s="284"/>
      <c r="D974" s="355"/>
      <c r="E974" s="356"/>
      <c r="F974" s="357"/>
      <c r="G974" s="358"/>
      <c r="H974" s="359"/>
      <c r="I974" s="284"/>
      <c r="J974" s="287"/>
      <c r="K974" s="355"/>
      <c r="M974" s="359"/>
      <c r="N974" s="284"/>
      <c r="O974" s="355"/>
      <c r="P974" s="360"/>
      <c r="Q974" s="359"/>
      <c r="R974" s="284"/>
      <c r="S974" s="355"/>
      <c r="U974" s="359"/>
      <c r="V974" s="284"/>
      <c r="W974" s="355"/>
      <c r="Y974" s="359"/>
      <c r="Z974" s="284"/>
      <c r="AA974" s="355"/>
      <c r="AC974" s="359"/>
      <c r="AD974" s="284"/>
      <c r="AE974" s="355"/>
      <c r="AG974" s="359"/>
      <c r="AH974" s="284"/>
      <c r="AI974" s="355"/>
      <c r="AK974" s="359"/>
      <c r="AL974" s="284"/>
      <c r="AM974" s="355"/>
      <c r="AO974" s="359"/>
      <c r="AP974" s="284"/>
      <c r="AQ974" s="355"/>
      <c r="AR974" s="360"/>
      <c r="AS974" s="359"/>
      <c r="AT974" s="284"/>
      <c r="AU974" s="355"/>
      <c r="AW974" s="359"/>
      <c r="AX974" s="284"/>
      <c r="AY974" s="355"/>
      <c r="BA974" s="359"/>
      <c r="BB974" s="284"/>
      <c r="BC974" s="355"/>
      <c r="BE974" s="359"/>
      <c r="BF974" s="284"/>
      <c r="BG974" s="355"/>
      <c r="BI974" s="359"/>
      <c r="BJ974" s="284"/>
      <c r="BK974" s="355"/>
      <c r="BM974" s="359"/>
      <c r="BN974" s="284"/>
      <c r="BO974" s="355"/>
      <c r="BQ974" s="359"/>
      <c r="BR974" s="284"/>
      <c r="BS974" s="355"/>
      <c r="BU974" s="359"/>
      <c r="BV974" s="284"/>
    </row>
    <row r="975" spans="2:74" x14ac:dyDescent="0.25">
      <c r="B975" s="284"/>
      <c r="D975" s="355"/>
      <c r="E975" s="356"/>
      <c r="F975" s="357"/>
      <c r="G975" s="358"/>
      <c r="H975" s="359"/>
      <c r="I975" s="284"/>
      <c r="J975" s="287"/>
      <c r="K975" s="355"/>
      <c r="M975" s="359"/>
      <c r="N975" s="284"/>
      <c r="O975" s="355"/>
      <c r="P975" s="360"/>
      <c r="Q975" s="359"/>
      <c r="R975" s="284"/>
      <c r="S975" s="355"/>
      <c r="U975" s="359"/>
      <c r="V975" s="284"/>
      <c r="W975" s="355"/>
      <c r="Y975" s="359"/>
      <c r="Z975" s="284"/>
      <c r="AA975" s="355"/>
      <c r="AC975" s="359"/>
      <c r="AD975" s="284"/>
      <c r="AE975" s="355"/>
      <c r="AG975" s="359"/>
      <c r="AH975" s="284"/>
      <c r="AI975" s="355"/>
      <c r="AK975" s="359"/>
      <c r="AL975" s="284"/>
      <c r="AM975" s="355"/>
      <c r="AO975" s="359"/>
      <c r="AP975" s="284"/>
      <c r="AQ975" s="355"/>
      <c r="AR975" s="360"/>
      <c r="AS975" s="359"/>
      <c r="AT975" s="284"/>
      <c r="AU975" s="355"/>
      <c r="AW975" s="359"/>
      <c r="AX975" s="284"/>
      <c r="AY975" s="355"/>
      <c r="BA975" s="359"/>
      <c r="BB975" s="284"/>
      <c r="BC975" s="355"/>
      <c r="BE975" s="359"/>
      <c r="BF975" s="284"/>
      <c r="BG975" s="355"/>
      <c r="BI975" s="359"/>
      <c r="BJ975" s="284"/>
      <c r="BK975" s="355"/>
      <c r="BM975" s="359"/>
      <c r="BN975" s="284"/>
      <c r="BO975" s="355"/>
      <c r="BQ975" s="359"/>
      <c r="BR975" s="284"/>
      <c r="BS975" s="355"/>
      <c r="BU975" s="359"/>
      <c r="BV975" s="284"/>
    </row>
    <row r="976" spans="2:74" x14ac:dyDescent="0.25">
      <c r="B976" s="284"/>
      <c r="D976" s="355"/>
      <c r="E976" s="356"/>
      <c r="F976" s="357"/>
      <c r="G976" s="358"/>
      <c r="H976" s="359"/>
      <c r="I976" s="284"/>
      <c r="J976" s="287"/>
      <c r="K976" s="355"/>
      <c r="M976" s="359"/>
      <c r="N976" s="284"/>
      <c r="O976" s="355"/>
      <c r="P976" s="360"/>
      <c r="Q976" s="359"/>
      <c r="R976" s="284"/>
      <c r="S976" s="355"/>
      <c r="U976" s="359"/>
      <c r="V976" s="284"/>
      <c r="W976" s="355"/>
      <c r="Y976" s="359"/>
      <c r="Z976" s="284"/>
      <c r="AA976" s="355"/>
      <c r="AC976" s="359"/>
      <c r="AD976" s="284"/>
      <c r="AE976" s="355"/>
      <c r="AG976" s="359"/>
      <c r="AH976" s="284"/>
      <c r="AI976" s="355"/>
      <c r="AK976" s="359"/>
      <c r="AL976" s="284"/>
      <c r="AM976" s="355"/>
      <c r="AO976" s="359"/>
      <c r="AP976" s="284"/>
      <c r="AQ976" s="355"/>
      <c r="AR976" s="360"/>
      <c r="AS976" s="359"/>
      <c r="AT976" s="284"/>
      <c r="AU976" s="355"/>
      <c r="AW976" s="359"/>
      <c r="AX976" s="284"/>
      <c r="AY976" s="355"/>
      <c r="BA976" s="359"/>
      <c r="BB976" s="284"/>
      <c r="BC976" s="355"/>
      <c r="BE976" s="359"/>
      <c r="BF976" s="284"/>
      <c r="BG976" s="355"/>
      <c r="BI976" s="359"/>
      <c r="BJ976" s="284"/>
      <c r="BK976" s="355"/>
      <c r="BM976" s="359"/>
      <c r="BN976" s="284"/>
      <c r="BO976" s="355"/>
      <c r="BQ976" s="359"/>
      <c r="BR976" s="284"/>
      <c r="BS976" s="355"/>
      <c r="BU976" s="359"/>
      <c r="BV976" s="284"/>
    </row>
    <row r="977" spans="2:74" x14ac:dyDescent="0.25">
      <c r="B977" s="284"/>
      <c r="D977" s="355"/>
      <c r="E977" s="356"/>
      <c r="F977" s="357"/>
      <c r="G977" s="358"/>
      <c r="H977" s="359"/>
      <c r="I977" s="284"/>
      <c r="J977" s="287"/>
      <c r="K977" s="355"/>
      <c r="M977" s="359"/>
      <c r="N977" s="284"/>
      <c r="O977" s="355"/>
      <c r="P977" s="360"/>
      <c r="Q977" s="359"/>
      <c r="R977" s="284"/>
      <c r="S977" s="355"/>
      <c r="U977" s="359"/>
      <c r="V977" s="284"/>
      <c r="W977" s="355"/>
      <c r="Y977" s="359"/>
      <c r="Z977" s="284"/>
      <c r="AA977" s="355"/>
      <c r="AC977" s="359"/>
      <c r="AD977" s="284"/>
      <c r="AE977" s="355"/>
      <c r="AG977" s="359"/>
      <c r="AH977" s="284"/>
      <c r="AI977" s="355"/>
      <c r="AK977" s="359"/>
      <c r="AL977" s="284"/>
      <c r="AM977" s="355"/>
      <c r="AO977" s="359"/>
      <c r="AP977" s="284"/>
      <c r="AQ977" s="355"/>
      <c r="AR977" s="360"/>
      <c r="AS977" s="359"/>
      <c r="AT977" s="284"/>
      <c r="AU977" s="355"/>
      <c r="AW977" s="359"/>
      <c r="AX977" s="284"/>
      <c r="AY977" s="355"/>
      <c r="BA977" s="359"/>
      <c r="BB977" s="284"/>
      <c r="BC977" s="355"/>
      <c r="BE977" s="359"/>
      <c r="BF977" s="284"/>
      <c r="BG977" s="355"/>
      <c r="BI977" s="359"/>
      <c r="BJ977" s="284"/>
      <c r="BK977" s="355"/>
      <c r="BM977" s="359"/>
      <c r="BN977" s="284"/>
      <c r="BO977" s="355"/>
      <c r="BQ977" s="359"/>
      <c r="BR977" s="284"/>
      <c r="BS977" s="355"/>
      <c r="BU977" s="359"/>
      <c r="BV977" s="284"/>
    </row>
    <row r="978" spans="2:74" x14ac:dyDescent="0.25">
      <c r="B978" s="284"/>
      <c r="D978" s="355"/>
      <c r="E978" s="356"/>
      <c r="F978" s="357"/>
      <c r="G978" s="358"/>
      <c r="H978" s="359"/>
      <c r="I978" s="284"/>
      <c r="J978" s="287"/>
      <c r="K978" s="355"/>
      <c r="M978" s="359"/>
      <c r="N978" s="284"/>
      <c r="O978" s="355"/>
      <c r="P978" s="360"/>
      <c r="Q978" s="359"/>
      <c r="R978" s="284"/>
      <c r="S978" s="355"/>
      <c r="U978" s="359"/>
      <c r="V978" s="284"/>
      <c r="W978" s="355"/>
      <c r="Y978" s="359"/>
      <c r="Z978" s="284"/>
      <c r="AA978" s="355"/>
      <c r="AC978" s="359"/>
      <c r="AD978" s="284"/>
      <c r="AE978" s="355"/>
      <c r="AG978" s="359"/>
      <c r="AH978" s="284"/>
      <c r="AI978" s="355"/>
      <c r="AK978" s="359"/>
      <c r="AL978" s="284"/>
      <c r="AM978" s="355"/>
      <c r="AO978" s="359"/>
      <c r="AP978" s="284"/>
      <c r="AQ978" s="355"/>
      <c r="AR978" s="360"/>
      <c r="AS978" s="359"/>
      <c r="AT978" s="284"/>
      <c r="AU978" s="355"/>
      <c r="AW978" s="359"/>
      <c r="AX978" s="284"/>
      <c r="AY978" s="355"/>
      <c r="BA978" s="359"/>
      <c r="BB978" s="284"/>
      <c r="BC978" s="355"/>
      <c r="BE978" s="359"/>
      <c r="BF978" s="284"/>
      <c r="BG978" s="355"/>
      <c r="BI978" s="359"/>
      <c r="BJ978" s="284"/>
      <c r="BK978" s="355"/>
      <c r="BM978" s="359"/>
      <c r="BN978" s="284"/>
      <c r="BO978" s="355"/>
      <c r="BQ978" s="359"/>
      <c r="BR978" s="284"/>
      <c r="BS978" s="355"/>
      <c r="BU978" s="359"/>
      <c r="BV978" s="284"/>
    </row>
    <row r="979" spans="2:74" x14ac:dyDescent="0.25">
      <c r="B979" s="284"/>
      <c r="D979" s="355"/>
      <c r="E979" s="356"/>
      <c r="F979" s="357"/>
      <c r="G979" s="358"/>
      <c r="H979" s="359"/>
      <c r="I979" s="284"/>
      <c r="J979" s="287"/>
      <c r="K979" s="355"/>
      <c r="M979" s="359"/>
      <c r="N979" s="284"/>
      <c r="O979" s="355"/>
      <c r="P979" s="360"/>
      <c r="Q979" s="359"/>
      <c r="R979" s="284"/>
      <c r="S979" s="355"/>
      <c r="U979" s="359"/>
      <c r="V979" s="284"/>
      <c r="W979" s="355"/>
      <c r="Y979" s="359"/>
      <c r="Z979" s="284"/>
      <c r="AA979" s="355"/>
      <c r="AC979" s="359"/>
      <c r="AD979" s="284"/>
      <c r="AE979" s="355"/>
      <c r="AG979" s="359"/>
      <c r="AH979" s="284"/>
      <c r="AI979" s="355"/>
      <c r="AK979" s="359"/>
      <c r="AL979" s="284"/>
      <c r="AM979" s="355"/>
      <c r="AO979" s="359"/>
      <c r="AP979" s="284"/>
      <c r="AQ979" s="355"/>
      <c r="AR979" s="360"/>
      <c r="AS979" s="359"/>
      <c r="AT979" s="284"/>
      <c r="AU979" s="355"/>
      <c r="AW979" s="359"/>
      <c r="AX979" s="284"/>
      <c r="AY979" s="355"/>
      <c r="BA979" s="359"/>
      <c r="BB979" s="284"/>
      <c r="BC979" s="355"/>
      <c r="BE979" s="359"/>
      <c r="BF979" s="284"/>
      <c r="BG979" s="355"/>
      <c r="BI979" s="359"/>
      <c r="BJ979" s="284"/>
      <c r="BK979" s="355"/>
      <c r="BM979" s="359"/>
      <c r="BN979" s="284"/>
      <c r="BO979" s="355"/>
      <c r="BQ979" s="359"/>
      <c r="BR979" s="284"/>
      <c r="BS979" s="355"/>
      <c r="BU979" s="359"/>
      <c r="BV979" s="284"/>
    </row>
    <row r="980" spans="2:74" x14ac:dyDescent="0.25">
      <c r="B980" s="284"/>
      <c r="D980" s="355"/>
      <c r="E980" s="356"/>
      <c r="F980" s="357"/>
      <c r="G980" s="358"/>
      <c r="H980" s="359"/>
      <c r="I980" s="284"/>
      <c r="J980" s="287"/>
      <c r="K980" s="355"/>
      <c r="M980" s="359"/>
      <c r="N980" s="284"/>
      <c r="O980" s="355"/>
      <c r="P980" s="360"/>
      <c r="Q980" s="359"/>
      <c r="R980" s="284"/>
      <c r="S980" s="355"/>
      <c r="U980" s="359"/>
      <c r="V980" s="284"/>
      <c r="W980" s="355"/>
      <c r="Y980" s="359"/>
      <c r="Z980" s="284"/>
      <c r="AA980" s="355"/>
      <c r="AC980" s="359"/>
      <c r="AD980" s="284"/>
      <c r="AE980" s="355"/>
      <c r="AG980" s="359"/>
      <c r="AH980" s="284"/>
      <c r="AI980" s="355"/>
      <c r="AK980" s="359"/>
      <c r="AL980" s="284"/>
      <c r="AM980" s="355"/>
      <c r="AO980" s="359"/>
      <c r="AP980" s="284"/>
      <c r="AQ980" s="355"/>
      <c r="AR980" s="360"/>
      <c r="AS980" s="359"/>
      <c r="AT980" s="284"/>
      <c r="AU980" s="355"/>
      <c r="AW980" s="359"/>
      <c r="AX980" s="284"/>
      <c r="AY980" s="355"/>
      <c r="BA980" s="359"/>
      <c r="BB980" s="284"/>
      <c r="BC980" s="355"/>
      <c r="BE980" s="359"/>
      <c r="BF980" s="284"/>
      <c r="BG980" s="355"/>
      <c r="BI980" s="359"/>
      <c r="BJ980" s="284"/>
      <c r="BK980" s="355"/>
      <c r="BM980" s="359"/>
      <c r="BN980" s="284"/>
      <c r="BO980" s="355"/>
      <c r="BQ980" s="359"/>
      <c r="BR980" s="284"/>
      <c r="BS980" s="355"/>
      <c r="BU980" s="359"/>
      <c r="BV980" s="284"/>
    </row>
    <row r="981" spans="2:74" x14ac:dyDescent="0.25">
      <c r="B981" s="284"/>
      <c r="D981" s="355"/>
      <c r="E981" s="356"/>
      <c r="F981" s="357"/>
      <c r="G981" s="358"/>
      <c r="H981" s="359"/>
      <c r="I981" s="284"/>
      <c r="J981" s="287"/>
      <c r="K981" s="355"/>
      <c r="M981" s="359"/>
      <c r="N981" s="284"/>
      <c r="O981" s="355"/>
      <c r="P981" s="360"/>
      <c r="Q981" s="359"/>
      <c r="R981" s="284"/>
      <c r="S981" s="355"/>
      <c r="U981" s="359"/>
      <c r="V981" s="284"/>
      <c r="W981" s="355"/>
      <c r="Y981" s="359"/>
      <c r="Z981" s="284"/>
      <c r="AA981" s="355"/>
      <c r="AC981" s="359"/>
      <c r="AD981" s="284"/>
      <c r="AE981" s="355"/>
      <c r="AG981" s="359"/>
      <c r="AH981" s="284"/>
      <c r="AI981" s="355"/>
      <c r="AK981" s="359"/>
      <c r="AL981" s="284"/>
      <c r="AM981" s="355"/>
      <c r="AO981" s="359"/>
      <c r="AP981" s="284"/>
      <c r="AQ981" s="355"/>
      <c r="AR981" s="360"/>
      <c r="AS981" s="359"/>
      <c r="AT981" s="284"/>
      <c r="AU981" s="355"/>
      <c r="AW981" s="359"/>
      <c r="AX981" s="284"/>
      <c r="AY981" s="355"/>
      <c r="BA981" s="359"/>
      <c r="BB981" s="284"/>
      <c r="BC981" s="355"/>
      <c r="BE981" s="359"/>
      <c r="BF981" s="284"/>
      <c r="BG981" s="355"/>
      <c r="BI981" s="359"/>
      <c r="BJ981" s="284"/>
      <c r="BK981" s="355"/>
      <c r="BM981" s="359"/>
      <c r="BN981" s="284"/>
      <c r="BO981" s="355"/>
      <c r="BQ981" s="359"/>
      <c r="BR981" s="284"/>
      <c r="BS981" s="355"/>
      <c r="BU981" s="359"/>
      <c r="BV981" s="284"/>
    </row>
    <row r="982" spans="2:74" x14ac:dyDescent="0.25">
      <c r="B982" s="284"/>
      <c r="D982" s="355"/>
      <c r="E982" s="356"/>
      <c r="F982" s="357"/>
      <c r="G982" s="358"/>
      <c r="H982" s="359"/>
      <c r="I982" s="284"/>
      <c r="J982" s="287"/>
      <c r="K982" s="355"/>
      <c r="M982" s="359"/>
      <c r="N982" s="284"/>
      <c r="O982" s="355"/>
      <c r="P982" s="360"/>
      <c r="Q982" s="359"/>
      <c r="R982" s="284"/>
      <c r="S982" s="355"/>
      <c r="U982" s="359"/>
      <c r="V982" s="284"/>
      <c r="W982" s="355"/>
      <c r="Y982" s="359"/>
      <c r="Z982" s="284"/>
      <c r="AA982" s="355"/>
      <c r="AC982" s="359"/>
      <c r="AD982" s="284"/>
      <c r="AE982" s="355"/>
      <c r="AG982" s="359"/>
      <c r="AH982" s="284"/>
      <c r="AI982" s="355"/>
      <c r="AK982" s="359"/>
      <c r="AL982" s="284"/>
      <c r="AM982" s="355"/>
      <c r="AO982" s="359"/>
      <c r="AP982" s="284"/>
      <c r="AQ982" s="355"/>
      <c r="AR982" s="360"/>
      <c r="AS982" s="359"/>
      <c r="AT982" s="284"/>
      <c r="AU982" s="355"/>
      <c r="AW982" s="359"/>
      <c r="AX982" s="284"/>
      <c r="AY982" s="355"/>
      <c r="BA982" s="359"/>
      <c r="BB982" s="284"/>
      <c r="BC982" s="355"/>
      <c r="BE982" s="359"/>
      <c r="BF982" s="284"/>
      <c r="BG982" s="355"/>
      <c r="BI982" s="359"/>
      <c r="BJ982" s="284"/>
      <c r="BK982" s="355"/>
      <c r="BM982" s="359"/>
      <c r="BN982" s="284"/>
      <c r="BO982" s="355"/>
      <c r="BQ982" s="359"/>
      <c r="BR982" s="284"/>
      <c r="BS982" s="355"/>
      <c r="BU982" s="359"/>
      <c r="BV982" s="284"/>
    </row>
    <row r="983" spans="2:74" x14ac:dyDescent="0.25">
      <c r="B983" s="284"/>
      <c r="D983" s="355"/>
      <c r="E983" s="356"/>
      <c r="F983" s="357"/>
      <c r="G983" s="358"/>
      <c r="H983" s="359"/>
      <c r="I983" s="284"/>
      <c r="J983" s="287"/>
      <c r="K983" s="355"/>
      <c r="M983" s="359"/>
      <c r="N983" s="284"/>
      <c r="O983" s="355"/>
      <c r="P983" s="360"/>
      <c r="Q983" s="359"/>
      <c r="R983" s="284"/>
      <c r="S983" s="355"/>
      <c r="U983" s="359"/>
      <c r="V983" s="284"/>
      <c r="W983" s="355"/>
      <c r="Y983" s="359"/>
      <c r="Z983" s="284"/>
      <c r="AA983" s="355"/>
      <c r="AC983" s="359"/>
      <c r="AD983" s="284"/>
      <c r="AE983" s="355"/>
      <c r="AG983" s="359"/>
      <c r="AH983" s="284"/>
      <c r="AI983" s="355"/>
      <c r="AK983" s="359"/>
      <c r="AL983" s="284"/>
      <c r="AM983" s="355"/>
      <c r="AO983" s="359"/>
      <c r="AP983" s="284"/>
      <c r="AQ983" s="355"/>
      <c r="AR983" s="360"/>
      <c r="AS983" s="359"/>
      <c r="AT983" s="284"/>
      <c r="AU983" s="355"/>
      <c r="AW983" s="359"/>
      <c r="AX983" s="284"/>
      <c r="AY983" s="355"/>
      <c r="BA983" s="359"/>
      <c r="BB983" s="284"/>
      <c r="BC983" s="355"/>
      <c r="BE983" s="359"/>
      <c r="BF983" s="284"/>
      <c r="BG983" s="355"/>
      <c r="BI983" s="359"/>
      <c r="BJ983" s="284"/>
      <c r="BK983" s="355"/>
      <c r="BM983" s="359"/>
      <c r="BN983" s="284"/>
      <c r="BO983" s="355"/>
      <c r="BQ983" s="359"/>
      <c r="BR983" s="284"/>
      <c r="BS983" s="355"/>
      <c r="BU983" s="359"/>
      <c r="BV983" s="284"/>
    </row>
    <row r="984" spans="2:74" x14ac:dyDescent="0.25">
      <c r="B984" s="284"/>
      <c r="D984" s="355"/>
      <c r="E984" s="356"/>
      <c r="F984" s="357"/>
      <c r="G984" s="358"/>
      <c r="H984" s="359"/>
      <c r="I984" s="284"/>
      <c r="J984" s="287"/>
      <c r="K984" s="355"/>
      <c r="M984" s="359"/>
      <c r="N984" s="284"/>
      <c r="O984" s="355"/>
      <c r="P984" s="360"/>
      <c r="Q984" s="359"/>
      <c r="R984" s="284"/>
      <c r="S984" s="355"/>
      <c r="U984" s="359"/>
      <c r="V984" s="284"/>
      <c r="W984" s="355"/>
      <c r="Y984" s="359"/>
      <c r="Z984" s="284"/>
      <c r="AA984" s="355"/>
      <c r="AC984" s="359"/>
      <c r="AD984" s="284"/>
      <c r="AE984" s="355"/>
      <c r="AG984" s="359"/>
      <c r="AH984" s="284"/>
      <c r="AI984" s="355"/>
      <c r="AK984" s="359"/>
      <c r="AL984" s="284"/>
      <c r="AM984" s="355"/>
      <c r="AO984" s="359"/>
      <c r="AP984" s="284"/>
      <c r="AQ984" s="355"/>
      <c r="AR984" s="360"/>
      <c r="AS984" s="359"/>
      <c r="AT984" s="284"/>
      <c r="AU984" s="355"/>
      <c r="AW984" s="359"/>
      <c r="AX984" s="284"/>
      <c r="AY984" s="355"/>
      <c r="BA984" s="359"/>
      <c r="BB984" s="284"/>
      <c r="BC984" s="355"/>
      <c r="BE984" s="359"/>
      <c r="BF984" s="284"/>
      <c r="BG984" s="355"/>
      <c r="BI984" s="359"/>
      <c r="BJ984" s="284"/>
      <c r="BK984" s="355"/>
      <c r="BM984" s="359"/>
      <c r="BN984" s="284"/>
      <c r="BO984" s="355"/>
      <c r="BQ984" s="359"/>
      <c r="BR984" s="284"/>
      <c r="BS984" s="355"/>
      <c r="BU984" s="359"/>
      <c r="BV984" s="284"/>
    </row>
    <row r="985" spans="2:74" x14ac:dyDescent="0.25">
      <c r="B985" s="284"/>
      <c r="D985" s="355"/>
      <c r="E985" s="356"/>
      <c r="F985" s="357"/>
      <c r="G985" s="358"/>
      <c r="H985" s="359"/>
      <c r="I985" s="284"/>
      <c r="J985" s="287"/>
      <c r="K985" s="355"/>
      <c r="M985" s="359"/>
      <c r="N985" s="284"/>
      <c r="O985" s="355"/>
      <c r="P985" s="360"/>
      <c r="Q985" s="359"/>
      <c r="R985" s="284"/>
      <c r="S985" s="355"/>
      <c r="U985" s="359"/>
      <c r="V985" s="284"/>
      <c r="W985" s="355"/>
      <c r="Y985" s="359"/>
      <c r="Z985" s="284"/>
      <c r="AA985" s="355"/>
      <c r="AC985" s="359"/>
      <c r="AD985" s="284"/>
      <c r="AE985" s="355"/>
      <c r="AG985" s="359"/>
      <c r="AH985" s="284"/>
      <c r="AI985" s="355"/>
      <c r="AK985" s="359"/>
      <c r="AL985" s="284"/>
      <c r="AM985" s="355"/>
      <c r="AO985" s="359"/>
      <c r="AP985" s="284"/>
      <c r="AQ985" s="355"/>
      <c r="AR985" s="360"/>
      <c r="AS985" s="359"/>
      <c r="AT985" s="284"/>
      <c r="AU985" s="355"/>
      <c r="AW985" s="359"/>
      <c r="AX985" s="284"/>
      <c r="AY985" s="355"/>
      <c r="BA985" s="359"/>
      <c r="BB985" s="284"/>
      <c r="BC985" s="355"/>
      <c r="BE985" s="359"/>
      <c r="BF985" s="284"/>
      <c r="BG985" s="355"/>
      <c r="BI985" s="359"/>
      <c r="BJ985" s="284"/>
      <c r="BK985" s="355"/>
      <c r="BM985" s="359"/>
      <c r="BN985" s="284"/>
      <c r="BO985" s="355"/>
      <c r="BQ985" s="359"/>
      <c r="BR985" s="284"/>
      <c r="BS985" s="355"/>
      <c r="BU985" s="359"/>
      <c r="BV985" s="284"/>
    </row>
    <row r="986" spans="2:74" x14ac:dyDescent="0.25">
      <c r="B986" s="284"/>
      <c r="D986" s="355"/>
      <c r="E986" s="356"/>
      <c r="F986" s="357"/>
      <c r="G986" s="358"/>
      <c r="H986" s="359"/>
      <c r="I986" s="284"/>
      <c r="J986" s="287"/>
      <c r="K986" s="355"/>
      <c r="M986" s="359"/>
      <c r="N986" s="284"/>
      <c r="O986" s="355"/>
      <c r="P986" s="360"/>
      <c r="Q986" s="359"/>
      <c r="R986" s="284"/>
      <c r="S986" s="355"/>
      <c r="U986" s="359"/>
      <c r="V986" s="284"/>
      <c r="W986" s="355"/>
      <c r="Y986" s="359"/>
      <c r="Z986" s="284"/>
      <c r="AA986" s="355"/>
      <c r="AC986" s="359"/>
      <c r="AD986" s="284"/>
      <c r="AE986" s="355"/>
      <c r="AG986" s="359"/>
      <c r="AH986" s="284"/>
      <c r="AI986" s="355"/>
      <c r="AK986" s="359"/>
      <c r="AL986" s="284"/>
      <c r="AM986" s="355"/>
      <c r="AO986" s="359"/>
      <c r="AP986" s="284"/>
      <c r="AQ986" s="355"/>
      <c r="AR986" s="360"/>
      <c r="AS986" s="359"/>
      <c r="AT986" s="284"/>
      <c r="AU986" s="355"/>
      <c r="AW986" s="359"/>
      <c r="AX986" s="284"/>
      <c r="AY986" s="355"/>
      <c r="BA986" s="359"/>
      <c r="BB986" s="284"/>
      <c r="BC986" s="355"/>
      <c r="BE986" s="359"/>
      <c r="BF986" s="284"/>
      <c r="BG986" s="355"/>
      <c r="BI986" s="359"/>
      <c r="BJ986" s="284"/>
      <c r="BK986" s="355"/>
      <c r="BM986" s="359"/>
      <c r="BN986" s="284"/>
      <c r="BO986" s="355"/>
      <c r="BQ986" s="359"/>
      <c r="BR986" s="284"/>
      <c r="BS986" s="355"/>
      <c r="BU986" s="359"/>
      <c r="BV986" s="284"/>
    </row>
    <row r="987" spans="2:74" x14ac:dyDescent="0.25">
      <c r="B987" s="284"/>
      <c r="D987" s="355"/>
      <c r="E987" s="356"/>
      <c r="F987" s="357"/>
      <c r="G987" s="358"/>
      <c r="H987" s="359"/>
      <c r="I987" s="284"/>
      <c r="J987" s="287"/>
      <c r="K987" s="355"/>
      <c r="M987" s="359"/>
      <c r="N987" s="284"/>
      <c r="O987" s="355"/>
      <c r="P987" s="360"/>
      <c r="Q987" s="359"/>
      <c r="R987" s="284"/>
      <c r="S987" s="355"/>
      <c r="U987" s="359"/>
      <c r="V987" s="284"/>
      <c r="W987" s="355"/>
      <c r="Y987" s="359"/>
      <c r="Z987" s="284"/>
      <c r="AA987" s="355"/>
      <c r="AC987" s="359"/>
      <c r="AD987" s="284"/>
      <c r="AE987" s="355"/>
      <c r="AG987" s="359"/>
      <c r="AH987" s="284"/>
      <c r="AI987" s="355"/>
      <c r="AK987" s="359"/>
      <c r="AL987" s="284"/>
      <c r="AM987" s="355"/>
      <c r="AO987" s="359"/>
      <c r="AP987" s="284"/>
      <c r="AQ987" s="355"/>
      <c r="AR987" s="360"/>
      <c r="AS987" s="359"/>
      <c r="AT987" s="284"/>
      <c r="AU987" s="355"/>
      <c r="AW987" s="359"/>
      <c r="AX987" s="284"/>
      <c r="AY987" s="355"/>
      <c r="BA987" s="359"/>
      <c r="BB987" s="284"/>
      <c r="BC987" s="355"/>
      <c r="BE987" s="359"/>
      <c r="BF987" s="284"/>
      <c r="BG987" s="355"/>
      <c r="BI987" s="359"/>
      <c r="BJ987" s="284"/>
      <c r="BK987" s="355"/>
      <c r="BM987" s="359"/>
      <c r="BN987" s="284"/>
      <c r="BO987" s="355"/>
      <c r="BQ987" s="359"/>
      <c r="BR987" s="284"/>
      <c r="BS987" s="355"/>
      <c r="BU987" s="359"/>
      <c r="BV987" s="284"/>
    </row>
    <row r="988" spans="2:74" x14ac:dyDescent="0.25">
      <c r="B988" s="284"/>
      <c r="D988" s="355"/>
      <c r="E988" s="356"/>
      <c r="F988" s="357"/>
      <c r="G988" s="358"/>
      <c r="H988" s="359"/>
      <c r="I988" s="284"/>
      <c r="J988" s="287"/>
      <c r="K988" s="355"/>
      <c r="M988" s="359"/>
      <c r="N988" s="284"/>
      <c r="O988" s="355"/>
      <c r="P988" s="360"/>
      <c r="Q988" s="359"/>
      <c r="R988" s="284"/>
      <c r="S988" s="355"/>
      <c r="U988" s="359"/>
      <c r="V988" s="284"/>
      <c r="W988" s="355"/>
      <c r="Y988" s="359"/>
      <c r="Z988" s="284"/>
      <c r="AA988" s="355"/>
      <c r="AC988" s="359"/>
      <c r="AD988" s="284"/>
      <c r="AE988" s="355"/>
      <c r="AG988" s="359"/>
      <c r="AH988" s="284"/>
      <c r="AI988" s="355"/>
      <c r="AK988" s="359"/>
      <c r="AL988" s="284"/>
      <c r="AM988" s="355"/>
      <c r="AO988" s="359"/>
      <c r="AP988" s="284"/>
      <c r="AQ988" s="355"/>
      <c r="AR988" s="360"/>
      <c r="AS988" s="359"/>
      <c r="AT988" s="284"/>
      <c r="AU988" s="355"/>
      <c r="AW988" s="359"/>
      <c r="AX988" s="284"/>
      <c r="AY988" s="355"/>
      <c r="BA988" s="359"/>
      <c r="BB988" s="284"/>
      <c r="BC988" s="355"/>
      <c r="BE988" s="359"/>
      <c r="BF988" s="284"/>
      <c r="BG988" s="355"/>
      <c r="BI988" s="359"/>
      <c r="BJ988" s="284"/>
      <c r="BK988" s="355"/>
      <c r="BM988" s="359"/>
      <c r="BN988" s="284"/>
      <c r="BO988" s="355"/>
      <c r="BQ988" s="359"/>
      <c r="BR988" s="284"/>
      <c r="BS988" s="355"/>
      <c r="BU988" s="359"/>
      <c r="BV988" s="284"/>
    </row>
    <row r="989" spans="2:74" x14ac:dyDescent="0.25">
      <c r="B989" s="284"/>
      <c r="D989" s="355"/>
      <c r="E989" s="356"/>
      <c r="F989" s="357"/>
      <c r="G989" s="358"/>
      <c r="H989" s="359"/>
      <c r="I989" s="284"/>
      <c r="J989" s="287"/>
      <c r="K989" s="355"/>
      <c r="M989" s="359"/>
      <c r="N989" s="284"/>
      <c r="O989" s="355"/>
      <c r="P989" s="360"/>
      <c r="Q989" s="359"/>
      <c r="R989" s="284"/>
      <c r="S989" s="355"/>
      <c r="U989" s="359"/>
      <c r="V989" s="284"/>
      <c r="W989" s="355"/>
      <c r="Y989" s="359"/>
      <c r="Z989" s="284"/>
      <c r="AA989" s="355"/>
      <c r="AC989" s="359"/>
      <c r="AD989" s="284"/>
      <c r="AE989" s="355"/>
      <c r="AG989" s="359"/>
      <c r="AH989" s="284"/>
      <c r="AI989" s="355"/>
      <c r="AK989" s="359"/>
      <c r="AL989" s="284"/>
      <c r="AM989" s="355"/>
      <c r="AO989" s="359"/>
      <c r="AP989" s="284"/>
      <c r="AQ989" s="355"/>
      <c r="AR989" s="360"/>
      <c r="AS989" s="359"/>
      <c r="AT989" s="284"/>
      <c r="AU989" s="355"/>
      <c r="AW989" s="359"/>
      <c r="AX989" s="284"/>
      <c r="AY989" s="355"/>
      <c r="BA989" s="359"/>
      <c r="BB989" s="284"/>
      <c r="BC989" s="355"/>
      <c r="BE989" s="359"/>
      <c r="BF989" s="284"/>
      <c r="BG989" s="355"/>
      <c r="BI989" s="359"/>
      <c r="BJ989" s="284"/>
      <c r="BK989" s="355"/>
      <c r="BM989" s="359"/>
      <c r="BN989" s="284"/>
      <c r="BO989" s="355"/>
      <c r="BQ989" s="359"/>
      <c r="BR989" s="284"/>
      <c r="BS989" s="355"/>
      <c r="BU989" s="359"/>
      <c r="BV989" s="284"/>
    </row>
    <row r="990" spans="2:74" x14ac:dyDescent="0.25">
      <c r="B990" s="284"/>
      <c r="D990" s="355"/>
      <c r="E990" s="356"/>
      <c r="F990" s="357"/>
      <c r="G990" s="358"/>
      <c r="H990" s="359"/>
      <c r="I990" s="284"/>
      <c r="J990" s="287"/>
      <c r="K990" s="355"/>
      <c r="M990" s="359"/>
      <c r="N990" s="284"/>
      <c r="O990" s="355"/>
      <c r="P990" s="360"/>
      <c r="Q990" s="359"/>
      <c r="R990" s="284"/>
      <c r="S990" s="355"/>
      <c r="U990" s="359"/>
      <c r="V990" s="284"/>
      <c r="W990" s="355"/>
      <c r="Y990" s="359"/>
      <c r="Z990" s="284"/>
      <c r="AA990" s="355"/>
      <c r="AC990" s="359"/>
      <c r="AD990" s="284"/>
      <c r="AE990" s="355"/>
      <c r="AG990" s="359"/>
      <c r="AH990" s="284"/>
      <c r="AI990" s="355"/>
      <c r="AK990" s="359"/>
      <c r="AL990" s="284"/>
      <c r="AM990" s="355"/>
      <c r="AO990" s="359"/>
      <c r="AP990" s="284"/>
      <c r="AQ990" s="355"/>
      <c r="AR990" s="360"/>
      <c r="AS990" s="359"/>
      <c r="AT990" s="284"/>
      <c r="AU990" s="355"/>
      <c r="AW990" s="359"/>
      <c r="AX990" s="284"/>
      <c r="AY990" s="355"/>
      <c r="BA990" s="359"/>
      <c r="BB990" s="284"/>
      <c r="BC990" s="355"/>
      <c r="BE990" s="359"/>
      <c r="BF990" s="284"/>
      <c r="BG990" s="355"/>
      <c r="BI990" s="359"/>
      <c r="BJ990" s="284"/>
      <c r="BK990" s="355"/>
      <c r="BM990" s="359"/>
      <c r="BN990" s="284"/>
      <c r="BO990" s="355"/>
      <c r="BQ990" s="359"/>
      <c r="BR990" s="284"/>
      <c r="BS990" s="355"/>
      <c r="BU990" s="359"/>
      <c r="BV990" s="284"/>
    </row>
    <row r="991" spans="2:74" x14ac:dyDescent="0.25">
      <c r="B991" s="284"/>
      <c r="D991" s="355"/>
      <c r="E991" s="356"/>
      <c r="F991" s="357"/>
      <c r="G991" s="358"/>
      <c r="H991" s="359"/>
      <c r="I991" s="284"/>
      <c r="J991" s="287"/>
      <c r="K991" s="355"/>
      <c r="M991" s="359"/>
      <c r="N991" s="284"/>
      <c r="O991" s="355"/>
      <c r="P991" s="360"/>
      <c r="Q991" s="359"/>
      <c r="R991" s="284"/>
      <c r="S991" s="355"/>
      <c r="U991" s="359"/>
      <c r="V991" s="284"/>
      <c r="W991" s="355"/>
      <c r="Y991" s="359"/>
      <c r="Z991" s="284"/>
      <c r="AA991" s="355"/>
      <c r="AC991" s="359"/>
      <c r="AD991" s="284"/>
      <c r="AE991" s="355"/>
      <c r="AG991" s="359"/>
      <c r="AH991" s="284"/>
      <c r="AI991" s="355"/>
      <c r="AK991" s="359"/>
      <c r="AL991" s="284"/>
      <c r="AM991" s="355"/>
      <c r="AO991" s="359"/>
      <c r="AP991" s="284"/>
      <c r="AQ991" s="355"/>
      <c r="AR991" s="360"/>
      <c r="AS991" s="359"/>
      <c r="AT991" s="284"/>
      <c r="AU991" s="355"/>
      <c r="AW991" s="359"/>
      <c r="AX991" s="284"/>
      <c r="AY991" s="355"/>
      <c r="BA991" s="359"/>
      <c r="BB991" s="284"/>
      <c r="BC991" s="355"/>
      <c r="BE991" s="359"/>
      <c r="BF991" s="284"/>
      <c r="BG991" s="355"/>
      <c r="BI991" s="359"/>
      <c r="BJ991" s="284"/>
      <c r="BK991" s="355"/>
      <c r="BM991" s="359"/>
      <c r="BN991" s="284"/>
      <c r="BO991" s="355"/>
      <c r="BQ991" s="359"/>
      <c r="BR991" s="284"/>
      <c r="BS991" s="355"/>
      <c r="BU991" s="359"/>
      <c r="BV991" s="284"/>
    </row>
    <row r="992" spans="2:74" x14ac:dyDescent="0.25">
      <c r="B992" s="284"/>
      <c r="D992" s="355"/>
      <c r="E992" s="356"/>
      <c r="F992" s="357"/>
      <c r="G992" s="358"/>
      <c r="H992" s="359"/>
      <c r="I992" s="284"/>
      <c r="J992" s="287"/>
      <c r="K992" s="355"/>
      <c r="M992" s="359"/>
      <c r="N992" s="284"/>
      <c r="O992" s="355"/>
      <c r="P992" s="360"/>
      <c r="Q992" s="359"/>
      <c r="R992" s="284"/>
      <c r="S992" s="355"/>
      <c r="U992" s="359"/>
      <c r="V992" s="284"/>
      <c r="W992" s="355"/>
      <c r="Y992" s="359"/>
      <c r="Z992" s="284"/>
      <c r="AA992" s="355"/>
      <c r="AC992" s="359"/>
      <c r="AD992" s="284"/>
      <c r="AE992" s="355"/>
      <c r="AG992" s="359"/>
      <c r="AH992" s="284"/>
      <c r="AI992" s="355"/>
      <c r="AK992" s="359"/>
      <c r="AL992" s="284"/>
      <c r="AM992" s="355"/>
      <c r="AO992" s="359"/>
      <c r="AP992" s="284"/>
      <c r="AQ992" s="355"/>
      <c r="AR992" s="360"/>
      <c r="AS992" s="359"/>
      <c r="AT992" s="284"/>
      <c r="AU992" s="355"/>
      <c r="AW992" s="359"/>
      <c r="AX992" s="284"/>
      <c r="AY992" s="355"/>
      <c r="BA992" s="359"/>
      <c r="BB992" s="284"/>
      <c r="BC992" s="355"/>
      <c r="BE992" s="359"/>
      <c r="BF992" s="284"/>
      <c r="BG992" s="355"/>
      <c r="BI992" s="359"/>
      <c r="BJ992" s="284"/>
      <c r="BK992" s="355"/>
      <c r="BM992" s="359"/>
      <c r="BN992" s="284"/>
      <c r="BO992" s="355"/>
      <c r="BQ992" s="359"/>
      <c r="BR992" s="284"/>
      <c r="BS992" s="355"/>
      <c r="BU992" s="359"/>
      <c r="BV992" s="284"/>
    </row>
    <row r="993" spans="2:74" x14ac:dyDescent="0.25">
      <c r="B993" s="284"/>
      <c r="D993" s="355"/>
      <c r="E993" s="356"/>
      <c r="F993" s="357"/>
      <c r="G993" s="358"/>
      <c r="H993" s="359"/>
      <c r="I993" s="284"/>
      <c r="J993" s="287"/>
      <c r="K993" s="355"/>
      <c r="M993" s="359"/>
      <c r="N993" s="284"/>
      <c r="O993" s="355"/>
      <c r="P993" s="360"/>
      <c r="Q993" s="359"/>
      <c r="R993" s="284"/>
      <c r="S993" s="355"/>
      <c r="U993" s="359"/>
      <c r="V993" s="284"/>
      <c r="W993" s="355"/>
      <c r="Y993" s="359"/>
      <c r="Z993" s="284"/>
      <c r="AA993" s="355"/>
      <c r="AC993" s="359"/>
      <c r="AD993" s="284"/>
      <c r="AE993" s="355"/>
      <c r="AG993" s="359"/>
      <c r="AH993" s="284"/>
      <c r="AI993" s="355"/>
      <c r="AK993" s="359"/>
      <c r="AL993" s="284"/>
      <c r="AM993" s="355"/>
      <c r="AO993" s="359"/>
      <c r="AP993" s="284"/>
      <c r="AQ993" s="355"/>
      <c r="AR993" s="360"/>
      <c r="AS993" s="359"/>
      <c r="AT993" s="284"/>
      <c r="AU993" s="355"/>
      <c r="AW993" s="359"/>
      <c r="AX993" s="284"/>
      <c r="AY993" s="355"/>
      <c r="BA993" s="359"/>
      <c r="BB993" s="284"/>
      <c r="BC993" s="355"/>
      <c r="BE993" s="359"/>
      <c r="BF993" s="284"/>
      <c r="BG993" s="355"/>
      <c r="BI993" s="359"/>
      <c r="BJ993" s="284"/>
      <c r="BK993" s="355"/>
      <c r="BM993" s="359"/>
      <c r="BN993" s="284"/>
      <c r="BO993" s="355"/>
      <c r="BQ993" s="359"/>
      <c r="BR993" s="284"/>
      <c r="BS993" s="355"/>
      <c r="BU993" s="359"/>
      <c r="BV993" s="284"/>
    </row>
    <row r="994" spans="2:74" x14ac:dyDescent="0.25">
      <c r="B994" s="284"/>
      <c r="D994" s="355"/>
      <c r="E994" s="356"/>
      <c r="F994" s="357"/>
      <c r="G994" s="358"/>
      <c r="H994" s="359"/>
      <c r="I994" s="284"/>
      <c r="J994" s="287"/>
      <c r="K994" s="355"/>
      <c r="M994" s="359"/>
      <c r="N994" s="284"/>
      <c r="O994" s="355"/>
      <c r="P994" s="360"/>
      <c r="Q994" s="359"/>
      <c r="R994" s="284"/>
      <c r="S994" s="355"/>
      <c r="U994" s="359"/>
      <c r="V994" s="284"/>
      <c r="W994" s="355"/>
      <c r="Y994" s="359"/>
      <c r="Z994" s="284"/>
      <c r="AA994" s="355"/>
      <c r="AC994" s="359"/>
      <c r="AD994" s="284"/>
      <c r="AE994" s="355"/>
      <c r="AG994" s="359"/>
      <c r="AH994" s="284"/>
      <c r="AI994" s="355"/>
      <c r="AK994" s="359"/>
      <c r="AL994" s="284"/>
      <c r="AM994" s="355"/>
      <c r="AO994" s="359"/>
      <c r="AP994" s="284"/>
      <c r="AQ994" s="355"/>
      <c r="AR994" s="360"/>
      <c r="AS994" s="359"/>
      <c r="AT994" s="284"/>
      <c r="AU994" s="355"/>
      <c r="AW994" s="359"/>
      <c r="AX994" s="284"/>
      <c r="AY994" s="355"/>
      <c r="BA994" s="359"/>
      <c r="BB994" s="284"/>
      <c r="BC994" s="355"/>
      <c r="BE994" s="359"/>
      <c r="BF994" s="284"/>
      <c r="BG994" s="355"/>
      <c r="BI994" s="359"/>
      <c r="BJ994" s="284"/>
      <c r="BK994" s="355"/>
      <c r="BM994" s="359"/>
      <c r="BN994" s="284"/>
      <c r="BO994" s="355"/>
      <c r="BQ994" s="359"/>
      <c r="BR994" s="284"/>
      <c r="BS994" s="355"/>
      <c r="BU994" s="359"/>
      <c r="BV994" s="284"/>
    </row>
    <row r="995" spans="2:74" x14ac:dyDescent="0.25">
      <c r="B995" s="284"/>
      <c r="D995" s="355"/>
      <c r="E995" s="356"/>
      <c r="F995" s="357"/>
      <c r="G995" s="358"/>
      <c r="H995" s="359"/>
      <c r="I995" s="284"/>
      <c r="J995" s="287"/>
      <c r="K995" s="355"/>
      <c r="M995" s="359"/>
      <c r="N995" s="284"/>
      <c r="O995" s="355"/>
      <c r="P995" s="360"/>
      <c r="Q995" s="359"/>
      <c r="R995" s="284"/>
      <c r="S995" s="355"/>
      <c r="U995" s="359"/>
      <c r="V995" s="284"/>
      <c r="W995" s="355"/>
      <c r="Y995" s="359"/>
      <c r="Z995" s="284"/>
      <c r="AA995" s="355"/>
      <c r="AC995" s="359"/>
      <c r="AD995" s="284"/>
      <c r="AE995" s="355"/>
      <c r="AG995" s="359"/>
      <c r="AH995" s="284"/>
      <c r="AI995" s="355"/>
      <c r="AK995" s="359"/>
      <c r="AL995" s="284"/>
      <c r="AM995" s="355"/>
      <c r="AO995" s="359"/>
      <c r="AP995" s="284"/>
      <c r="AQ995" s="355"/>
      <c r="AR995" s="360"/>
      <c r="AS995" s="359"/>
      <c r="AT995" s="284"/>
      <c r="AU995" s="355"/>
      <c r="AW995" s="359"/>
      <c r="AX995" s="284"/>
      <c r="AY995" s="355"/>
      <c r="BA995" s="359"/>
      <c r="BB995" s="284"/>
      <c r="BC995" s="355"/>
      <c r="BE995" s="359"/>
      <c r="BF995" s="284"/>
      <c r="BG995" s="355"/>
      <c r="BI995" s="359"/>
      <c r="BJ995" s="284"/>
      <c r="BK995" s="355"/>
      <c r="BM995" s="359"/>
      <c r="BN995" s="284"/>
      <c r="BO995" s="355"/>
      <c r="BQ995" s="359"/>
      <c r="BR995" s="284"/>
      <c r="BS995" s="355"/>
      <c r="BU995" s="359"/>
      <c r="BV995" s="284"/>
    </row>
    <row r="996" spans="2:74" x14ac:dyDescent="0.25">
      <c r="B996" s="284"/>
      <c r="D996" s="355"/>
      <c r="E996" s="356"/>
      <c r="F996" s="357"/>
      <c r="G996" s="358"/>
      <c r="H996" s="359"/>
      <c r="I996" s="284"/>
      <c r="J996" s="287"/>
      <c r="K996" s="355"/>
      <c r="M996" s="359"/>
      <c r="N996" s="284"/>
      <c r="O996" s="355"/>
      <c r="P996" s="360"/>
      <c r="Q996" s="359"/>
      <c r="R996" s="284"/>
      <c r="S996" s="355"/>
      <c r="U996" s="359"/>
      <c r="V996" s="284"/>
      <c r="W996" s="355"/>
      <c r="Y996" s="359"/>
      <c r="Z996" s="284"/>
      <c r="AA996" s="355"/>
      <c r="AC996" s="359"/>
      <c r="AD996" s="284"/>
      <c r="AE996" s="355"/>
      <c r="AG996" s="359"/>
      <c r="AH996" s="284"/>
      <c r="AI996" s="355"/>
      <c r="AK996" s="359"/>
      <c r="AL996" s="284"/>
      <c r="AM996" s="355"/>
      <c r="AO996" s="359"/>
      <c r="AP996" s="284"/>
      <c r="AQ996" s="355"/>
      <c r="AR996" s="360"/>
      <c r="AS996" s="359"/>
      <c r="AT996" s="284"/>
      <c r="AU996" s="355"/>
      <c r="AW996" s="359"/>
      <c r="AX996" s="284"/>
      <c r="AY996" s="355"/>
      <c r="BA996" s="359"/>
      <c r="BB996" s="284"/>
      <c r="BC996" s="355"/>
      <c r="BE996" s="359"/>
      <c r="BF996" s="284"/>
      <c r="BG996" s="355"/>
      <c r="BI996" s="359"/>
      <c r="BJ996" s="284"/>
      <c r="BK996" s="355"/>
      <c r="BM996" s="359"/>
      <c r="BN996" s="284"/>
      <c r="BO996" s="355"/>
      <c r="BQ996" s="359"/>
      <c r="BR996" s="284"/>
      <c r="BS996" s="355"/>
      <c r="BU996" s="359"/>
      <c r="BV996" s="284"/>
    </row>
    <row r="997" spans="2:74" x14ac:dyDescent="0.25">
      <c r="B997" s="284"/>
      <c r="D997" s="355"/>
      <c r="E997" s="356"/>
      <c r="F997" s="357"/>
      <c r="G997" s="358"/>
      <c r="H997" s="359"/>
      <c r="I997" s="284"/>
      <c r="J997" s="287"/>
      <c r="K997" s="355"/>
      <c r="M997" s="359"/>
      <c r="N997" s="284"/>
      <c r="O997" s="355"/>
      <c r="P997" s="360"/>
      <c r="Q997" s="359"/>
      <c r="R997" s="284"/>
      <c r="S997" s="355"/>
      <c r="U997" s="359"/>
      <c r="V997" s="284"/>
      <c r="W997" s="355"/>
      <c r="Y997" s="359"/>
      <c r="Z997" s="284"/>
      <c r="AA997" s="355"/>
      <c r="AC997" s="359"/>
      <c r="AD997" s="284"/>
      <c r="AE997" s="355"/>
      <c r="AG997" s="359"/>
      <c r="AH997" s="284"/>
      <c r="AI997" s="355"/>
      <c r="AK997" s="359"/>
      <c r="AL997" s="284"/>
      <c r="AM997" s="355"/>
      <c r="AO997" s="359"/>
      <c r="AP997" s="284"/>
      <c r="AQ997" s="355"/>
      <c r="AR997" s="360"/>
      <c r="AS997" s="359"/>
      <c r="AT997" s="284"/>
      <c r="AU997" s="355"/>
      <c r="AW997" s="359"/>
      <c r="AX997" s="284"/>
      <c r="AY997" s="355"/>
      <c r="BA997" s="359"/>
      <c r="BB997" s="284"/>
      <c r="BC997" s="355"/>
      <c r="BE997" s="359"/>
      <c r="BF997" s="284"/>
      <c r="BG997" s="355"/>
      <c r="BI997" s="359"/>
      <c r="BJ997" s="284"/>
      <c r="BK997" s="355"/>
      <c r="BM997" s="359"/>
      <c r="BN997" s="284"/>
      <c r="BO997" s="355"/>
      <c r="BQ997" s="359"/>
      <c r="BR997" s="284"/>
      <c r="BS997" s="355"/>
      <c r="BU997" s="359"/>
      <c r="BV997" s="284"/>
    </row>
    <row r="998" spans="2:74" x14ac:dyDescent="0.25">
      <c r="B998" s="284"/>
      <c r="D998" s="355"/>
      <c r="E998" s="356"/>
      <c r="F998" s="357"/>
      <c r="G998" s="358"/>
      <c r="H998" s="359"/>
      <c r="I998" s="284"/>
      <c r="J998" s="287"/>
      <c r="K998" s="355"/>
      <c r="M998" s="359"/>
      <c r="N998" s="284"/>
      <c r="O998" s="355"/>
      <c r="P998" s="360"/>
      <c r="Q998" s="359"/>
      <c r="R998" s="284"/>
      <c r="S998" s="355"/>
      <c r="U998" s="359"/>
      <c r="V998" s="284"/>
      <c r="W998" s="355"/>
      <c r="Y998" s="359"/>
      <c r="Z998" s="284"/>
      <c r="AA998" s="355"/>
      <c r="AC998" s="359"/>
      <c r="AD998" s="284"/>
      <c r="AE998" s="355"/>
      <c r="AG998" s="359"/>
      <c r="AH998" s="284"/>
      <c r="AI998" s="355"/>
      <c r="AK998" s="359"/>
      <c r="AL998" s="284"/>
      <c r="AM998" s="355"/>
      <c r="AO998" s="359"/>
      <c r="AP998" s="284"/>
      <c r="AQ998" s="355"/>
      <c r="AR998" s="360"/>
      <c r="AS998" s="359"/>
      <c r="AT998" s="284"/>
      <c r="AU998" s="355"/>
      <c r="AW998" s="359"/>
      <c r="AX998" s="284"/>
      <c r="AY998" s="355"/>
      <c r="BA998" s="359"/>
      <c r="BB998" s="284"/>
      <c r="BC998" s="355"/>
      <c r="BE998" s="359"/>
      <c r="BF998" s="284"/>
      <c r="BG998" s="355"/>
      <c r="BI998" s="359"/>
      <c r="BJ998" s="284"/>
      <c r="BK998" s="355"/>
      <c r="BM998" s="359"/>
      <c r="BN998" s="284"/>
      <c r="BO998" s="355"/>
      <c r="BQ998" s="359"/>
      <c r="BR998" s="284"/>
      <c r="BS998" s="355"/>
      <c r="BU998" s="359"/>
      <c r="BV998" s="284"/>
    </row>
    <row r="999" spans="2:74" x14ac:dyDescent="0.25">
      <c r="B999" s="284"/>
      <c r="D999" s="355"/>
      <c r="E999" s="356"/>
      <c r="F999" s="357"/>
      <c r="G999" s="358"/>
      <c r="H999" s="359"/>
      <c r="I999" s="284"/>
      <c r="J999" s="287"/>
      <c r="K999" s="355"/>
      <c r="M999" s="359"/>
      <c r="N999" s="284"/>
      <c r="O999" s="355"/>
      <c r="P999" s="360"/>
      <c r="Q999" s="359"/>
      <c r="R999" s="284"/>
      <c r="S999" s="355"/>
      <c r="U999" s="359"/>
      <c r="V999" s="284"/>
      <c r="W999" s="355"/>
      <c r="Y999" s="359"/>
      <c r="Z999" s="284"/>
      <c r="AA999" s="355"/>
      <c r="AC999" s="359"/>
      <c r="AD999" s="284"/>
      <c r="AE999" s="355"/>
      <c r="AG999" s="359"/>
      <c r="AH999" s="284"/>
      <c r="AI999" s="355"/>
      <c r="AK999" s="359"/>
      <c r="AL999" s="284"/>
      <c r="AM999" s="355"/>
      <c r="AO999" s="359"/>
      <c r="AP999" s="284"/>
      <c r="AQ999" s="355"/>
      <c r="AR999" s="360"/>
      <c r="AS999" s="359"/>
      <c r="AT999" s="284"/>
      <c r="AU999" s="355"/>
      <c r="AW999" s="359"/>
      <c r="AX999" s="284"/>
      <c r="AY999" s="355"/>
      <c r="BA999" s="359"/>
      <c r="BB999" s="284"/>
      <c r="BC999" s="355"/>
      <c r="BE999" s="359"/>
      <c r="BF999" s="284"/>
      <c r="BG999" s="355"/>
      <c r="BI999" s="359"/>
      <c r="BJ999" s="284"/>
      <c r="BK999" s="355"/>
      <c r="BM999" s="359"/>
      <c r="BN999" s="284"/>
      <c r="BO999" s="355"/>
      <c r="BQ999" s="359"/>
      <c r="BR999" s="284"/>
      <c r="BS999" s="355"/>
      <c r="BU999" s="359"/>
      <c r="BV999" s="284"/>
    </row>
    <row r="1000" spans="2:74" x14ac:dyDescent="0.25">
      <c r="B1000" s="284"/>
      <c r="D1000" s="355"/>
      <c r="E1000" s="356"/>
      <c r="F1000" s="357"/>
      <c r="G1000" s="358"/>
      <c r="H1000" s="359"/>
      <c r="I1000" s="284"/>
      <c r="J1000" s="287"/>
      <c r="K1000" s="355"/>
      <c r="M1000" s="359"/>
      <c r="N1000" s="284"/>
      <c r="O1000" s="355"/>
      <c r="P1000" s="360"/>
      <c r="Q1000" s="359"/>
      <c r="R1000" s="284"/>
      <c r="S1000" s="355"/>
      <c r="U1000" s="359"/>
      <c r="V1000" s="284"/>
      <c r="W1000" s="355"/>
      <c r="Y1000" s="359"/>
      <c r="Z1000" s="284"/>
      <c r="AA1000" s="355"/>
      <c r="AC1000" s="359"/>
      <c r="AD1000" s="284"/>
      <c r="AE1000" s="355"/>
      <c r="AG1000" s="359"/>
      <c r="AH1000" s="284"/>
      <c r="AI1000" s="355"/>
      <c r="AK1000" s="359"/>
      <c r="AL1000" s="284"/>
      <c r="AM1000" s="355"/>
      <c r="AO1000" s="359"/>
      <c r="AP1000" s="284"/>
      <c r="AQ1000" s="355"/>
      <c r="AR1000" s="360"/>
      <c r="AS1000" s="359"/>
      <c r="AT1000" s="284"/>
      <c r="AU1000" s="355"/>
      <c r="AW1000" s="359"/>
      <c r="AX1000" s="284"/>
      <c r="AY1000" s="355"/>
      <c r="BA1000" s="359"/>
      <c r="BB1000" s="284"/>
      <c r="BC1000" s="355"/>
      <c r="BE1000" s="359"/>
      <c r="BF1000" s="284"/>
      <c r="BG1000" s="355"/>
      <c r="BI1000" s="359"/>
      <c r="BJ1000" s="284"/>
      <c r="BK1000" s="355"/>
      <c r="BM1000" s="359"/>
      <c r="BN1000" s="284"/>
      <c r="BO1000" s="355"/>
      <c r="BQ1000" s="359"/>
      <c r="BR1000" s="284"/>
      <c r="BS1000" s="355"/>
      <c r="BU1000" s="359"/>
      <c r="BV1000" s="284"/>
    </row>
    <row r="1001" spans="2:74" x14ac:dyDescent="0.25">
      <c r="B1001" s="284"/>
      <c r="D1001" s="355"/>
      <c r="E1001" s="356"/>
      <c r="F1001" s="357"/>
      <c r="G1001" s="358"/>
      <c r="H1001" s="359"/>
      <c r="I1001" s="284"/>
      <c r="J1001" s="287"/>
      <c r="K1001" s="355"/>
      <c r="M1001" s="359"/>
      <c r="N1001" s="284"/>
      <c r="O1001" s="355"/>
      <c r="P1001" s="360"/>
      <c r="Q1001" s="359"/>
      <c r="R1001" s="284"/>
      <c r="S1001" s="355"/>
      <c r="U1001" s="359"/>
      <c r="V1001" s="284"/>
      <c r="W1001" s="355"/>
      <c r="Y1001" s="359"/>
      <c r="Z1001" s="284"/>
      <c r="AA1001" s="355"/>
      <c r="AC1001" s="359"/>
      <c r="AD1001" s="284"/>
      <c r="AE1001" s="355"/>
      <c r="AG1001" s="359"/>
      <c r="AH1001" s="284"/>
      <c r="AI1001" s="355"/>
      <c r="AK1001" s="359"/>
      <c r="AL1001" s="284"/>
      <c r="AM1001" s="355"/>
      <c r="AO1001" s="359"/>
      <c r="AP1001" s="284"/>
      <c r="AQ1001" s="355"/>
      <c r="AR1001" s="360"/>
      <c r="AS1001" s="359"/>
      <c r="AT1001" s="284"/>
      <c r="AU1001" s="355"/>
      <c r="AW1001" s="359"/>
      <c r="AX1001" s="284"/>
      <c r="AY1001" s="355"/>
      <c r="BA1001" s="359"/>
      <c r="BB1001" s="284"/>
      <c r="BC1001" s="355"/>
      <c r="BE1001" s="359"/>
      <c r="BF1001" s="284"/>
      <c r="BG1001" s="355"/>
      <c r="BI1001" s="359"/>
      <c r="BJ1001" s="284"/>
      <c r="BK1001" s="355"/>
      <c r="BM1001" s="359"/>
      <c r="BN1001" s="284"/>
      <c r="BO1001" s="355"/>
      <c r="BQ1001" s="359"/>
      <c r="BR1001" s="284"/>
      <c r="BS1001" s="355"/>
      <c r="BU1001" s="359"/>
      <c r="BV1001" s="284"/>
    </row>
  </sheetData>
  <mergeCells count="17">
    <mergeCell ref="AA1:AD1"/>
    <mergeCell ref="AE1:AH1"/>
    <mergeCell ref="BK1:BN1"/>
    <mergeCell ref="BO1:BR1"/>
    <mergeCell ref="BS1:BV1"/>
    <mergeCell ref="AI1:AL1"/>
    <mergeCell ref="AM1:AP1"/>
    <mergeCell ref="AQ1:AT1"/>
    <mergeCell ref="AU1:AX1"/>
    <mergeCell ref="AY1:BB1"/>
    <mergeCell ref="BC1:BF1"/>
    <mergeCell ref="BG1:BJ1"/>
    <mergeCell ref="D1:J1"/>
    <mergeCell ref="K1:N1"/>
    <mergeCell ref="O1:R1"/>
    <mergeCell ref="S1:V1"/>
    <mergeCell ref="W1:Z1"/>
  </mergeCells>
  <conditionalFormatting sqref="A1:BV299 BW1:CE292">
    <cfRule type="expression" dxfId="1" priority="1">
      <formula>OR(MOD(ROW(),7)=0,MOD(ROW(),7)=1)</formula>
    </cfRule>
  </conditionalFormatting>
  <conditionalFormatting sqref="A1:A300">
    <cfRule type="timePeriod" dxfId="0" priority="2" timePeriod="today">
      <formula>FLOOR(A1,1)=TODAY()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R(t) Polska</vt:lpstr>
      <vt:lpstr>R(t) Województwa</vt:lpstr>
      <vt:lpstr>Dane MZ vs. dane MZ</vt:lpstr>
      <vt:lpstr>Szkoły w nauczaniu zdalnym</vt:lpstr>
      <vt:lpstr>WYPIERDALAĆ</vt:lpstr>
      <vt:lpstr>DANE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L3aptop</cp:lastModifiedBy>
  <dcterms:modified xsi:type="dcterms:W3CDTF">2020-12-20T13:25:53Z</dcterms:modified>
</cp:coreProperties>
</file>